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동아대SW혁신센터\OneDrive\SW\2025\1. 산학협력RND프로젝트\데이터\"/>
    </mc:Choice>
  </mc:AlternateContent>
  <bookViews>
    <workbookView xWindow="-38513" yWindow="2243" windowWidth="38618" windowHeight="21098" activeTab="4"/>
  </bookViews>
  <sheets>
    <sheet name="1.건전성" sheetId="1" r:id="rId1"/>
    <sheet name="1-1. 관계사체무보증금액 (환율 등)" sheetId="7" r:id="rId2"/>
    <sheet name="2.공정성" sheetId="2" r:id="rId3"/>
    <sheet name="3.사회공헌" sheetId="3" r:id="rId4"/>
    <sheet name="4.소비자보호" sheetId="4" r:id="rId5"/>
    <sheet name="5.환경경영" sheetId="5" r:id="rId6"/>
    <sheet name="6.직원만족" sheetId="6" r:id="rId7"/>
    <sheet name="종합" sheetId="8" r:id="rId8"/>
  </sheets>
  <definedNames>
    <definedName name="_xlnm._FilterDatabase" localSheetId="0" hidden="1">'1.건전성'!$A$1:$CW$322</definedName>
    <definedName name="_xlnm._FilterDatabase" localSheetId="2" hidden="1">'2.공정성'!$A$1:$BS$323</definedName>
    <definedName name="_xlnm._FilterDatabase" localSheetId="3" hidden="1">'3.사회공헌'!$A$1:$BL$322</definedName>
    <definedName name="_xlnm._FilterDatabase" localSheetId="4" hidden="1">'4.소비자보호'!$A$1:$BE$322</definedName>
    <definedName name="_xlnm._FilterDatabase" localSheetId="5" hidden="1">'5.환경경영'!$A$1:$AX$322</definedName>
    <definedName name="_xlnm._FilterDatabase" localSheetId="6" hidden="1">'6.직원만족'!$A$1:$BS$322</definedName>
    <definedName name="_xlnm._FilterDatabase" localSheetId="7" hidden="1">종합!$A$1:$J$322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2" i="2" l="1"/>
  <c r="AP8" i="2"/>
  <c r="AD2" i="2"/>
  <c r="AC2" i="2"/>
  <c r="I31" i="7"/>
  <c r="I23" i="7"/>
  <c r="I5" i="7"/>
  <c r="I4" i="7"/>
  <c r="BD3" i="6"/>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99" i="6"/>
  <c r="BD100" i="6"/>
  <c r="BD101" i="6"/>
  <c r="BD102" i="6"/>
  <c r="BD103" i="6"/>
  <c r="BD104" i="6"/>
  <c r="BD105"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186" i="6"/>
  <c r="BD187" i="6"/>
  <c r="BD188" i="6"/>
  <c r="BD189" i="6"/>
  <c r="BD190" i="6"/>
  <c r="BD191" i="6"/>
  <c r="BD192" i="6"/>
  <c r="BD193" i="6"/>
  <c r="BD194" i="6"/>
  <c r="BD195" i="6"/>
  <c r="BD196" i="6"/>
  <c r="BD197" i="6"/>
  <c r="BD198" i="6"/>
  <c r="BD199" i="6"/>
  <c r="BD200" i="6"/>
  <c r="BD201" i="6"/>
  <c r="BD202" i="6"/>
  <c r="BD203" i="6"/>
  <c r="BD204" i="6"/>
  <c r="BD205" i="6"/>
  <c r="BD206" i="6"/>
  <c r="BD207" i="6"/>
  <c r="BD208" i="6"/>
  <c r="BD209" i="6"/>
  <c r="BD210" i="6"/>
  <c r="BD211" i="6"/>
  <c r="BD212" i="6"/>
  <c r="BD213" i="6"/>
  <c r="BD214" i="6"/>
  <c r="BD215" i="6"/>
  <c r="BD216" i="6"/>
  <c r="BD217" i="6"/>
  <c r="BD218" i="6"/>
  <c r="BD219" i="6"/>
  <c r="BD220" i="6"/>
  <c r="BD221" i="6"/>
  <c r="BD222" i="6"/>
  <c r="BD223" i="6"/>
  <c r="BD224" i="6"/>
  <c r="BD225" i="6"/>
  <c r="BD226" i="6"/>
  <c r="BD227" i="6"/>
  <c r="BD228" i="6"/>
  <c r="BD229" i="6"/>
  <c r="BD230" i="6"/>
  <c r="BD231" i="6"/>
  <c r="BD232" i="6"/>
  <c r="BD233" i="6"/>
  <c r="BD234" i="6"/>
  <c r="BD235" i="6"/>
  <c r="BD236" i="6"/>
  <c r="BD237" i="6"/>
  <c r="BD238" i="6"/>
  <c r="BD239" i="6"/>
  <c r="BD240" i="6"/>
  <c r="BD241" i="6"/>
  <c r="BD242" i="6"/>
  <c r="BD243" i="6"/>
  <c r="BD244" i="6"/>
  <c r="BD245" i="6"/>
  <c r="BD246" i="6"/>
  <c r="BD247" i="6"/>
  <c r="BD248" i="6"/>
  <c r="BD249" i="6"/>
  <c r="BD250" i="6"/>
  <c r="BD251" i="6"/>
  <c r="BD252" i="6"/>
  <c r="BD253" i="6"/>
  <c r="BD254" i="6"/>
  <c r="BD255" i="6"/>
  <c r="BD256" i="6"/>
  <c r="BD257" i="6"/>
  <c r="BD258" i="6"/>
  <c r="BD259" i="6"/>
  <c r="BD260" i="6"/>
  <c r="BD261" i="6"/>
  <c r="BD262" i="6"/>
  <c r="BD263" i="6"/>
  <c r="BD264" i="6"/>
  <c r="BD265" i="6"/>
  <c r="BD266" i="6"/>
  <c r="BD267" i="6"/>
  <c r="BD268" i="6"/>
  <c r="BD269" i="6"/>
  <c r="BD270" i="6"/>
  <c r="BD271" i="6"/>
  <c r="BD272" i="6"/>
  <c r="BD273" i="6"/>
  <c r="BD274" i="6"/>
  <c r="BD275" i="6"/>
  <c r="BD276" i="6"/>
  <c r="BD277" i="6"/>
  <c r="BD278" i="6"/>
  <c r="BD279" i="6"/>
  <c r="BD280" i="6"/>
  <c r="BD281" i="6"/>
  <c r="BD282" i="6"/>
  <c r="BD283" i="6"/>
  <c r="BD284" i="6"/>
  <c r="BD285" i="6"/>
  <c r="BD286" i="6"/>
  <c r="BD287" i="6"/>
  <c r="BD288" i="6"/>
  <c r="BD289" i="6"/>
  <c r="BD290" i="6"/>
  <c r="BD291" i="6"/>
  <c r="BD292" i="6"/>
  <c r="BD293" i="6"/>
  <c r="BD294" i="6"/>
  <c r="BD295" i="6"/>
  <c r="BD296" i="6"/>
  <c r="BD297" i="6"/>
  <c r="BD298" i="6"/>
  <c r="BD299" i="6"/>
  <c r="BD300" i="6"/>
  <c r="BD301" i="6"/>
  <c r="BD302" i="6"/>
  <c r="BD303" i="6"/>
  <c r="BD304" i="6"/>
  <c r="BD305" i="6"/>
  <c r="BD306" i="6"/>
  <c r="BD307" i="6"/>
  <c r="BD308" i="6"/>
  <c r="BD309" i="6"/>
  <c r="BD310" i="6"/>
  <c r="BD311" i="6"/>
  <c r="BD312" i="6"/>
  <c r="BD313" i="6"/>
  <c r="BD314" i="6"/>
  <c r="BD315" i="6"/>
  <c r="BD316" i="6"/>
  <c r="BD317" i="6"/>
  <c r="BD318" i="6"/>
  <c r="BD319" i="6"/>
  <c r="BD320" i="6"/>
  <c r="BD321" i="6"/>
  <c r="BD322" i="6"/>
  <c r="F175" i="8"/>
  <c r="AN5" i="6"/>
  <c r="AN8" i="6"/>
  <c r="AN9" i="6"/>
  <c r="AN11" i="6"/>
  <c r="AN13" i="6"/>
  <c r="AN14" i="6"/>
  <c r="AN15" i="6"/>
  <c r="AN16" i="6"/>
  <c r="AN17" i="6"/>
  <c r="AN18" i="6"/>
  <c r="AN19" i="6"/>
  <c r="AN20" i="6"/>
  <c r="AN23" i="6"/>
  <c r="AN25" i="6"/>
  <c r="AN26" i="6"/>
  <c r="AN29" i="6"/>
  <c r="AN30" i="6"/>
  <c r="AN31" i="6"/>
  <c r="AN32" i="6"/>
  <c r="AN33" i="6"/>
  <c r="AN34" i="6"/>
  <c r="AN35" i="6"/>
  <c r="AN36" i="6"/>
  <c r="AN41" i="6"/>
  <c r="AN45" i="6"/>
  <c r="AN46" i="6"/>
  <c r="AN48" i="6"/>
  <c r="AN49" i="6"/>
  <c r="AN54" i="6"/>
  <c r="AN55" i="6"/>
  <c r="AN59" i="6"/>
  <c r="AN62" i="6"/>
  <c r="AN63" i="6"/>
  <c r="AN65" i="6"/>
  <c r="AN67" i="6"/>
  <c r="AN69" i="6"/>
  <c r="AN72" i="6"/>
  <c r="AN75" i="6"/>
  <c r="AN76" i="6"/>
  <c r="AN79" i="6"/>
  <c r="AN81" i="6"/>
  <c r="AN87" i="6"/>
  <c r="AN91" i="6"/>
  <c r="AN99" i="6"/>
  <c r="AN108" i="6"/>
  <c r="AN112" i="6"/>
  <c r="AN113" i="6"/>
  <c r="AN115" i="6"/>
  <c r="AN116" i="6"/>
  <c r="AN117" i="6"/>
  <c r="AN118" i="6"/>
  <c r="AN119" i="6"/>
  <c r="AN122" i="6"/>
  <c r="AN127" i="6"/>
  <c r="AN128" i="6"/>
  <c r="AN130" i="6"/>
  <c r="AN131" i="6"/>
  <c r="AN134" i="6"/>
  <c r="AN135" i="6"/>
  <c r="AN136" i="6"/>
  <c r="AN140" i="6"/>
  <c r="AN141" i="6"/>
  <c r="AN142" i="6"/>
  <c r="AN146" i="6"/>
  <c r="AN150" i="6"/>
  <c r="AN152" i="6"/>
  <c r="AN153" i="6"/>
  <c r="AN155" i="6"/>
  <c r="AN157" i="6"/>
  <c r="AN159" i="6"/>
  <c r="AN162" i="6"/>
  <c r="AN164" i="6"/>
  <c r="AN166" i="6"/>
  <c r="AN169" i="6"/>
  <c r="AN170" i="6"/>
  <c r="AN171" i="6"/>
  <c r="AN172" i="6"/>
  <c r="AN175" i="6"/>
  <c r="AN176" i="6"/>
  <c r="AN179" i="6"/>
  <c r="AN180" i="6"/>
  <c r="AN181" i="6"/>
  <c r="AN184" i="6"/>
  <c r="AN185" i="6"/>
  <c r="AN186" i="6"/>
  <c r="AN188" i="6"/>
  <c r="AN193" i="6"/>
  <c r="AN196" i="6"/>
  <c r="AN199" i="6"/>
  <c r="AN200" i="6"/>
  <c r="AN206" i="6"/>
  <c r="AN207" i="6"/>
  <c r="AN208" i="6"/>
  <c r="AN212" i="6"/>
  <c r="AN219" i="6"/>
  <c r="AN221" i="6"/>
  <c r="AN222" i="6"/>
  <c r="AN223" i="6"/>
  <c r="AN224" i="6"/>
  <c r="AN225" i="6"/>
  <c r="AN226" i="6"/>
  <c r="AN227" i="6"/>
  <c r="AN228" i="6"/>
  <c r="AN232" i="6"/>
  <c r="AN234" i="6"/>
  <c r="AN236" i="6"/>
  <c r="AN238" i="6"/>
  <c r="AN239" i="6"/>
  <c r="AN241" i="6"/>
  <c r="AN242" i="6"/>
  <c r="AN243" i="6"/>
  <c r="AN246" i="6"/>
  <c r="AN249" i="6"/>
  <c r="AN251" i="6"/>
  <c r="AN252" i="6"/>
  <c r="AN254" i="6"/>
  <c r="AN256" i="6"/>
  <c r="AN259" i="6"/>
  <c r="AN261" i="6"/>
  <c r="AN262" i="6"/>
  <c r="AN263" i="6"/>
  <c r="AN270" i="6"/>
  <c r="AN276" i="6"/>
  <c r="AN278" i="6"/>
  <c r="AN279" i="6"/>
  <c r="AN282" i="6"/>
  <c r="AN284" i="6"/>
  <c r="AN285" i="6"/>
  <c r="AN287" i="6"/>
  <c r="AN290" i="6"/>
  <c r="AN292" i="6"/>
  <c r="AN293" i="6"/>
  <c r="AN297" i="6"/>
  <c r="AN298" i="6"/>
  <c r="AN299" i="6"/>
  <c r="AN300" i="6"/>
  <c r="AN303" i="6"/>
  <c r="AN305" i="6"/>
  <c r="AN307" i="6"/>
  <c r="AN308" i="6"/>
  <c r="AN309" i="6"/>
  <c r="AN310" i="6"/>
  <c r="AN319" i="6"/>
  <c r="AN320" i="6"/>
  <c r="AN321" i="6"/>
  <c r="AN322" i="6"/>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Q245" i="3"/>
  <c r="AQ246" i="3"/>
  <c r="AQ247" i="3"/>
  <c r="AQ248" i="3"/>
  <c r="AQ249" i="3"/>
  <c r="AQ250" i="3"/>
  <c r="AQ251" i="3"/>
  <c r="AQ252" i="3"/>
  <c r="AQ253" i="3"/>
  <c r="AQ254" i="3"/>
  <c r="AQ255" i="3"/>
  <c r="AQ256" i="3"/>
  <c r="AQ257" i="3"/>
  <c r="AQ258" i="3"/>
  <c r="AQ259" i="3"/>
  <c r="AQ260" i="3"/>
  <c r="AQ261" i="3"/>
  <c r="AQ262" i="3"/>
  <c r="AQ263" i="3"/>
  <c r="AQ264" i="3"/>
  <c r="AQ265" i="3"/>
  <c r="AQ266" i="3"/>
  <c r="AQ267" i="3"/>
  <c r="AQ268" i="3"/>
  <c r="AQ269" i="3"/>
  <c r="AQ270" i="3"/>
  <c r="AQ271" i="3"/>
  <c r="AQ272" i="3"/>
  <c r="AQ273" i="3"/>
  <c r="AQ274" i="3"/>
  <c r="AQ275" i="3"/>
  <c r="AQ276" i="3"/>
  <c r="AQ277" i="3"/>
  <c r="AQ278" i="3"/>
  <c r="AQ279" i="3"/>
  <c r="AQ280" i="3"/>
  <c r="AQ281" i="3"/>
  <c r="AQ282" i="3"/>
  <c r="AQ283" i="3"/>
  <c r="AQ284" i="3"/>
  <c r="AQ285" i="3"/>
  <c r="AQ286" i="3"/>
  <c r="AQ287" i="3"/>
  <c r="AQ288" i="3"/>
  <c r="AQ289" i="3"/>
  <c r="AQ290" i="3"/>
  <c r="AQ291" i="3"/>
  <c r="AQ292" i="3"/>
  <c r="AQ293" i="3"/>
  <c r="AQ294" i="3"/>
  <c r="AQ295" i="3"/>
  <c r="AQ296" i="3"/>
  <c r="AQ297" i="3"/>
  <c r="AQ298" i="3"/>
  <c r="AQ299" i="3"/>
  <c r="AQ300" i="3"/>
  <c r="AQ301" i="3"/>
  <c r="AQ302" i="3"/>
  <c r="AQ303" i="3"/>
  <c r="AQ304" i="3"/>
  <c r="AQ305" i="3"/>
  <c r="AQ306" i="3"/>
  <c r="AQ307" i="3"/>
  <c r="AQ308" i="3"/>
  <c r="AQ309" i="3"/>
  <c r="AQ310" i="3"/>
  <c r="AQ311" i="3"/>
  <c r="AQ312" i="3"/>
  <c r="AQ313" i="3"/>
  <c r="AQ314" i="3"/>
  <c r="AQ315" i="3"/>
  <c r="AQ316" i="3"/>
  <c r="AQ317" i="3"/>
  <c r="AQ318" i="3"/>
  <c r="AQ319" i="3"/>
  <c r="AQ320" i="3"/>
  <c r="AQ321" i="3"/>
  <c r="AQ322" i="3"/>
  <c r="AQ2" i="3"/>
  <c r="CP2" i="1"/>
  <c r="BP2" i="1"/>
  <c r="AB217" i="1"/>
  <c r="G230" i="8"/>
  <c r="G240" i="8"/>
  <c r="G283" i="8"/>
  <c r="G65" i="8"/>
  <c r="G264" i="8"/>
  <c r="G316" i="8"/>
  <c r="G273" i="8"/>
  <c r="G186" i="8"/>
  <c r="G180" i="8"/>
  <c r="G263" i="8"/>
  <c r="G122" i="8"/>
  <c r="G217" i="8"/>
  <c r="G178" i="8"/>
  <c r="G307" i="8"/>
  <c r="G321" i="8"/>
  <c r="G306" i="8"/>
  <c r="G294" i="8"/>
  <c r="G219" i="8"/>
  <c r="G129" i="8"/>
  <c r="G266" i="8"/>
  <c r="G195" i="8"/>
  <c r="G252" i="8"/>
  <c r="G305" i="8"/>
  <c r="G115" i="8"/>
  <c r="G11" i="8"/>
  <c r="G167" i="8"/>
  <c r="G207" i="8"/>
  <c r="G272" i="8"/>
  <c r="G154" i="8"/>
  <c r="G128" i="8"/>
  <c r="G163" i="8"/>
  <c r="G55" i="8"/>
  <c r="G231" i="8"/>
  <c r="G319" i="8"/>
  <c r="G84" i="8"/>
  <c r="G7" i="8"/>
  <c r="G303" i="8"/>
  <c r="G299" i="8"/>
  <c r="G113" i="8"/>
  <c r="G210" i="8"/>
  <c r="G164" i="8"/>
  <c r="G10" i="8"/>
  <c r="G202" i="8"/>
  <c r="G213" i="8"/>
  <c r="G147" i="8"/>
  <c r="G241" i="8"/>
  <c r="G27" i="8"/>
  <c r="G69" i="8"/>
  <c r="G151" i="8"/>
  <c r="G138" i="8"/>
  <c r="G204" i="8"/>
  <c r="G245" i="8"/>
  <c r="G234" i="8"/>
  <c r="G95" i="8"/>
  <c r="G222" i="8"/>
  <c r="G38" i="8"/>
  <c r="G260" i="8"/>
  <c r="G132" i="8"/>
  <c r="G141" i="8"/>
  <c r="G42" i="8"/>
  <c r="G314" i="8"/>
  <c r="G197" i="8"/>
  <c r="G117" i="8"/>
  <c r="G206" i="8"/>
  <c r="G282" i="8"/>
  <c r="G119" i="8"/>
  <c r="G235" i="8"/>
  <c r="G258" i="8"/>
  <c r="G288" i="8"/>
  <c r="G123" i="8"/>
  <c r="G150" i="8"/>
  <c r="G60" i="8"/>
  <c r="G30" i="8"/>
  <c r="G218" i="8"/>
  <c r="G58" i="8"/>
  <c r="G183" i="8"/>
  <c r="G188" i="8"/>
  <c r="G68" i="8"/>
  <c r="G322" i="8"/>
  <c r="G136" i="8"/>
  <c r="G32" i="8"/>
  <c r="G280" i="8"/>
  <c r="G114" i="8"/>
  <c r="G242" i="8"/>
  <c r="G75" i="8"/>
  <c r="G298" i="8"/>
  <c r="G251" i="8"/>
  <c r="G317" i="8"/>
  <c r="G277" i="8"/>
  <c r="G6" i="8"/>
  <c r="G227" i="8"/>
  <c r="G83" i="8"/>
  <c r="G64" i="8"/>
  <c r="G192" i="8"/>
  <c r="G44" i="8"/>
  <c r="G286" i="8"/>
  <c r="G126" i="8"/>
  <c r="G9" i="8"/>
  <c r="G262" i="8"/>
  <c r="G225" i="8"/>
  <c r="G140" i="8"/>
  <c r="G295" i="8"/>
  <c r="G142" i="8"/>
  <c r="G144" i="8"/>
  <c r="G74" i="8"/>
  <c r="G12" i="8"/>
  <c r="G61" i="8"/>
  <c r="G158" i="8"/>
  <c r="G156" i="8"/>
  <c r="G248" i="8"/>
  <c r="G276" i="8"/>
  <c r="G289" i="8"/>
  <c r="G256" i="8"/>
  <c r="G194" i="8"/>
  <c r="G34" i="8"/>
  <c r="G89" i="8"/>
  <c r="G107" i="8"/>
  <c r="G228" i="8"/>
  <c r="G304" i="8"/>
  <c r="G279" i="8"/>
  <c r="G16" i="8"/>
  <c r="G53" i="8"/>
  <c r="G96" i="8"/>
  <c r="G80" i="8"/>
  <c r="G157" i="8"/>
  <c r="G137" i="8"/>
  <c r="G71" i="8"/>
  <c r="G105" i="8"/>
  <c r="G181" i="8"/>
  <c r="G224" i="8"/>
  <c r="G215" i="8"/>
  <c r="G152" i="8"/>
  <c r="G259" i="8"/>
  <c r="G311" i="8"/>
  <c r="G106" i="8"/>
  <c r="G198" i="8"/>
  <c r="G170" i="8"/>
  <c r="G100" i="8"/>
  <c r="G293" i="8"/>
  <c r="G82" i="8"/>
  <c r="G278" i="8"/>
  <c r="G52" i="8"/>
  <c r="G174" i="8"/>
  <c r="G160" i="8"/>
  <c r="G239" i="8"/>
  <c r="G155" i="8"/>
  <c r="G199" i="8"/>
  <c r="G212" i="8"/>
  <c r="G201" i="8"/>
  <c r="G41" i="8"/>
  <c r="G269" i="8"/>
  <c r="G88" i="8"/>
  <c r="G124" i="8"/>
  <c r="G146" i="8"/>
  <c r="G92" i="8"/>
  <c r="G287" i="8"/>
  <c r="G173" i="8"/>
  <c r="G116" i="8"/>
  <c r="G203" i="8"/>
  <c r="G250" i="8"/>
  <c r="G184" i="8"/>
  <c r="G200" i="8"/>
  <c r="G193" i="8"/>
  <c r="G110" i="8"/>
  <c r="G296" i="8"/>
  <c r="G78" i="8"/>
  <c r="G257" i="8"/>
  <c r="G232" i="8"/>
  <c r="G120" i="8"/>
  <c r="G86" i="8"/>
  <c r="G97" i="8"/>
  <c r="G246" i="8"/>
  <c r="G297" i="8"/>
  <c r="G81" i="8"/>
  <c r="G185" i="8"/>
  <c r="G153" i="8"/>
  <c r="G191" i="8"/>
  <c r="G87" i="8"/>
  <c r="G310" i="8"/>
  <c r="G54" i="8"/>
  <c r="G51" i="8"/>
  <c r="G254" i="8"/>
  <c r="G13" i="8"/>
  <c r="G93" i="8"/>
  <c r="G243" i="8"/>
  <c r="G223" i="8"/>
  <c r="G43" i="8"/>
  <c r="G148" i="8"/>
  <c r="G131" i="8"/>
  <c r="G209" i="8"/>
  <c r="G253" i="8"/>
  <c r="G290" i="8"/>
  <c r="G247" i="8"/>
  <c r="G162" i="8"/>
  <c r="G45" i="8"/>
  <c r="G112" i="8"/>
  <c r="G214" i="8"/>
  <c r="G103" i="8"/>
  <c r="G62" i="8"/>
  <c r="G57" i="8"/>
  <c r="G5" i="8"/>
  <c r="G134" i="8"/>
  <c r="G121" i="8"/>
  <c r="G101" i="8"/>
  <c r="G312" i="8"/>
  <c r="G94" i="8"/>
  <c r="G3" i="8"/>
  <c r="G149" i="8"/>
  <c r="G145" i="8"/>
  <c r="G320" i="8"/>
  <c r="G284" i="8"/>
  <c r="G172" i="8"/>
  <c r="G143" i="8"/>
  <c r="G249" i="8"/>
  <c r="G66" i="8"/>
  <c r="G211" i="8"/>
  <c r="G168" i="8"/>
  <c r="G33" i="8"/>
  <c r="G109" i="8"/>
  <c r="G244" i="8"/>
  <c r="G271" i="8"/>
  <c r="G220" i="8"/>
  <c r="G67" i="8"/>
  <c r="G39" i="8"/>
  <c r="G46" i="8"/>
  <c r="G238" i="8"/>
  <c r="G139" i="8"/>
  <c r="G25" i="8"/>
  <c r="G98" i="8"/>
  <c r="G130" i="8"/>
  <c r="G133" i="8"/>
  <c r="G70" i="8"/>
  <c r="G205" i="8"/>
  <c r="G171" i="8"/>
  <c r="G17" i="8"/>
  <c r="G159" i="8"/>
  <c r="G23" i="8"/>
  <c r="G187" i="8"/>
  <c r="G165" i="8"/>
  <c r="G285" i="8"/>
  <c r="G196" i="8"/>
  <c r="G14" i="8"/>
  <c r="G108" i="8"/>
  <c r="G18" i="8"/>
  <c r="G125" i="8"/>
  <c r="G229" i="8"/>
  <c r="G301" i="8"/>
  <c r="G76" i="8"/>
  <c r="G36" i="8"/>
  <c r="G313" i="8"/>
  <c r="G189" i="8"/>
  <c r="G233" i="8"/>
  <c r="G265" i="8"/>
  <c r="G274" i="8"/>
  <c r="G190" i="8"/>
  <c r="G28" i="8"/>
  <c r="G19" i="8"/>
  <c r="G59" i="8"/>
  <c r="G4" i="8"/>
  <c r="G302" i="8"/>
  <c r="G176" i="8"/>
  <c r="G79" i="8"/>
  <c r="G56" i="8"/>
  <c r="G135" i="8"/>
  <c r="G31" i="8"/>
  <c r="G73" i="8"/>
  <c r="G37" i="8"/>
  <c r="G221" i="8"/>
  <c r="G182" i="8"/>
  <c r="G48" i="8"/>
  <c r="G236" i="8"/>
  <c r="G85" i="8"/>
  <c r="G40" i="8"/>
  <c r="G255" i="8"/>
  <c r="G104" i="8"/>
  <c r="G49" i="8"/>
  <c r="G166" i="8"/>
  <c r="G20" i="8"/>
  <c r="G15" i="8"/>
  <c r="G77" i="8"/>
  <c r="G2" i="8"/>
  <c r="G29" i="8"/>
  <c r="G270" i="8"/>
  <c r="G275" i="8"/>
  <c r="G63" i="8"/>
  <c r="G91" i="8"/>
  <c r="G291" i="8"/>
  <c r="G21" i="8"/>
  <c r="G35" i="8"/>
  <c r="G179" i="8"/>
  <c r="G24" i="8"/>
  <c r="G102" i="8"/>
  <c r="G8" i="8"/>
  <c r="G226" i="8"/>
  <c r="G309" i="8"/>
  <c r="G315" i="8"/>
  <c r="G22" i="8"/>
  <c r="G99" i="8"/>
  <c r="G90" i="8"/>
  <c r="G127" i="8"/>
  <c r="G111" i="8"/>
  <c r="G26" i="8"/>
  <c r="G292" i="8"/>
  <c r="G50" i="8"/>
  <c r="G300" i="8"/>
  <c r="G268" i="8"/>
  <c r="G267" i="8"/>
  <c r="G261" i="8"/>
  <c r="G47" i="8"/>
  <c r="G72" i="8"/>
  <c r="G308" i="8"/>
  <c r="G216" i="8"/>
  <c r="G208" i="8"/>
  <c r="G161" i="8"/>
  <c r="G237" i="8"/>
  <c r="G177" i="8"/>
  <c r="G281" i="8"/>
  <c r="G118" i="8"/>
  <c r="G169" i="8"/>
  <c r="G318" i="8"/>
  <c r="V302" i="3"/>
  <c r="V295" i="3"/>
  <c r="V270" i="3"/>
  <c r="V262" i="3"/>
  <c r="V242" i="3"/>
  <c r="V241" i="3"/>
  <c r="V240" i="3"/>
  <c r="V238" i="3"/>
  <c r="V222" i="3"/>
  <c r="V217" i="3"/>
  <c r="V192" i="3"/>
  <c r="V191" i="3"/>
  <c r="V188" i="3"/>
  <c r="V171" i="3"/>
  <c r="V169" i="3"/>
  <c r="V161" i="3"/>
  <c r="V148" i="3"/>
  <c r="AC140" i="3"/>
  <c r="V140" i="3"/>
  <c r="AC139" i="3"/>
  <c r="V139" i="3"/>
  <c r="V135" i="3"/>
  <c r="V134" i="3"/>
  <c r="V132" i="3"/>
  <c r="V114" i="3"/>
  <c r="V104" i="3"/>
  <c r="V87" i="3"/>
  <c r="V79" i="3"/>
  <c r="V77" i="3"/>
  <c r="V63" i="3"/>
  <c r="V47" i="3"/>
  <c r="V39" i="3"/>
  <c r="V31" i="3"/>
  <c r="V29" i="3"/>
  <c r="V23" i="3"/>
  <c r="V20" i="3"/>
  <c r="V17" i="3"/>
  <c r="V16" i="3"/>
  <c r="V12" i="3"/>
  <c r="V11" i="3"/>
  <c r="V6" i="3"/>
  <c r="W319" i="3" l="1"/>
  <c r="W317" i="3"/>
  <c r="W312" i="3"/>
  <c r="W311" i="3"/>
  <c r="W309" i="3"/>
  <c r="W308" i="3"/>
  <c r="W306" i="3"/>
  <c r="W303" i="3"/>
  <c r="W302" i="3"/>
  <c r="W301" i="3"/>
  <c r="W300" i="3"/>
  <c r="W299" i="3"/>
  <c r="W295" i="3"/>
  <c r="W291" i="3"/>
  <c r="W290" i="3"/>
  <c r="W288" i="3"/>
  <c r="W278" i="3"/>
  <c r="W276" i="3"/>
  <c r="W273" i="3"/>
  <c r="W270" i="3"/>
  <c r="W269" i="3"/>
  <c r="W268" i="3"/>
  <c r="W264" i="3"/>
  <c r="W262" i="3"/>
  <c r="W260" i="3"/>
  <c r="AD256" i="3"/>
  <c r="W256" i="3"/>
  <c r="W255" i="3"/>
  <c r="W254" i="3"/>
  <c r="W253" i="3"/>
  <c r="W252" i="3"/>
  <c r="AD251" i="3"/>
  <c r="W251" i="3"/>
  <c r="W248" i="3"/>
  <c r="W247" i="3"/>
  <c r="W241" i="3"/>
  <c r="W240" i="3"/>
  <c r="W239" i="3"/>
  <c r="W238" i="3"/>
  <c r="W237" i="3"/>
  <c r="AD236" i="3"/>
  <c r="W236" i="3"/>
  <c r="AD226" i="3"/>
  <c r="W226" i="3"/>
  <c r="AD225" i="3"/>
  <c r="W225" i="3"/>
  <c r="W223" i="3"/>
  <c r="W222" i="3"/>
  <c r="AD221" i="3"/>
  <c r="W221" i="3"/>
  <c r="W217" i="3"/>
  <c r="AD214" i="3"/>
  <c r="W213" i="3"/>
  <c r="AD212" i="3"/>
  <c r="W212" i="3"/>
  <c r="W208" i="3"/>
  <c r="W207" i="3"/>
  <c r="AD204" i="3"/>
  <c r="W204" i="3"/>
  <c r="AD202" i="3"/>
  <c r="W202" i="3"/>
  <c r="AD200" i="3"/>
  <c r="W200" i="3"/>
  <c r="AD193" i="3"/>
  <c r="W193" i="3"/>
  <c r="W192" i="3"/>
  <c r="W191" i="3"/>
  <c r="W190" i="3"/>
  <c r="W189" i="3"/>
  <c r="W188" i="3"/>
  <c r="AP184" i="3"/>
  <c r="W184" i="3"/>
  <c r="W182" i="3"/>
  <c r="W181" i="3"/>
  <c r="W179" i="3"/>
  <c r="W175" i="3"/>
  <c r="W172" i="3"/>
  <c r="W171" i="3"/>
  <c r="W169" i="3"/>
  <c r="W168" i="3"/>
  <c r="W161" i="3"/>
  <c r="W150" i="3"/>
  <c r="W148" i="3"/>
  <c r="W146" i="3"/>
  <c r="W145" i="3"/>
  <c r="W144" i="3"/>
  <c r="AD143" i="3"/>
  <c r="W143" i="3"/>
  <c r="AP142" i="3"/>
  <c r="AD142" i="3"/>
  <c r="W142" i="3"/>
  <c r="AD141" i="3"/>
  <c r="W141" i="3"/>
  <c r="AD140" i="3"/>
  <c r="W140" i="3"/>
  <c r="W139" i="3"/>
  <c r="AD139" i="3"/>
  <c r="AD138" i="3"/>
  <c r="W138" i="3"/>
  <c r="AD137" i="3"/>
  <c r="W137" i="3"/>
  <c r="AD135" i="3"/>
  <c r="W135" i="3"/>
  <c r="W134" i="3"/>
  <c r="W132" i="3"/>
  <c r="W130" i="3"/>
  <c r="W125" i="3"/>
  <c r="W124" i="3"/>
  <c r="W123" i="3"/>
  <c r="W122" i="3"/>
  <c r="W116" i="3"/>
  <c r="W114" i="3"/>
  <c r="W110" i="3"/>
  <c r="W105" i="3"/>
  <c r="W104" i="3"/>
  <c r="W102" i="3"/>
  <c r="W98" i="3"/>
  <c r="W95" i="3"/>
  <c r="W89" i="3"/>
  <c r="W87" i="3"/>
  <c r="W81" i="3"/>
  <c r="W79" i="3"/>
  <c r="W78" i="3"/>
  <c r="W77" i="3"/>
  <c r="W73" i="3"/>
  <c r="W72" i="3"/>
  <c r="W71" i="3"/>
  <c r="W67" i="3"/>
  <c r="W66" i="3"/>
  <c r="W65" i="3"/>
  <c r="W63" i="3"/>
  <c r="W61" i="3"/>
  <c r="W57" i="3"/>
  <c r="W52" i="3"/>
  <c r="W47" i="3"/>
  <c r="W46" i="3"/>
  <c r="W41" i="3"/>
  <c r="W39" i="3"/>
  <c r="W36" i="3"/>
  <c r="W35" i="3"/>
  <c r="W34" i="3"/>
  <c r="W33" i="3"/>
  <c r="W31" i="3"/>
  <c r="W29" i="3"/>
  <c r="W28" i="3"/>
  <c r="W23" i="3"/>
  <c r="W20" i="3"/>
  <c r="W19" i="3"/>
  <c r="W18" i="3"/>
  <c r="W17" i="3"/>
  <c r="W16" i="3"/>
  <c r="W11" i="3"/>
  <c r="W10" i="3"/>
  <c r="W7" i="3"/>
  <c r="W6" i="3"/>
  <c r="BH3" i="3"/>
  <c r="BH4" i="3"/>
  <c r="BH5" i="3"/>
  <c r="BH6" i="3"/>
  <c r="BH7" i="3"/>
  <c r="BH8" i="3"/>
  <c r="BH9" i="3"/>
  <c r="BH10" i="3"/>
  <c r="BH11" i="3"/>
  <c r="BH12" i="3"/>
  <c r="BH13" i="3"/>
  <c r="BH14" i="3"/>
  <c r="BH15" i="3"/>
  <c r="BH16" i="3"/>
  <c r="BH17" i="3"/>
  <c r="BH18" i="3"/>
  <c r="BH19" i="3"/>
  <c r="BH20" i="3"/>
  <c r="BH21" i="3"/>
  <c r="BH22" i="3"/>
  <c r="BH23" i="3"/>
  <c r="BH24" i="3"/>
  <c r="BH25" i="3"/>
  <c r="BH26" i="3"/>
  <c r="BH27" i="3"/>
  <c r="BH28" i="3"/>
  <c r="BH29" i="3"/>
  <c r="BH30" i="3"/>
  <c r="BH31" i="3"/>
  <c r="BH32" i="3"/>
  <c r="BH33" i="3"/>
  <c r="BH34" i="3"/>
  <c r="BH35" i="3"/>
  <c r="BH36" i="3"/>
  <c r="BH37" i="3"/>
  <c r="BH38" i="3"/>
  <c r="BH39" i="3"/>
  <c r="BH40" i="3"/>
  <c r="BH41" i="3"/>
  <c r="BH42" i="3"/>
  <c r="BH43" i="3"/>
  <c r="BH44" i="3"/>
  <c r="BH45" i="3"/>
  <c r="BH46" i="3"/>
  <c r="BH47" i="3"/>
  <c r="BH48" i="3"/>
  <c r="BH49" i="3"/>
  <c r="BH50" i="3"/>
  <c r="BH51" i="3"/>
  <c r="BH52" i="3"/>
  <c r="BH53" i="3"/>
  <c r="BH54" i="3"/>
  <c r="BH55" i="3"/>
  <c r="BH56" i="3"/>
  <c r="BH57" i="3"/>
  <c r="BH58" i="3"/>
  <c r="BH59" i="3"/>
  <c r="BH60" i="3"/>
  <c r="BH61" i="3"/>
  <c r="BH62" i="3"/>
  <c r="BH63" i="3"/>
  <c r="BH64" i="3"/>
  <c r="BH65" i="3"/>
  <c r="BH66" i="3"/>
  <c r="BH67" i="3"/>
  <c r="BH68" i="3"/>
  <c r="BH69" i="3"/>
  <c r="BH70" i="3"/>
  <c r="BH71" i="3"/>
  <c r="BH72" i="3"/>
  <c r="BH73" i="3"/>
  <c r="BH74" i="3"/>
  <c r="BH75" i="3"/>
  <c r="BH76" i="3"/>
  <c r="BH77" i="3"/>
  <c r="BH78" i="3"/>
  <c r="BH79" i="3"/>
  <c r="BH80" i="3"/>
  <c r="BH81" i="3"/>
  <c r="BH82" i="3"/>
  <c r="BH83" i="3"/>
  <c r="BH84" i="3"/>
  <c r="BH85" i="3"/>
  <c r="BH86" i="3"/>
  <c r="BH87" i="3"/>
  <c r="BH88" i="3"/>
  <c r="BH89" i="3"/>
  <c r="BH90" i="3"/>
  <c r="BH91" i="3"/>
  <c r="BH92" i="3"/>
  <c r="BH93" i="3"/>
  <c r="BH94" i="3"/>
  <c r="BH95" i="3"/>
  <c r="BH96" i="3"/>
  <c r="BH97" i="3"/>
  <c r="BH98" i="3"/>
  <c r="BH99" i="3"/>
  <c r="BH100" i="3"/>
  <c r="BH101" i="3"/>
  <c r="BH102" i="3"/>
  <c r="BH103" i="3"/>
  <c r="BH104" i="3"/>
  <c r="BH105" i="3"/>
  <c r="BH106" i="3"/>
  <c r="BH107" i="3"/>
  <c r="BH108" i="3"/>
  <c r="BH109" i="3"/>
  <c r="BH110" i="3"/>
  <c r="BH111" i="3"/>
  <c r="BH112" i="3"/>
  <c r="BH113" i="3"/>
  <c r="BH114" i="3"/>
  <c r="BH115" i="3"/>
  <c r="BH116" i="3"/>
  <c r="BH117" i="3"/>
  <c r="BH118" i="3"/>
  <c r="BH119" i="3"/>
  <c r="BH120" i="3"/>
  <c r="BH121" i="3"/>
  <c r="BH122" i="3"/>
  <c r="BH123" i="3"/>
  <c r="BH124" i="3"/>
  <c r="BH125" i="3"/>
  <c r="BH126" i="3"/>
  <c r="BH127" i="3"/>
  <c r="BH128" i="3"/>
  <c r="BH129" i="3"/>
  <c r="BH130" i="3"/>
  <c r="BH131" i="3"/>
  <c r="BH132" i="3"/>
  <c r="BH133" i="3"/>
  <c r="BH134" i="3"/>
  <c r="BH135" i="3"/>
  <c r="BH136" i="3"/>
  <c r="BH137" i="3"/>
  <c r="BH138" i="3"/>
  <c r="BH139" i="3"/>
  <c r="BH140" i="3"/>
  <c r="BH141" i="3"/>
  <c r="BH142" i="3"/>
  <c r="BH143" i="3"/>
  <c r="BH144" i="3"/>
  <c r="BH145" i="3"/>
  <c r="BH146" i="3"/>
  <c r="BH147" i="3"/>
  <c r="BH148" i="3"/>
  <c r="BH149" i="3"/>
  <c r="BH150" i="3"/>
  <c r="BH151" i="3"/>
  <c r="BH152" i="3"/>
  <c r="BH153" i="3"/>
  <c r="BH154" i="3"/>
  <c r="BH155" i="3"/>
  <c r="BH156" i="3"/>
  <c r="BH157" i="3"/>
  <c r="BH158" i="3"/>
  <c r="BH159" i="3"/>
  <c r="BH160" i="3"/>
  <c r="BH161" i="3"/>
  <c r="BH162" i="3"/>
  <c r="BH163" i="3"/>
  <c r="BH164" i="3"/>
  <c r="BH165" i="3"/>
  <c r="BH166" i="3"/>
  <c r="BH167" i="3"/>
  <c r="BH168" i="3"/>
  <c r="BH169" i="3"/>
  <c r="BH170" i="3"/>
  <c r="BH171" i="3"/>
  <c r="BH172" i="3"/>
  <c r="BH173" i="3"/>
  <c r="BH174" i="3"/>
  <c r="BH175" i="3"/>
  <c r="BH176" i="3"/>
  <c r="BH177" i="3"/>
  <c r="BH178" i="3"/>
  <c r="BH179" i="3"/>
  <c r="BH180" i="3"/>
  <c r="BH181" i="3"/>
  <c r="BH182" i="3"/>
  <c r="BH183" i="3"/>
  <c r="BH184" i="3"/>
  <c r="BH185" i="3"/>
  <c r="BH186" i="3"/>
  <c r="BH187" i="3"/>
  <c r="BH188" i="3"/>
  <c r="BH189" i="3"/>
  <c r="BH190" i="3"/>
  <c r="BH191" i="3"/>
  <c r="BH192" i="3"/>
  <c r="BH193" i="3"/>
  <c r="BH194" i="3"/>
  <c r="BH195" i="3"/>
  <c r="BH196" i="3"/>
  <c r="BH197" i="3"/>
  <c r="BH198" i="3"/>
  <c r="BH199" i="3"/>
  <c r="BH200" i="3"/>
  <c r="BH201" i="3"/>
  <c r="BH202" i="3"/>
  <c r="BH203" i="3"/>
  <c r="BH204" i="3"/>
  <c r="BH205" i="3"/>
  <c r="BH206" i="3"/>
  <c r="BH207" i="3"/>
  <c r="BH208" i="3"/>
  <c r="BH209" i="3"/>
  <c r="BH210" i="3"/>
  <c r="BH211" i="3"/>
  <c r="BH212" i="3"/>
  <c r="BH213" i="3"/>
  <c r="BH214" i="3"/>
  <c r="BH215" i="3"/>
  <c r="BH216" i="3"/>
  <c r="BH217" i="3"/>
  <c r="BH218" i="3"/>
  <c r="BH219" i="3"/>
  <c r="BH220" i="3"/>
  <c r="BH221" i="3"/>
  <c r="BH222" i="3"/>
  <c r="BH223" i="3"/>
  <c r="BH224" i="3"/>
  <c r="BH225" i="3"/>
  <c r="BH226" i="3"/>
  <c r="BH227" i="3"/>
  <c r="BH228" i="3"/>
  <c r="BH229" i="3"/>
  <c r="BH230" i="3"/>
  <c r="BH231" i="3"/>
  <c r="BH232" i="3"/>
  <c r="BH233" i="3"/>
  <c r="BH234" i="3"/>
  <c r="BH235" i="3"/>
  <c r="BH236" i="3"/>
  <c r="BH237" i="3"/>
  <c r="BH238" i="3"/>
  <c r="BH239" i="3"/>
  <c r="BH240" i="3"/>
  <c r="BH241" i="3"/>
  <c r="BH242" i="3"/>
  <c r="BH243" i="3"/>
  <c r="BH244" i="3"/>
  <c r="BH245" i="3"/>
  <c r="BH246" i="3"/>
  <c r="BH247" i="3"/>
  <c r="BH248" i="3"/>
  <c r="BH249" i="3"/>
  <c r="BH250" i="3"/>
  <c r="BH251" i="3"/>
  <c r="BH252" i="3"/>
  <c r="BH253" i="3"/>
  <c r="BH254" i="3"/>
  <c r="BH255" i="3"/>
  <c r="BH256" i="3"/>
  <c r="BH257" i="3"/>
  <c r="BH258" i="3"/>
  <c r="BH259" i="3"/>
  <c r="BH260" i="3"/>
  <c r="BH261" i="3"/>
  <c r="BH262" i="3"/>
  <c r="BH263" i="3"/>
  <c r="BH264" i="3"/>
  <c r="BH265" i="3"/>
  <c r="BH266" i="3"/>
  <c r="BH267" i="3"/>
  <c r="BH268" i="3"/>
  <c r="BH269" i="3"/>
  <c r="BH270" i="3"/>
  <c r="BH271" i="3"/>
  <c r="BH272" i="3"/>
  <c r="BH273" i="3"/>
  <c r="BH274" i="3"/>
  <c r="BH275" i="3"/>
  <c r="BH276" i="3"/>
  <c r="BH277" i="3"/>
  <c r="BH278" i="3"/>
  <c r="BH279" i="3"/>
  <c r="BH280" i="3"/>
  <c r="BH281" i="3"/>
  <c r="BH282" i="3"/>
  <c r="BH283" i="3"/>
  <c r="BH284" i="3"/>
  <c r="BH285" i="3"/>
  <c r="BH286" i="3"/>
  <c r="BH287" i="3"/>
  <c r="BH288" i="3"/>
  <c r="BH289" i="3"/>
  <c r="BH290" i="3"/>
  <c r="BH291" i="3"/>
  <c r="BH292" i="3"/>
  <c r="BH293" i="3"/>
  <c r="BH294" i="3"/>
  <c r="BH295" i="3"/>
  <c r="BH296" i="3"/>
  <c r="BH297" i="3"/>
  <c r="BH298" i="3"/>
  <c r="BH299" i="3"/>
  <c r="BH300" i="3"/>
  <c r="BH301" i="3"/>
  <c r="BH302" i="3"/>
  <c r="BH303" i="3"/>
  <c r="BH304" i="3"/>
  <c r="BH305" i="3"/>
  <c r="BH306" i="3"/>
  <c r="BH307" i="3"/>
  <c r="BH308" i="3"/>
  <c r="BH309" i="3"/>
  <c r="BH310" i="3"/>
  <c r="BH311" i="3"/>
  <c r="BH312" i="3"/>
  <c r="BH313" i="3"/>
  <c r="BH314" i="3"/>
  <c r="BH315" i="3"/>
  <c r="BH316" i="3"/>
  <c r="BH317" i="3"/>
  <c r="BH318" i="3"/>
  <c r="BH319" i="3"/>
  <c r="BH320" i="3"/>
  <c r="BH321" i="3"/>
  <c r="BH322" i="3"/>
  <c r="BH2" i="3"/>
  <c r="W3"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2" i="3"/>
  <c r="BB322" i="4"/>
  <c r="BC322" i="4" s="1"/>
  <c r="BD322" i="4" s="1"/>
  <c r="AU322" i="4"/>
  <c r="AV322" i="4" s="1"/>
  <c r="AW322" i="4" s="1"/>
  <c r="AK322" i="4"/>
  <c r="AL322" i="4" s="1"/>
  <c r="AG322" i="4"/>
  <c r="AH322" i="4" s="1"/>
  <c r="AI322" i="4" s="1"/>
  <c r="AD322" i="4"/>
  <c r="AE322" i="4" s="1"/>
  <c r="AA322" i="4"/>
  <c r="AB322" i="4" s="1"/>
  <c r="W322" i="4"/>
  <c r="X322" i="4" s="1"/>
  <c r="T322" i="4"/>
  <c r="U322" i="4" s="1"/>
  <c r="BB321" i="4"/>
  <c r="BC321" i="4" s="1"/>
  <c r="BD321" i="4" s="1"/>
  <c r="AU321" i="4"/>
  <c r="AV321" i="4" s="1"/>
  <c r="AW321" i="4" s="1"/>
  <c r="AE321" i="4"/>
  <c r="AD321" i="4"/>
  <c r="AB321" i="4"/>
  <c r="AA321" i="4"/>
  <c r="W321" i="4"/>
  <c r="X321" i="4" s="1"/>
  <c r="T321" i="4"/>
  <c r="U321" i="4" s="1"/>
  <c r="BC320" i="4"/>
  <c r="BD320" i="4" s="1"/>
  <c r="BB320" i="4"/>
  <c r="AW320" i="4"/>
  <c r="AU320" i="4"/>
  <c r="AV320" i="4" s="1"/>
  <c r="AD320" i="4"/>
  <c r="AE320" i="4" s="1"/>
  <c r="AA320" i="4"/>
  <c r="AB320" i="4" s="1"/>
  <c r="W320" i="4"/>
  <c r="X320" i="4" s="1"/>
  <c r="T320" i="4"/>
  <c r="U320" i="4" s="1"/>
  <c r="BB319" i="4"/>
  <c r="BC319" i="4" s="1"/>
  <c r="BD319" i="4" s="1"/>
  <c r="AU319" i="4"/>
  <c r="AV319" i="4" s="1"/>
  <c r="AW319" i="4" s="1"/>
  <c r="AD319" i="4"/>
  <c r="AE319" i="4" s="1"/>
  <c r="AB319" i="4"/>
  <c r="AA319" i="4"/>
  <c r="W319" i="4"/>
  <c r="X319" i="4" s="1"/>
  <c r="T319" i="4"/>
  <c r="U319" i="4" s="1"/>
  <c r="BE319" i="4" s="1"/>
  <c r="BB318" i="4"/>
  <c r="BC318" i="4" s="1"/>
  <c r="BD318" i="4" s="1"/>
  <c r="AU318" i="4"/>
  <c r="AV318" i="4" s="1"/>
  <c r="AW318" i="4" s="1"/>
  <c r="AD318" i="4"/>
  <c r="AE318" i="4" s="1"/>
  <c r="AA318" i="4"/>
  <c r="AB318" i="4" s="1"/>
  <c r="W318" i="4"/>
  <c r="X318" i="4" s="1"/>
  <c r="T318" i="4"/>
  <c r="U318" i="4" s="1"/>
  <c r="BD317" i="4"/>
  <c r="BB317" i="4"/>
  <c r="BC317" i="4" s="1"/>
  <c r="AU317" i="4"/>
  <c r="AV317" i="4" s="1"/>
  <c r="AW317" i="4" s="1"/>
  <c r="AD317" i="4"/>
  <c r="AE317" i="4" s="1"/>
  <c r="AB317" i="4"/>
  <c r="AA317" i="4"/>
  <c r="X317" i="4"/>
  <c r="W317" i="4"/>
  <c r="T317" i="4"/>
  <c r="U317" i="4" s="1"/>
  <c r="BB316" i="4"/>
  <c r="BC316" i="4" s="1"/>
  <c r="BD316" i="4" s="1"/>
  <c r="AU316" i="4"/>
  <c r="AV316" i="4" s="1"/>
  <c r="AW316" i="4" s="1"/>
  <c r="AD316" i="4"/>
  <c r="AE316" i="4" s="1"/>
  <c r="AA316" i="4"/>
  <c r="AB316" i="4" s="1"/>
  <c r="W316" i="4"/>
  <c r="X316" i="4" s="1"/>
  <c r="T316" i="4"/>
  <c r="U316" i="4" s="1"/>
  <c r="BD315" i="4"/>
  <c r="BB315" i="4"/>
  <c r="BC315" i="4" s="1"/>
  <c r="AU315" i="4"/>
  <c r="AV315" i="4" s="1"/>
  <c r="AW315" i="4" s="1"/>
  <c r="AD315" i="4"/>
  <c r="AE315" i="4" s="1"/>
  <c r="AA315" i="4"/>
  <c r="AB315" i="4" s="1"/>
  <c r="X315" i="4"/>
  <c r="W315" i="4"/>
  <c r="T315" i="4"/>
  <c r="U315" i="4" s="1"/>
  <c r="BB314" i="4"/>
  <c r="BC314" i="4" s="1"/>
  <c r="BD314" i="4" s="1"/>
  <c r="AU314" i="4"/>
  <c r="AV314" i="4" s="1"/>
  <c r="AW314" i="4" s="1"/>
  <c r="AD314" i="4"/>
  <c r="AE314" i="4" s="1"/>
  <c r="AA314" i="4"/>
  <c r="AB314" i="4" s="1"/>
  <c r="W314" i="4"/>
  <c r="X314" i="4" s="1"/>
  <c r="T314" i="4"/>
  <c r="U314" i="4" s="1"/>
  <c r="BB313" i="4"/>
  <c r="BC313" i="4" s="1"/>
  <c r="BD313" i="4" s="1"/>
  <c r="AU313" i="4"/>
  <c r="AV313" i="4" s="1"/>
  <c r="AW313" i="4" s="1"/>
  <c r="AD313" i="4"/>
  <c r="AE313" i="4" s="1"/>
  <c r="AB313" i="4"/>
  <c r="AA313" i="4"/>
  <c r="W313" i="4"/>
  <c r="X313" i="4" s="1"/>
  <c r="T313" i="4"/>
  <c r="U313" i="4" s="1"/>
  <c r="BB312" i="4"/>
  <c r="BC312" i="4" s="1"/>
  <c r="BD312" i="4" s="1"/>
  <c r="AU312" i="4"/>
  <c r="AV312" i="4" s="1"/>
  <c r="AW312" i="4" s="1"/>
  <c r="AD312" i="4"/>
  <c r="AE312" i="4" s="1"/>
  <c r="AA312" i="4"/>
  <c r="AB312" i="4" s="1"/>
  <c r="W312" i="4"/>
  <c r="X312" i="4" s="1"/>
  <c r="T312" i="4"/>
  <c r="U312" i="4" s="1"/>
  <c r="BB311" i="4"/>
  <c r="BC311" i="4" s="1"/>
  <c r="BD311" i="4" s="1"/>
  <c r="AU311" i="4"/>
  <c r="AV311" i="4" s="1"/>
  <c r="AW311" i="4" s="1"/>
  <c r="AE311" i="4"/>
  <c r="AD311" i="4"/>
  <c r="AA311" i="4"/>
  <c r="AB311" i="4" s="1"/>
  <c r="W311" i="4"/>
  <c r="X311" i="4" s="1"/>
  <c r="T311" i="4"/>
  <c r="U311" i="4" s="1"/>
  <c r="BC310" i="4"/>
  <c r="BD310" i="4" s="1"/>
  <c r="BB310" i="4"/>
  <c r="AU310" i="4"/>
  <c r="AV310" i="4" s="1"/>
  <c r="AW310" i="4" s="1"/>
  <c r="AK310" i="4"/>
  <c r="AL310" i="4" s="1"/>
  <c r="AG310" i="4"/>
  <c r="AH310" i="4" s="1"/>
  <c r="AI310" i="4" s="1"/>
  <c r="AE310" i="4"/>
  <c r="AD310" i="4"/>
  <c r="AA310" i="4"/>
  <c r="AB310" i="4" s="1"/>
  <c r="W310" i="4"/>
  <c r="X310" i="4" s="1"/>
  <c r="T310" i="4"/>
  <c r="U310" i="4" s="1"/>
  <c r="BC309" i="4"/>
  <c r="BD309" i="4" s="1"/>
  <c r="BB309" i="4"/>
  <c r="AU309" i="4"/>
  <c r="AV309" i="4" s="1"/>
  <c r="AW309" i="4" s="1"/>
  <c r="AD309" i="4"/>
  <c r="AE309" i="4" s="1"/>
  <c r="AA309" i="4"/>
  <c r="AB309" i="4" s="1"/>
  <c r="W309" i="4"/>
  <c r="X309" i="4" s="1"/>
  <c r="T309" i="4"/>
  <c r="U309" i="4" s="1"/>
  <c r="BB308" i="4"/>
  <c r="BC308" i="4" s="1"/>
  <c r="BD308" i="4" s="1"/>
  <c r="AV308" i="4"/>
  <c r="AW308" i="4" s="1"/>
  <c r="AU308" i="4"/>
  <c r="AK308" i="4"/>
  <c r="AL308" i="4" s="1"/>
  <c r="AI308" i="4"/>
  <c r="AH308" i="4"/>
  <c r="AG308" i="4"/>
  <c r="AD308" i="4"/>
  <c r="AE308" i="4" s="1"/>
  <c r="AA308" i="4"/>
  <c r="AB308" i="4" s="1"/>
  <c r="X308" i="4"/>
  <c r="W308" i="4"/>
  <c r="T308" i="4"/>
  <c r="U308" i="4" s="1"/>
  <c r="BB307" i="4"/>
  <c r="BC307" i="4" s="1"/>
  <c r="BD307" i="4" s="1"/>
  <c r="AU307" i="4"/>
  <c r="AV307" i="4" s="1"/>
  <c r="AW307" i="4" s="1"/>
  <c r="AE307" i="4"/>
  <c r="AD307" i="4"/>
  <c r="AA307" i="4"/>
  <c r="AB307" i="4" s="1"/>
  <c r="W307" i="4"/>
  <c r="X307" i="4" s="1"/>
  <c r="T307" i="4"/>
  <c r="U307" i="4" s="1"/>
  <c r="BB306" i="4"/>
  <c r="BC306" i="4" s="1"/>
  <c r="BD306" i="4" s="1"/>
  <c r="AV306" i="4"/>
  <c r="AW306" i="4" s="1"/>
  <c r="AU306" i="4"/>
  <c r="AD306" i="4"/>
  <c r="AE306" i="4" s="1"/>
  <c r="AA306" i="4"/>
  <c r="AB306" i="4" s="1"/>
  <c r="W306" i="4"/>
  <c r="X306" i="4" s="1"/>
  <c r="T306" i="4"/>
  <c r="U306" i="4" s="1"/>
  <c r="BD305" i="4"/>
  <c r="BB305" i="4"/>
  <c r="BC305" i="4" s="1"/>
  <c r="AU305" i="4"/>
  <c r="AV305" i="4" s="1"/>
  <c r="AW305" i="4" s="1"/>
  <c r="AE305" i="4"/>
  <c r="AD305" i="4"/>
  <c r="AA305" i="4"/>
  <c r="AB305" i="4" s="1"/>
  <c r="W305" i="4"/>
  <c r="X305" i="4" s="1"/>
  <c r="T305" i="4"/>
  <c r="U305" i="4" s="1"/>
  <c r="BB304" i="4"/>
  <c r="BC304" i="4" s="1"/>
  <c r="BD304" i="4" s="1"/>
  <c r="AW304" i="4"/>
  <c r="AU304" i="4"/>
  <c r="AV304" i="4" s="1"/>
  <c r="AD304" i="4"/>
  <c r="AE304" i="4" s="1"/>
  <c r="AA304" i="4"/>
  <c r="AB304" i="4" s="1"/>
  <c r="W304" i="4"/>
  <c r="X304" i="4" s="1"/>
  <c r="T304" i="4"/>
  <c r="U304" i="4" s="1"/>
  <c r="BB303" i="4"/>
  <c r="BC303" i="4" s="1"/>
  <c r="BD303" i="4" s="1"/>
  <c r="AV303" i="4"/>
  <c r="AW303" i="4" s="1"/>
  <c r="AU303" i="4"/>
  <c r="AD303" i="4"/>
  <c r="AE303" i="4" s="1"/>
  <c r="AA303" i="4"/>
  <c r="AB303" i="4" s="1"/>
  <c r="X303" i="4"/>
  <c r="W303" i="4"/>
  <c r="T303" i="4"/>
  <c r="U303" i="4" s="1"/>
  <c r="BD302" i="4"/>
  <c r="BB302" i="4"/>
  <c r="BC302" i="4" s="1"/>
  <c r="AU302" i="4"/>
  <c r="AV302" i="4" s="1"/>
  <c r="AW302" i="4" s="1"/>
  <c r="AD302" i="4"/>
  <c r="AE302" i="4" s="1"/>
  <c r="AB302" i="4"/>
  <c r="AA302" i="4"/>
  <c r="W302" i="4"/>
  <c r="X302" i="4" s="1"/>
  <c r="T302" i="4"/>
  <c r="U302" i="4" s="1"/>
  <c r="BC301" i="4"/>
  <c r="BD301" i="4" s="1"/>
  <c r="BB301" i="4"/>
  <c r="AU301" i="4"/>
  <c r="AV301" i="4" s="1"/>
  <c r="AW301" i="4" s="1"/>
  <c r="AE301" i="4"/>
  <c r="AD301" i="4"/>
  <c r="AA301" i="4"/>
  <c r="AB301" i="4" s="1"/>
  <c r="X301" i="4"/>
  <c r="W301" i="4"/>
  <c r="T301" i="4"/>
  <c r="U301" i="4" s="1"/>
  <c r="BB300" i="4"/>
  <c r="BC300" i="4" s="1"/>
  <c r="BD300" i="4" s="1"/>
  <c r="AU300" i="4"/>
  <c r="AV300" i="4" s="1"/>
  <c r="AW300" i="4" s="1"/>
  <c r="AD300" i="4"/>
  <c r="AE300" i="4" s="1"/>
  <c r="AA300" i="4"/>
  <c r="AB300" i="4" s="1"/>
  <c r="X300" i="4"/>
  <c r="W300" i="4"/>
  <c r="T300" i="4"/>
  <c r="U300" i="4" s="1"/>
  <c r="BB299" i="4"/>
  <c r="BC299" i="4" s="1"/>
  <c r="BD299" i="4" s="1"/>
  <c r="AW299" i="4"/>
  <c r="AV299" i="4"/>
  <c r="AU299" i="4"/>
  <c r="AE299" i="4"/>
  <c r="AD299" i="4"/>
  <c r="AA299" i="4"/>
  <c r="AB299" i="4" s="1"/>
  <c r="W299" i="4"/>
  <c r="X299" i="4" s="1"/>
  <c r="U299" i="4"/>
  <c r="T299" i="4"/>
  <c r="BB298" i="4"/>
  <c r="BC298" i="4" s="1"/>
  <c r="BD298" i="4" s="1"/>
  <c r="AU298" i="4"/>
  <c r="AV298" i="4" s="1"/>
  <c r="AW298" i="4" s="1"/>
  <c r="AK298" i="4"/>
  <c r="AL298" i="4" s="1"/>
  <c r="AG298" i="4"/>
  <c r="AH298" i="4" s="1"/>
  <c r="AI298" i="4" s="1"/>
  <c r="AD298" i="4"/>
  <c r="AE298" i="4" s="1"/>
  <c r="AA298" i="4"/>
  <c r="AB298" i="4" s="1"/>
  <c r="X298" i="4"/>
  <c r="W298" i="4"/>
  <c r="T298" i="4"/>
  <c r="U298" i="4" s="1"/>
  <c r="BB297" i="4"/>
  <c r="BC297" i="4" s="1"/>
  <c r="BD297" i="4" s="1"/>
  <c r="AW297" i="4"/>
  <c r="AU297" i="4"/>
  <c r="AV297" i="4" s="1"/>
  <c r="AK297" i="4"/>
  <c r="AL297" i="4" s="1"/>
  <c r="AG297" i="4"/>
  <c r="AH297" i="4" s="1"/>
  <c r="AI297" i="4" s="1"/>
  <c r="AD297" i="4"/>
  <c r="AE297" i="4" s="1"/>
  <c r="AB297" i="4"/>
  <c r="AA297" i="4"/>
  <c r="W297" i="4"/>
  <c r="X297" i="4" s="1"/>
  <c r="T297" i="4"/>
  <c r="U297" i="4" s="1"/>
  <c r="BB296" i="4"/>
  <c r="BC296" i="4" s="1"/>
  <c r="BD296" i="4" s="1"/>
  <c r="AU296" i="4"/>
  <c r="AV296" i="4" s="1"/>
  <c r="AW296" i="4" s="1"/>
  <c r="AD296" i="4"/>
  <c r="AE296" i="4" s="1"/>
  <c r="AA296" i="4"/>
  <c r="AB296" i="4" s="1"/>
  <c r="W296" i="4"/>
  <c r="X296" i="4" s="1"/>
  <c r="U296" i="4"/>
  <c r="T296" i="4"/>
  <c r="BB295" i="4"/>
  <c r="BC295" i="4" s="1"/>
  <c r="BD295" i="4" s="1"/>
  <c r="AU295" i="4"/>
  <c r="AV295" i="4" s="1"/>
  <c r="AW295" i="4" s="1"/>
  <c r="AD295" i="4"/>
  <c r="AE295" i="4" s="1"/>
  <c r="AA295" i="4"/>
  <c r="AB295" i="4" s="1"/>
  <c r="X295" i="4"/>
  <c r="W295" i="4"/>
  <c r="T295" i="4"/>
  <c r="U295" i="4" s="1"/>
  <c r="BC294" i="4"/>
  <c r="BD294" i="4" s="1"/>
  <c r="BB294" i="4"/>
  <c r="AW294" i="4"/>
  <c r="AU294" i="4"/>
  <c r="AV294" i="4" s="1"/>
  <c r="AE294" i="4"/>
  <c r="AD294" i="4"/>
  <c r="AA294" i="4"/>
  <c r="AB294" i="4" s="1"/>
  <c r="W294" i="4"/>
  <c r="X294" i="4" s="1"/>
  <c r="T294" i="4"/>
  <c r="U294" i="4" s="1"/>
  <c r="BB293" i="4"/>
  <c r="BC293" i="4" s="1"/>
  <c r="BD293" i="4" s="1"/>
  <c r="AV293" i="4"/>
  <c r="AW293" i="4" s="1"/>
  <c r="AU293" i="4"/>
  <c r="AD293" i="4"/>
  <c r="AE293" i="4" s="1"/>
  <c r="AA293" i="4"/>
  <c r="AB293" i="4" s="1"/>
  <c r="X293" i="4"/>
  <c r="W293" i="4"/>
  <c r="U293" i="4"/>
  <c r="T293" i="4"/>
  <c r="BB292" i="4"/>
  <c r="BC292" i="4" s="1"/>
  <c r="BD292" i="4" s="1"/>
  <c r="AU292" i="4"/>
  <c r="AV292" i="4" s="1"/>
  <c r="AW292" i="4" s="1"/>
  <c r="AD292" i="4"/>
  <c r="AE292" i="4" s="1"/>
  <c r="AB292" i="4"/>
  <c r="AA292" i="4"/>
  <c r="W292" i="4"/>
  <c r="X292" i="4" s="1"/>
  <c r="T292" i="4"/>
  <c r="U292" i="4" s="1"/>
  <c r="BC291" i="4"/>
  <c r="BD291" i="4" s="1"/>
  <c r="BB291" i="4"/>
  <c r="AV291" i="4"/>
  <c r="AW291" i="4" s="1"/>
  <c r="AU291" i="4"/>
  <c r="AE291" i="4"/>
  <c r="AD291" i="4"/>
  <c r="AA291" i="4"/>
  <c r="AB291" i="4" s="1"/>
  <c r="W291" i="4"/>
  <c r="X291" i="4" s="1"/>
  <c r="U291" i="4"/>
  <c r="T291" i="4"/>
  <c r="BB290" i="4"/>
  <c r="BC290" i="4" s="1"/>
  <c r="BD290" i="4" s="1"/>
  <c r="AU290" i="4"/>
  <c r="AV290" i="4" s="1"/>
  <c r="AW290" i="4" s="1"/>
  <c r="AK290" i="4"/>
  <c r="AL290" i="4" s="1"/>
  <c r="AH290" i="4"/>
  <c r="AI290" i="4" s="1"/>
  <c r="AG290" i="4"/>
  <c r="AD290" i="4"/>
  <c r="AE290" i="4" s="1"/>
  <c r="AB290" i="4"/>
  <c r="AA290" i="4"/>
  <c r="X290" i="4"/>
  <c r="W290" i="4"/>
  <c r="T290" i="4"/>
  <c r="U290" i="4" s="1"/>
  <c r="BB289" i="4"/>
  <c r="BC289" i="4" s="1"/>
  <c r="BD289" i="4" s="1"/>
  <c r="AU289" i="4"/>
  <c r="AV289" i="4" s="1"/>
  <c r="AW289" i="4" s="1"/>
  <c r="AE289" i="4"/>
  <c r="AD289" i="4"/>
  <c r="AA289" i="4"/>
  <c r="AB289" i="4" s="1"/>
  <c r="W289" i="4"/>
  <c r="X289" i="4" s="1"/>
  <c r="T289" i="4"/>
  <c r="U289" i="4" s="1"/>
  <c r="BB288" i="4"/>
  <c r="BC288" i="4" s="1"/>
  <c r="BD288" i="4" s="1"/>
  <c r="AV288" i="4"/>
  <c r="AW288" i="4" s="1"/>
  <c r="AU288" i="4"/>
  <c r="AD288" i="4"/>
  <c r="AE288" i="4" s="1"/>
  <c r="AA288" i="4"/>
  <c r="AB288" i="4" s="1"/>
  <c r="X288" i="4"/>
  <c r="W288" i="4"/>
  <c r="U288" i="4"/>
  <c r="T288" i="4"/>
  <c r="BD287" i="4"/>
  <c r="BB287" i="4"/>
  <c r="BC287" i="4" s="1"/>
  <c r="AU287" i="4"/>
  <c r="AV287" i="4" s="1"/>
  <c r="AW287" i="4" s="1"/>
  <c r="AD287" i="4"/>
  <c r="AE287" i="4" s="1"/>
  <c r="AB287" i="4"/>
  <c r="AA287" i="4"/>
  <c r="W287" i="4"/>
  <c r="X287" i="4" s="1"/>
  <c r="T287" i="4"/>
  <c r="U287" i="4" s="1"/>
  <c r="BC286" i="4"/>
  <c r="BD286" i="4" s="1"/>
  <c r="BB286" i="4"/>
  <c r="AV286" i="4"/>
  <c r="AW286" i="4" s="1"/>
  <c r="AU286" i="4"/>
  <c r="AE286" i="4"/>
  <c r="AD286" i="4"/>
  <c r="AA286" i="4"/>
  <c r="AB286" i="4" s="1"/>
  <c r="W286" i="4"/>
  <c r="X286" i="4" s="1"/>
  <c r="U286" i="4"/>
  <c r="T286" i="4"/>
  <c r="BB285" i="4"/>
  <c r="BC285" i="4" s="1"/>
  <c r="BD285" i="4" s="1"/>
  <c r="AU285" i="4"/>
  <c r="AV285" i="4" s="1"/>
  <c r="AW285" i="4" s="1"/>
  <c r="AD285" i="4"/>
  <c r="AE285" i="4" s="1"/>
  <c r="AA285" i="4"/>
  <c r="AB285" i="4" s="1"/>
  <c r="X285" i="4"/>
  <c r="W285" i="4"/>
  <c r="T285" i="4"/>
  <c r="U285" i="4" s="1"/>
  <c r="BB284" i="4"/>
  <c r="BC284" i="4" s="1"/>
  <c r="BD284" i="4" s="1"/>
  <c r="AU284" i="4"/>
  <c r="AV284" i="4" s="1"/>
  <c r="AW284" i="4" s="1"/>
  <c r="AE284" i="4"/>
  <c r="AD284" i="4"/>
  <c r="AB284" i="4"/>
  <c r="AA284" i="4"/>
  <c r="W284" i="4"/>
  <c r="X284" i="4" s="1"/>
  <c r="T284" i="4"/>
  <c r="U284" i="4" s="1"/>
  <c r="BB283" i="4"/>
  <c r="BC283" i="4" s="1"/>
  <c r="BD283" i="4" s="1"/>
  <c r="AW283" i="4"/>
  <c r="AV283" i="4"/>
  <c r="AU283" i="4"/>
  <c r="AD283" i="4"/>
  <c r="AE283" i="4" s="1"/>
  <c r="AA283" i="4"/>
  <c r="AB283" i="4" s="1"/>
  <c r="W283" i="4"/>
  <c r="X283" i="4" s="1"/>
  <c r="T283" i="4"/>
  <c r="U283" i="4" s="1"/>
  <c r="BB282" i="4"/>
  <c r="BC282" i="4" s="1"/>
  <c r="BD282" i="4" s="1"/>
  <c r="AU282" i="4"/>
  <c r="AV282" i="4" s="1"/>
  <c r="AW282" i="4" s="1"/>
  <c r="AD282" i="4"/>
  <c r="AE282" i="4" s="1"/>
  <c r="AA282" i="4"/>
  <c r="AB282" i="4" s="1"/>
  <c r="W282" i="4"/>
  <c r="X282" i="4" s="1"/>
  <c r="T282" i="4"/>
  <c r="U282" i="4" s="1"/>
  <c r="BC281" i="4"/>
  <c r="BD281" i="4" s="1"/>
  <c r="BB281" i="4"/>
  <c r="AW281" i="4"/>
  <c r="AU281" i="4"/>
  <c r="AV281" i="4" s="1"/>
  <c r="AE281" i="4"/>
  <c r="AD281" i="4"/>
  <c r="AA281" i="4"/>
  <c r="AB281" i="4" s="1"/>
  <c r="W281" i="4"/>
  <c r="X281" i="4" s="1"/>
  <c r="T281" i="4"/>
  <c r="U281" i="4" s="1"/>
  <c r="BB280" i="4"/>
  <c r="BC280" i="4" s="1"/>
  <c r="BD280" i="4" s="1"/>
  <c r="AV280" i="4"/>
  <c r="AW280" i="4" s="1"/>
  <c r="AU280" i="4"/>
  <c r="AE280" i="4"/>
  <c r="AD280" i="4"/>
  <c r="AA280" i="4"/>
  <c r="AB280" i="4" s="1"/>
  <c r="W280" i="4"/>
  <c r="X280" i="4" s="1"/>
  <c r="U280" i="4"/>
  <c r="T280" i="4"/>
  <c r="BB279" i="4"/>
  <c r="BC279" i="4" s="1"/>
  <c r="BD279" i="4" s="1"/>
  <c r="AU279" i="4"/>
  <c r="AV279" i="4" s="1"/>
  <c r="AW279" i="4" s="1"/>
  <c r="AD279" i="4"/>
  <c r="AE279" i="4" s="1"/>
  <c r="AB279" i="4"/>
  <c r="AA279" i="4"/>
  <c r="W279" i="4"/>
  <c r="X279" i="4" s="1"/>
  <c r="T279" i="4"/>
  <c r="U279" i="4" s="1"/>
  <c r="BB278" i="4"/>
  <c r="BC278" i="4" s="1"/>
  <c r="BD278" i="4" s="1"/>
  <c r="AU278" i="4"/>
  <c r="AV278" i="4" s="1"/>
  <c r="AW278" i="4" s="1"/>
  <c r="AE278" i="4"/>
  <c r="AD278" i="4"/>
  <c r="AB278" i="4"/>
  <c r="AA278" i="4"/>
  <c r="W278" i="4"/>
  <c r="X278" i="4" s="1"/>
  <c r="U278" i="4"/>
  <c r="T278" i="4"/>
  <c r="BB277" i="4"/>
  <c r="BC277" i="4" s="1"/>
  <c r="BD277" i="4" s="1"/>
  <c r="AU277" i="4"/>
  <c r="AV277" i="4" s="1"/>
  <c r="AW277" i="4" s="1"/>
  <c r="AD277" i="4"/>
  <c r="AE277" i="4" s="1"/>
  <c r="AA277" i="4"/>
  <c r="AB277" i="4" s="1"/>
  <c r="X277" i="4"/>
  <c r="W277" i="4"/>
  <c r="T277" i="4"/>
  <c r="U277" i="4" s="1"/>
  <c r="BB276" i="4"/>
  <c r="BC276" i="4" s="1"/>
  <c r="BD276" i="4" s="1"/>
  <c r="AW276" i="4"/>
  <c r="AU276" i="4"/>
  <c r="AV276" i="4" s="1"/>
  <c r="AE276" i="4"/>
  <c r="AD276" i="4"/>
  <c r="AB276" i="4"/>
  <c r="AA276" i="4"/>
  <c r="W276" i="4"/>
  <c r="X276" i="4" s="1"/>
  <c r="T276" i="4"/>
  <c r="U276" i="4" s="1"/>
  <c r="BC275" i="4"/>
  <c r="BD275" i="4" s="1"/>
  <c r="BB275" i="4"/>
  <c r="AV275" i="4"/>
  <c r="AW275" i="4" s="1"/>
  <c r="AU275" i="4"/>
  <c r="AD275" i="4"/>
  <c r="AE275" i="4" s="1"/>
  <c r="AA275" i="4"/>
  <c r="AB275" i="4" s="1"/>
  <c r="W275" i="4"/>
  <c r="X275" i="4" s="1"/>
  <c r="T275" i="4"/>
  <c r="U275" i="4" s="1"/>
  <c r="BB274" i="4"/>
  <c r="BC274" i="4" s="1"/>
  <c r="BD274" i="4" s="1"/>
  <c r="AU274" i="4"/>
  <c r="AV274" i="4" s="1"/>
  <c r="AW274" i="4" s="1"/>
  <c r="AD274" i="4"/>
  <c r="AE274" i="4" s="1"/>
  <c r="AB274" i="4"/>
  <c r="AA274" i="4"/>
  <c r="X274" i="4"/>
  <c r="W274" i="4"/>
  <c r="U274" i="4"/>
  <c r="T274" i="4"/>
  <c r="BC273" i="4"/>
  <c r="BD273" i="4" s="1"/>
  <c r="BB273" i="4"/>
  <c r="AU273" i="4"/>
  <c r="AV273" i="4" s="1"/>
  <c r="AW273" i="4" s="1"/>
  <c r="AD273" i="4"/>
  <c r="AE273" i="4" s="1"/>
  <c r="AA273" i="4"/>
  <c r="AB273" i="4" s="1"/>
  <c r="W273" i="4"/>
  <c r="X273" i="4" s="1"/>
  <c r="T273" i="4"/>
  <c r="U273" i="4" s="1"/>
  <c r="BB272" i="4"/>
  <c r="BC272" i="4" s="1"/>
  <c r="BD272" i="4" s="1"/>
  <c r="AV272" i="4"/>
  <c r="AW272" i="4" s="1"/>
  <c r="AU272" i="4"/>
  <c r="AD272" i="4"/>
  <c r="AE272" i="4" s="1"/>
  <c r="AA272" i="4"/>
  <c r="AB272" i="4" s="1"/>
  <c r="W272" i="4"/>
  <c r="X272" i="4" s="1"/>
  <c r="T272" i="4"/>
  <c r="U272" i="4" s="1"/>
  <c r="BB271" i="4"/>
  <c r="BC271" i="4" s="1"/>
  <c r="BD271" i="4" s="1"/>
  <c r="AU271" i="4"/>
  <c r="AV271" i="4" s="1"/>
  <c r="AW271" i="4" s="1"/>
  <c r="AD271" i="4"/>
  <c r="AE271" i="4" s="1"/>
  <c r="AB271" i="4"/>
  <c r="AA271" i="4"/>
  <c r="W271" i="4"/>
  <c r="X271" i="4" s="1"/>
  <c r="BE271" i="4" s="1"/>
  <c r="T271" i="4"/>
  <c r="U271" i="4" s="1"/>
  <c r="BD270" i="4"/>
  <c r="BC270" i="4"/>
  <c r="BB270" i="4"/>
  <c r="AU270" i="4"/>
  <c r="AV270" i="4" s="1"/>
  <c r="AW270" i="4" s="1"/>
  <c r="AD270" i="4"/>
  <c r="AE270" i="4" s="1"/>
  <c r="AA270" i="4"/>
  <c r="AB270" i="4" s="1"/>
  <c r="W270" i="4"/>
  <c r="X270" i="4" s="1"/>
  <c r="U270" i="4"/>
  <c r="T270" i="4"/>
  <c r="BB269" i="4"/>
  <c r="BC269" i="4" s="1"/>
  <c r="BD269" i="4" s="1"/>
  <c r="AU269" i="4"/>
  <c r="AV269" i="4" s="1"/>
  <c r="AW269" i="4" s="1"/>
  <c r="AD269" i="4"/>
  <c r="AE269" i="4" s="1"/>
  <c r="AA269" i="4"/>
  <c r="AB269" i="4" s="1"/>
  <c r="W269" i="4"/>
  <c r="X269" i="4" s="1"/>
  <c r="T269" i="4"/>
  <c r="U269" i="4" s="1"/>
  <c r="BB268" i="4"/>
  <c r="BC268" i="4" s="1"/>
  <c r="BD268" i="4" s="1"/>
  <c r="AU268" i="4"/>
  <c r="AV268" i="4" s="1"/>
  <c r="AW268" i="4" s="1"/>
  <c r="AE268" i="4"/>
  <c r="AD268" i="4"/>
  <c r="AB268" i="4"/>
  <c r="AA268" i="4"/>
  <c r="W268" i="4"/>
  <c r="X268" i="4" s="1"/>
  <c r="T268" i="4"/>
  <c r="U268" i="4" s="1"/>
  <c r="BC267" i="4"/>
  <c r="BD267" i="4" s="1"/>
  <c r="BB267" i="4"/>
  <c r="AW267" i="4"/>
  <c r="AU267" i="4"/>
  <c r="AV267" i="4" s="1"/>
  <c r="AD267" i="4"/>
  <c r="AE267" i="4" s="1"/>
  <c r="AA267" i="4"/>
  <c r="AB267" i="4" s="1"/>
  <c r="W267" i="4"/>
  <c r="X267" i="4" s="1"/>
  <c r="U267" i="4"/>
  <c r="T267" i="4"/>
  <c r="BD266" i="4"/>
  <c r="BB266" i="4"/>
  <c r="BC266" i="4" s="1"/>
  <c r="AU266" i="4"/>
  <c r="AV266" i="4" s="1"/>
  <c r="AW266" i="4" s="1"/>
  <c r="AD266" i="4"/>
  <c r="AE266" i="4" s="1"/>
  <c r="AB266" i="4"/>
  <c r="AA266" i="4"/>
  <c r="X266" i="4"/>
  <c r="W266" i="4"/>
  <c r="T266" i="4"/>
  <c r="U266" i="4" s="1"/>
  <c r="BB265" i="4"/>
  <c r="BC265" i="4" s="1"/>
  <c r="BD265" i="4" s="1"/>
  <c r="AU265" i="4"/>
  <c r="AV265" i="4" s="1"/>
  <c r="AW265" i="4" s="1"/>
  <c r="AE265" i="4"/>
  <c r="AD265" i="4"/>
  <c r="AA265" i="4"/>
  <c r="AB265" i="4" s="1"/>
  <c r="W265" i="4"/>
  <c r="X265" i="4" s="1"/>
  <c r="T265" i="4"/>
  <c r="U265" i="4" s="1"/>
  <c r="BB264" i="4"/>
  <c r="BC264" i="4" s="1"/>
  <c r="BD264" i="4" s="1"/>
  <c r="AU264" i="4"/>
  <c r="AV264" i="4" s="1"/>
  <c r="AW264" i="4" s="1"/>
  <c r="AD264" i="4"/>
  <c r="AE264" i="4" s="1"/>
  <c r="AA264" i="4"/>
  <c r="AB264" i="4" s="1"/>
  <c r="W264" i="4"/>
  <c r="X264" i="4" s="1"/>
  <c r="T264" i="4"/>
  <c r="U264" i="4" s="1"/>
  <c r="BB263" i="4"/>
  <c r="BC263" i="4" s="1"/>
  <c r="BD263" i="4" s="1"/>
  <c r="AU263" i="4"/>
  <c r="AV263" i="4" s="1"/>
  <c r="AW263" i="4" s="1"/>
  <c r="AD263" i="4"/>
  <c r="AE263" i="4" s="1"/>
  <c r="AB263" i="4"/>
  <c r="AA263" i="4"/>
  <c r="W263" i="4"/>
  <c r="X263" i="4" s="1"/>
  <c r="T263" i="4"/>
  <c r="U263" i="4" s="1"/>
  <c r="BC262" i="4"/>
  <c r="BD262" i="4" s="1"/>
  <c r="BB262" i="4"/>
  <c r="AV262" i="4"/>
  <c r="AW262" i="4" s="1"/>
  <c r="AU262" i="4"/>
  <c r="AE262" i="4"/>
  <c r="AD262" i="4"/>
  <c r="AA262" i="4"/>
  <c r="AB262" i="4" s="1"/>
  <c r="W262" i="4"/>
  <c r="X262" i="4" s="1"/>
  <c r="U262" i="4"/>
  <c r="T262" i="4"/>
  <c r="BB261" i="4"/>
  <c r="BC261" i="4" s="1"/>
  <c r="BD261" i="4" s="1"/>
  <c r="AU261" i="4"/>
  <c r="AV261" i="4" s="1"/>
  <c r="AW261" i="4" s="1"/>
  <c r="AD261" i="4"/>
  <c r="AE261" i="4" s="1"/>
  <c r="AA261" i="4"/>
  <c r="AB261" i="4" s="1"/>
  <c r="X261" i="4"/>
  <c r="W261" i="4"/>
  <c r="U261" i="4"/>
  <c r="T261" i="4"/>
  <c r="BD260" i="4"/>
  <c r="BB260" i="4"/>
  <c r="BC260" i="4" s="1"/>
  <c r="AU260" i="4"/>
  <c r="AV260" i="4" s="1"/>
  <c r="AW260" i="4" s="1"/>
  <c r="AD260" i="4"/>
  <c r="AE260" i="4" s="1"/>
  <c r="AA260" i="4"/>
  <c r="AB260" i="4" s="1"/>
  <c r="W260" i="4"/>
  <c r="X260" i="4" s="1"/>
  <c r="T260" i="4"/>
  <c r="U260" i="4" s="1"/>
  <c r="BC259" i="4"/>
  <c r="BD259" i="4" s="1"/>
  <c r="BB259" i="4"/>
  <c r="AW259" i="4"/>
  <c r="AU259" i="4"/>
  <c r="AV259" i="4" s="1"/>
  <c r="AD259" i="4"/>
  <c r="AE259" i="4" s="1"/>
  <c r="AA259" i="4"/>
  <c r="AB259" i="4" s="1"/>
  <c r="W259" i="4"/>
  <c r="X259" i="4" s="1"/>
  <c r="U259" i="4"/>
  <c r="T259" i="4"/>
  <c r="BD258" i="4"/>
  <c r="BB258" i="4"/>
  <c r="BC258" i="4" s="1"/>
  <c r="AU258" i="4"/>
  <c r="AV258" i="4" s="1"/>
  <c r="AW258" i="4" s="1"/>
  <c r="AD258" i="4"/>
  <c r="AE258" i="4" s="1"/>
  <c r="AB258" i="4"/>
  <c r="AA258" i="4"/>
  <c r="X258" i="4"/>
  <c r="W258" i="4"/>
  <c r="T258" i="4"/>
  <c r="U258" i="4" s="1"/>
  <c r="BB257" i="4"/>
  <c r="BC257" i="4" s="1"/>
  <c r="BD257" i="4" s="1"/>
  <c r="AU257" i="4"/>
  <c r="AV257" i="4" s="1"/>
  <c r="AW257" i="4" s="1"/>
  <c r="AE257" i="4"/>
  <c r="AD257" i="4"/>
  <c r="AA257" i="4"/>
  <c r="AB257" i="4" s="1"/>
  <c r="W257" i="4"/>
  <c r="X257" i="4" s="1"/>
  <c r="T257" i="4"/>
  <c r="U257" i="4" s="1"/>
  <c r="BC256" i="4"/>
  <c r="BD256" i="4" s="1"/>
  <c r="BB256" i="4"/>
  <c r="AU256" i="4"/>
  <c r="AV256" i="4" s="1"/>
  <c r="AW256" i="4" s="1"/>
  <c r="AE256" i="4"/>
  <c r="AD256" i="4"/>
  <c r="AA256" i="4"/>
  <c r="AB256" i="4" s="1"/>
  <c r="X256" i="4"/>
  <c r="W256" i="4"/>
  <c r="T256" i="4"/>
  <c r="U256" i="4" s="1"/>
  <c r="BB255" i="4"/>
  <c r="BC255" i="4" s="1"/>
  <c r="BD255" i="4" s="1"/>
  <c r="AW255" i="4"/>
  <c r="AU255" i="4"/>
  <c r="AV255" i="4" s="1"/>
  <c r="AD255" i="4"/>
  <c r="AE255" i="4" s="1"/>
  <c r="AA255" i="4"/>
  <c r="AB255" i="4" s="1"/>
  <c r="W255" i="4"/>
  <c r="X255" i="4" s="1"/>
  <c r="T255" i="4"/>
  <c r="U255" i="4" s="1"/>
  <c r="BB254" i="4"/>
  <c r="BC254" i="4" s="1"/>
  <c r="BD254" i="4" s="1"/>
  <c r="AU254" i="4"/>
  <c r="AV254" i="4" s="1"/>
  <c r="AW254" i="4" s="1"/>
  <c r="AE254" i="4"/>
  <c r="AD254" i="4"/>
  <c r="AB254" i="4"/>
  <c r="AA254" i="4"/>
  <c r="W254" i="4"/>
  <c r="X254" i="4" s="1"/>
  <c r="U254" i="4"/>
  <c r="T254" i="4"/>
  <c r="BB253" i="4"/>
  <c r="BC253" i="4" s="1"/>
  <c r="BD253" i="4" s="1"/>
  <c r="AU253" i="4"/>
  <c r="AV253" i="4" s="1"/>
  <c r="AW253" i="4" s="1"/>
  <c r="AD253" i="4"/>
  <c r="AE253" i="4" s="1"/>
  <c r="AB253" i="4"/>
  <c r="AA253" i="4"/>
  <c r="W253" i="4"/>
  <c r="X253" i="4" s="1"/>
  <c r="T253" i="4"/>
  <c r="U253" i="4" s="1"/>
  <c r="BB252" i="4"/>
  <c r="BC252" i="4" s="1"/>
  <c r="BD252" i="4" s="1"/>
  <c r="AU252" i="4"/>
  <c r="AV252" i="4" s="1"/>
  <c r="AW252" i="4" s="1"/>
  <c r="AL252" i="4"/>
  <c r="AK252" i="4"/>
  <c r="AG252" i="4"/>
  <c r="AH252" i="4" s="1"/>
  <c r="AI252" i="4" s="1"/>
  <c r="AE252" i="4"/>
  <c r="AD252" i="4"/>
  <c r="AA252" i="4"/>
  <c r="AB252" i="4" s="1"/>
  <c r="W252" i="4"/>
  <c r="X252" i="4" s="1"/>
  <c r="T252" i="4"/>
  <c r="U252" i="4" s="1"/>
  <c r="BB251" i="4"/>
  <c r="BC251" i="4" s="1"/>
  <c r="BD251" i="4" s="1"/>
  <c r="AV251" i="4"/>
  <c r="AW251" i="4" s="1"/>
  <c r="AU251" i="4"/>
  <c r="AE251" i="4"/>
  <c r="AD251" i="4"/>
  <c r="AA251" i="4"/>
  <c r="AB251" i="4" s="1"/>
  <c r="X251" i="4"/>
  <c r="W251" i="4"/>
  <c r="T251" i="4"/>
  <c r="U251" i="4" s="1"/>
  <c r="BD250" i="4"/>
  <c r="BB250" i="4"/>
  <c r="BC250" i="4" s="1"/>
  <c r="AU250" i="4"/>
  <c r="AV250" i="4" s="1"/>
  <c r="AW250" i="4" s="1"/>
  <c r="AD250" i="4"/>
  <c r="AE250" i="4" s="1"/>
  <c r="AB250" i="4"/>
  <c r="AA250" i="4"/>
  <c r="W250" i="4"/>
  <c r="X250" i="4" s="1"/>
  <c r="T250" i="4"/>
  <c r="U250" i="4" s="1"/>
  <c r="BC249" i="4"/>
  <c r="BD249" i="4" s="1"/>
  <c r="BB249" i="4"/>
  <c r="AV249" i="4"/>
  <c r="AW249" i="4" s="1"/>
  <c r="AU249" i="4"/>
  <c r="AD249" i="4"/>
  <c r="AE249" i="4" s="1"/>
  <c r="AB249" i="4"/>
  <c r="AA249" i="4"/>
  <c r="W249" i="4"/>
  <c r="X249" i="4" s="1"/>
  <c r="T249" i="4"/>
  <c r="U249" i="4" s="1"/>
  <c r="BB248" i="4"/>
  <c r="BC248" i="4" s="1"/>
  <c r="BD248" i="4" s="1"/>
  <c r="AU248" i="4"/>
  <c r="AV248" i="4" s="1"/>
  <c r="AW248" i="4" s="1"/>
  <c r="AD248" i="4"/>
  <c r="AE248" i="4" s="1"/>
  <c r="AA248" i="4"/>
  <c r="AB248" i="4" s="1"/>
  <c r="X248" i="4"/>
  <c r="W248" i="4"/>
  <c r="T248" i="4"/>
  <c r="U248" i="4" s="1"/>
  <c r="BD247" i="4"/>
  <c r="BB247" i="4"/>
  <c r="BC247" i="4" s="1"/>
  <c r="AU247" i="4"/>
  <c r="AV247" i="4" s="1"/>
  <c r="AW247" i="4" s="1"/>
  <c r="AD247" i="4"/>
  <c r="AE247" i="4" s="1"/>
  <c r="AA247" i="4"/>
  <c r="AB247" i="4" s="1"/>
  <c r="W247" i="4"/>
  <c r="X247" i="4" s="1"/>
  <c r="T247" i="4"/>
  <c r="U247" i="4" s="1"/>
  <c r="BB246" i="4"/>
  <c r="BC246" i="4" s="1"/>
  <c r="BD246" i="4" s="1"/>
  <c r="AW246" i="4"/>
  <c r="AV246" i="4"/>
  <c r="AU246" i="4"/>
  <c r="AK246" i="4"/>
  <c r="AL246" i="4" s="1"/>
  <c r="AH246" i="4"/>
  <c r="AI246" i="4" s="1"/>
  <c r="AG246" i="4"/>
  <c r="AD246" i="4"/>
  <c r="AE246" i="4" s="1"/>
  <c r="AA246" i="4"/>
  <c r="AB246" i="4" s="1"/>
  <c r="W246" i="4"/>
  <c r="X246" i="4" s="1"/>
  <c r="T246" i="4"/>
  <c r="U246" i="4" s="1"/>
  <c r="BB245" i="4"/>
  <c r="BC245" i="4" s="1"/>
  <c r="BD245" i="4" s="1"/>
  <c r="AU245" i="4"/>
  <c r="AV245" i="4" s="1"/>
  <c r="AW245" i="4" s="1"/>
  <c r="AD245" i="4"/>
  <c r="AE245" i="4" s="1"/>
  <c r="AA245" i="4"/>
  <c r="AB245" i="4" s="1"/>
  <c r="W245" i="4"/>
  <c r="X245" i="4" s="1"/>
  <c r="T245" i="4"/>
  <c r="U245" i="4" s="1"/>
  <c r="BB244" i="4"/>
  <c r="BC244" i="4" s="1"/>
  <c r="BD244" i="4" s="1"/>
  <c r="AU244" i="4"/>
  <c r="AV244" i="4" s="1"/>
  <c r="AW244" i="4" s="1"/>
  <c r="AD244" i="4"/>
  <c r="AE244" i="4" s="1"/>
  <c r="AA244" i="4"/>
  <c r="AB244" i="4" s="1"/>
  <c r="X244" i="4"/>
  <c r="W244" i="4"/>
  <c r="T244" i="4"/>
  <c r="U244" i="4" s="1"/>
  <c r="BB243" i="4"/>
  <c r="BC243" i="4" s="1"/>
  <c r="BD243" i="4" s="1"/>
  <c r="AW243" i="4"/>
  <c r="AU243" i="4"/>
  <c r="AV243" i="4" s="1"/>
  <c r="AD243" i="4"/>
  <c r="AE243" i="4" s="1"/>
  <c r="AA243" i="4"/>
  <c r="AB243" i="4" s="1"/>
  <c r="W243" i="4"/>
  <c r="X243" i="4" s="1"/>
  <c r="T243" i="4"/>
  <c r="U243" i="4" s="1"/>
  <c r="BB242" i="4"/>
  <c r="BC242" i="4" s="1"/>
  <c r="BD242" i="4" s="1"/>
  <c r="AV242" i="4"/>
  <c r="AW242" i="4" s="1"/>
  <c r="AU242" i="4"/>
  <c r="AD242" i="4"/>
  <c r="AE242" i="4" s="1"/>
  <c r="AB242" i="4"/>
  <c r="AA242" i="4"/>
  <c r="W242" i="4"/>
  <c r="X242" i="4" s="1"/>
  <c r="U242" i="4"/>
  <c r="T242" i="4"/>
  <c r="BC241" i="4"/>
  <c r="BD241" i="4" s="1"/>
  <c r="BB241" i="4"/>
  <c r="AU241" i="4"/>
  <c r="AV241" i="4" s="1"/>
  <c r="AW241" i="4" s="1"/>
  <c r="AD241" i="4"/>
  <c r="AE241" i="4" s="1"/>
  <c r="AA241" i="4"/>
  <c r="AB241" i="4" s="1"/>
  <c r="W241" i="4"/>
  <c r="X241" i="4" s="1"/>
  <c r="T241" i="4"/>
  <c r="U241" i="4" s="1"/>
  <c r="BB240" i="4"/>
  <c r="BC240" i="4" s="1"/>
  <c r="BD240" i="4" s="1"/>
  <c r="AU240" i="4"/>
  <c r="AV240" i="4" s="1"/>
  <c r="AW240" i="4" s="1"/>
  <c r="AE240" i="4"/>
  <c r="AD240" i="4"/>
  <c r="AA240" i="4"/>
  <c r="AB240" i="4" s="1"/>
  <c r="X240" i="4"/>
  <c r="W240" i="4"/>
  <c r="T240" i="4"/>
  <c r="U240" i="4" s="1"/>
  <c r="BB239" i="4"/>
  <c r="BC239" i="4" s="1"/>
  <c r="BD239" i="4" s="1"/>
  <c r="AU239" i="4"/>
  <c r="AV239" i="4" s="1"/>
  <c r="AW239" i="4" s="1"/>
  <c r="AD239" i="4"/>
  <c r="AE239" i="4" s="1"/>
  <c r="AA239" i="4"/>
  <c r="AB239" i="4" s="1"/>
  <c r="W239" i="4"/>
  <c r="X239" i="4" s="1"/>
  <c r="T239" i="4"/>
  <c r="U239" i="4" s="1"/>
  <c r="BD238" i="4"/>
  <c r="BB238" i="4"/>
  <c r="BC238" i="4" s="1"/>
  <c r="AU238" i="4"/>
  <c r="AV238" i="4" s="1"/>
  <c r="AW238" i="4" s="1"/>
  <c r="AD238" i="4"/>
  <c r="AE238" i="4" s="1"/>
  <c r="AA238" i="4"/>
  <c r="AB238" i="4" s="1"/>
  <c r="W238" i="4"/>
  <c r="X238" i="4" s="1"/>
  <c r="U238" i="4"/>
  <c r="T238" i="4"/>
  <c r="BB237" i="4"/>
  <c r="BC237" i="4" s="1"/>
  <c r="BD237" i="4" s="1"/>
  <c r="AU237" i="4"/>
  <c r="AV237" i="4" s="1"/>
  <c r="AW237" i="4" s="1"/>
  <c r="AD237" i="4"/>
  <c r="AE237" i="4" s="1"/>
  <c r="AA237" i="4"/>
  <c r="AB237" i="4" s="1"/>
  <c r="W237" i="4"/>
  <c r="X237" i="4" s="1"/>
  <c r="T237" i="4"/>
  <c r="U237" i="4" s="1"/>
  <c r="BB236" i="4"/>
  <c r="BC236" i="4" s="1"/>
  <c r="BD236" i="4" s="1"/>
  <c r="AU236" i="4"/>
  <c r="AV236" i="4" s="1"/>
  <c r="AW236" i="4" s="1"/>
  <c r="AK236" i="4"/>
  <c r="AL236" i="4" s="1"/>
  <c r="AG236" i="4"/>
  <c r="AH236" i="4" s="1"/>
  <c r="AI236" i="4" s="1"/>
  <c r="AD236" i="4"/>
  <c r="AE236" i="4" s="1"/>
  <c r="AA236" i="4"/>
  <c r="AB236" i="4" s="1"/>
  <c r="W236" i="4"/>
  <c r="X236" i="4" s="1"/>
  <c r="T236" i="4"/>
  <c r="U236" i="4" s="1"/>
  <c r="BB235" i="4"/>
  <c r="BC235" i="4" s="1"/>
  <c r="BD235" i="4" s="1"/>
  <c r="AU235" i="4"/>
  <c r="AV235" i="4" s="1"/>
  <c r="AW235" i="4" s="1"/>
  <c r="AE235" i="4"/>
  <c r="AD235" i="4"/>
  <c r="AA235" i="4"/>
  <c r="AB235" i="4" s="1"/>
  <c r="W235" i="4"/>
  <c r="X235" i="4" s="1"/>
  <c r="T235" i="4"/>
  <c r="U235" i="4" s="1"/>
  <c r="BB234" i="4"/>
  <c r="BC234" i="4" s="1"/>
  <c r="BD234" i="4" s="1"/>
  <c r="AU234" i="4"/>
  <c r="AV234" i="4" s="1"/>
  <c r="AW234" i="4" s="1"/>
  <c r="AD234" i="4"/>
  <c r="AE234" i="4" s="1"/>
  <c r="AA234" i="4"/>
  <c r="AB234" i="4" s="1"/>
  <c r="W234" i="4"/>
  <c r="X234" i="4" s="1"/>
  <c r="T234" i="4"/>
  <c r="U234" i="4" s="1"/>
  <c r="BB233" i="4"/>
  <c r="BC233" i="4" s="1"/>
  <c r="BD233" i="4" s="1"/>
  <c r="AV233" i="4"/>
  <c r="AW233" i="4" s="1"/>
  <c r="AU233" i="4"/>
  <c r="AD233" i="4"/>
  <c r="AE233" i="4" s="1"/>
  <c r="AB233" i="4"/>
  <c r="AA233" i="4"/>
  <c r="W233" i="4"/>
  <c r="X233" i="4" s="1"/>
  <c r="T233" i="4"/>
  <c r="U233" i="4" s="1"/>
  <c r="BC232" i="4"/>
  <c r="BD232" i="4" s="1"/>
  <c r="BB232" i="4"/>
  <c r="AU232" i="4"/>
  <c r="AV232" i="4" s="1"/>
  <c r="AW232" i="4" s="1"/>
  <c r="AD232" i="4"/>
  <c r="AE232" i="4" s="1"/>
  <c r="AA232" i="4"/>
  <c r="AB232" i="4" s="1"/>
  <c r="W232" i="4"/>
  <c r="X232" i="4" s="1"/>
  <c r="T232" i="4"/>
  <c r="U232" i="4" s="1"/>
  <c r="BB231" i="4"/>
  <c r="BC231" i="4" s="1"/>
  <c r="BD231" i="4" s="1"/>
  <c r="AU231" i="4"/>
  <c r="AV231" i="4" s="1"/>
  <c r="AW231" i="4" s="1"/>
  <c r="AD231" i="4"/>
  <c r="AE231" i="4" s="1"/>
  <c r="AA231" i="4"/>
  <c r="AB231" i="4" s="1"/>
  <c r="X231" i="4"/>
  <c r="W231" i="4"/>
  <c r="T231" i="4"/>
  <c r="U231" i="4" s="1"/>
  <c r="BB230" i="4"/>
  <c r="BC230" i="4" s="1"/>
  <c r="BD230" i="4" s="1"/>
  <c r="AW230" i="4"/>
  <c r="AU230" i="4"/>
  <c r="AV230" i="4" s="1"/>
  <c r="AD230" i="4"/>
  <c r="AE230" i="4" s="1"/>
  <c r="AA230" i="4"/>
  <c r="AB230" i="4" s="1"/>
  <c r="W230" i="4"/>
  <c r="X230" i="4" s="1"/>
  <c r="T230" i="4"/>
  <c r="U230" i="4" s="1"/>
  <c r="BB229" i="4"/>
  <c r="BC229" i="4" s="1"/>
  <c r="BD229" i="4" s="1"/>
  <c r="AV229" i="4"/>
  <c r="AW229" i="4" s="1"/>
  <c r="AU229" i="4"/>
  <c r="AD229" i="4"/>
  <c r="AE229" i="4" s="1"/>
  <c r="AA229" i="4"/>
  <c r="AB229" i="4" s="1"/>
  <c r="W229" i="4"/>
  <c r="X229" i="4" s="1"/>
  <c r="T229" i="4"/>
  <c r="U229" i="4" s="1"/>
  <c r="BC228" i="4"/>
  <c r="BD228" i="4" s="1"/>
  <c r="BB228" i="4"/>
  <c r="AU228" i="4"/>
  <c r="AV228" i="4" s="1"/>
  <c r="AW228" i="4" s="1"/>
  <c r="AD228" i="4"/>
  <c r="AE228" i="4" s="1"/>
  <c r="AA228" i="4"/>
  <c r="AB228" i="4" s="1"/>
  <c r="W228" i="4"/>
  <c r="X228" i="4" s="1"/>
  <c r="T228" i="4"/>
  <c r="U228" i="4" s="1"/>
  <c r="BB227" i="4"/>
  <c r="BC227" i="4" s="1"/>
  <c r="BD227" i="4" s="1"/>
  <c r="AU227" i="4"/>
  <c r="AV227" i="4" s="1"/>
  <c r="AW227" i="4" s="1"/>
  <c r="AE227" i="4"/>
  <c r="AD227" i="4"/>
  <c r="AA227" i="4"/>
  <c r="AB227" i="4" s="1"/>
  <c r="W227" i="4"/>
  <c r="X227" i="4" s="1"/>
  <c r="T227" i="4"/>
  <c r="U227" i="4" s="1"/>
  <c r="BB226" i="4"/>
  <c r="BC226" i="4" s="1"/>
  <c r="BD226" i="4" s="1"/>
  <c r="AU226" i="4"/>
  <c r="AV226" i="4" s="1"/>
  <c r="AW226" i="4" s="1"/>
  <c r="AK226" i="4"/>
  <c r="AL226" i="4" s="1"/>
  <c r="AH226" i="4"/>
  <c r="AI226" i="4" s="1"/>
  <c r="AG226" i="4"/>
  <c r="AD226" i="4"/>
  <c r="AE226" i="4" s="1"/>
  <c r="AA226" i="4"/>
  <c r="AB226" i="4" s="1"/>
  <c r="X226" i="4"/>
  <c r="W226" i="4"/>
  <c r="T226" i="4"/>
  <c r="U226" i="4" s="1"/>
  <c r="BB225" i="4"/>
  <c r="BC225" i="4" s="1"/>
  <c r="BD225" i="4" s="1"/>
  <c r="AU225" i="4"/>
  <c r="AV225" i="4" s="1"/>
  <c r="AW225" i="4" s="1"/>
  <c r="AD225" i="4"/>
  <c r="AE225" i="4" s="1"/>
  <c r="AA225" i="4"/>
  <c r="AB225" i="4" s="1"/>
  <c r="W225" i="4"/>
  <c r="X225" i="4" s="1"/>
  <c r="T225" i="4"/>
  <c r="U225" i="4" s="1"/>
  <c r="BB224" i="4"/>
  <c r="BC224" i="4" s="1"/>
  <c r="BD224" i="4" s="1"/>
  <c r="AV224" i="4"/>
  <c r="AW224" i="4" s="1"/>
  <c r="AU224" i="4"/>
  <c r="AD224" i="4"/>
  <c r="AE224" i="4" s="1"/>
  <c r="AA224" i="4"/>
  <c r="AB224" i="4" s="1"/>
  <c r="W224" i="4"/>
  <c r="X224" i="4" s="1"/>
  <c r="U224" i="4"/>
  <c r="T224" i="4"/>
  <c r="BC223" i="4"/>
  <c r="BD223" i="4" s="1"/>
  <c r="BB223" i="4"/>
  <c r="AU223" i="4"/>
  <c r="AV223" i="4" s="1"/>
  <c r="AW223" i="4" s="1"/>
  <c r="AD223" i="4"/>
  <c r="AE223" i="4" s="1"/>
  <c r="AA223" i="4"/>
  <c r="AB223" i="4" s="1"/>
  <c r="W223" i="4"/>
  <c r="X223" i="4" s="1"/>
  <c r="T223" i="4"/>
  <c r="U223" i="4" s="1"/>
  <c r="BE223" i="4" s="1"/>
  <c r="BB222" i="4"/>
  <c r="BC222" i="4" s="1"/>
  <c r="BD222" i="4" s="1"/>
  <c r="AU222" i="4"/>
  <c r="AV222" i="4" s="1"/>
  <c r="AW222" i="4" s="1"/>
  <c r="AD222" i="4"/>
  <c r="AE222" i="4" s="1"/>
  <c r="AA222" i="4"/>
  <c r="AB222" i="4" s="1"/>
  <c r="W222" i="4"/>
  <c r="X222" i="4" s="1"/>
  <c r="T222" i="4"/>
  <c r="U222" i="4" s="1"/>
  <c r="BB221" i="4"/>
  <c r="BC221" i="4" s="1"/>
  <c r="BD221" i="4" s="1"/>
  <c r="AU221" i="4"/>
  <c r="AV221" i="4" s="1"/>
  <c r="AW221" i="4" s="1"/>
  <c r="AD221" i="4"/>
  <c r="AE221" i="4" s="1"/>
  <c r="AA221" i="4"/>
  <c r="AB221" i="4" s="1"/>
  <c r="W221" i="4"/>
  <c r="X221" i="4" s="1"/>
  <c r="T221" i="4"/>
  <c r="U221" i="4" s="1"/>
  <c r="BD220" i="4"/>
  <c r="BB220" i="4"/>
  <c r="BC220" i="4" s="1"/>
  <c r="AV220" i="4"/>
  <c r="AW220" i="4" s="1"/>
  <c r="AU220" i="4"/>
  <c r="AD220" i="4"/>
  <c r="AE220" i="4" s="1"/>
  <c r="AA220" i="4"/>
  <c r="AB220" i="4" s="1"/>
  <c r="W220" i="4"/>
  <c r="X220" i="4" s="1"/>
  <c r="U220" i="4"/>
  <c r="T220" i="4"/>
  <c r="BC219" i="4"/>
  <c r="BD219" i="4" s="1"/>
  <c r="BB219" i="4"/>
  <c r="AU219" i="4"/>
  <c r="AV219" i="4" s="1"/>
  <c r="AW219" i="4" s="1"/>
  <c r="AD219" i="4"/>
  <c r="AE219" i="4" s="1"/>
  <c r="AA219" i="4"/>
  <c r="AB219" i="4" s="1"/>
  <c r="W219" i="4"/>
  <c r="X219" i="4" s="1"/>
  <c r="T219" i="4"/>
  <c r="U219" i="4" s="1"/>
  <c r="BB218" i="4"/>
  <c r="BC218" i="4" s="1"/>
  <c r="BD218" i="4" s="1"/>
  <c r="AU218" i="4"/>
  <c r="AV218" i="4" s="1"/>
  <c r="AW218" i="4" s="1"/>
  <c r="AE218" i="4"/>
  <c r="AD218" i="4"/>
  <c r="AA218" i="4"/>
  <c r="AB218" i="4" s="1"/>
  <c r="X218" i="4"/>
  <c r="W218" i="4"/>
  <c r="T218" i="4"/>
  <c r="U218" i="4" s="1"/>
  <c r="BB217" i="4"/>
  <c r="BC217" i="4" s="1"/>
  <c r="BD217" i="4" s="1"/>
  <c r="AU217" i="4"/>
  <c r="AV217" i="4" s="1"/>
  <c r="AW217" i="4" s="1"/>
  <c r="AD217" i="4"/>
  <c r="AE217" i="4" s="1"/>
  <c r="AA217" i="4"/>
  <c r="AB217" i="4" s="1"/>
  <c r="W217" i="4"/>
  <c r="X217" i="4" s="1"/>
  <c r="T217" i="4"/>
  <c r="U217" i="4" s="1"/>
  <c r="BB216" i="4"/>
  <c r="BC216" i="4" s="1"/>
  <c r="BD216" i="4" s="1"/>
  <c r="AV216" i="4"/>
  <c r="AW216" i="4" s="1"/>
  <c r="AU216" i="4"/>
  <c r="AD216" i="4"/>
  <c r="AE216" i="4" s="1"/>
  <c r="AB216" i="4"/>
  <c r="AA216" i="4"/>
  <c r="W216" i="4"/>
  <c r="X216" i="4" s="1"/>
  <c r="U216" i="4"/>
  <c r="T216" i="4"/>
  <c r="BC215" i="4"/>
  <c r="BD215" i="4" s="1"/>
  <c r="BB215" i="4"/>
  <c r="AU215" i="4"/>
  <c r="AV215" i="4" s="1"/>
  <c r="AW215" i="4" s="1"/>
  <c r="AD215" i="4"/>
  <c r="AE215" i="4" s="1"/>
  <c r="AA215" i="4"/>
  <c r="AB215" i="4" s="1"/>
  <c r="W215" i="4"/>
  <c r="X215" i="4" s="1"/>
  <c r="T215" i="4"/>
  <c r="U215" i="4" s="1"/>
  <c r="BB214" i="4"/>
  <c r="BC214" i="4" s="1"/>
  <c r="BD214" i="4" s="1"/>
  <c r="AU214" i="4"/>
  <c r="AV214" i="4" s="1"/>
  <c r="AW214" i="4" s="1"/>
  <c r="AD214" i="4"/>
  <c r="AE214" i="4" s="1"/>
  <c r="AA214" i="4"/>
  <c r="AB214" i="4" s="1"/>
  <c r="W214" i="4"/>
  <c r="X214" i="4" s="1"/>
  <c r="T214" i="4"/>
  <c r="U214" i="4" s="1"/>
  <c r="BB213" i="4"/>
  <c r="BC213" i="4" s="1"/>
  <c r="BD213" i="4" s="1"/>
  <c r="AU213" i="4"/>
  <c r="AV213" i="4" s="1"/>
  <c r="AW213" i="4" s="1"/>
  <c r="AD213" i="4"/>
  <c r="AE213" i="4" s="1"/>
  <c r="AA213" i="4"/>
  <c r="AB213" i="4" s="1"/>
  <c r="X213" i="4"/>
  <c r="W213" i="4"/>
  <c r="T213" i="4"/>
  <c r="U213" i="4" s="1"/>
  <c r="BB212" i="4"/>
  <c r="BC212" i="4" s="1"/>
  <c r="BD212" i="4" s="1"/>
  <c r="AU212" i="4"/>
  <c r="AV212" i="4" s="1"/>
  <c r="AW212" i="4" s="1"/>
  <c r="AD212" i="4"/>
  <c r="AE212" i="4" s="1"/>
  <c r="AB212" i="4"/>
  <c r="AA212" i="4"/>
  <c r="W212" i="4"/>
  <c r="X212" i="4" s="1"/>
  <c r="T212" i="4"/>
  <c r="U212" i="4" s="1"/>
  <c r="BB211" i="4"/>
  <c r="BC211" i="4" s="1"/>
  <c r="BD211" i="4" s="1"/>
  <c r="AV211" i="4"/>
  <c r="AW211" i="4" s="1"/>
  <c r="AU211" i="4"/>
  <c r="AD211" i="4"/>
  <c r="AE211" i="4" s="1"/>
  <c r="AA211" i="4"/>
  <c r="AB211" i="4" s="1"/>
  <c r="W211" i="4"/>
  <c r="X211" i="4" s="1"/>
  <c r="T211" i="4"/>
  <c r="U211" i="4" s="1"/>
  <c r="BB210" i="4"/>
  <c r="BC210" i="4" s="1"/>
  <c r="BD210" i="4" s="1"/>
  <c r="AU210" i="4"/>
  <c r="AV210" i="4" s="1"/>
  <c r="AW210" i="4" s="1"/>
  <c r="AE210" i="4"/>
  <c r="AD210" i="4"/>
  <c r="AA210" i="4"/>
  <c r="AB210" i="4" s="1"/>
  <c r="X210" i="4"/>
  <c r="W210" i="4"/>
  <c r="T210" i="4"/>
  <c r="U210" i="4" s="1"/>
  <c r="BB209" i="4"/>
  <c r="BC209" i="4" s="1"/>
  <c r="BD209" i="4" s="1"/>
  <c r="AW209" i="4"/>
  <c r="AU209" i="4"/>
  <c r="AV209" i="4" s="1"/>
  <c r="AD209" i="4"/>
  <c r="AE209" i="4" s="1"/>
  <c r="AA209" i="4"/>
  <c r="AB209" i="4" s="1"/>
  <c r="W209" i="4"/>
  <c r="X209" i="4" s="1"/>
  <c r="T209" i="4"/>
  <c r="U209" i="4" s="1"/>
  <c r="BD208" i="4"/>
  <c r="BB208" i="4"/>
  <c r="BC208" i="4" s="1"/>
  <c r="AV208" i="4"/>
  <c r="AW208" i="4" s="1"/>
  <c r="AU208" i="4"/>
  <c r="AK208" i="4"/>
  <c r="AL208" i="4" s="1"/>
  <c r="AH208" i="4"/>
  <c r="AI208" i="4" s="1"/>
  <c r="AG208" i="4"/>
  <c r="AD208" i="4"/>
  <c r="AE208" i="4" s="1"/>
  <c r="AA208" i="4"/>
  <c r="AB208" i="4" s="1"/>
  <c r="W208" i="4"/>
  <c r="X208" i="4" s="1"/>
  <c r="T208" i="4"/>
  <c r="U208" i="4" s="1"/>
  <c r="BB207" i="4"/>
  <c r="BC207" i="4" s="1"/>
  <c r="BD207" i="4" s="1"/>
  <c r="AV207" i="4"/>
  <c r="AW207" i="4" s="1"/>
  <c r="AU207" i="4"/>
  <c r="AK207" i="4"/>
  <c r="AL207" i="4" s="1"/>
  <c r="AG207" i="4"/>
  <c r="AH207" i="4" s="1"/>
  <c r="AI207" i="4" s="1"/>
  <c r="AD207" i="4"/>
  <c r="AE207" i="4" s="1"/>
  <c r="AA207" i="4"/>
  <c r="AB207" i="4" s="1"/>
  <c r="X207" i="4"/>
  <c r="W207" i="4"/>
  <c r="T207" i="4"/>
  <c r="U207" i="4" s="1"/>
  <c r="BB206" i="4"/>
  <c r="BC206" i="4" s="1"/>
  <c r="BD206" i="4" s="1"/>
  <c r="AU206" i="4"/>
  <c r="AV206" i="4" s="1"/>
  <c r="AW206" i="4" s="1"/>
  <c r="AD206" i="4"/>
  <c r="AE206" i="4" s="1"/>
  <c r="AB206" i="4"/>
  <c r="AA206" i="4"/>
  <c r="X206" i="4"/>
  <c r="W206" i="4"/>
  <c r="U206" i="4"/>
  <c r="T206" i="4"/>
  <c r="BC205" i="4"/>
  <c r="BD205" i="4" s="1"/>
  <c r="BB205" i="4"/>
  <c r="AU205" i="4"/>
  <c r="AV205" i="4" s="1"/>
  <c r="AW205" i="4" s="1"/>
  <c r="AD205" i="4"/>
  <c r="AE205" i="4" s="1"/>
  <c r="AB205" i="4"/>
  <c r="AA205" i="4"/>
  <c r="W205" i="4"/>
  <c r="X205" i="4" s="1"/>
  <c r="T205" i="4"/>
  <c r="U205" i="4" s="1"/>
  <c r="BB204" i="4"/>
  <c r="BC204" i="4" s="1"/>
  <c r="BD204" i="4" s="1"/>
  <c r="AV204" i="4"/>
  <c r="AW204" i="4" s="1"/>
  <c r="AU204" i="4"/>
  <c r="AD204" i="4"/>
  <c r="AE204" i="4" s="1"/>
  <c r="AB204" i="4"/>
  <c r="AA204" i="4"/>
  <c r="X204" i="4"/>
  <c r="W204" i="4"/>
  <c r="U204" i="4"/>
  <c r="T204" i="4"/>
  <c r="BB203" i="4"/>
  <c r="BC203" i="4" s="1"/>
  <c r="BD203" i="4" s="1"/>
  <c r="AU203" i="4"/>
  <c r="AV203" i="4" s="1"/>
  <c r="AW203" i="4" s="1"/>
  <c r="AE203" i="4"/>
  <c r="AD203" i="4"/>
  <c r="AA203" i="4"/>
  <c r="AB203" i="4" s="1"/>
  <c r="W203" i="4"/>
  <c r="X203" i="4" s="1"/>
  <c r="T203" i="4"/>
  <c r="U203" i="4" s="1"/>
  <c r="BB202" i="4"/>
  <c r="BC202" i="4" s="1"/>
  <c r="BD202" i="4" s="1"/>
  <c r="AV202" i="4"/>
  <c r="AW202" i="4" s="1"/>
  <c r="AU202" i="4"/>
  <c r="AD202" i="4"/>
  <c r="AE202" i="4" s="1"/>
  <c r="AA202" i="4"/>
  <c r="AB202" i="4" s="1"/>
  <c r="X202" i="4"/>
  <c r="W202" i="4"/>
  <c r="T202" i="4"/>
  <c r="U202" i="4" s="1"/>
  <c r="BB201" i="4"/>
  <c r="BC201" i="4" s="1"/>
  <c r="BD201" i="4" s="1"/>
  <c r="AV201" i="4"/>
  <c r="AW201" i="4" s="1"/>
  <c r="AU201" i="4"/>
  <c r="AD201" i="4"/>
  <c r="AE201" i="4" s="1"/>
  <c r="AA201" i="4"/>
  <c r="AB201" i="4" s="1"/>
  <c r="W201" i="4"/>
  <c r="X201" i="4" s="1"/>
  <c r="T201" i="4"/>
  <c r="U201" i="4" s="1"/>
  <c r="BB200" i="4"/>
  <c r="BC200" i="4" s="1"/>
  <c r="BD200" i="4" s="1"/>
  <c r="AU200" i="4"/>
  <c r="AV200" i="4" s="1"/>
  <c r="AW200" i="4" s="1"/>
  <c r="AE200" i="4"/>
  <c r="AD200" i="4"/>
  <c r="AA200" i="4"/>
  <c r="AB200" i="4" s="1"/>
  <c r="W200" i="4"/>
  <c r="X200" i="4" s="1"/>
  <c r="T200" i="4"/>
  <c r="U200" i="4" s="1"/>
  <c r="BB199" i="4"/>
  <c r="BC199" i="4" s="1"/>
  <c r="BD199" i="4" s="1"/>
  <c r="AW199" i="4"/>
  <c r="AU199" i="4"/>
  <c r="AV199" i="4" s="1"/>
  <c r="AD199" i="4"/>
  <c r="AE199" i="4" s="1"/>
  <c r="AA199" i="4"/>
  <c r="AB199" i="4" s="1"/>
  <c r="W199" i="4"/>
  <c r="X199" i="4" s="1"/>
  <c r="T199" i="4"/>
  <c r="U199" i="4" s="1"/>
  <c r="BB198" i="4"/>
  <c r="BC198" i="4" s="1"/>
  <c r="BD198" i="4" s="1"/>
  <c r="AV198" i="4"/>
  <c r="AW198" i="4" s="1"/>
  <c r="AU198" i="4"/>
  <c r="AD198" i="4"/>
  <c r="AE198" i="4" s="1"/>
  <c r="AA198" i="4"/>
  <c r="AB198" i="4" s="1"/>
  <c r="W198" i="4"/>
  <c r="X198" i="4" s="1"/>
  <c r="T198" i="4"/>
  <c r="U198" i="4" s="1"/>
  <c r="BE198" i="4" s="1"/>
  <c r="BC197" i="4"/>
  <c r="BD197" i="4" s="1"/>
  <c r="BB197" i="4"/>
  <c r="AU197" i="4"/>
  <c r="AV197" i="4" s="1"/>
  <c r="AW197" i="4" s="1"/>
  <c r="AD197" i="4"/>
  <c r="AE197" i="4" s="1"/>
  <c r="AA197" i="4"/>
  <c r="AB197" i="4" s="1"/>
  <c r="W197" i="4"/>
  <c r="X197" i="4" s="1"/>
  <c r="T197" i="4"/>
  <c r="U197" i="4" s="1"/>
  <c r="BB196" i="4"/>
  <c r="BC196" i="4" s="1"/>
  <c r="BD196" i="4" s="1"/>
  <c r="AU196" i="4"/>
  <c r="AV196" i="4" s="1"/>
  <c r="AW196" i="4" s="1"/>
  <c r="AE196" i="4"/>
  <c r="AD196" i="4"/>
  <c r="AB196" i="4"/>
  <c r="AA196" i="4"/>
  <c r="W196" i="4"/>
  <c r="X196" i="4" s="1"/>
  <c r="U196" i="4"/>
  <c r="T196" i="4"/>
  <c r="BB195" i="4"/>
  <c r="BC195" i="4" s="1"/>
  <c r="BD195" i="4" s="1"/>
  <c r="AU195" i="4"/>
  <c r="AV195" i="4" s="1"/>
  <c r="AW195" i="4" s="1"/>
  <c r="AD195" i="4"/>
  <c r="AE195" i="4" s="1"/>
  <c r="AA195" i="4"/>
  <c r="AB195" i="4" s="1"/>
  <c r="W195" i="4"/>
  <c r="X195" i="4" s="1"/>
  <c r="T195" i="4"/>
  <c r="U195" i="4" s="1"/>
  <c r="BB194" i="4"/>
  <c r="BC194" i="4" s="1"/>
  <c r="BD194" i="4" s="1"/>
  <c r="AU194" i="4"/>
  <c r="AV194" i="4" s="1"/>
  <c r="AW194" i="4" s="1"/>
  <c r="AK194" i="4"/>
  <c r="AL194" i="4" s="1"/>
  <c r="AH194" i="4"/>
  <c r="AI194" i="4" s="1"/>
  <c r="AG194" i="4"/>
  <c r="AD194" i="4"/>
  <c r="AE194" i="4" s="1"/>
  <c r="AA194" i="4"/>
  <c r="AB194" i="4" s="1"/>
  <c r="W194" i="4"/>
  <c r="X194" i="4" s="1"/>
  <c r="BE194" i="4" s="1"/>
  <c r="T194" i="4"/>
  <c r="U194" i="4" s="1"/>
  <c r="BB193" i="4"/>
  <c r="BC193" i="4" s="1"/>
  <c r="BD193" i="4" s="1"/>
  <c r="AU193" i="4"/>
  <c r="AV193" i="4" s="1"/>
  <c r="AW193" i="4" s="1"/>
  <c r="AD193" i="4"/>
  <c r="AE193" i="4" s="1"/>
  <c r="AA193" i="4"/>
  <c r="AB193" i="4" s="1"/>
  <c r="W193" i="4"/>
  <c r="X193" i="4" s="1"/>
  <c r="T193" i="4"/>
  <c r="U193" i="4" s="1"/>
  <c r="BB192" i="4"/>
  <c r="BC192" i="4" s="1"/>
  <c r="BD192" i="4" s="1"/>
  <c r="AU192" i="4"/>
  <c r="AV192" i="4" s="1"/>
  <c r="AW192" i="4" s="1"/>
  <c r="AD192" i="4"/>
  <c r="AE192" i="4" s="1"/>
  <c r="AA192" i="4"/>
  <c r="AB192" i="4" s="1"/>
  <c r="W192" i="4"/>
  <c r="X192" i="4" s="1"/>
  <c r="U192" i="4"/>
  <c r="T192" i="4"/>
  <c r="BC191" i="4"/>
  <c r="BD191" i="4" s="1"/>
  <c r="BB191" i="4"/>
  <c r="AU191" i="4"/>
  <c r="AV191" i="4" s="1"/>
  <c r="AW191" i="4" s="1"/>
  <c r="AE191" i="4"/>
  <c r="AD191" i="4"/>
  <c r="AA191" i="4"/>
  <c r="AB191" i="4" s="1"/>
  <c r="W191" i="4"/>
  <c r="X191" i="4" s="1"/>
  <c r="T191" i="4"/>
  <c r="U191" i="4" s="1"/>
  <c r="BB190" i="4"/>
  <c r="BC190" i="4" s="1"/>
  <c r="BD190" i="4" s="1"/>
  <c r="AU190" i="4"/>
  <c r="AV190" i="4" s="1"/>
  <c r="AW190" i="4" s="1"/>
  <c r="AD190" i="4"/>
  <c r="AE190" i="4" s="1"/>
  <c r="AA190" i="4"/>
  <c r="AB190" i="4" s="1"/>
  <c r="W190" i="4"/>
  <c r="X190" i="4" s="1"/>
  <c r="U190" i="4"/>
  <c r="T190" i="4"/>
  <c r="BB189" i="4"/>
  <c r="BC189" i="4" s="1"/>
  <c r="BD189" i="4" s="1"/>
  <c r="AU189" i="4"/>
  <c r="AV189" i="4" s="1"/>
  <c r="AW189" i="4" s="1"/>
  <c r="AE189" i="4"/>
  <c r="AD189" i="4"/>
  <c r="AA189" i="4"/>
  <c r="AB189" i="4" s="1"/>
  <c r="W189" i="4"/>
  <c r="X189" i="4" s="1"/>
  <c r="T189" i="4"/>
  <c r="U189" i="4" s="1"/>
  <c r="BB188" i="4"/>
  <c r="BC188" i="4" s="1"/>
  <c r="BD188" i="4" s="1"/>
  <c r="AV188" i="4"/>
  <c r="AW188" i="4" s="1"/>
  <c r="AU188" i="4"/>
  <c r="AD188" i="4"/>
  <c r="AE188" i="4" s="1"/>
  <c r="AA188" i="4"/>
  <c r="AB188" i="4" s="1"/>
  <c r="W188" i="4"/>
  <c r="X188" i="4" s="1"/>
  <c r="T188" i="4"/>
  <c r="U188" i="4" s="1"/>
  <c r="BB187" i="4"/>
  <c r="BC187" i="4" s="1"/>
  <c r="BD187" i="4" s="1"/>
  <c r="AV187" i="4"/>
  <c r="AW187" i="4" s="1"/>
  <c r="AU187" i="4"/>
  <c r="AD187" i="4"/>
  <c r="AE187" i="4" s="1"/>
  <c r="AA187" i="4"/>
  <c r="AB187" i="4" s="1"/>
  <c r="W187" i="4"/>
  <c r="X187" i="4" s="1"/>
  <c r="T187" i="4"/>
  <c r="U187" i="4" s="1"/>
  <c r="BB186" i="4"/>
  <c r="BC186" i="4" s="1"/>
  <c r="BD186" i="4" s="1"/>
  <c r="AU186" i="4"/>
  <c r="AV186" i="4" s="1"/>
  <c r="AW186" i="4" s="1"/>
  <c r="AD186" i="4"/>
  <c r="AE186" i="4" s="1"/>
  <c r="AB186" i="4"/>
  <c r="AA186" i="4"/>
  <c r="W186" i="4"/>
  <c r="X186" i="4" s="1"/>
  <c r="T186" i="4"/>
  <c r="U186" i="4" s="1"/>
  <c r="BC185" i="4"/>
  <c r="BD185" i="4" s="1"/>
  <c r="BB185" i="4"/>
  <c r="AV185" i="4"/>
  <c r="AW185" i="4" s="1"/>
  <c r="AU185" i="4"/>
  <c r="AE185" i="4"/>
  <c r="AD185" i="4"/>
  <c r="AA185" i="4"/>
  <c r="AB185" i="4" s="1"/>
  <c r="W185" i="4"/>
  <c r="X185" i="4" s="1"/>
  <c r="U185" i="4"/>
  <c r="T185" i="4"/>
  <c r="BB184" i="4"/>
  <c r="BC184" i="4" s="1"/>
  <c r="BD184" i="4" s="1"/>
  <c r="AU184" i="4"/>
  <c r="AV184" i="4" s="1"/>
  <c r="AW184" i="4" s="1"/>
  <c r="AD184" i="4"/>
  <c r="AE184" i="4" s="1"/>
  <c r="AA184" i="4"/>
  <c r="AB184" i="4" s="1"/>
  <c r="X184" i="4"/>
  <c r="W184" i="4"/>
  <c r="T184" i="4"/>
  <c r="U184" i="4" s="1"/>
  <c r="BB183" i="4"/>
  <c r="BC183" i="4" s="1"/>
  <c r="BD183" i="4" s="1"/>
  <c r="AU183" i="4"/>
  <c r="AV183" i="4" s="1"/>
  <c r="AW183" i="4" s="1"/>
  <c r="AD183" i="4"/>
  <c r="AE183" i="4" s="1"/>
  <c r="AB183" i="4"/>
  <c r="AA183" i="4"/>
  <c r="W183" i="4"/>
  <c r="X183" i="4" s="1"/>
  <c r="T183" i="4"/>
  <c r="U183" i="4" s="1"/>
  <c r="BC182" i="4"/>
  <c r="BD182" i="4" s="1"/>
  <c r="BB182" i="4"/>
  <c r="AU182" i="4"/>
  <c r="AV182" i="4" s="1"/>
  <c r="AW182" i="4" s="1"/>
  <c r="AD182" i="4"/>
  <c r="AE182" i="4" s="1"/>
  <c r="AA182" i="4"/>
  <c r="AB182" i="4" s="1"/>
  <c r="W182" i="4"/>
  <c r="X182" i="4" s="1"/>
  <c r="U182" i="4"/>
  <c r="T182" i="4"/>
  <c r="BD181" i="4"/>
  <c r="BB181" i="4"/>
  <c r="BC181" i="4" s="1"/>
  <c r="AU181" i="4"/>
  <c r="AV181" i="4" s="1"/>
  <c r="AW181" i="4" s="1"/>
  <c r="AD181" i="4"/>
  <c r="AE181" i="4" s="1"/>
  <c r="AB181" i="4"/>
  <c r="AA181" i="4"/>
  <c r="X181" i="4"/>
  <c r="W181" i="4"/>
  <c r="T181" i="4"/>
  <c r="U181" i="4" s="1"/>
  <c r="BB180" i="4"/>
  <c r="BC180" i="4" s="1"/>
  <c r="BD180" i="4" s="1"/>
  <c r="AU180" i="4"/>
  <c r="AV180" i="4" s="1"/>
  <c r="AW180" i="4" s="1"/>
  <c r="AD180" i="4"/>
  <c r="AE180" i="4" s="1"/>
  <c r="AA180" i="4"/>
  <c r="AB180" i="4" s="1"/>
  <c r="W180" i="4"/>
  <c r="X180" i="4" s="1"/>
  <c r="T180" i="4"/>
  <c r="U180" i="4" s="1"/>
  <c r="BB179" i="4"/>
  <c r="BC179" i="4" s="1"/>
  <c r="BD179" i="4" s="1"/>
  <c r="AU179" i="4"/>
  <c r="AV179" i="4" s="1"/>
  <c r="AW179" i="4" s="1"/>
  <c r="AK179" i="4"/>
  <c r="AL179" i="4" s="1"/>
  <c r="AH179" i="4"/>
  <c r="AI179" i="4" s="1"/>
  <c r="AG179" i="4"/>
  <c r="AD179" i="4"/>
  <c r="AE179" i="4" s="1"/>
  <c r="AA179" i="4"/>
  <c r="AB179" i="4" s="1"/>
  <c r="W179" i="4"/>
  <c r="X179" i="4" s="1"/>
  <c r="T179" i="4"/>
  <c r="U179" i="4" s="1"/>
  <c r="BB178" i="4"/>
  <c r="BC178" i="4" s="1"/>
  <c r="BD178" i="4" s="1"/>
  <c r="AU178" i="4"/>
  <c r="AV178" i="4" s="1"/>
  <c r="AW178" i="4" s="1"/>
  <c r="AE178" i="4"/>
  <c r="AD178" i="4"/>
  <c r="AB178" i="4"/>
  <c r="AA178" i="4"/>
  <c r="W178" i="4"/>
  <c r="X178" i="4" s="1"/>
  <c r="T178" i="4"/>
  <c r="U178" i="4" s="1"/>
  <c r="BC177" i="4"/>
  <c r="BD177" i="4" s="1"/>
  <c r="BB177" i="4"/>
  <c r="AV177" i="4"/>
  <c r="AW177" i="4" s="1"/>
  <c r="AU177" i="4"/>
  <c r="AD177" i="4"/>
  <c r="AE177" i="4" s="1"/>
  <c r="AA177" i="4"/>
  <c r="AB177" i="4" s="1"/>
  <c r="W177" i="4"/>
  <c r="X177" i="4" s="1"/>
  <c r="T177" i="4"/>
  <c r="U177" i="4" s="1"/>
  <c r="BB176" i="4"/>
  <c r="BC176" i="4" s="1"/>
  <c r="BD176" i="4" s="1"/>
  <c r="AU176" i="4"/>
  <c r="AV176" i="4" s="1"/>
  <c r="AW176" i="4" s="1"/>
  <c r="AD176" i="4"/>
  <c r="AE176" i="4" s="1"/>
  <c r="AA176" i="4"/>
  <c r="AB176" i="4" s="1"/>
  <c r="X176" i="4"/>
  <c r="W176" i="4"/>
  <c r="T176" i="4"/>
  <c r="U176" i="4" s="1"/>
  <c r="BB175" i="4"/>
  <c r="BC175" i="4" s="1"/>
  <c r="BD175" i="4" s="1"/>
  <c r="AU175" i="4"/>
  <c r="AV175" i="4" s="1"/>
  <c r="AW175" i="4" s="1"/>
  <c r="AD175" i="4"/>
  <c r="AE175" i="4" s="1"/>
  <c r="AA175" i="4"/>
  <c r="AB175" i="4" s="1"/>
  <c r="W175" i="4"/>
  <c r="X175" i="4" s="1"/>
  <c r="T175" i="4"/>
  <c r="U175" i="4" s="1"/>
  <c r="BB174" i="4"/>
  <c r="BC174" i="4" s="1"/>
  <c r="BD174" i="4" s="1"/>
  <c r="AV174" i="4"/>
  <c r="AW174" i="4" s="1"/>
  <c r="AU174" i="4"/>
  <c r="AD174" i="4"/>
  <c r="AE174" i="4" s="1"/>
  <c r="AA174" i="4"/>
  <c r="AB174" i="4" s="1"/>
  <c r="W174" i="4"/>
  <c r="X174" i="4" s="1"/>
  <c r="T174" i="4"/>
  <c r="U174" i="4" s="1"/>
  <c r="BB173" i="4"/>
  <c r="BC173" i="4" s="1"/>
  <c r="BD173" i="4" s="1"/>
  <c r="AW173" i="4"/>
  <c r="AU173" i="4"/>
  <c r="AV173" i="4" s="1"/>
  <c r="AD173" i="4"/>
  <c r="AE173" i="4" s="1"/>
  <c r="AA173" i="4"/>
  <c r="AB173" i="4" s="1"/>
  <c r="W173" i="4"/>
  <c r="X173" i="4" s="1"/>
  <c r="T173" i="4"/>
  <c r="U173" i="4" s="1"/>
  <c r="BC172" i="4"/>
  <c r="BD172" i="4" s="1"/>
  <c r="BB172" i="4"/>
  <c r="AU172" i="4"/>
  <c r="AV172" i="4" s="1"/>
  <c r="AW172" i="4" s="1"/>
  <c r="AE172" i="4"/>
  <c r="AD172" i="4"/>
  <c r="AA172" i="4"/>
  <c r="AB172" i="4" s="1"/>
  <c r="W172" i="4"/>
  <c r="X172" i="4" s="1"/>
  <c r="U172" i="4"/>
  <c r="T172" i="4"/>
  <c r="BB171" i="4"/>
  <c r="BC171" i="4" s="1"/>
  <c r="BD171" i="4" s="1"/>
  <c r="AU171" i="4"/>
  <c r="AV171" i="4" s="1"/>
  <c r="AW171" i="4" s="1"/>
  <c r="AD171" i="4"/>
  <c r="AE171" i="4" s="1"/>
  <c r="AA171" i="4"/>
  <c r="AB171" i="4" s="1"/>
  <c r="X171" i="4"/>
  <c r="W171" i="4"/>
  <c r="T171" i="4"/>
  <c r="U171" i="4" s="1"/>
  <c r="BB170" i="4"/>
  <c r="BC170" i="4" s="1"/>
  <c r="BD170" i="4" s="1"/>
  <c r="AU170" i="4"/>
  <c r="AV170" i="4" s="1"/>
  <c r="AW170" i="4" s="1"/>
  <c r="AD170" i="4"/>
  <c r="AE170" i="4" s="1"/>
  <c r="AA170" i="4"/>
  <c r="AB170" i="4" s="1"/>
  <c r="W170" i="4"/>
  <c r="X170" i="4" s="1"/>
  <c r="T170" i="4"/>
  <c r="U170" i="4" s="1"/>
  <c r="BC169" i="4"/>
  <c r="BD169" i="4" s="1"/>
  <c r="BB169" i="4"/>
  <c r="AU169" i="4"/>
  <c r="AV169" i="4" s="1"/>
  <c r="AW169" i="4" s="1"/>
  <c r="AD169" i="4"/>
  <c r="AE169" i="4" s="1"/>
  <c r="AA169" i="4"/>
  <c r="AB169" i="4" s="1"/>
  <c r="W169" i="4"/>
  <c r="X169" i="4" s="1"/>
  <c r="U169" i="4"/>
  <c r="T169" i="4"/>
  <c r="BB168" i="4"/>
  <c r="BC168" i="4" s="1"/>
  <c r="BD168" i="4" s="1"/>
  <c r="AU168" i="4"/>
  <c r="AV168" i="4" s="1"/>
  <c r="AW168" i="4" s="1"/>
  <c r="AD168" i="4"/>
  <c r="AE168" i="4" s="1"/>
  <c r="AA168" i="4"/>
  <c r="AB168" i="4" s="1"/>
  <c r="X168" i="4"/>
  <c r="W168" i="4"/>
  <c r="T168" i="4"/>
  <c r="U168" i="4" s="1"/>
  <c r="BC167" i="4"/>
  <c r="BD167" i="4" s="1"/>
  <c r="BB167" i="4"/>
  <c r="AU167" i="4"/>
  <c r="AV167" i="4" s="1"/>
  <c r="AW167" i="4" s="1"/>
  <c r="AD167" i="4"/>
  <c r="AE167" i="4" s="1"/>
  <c r="AA167" i="4"/>
  <c r="AB167" i="4" s="1"/>
  <c r="W167" i="4"/>
  <c r="X167" i="4" s="1"/>
  <c r="T167" i="4"/>
  <c r="U167" i="4" s="1"/>
  <c r="BB166" i="4"/>
  <c r="BC166" i="4" s="1"/>
  <c r="BD166" i="4" s="1"/>
  <c r="AU166" i="4"/>
  <c r="AV166" i="4" s="1"/>
  <c r="AW166" i="4" s="1"/>
  <c r="AD166" i="4"/>
  <c r="AE166" i="4" s="1"/>
  <c r="AA166" i="4"/>
  <c r="AB166" i="4" s="1"/>
  <c r="X166" i="4"/>
  <c r="W166" i="4"/>
  <c r="T166" i="4"/>
  <c r="U166" i="4" s="1"/>
  <c r="BB165" i="4"/>
  <c r="BC165" i="4" s="1"/>
  <c r="BD165" i="4" s="1"/>
  <c r="AU165" i="4"/>
  <c r="AV165" i="4" s="1"/>
  <c r="AW165" i="4" s="1"/>
  <c r="AD165" i="4"/>
  <c r="AE165" i="4" s="1"/>
  <c r="AB165" i="4"/>
  <c r="AA165" i="4"/>
  <c r="W165" i="4"/>
  <c r="X165" i="4" s="1"/>
  <c r="T165" i="4"/>
  <c r="U165" i="4" s="1"/>
  <c r="BC164" i="4"/>
  <c r="BD164" i="4" s="1"/>
  <c r="BB164" i="4"/>
  <c r="AV164" i="4"/>
  <c r="AW164" i="4" s="1"/>
  <c r="AU164" i="4"/>
  <c r="AE164" i="4"/>
  <c r="AD164" i="4"/>
  <c r="AA164" i="4"/>
  <c r="AB164" i="4" s="1"/>
  <c r="W164" i="4"/>
  <c r="X164" i="4" s="1"/>
  <c r="U164" i="4"/>
  <c r="T164" i="4"/>
  <c r="BB163" i="4"/>
  <c r="BC163" i="4" s="1"/>
  <c r="BD163" i="4" s="1"/>
  <c r="AU163" i="4"/>
  <c r="AV163" i="4" s="1"/>
  <c r="AW163" i="4" s="1"/>
  <c r="AD163" i="4"/>
  <c r="AE163" i="4" s="1"/>
  <c r="AA163" i="4"/>
  <c r="AB163" i="4" s="1"/>
  <c r="W163" i="4"/>
  <c r="X163" i="4" s="1"/>
  <c r="T163" i="4"/>
  <c r="U163" i="4" s="1"/>
  <c r="BB162" i="4"/>
  <c r="BC162" i="4" s="1"/>
  <c r="BD162" i="4" s="1"/>
  <c r="AU162" i="4"/>
  <c r="AV162" i="4" s="1"/>
  <c r="AW162" i="4" s="1"/>
  <c r="AE162" i="4"/>
  <c r="AD162" i="4"/>
  <c r="AB162" i="4"/>
  <c r="AA162" i="4"/>
  <c r="W162" i="4"/>
  <c r="X162" i="4" s="1"/>
  <c r="T162" i="4"/>
  <c r="U162" i="4" s="1"/>
  <c r="BC161" i="4"/>
  <c r="BD161" i="4" s="1"/>
  <c r="BB161" i="4"/>
  <c r="AV161" i="4"/>
  <c r="AW161" i="4" s="1"/>
  <c r="AU161" i="4"/>
  <c r="AD161" i="4"/>
  <c r="AE161" i="4" s="1"/>
  <c r="AA161" i="4"/>
  <c r="AB161" i="4" s="1"/>
  <c r="W161" i="4"/>
  <c r="X161" i="4" s="1"/>
  <c r="T161" i="4"/>
  <c r="U161" i="4" s="1"/>
  <c r="BB160" i="4"/>
  <c r="BC160" i="4" s="1"/>
  <c r="BD160" i="4" s="1"/>
  <c r="AU160" i="4"/>
  <c r="AV160" i="4" s="1"/>
  <c r="AW160" i="4" s="1"/>
  <c r="AD160" i="4"/>
  <c r="AE160" i="4" s="1"/>
  <c r="AA160" i="4"/>
  <c r="AB160" i="4" s="1"/>
  <c r="X160" i="4"/>
  <c r="W160" i="4"/>
  <c r="T160" i="4"/>
  <c r="U160" i="4" s="1"/>
  <c r="BB159" i="4"/>
  <c r="BC159" i="4" s="1"/>
  <c r="BD159" i="4" s="1"/>
  <c r="AU159" i="4"/>
  <c r="AV159" i="4" s="1"/>
  <c r="AW159" i="4" s="1"/>
  <c r="AD159" i="4"/>
  <c r="AE159" i="4" s="1"/>
  <c r="AA159" i="4"/>
  <c r="AB159" i="4" s="1"/>
  <c r="W159" i="4"/>
  <c r="X159" i="4" s="1"/>
  <c r="T159" i="4"/>
  <c r="U159" i="4" s="1"/>
  <c r="BB158" i="4"/>
  <c r="BC158" i="4" s="1"/>
  <c r="BD158" i="4" s="1"/>
  <c r="AV158" i="4"/>
  <c r="AW158" i="4" s="1"/>
  <c r="AU158" i="4"/>
  <c r="AD158" i="4"/>
  <c r="AE158" i="4" s="1"/>
  <c r="AA158" i="4"/>
  <c r="AB158" i="4" s="1"/>
  <c r="W158" i="4"/>
  <c r="X158" i="4" s="1"/>
  <c r="T158" i="4"/>
  <c r="U158" i="4" s="1"/>
  <c r="BD157" i="4"/>
  <c r="BB157" i="4"/>
  <c r="BC157" i="4" s="1"/>
  <c r="AU157" i="4"/>
  <c r="AV157" i="4" s="1"/>
  <c r="AW157" i="4" s="1"/>
  <c r="AD157" i="4"/>
  <c r="AE157" i="4" s="1"/>
  <c r="AA157" i="4"/>
  <c r="AB157" i="4" s="1"/>
  <c r="W157" i="4"/>
  <c r="X157" i="4" s="1"/>
  <c r="T157" i="4"/>
  <c r="U157" i="4" s="1"/>
  <c r="BC156" i="4"/>
  <c r="BD156" i="4" s="1"/>
  <c r="BB156" i="4"/>
  <c r="AU156" i="4"/>
  <c r="AV156" i="4" s="1"/>
  <c r="AW156" i="4" s="1"/>
  <c r="AE156" i="4"/>
  <c r="AD156" i="4"/>
  <c r="AA156" i="4"/>
  <c r="AB156" i="4" s="1"/>
  <c r="W156" i="4"/>
  <c r="X156" i="4" s="1"/>
  <c r="U156" i="4"/>
  <c r="T156" i="4"/>
  <c r="BB155" i="4"/>
  <c r="BC155" i="4" s="1"/>
  <c r="BD155" i="4" s="1"/>
  <c r="AU155" i="4"/>
  <c r="AV155" i="4" s="1"/>
  <c r="AW155" i="4" s="1"/>
  <c r="AD155" i="4"/>
  <c r="AE155" i="4" s="1"/>
  <c r="AA155" i="4"/>
  <c r="AB155" i="4" s="1"/>
  <c r="X155" i="4"/>
  <c r="W155" i="4"/>
  <c r="T155" i="4"/>
  <c r="U155" i="4" s="1"/>
  <c r="BB154" i="4"/>
  <c r="BC154" i="4" s="1"/>
  <c r="BD154" i="4" s="1"/>
  <c r="AU154" i="4"/>
  <c r="AV154" i="4" s="1"/>
  <c r="AW154" i="4" s="1"/>
  <c r="AD154" i="4"/>
  <c r="AE154" i="4" s="1"/>
  <c r="AA154" i="4"/>
  <c r="AB154" i="4" s="1"/>
  <c r="W154" i="4"/>
  <c r="X154" i="4" s="1"/>
  <c r="T154" i="4"/>
  <c r="U154" i="4" s="1"/>
  <c r="BB153" i="4"/>
  <c r="BC153" i="4" s="1"/>
  <c r="BD153" i="4" s="1"/>
  <c r="AV153" i="4"/>
  <c r="AW153" i="4" s="1"/>
  <c r="AU153" i="4"/>
  <c r="AE153" i="4"/>
  <c r="AD153" i="4"/>
  <c r="AA153" i="4"/>
  <c r="AB153" i="4" s="1"/>
  <c r="W153" i="4"/>
  <c r="X153" i="4" s="1"/>
  <c r="T153" i="4"/>
  <c r="U153" i="4" s="1"/>
  <c r="BB152" i="4"/>
  <c r="BC152" i="4" s="1"/>
  <c r="BD152" i="4" s="1"/>
  <c r="AU152" i="4"/>
  <c r="AV152" i="4" s="1"/>
  <c r="AW152" i="4" s="1"/>
  <c r="AD152" i="4"/>
  <c r="AE152" i="4" s="1"/>
  <c r="AB152" i="4"/>
  <c r="AA152" i="4"/>
  <c r="X152" i="4"/>
  <c r="W152" i="4"/>
  <c r="T152" i="4"/>
  <c r="U152" i="4" s="1"/>
  <c r="BC151" i="4"/>
  <c r="BD151" i="4" s="1"/>
  <c r="BB151" i="4"/>
  <c r="AU151" i="4"/>
  <c r="AV151" i="4" s="1"/>
  <c r="AW151" i="4" s="1"/>
  <c r="AE151" i="4"/>
  <c r="AD151" i="4"/>
  <c r="AA151" i="4"/>
  <c r="AB151" i="4" s="1"/>
  <c r="W151" i="4"/>
  <c r="X151" i="4" s="1"/>
  <c r="T151" i="4"/>
  <c r="U151" i="4" s="1"/>
  <c r="BC150" i="4"/>
  <c r="BD150" i="4" s="1"/>
  <c r="BB150" i="4"/>
  <c r="AV150" i="4"/>
  <c r="AW150" i="4" s="1"/>
  <c r="AU150" i="4"/>
  <c r="AD150" i="4"/>
  <c r="AE150" i="4" s="1"/>
  <c r="AA150" i="4"/>
  <c r="AB150" i="4" s="1"/>
  <c r="X150" i="4"/>
  <c r="W150" i="4"/>
  <c r="U150" i="4"/>
  <c r="T150" i="4"/>
  <c r="BD149" i="4"/>
  <c r="BB149" i="4"/>
  <c r="BC149" i="4" s="1"/>
  <c r="AU149" i="4"/>
  <c r="AV149" i="4" s="1"/>
  <c r="AW149" i="4" s="1"/>
  <c r="AD149" i="4"/>
  <c r="AE149" i="4" s="1"/>
  <c r="AB149" i="4"/>
  <c r="AA149" i="4"/>
  <c r="W149" i="4"/>
  <c r="X149" i="4" s="1"/>
  <c r="T149" i="4"/>
  <c r="U149" i="4" s="1"/>
  <c r="BC148" i="4"/>
  <c r="BD148" i="4" s="1"/>
  <c r="BB148" i="4"/>
  <c r="AU148" i="4"/>
  <c r="AV148" i="4" s="1"/>
  <c r="AW148" i="4" s="1"/>
  <c r="AD148" i="4"/>
  <c r="AE148" i="4" s="1"/>
  <c r="AA148" i="4"/>
  <c r="AB148" i="4" s="1"/>
  <c r="W148" i="4"/>
  <c r="X148" i="4" s="1"/>
  <c r="U148" i="4"/>
  <c r="T148" i="4"/>
  <c r="BB147" i="4"/>
  <c r="BC147" i="4" s="1"/>
  <c r="BD147" i="4" s="1"/>
  <c r="AU147" i="4"/>
  <c r="AV147" i="4" s="1"/>
  <c r="AW147" i="4" s="1"/>
  <c r="AD147" i="4"/>
  <c r="AE147" i="4" s="1"/>
  <c r="AA147" i="4"/>
  <c r="AB147" i="4" s="1"/>
  <c r="W147" i="4"/>
  <c r="X147" i="4" s="1"/>
  <c r="T147" i="4"/>
  <c r="U147" i="4" s="1"/>
  <c r="BB146" i="4"/>
  <c r="BC146" i="4" s="1"/>
  <c r="BD146" i="4" s="1"/>
  <c r="AU146" i="4"/>
  <c r="AV146" i="4" s="1"/>
  <c r="AW146" i="4" s="1"/>
  <c r="AE146" i="4"/>
  <c r="AD146" i="4"/>
  <c r="AB146" i="4"/>
  <c r="AA146" i="4"/>
  <c r="W146" i="4"/>
  <c r="X146" i="4" s="1"/>
  <c r="T146" i="4"/>
  <c r="U146" i="4" s="1"/>
  <c r="BB145" i="4"/>
  <c r="BC145" i="4" s="1"/>
  <c r="BD145" i="4" s="1"/>
  <c r="AU145" i="4"/>
  <c r="AV145" i="4" s="1"/>
  <c r="AW145" i="4" s="1"/>
  <c r="AD145" i="4"/>
  <c r="AE145" i="4" s="1"/>
  <c r="AA145" i="4"/>
  <c r="AB145" i="4" s="1"/>
  <c r="W145" i="4"/>
  <c r="X145" i="4" s="1"/>
  <c r="T145" i="4"/>
  <c r="U145" i="4" s="1"/>
  <c r="BB144" i="4"/>
  <c r="BC144" i="4" s="1"/>
  <c r="BD144" i="4" s="1"/>
  <c r="AU144" i="4"/>
  <c r="AV144" i="4" s="1"/>
  <c r="AW144" i="4" s="1"/>
  <c r="AD144" i="4"/>
  <c r="AE144" i="4" s="1"/>
  <c r="BE144" i="4" s="1"/>
  <c r="AB144" i="4"/>
  <c r="AA144" i="4"/>
  <c r="W144" i="4"/>
  <c r="X144" i="4" s="1"/>
  <c r="U144" i="4"/>
  <c r="T144" i="4"/>
  <c r="BC143" i="4"/>
  <c r="BD143" i="4" s="1"/>
  <c r="BB143" i="4"/>
  <c r="AU143" i="4"/>
  <c r="AV143" i="4" s="1"/>
  <c r="AW143" i="4" s="1"/>
  <c r="AK143" i="4"/>
  <c r="AL143" i="4" s="1"/>
  <c r="AH143" i="4"/>
  <c r="AI143" i="4" s="1"/>
  <c r="AG143" i="4"/>
  <c r="AE143" i="4"/>
  <c r="AD143" i="4"/>
  <c r="AB143" i="4"/>
  <c r="AA143" i="4"/>
  <c r="W143" i="4"/>
  <c r="X143" i="4" s="1"/>
  <c r="T143" i="4"/>
  <c r="U143" i="4" s="1"/>
  <c r="BB142" i="4"/>
  <c r="BC142" i="4" s="1"/>
  <c r="BD142" i="4" s="1"/>
  <c r="AU142" i="4"/>
  <c r="AV142" i="4" s="1"/>
  <c r="AW142" i="4" s="1"/>
  <c r="AK142" i="4"/>
  <c r="AL142" i="4" s="1"/>
  <c r="AH142" i="4"/>
  <c r="AI142" i="4" s="1"/>
  <c r="AG142" i="4"/>
  <c r="AD142" i="4"/>
  <c r="AE142" i="4" s="1"/>
  <c r="AA142" i="4"/>
  <c r="AB142" i="4" s="1"/>
  <c r="W142" i="4"/>
  <c r="X142" i="4" s="1"/>
  <c r="T142" i="4"/>
  <c r="U142" i="4" s="1"/>
  <c r="BC141" i="4"/>
  <c r="BD141" i="4" s="1"/>
  <c r="BB141" i="4"/>
  <c r="AV141" i="4"/>
  <c r="AW141" i="4" s="1"/>
  <c r="AU141" i="4"/>
  <c r="AK141" i="4"/>
  <c r="AL141" i="4" s="1"/>
  <c r="AG141" i="4"/>
  <c r="AH141" i="4" s="1"/>
  <c r="AI141" i="4" s="1"/>
  <c r="AD141" i="4"/>
  <c r="AE141" i="4" s="1"/>
  <c r="AA141" i="4"/>
  <c r="AB141" i="4" s="1"/>
  <c r="X141" i="4"/>
  <c r="W141" i="4"/>
  <c r="T141" i="4"/>
  <c r="U141" i="4" s="1"/>
  <c r="BB140" i="4"/>
  <c r="BC140" i="4" s="1"/>
  <c r="BD140" i="4" s="1"/>
  <c r="AU140" i="4"/>
  <c r="AV140" i="4" s="1"/>
  <c r="AW140" i="4" s="1"/>
  <c r="AE140" i="4"/>
  <c r="AD140" i="4"/>
  <c r="AB140" i="4"/>
  <c r="AA140" i="4"/>
  <c r="W140" i="4"/>
  <c r="X140" i="4" s="1"/>
  <c r="T140" i="4"/>
  <c r="U140" i="4" s="1"/>
  <c r="BC139" i="4"/>
  <c r="BD139" i="4" s="1"/>
  <c r="BB139" i="4"/>
  <c r="AW139" i="4"/>
  <c r="AV139" i="4"/>
  <c r="AU139" i="4"/>
  <c r="AD139" i="4"/>
  <c r="AE139" i="4" s="1"/>
  <c r="AA139" i="4"/>
  <c r="AB139" i="4" s="1"/>
  <c r="W139" i="4"/>
  <c r="X139" i="4" s="1"/>
  <c r="U139" i="4"/>
  <c r="T139" i="4"/>
  <c r="BB138" i="4"/>
  <c r="BC138" i="4" s="1"/>
  <c r="BD138" i="4" s="1"/>
  <c r="BE138" i="4" s="1"/>
  <c r="AV138" i="4"/>
  <c r="AW138" i="4" s="1"/>
  <c r="AU138" i="4"/>
  <c r="AD138" i="4"/>
  <c r="AE138" i="4" s="1"/>
  <c r="AA138" i="4"/>
  <c r="AB138" i="4" s="1"/>
  <c r="X138" i="4"/>
  <c r="W138" i="4"/>
  <c r="U138" i="4"/>
  <c r="T138" i="4"/>
  <c r="BC137" i="4"/>
  <c r="BD137" i="4" s="1"/>
  <c r="BB137" i="4"/>
  <c r="AU137" i="4"/>
  <c r="AV137" i="4" s="1"/>
  <c r="AW137" i="4" s="1"/>
  <c r="AD137" i="4"/>
  <c r="AE137" i="4" s="1"/>
  <c r="AB137" i="4"/>
  <c r="AA137" i="4"/>
  <c r="W137" i="4"/>
  <c r="X137" i="4" s="1"/>
  <c r="T137" i="4"/>
  <c r="U137" i="4" s="1"/>
  <c r="BB136" i="4"/>
  <c r="BC136" i="4" s="1"/>
  <c r="BD136" i="4" s="1"/>
  <c r="AU136" i="4"/>
  <c r="AV136" i="4" s="1"/>
  <c r="AW136" i="4" s="1"/>
  <c r="AL136" i="4"/>
  <c r="AK136" i="4"/>
  <c r="AG136" i="4"/>
  <c r="AH136" i="4" s="1"/>
  <c r="AI136" i="4" s="1"/>
  <c r="AD136" i="4"/>
  <c r="AE136" i="4" s="1"/>
  <c r="AA136" i="4"/>
  <c r="AB136" i="4" s="1"/>
  <c r="W136" i="4"/>
  <c r="X136" i="4" s="1"/>
  <c r="U136" i="4"/>
  <c r="T136" i="4"/>
  <c r="BB135" i="4"/>
  <c r="BC135" i="4" s="1"/>
  <c r="BD135" i="4" s="1"/>
  <c r="AU135" i="4"/>
  <c r="AV135" i="4" s="1"/>
  <c r="AW135" i="4" s="1"/>
  <c r="AE135" i="4"/>
  <c r="AD135" i="4"/>
  <c r="AA135" i="4"/>
  <c r="AB135" i="4" s="1"/>
  <c r="X135" i="4"/>
  <c r="W135" i="4"/>
  <c r="T135" i="4"/>
  <c r="U135" i="4" s="1"/>
  <c r="BC134" i="4"/>
  <c r="BD134" i="4" s="1"/>
  <c r="BB134" i="4"/>
  <c r="AU134" i="4"/>
  <c r="AV134" i="4" s="1"/>
  <c r="AW134" i="4" s="1"/>
  <c r="AE134" i="4"/>
  <c r="AD134" i="4"/>
  <c r="AA134" i="4"/>
  <c r="AB134" i="4" s="1"/>
  <c r="W134" i="4"/>
  <c r="X134" i="4" s="1"/>
  <c r="U134" i="4"/>
  <c r="T134" i="4"/>
  <c r="BB133" i="4"/>
  <c r="BC133" i="4" s="1"/>
  <c r="BD133" i="4" s="1"/>
  <c r="AU133" i="4"/>
  <c r="AV133" i="4" s="1"/>
  <c r="AW133" i="4" s="1"/>
  <c r="AD133" i="4"/>
  <c r="AE133" i="4" s="1"/>
  <c r="AA133" i="4"/>
  <c r="AB133" i="4" s="1"/>
  <c r="X133" i="4"/>
  <c r="W133" i="4"/>
  <c r="T133" i="4"/>
  <c r="U133" i="4" s="1"/>
  <c r="BD132" i="4"/>
  <c r="BC132" i="4"/>
  <c r="BB132" i="4"/>
  <c r="AU132" i="4"/>
  <c r="AV132" i="4" s="1"/>
  <c r="AW132" i="4" s="1"/>
  <c r="AE132" i="4"/>
  <c r="AD132" i="4"/>
  <c r="AA132" i="4"/>
  <c r="AB132" i="4" s="1"/>
  <c r="W132" i="4"/>
  <c r="X132" i="4" s="1"/>
  <c r="T132" i="4"/>
  <c r="U132" i="4" s="1"/>
  <c r="BB131" i="4"/>
  <c r="BC131" i="4" s="1"/>
  <c r="BD131" i="4" s="1"/>
  <c r="AV131" i="4"/>
  <c r="AW131" i="4" s="1"/>
  <c r="AU131" i="4"/>
  <c r="AE131" i="4"/>
  <c r="AD131" i="4"/>
  <c r="AA131" i="4"/>
  <c r="AB131" i="4" s="1"/>
  <c r="X131" i="4"/>
  <c r="W131" i="4"/>
  <c r="T131" i="4"/>
  <c r="U131" i="4" s="1"/>
  <c r="BB130" i="4"/>
  <c r="BC130" i="4" s="1"/>
  <c r="BD130" i="4" s="1"/>
  <c r="AU130" i="4"/>
  <c r="AV130" i="4" s="1"/>
  <c r="AW130" i="4" s="1"/>
  <c r="AK130" i="4"/>
  <c r="AL130" i="4" s="1"/>
  <c r="AI130" i="4"/>
  <c r="AH130" i="4"/>
  <c r="AG130" i="4"/>
  <c r="AD130" i="4"/>
  <c r="AE130" i="4" s="1"/>
  <c r="AB130" i="4"/>
  <c r="AA130" i="4"/>
  <c r="W130" i="4"/>
  <c r="X130" i="4" s="1"/>
  <c r="T130" i="4"/>
  <c r="U130" i="4" s="1"/>
  <c r="BB129" i="4"/>
  <c r="BC129" i="4" s="1"/>
  <c r="BD129" i="4" s="1"/>
  <c r="AV129" i="4"/>
  <c r="AW129" i="4" s="1"/>
  <c r="AU129" i="4"/>
  <c r="AE129" i="4"/>
  <c r="AD129" i="4"/>
  <c r="AA129" i="4"/>
  <c r="AB129" i="4" s="1"/>
  <c r="W129" i="4"/>
  <c r="X129" i="4" s="1"/>
  <c r="U129" i="4"/>
  <c r="T129" i="4"/>
  <c r="BB128" i="4"/>
  <c r="BC128" i="4" s="1"/>
  <c r="BD128" i="4" s="1"/>
  <c r="AV128" i="4"/>
  <c r="AW128" i="4" s="1"/>
  <c r="AU128" i="4"/>
  <c r="AD128" i="4"/>
  <c r="AE128" i="4" s="1"/>
  <c r="AA128" i="4"/>
  <c r="AB128" i="4" s="1"/>
  <c r="W128" i="4"/>
  <c r="X128" i="4" s="1"/>
  <c r="T128" i="4"/>
  <c r="U128" i="4" s="1"/>
  <c r="BD127" i="4"/>
  <c r="BC127" i="4"/>
  <c r="BB127" i="4"/>
  <c r="AU127" i="4"/>
  <c r="AV127" i="4" s="1"/>
  <c r="AW127" i="4" s="1"/>
  <c r="AD127" i="4"/>
  <c r="AE127" i="4" s="1"/>
  <c r="AA127" i="4"/>
  <c r="AB127" i="4" s="1"/>
  <c r="W127" i="4"/>
  <c r="X127" i="4" s="1"/>
  <c r="T127" i="4"/>
  <c r="U127" i="4" s="1"/>
  <c r="BB126" i="4"/>
  <c r="BC126" i="4" s="1"/>
  <c r="BD126" i="4" s="1"/>
  <c r="AU126" i="4"/>
  <c r="AV126" i="4" s="1"/>
  <c r="AW126" i="4" s="1"/>
  <c r="AE126" i="4"/>
  <c r="AD126" i="4"/>
  <c r="AA126" i="4"/>
  <c r="AB126" i="4" s="1"/>
  <c r="X126" i="4"/>
  <c r="W126" i="4"/>
  <c r="T126" i="4"/>
  <c r="U126" i="4" s="1"/>
  <c r="BB125" i="4"/>
  <c r="BC125" i="4" s="1"/>
  <c r="BD125" i="4" s="1"/>
  <c r="AU125" i="4"/>
  <c r="AV125" i="4" s="1"/>
  <c r="AW125" i="4" s="1"/>
  <c r="AD125" i="4"/>
  <c r="AE125" i="4" s="1"/>
  <c r="AA125" i="4"/>
  <c r="AB125" i="4" s="1"/>
  <c r="W125" i="4"/>
  <c r="X125" i="4" s="1"/>
  <c r="T125" i="4"/>
  <c r="U125" i="4" s="1"/>
  <c r="BB124" i="4"/>
  <c r="BC124" i="4" s="1"/>
  <c r="BD124" i="4" s="1"/>
  <c r="AW124" i="4"/>
  <c r="AV124" i="4"/>
  <c r="AU124" i="4"/>
  <c r="AD124" i="4"/>
  <c r="AE124" i="4" s="1"/>
  <c r="AB124" i="4"/>
  <c r="AA124" i="4"/>
  <c r="W124" i="4"/>
  <c r="X124" i="4" s="1"/>
  <c r="T124" i="4"/>
  <c r="U124" i="4" s="1"/>
  <c r="BB123" i="4"/>
  <c r="BC123" i="4" s="1"/>
  <c r="BD123" i="4" s="1"/>
  <c r="AV123" i="4"/>
  <c r="AW123" i="4" s="1"/>
  <c r="AU123" i="4"/>
  <c r="AD123" i="4"/>
  <c r="AE123" i="4" s="1"/>
  <c r="AA123" i="4"/>
  <c r="AB123" i="4" s="1"/>
  <c r="W123" i="4"/>
  <c r="X123" i="4" s="1"/>
  <c r="T123" i="4"/>
  <c r="U123" i="4" s="1"/>
  <c r="BB122" i="4"/>
  <c r="BC122" i="4" s="1"/>
  <c r="BD122" i="4" s="1"/>
  <c r="AU122" i="4"/>
  <c r="AV122" i="4" s="1"/>
  <c r="AW122" i="4" s="1"/>
  <c r="AL122" i="4"/>
  <c r="AK122" i="4"/>
  <c r="AG122" i="4"/>
  <c r="AH122" i="4" s="1"/>
  <c r="AI122" i="4" s="1"/>
  <c r="AE122" i="4"/>
  <c r="AD122" i="4"/>
  <c r="AA122" i="4"/>
  <c r="AB122" i="4" s="1"/>
  <c r="W122" i="4"/>
  <c r="X122" i="4" s="1"/>
  <c r="T122" i="4"/>
  <c r="U122" i="4" s="1"/>
  <c r="BC121" i="4"/>
  <c r="BD121" i="4" s="1"/>
  <c r="BB121" i="4"/>
  <c r="AV121" i="4"/>
  <c r="AW121" i="4" s="1"/>
  <c r="AU121" i="4"/>
  <c r="AK121" i="4"/>
  <c r="AL121" i="4" s="1"/>
  <c r="AH121" i="4"/>
  <c r="AI121" i="4" s="1"/>
  <c r="AG121" i="4"/>
  <c r="AD121" i="4"/>
  <c r="AE121" i="4" s="1"/>
  <c r="AA121" i="4"/>
  <c r="AB121" i="4" s="1"/>
  <c r="X121" i="4"/>
  <c r="W121" i="4"/>
  <c r="T121" i="4"/>
  <c r="U121" i="4" s="1"/>
  <c r="BB120" i="4"/>
  <c r="BC120" i="4" s="1"/>
  <c r="BD120" i="4" s="1"/>
  <c r="AU120" i="4"/>
  <c r="AV120" i="4" s="1"/>
  <c r="AW120" i="4" s="1"/>
  <c r="AD120" i="4"/>
  <c r="AE120" i="4" s="1"/>
  <c r="AB120" i="4"/>
  <c r="AA120" i="4"/>
  <c r="W120" i="4"/>
  <c r="X120" i="4" s="1"/>
  <c r="T120" i="4"/>
  <c r="U120" i="4" s="1"/>
  <c r="BB119" i="4"/>
  <c r="BC119" i="4" s="1"/>
  <c r="BD119" i="4" s="1"/>
  <c r="AV119" i="4"/>
  <c r="AW119" i="4" s="1"/>
  <c r="AU119" i="4"/>
  <c r="AD119" i="4"/>
  <c r="AE119" i="4" s="1"/>
  <c r="AA119" i="4"/>
  <c r="AB119" i="4" s="1"/>
  <c r="W119" i="4"/>
  <c r="X119" i="4" s="1"/>
  <c r="T119" i="4"/>
  <c r="U119" i="4" s="1"/>
  <c r="BB118" i="4"/>
  <c r="BC118" i="4" s="1"/>
  <c r="BD118" i="4" s="1"/>
  <c r="AU118" i="4"/>
  <c r="AV118" i="4" s="1"/>
  <c r="AW118" i="4" s="1"/>
  <c r="AD118" i="4"/>
  <c r="AE118" i="4" s="1"/>
  <c r="AA118" i="4"/>
  <c r="AB118" i="4" s="1"/>
  <c r="W118" i="4"/>
  <c r="X118" i="4" s="1"/>
  <c r="T118" i="4"/>
  <c r="U118" i="4" s="1"/>
  <c r="BB117" i="4"/>
  <c r="BC117" i="4" s="1"/>
  <c r="BD117" i="4" s="1"/>
  <c r="AV117" i="4"/>
  <c r="AW117" i="4" s="1"/>
  <c r="AU117" i="4"/>
  <c r="AE117" i="4"/>
  <c r="AD117" i="4"/>
  <c r="AA117" i="4"/>
  <c r="AB117" i="4" s="1"/>
  <c r="W117" i="4"/>
  <c r="X117" i="4" s="1"/>
  <c r="T117" i="4"/>
  <c r="U117" i="4" s="1"/>
  <c r="BB116" i="4"/>
  <c r="BC116" i="4" s="1"/>
  <c r="BD116" i="4" s="1"/>
  <c r="AU116" i="4"/>
  <c r="AV116" i="4" s="1"/>
  <c r="AW116" i="4" s="1"/>
  <c r="AD116" i="4"/>
  <c r="AE116" i="4" s="1"/>
  <c r="AB116" i="4"/>
  <c r="AA116" i="4"/>
  <c r="W116" i="4"/>
  <c r="X116" i="4" s="1"/>
  <c r="T116" i="4"/>
  <c r="U116" i="4" s="1"/>
  <c r="BD115" i="4"/>
  <c r="BC115" i="4"/>
  <c r="BB115" i="4"/>
  <c r="AW115" i="4"/>
  <c r="AU115" i="4"/>
  <c r="AV115" i="4" s="1"/>
  <c r="AD115" i="4"/>
  <c r="AE115" i="4" s="1"/>
  <c r="AA115" i="4"/>
  <c r="AB115" i="4" s="1"/>
  <c r="W115" i="4"/>
  <c r="X115" i="4" s="1"/>
  <c r="U115" i="4"/>
  <c r="T115" i="4"/>
  <c r="BB114" i="4"/>
  <c r="BC114" i="4" s="1"/>
  <c r="BD114" i="4" s="1"/>
  <c r="AU114" i="4"/>
  <c r="AV114" i="4" s="1"/>
  <c r="AW114" i="4" s="1"/>
  <c r="AD114" i="4"/>
  <c r="AE114" i="4" s="1"/>
  <c r="AA114" i="4"/>
  <c r="AB114" i="4" s="1"/>
  <c r="X114" i="4"/>
  <c r="W114" i="4"/>
  <c r="T114" i="4"/>
  <c r="U114" i="4" s="1"/>
  <c r="BB113" i="4"/>
  <c r="BC113" i="4" s="1"/>
  <c r="BD113" i="4" s="1"/>
  <c r="AU113" i="4"/>
  <c r="AV113" i="4" s="1"/>
  <c r="AW113" i="4" s="1"/>
  <c r="AE113" i="4"/>
  <c r="AD113" i="4"/>
  <c r="AB113" i="4"/>
  <c r="AA113" i="4"/>
  <c r="W113" i="4"/>
  <c r="X113" i="4" s="1"/>
  <c r="T113" i="4"/>
  <c r="U113" i="4" s="1"/>
  <c r="BB112" i="4"/>
  <c r="BC112" i="4" s="1"/>
  <c r="BD112" i="4" s="1"/>
  <c r="AW112" i="4"/>
  <c r="AV112" i="4"/>
  <c r="AU112" i="4"/>
  <c r="AD112" i="4"/>
  <c r="AE112" i="4" s="1"/>
  <c r="AA112" i="4"/>
  <c r="AB112" i="4" s="1"/>
  <c r="W112" i="4"/>
  <c r="X112" i="4" s="1"/>
  <c r="T112" i="4"/>
  <c r="U112" i="4" s="1"/>
  <c r="BB111" i="4"/>
  <c r="BC111" i="4" s="1"/>
  <c r="BD111" i="4" s="1"/>
  <c r="AU111" i="4"/>
  <c r="AV111" i="4" s="1"/>
  <c r="AW111" i="4" s="1"/>
  <c r="AD111" i="4"/>
  <c r="AE111" i="4" s="1"/>
  <c r="AB111" i="4"/>
  <c r="AA111" i="4"/>
  <c r="X111" i="4"/>
  <c r="W111" i="4"/>
  <c r="U111" i="4"/>
  <c r="T111" i="4"/>
  <c r="BB110" i="4"/>
  <c r="BC110" i="4" s="1"/>
  <c r="BD110" i="4" s="1"/>
  <c r="AU110" i="4"/>
  <c r="AV110" i="4" s="1"/>
  <c r="AW110" i="4" s="1"/>
  <c r="AD110" i="4"/>
  <c r="AE110" i="4" s="1"/>
  <c r="AB110" i="4"/>
  <c r="AA110" i="4"/>
  <c r="W110" i="4"/>
  <c r="X110" i="4" s="1"/>
  <c r="T110" i="4"/>
  <c r="U110" i="4" s="1"/>
  <c r="BC109" i="4"/>
  <c r="BD109" i="4" s="1"/>
  <c r="BB109" i="4"/>
  <c r="AU109" i="4"/>
  <c r="AV109" i="4" s="1"/>
  <c r="AW109" i="4" s="1"/>
  <c r="AE109" i="4"/>
  <c r="AD109" i="4"/>
  <c r="AA109" i="4"/>
  <c r="AB109" i="4" s="1"/>
  <c r="W109" i="4"/>
  <c r="X109" i="4" s="1"/>
  <c r="U109" i="4"/>
  <c r="T109" i="4"/>
  <c r="BB108" i="4"/>
  <c r="BC108" i="4" s="1"/>
  <c r="BD108" i="4" s="1"/>
  <c r="AU108" i="4"/>
  <c r="AV108" i="4" s="1"/>
  <c r="AW108" i="4" s="1"/>
  <c r="AD108" i="4"/>
  <c r="AE108" i="4" s="1"/>
  <c r="AA108" i="4"/>
  <c r="AB108" i="4" s="1"/>
  <c r="W108" i="4"/>
  <c r="X108" i="4" s="1"/>
  <c r="T108" i="4"/>
  <c r="U108" i="4" s="1"/>
  <c r="BC107" i="4"/>
  <c r="BD107" i="4" s="1"/>
  <c r="BB107" i="4"/>
  <c r="AU107" i="4"/>
  <c r="AV107" i="4" s="1"/>
  <c r="AW107" i="4" s="1"/>
  <c r="AD107" i="4"/>
  <c r="AE107" i="4" s="1"/>
  <c r="AB107" i="4"/>
  <c r="AA107" i="4"/>
  <c r="W107" i="4"/>
  <c r="X107" i="4" s="1"/>
  <c r="T107" i="4"/>
  <c r="U107" i="4" s="1"/>
  <c r="BB106" i="4"/>
  <c r="BC106" i="4" s="1"/>
  <c r="BD106" i="4" s="1"/>
  <c r="AU106" i="4"/>
  <c r="AV106" i="4" s="1"/>
  <c r="AW106" i="4" s="1"/>
  <c r="AD106" i="4"/>
  <c r="AE106" i="4" s="1"/>
  <c r="AA106" i="4"/>
  <c r="AB106" i="4" s="1"/>
  <c r="W106" i="4"/>
  <c r="X106" i="4" s="1"/>
  <c r="T106" i="4"/>
  <c r="U106" i="4" s="1"/>
  <c r="BB105" i="4"/>
  <c r="BC105" i="4" s="1"/>
  <c r="BD105" i="4" s="1"/>
  <c r="AU105" i="4"/>
  <c r="AV105" i="4" s="1"/>
  <c r="AW105" i="4" s="1"/>
  <c r="AE105" i="4"/>
  <c r="AD105" i="4"/>
  <c r="AA105" i="4"/>
  <c r="AB105" i="4" s="1"/>
  <c r="X105" i="4"/>
  <c r="W105" i="4"/>
  <c r="T105" i="4"/>
  <c r="U105" i="4" s="1"/>
  <c r="BC104" i="4"/>
  <c r="BD104" i="4" s="1"/>
  <c r="BB104" i="4"/>
  <c r="AV104" i="4"/>
  <c r="AW104" i="4" s="1"/>
  <c r="AU104" i="4"/>
  <c r="AD104" i="4"/>
  <c r="AE104" i="4" s="1"/>
  <c r="AA104" i="4"/>
  <c r="AB104" i="4" s="1"/>
  <c r="W104" i="4"/>
  <c r="X104" i="4" s="1"/>
  <c r="U104" i="4"/>
  <c r="T104" i="4"/>
  <c r="BB103" i="4"/>
  <c r="BC103" i="4" s="1"/>
  <c r="BD103" i="4" s="1"/>
  <c r="AV103" i="4"/>
  <c r="AW103" i="4" s="1"/>
  <c r="AU103" i="4"/>
  <c r="AD103" i="4"/>
  <c r="AE103" i="4" s="1"/>
  <c r="AA103" i="4"/>
  <c r="AB103" i="4" s="1"/>
  <c r="X103" i="4"/>
  <c r="W103" i="4"/>
  <c r="U103" i="4"/>
  <c r="T103" i="4"/>
  <c r="BC102" i="4"/>
  <c r="BD102" i="4" s="1"/>
  <c r="BB102" i="4"/>
  <c r="AU102" i="4"/>
  <c r="AV102" i="4" s="1"/>
  <c r="AW102" i="4" s="1"/>
  <c r="AL102" i="4"/>
  <c r="AK102" i="4"/>
  <c r="AG102" i="4"/>
  <c r="AH102" i="4" s="1"/>
  <c r="AI102" i="4" s="1"/>
  <c r="AE102" i="4"/>
  <c r="AD102" i="4"/>
  <c r="AA102" i="4"/>
  <c r="AB102" i="4" s="1"/>
  <c r="W102" i="4"/>
  <c r="X102" i="4" s="1"/>
  <c r="U102" i="4"/>
  <c r="T102" i="4"/>
  <c r="BC101" i="4"/>
  <c r="BD101" i="4" s="1"/>
  <c r="BB101" i="4"/>
  <c r="AU101" i="4"/>
  <c r="AV101" i="4" s="1"/>
  <c r="AW101" i="4" s="1"/>
  <c r="AD101" i="4"/>
  <c r="AE101" i="4" s="1"/>
  <c r="AA101" i="4"/>
  <c r="AB101" i="4" s="1"/>
  <c r="X101" i="4"/>
  <c r="W101" i="4"/>
  <c r="U101" i="4"/>
  <c r="T101" i="4"/>
  <c r="BB100" i="4"/>
  <c r="BC100" i="4" s="1"/>
  <c r="BD100" i="4" s="1"/>
  <c r="AU100" i="4"/>
  <c r="AV100" i="4" s="1"/>
  <c r="AW100" i="4" s="1"/>
  <c r="AE100" i="4"/>
  <c r="AD100" i="4"/>
  <c r="AB100" i="4"/>
  <c r="AA100" i="4"/>
  <c r="X100" i="4"/>
  <c r="W100" i="4"/>
  <c r="T100" i="4"/>
  <c r="U100" i="4" s="1"/>
  <c r="BB99" i="4"/>
  <c r="BC99" i="4" s="1"/>
  <c r="BD99" i="4" s="1"/>
  <c r="AU99" i="4"/>
  <c r="AV99" i="4" s="1"/>
  <c r="AW99" i="4" s="1"/>
  <c r="AD99" i="4"/>
  <c r="AE99" i="4" s="1"/>
  <c r="AA99" i="4"/>
  <c r="AB99" i="4" s="1"/>
  <c r="W99" i="4"/>
  <c r="X99" i="4" s="1"/>
  <c r="U99" i="4"/>
  <c r="T99" i="4"/>
  <c r="BB98" i="4"/>
  <c r="BC98" i="4" s="1"/>
  <c r="BD98" i="4" s="1"/>
  <c r="AV98" i="4"/>
  <c r="AW98" i="4" s="1"/>
  <c r="AU98" i="4"/>
  <c r="AD98" i="4"/>
  <c r="AE98" i="4" s="1"/>
  <c r="AB98" i="4"/>
  <c r="AA98" i="4"/>
  <c r="X98" i="4"/>
  <c r="W98" i="4"/>
  <c r="T98" i="4"/>
  <c r="U98" i="4" s="1"/>
  <c r="BB97" i="4"/>
  <c r="BC97" i="4" s="1"/>
  <c r="BD97" i="4" s="1"/>
  <c r="AU97" i="4"/>
  <c r="AV97" i="4" s="1"/>
  <c r="AW97" i="4" s="1"/>
  <c r="AE97" i="4"/>
  <c r="AD97" i="4"/>
  <c r="AA97" i="4"/>
  <c r="AB97" i="4" s="1"/>
  <c r="W97" i="4"/>
  <c r="X97" i="4" s="1"/>
  <c r="T97" i="4"/>
  <c r="U97" i="4" s="1"/>
  <c r="BB96" i="4"/>
  <c r="BC96" i="4" s="1"/>
  <c r="BD96" i="4" s="1"/>
  <c r="AV96" i="4"/>
  <c r="AW96" i="4" s="1"/>
  <c r="AU96" i="4"/>
  <c r="AD96" i="4"/>
  <c r="AE96" i="4" s="1"/>
  <c r="AA96" i="4"/>
  <c r="AB96" i="4" s="1"/>
  <c r="W96" i="4"/>
  <c r="X96" i="4" s="1"/>
  <c r="T96" i="4"/>
  <c r="U96" i="4" s="1"/>
  <c r="BB95" i="4"/>
  <c r="BC95" i="4" s="1"/>
  <c r="BD95" i="4" s="1"/>
  <c r="AU95" i="4"/>
  <c r="AV95" i="4" s="1"/>
  <c r="AW95" i="4" s="1"/>
  <c r="AD95" i="4"/>
  <c r="AE95" i="4" s="1"/>
  <c r="AB95" i="4"/>
  <c r="AA95" i="4"/>
  <c r="W95" i="4"/>
  <c r="X95" i="4" s="1"/>
  <c r="T95" i="4"/>
  <c r="U95" i="4" s="1"/>
  <c r="BD94" i="4"/>
  <c r="BC94" i="4"/>
  <c r="BB94" i="4"/>
  <c r="AV94" i="4"/>
  <c r="AW94" i="4" s="1"/>
  <c r="AU94" i="4"/>
  <c r="AE94" i="4"/>
  <c r="AD94" i="4"/>
  <c r="AB94" i="4"/>
  <c r="AA94" i="4"/>
  <c r="W94" i="4"/>
  <c r="X94" i="4" s="1"/>
  <c r="T94" i="4"/>
  <c r="U94" i="4" s="1"/>
  <c r="BB93" i="4"/>
  <c r="BC93" i="4" s="1"/>
  <c r="BD93" i="4" s="1"/>
  <c r="AU93" i="4"/>
  <c r="AV93" i="4" s="1"/>
  <c r="AW93" i="4" s="1"/>
  <c r="AD93" i="4"/>
  <c r="AE93" i="4" s="1"/>
  <c r="AA93" i="4"/>
  <c r="AB93" i="4" s="1"/>
  <c r="W93" i="4"/>
  <c r="X93" i="4" s="1"/>
  <c r="T93" i="4"/>
  <c r="U93" i="4" s="1"/>
  <c r="BB92" i="4"/>
  <c r="BC92" i="4" s="1"/>
  <c r="BD92" i="4" s="1"/>
  <c r="AU92" i="4"/>
  <c r="AV92" i="4" s="1"/>
  <c r="AW92" i="4" s="1"/>
  <c r="AE92" i="4"/>
  <c r="AD92" i="4"/>
  <c r="AA92" i="4"/>
  <c r="AB92" i="4" s="1"/>
  <c r="W92" i="4"/>
  <c r="X92" i="4" s="1"/>
  <c r="T92" i="4"/>
  <c r="U92" i="4" s="1"/>
  <c r="BB91" i="4"/>
  <c r="BC91" i="4" s="1"/>
  <c r="BD91" i="4" s="1"/>
  <c r="AU91" i="4"/>
  <c r="AV91" i="4" s="1"/>
  <c r="AW91" i="4" s="1"/>
  <c r="AD91" i="4"/>
  <c r="AE91" i="4" s="1"/>
  <c r="AA91" i="4"/>
  <c r="AB91" i="4" s="1"/>
  <c r="W91" i="4"/>
  <c r="X91" i="4" s="1"/>
  <c r="U91" i="4"/>
  <c r="T91" i="4"/>
  <c r="BB90" i="4"/>
  <c r="BC90" i="4" s="1"/>
  <c r="BD90" i="4" s="1"/>
  <c r="AU90" i="4"/>
  <c r="AV90" i="4" s="1"/>
  <c r="AW90" i="4" s="1"/>
  <c r="AD90" i="4"/>
  <c r="AE90" i="4" s="1"/>
  <c r="AB90" i="4"/>
  <c r="AA90" i="4"/>
  <c r="W90" i="4"/>
  <c r="X90" i="4" s="1"/>
  <c r="T90" i="4"/>
  <c r="U90" i="4" s="1"/>
  <c r="BC89" i="4"/>
  <c r="BD89" i="4" s="1"/>
  <c r="BB89" i="4"/>
  <c r="AU89" i="4"/>
  <c r="AV89" i="4" s="1"/>
  <c r="AW89" i="4" s="1"/>
  <c r="AD89" i="4"/>
  <c r="AE89" i="4" s="1"/>
  <c r="AA89" i="4"/>
  <c r="AB89" i="4" s="1"/>
  <c r="W89" i="4"/>
  <c r="X89" i="4" s="1"/>
  <c r="T89" i="4"/>
  <c r="U89" i="4" s="1"/>
  <c r="BC88" i="4"/>
  <c r="BD88" i="4" s="1"/>
  <c r="BB88" i="4"/>
  <c r="AV88" i="4"/>
  <c r="AW88" i="4" s="1"/>
  <c r="AU88" i="4"/>
  <c r="AD88" i="4"/>
  <c r="AE88" i="4" s="1"/>
  <c r="AA88" i="4"/>
  <c r="AB88" i="4" s="1"/>
  <c r="W88" i="4"/>
  <c r="X88" i="4" s="1"/>
  <c r="U88" i="4"/>
  <c r="T88" i="4"/>
  <c r="BB87" i="4"/>
  <c r="BC87" i="4" s="1"/>
  <c r="BD87" i="4" s="1"/>
  <c r="AU87" i="4"/>
  <c r="AV87" i="4" s="1"/>
  <c r="AW87" i="4" s="1"/>
  <c r="AD87" i="4"/>
  <c r="AE87" i="4" s="1"/>
  <c r="AA87" i="4"/>
  <c r="AB87" i="4" s="1"/>
  <c r="W87" i="4"/>
  <c r="X87" i="4" s="1"/>
  <c r="T87" i="4"/>
  <c r="U87" i="4" s="1"/>
  <c r="BC86" i="4"/>
  <c r="BD86" i="4" s="1"/>
  <c r="BB86" i="4"/>
  <c r="AU86" i="4"/>
  <c r="AV86" i="4" s="1"/>
  <c r="AW86" i="4" s="1"/>
  <c r="AE86" i="4"/>
  <c r="AD86" i="4"/>
  <c r="AA86" i="4"/>
  <c r="AB86" i="4" s="1"/>
  <c r="W86" i="4"/>
  <c r="X86" i="4" s="1"/>
  <c r="T86" i="4"/>
  <c r="U86" i="4" s="1"/>
  <c r="BB85" i="4"/>
  <c r="BC85" i="4" s="1"/>
  <c r="BD85" i="4" s="1"/>
  <c r="AW85" i="4"/>
  <c r="AU85" i="4"/>
  <c r="AV85" i="4" s="1"/>
  <c r="AD85" i="4"/>
  <c r="AE85" i="4" s="1"/>
  <c r="AA85" i="4"/>
  <c r="AB85" i="4" s="1"/>
  <c r="W85" i="4"/>
  <c r="X85" i="4" s="1"/>
  <c r="U85" i="4"/>
  <c r="T85" i="4"/>
  <c r="BB84" i="4"/>
  <c r="BC84" i="4" s="1"/>
  <c r="BD84" i="4" s="1"/>
  <c r="AU84" i="4"/>
  <c r="AV84" i="4" s="1"/>
  <c r="AW84" i="4" s="1"/>
  <c r="AD84" i="4"/>
  <c r="AE84" i="4" s="1"/>
  <c r="AB84" i="4"/>
  <c r="AA84" i="4"/>
  <c r="W84" i="4"/>
  <c r="X84" i="4" s="1"/>
  <c r="T84" i="4"/>
  <c r="U84" i="4" s="1"/>
  <c r="BE83" i="4"/>
  <c r="BB83" i="4"/>
  <c r="BC83" i="4" s="1"/>
  <c r="BD83" i="4" s="1"/>
  <c r="AU83" i="4"/>
  <c r="AV83" i="4" s="1"/>
  <c r="AW83" i="4" s="1"/>
  <c r="AD83" i="4"/>
  <c r="AE83" i="4" s="1"/>
  <c r="AA83" i="4"/>
  <c r="AB83" i="4" s="1"/>
  <c r="W83" i="4"/>
  <c r="X83" i="4" s="1"/>
  <c r="U83" i="4"/>
  <c r="T83" i="4"/>
  <c r="BB82" i="4"/>
  <c r="BC82" i="4" s="1"/>
  <c r="BD82" i="4" s="1"/>
  <c r="AU82" i="4"/>
  <c r="AV82" i="4" s="1"/>
  <c r="AW82" i="4" s="1"/>
  <c r="AE82" i="4"/>
  <c r="AD82" i="4"/>
  <c r="AA82" i="4"/>
  <c r="AB82" i="4" s="1"/>
  <c r="W82" i="4"/>
  <c r="X82" i="4" s="1"/>
  <c r="T82" i="4"/>
  <c r="U82" i="4" s="1"/>
  <c r="BB81" i="4"/>
  <c r="BC81" i="4" s="1"/>
  <c r="BD81" i="4" s="1"/>
  <c r="AU81" i="4"/>
  <c r="AV81" i="4" s="1"/>
  <c r="AW81" i="4" s="1"/>
  <c r="AD81" i="4"/>
  <c r="AE81" i="4" s="1"/>
  <c r="AB81" i="4"/>
  <c r="AA81" i="4"/>
  <c r="W81" i="4"/>
  <c r="X81" i="4" s="1"/>
  <c r="T81" i="4"/>
  <c r="U81" i="4" s="1"/>
  <c r="BB80" i="4"/>
  <c r="BC80" i="4" s="1"/>
  <c r="BD80" i="4" s="1"/>
  <c r="AU80" i="4"/>
  <c r="AV80" i="4" s="1"/>
  <c r="AW80" i="4" s="1"/>
  <c r="AE80" i="4"/>
  <c r="AD80" i="4"/>
  <c r="AA80" i="4"/>
  <c r="AB80" i="4" s="1"/>
  <c r="X80" i="4"/>
  <c r="W80" i="4"/>
  <c r="U80" i="4"/>
  <c r="T80" i="4"/>
  <c r="BB79" i="4"/>
  <c r="BC79" i="4" s="1"/>
  <c r="BD79" i="4" s="1"/>
  <c r="AU79" i="4"/>
  <c r="AV79" i="4" s="1"/>
  <c r="AW79" i="4" s="1"/>
  <c r="AD79" i="4"/>
  <c r="AE79" i="4" s="1"/>
  <c r="AA79" i="4"/>
  <c r="AB79" i="4" s="1"/>
  <c r="BE79" i="4" s="1"/>
  <c r="W79" i="4"/>
  <c r="X79" i="4" s="1"/>
  <c r="U79" i="4"/>
  <c r="T79" i="4"/>
  <c r="BB78" i="4"/>
  <c r="BC78" i="4" s="1"/>
  <c r="BD78" i="4" s="1"/>
  <c r="AU78" i="4"/>
  <c r="AV78" i="4" s="1"/>
  <c r="AW78" i="4" s="1"/>
  <c r="AD78" i="4"/>
  <c r="AE78" i="4" s="1"/>
  <c r="AA78" i="4"/>
  <c r="AB78" i="4" s="1"/>
  <c r="W78" i="4"/>
  <c r="X78" i="4" s="1"/>
  <c r="T78" i="4"/>
  <c r="U78" i="4" s="1"/>
  <c r="BB77" i="4"/>
  <c r="BC77" i="4" s="1"/>
  <c r="BD77" i="4" s="1"/>
  <c r="AW77" i="4"/>
  <c r="AU77" i="4"/>
  <c r="AV77" i="4" s="1"/>
  <c r="AD77" i="4"/>
  <c r="AE77" i="4" s="1"/>
  <c r="AA77" i="4"/>
  <c r="AB77" i="4" s="1"/>
  <c r="W77" i="4"/>
  <c r="X77" i="4" s="1"/>
  <c r="T77" i="4"/>
  <c r="U77" i="4" s="1"/>
  <c r="BB76" i="4"/>
  <c r="BC76" i="4" s="1"/>
  <c r="BD76" i="4" s="1"/>
  <c r="AU76" i="4"/>
  <c r="AV76" i="4" s="1"/>
  <c r="AW76" i="4" s="1"/>
  <c r="AK76" i="4"/>
  <c r="AL76" i="4" s="1"/>
  <c r="AH76" i="4"/>
  <c r="AI76" i="4" s="1"/>
  <c r="AG76" i="4"/>
  <c r="AD76" i="4"/>
  <c r="AE76" i="4" s="1"/>
  <c r="AA76" i="4"/>
  <c r="AB76" i="4" s="1"/>
  <c r="W76" i="4"/>
  <c r="X76" i="4" s="1"/>
  <c r="T76" i="4"/>
  <c r="U76" i="4" s="1"/>
  <c r="BB75" i="4"/>
  <c r="BC75" i="4" s="1"/>
  <c r="BD75" i="4" s="1"/>
  <c r="AV75" i="4"/>
  <c r="AW75" i="4" s="1"/>
  <c r="AU75" i="4"/>
  <c r="AD75" i="4"/>
  <c r="AE75" i="4" s="1"/>
  <c r="AA75" i="4"/>
  <c r="AB75" i="4" s="1"/>
  <c r="W75" i="4"/>
  <c r="X75" i="4" s="1"/>
  <c r="U75" i="4"/>
  <c r="T75" i="4"/>
  <c r="BC74" i="4"/>
  <c r="BD74" i="4" s="1"/>
  <c r="BB74" i="4"/>
  <c r="AV74" i="4"/>
  <c r="AW74" i="4" s="1"/>
  <c r="AU74" i="4"/>
  <c r="AD74" i="4"/>
  <c r="AE74" i="4" s="1"/>
  <c r="AA74" i="4"/>
  <c r="AB74" i="4" s="1"/>
  <c r="W74" i="4"/>
  <c r="X74" i="4" s="1"/>
  <c r="T74" i="4"/>
  <c r="U74" i="4" s="1"/>
  <c r="BB73" i="4"/>
  <c r="BC73" i="4" s="1"/>
  <c r="BD73" i="4" s="1"/>
  <c r="AU73" i="4"/>
  <c r="AV73" i="4" s="1"/>
  <c r="AW73" i="4" s="1"/>
  <c r="AE73" i="4"/>
  <c r="AD73" i="4"/>
  <c r="AA73" i="4"/>
  <c r="AB73" i="4" s="1"/>
  <c r="X73" i="4"/>
  <c r="W73" i="4"/>
  <c r="T73" i="4"/>
  <c r="U73" i="4" s="1"/>
  <c r="BB72" i="4"/>
  <c r="BC72" i="4" s="1"/>
  <c r="BD72" i="4" s="1"/>
  <c r="AU72" i="4"/>
  <c r="AV72" i="4" s="1"/>
  <c r="AW72" i="4" s="1"/>
  <c r="AE72" i="4"/>
  <c r="AD72" i="4"/>
  <c r="AA72" i="4"/>
  <c r="AB72" i="4" s="1"/>
  <c r="W72" i="4"/>
  <c r="X72" i="4" s="1"/>
  <c r="T72" i="4"/>
  <c r="U72" i="4" s="1"/>
  <c r="BB71" i="4"/>
  <c r="BC71" i="4" s="1"/>
  <c r="BD71" i="4" s="1"/>
  <c r="AV71" i="4"/>
  <c r="AW71" i="4" s="1"/>
  <c r="AU71" i="4"/>
  <c r="AD71" i="4"/>
  <c r="AE71" i="4" s="1"/>
  <c r="AA71" i="4"/>
  <c r="AB71" i="4" s="1"/>
  <c r="W71" i="4"/>
  <c r="X71" i="4" s="1"/>
  <c r="T71" i="4"/>
  <c r="U71" i="4" s="1"/>
  <c r="BC70" i="4"/>
  <c r="BD70" i="4" s="1"/>
  <c r="BB70" i="4"/>
  <c r="AU70" i="4"/>
  <c r="AV70" i="4" s="1"/>
  <c r="AW70" i="4" s="1"/>
  <c r="AD70" i="4"/>
  <c r="AE70" i="4" s="1"/>
  <c r="AB70" i="4"/>
  <c r="AA70" i="4"/>
  <c r="W70" i="4"/>
  <c r="X70" i="4" s="1"/>
  <c r="T70" i="4"/>
  <c r="U70" i="4" s="1"/>
  <c r="BB69" i="4"/>
  <c r="BC69" i="4" s="1"/>
  <c r="BD69" i="4" s="1"/>
  <c r="AU69" i="4"/>
  <c r="AV69" i="4" s="1"/>
  <c r="AW69" i="4" s="1"/>
  <c r="AE69" i="4"/>
  <c r="AD69" i="4"/>
  <c r="AA69" i="4"/>
  <c r="AB69" i="4" s="1"/>
  <c r="W69" i="4"/>
  <c r="X69" i="4" s="1"/>
  <c r="T69" i="4"/>
  <c r="U69" i="4" s="1"/>
  <c r="BB68" i="4"/>
  <c r="BC68" i="4" s="1"/>
  <c r="BD68" i="4" s="1"/>
  <c r="AU68" i="4"/>
  <c r="AV68" i="4" s="1"/>
  <c r="AW68" i="4" s="1"/>
  <c r="BE68" i="4" s="1"/>
  <c r="AD68" i="4"/>
  <c r="AE68" i="4" s="1"/>
  <c r="AA68" i="4"/>
  <c r="AB68" i="4" s="1"/>
  <c r="X68" i="4"/>
  <c r="W68" i="4"/>
  <c r="T68" i="4"/>
  <c r="U68" i="4" s="1"/>
  <c r="BB67" i="4"/>
  <c r="BC67" i="4" s="1"/>
  <c r="BD67" i="4" s="1"/>
  <c r="AV67" i="4"/>
  <c r="AW67" i="4" s="1"/>
  <c r="AU67" i="4"/>
  <c r="AD67" i="4"/>
  <c r="AE67" i="4" s="1"/>
  <c r="AB67" i="4"/>
  <c r="AA67" i="4"/>
  <c r="W67" i="4"/>
  <c r="X67" i="4" s="1"/>
  <c r="T67" i="4"/>
  <c r="U67" i="4" s="1"/>
  <c r="BC66" i="4"/>
  <c r="BD66" i="4" s="1"/>
  <c r="BB66" i="4"/>
  <c r="AV66" i="4"/>
  <c r="AW66" i="4" s="1"/>
  <c r="AU66" i="4"/>
  <c r="AD66" i="4"/>
  <c r="AE66" i="4" s="1"/>
  <c r="AA66" i="4"/>
  <c r="AB66" i="4" s="1"/>
  <c r="W66" i="4"/>
  <c r="X66" i="4" s="1"/>
  <c r="T66" i="4"/>
  <c r="U66" i="4" s="1"/>
  <c r="BB65" i="4"/>
  <c r="BC65" i="4" s="1"/>
  <c r="BD65" i="4" s="1"/>
  <c r="AU65" i="4"/>
  <c r="AV65" i="4" s="1"/>
  <c r="AW65" i="4" s="1"/>
  <c r="AE65" i="4"/>
  <c r="AD65" i="4"/>
  <c r="AA65" i="4"/>
  <c r="AB65" i="4" s="1"/>
  <c r="W65" i="4"/>
  <c r="X65" i="4" s="1"/>
  <c r="T65" i="4"/>
  <c r="U65" i="4" s="1"/>
  <c r="BB64" i="4"/>
  <c r="BC64" i="4" s="1"/>
  <c r="BD64" i="4" s="1"/>
  <c r="AU64" i="4"/>
  <c r="AV64" i="4" s="1"/>
  <c r="AW64" i="4" s="1"/>
  <c r="AE64" i="4"/>
  <c r="AD64" i="4"/>
  <c r="AA64" i="4"/>
  <c r="AB64" i="4" s="1"/>
  <c r="W64" i="4"/>
  <c r="X64" i="4" s="1"/>
  <c r="T64" i="4"/>
  <c r="U64" i="4" s="1"/>
  <c r="BB63" i="4"/>
  <c r="BC63" i="4" s="1"/>
  <c r="BD63" i="4" s="1"/>
  <c r="AU63" i="4"/>
  <c r="AV63" i="4" s="1"/>
  <c r="AW63" i="4" s="1"/>
  <c r="AK63" i="4"/>
  <c r="AL63" i="4" s="1"/>
  <c r="AH63" i="4"/>
  <c r="AI63" i="4" s="1"/>
  <c r="AG63" i="4"/>
  <c r="AD63" i="4"/>
  <c r="AE63" i="4" s="1"/>
  <c r="AA63" i="4"/>
  <c r="AB63" i="4" s="1"/>
  <c r="X63" i="4"/>
  <c r="W63" i="4"/>
  <c r="T63" i="4"/>
  <c r="U63" i="4" s="1"/>
  <c r="BE63" i="4" s="1"/>
  <c r="BB62" i="4"/>
  <c r="BC62" i="4" s="1"/>
  <c r="BD62" i="4" s="1"/>
  <c r="AV62" i="4"/>
  <c r="AW62" i="4" s="1"/>
  <c r="AU62" i="4"/>
  <c r="AD62" i="4"/>
  <c r="AE62" i="4" s="1"/>
  <c r="AB62" i="4"/>
  <c r="AA62" i="4"/>
  <c r="W62" i="4"/>
  <c r="X62" i="4" s="1"/>
  <c r="T62" i="4"/>
  <c r="U62" i="4" s="1"/>
  <c r="BB61" i="4"/>
  <c r="BC61" i="4" s="1"/>
  <c r="BD61" i="4" s="1"/>
  <c r="AV61" i="4"/>
  <c r="AW61" i="4" s="1"/>
  <c r="AU61" i="4"/>
  <c r="AD61" i="4"/>
  <c r="AE61" i="4" s="1"/>
  <c r="AA61" i="4"/>
  <c r="AB61" i="4" s="1"/>
  <c r="W61" i="4"/>
  <c r="X61" i="4" s="1"/>
  <c r="U61" i="4"/>
  <c r="T61" i="4"/>
  <c r="BB60" i="4"/>
  <c r="BC60" i="4" s="1"/>
  <c r="BD60" i="4" s="1"/>
  <c r="AU60" i="4"/>
  <c r="AV60" i="4" s="1"/>
  <c r="AW60" i="4" s="1"/>
  <c r="AE60" i="4"/>
  <c r="AD60" i="4"/>
  <c r="AB60" i="4"/>
  <c r="AA60" i="4"/>
  <c r="X60" i="4"/>
  <c r="W60" i="4"/>
  <c r="T60" i="4"/>
  <c r="U60" i="4" s="1"/>
  <c r="BC59" i="4"/>
  <c r="BD59" i="4" s="1"/>
  <c r="BB59" i="4"/>
  <c r="AU59" i="4"/>
  <c r="AV59" i="4" s="1"/>
  <c r="AW59" i="4" s="1"/>
  <c r="AE59" i="4"/>
  <c r="AD59" i="4"/>
  <c r="AA59" i="4"/>
  <c r="AB59" i="4" s="1"/>
  <c r="W59" i="4"/>
  <c r="X59" i="4" s="1"/>
  <c r="T59" i="4"/>
  <c r="U59" i="4" s="1"/>
  <c r="BB58" i="4"/>
  <c r="BC58" i="4" s="1"/>
  <c r="BD58" i="4" s="1"/>
  <c r="AV58" i="4"/>
  <c r="AW58" i="4" s="1"/>
  <c r="AU58" i="4"/>
  <c r="AD58" i="4"/>
  <c r="AE58" i="4" s="1"/>
  <c r="AA58" i="4"/>
  <c r="AB58" i="4" s="1"/>
  <c r="W58" i="4"/>
  <c r="X58" i="4" s="1"/>
  <c r="U58" i="4"/>
  <c r="T58" i="4"/>
  <c r="BC57" i="4"/>
  <c r="BD57" i="4" s="1"/>
  <c r="BB57" i="4"/>
  <c r="AU57" i="4"/>
  <c r="AV57" i="4" s="1"/>
  <c r="AW57" i="4" s="1"/>
  <c r="AD57" i="4"/>
  <c r="AE57" i="4" s="1"/>
  <c r="AA57" i="4"/>
  <c r="AB57" i="4" s="1"/>
  <c r="W57" i="4"/>
  <c r="X57" i="4" s="1"/>
  <c r="T57" i="4"/>
  <c r="U57" i="4" s="1"/>
  <c r="BC56" i="4"/>
  <c r="BD56" i="4" s="1"/>
  <c r="BB56" i="4"/>
  <c r="AU56" i="4"/>
  <c r="AV56" i="4" s="1"/>
  <c r="AW56" i="4" s="1"/>
  <c r="AD56" i="4"/>
  <c r="AE56" i="4" s="1"/>
  <c r="AA56" i="4"/>
  <c r="AB56" i="4" s="1"/>
  <c r="W56" i="4"/>
  <c r="X56" i="4" s="1"/>
  <c r="U56" i="4"/>
  <c r="T56" i="4"/>
  <c r="BB55" i="4"/>
  <c r="BC55" i="4" s="1"/>
  <c r="BD55" i="4" s="1"/>
  <c r="AU55" i="4"/>
  <c r="AV55" i="4" s="1"/>
  <c r="AW55" i="4" s="1"/>
  <c r="AD55" i="4"/>
  <c r="AE55" i="4" s="1"/>
  <c r="AA55" i="4"/>
  <c r="AB55" i="4" s="1"/>
  <c r="W55" i="4"/>
  <c r="X55" i="4" s="1"/>
  <c r="T55" i="4"/>
  <c r="U55" i="4" s="1"/>
  <c r="BB54" i="4"/>
  <c r="BC54" i="4" s="1"/>
  <c r="BD54" i="4" s="1"/>
  <c r="AU54" i="4"/>
  <c r="AV54" i="4" s="1"/>
  <c r="AW54" i="4" s="1"/>
  <c r="AE54" i="4"/>
  <c r="AD54" i="4"/>
  <c r="AB54" i="4"/>
  <c r="AA54" i="4"/>
  <c r="W54" i="4"/>
  <c r="X54" i="4" s="1"/>
  <c r="U54" i="4"/>
  <c r="T54" i="4"/>
  <c r="BB53" i="4"/>
  <c r="BC53" i="4" s="1"/>
  <c r="BD53" i="4" s="1"/>
  <c r="AU53" i="4"/>
  <c r="AV53" i="4" s="1"/>
  <c r="AW53" i="4" s="1"/>
  <c r="AD53" i="4"/>
  <c r="AE53" i="4" s="1"/>
  <c r="AA53" i="4"/>
  <c r="AB53" i="4" s="1"/>
  <c r="W53" i="4"/>
  <c r="X53" i="4" s="1"/>
  <c r="T53" i="4"/>
  <c r="U53" i="4" s="1"/>
  <c r="BB52" i="4"/>
  <c r="BC52" i="4" s="1"/>
  <c r="BD52" i="4" s="1"/>
  <c r="AU52" i="4"/>
  <c r="AV52" i="4" s="1"/>
  <c r="AW52" i="4" s="1"/>
  <c r="AE52" i="4"/>
  <c r="AD52" i="4"/>
  <c r="AA52" i="4"/>
  <c r="AB52" i="4" s="1"/>
  <c r="W52" i="4"/>
  <c r="X52" i="4" s="1"/>
  <c r="T52" i="4"/>
  <c r="U52" i="4" s="1"/>
  <c r="BB51" i="4"/>
  <c r="BC51" i="4" s="1"/>
  <c r="BD51" i="4" s="1"/>
  <c r="AU51" i="4"/>
  <c r="AV51" i="4" s="1"/>
  <c r="AW51" i="4" s="1"/>
  <c r="AD51" i="4"/>
  <c r="AE51" i="4" s="1"/>
  <c r="AA51" i="4"/>
  <c r="AB51" i="4" s="1"/>
  <c r="W51" i="4"/>
  <c r="X51" i="4" s="1"/>
  <c r="T51" i="4"/>
  <c r="U51" i="4" s="1"/>
  <c r="BB50" i="4"/>
  <c r="BC50" i="4" s="1"/>
  <c r="BD50" i="4" s="1"/>
  <c r="AV50" i="4"/>
  <c r="AW50" i="4" s="1"/>
  <c r="AU50" i="4"/>
  <c r="AD50" i="4"/>
  <c r="AE50" i="4" s="1"/>
  <c r="AB50" i="4"/>
  <c r="AA50" i="4"/>
  <c r="W50" i="4"/>
  <c r="X50" i="4" s="1"/>
  <c r="T50" i="4"/>
  <c r="U50" i="4" s="1"/>
  <c r="BB49" i="4"/>
  <c r="BC49" i="4" s="1"/>
  <c r="BD49" i="4" s="1"/>
  <c r="AU49" i="4"/>
  <c r="AV49" i="4" s="1"/>
  <c r="AW49" i="4" s="1"/>
  <c r="AD49" i="4"/>
  <c r="AE49" i="4" s="1"/>
  <c r="AB49" i="4"/>
  <c r="AA49" i="4"/>
  <c r="W49" i="4"/>
  <c r="X49" i="4" s="1"/>
  <c r="T49" i="4"/>
  <c r="U49" i="4" s="1"/>
  <c r="BB48" i="4"/>
  <c r="BC48" i="4" s="1"/>
  <c r="BD48" i="4" s="1"/>
  <c r="AV48" i="4"/>
  <c r="AW48" i="4" s="1"/>
  <c r="AU48" i="4"/>
  <c r="AE48" i="4"/>
  <c r="AD48" i="4"/>
  <c r="AA48" i="4"/>
  <c r="AB48" i="4" s="1"/>
  <c r="X48" i="4"/>
  <c r="W48" i="4"/>
  <c r="U48" i="4"/>
  <c r="T48" i="4"/>
  <c r="BB47" i="4"/>
  <c r="BC47" i="4" s="1"/>
  <c r="BD47" i="4" s="1"/>
  <c r="AU47" i="4"/>
  <c r="AV47" i="4" s="1"/>
  <c r="AW47" i="4" s="1"/>
  <c r="AD47" i="4"/>
  <c r="AE47" i="4" s="1"/>
  <c r="AA47" i="4"/>
  <c r="AB47" i="4" s="1"/>
  <c r="W47" i="4"/>
  <c r="X47" i="4" s="1"/>
  <c r="T47" i="4"/>
  <c r="U47" i="4" s="1"/>
  <c r="BE47" i="4" s="1"/>
  <c r="BB46" i="4"/>
  <c r="BC46" i="4" s="1"/>
  <c r="BD46" i="4" s="1"/>
  <c r="AV46" i="4"/>
  <c r="AW46" i="4" s="1"/>
  <c r="AU46" i="4"/>
  <c r="AK46" i="4"/>
  <c r="AL46" i="4" s="1"/>
  <c r="AI46" i="4"/>
  <c r="AH46" i="4"/>
  <c r="AG46" i="4"/>
  <c r="AD46" i="4"/>
  <c r="AE46" i="4" s="1"/>
  <c r="AA46" i="4"/>
  <c r="AB46" i="4" s="1"/>
  <c r="W46" i="4"/>
  <c r="X46" i="4" s="1"/>
  <c r="T46" i="4"/>
  <c r="U46" i="4" s="1"/>
  <c r="BB45" i="4"/>
  <c r="BC45" i="4" s="1"/>
  <c r="BD45" i="4" s="1"/>
  <c r="AU45" i="4"/>
  <c r="AV45" i="4" s="1"/>
  <c r="AW45" i="4" s="1"/>
  <c r="AD45" i="4"/>
  <c r="AE45" i="4" s="1"/>
  <c r="AB45" i="4"/>
  <c r="AA45" i="4"/>
  <c r="W45" i="4"/>
  <c r="X45" i="4" s="1"/>
  <c r="U45" i="4"/>
  <c r="T45" i="4"/>
  <c r="BD44" i="4"/>
  <c r="BB44" i="4"/>
  <c r="BC44" i="4" s="1"/>
  <c r="AU44" i="4"/>
  <c r="AV44" i="4" s="1"/>
  <c r="AW44" i="4" s="1"/>
  <c r="AD44" i="4"/>
  <c r="AE44" i="4" s="1"/>
  <c r="AB44" i="4"/>
  <c r="AA44" i="4"/>
  <c r="W44" i="4"/>
  <c r="X44" i="4" s="1"/>
  <c r="T44" i="4"/>
  <c r="U44" i="4" s="1"/>
  <c r="BB43" i="4"/>
  <c r="BC43" i="4" s="1"/>
  <c r="BD43" i="4" s="1"/>
  <c r="AV43" i="4"/>
  <c r="AW43" i="4" s="1"/>
  <c r="AU43" i="4"/>
  <c r="AE43" i="4"/>
  <c r="AD43" i="4"/>
  <c r="AA43" i="4"/>
  <c r="AB43" i="4" s="1"/>
  <c r="X43" i="4"/>
  <c r="W43" i="4"/>
  <c r="U43" i="4"/>
  <c r="T43" i="4"/>
  <c r="BB42" i="4"/>
  <c r="BC42" i="4" s="1"/>
  <c r="BD42" i="4" s="1"/>
  <c r="AU42" i="4"/>
  <c r="AV42" i="4" s="1"/>
  <c r="AW42" i="4" s="1"/>
  <c r="AD42" i="4"/>
  <c r="AE42" i="4" s="1"/>
  <c r="AA42" i="4"/>
  <c r="AB42" i="4" s="1"/>
  <c r="X42" i="4"/>
  <c r="W42" i="4"/>
  <c r="T42" i="4"/>
  <c r="U42" i="4" s="1"/>
  <c r="BB41" i="4"/>
  <c r="BC41" i="4" s="1"/>
  <c r="BD41" i="4" s="1"/>
  <c r="AV41" i="4"/>
  <c r="AW41" i="4" s="1"/>
  <c r="AU41" i="4"/>
  <c r="AD41" i="4"/>
  <c r="AE41" i="4" s="1"/>
  <c r="AA41" i="4"/>
  <c r="AB41" i="4" s="1"/>
  <c r="W41" i="4"/>
  <c r="X41" i="4" s="1"/>
  <c r="T41" i="4"/>
  <c r="U41" i="4" s="1"/>
  <c r="BC40" i="4"/>
  <c r="BD40" i="4" s="1"/>
  <c r="BB40" i="4"/>
  <c r="AV40" i="4"/>
  <c r="AW40" i="4" s="1"/>
  <c r="AU40" i="4"/>
  <c r="AD40" i="4"/>
  <c r="AE40" i="4" s="1"/>
  <c r="AA40" i="4"/>
  <c r="AB40" i="4" s="1"/>
  <c r="W40" i="4"/>
  <c r="X40" i="4" s="1"/>
  <c r="U40" i="4"/>
  <c r="T40" i="4"/>
  <c r="BB39" i="4"/>
  <c r="BC39" i="4" s="1"/>
  <c r="BD39" i="4" s="1"/>
  <c r="AU39" i="4"/>
  <c r="AV39" i="4" s="1"/>
  <c r="AW39" i="4" s="1"/>
  <c r="AD39" i="4"/>
  <c r="AE39" i="4" s="1"/>
  <c r="AB39" i="4"/>
  <c r="AA39" i="4"/>
  <c r="X39" i="4"/>
  <c r="W39" i="4"/>
  <c r="T39" i="4"/>
  <c r="U39" i="4" s="1"/>
  <c r="BC38" i="4"/>
  <c r="BD38" i="4" s="1"/>
  <c r="BB38" i="4"/>
  <c r="AU38" i="4"/>
  <c r="AV38" i="4" s="1"/>
  <c r="AW38" i="4" s="1"/>
  <c r="AE38" i="4"/>
  <c r="AD38" i="4"/>
  <c r="AA38" i="4"/>
  <c r="AB38" i="4" s="1"/>
  <c r="W38" i="4"/>
  <c r="X38" i="4" s="1"/>
  <c r="T38" i="4"/>
  <c r="U38" i="4" s="1"/>
  <c r="BB37" i="4"/>
  <c r="BC37" i="4" s="1"/>
  <c r="BD37" i="4" s="1"/>
  <c r="AU37" i="4"/>
  <c r="AV37" i="4" s="1"/>
  <c r="AW37" i="4" s="1"/>
  <c r="AD37" i="4"/>
  <c r="AE37" i="4" s="1"/>
  <c r="AA37" i="4"/>
  <c r="AB37" i="4" s="1"/>
  <c r="X37" i="4"/>
  <c r="W37" i="4"/>
  <c r="U37" i="4"/>
  <c r="T37" i="4"/>
  <c r="BD36" i="4"/>
  <c r="BC36" i="4"/>
  <c r="BB36" i="4"/>
  <c r="AU36" i="4"/>
  <c r="AV36" i="4" s="1"/>
  <c r="AW36" i="4" s="1"/>
  <c r="AK36" i="4"/>
  <c r="AL36" i="4" s="1"/>
  <c r="AG36" i="4"/>
  <c r="AH36" i="4" s="1"/>
  <c r="AI36" i="4" s="1"/>
  <c r="AD36" i="4"/>
  <c r="AE36" i="4" s="1"/>
  <c r="AB36" i="4"/>
  <c r="AA36" i="4"/>
  <c r="X36" i="4"/>
  <c r="W36" i="4"/>
  <c r="T36" i="4"/>
  <c r="U36" i="4" s="1"/>
  <c r="BB35" i="4"/>
  <c r="BC35" i="4" s="1"/>
  <c r="BD35" i="4" s="1"/>
  <c r="AU35" i="4"/>
  <c r="AV35" i="4" s="1"/>
  <c r="AW35" i="4" s="1"/>
  <c r="AD35" i="4"/>
  <c r="AE35" i="4" s="1"/>
  <c r="AA35" i="4"/>
  <c r="AB35" i="4" s="1"/>
  <c r="W35" i="4"/>
  <c r="X35" i="4" s="1"/>
  <c r="T35" i="4"/>
  <c r="U35" i="4" s="1"/>
  <c r="BB34" i="4"/>
  <c r="BC34" i="4" s="1"/>
  <c r="BD34" i="4" s="1"/>
  <c r="AU34" i="4"/>
  <c r="AV34" i="4" s="1"/>
  <c r="AW34" i="4" s="1"/>
  <c r="AE34" i="4"/>
  <c r="AD34" i="4"/>
  <c r="AB34" i="4"/>
  <c r="AA34" i="4"/>
  <c r="W34" i="4"/>
  <c r="X34" i="4" s="1"/>
  <c r="T34" i="4"/>
  <c r="U34" i="4" s="1"/>
  <c r="BC33" i="4"/>
  <c r="BD33" i="4" s="1"/>
  <c r="BB33" i="4"/>
  <c r="AU33" i="4"/>
  <c r="AV33" i="4" s="1"/>
  <c r="AW33" i="4" s="1"/>
  <c r="AD33" i="4"/>
  <c r="AE33" i="4" s="1"/>
  <c r="AA33" i="4"/>
  <c r="AB33" i="4" s="1"/>
  <c r="W33" i="4"/>
  <c r="X33" i="4" s="1"/>
  <c r="T33" i="4"/>
  <c r="U33" i="4" s="1"/>
  <c r="BB32" i="4"/>
  <c r="BC32" i="4" s="1"/>
  <c r="BD32" i="4" s="1"/>
  <c r="AV32" i="4"/>
  <c r="AW32" i="4" s="1"/>
  <c r="AU32" i="4"/>
  <c r="AE32" i="4"/>
  <c r="AD32" i="4"/>
  <c r="AA32" i="4"/>
  <c r="AB32" i="4" s="1"/>
  <c r="W32" i="4"/>
  <c r="X32" i="4" s="1"/>
  <c r="U32" i="4"/>
  <c r="T32" i="4"/>
  <c r="BC31" i="4"/>
  <c r="BD31" i="4" s="1"/>
  <c r="BB31" i="4"/>
  <c r="AU31" i="4"/>
  <c r="AV31" i="4" s="1"/>
  <c r="AW31" i="4" s="1"/>
  <c r="AD31" i="4"/>
  <c r="AE31" i="4" s="1"/>
  <c r="AA31" i="4"/>
  <c r="AB31" i="4" s="1"/>
  <c r="W31" i="4"/>
  <c r="X31" i="4" s="1"/>
  <c r="T31" i="4"/>
  <c r="U31" i="4" s="1"/>
  <c r="BB30" i="4"/>
  <c r="BC30" i="4" s="1"/>
  <c r="BD30" i="4" s="1"/>
  <c r="AV30" i="4"/>
  <c r="AW30" i="4" s="1"/>
  <c r="AU30" i="4"/>
  <c r="AD30" i="4"/>
  <c r="AE30" i="4" s="1"/>
  <c r="AA30" i="4"/>
  <c r="AB30" i="4" s="1"/>
  <c r="X30" i="4"/>
  <c r="W30" i="4"/>
  <c r="U30" i="4"/>
  <c r="T30" i="4"/>
  <c r="BB29" i="4"/>
  <c r="BC29" i="4" s="1"/>
  <c r="BD29" i="4" s="1"/>
  <c r="AU29" i="4"/>
  <c r="AV29" i="4" s="1"/>
  <c r="AW29" i="4" s="1"/>
  <c r="AD29" i="4"/>
  <c r="AE29" i="4" s="1"/>
  <c r="AA29" i="4"/>
  <c r="AB29" i="4" s="1"/>
  <c r="W29" i="4"/>
  <c r="X29" i="4" s="1"/>
  <c r="T29" i="4"/>
  <c r="U29" i="4" s="1"/>
  <c r="BD28" i="4"/>
  <c r="BB28" i="4"/>
  <c r="BC28" i="4" s="1"/>
  <c r="AV28" i="4"/>
  <c r="AW28" i="4" s="1"/>
  <c r="AU28" i="4"/>
  <c r="AE28" i="4"/>
  <c r="AD28" i="4"/>
  <c r="AA28" i="4"/>
  <c r="AB28" i="4" s="1"/>
  <c r="X28" i="4"/>
  <c r="W28" i="4"/>
  <c r="U28" i="4"/>
  <c r="T28" i="4"/>
  <c r="BC27" i="4"/>
  <c r="BD27" i="4" s="1"/>
  <c r="BB27" i="4"/>
  <c r="AU27" i="4"/>
  <c r="AV27" i="4" s="1"/>
  <c r="AW27" i="4" s="1"/>
  <c r="AD27" i="4"/>
  <c r="AE27" i="4" s="1"/>
  <c r="AA27" i="4"/>
  <c r="AB27" i="4" s="1"/>
  <c r="W27" i="4"/>
  <c r="X27" i="4" s="1"/>
  <c r="T27" i="4"/>
  <c r="U27" i="4" s="1"/>
  <c r="BB26" i="4"/>
  <c r="BC26" i="4" s="1"/>
  <c r="BD26" i="4" s="1"/>
  <c r="AV26" i="4"/>
  <c r="AW26" i="4" s="1"/>
  <c r="AU26" i="4"/>
  <c r="AD26" i="4"/>
  <c r="AE26" i="4" s="1"/>
  <c r="AB26" i="4"/>
  <c r="AA26" i="4"/>
  <c r="X26" i="4"/>
  <c r="W26" i="4"/>
  <c r="U26" i="4"/>
  <c r="T26" i="4"/>
  <c r="BB25" i="4"/>
  <c r="BC25" i="4" s="1"/>
  <c r="BD25" i="4" s="1"/>
  <c r="AW25" i="4"/>
  <c r="AU25" i="4"/>
  <c r="AV25" i="4" s="1"/>
  <c r="AD25" i="4"/>
  <c r="AE25" i="4" s="1"/>
  <c r="AA25" i="4"/>
  <c r="AB25" i="4" s="1"/>
  <c r="W25" i="4"/>
  <c r="X25" i="4" s="1"/>
  <c r="T25" i="4"/>
  <c r="U25" i="4" s="1"/>
  <c r="BB24" i="4"/>
  <c r="BC24" i="4" s="1"/>
  <c r="BD24" i="4" s="1"/>
  <c r="AV24" i="4"/>
  <c r="AW24" i="4" s="1"/>
  <c r="AU24" i="4"/>
  <c r="AD24" i="4"/>
  <c r="AE24" i="4" s="1"/>
  <c r="AA24" i="4"/>
  <c r="AB24" i="4" s="1"/>
  <c r="X24" i="4"/>
  <c r="W24" i="4"/>
  <c r="U24" i="4"/>
  <c r="T24" i="4"/>
  <c r="BB23" i="4"/>
  <c r="BC23" i="4" s="1"/>
  <c r="BD23" i="4" s="1"/>
  <c r="AU23" i="4"/>
  <c r="AV23" i="4" s="1"/>
  <c r="AW23" i="4" s="1"/>
  <c r="AD23" i="4"/>
  <c r="AE23" i="4" s="1"/>
  <c r="AA23" i="4"/>
  <c r="AB23" i="4" s="1"/>
  <c r="W23" i="4"/>
  <c r="X23" i="4" s="1"/>
  <c r="T23" i="4"/>
  <c r="U23" i="4" s="1"/>
  <c r="BB22" i="4"/>
  <c r="BC22" i="4" s="1"/>
  <c r="BD22" i="4" s="1"/>
  <c r="AU22" i="4"/>
  <c r="AV22" i="4" s="1"/>
  <c r="AW22" i="4" s="1"/>
  <c r="AD22" i="4"/>
  <c r="AE22" i="4" s="1"/>
  <c r="AA22" i="4"/>
  <c r="AB22" i="4" s="1"/>
  <c r="W22" i="4"/>
  <c r="X22" i="4" s="1"/>
  <c r="U22" i="4"/>
  <c r="T22" i="4"/>
  <c r="BB21" i="4"/>
  <c r="BC21" i="4" s="1"/>
  <c r="BD21" i="4" s="1"/>
  <c r="AU21" i="4"/>
  <c r="AV21" i="4" s="1"/>
  <c r="AW21" i="4" s="1"/>
  <c r="AD21" i="4"/>
  <c r="AE21" i="4" s="1"/>
  <c r="AA21" i="4"/>
  <c r="AB21" i="4" s="1"/>
  <c r="W21" i="4"/>
  <c r="X21" i="4" s="1"/>
  <c r="T21" i="4"/>
  <c r="U21" i="4" s="1"/>
  <c r="BB20" i="4"/>
  <c r="BC20" i="4" s="1"/>
  <c r="BD20" i="4" s="1"/>
  <c r="AU20" i="4"/>
  <c r="AV20" i="4" s="1"/>
  <c r="AW20" i="4" s="1"/>
  <c r="AD20" i="4"/>
  <c r="AE20" i="4" s="1"/>
  <c r="AB20" i="4"/>
  <c r="AA20" i="4"/>
  <c r="W20" i="4"/>
  <c r="X20" i="4" s="1"/>
  <c r="U20" i="4"/>
  <c r="T20" i="4"/>
  <c r="BC19" i="4"/>
  <c r="BD19" i="4" s="1"/>
  <c r="BB19" i="4"/>
  <c r="AU19" i="4"/>
  <c r="AV19" i="4" s="1"/>
  <c r="AW19" i="4" s="1"/>
  <c r="AD19" i="4"/>
  <c r="AE19" i="4" s="1"/>
  <c r="AA19" i="4"/>
  <c r="AB19" i="4" s="1"/>
  <c r="W19" i="4"/>
  <c r="X19" i="4" s="1"/>
  <c r="T19" i="4"/>
  <c r="U19" i="4" s="1"/>
  <c r="BB18" i="4"/>
  <c r="BC18" i="4" s="1"/>
  <c r="BD18" i="4" s="1"/>
  <c r="AU18" i="4"/>
  <c r="AV18" i="4" s="1"/>
  <c r="AW18" i="4" s="1"/>
  <c r="AD18" i="4"/>
  <c r="AE18" i="4" s="1"/>
  <c r="AB18" i="4"/>
  <c r="AA18" i="4"/>
  <c r="X18" i="4"/>
  <c r="W18" i="4"/>
  <c r="T18" i="4"/>
  <c r="U18" i="4" s="1"/>
  <c r="BC17" i="4"/>
  <c r="BD17" i="4" s="1"/>
  <c r="BB17" i="4"/>
  <c r="AU17" i="4"/>
  <c r="AV17" i="4" s="1"/>
  <c r="AW17" i="4" s="1"/>
  <c r="AD17" i="4"/>
  <c r="AE17" i="4" s="1"/>
  <c r="AA17" i="4"/>
  <c r="AB17" i="4" s="1"/>
  <c r="W17" i="4"/>
  <c r="X17" i="4" s="1"/>
  <c r="T17" i="4"/>
  <c r="U17" i="4" s="1"/>
  <c r="BB16" i="4"/>
  <c r="BC16" i="4" s="1"/>
  <c r="BD16" i="4" s="1"/>
  <c r="AV16" i="4"/>
  <c r="AW16" i="4" s="1"/>
  <c r="AU16" i="4"/>
  <c r="AD16" i="4"/>
  <c r="AE16" i="4" s="1"/>
  <c r="AB16" i="4"/>
  <c r="AA16" i="4"/>
  <c r="X16" i="4"/>
  <c r="W16" i="4"/>
  <c r="T16" i="4"/>
  <c r="U16" i="4" s="1"/>
  <c r="BB15" i="4"/>
  <c r="BC15" i="4" s="1"/>
  <c r="BD15" i="4" s="1"/>
  <c r="AU15" i="4"/>
  <c r="AV15" i="4" s="1"/>
  <c r="AW15" i="4" s="1"/>
  <c r="AD15" i="4"/>
  <c r="AE15" i="4" s="1"/>
  <c r="AA15" i="4"/>
  <c r="AB15" i="4" s="1"/>
  <c r="W15" i="4"/>
  <c r="X15" i="4" s="1"/>
  <c r="T15" i="4"/>
  <c r="U15" i="4" s="1"/>
  <c r="BB14" i="4"/>
  <c r="BC14" i="4" s="1"/>
  <c r="BD14" i="4" s="1"/>
  <c r="AU14" i="4"/>
  <c r="AV14" i="4" s="1"/>
  <c r="AW14" i="4" s="1"/>
  <c r="AE14" i="4"/>
  <c r="AD14" i="4"/>
  <c r="AA14" i="4"/>
  <c r="AB14" i="4" s="1"/>
  <c r="X14" i="4"/>
  <c r="W14" i="4"/>
  <c r="T14" i="4"/>
  <c r="U14" i="4" s="1"/>
  <c r="BB13" i="4"/>
  <c r="BC13" i="4" s="1"/>
  <c r="BD13" i="4" s="1"/>
  <c r="AW13" i="4"/>
  <c r="AU13" i="4"/>
  <c r="AV13" i="4" s="1"/>
  <c r="AD13" i="4"/>
  <c r="AE13" i="4" s="1"/>
  <c r="AA13" i="4"/>
  <c r="AB13" i="4" s="1"/>
  <c r="W13" i="4"/>
  <c r="X13" i="4" s="1"/>
  <c r="T13" i="4"/>
  <c r="U13" i="4" s="1"/>
  <c r="BD12" i="4"/>
  <c r="BB12" i="4"/>
  <c r="BC12" i="4" s="1"/>
  <c r="AV12" i="4"/>
  <c r="AW12" i="4" s="1"/>
  <c r="AU12" i="4"/>
  <c r="AD12" i="4"/>
  <c r="AE12" i="4" s="1"/>
  <c r="AB12" i="4"/>
  <c r="AA12" i="4"/>
  <c r="W12" i="4"/>
  <c r="X12" i="4" s="1"/>
  <c r="U12" i="4"/>
  <c r="T12" i="4"/>
  <c r="BC11" i="4"/>
  <c r="BD11" i="4" s="1"/>
  <c r="BB11" i="4"/>
  <c r="AU11" i="4"/>
  <c r="AV11" i="4" s="1"/>
  <c r="AW11" i="4" s="1"/>
  <c r="AD11" i="4"/>
  <c r="AE11" i="4" s="1"/>
  <c r="AA11" i="4"/>
  <c r="AB11" i="4" s="1"/>
  <c r="W11" i="4"/>
  <c r="X11" i="4" s="1"/>
  <c r="T11" i="4"/>
  <c r="U11" i="4" s="1"/>
  <c r="BB10" i="4"/>
  <c r="BC10" i="4" s="1"/>
  <c r="BD10" i="4" s="1"/>
  <c r="AU10" i="4"/>
  <c r="AV10" i="4" s="1"/>
  <c r="AW10" i="4" s="1"/>
  <c r="AE10" i="4"/>
  <c r="AD10" i="4"/>
  <c r="AA10" i="4"/>
  <c r="AB10" i="4" s="1"/>
  <c r="X10" i="4"/>
  <c r="W10" i="4"/>
  <c r="T10" i="4"/>
  <c r="U10" i="4" s="1"/>
  <c r="BB9" i="4"/>
  <c r="BC9" i="4" s="1"/>
  <c r="BD9" i="4" s="1"/>
  <c r="AU9" i="4"/>
  <c r="AV9" i="4" s="1"/>
  <c r="AW9" i="4" s="1"/>
  <c r="AE9" i="4"/>
  <c r="AD9" i="4"/>
  <c r="AA9" i="4"/>
  <c r="AB9" i="4" s="1"/>
  <c r="X9" i="4"/>
  <c r="W9" i="4"/>
  <c r="T9" i="4"/>
  <c r="U9" i="4" s="1"/>
  <c r="BB8" i="4"/>
  <c r="BC8" i="4" s="1"/>
  <c r="BD8" i="4" s="1"/>
  <c r="AV8" i="4"/>
  <c r="AW8" i="4" s="1"/>
  <c r="AU8" i="4"/>
  <c r="AK8" i="4"/>
  <c r="AL8" i="4" s="1"/>
  <c r="AG8" i="4"/>
  <c r="AH8" i="4" s="1"/>
  <c r="AI8" i="4" s="1"/>
  <c r="AD8" i="4"/>
  <c r="AE8" i="4" s="1"/>
  <c r="AA8" i="4"/>
  <c r="AB8" i="4" s="1"/>
  <c r="W8" i="4"/>
  <c r="X8" i="4" s="1"/>
  <c r="T8" i="4"/>
  <c r="U8" i="4" s="1"/>
  <c r="BB7" i="4"/>
  <c r="BC7" i="4" s="1"/>
  <c r="BD7" i="4" s="1"/>
  <c r="AV7" i="4"/>
  <c r="AW7" i="4" s="1"/>
  <c r="AU7" i="4"/>
  <c r="AD7" i="4"/>
  <c r="AE7" i="4" s="1"/>
  <c r="AA7" i="4"/>
  <c r="AB7" i="4" s="1"/>
  <c r="W7" i="4"/>
  <c r="X7" i="4" s="1"/>
  <c r="T7" i="4"/>
  <c r="U7" i="4" s="1"/>
  <c r="BC6" i="4"/>
  <c r="BD6" i="4" s="1"/>
  <c r="BB6" i="4"/>
  <c r="AU6" i="4"/>
  <c r="AV6" i="4" s="1"/>
  <c r="AW6" i="4" s="1"/>
  <c r="AD6" i="4"/>
  <c r="AE6" i="4" s="1"/>
  <c r="AA6" i="4"/>
  <c r="AB6" i="4" s="1"/>
  <c r="W6" i="4"/>
  <c r="X6" i="4" s="1"/>
  <c r="T6" i="4"/>
  <c r="U6" i="4" s="1"/>
  <c r="BB5" i="4"/>
  <c r="BC5" i="4" s="1"/>
  <c r="BD5" i="4" s="1"/>
  <c r="AU5" i="4"/>
  <c r="AV5" i="4" s="1"/>
  <c r="AW5" i="4" s="1"/>
  <c r="AE5" i="4"/>
  <c r="AD5" i="4"/>
  <c r="AA5" i="4"/>
  <c r="AB5" i="4" s="1"/>
  <c r="X5" i="4"/>
  <c r="W5" i="4"/>
  <c r="T5" i="4"/>
  <c r="U5" i="4" s="1"/>
  <c r="BB4" i="4"/>
  <c r="BC4" i="4" s="1"/>
  <c r="BD4" i="4" s="1"/>
  <c r="AU4" i="4"/>
  <c r="AV4" i="4" s="1"/>
  <c r="AW4" i="4" s="1"/>
  <c r="AD4" i="4"/>
  <c r="AE4" i="4" s="1"/>
  <c r="AA4" i="4"/>
  <c r="AB4" i="4" s="1"/>
  <c r="W4" i="4"/>
  <c r="X4" i="4" s="1"/>
  <c r="T4" i="4"/>
  <c r="U4" i="4" s="1"/>
  <c r="BB3" i="4"/>
  <c r="BC3" i="4" s="1"/>
  <c r="BD3" i="4" s="1"/>
  <c r="AV3" i="4"/>
  <c r="AW3" i="4" s="1"/>
  <c r="AU3" i="4"/>
  <c r="AD3" i="4"/>
  <c r="AE3" i="4" s="1"/>
  <c r="AB3" i="4"/>
  <c r="AA3" i="4"/>
  <c r="W3" i="4"/>
  <c r="X3" i="4" s="1"/>
  <c r="T3" i="4"/>
  <c r="U3" i="4" s="1"/>
  <c r="BB2" i="4"/>
  <c r="BC2" i="4" s="1"/>
  <c r="BD2" i="4" s="1"/>
  <c r="AU2" i="4"/>
  <c r="AV2" i="4" s="1"/>
  <c r="AW2" i="4" s="1"/>
  <c r="AD2" i="4"/>
  <c r="AE2" i="4" s="1"/>
  <c r="AA2" i="4"/>
  <c r="AB2" i="4" s="1"/>
  <c r="W2" i="4"/>
  <c r="X2" i="4" s="1"/>
  <c r="T2" i="4"/>
  <c r="U2" i="4" s="1"/>
  <c r="BE29" i="4" l="1"/>
  <c r="BE94" i="4"/>
  <c r="BE103" i="4"/>
  <c r="BE11" i="4"/>
  <c r="BE42" i="4"/>
  <c r="BE187" i="4"/>
  <c r="BE136" i="4"/>
  <c r="BE272" i="4"/>
  <c r="BE57" i="4"/>
  <c r="BE86" i="4"/>
  <c r="BE87" i="4"/>
  <c r="BE93" i="4"/>
  <c r="BE110" i="4"/>
  <c r="BE116" i="4"/>
  <c r="BE182" i="4"/>
  <c r="BE197" i="4"/>
  <c r="BE200" i="4"/>
  <c r="BE201" i="4"/>
  <c r="BE234" i="4"/>
  <c r="BE254" i="4"/>
  <c r="BE283" i="4"/>
  <c r="BE298" i="4"/>
  <c r="BE219" i="4"/>
  <c r="BE4" i="4"/>
  <c r="BE15" i="4"/>
  <c r="BE104" i="4"/>
  <c r="BE111" i="4"/>
  <c r="BE150" i="4"/>
  <c r="BE208" i="4"/>
  <c r="BE248" i="4"/>
  <c r="BE258" i="4"/>
  <c r="BE315" i="4"/>
  <c r="BE22" i="4"/>
  <c r="BE28" i="4"/>
  <c r="BE99" i="4"/>
  <c r="BE107" i="4"/>
  <c r="BE119" i="4"/>
  <c r="BE172" i="4"/>
  <c r="BE203" i="4"/>
  <c r="BE239" i="4"/>
  <c r="BE256" i="4"/>
  <c r="BE21" i="4"/>
  <c r="BE75" i="4"/>
  <c r="BE76" i="4"/>
  <c r="BE98" i="4"/>
  <c r="BE114" i="4"/>
  <c r="BE128" i="4"/>
  <c r="BE169" i="4"/>
  <c r="BE175" i="4"/>
  <c r="BE178" i="4"/>
  <c r="BE179" i="4"/>
  <c r="BE202" i="4"/>
  <c r="BE205" i="4"/>
  <c r="BE303" i="4"/>
  <c r="BE306" i="4"/>
  <c r="BE220" i="4"/>
  <c r="BE249" i="4"/>
  <c r="BE12" i="4"/>
  <c r="BE40" i="4"/>
  <c r="BE61" i="4"/>
  <c r="BE127" i="4"/>
  <c r="BE177" i="4"/>
  <c r="BE206" i="4"/>
  <c r="BE261" i="4"/>
  <c r="BE264" i="4"/>
  <c r="BE199" i="4"/>
  <c r="BE218" i="4"/>
  <c r="BE2" i="4"/>
  <c r="BE31" i="4"/>
  <c r="BE55" i="4"/>
  <c r="BE95" i="4"/>
  <c r="BE147" i="4"/>
  <c r="BE310" i="4"/>
  <c r="BE316" i="4"/>
  <c r="BE133" i="4"/>
  <c r="BE143" i="4"/>
  <c r="BE153" i="4"/>
  <c r="BE161" i="4"/>
  <c r="BE221" i="4"/>
  <c r="BE226" i="4"/>
  <c r="BE267" i="4"/>
  <c r="BE280" i="4"/>
  <c r="BE318" i="4"/>
  <c r="BE257" i="4"/>
  <c r="BE279" i="4"/>
  <c r="BE300" i="4"/>
  <c r="BE294" i="4"/>
  <c r="BE308" i="4"/>
  <c r="BE135" i="4"/>
  <c r="BE167" i="4"/>
  <c r="BE168" i="4"/>
  <c r="BE285" i="4"/>
  <c r="BE296" i="4"/>
  <c r="BE3" i="4"/>
  <c r="BE13" i="4"/>
  <c r="BE6" i="4"/>
  <c r="BE7" i="4"/>
  <c r="BE8" i="4"/>
  <c r="BE9" i="4"/>
  <c r="BE26" i="4"/>
  <c r="BE45" i="4"/>
  <c r="BE62" i="4"/>
  <c r="BE66" i="4"/>
  <c r="BE84" i="4"/>
  <c r="BE88" i="4"/>
  <c r="BE32" i="4"/>
  <c r="BE19" i="4"/>
  <c r="BE20" i="4"/>
  <c r="BE27" i="4"/>
  <c r="BE33" i="4"/>
  <c r="BE41" i="4"/>
  <c r="BE46" i="4"/>
  <c r="BE48" i="4"/>
  <c r="BE67" i="4"/>
  <c r="BE89" i="4"/>
  <c r="BE90" i="4"/>
  <c r="BE108" i="4"/>
  <c r="BE34" i="4"/>
  <c r="BE53" i="4"/>
  <c r="BE58" i="4"/>
  <c r="BE69" i="4"/>
  <c r="BE70" i="4"/>
  <c r="BE85" i="4"/>
  <c r="BE91" i="4"/>
  <c r="BE14" i="4"/>
  <c r="BE37" i="4"/>
  <c r="BE49" i="4"/>
  <c r="BE54" i="4"/>
  <c r="BE59" i="4"/>
  <c r="BE78" i="4"/>
  <c r="BE18" i="4"/>
  <c r="BE10" i="4"/>
  <c r="BE23" i="4"/>
  <c r="BE24" i="4"/>
  <c r="BE35" i="4"/>
  <c r="BE36" i="4"/>
  <c r="BE38" i="4"/>
  <c r="BE43" i="4"/>
  <c r="BE60" i="4"/>
  <c r="BE71" i="4"/>
  <c r="BE72" i="4"/>
  <c r="BE73" i="4"/>
  <c r="BE77" i="4"/>
  <c r="BE52" i="4"/>
  <c r="BE30" i="4"/>
  <c r="BE39" i="4"/>
  <c r="BE50" i="4"/>
  <c r="BE80" i="4"/>
  <c r="BE17" i="4"/>
  <c r="BE145" i="4"/>
  <c r="BE5" i="4"/>
  <c r="BE16" i="4"/>
  <c r="BE25" i="4"/>
  <c r="BE44" i="4"/>
  <c r="BE51" i="4"/>
  <c r="BE56" i="4"/>
  <c r="BE64" i="4"/>
  <c r="BE65" i="4"/>
  <c r="BE74" i="4"/>
  <c r="BE81" i="4"/>
  <c r="BE82" i="4"/>
  <c r="BE96" i="4"/>
  <c r="BE97" i="4"/>
  <c r="BE100" i="4"/>
  <c r="BE122" i="4"/>
  <c r="BE105" i="4"/>
  <c r="BE115" i="4"/>
  <c r="BE117" i="4"/>
  <c r="BE118" i="4"/>
  <c r="BE120" i="4"/>
  <c r="BE148" i="4"/>
  <c r="BE92" i="4"/>
  <c r="BE101" i="4"/>
  <c r="BE125" i="4"/>
  <c r="BE139" i="4"/>
  <c r="BE152" i="4"/>
  <c r="BE157" i="4"/>
  <c r="BE106" i="4"/>
  <c r="BE121" i="4"/>
  <c r="BE129" i="4"/>
  <c r="BE134" i="4"/>
  <c r="BE142" i="4"/>
  <c r="BE102" i="4"/>
  <c r="BE112" i="4"/>
  <c r="BE123" i="4"/>
  <c r="BE137" i="4"/>
  <c r="BE140" i="4"/>
  <c r="BE188" i="4"/>
  <c r="BE109" i="4"/>
  <c r="BE113" i="4"/>
  <c r="BE130" i="4"/>
  <c r="BE132" i="4"/>
  <c r="BE124" i="4"/>
  <c r="BE126" i="4"/>
  <c r="BE131" i="4"/>
  <c r="BE141" i="4"/>
  <c r="BE158" i="4"/>
  <c r="BE146" i="4"/>
  <c r="BE149" i="4"/>
  <c r="BE166" i="4"/>
  <c r="BE189" i="4"/>
  <c r="BE191" i="4"/>
  <c r="BE193" i="4"/>
  <c r="BE159" i="4"/>
  <c r="BE160" i="4"/>
  <c r="BE170" i="4"/>
  <c r="BE171" i="4"/>
  <c r="BE180" i="4"/>
  <c r="BE181" i="4"/>
  <c r="BE190" i="4"/>
  <c r="BE192" i="4"/>
  <c r="BE173" i="4"/>
  <c r="BE211" i="4"/>
  <c r="BE176" i="4"/>
  <c r="BE209" i="4"/>
  <c r="BE217" i="4"/>
  <c r="BE154" i="4"/>
  <c r="BE162" i="4"/>
  <c r="BE163" i="4"/>
  <c r="BE164" i="4"/>
  <c r="BE183" i="4"/>
  <c r="BE184" i="4"/>
  <c r="BE185" i="4"/>
  <c r="BE213" i="4"/>
  <c r="BE263" i="4"/>
  <c r="BE151" i="4"/>
  <c r="BE155" i="4"/>
  <c r="BE156" i="4"/>
  <c r="BE165" i="4"/>
  <c r="BE174" i="4"/>
  <c r="BE186" i="4"/>
  <c r="BE195" i="4"/>
  <c r="BE225" i="4"/>
  <c r="BE222" i="4"/>
  <c r="BE224" i="4"/>
  <c r="BE273" i="4"/>
  <c r="BE210" i="4"/>
  <c r="BE247" i="4"/>
  <c r="BE250" i="4"/>
  <c r="BE253" i="4"/>
  <c r="BE282" i="4"/>
  <c r="BE275" i="4"/>
  <c r="BE212" i="4"/>
  <c r="BE251" i="4"/>
  <c r="BE266" i="4"/>
  <c r="BE277" i="4"/>
  <c r="BE314" i="4"/>
  <c r="BE207" i="4"/>
  <c r="BE231" i="4"/>
  <c r="BE232" i="4"/>
  <c r="BE233" i="4"/>
  <c r="BE235" i="4"/>
  <c r="BE236" i="4"/>
  <c r="BE244" i="4"/>
  <c r="BE245" i="4"/>
  <c r="BE246" i="4"/>
  <c r="BE293" i="4"/>
  <c r="BE227" i="4"/>
  <c r="BE228" i="4"/>
  <c r="BE229" i="4"/>
  <c r="BE230" i="4"/>
  <c r="BE237" i="4"/>
  <c r="BE238" i="4"/>
  <c r="BE240" i="4"/>
  <c r="BE241" i="4"/>
  <c r="BE242" i="4"/>
  <c r="BE243" i="4"/>
  <c r="BE252" i="4"/>
  <c r="BE255" i="4"/>
  <c r="BE259" i="4"/>
  <c r="BE287" i="4"/>
  <c r="BE196" i="4"/>
  <c r="BE204" i="4"/>
  <c r="BE214" i="4"/>
  <c r="BE215" i="4"/>
  <c r="BE216" i="4"/>
  <c r="BE269" i="4"/>
  <c r="BE270" i="4"/>
  <c r="BE288" i="4"/>
  <c r="BE290" i="4"/>
  <c r="BE291" i="4"/>
  <c r="BE297" i="4"/>
  <c r="BE301" i="4"/>
  <c r="BE274" i="4"/>
  <c r="BE292" i="4"/>
  <c r="BE268" i="4"/>
  <c r="BE284" i="4"/>
  <c r="BE289" i="4"/>
  <c r="BE302" i="4"/>
  <c r="BE311" i="4"/>
  <c r="BE320" i="4"/>
  <c r="BE262" i="4"/>
  <c r="BE265" i="4"/>
  <c r="BE278" i="4"/>
  <c r="BE281" i="4"/>
  <c r="BE309" i="4"/>
  <c r="BE321" i="4"/>
  <c r="BE307" i="4"/>
  <c r="BE312" i="4"/>
  <c r="BE260" i="4"/>
  <c r="BE295" i="4"/>
  <c r="BE299" i="4"/>
  <c r="BE304" i="4"/>
  <c r="BE313" i="4"/>
  <c r="BE322" i="4"/>
  <c r="BE276" i="4"/>
  <c r="BE286" i="4"/>
  <c r="BE305" i="4"/>
  <c r="BE317" i="4"/>
  <c r="AU322" i="5" l="1"/>
  <c r="AV322" i="5" s="1"/>
  <c r="AW322" i="5" s="1"/>
  <c r="AO322" i="5"/>
  <c r="AP322" i="5" s="1"/>
  <c r="AQ322" i="5" s="1"/>
  <c r="AH322" i="5"/>
  <c r="AI322" i="5" s="1"/>
  <c r="AE322" i="5"/>
  <c r="AF322" i="5" s="1"/>
  <c r="Z322" i="5"/>
  <c r="AA322" i="5" s="1"/>
  <c r="AB322" i="5" s="1"/>
  <c r="V322" i="5"/>
  <c r="W322" i="5" s="1"/>
  <c r="AU321" i="5"/>
  <c r="AV321" i="5" s="1"/>
  <c r="AW321" i="5" s="1"/>
  <c r="AO321" i="5"/>
  <c r="AP321" i="5" s="1"/>
  <c r="AQ321" i="5" s="1"/>
  <c r="AH321" i="5"/>
  <c r="AI321" i="5" s="1"/>
  <c r="AE321" i="5"/>
  <c r="AF321" i="5" s="1"/>
  <c r="Z321" i="5"/>
  <c r="AA321" i="5" s="1"/>
  <c r="AB321" i="5" s="1"/>
  <c r="V321" i="5"/>
  <c r="W321" i="5" s="1"/>
  <c r="AU320" i="5"/>
  <c r="AV320" i="5" s="1"/>
  <c r="AW320" i="5" s="1"/>
  <c r="AO320" i="5"/>
  <c r="AP320" i="5" s="1"/>
  <c r="AQ320" i="5" s="1"/>
  <c r="AH320" i="5"/>
  <c r="AI320" i="5" s="1"/>
  <c r="AE320" i="5"/>
  <c r="AF320" i="5" s="1"/>
  <c r="Z320" i="5"/>
  <c r="AA320" i="5" s="1"/>
  <c r="AB320" i="5" s="1"/>
  <c r="V320" i="5"/>
  <c r="W320" i="5" s="1"/>
  <c r="AU319" i="5"/>
  <c r="AV319" i="5" s="1"/>
  <c r="AW319" i="5" s="1"/>
  <c r="AO319" i="5"/>
  <c r="AP319" i="5" s="1"/>
  <c r="AQ319" i="5" s="1"/>
  <c r="AH319" i="5"/>
  <c r="AI319" i="5" s="1"/>
  <c r="AE319" i="5"/>
  <c r="AF319" i="5" s="1"/>
  <c r="Z319" i="5"/>
  <c r="AA319" i="5" s="1"/>
  <c r="AB319" i="5" s="1"/>
  <c r="V319" i="5"/>
  <c r="W319" i="5" s="1"/>
  <c r="AU318" i="5"/>
  <c r="AV318" i="5" s="1"/>
  <c r="AW318" i="5" s="1"/>
  <c r="AO318" i="5"/>
  <c r="AP318" i="5" s="1"/>
  <c r="AQ318" i="5" s="1"/>
  <c r="AH318" i="5"/>
  <c r="AI318" i="5" s="1"/>
  <c r="AE318" i="5"/>
  <c r="AF318" i="5" s="1"/>
  <c r="Z318" i="5"/>
  <c r="AA318" i="5" s="1"/>
  <c r="AB318" i="5" s="1"/>
  <c r="V318" i="5"/>
  <c r="W318" i="5" s="1"/>
  <c r="AU317" i="5"/>
  <c r="AV317" i="5" s="1"/>
  <c r="AW317" i="5" s="1"/>
  <c r="AO317" i="5"/>
  <c r="AP317" i="5" s="1"/>
  <c r="AQ317" i="5" s="1"/>
  <c r="AH317" i="5"/>
  <c r="AI317" i="5" s="1"/>
  <c r="AE317" i="5"/>
  <c r="AF317" i="5" s="1"/>
  <c r="Z317" i="5"/>
  <c r="AA317" i="5" s="1"/>
  <c r="AB317" i="5" s="1"/>
  <c r="V317" i="5"/>
  <c r="W317" i="5" s="1"/>
  <c r="AU316" i="5"/>
  <c r="AV316" i="5" s="1"/>
  <c r="AW316" i="5" s="1"/>
  <c r="AO316" i="5"/>
  <c r="AP316" i="5" s="1"/>
  <c r="AQ316" i="5" s="1"/>
  <c r="AH316" i="5"/>
  <c r="AI316" i="5" s="1"/>
  <c r="AE316" i="5"/>
  <c r="AF316" i="5" s="1"/>
  <c r="AA316" i="5"/>
  <c r="AB316" i="5" s="1"/>
  <c r="Z316" i="5"/>
  <c r="V316" i="5"/>
  <c r="W316" i="5" s="1"/>
  <c r="AU315" i="5"/>
  <c r="AV315" i="5" s="1"/>
  <c r="AW315" i="5" s="1"/>
  <c r="AO315" i="5"/>
  <c r="AP315" i="5" s="1"/>
  <c r="AQ315" i="5" s="1"/>
  <c r="AH315" i="5"/>
  <c r="AI315" i="5" s="1"/>
  <c r="AE315" i="5"/>
  <c r="AF315" i="5" s="1"/>
  <c r="Z315" i="5"/>
  <c r="AA315" i="5" s="1"/>
  <c r="AB315" i="5" s="1"/>
  <c r="V315" i="5"/>
  <c r="W315" i="5" s="1"/>
  <c r="AU314" i="5"/>
  <c r="AV314" i="5" s="1"/>
  <c r="AW314" i="5" s="1"/>
  <c r="AO314" i="5"/>
  <c r="AP314" i="5" s="1"/>
  <c r="AQ314" i="5" s="1"/>
  <c r="AH314" i="5"/>
  <c r="AI314" i="5" s="1"/>
  <c r="AE314" i="5"/>
  <c r="AF314" i="5" s="1"/>
  <c r="Z314" i="5"/>
  <c r="AA314" i="5" s="1"/>
  <c r="AB314" i="5" s="1"/>
  <c r="V314" i="5"/>
  <c r="W314" i="5" s="1"/>
  <c r="AU313" i="5"/>
  <c r="AV313" i="5" s="1"/>
  <c r="AW313" i="5" s="1"/>
  <c r="AO313" i="5"/>
  <c r="AP313" i="5" s="1"/>
  <c r="AQ313" i="5" s="1"/>
  <c r="AH313" i="5"/>
  <c r="AI313" i="5" s="1"/>
  <c r="AE313" i="5"/>
  <c r="AF313" i="5" s="1"/>
  <c r="Z313" i="5"/>
  <c r="AA313" i="5" s="1"/>
  <c r="AB313" i="5" s="1"/>
  <c r="V313" i="5"/>
  <c r="W313" i="5" s="1"/>
  <c r="AU312" i="5"/>
  <c r="AV312" i="5" s="1"/>
  <c r="AW312" i="5" s="1"/>
  <c r="AO312" i="5"/>
  <c r="AP312" i="5" s="1"/>
  <c r="AQ312" i="5" s="1"/>
  <c r="AH312" i="5"/>
  <c r="AI312" i="5" s="1"/>
  <c r="AE312" i="5"/>
  <c r="AF312" i="5" s="1"/>
  <c r="Z312" i="5"/>
  <c r="AA312" i="5" s="1"/>
  <c r="AB312" i="5" s="1"/>
  <c r="V312" i="5"/>
  <c r="W312" i="5" s="1"/>
  <c r="AU311" i="5"/>
  <c r="AV311" i="5" s="1"/>
  <c r="AW311" i="5" s="1"/>
  <c r="AO311" i="5"/>
  <c r="AP311" i="5" s="1"/>
  <c r="AQ311" i="5" s="1"/>
  <c r="AH311" i="5"/>
  <c r="AI311" i="5" s="1"/>
  <c r="AE311" i="5"/>
  <c r="AF311" i="5" s="1"/>
  <c r="Z311" i="5"/>
  <c r="AA311" i="5" s="1"/>
  <c r="AB311" i="5" s="1"/>
  <c r="V311" i="5"/>
  <c r="W311" i="5" s="1"/>
  <c r="AU310" i="5"/>
  <c r="AV310" i="5" s="1"/>
  <c r="AW310" i="5" s="1"/>
  <c r="AO310" i="5"/>
  <c r="AP310" i="5" s="1"/>
  <c r="AQ310" i="5" s="1"/>
  <c r="AH310" i="5"/>
  <c r="AI310" i="5" s="1"/>
  <c r="AE310" i="5"/>
  <c r="AF310" i="5" s="1"/>
  <c r="Z310" i="5"/>
  <c r="AA310" i="5" s="1"/>
  <c r="AB310" i="5" s="1"/>
  <c r="V310" i="5"/>
  <c r="W310" i="5" s="1"/>
  <c r="AU309" i="5"/>
  <c r="AV309" i="5" s="1"/>
  <c r="AW309" i="5" s="1"/>
  <c r="AO309" i="5"/>
  <c r="AP309" i="5" s="1"/>
  <c r="AQ309" i="5" s="1"/>
  <c r="AH309" i="5"/>
  <c r="AI309" i="5" s="1"/>
  <c r="AE309" i="5"/>
  <c r="AF309" i="5" s="1"/>
  <c r="Z309" i="5"/>
  <c r="AA309" i="5" s="1"/>
  <c r="AB309" i="5" s="1"/>
  <c r="V309" i="5"/>
  <c r="W309" i="5" s="1"/>
  <c r="AU308" i="5"/>
  <c r="AV308" i="5" s="1"/>
  <c r="AW308" i="5" s="1"/>
  <c r="AO308" i="5"/>
  <c r="AP308" i="5" s="1"/>
  <c r="AQ308" i="5" s="1"/>
  <c r="AH308" i="5"/>
  <c r="AI308" i="5" s="1"/>
  <c r="AE308" i="5"/>
  <c r="AF308" i="5" s="1"/>
  <c r="Z308" i="5"/>
  <c r="AA308" i="5" s="1"/>
  <c r="AB308" i="5" s="1"/>
  <c r="V308" i="5"/>
  <c r="W308" i="5" s="1"/>
  <c r="AU307" i="5"/>
  <c r="AV307" i="5" s="1"/>
  <c r="AW307" i="5" s="1"/>
  <c r="AO307" i="5"/>
  <c r="AP307" i="5" s="1"/>
  <c r="AQ307" i="5" s="1"/>
  <c r="AH307" i="5"/>
  <c r="AI307" i="5" s="1"/>
  <c r="AE307" i="5"/>
  <c r="AF307" i="5" s="1"/>
  <c r="Z307" i="5"/>
  <c r="AA307" i="5" s="1"/>
  <c r="AB307" i="5" s="1"/>
  <c r="V307" i="5"/>
  <c r="W307" i="5" s="1"/>
  <c r="AU306" i="5"/>
  <c r="AV306" i="5" s="1"/>
  <c r="AW306" i="5" s="1"/>
  <c r="AO306" i="5"/>
  <c r="AP306" i="5" s="1"/>
  <c r="AQ306" i="5" s="1"/>
  <c r="AH306" i="5"/>
  <c r="AI306" i="5" s="1"/>
  <c r="AE306" i="5"/>
  <c r="AF306" i="5" s="1"/>
  <c r="Z306" i="5"/>
  <c r="AA306" i="5" s="1"/>
  <c r="AB306" i="5" s="1"/>
  <c r="V306" i="5"/>
  <c r="W306" i="5" s="1"/>
  <c r="AU305" i="5"/>
  <c r="AV305" i="5" s="1"/>
  <c r="AW305" i="5" s="1"/>
  <c r="AO305" i="5"/>
  <c r="AP305" i="5" s="1"/>
  <c r="AQ305" i="5" s="1"/>
  <c r="AH305" i="5"/>
  <c r="AI305" i="5" s="1"/>
  <c r="AE305" i="5"/>
  <c r="AF305" i="5" s="1"/>
  <c r="Z305" i="5"/>
  <c r="AA305" i="5" s="1"/>
  <c r="AB305" i="5" s="1"/>
  <c r="V305" i="5"/>
  <c r="W305" i="5" s="1"/>
  <c r="AU304" i="5"/>
  <c r="AV304" i="5" s="1"/>
  <c r="AW304" i="5" s="1"/>
  <c r="AO304" i="5"/>
  <c r="AP304" i="5" s="1"/>
  <c r="AQ304" i="5" s="1"/>
  <c r="AH304" i="5"/>
  <c r="AI304" i="5" s="1"/>
  <c r="AE304" i="5"/>
  <c r="AF304" i="5" s="1"/>
  <c r="Z304" i="5"/>
  <c r="AA304" i="5" s="1"/>
  <c r="AB304" i="5" s="1"/>
  <c r="V304" i="5"/>
  <c r="W304" i="5" s="1"/>
  <c r="AU303" i="5"/>
  <c r="AV303" i="5" s="1"/>
  <c r="AW303" i="5" s="1"/>
  <c r="AO303" i="5"/>
  <c r="AP303" i="5" s="1"/>
  <c r="AQ303" i="5" s="1"/>
  <c r="AH303" i="5"/>
  <c r="AI303" i="5" s="1"/>
  <c r="AE303" i="5"/>
  <c r="AF303" i="5" s="1"/>
  <c r="Z303" i="5"/>
  <c r="AA303" i="5" s="1"/>
  <c r="AB303" i="5" s="1"/>
  <c r="V303" i="5"/>
  <c r="W303" i="5" s="1"/>
  <c r="AU302" i="5"/>
  <c r="AV302" i="5" s="1"/>
  <c r="AW302" i="5" s="1"/>
  <c r="AO302" i="5"/>
  <c r="AP302" i="5" s="1"/>
  <c r="AQ302" i="5" s="1"/>
  <c r="AH302" i="5"/>
  <c r="AI302" i="5" s="1"/>
  <c r="AE302" i="5"/>
  <c r="AF302" i="5" s="1"/>
  <c r="Z302" i="5"/>
  <c r="AA302" i="5" s="1"/>
  <c r="AB302" i="5" s="1"/>
  <c r="V302" i="5"/>
  <c r="W302" i="5" s="1"/>
  <c r="AU301" i="5"/>
  <c r="AV301" i="5" s="1"/>
  <c r="AW301" i="5" s="1"/>
  <c r="AO301" i="5"/>
  <c r="AP301" i="5" s="1"/>
  <c r="AQ301" i="5" s="1"/>
  <c r="AH301" i="5"/>
  <c r="AI301" i="5" s="1"/>
  <c r="AE301" i="5"/>
  <c r="AF301" i="5" s="1"/>
  <c r="Z301" i="5"/>
  <c r="AA301" i="5" s="1"/>
  <c r="AB301" i="5" s="1"/>
  <c r="V301" i="5"/>
  <c r="W301" i="5" s="1"/>
  <c r="AU300" i="5"/>
  <c r="AV300" i="5" s="1"/>
  <c r="AW300" i="5" s="1"/>
  <c r="AO300" i="5"/>
  <c r="AP300" i="5" s="1"/>
  <c r="AQ300" i="5" s="1"/>
  <c r="AH300" i="5"/>
  <c r="AI300" i="5" s="1"/>
  <c r="AE300" i="5"/>
  <c r="AF300" i="5" s="1"/>
  <c r="Z300" i="5"/>
  <c r="AA300" i="5" s="1"/>
  <c r="AB300" i="5" s="1"/>
  <c r="V300" i="5"/>
  <c r="W300" i="5" s="1"/>
  <c r="AU299" i="5"/>
  <c r="AV299" i="5" s="1"/>
  <c r="AW299" i="5" s="1"/>
  <c r="AO299" i="5"/>
  <c r="AP299" i="5" s="1"/>
  <c r="AQ299" i="5" s="1"/>
  <c r="AH299" i="5"/>
  <c r="AI299" i="5" s="1"/>
  <c r="AE299" i="5"/>
  <c r="AF299" i="5" s="1"/>
  <c r="Z299" i="5"/>
  <c r="AA299" i="5" s="1"/>
  <c r="AB299" i="5" s="1"/>
  <c r="V299" i="5"/>
  <c r="W299" i="5" s="1"/>
  <c r="AU298" i="5"/>
  <c r="AV298" i="5" s="1"/>
  <c r="AW298" i="5" s="1"/>
  <c r="AO298" i="5"/>
  <c r="AP298" i="5" s="1"/>
  <c r="AQ298" i="5" s="1"/>
  <c r="AH298" i="5"/>
  <c r="AI298" i="5" s="1"/>
  <c r="AE298" i="5"/>
  <c r="AF298" i="5" s="1"/>
  <c r="Z298" i="5"/>
  <c r="AA298" i="5" s="1"/>
  <c r="AB298" i="5" s="1"/>
  <c r="V298" i="5"/>
  <c r="W298" i="5" s="1"/>
  <c r="AU297" i="5"/>
  <c r="AV297" i="5" s="1"/>
  <c r="AW297" i="5" s="1"/>
  <c r="AO297" i="5"/>
  <c r="AP297" i="5" s="1"/>
  <c r="AQ297" i="5" s="1"/>
  <c r="AH297" i="5"/>
  <c r="AI297" i="5" s="1"/>
  <c r="AE297" i="5"/>
  <c r="AF297" i="5" s="1"/>
  <c r="Z297" i="5"/>
  <c r="AA297" i="5" s="1"/>
  <c r="AB297" i="5" s="1"/>
  <c r="V297" i="5"/>
  <c r="W297" i="5" s="1"/>
  <c r="AU296" i="5"/>
  <c r="AV296" i="5" s="1"/>
  <c r="AW296" i="5" s="1"/>
  <c r="AO296" i="5"/>
  <c r="AP296" i="5" s="1"/>
  <c r="AQ296" i="5" s="1"/>
  <c r="AH296" i="5"/>
  <c r="AI296" i="5" s="1"/>
  <c r="AE296" i="5"/>
  <c r="AF296" i="5" s="1"/>
  <c r="Z296" i="5"/>
  <c r="AA296" i="5" s="1"/>
  <c r="AB296" i="5" s="1"/>
  <c r="V296" i="5"/>
  <c r="W296" i="5" s="1"/>
  <c r="AU295" i="5"/>
  <c r="AV295" i="5" s="1"/>
  <c r="AW295" i="5" s="1"/>
  <c r="AO295" i="5"/>
  <c r="AP295" i="5" s="1"/>
  <c r="AQ295" i="5" s="1"/>
  <c r="AH295" i="5"/>
  <c r="AI295" i="5" s="1"/>
  <c r="AE295" i="5"/>
  <c r="AF295" i="5" s="1"/>
  <c r="Z295" i="5"/>
  <c r="AA295" i="5" s="1"/>
  <c r="AB295" i="5" s="1"/>
  <c r="V295" i="5"/>
  <c r="W295" i="5" s="1"/>
  <c r="AU294" i="5"/>
  <c r="AV294" i="5" s="1"/>
  <c r="AW294" i="5" s="1"/>
  <c r="AO294" i="5"/>
  <c r="AP294" i="5" s="1"/>
  <c r="AQ294" i="5" s="1"/>
  <c r="AH294" i="5"/>
  <c r="AI294" i="5" s="1"/>
  <c r="AE294" i="5"/>
  <c r="AF294" i="5" s="1"/>
  <c r="Z294" i="5"/>
  <c r="AA294" i="5" s="1"/>
  <c r="AB294" i="5" s="1"/>
  <c r="V294" i="5"/>
  <c r="W294" i="5" s="1"/>
  <c r="AU293" i="5"/>
  <c r="AV293" i="5" s="1"/>
  <c r="AW293" i="5" s="1"/>
  <c r="AO293" i="5"/>
  <c r="AP293" i="5" s="1"/>
  <c r="AQ293" i="5" s="1"/>
  <c r="AH293" i="5"/>
  <c r="AI293" i="5" s="1"/>
  <c r="AE293" i="5"/>
  <c r="AF293" i="5" s="1"/>
  <c r="Z293" i="5"/>
  <c r="AA293" i="5" s="1"/>
  <c r="AB293" i="5" s="1"/>
  <c r="V293" i="5"/>
  <c r="W293" i="5" s="1"/>
  <c r="AU292" i="5"/>
  <c r="AV292" i="5" s="1"/>
  <c r="AW292" i="5" s="1"/>
  <c r="AO292" i="5"/>
  <c r="AP292" i="5" s="1"/>
  <c r="AQ292" i="5" s="1"/>
  <c r="AH292" i="5"/>
  <c r="AI292" i="5" s="1"/>
  <c r="AE292" i="5"/>
  <c r="AF292" i="5" s="1"/>
  <c r="Z292" i="5"/>
  <c r="AA292" i="5" s="1"/>
  <c r="AB292" i="5" s="1"/>
  <c r="V292" i="5"/>
  <c r="W292" i="5" s="1"/>
  <c r="AU291" i="5"/>
  <c r="AV291" i="5" s="1"/>
  <c r="AW291" i="5" s="1"/>
  <c r="AO291" i="5"/>
  <c r="AP291" i="5" s="1"/>
  <c r="AQ291" i="5" s="1"/>
  <c r="AH291" i="5"/>
  <c r="AI291" i="5" s="1"/>
  <c r="AE291" i="5"/>
  <c r="AF291" i="5" s="1"/>
  <c r="Z291" i="5"/>
  <c r="AA291" i="5" s="1"/>
  <c r="AB291" i="5" s="1"/>
  <c r="V291" i="5"/>
  <c r="W291" i="5" s="1"/>
  <c r="AU290" i="5"/>
  <c r="AV290" i="5" s="1"/>
  <c r="AW290" i="5" s="1"/>
  <c r="AO290" i="5"/>
  <c r="AP290" i="5" s="1"/>
  <c r="AQ290" i="5" s="1"/>
  <c r="AH290" i="5"/>
  <c r="AI290" i="5" s="1"/>
  <c r="AE290" i="5"/>
  <c r="AF290" i="5" s="1"/>
  <c r="Z290" i="5"/>
  <c r="AA290" i="5" s="1"/>
  <c r="AB290" i="5" s="1"/>
  <c r="V290" i="5"/>
  <c r="W290" i="5" s="1"/>
  <c r="AU289" i="5"/>
  <c r="AV289" i="5" s="1"/>
  <c r="AW289" i="5" s="1"/>
  <c r="AQ289" i="5"/>
  <c r="AO289" i="5"/>
  <c r="AP289" i="5" s="1"/>
  <c r="AH289" i="5"/>
  <c r="AI289" i="5" s="1"/>
  <c r="AE289" i="5"/>
  <c r="AF289" i="5" s="1"/>
  <c r="Z289" i="5"/>
  <c r="AA289" i="5" s="1"/>
  <c r="AB289" i="5" s="1"/>
  <c r="V289" i="5"/>
  <c r="W289" i="5" s="1"/>
  <c r="AU288" i="5"/>
  <c r="AV288" i="5" s="1"/>
  <c r="AW288" i="5" s="1"/>
  <c r="AO288" i="5"/>
  <c r="AP288" i="5" s="1"/>
  <c r="AQ288" i="5" s="1"/>
  <c r="AH288" i="5"/>
  <c r="AI288" i="5" s="1"/>
  <c r="AE288" i="5"/>
  <c r="AF288" i="5" s="1"/>
  <c r="Z288" i="5"/>
  <c r="AA288" i="5" s="1"/>
  <c r="AB288" i="5" s="1"/>
  <c r="V288" i="5"/>
  <c r="W288" i="5" s="1"/>
  <c r="AU287" i="5"/>
  <c r="AV287" i="5" s="1"/>
  <c r="AW287" i="5" s="1"/>
  <c r="AO287" i="5"/>
  <c r="AP287" i="5" s="1"/>
  <c r="AQ287" i="5" s="1"/>
  <c r="AH287" i="5"/>
  <c r="AI287" i="5" s="1"/>
  <c r="AE287" i="5"/>
  <c r="AF287" i="5" s="1"/>
  <c r="Z287" i="5"/>
  <c r="AA287" i="5" s="1"/>
  <c r="AB287" i="5" s="1"/>
  <c r="V287" i="5"/>
  <c r="W287" i="5" s="1"/>
  <c r="AU286" i="5"/>
  <c r="AV286" i="5" s="1"/>
  <c r="AW286" i="5" s="1"/>
  <c r="AO286" i="5"/>
  <c r="AP286" i="5" s="1"/>
  <c r="AQ286" i="5" s="1"/>
  <c r="AH286" i="5"/>
  <c r="AI286" i="5" s="1"/>
  <c r="AE286" i="5"/>
  <c r="AF286" i="5" s="1"/>
  <c r="Z286" i="5"/>
  <c r="AA286" i="5" s="1"/>
  <c r="AB286" i="5" s="1"/>
  <c r="V286" i="5"/>
  <c r="W286" i="5" s="1"/>
  <c r="AU285" i="5"/>
  <c r="AV285" i="5" s="1"/>
  <c r="AW285" i="5" s="1"/>
  <c r="AO285" i="5"/>
  <c r="AP285" i="5" s="1"/>
  <c r="AQ285" i="5" s="1"/>
  <c r="AH285" i="5"/>
  <c r="AI285" i="5" s="1"/>
  <c r="AE285" i="5"/>
  <c r="AF285" i="5" s="1"/>
  <c r="Z285" i="5"/>
  <c r="AA285" i="5" s="1"/>
  <c r="AB285" i="5" s="1"/>
  <c r="V285" i="5"/>
  <c r="W285" i="5" s="1"/>
  <c r="AU284" i="5"/>
  <c r="AV284" i="5" s="1"/>
  <c r="AW284" i="5" s="1"/>
  <c r="AO284" i="5"/>
  <c r="AP284" i="5" s="1"/>
  <c r="AQ284" i="5" s="1"/>
  <c r="AH284" i="5"/>
  <c r="AI284" i="5" s="1"/>
  <c r="AE284" i="5"/>
  <c r="AF284" i="5" s="1"/>
  <c r="Z284" i="5"/>
  <c r="AA284" i="5" s="1"/>
  <c r="AB284" i="5" s="1"/>
  <c r="V284" i="5"/>
  <c r="W284" i="5" s="1"/>
  <c r="AU283" i="5"/>
  <c r="AV283" i="5" s="1"/>
  <c r="AW283" i="5" s="1"/>
  <c r="AO283" i="5"/>
  <c r="AP283" i="5" s="1"/>
  <c r="AQ283" i="5" s="1"/>
  <c r="AI283" i="5"/>
  <c r="AH283" i="5"/>
  <c r="AE283" i="5"/>
  <c r="AF283" i="5" s="1"/>
  <c r="AA283" i="5"/>
  <c r="AB283" i="5" s="1"/>
  <c r="Z283" i="5"/>
  <c r="V283" i="5"/>
  <c r="W283" i="5" s="1"/>
  <c r="AU282" i="5"/>
  <c r="AV282" i="5" s="1"/>
  <c r="AW282" i="5" s="1"/>
  <c r="AO282" i="5"/>
  <c r="AP282" i="5" s="1"/>
  <c r="AQ282" i="5" s="1"/>
  <c r="AH282" i="5"/>
  <c r="AI282" i="5" s="1"/>
  <c r="AE282" i="5"/>
  <c r="AF282" i="5" s="1"/>
  <c r="Z282" i="5"/>
  <c r="AA282" i="5" s="1"/>
  <c r="AB282" i="5" s="1"/>
  <c r="V282" i="5"/>
  <c r="W282" i="5" s="1"/>
  <c r="AU281" i="5"/>
  <c r="AV281" i="5" s="1"/>
  <c r="AW281" i="5" s="1"/>
  <c r="AO281" i="5"/>
  <c r="AP281" i="5" s="1"/>
  <c r="AQ281" i="5" s="1"/>
  <c r="AH281" i="5"/>
  <c r="AI281" i="5" s="1"/>
  <c r="AE281" i="5"/>
  <c r="AF281" i="5" s="1"/>
  <c r="Z281" i="5"/>
  <c r="AA281" i="5" s="1"/>
  <c r="AB281" i="5" s="1"/>
  <c r="V281" i="5"/>
  <c r="W281" i="5" s="1"/>
  <c r="AU280" i="5"/>
  <c r="AV280" i="5" s="1"/>
  <c r="AW280" i="5" s="1"/>
  <c r="AO280" i="5"/>
  <c r="AP280" i="5" s="1"/>
  <c r="AQ280" i="5" s="1"/>
  <c r="AH280" i="5"/>
  <c r="AI280" i="5" s="1"/>
  <c r="AE280" i="5"/>
  <c r="AF280" i="5" s="1"/>
  <c r="Z280" i="5"/>
  <c r="AA280" i="5" s="1"/>
  <c r="AB280" i="5" s="1"/>
  <c r="V280" i="5"/>
  <c r="W280" i="5" s="1"/>
  <c r="AU279" i="5"/>
  <c r="AV279" i="5" s="1"/>
  <c r="AW279" i="5" s="1"/>
  <c r="AO279" i="5"/>
  <c r="AP279" i="5" s="1"/>
  <c r="AQ279" i="5" s="1"/>
  <c r="AH279" i="5"/>
  <c r="AI279" i="5" s="1"/>
  <c r="AE279" i="5"/>
  <c r="AF279" i="5" s="1"/>
  <c r="Z279" i="5"/>
  <c r="AA279" i="5" s="1"/>
  <c r="AB279" i="5" s="1"/>
  <c r="V279" i="5"/>
  <c r="W279" i="5" s="1"/>
  <c r="AU278" i="5"/>
  <c r="AV278" i="5" s="1"/>
  <c r="AW278" i="5" s="1"/>
  <c r="AO278" i="5"/>
  <c r="AP278" i="5" s="1"/>
  <c r="AQ278" i="5" s="1"/>
  <c r="AH278" i="5"/>
  <c r="AI278" i="5" s="1"/>
  <c r="AE278" i="5"/>
  <c r="AF278" i="5" s="1"/>
  <c r="Z278" i="5"/>
  <c r="AA278" i="5" s="1"/>
  <c r="AB278" i="5" s="1"/>
  <c r="V278" i="5"/>
  <c r="W278" i="5" s="1"/>
  <c r="AU277" i="5"/>
  <c r="AV277" i="5" s="1"/>
  <c r="AW277" i="5" s="1"/>
  <c r="AO277" i="5"/>
  <c r="AP277" i="5" s="1"/>
  <c r="AQ277" i="5" s="1"/>
  <c r="AH277" i="5"/>
  <c r="AI277" i="5" s="1"/>
  <c r="AE277" i="5"/>
  <c r="AF277" i="5" s="1"/>
  <c r="Z277" i="5"/>
  <c r="AA277" i="5" s="1"/>
  <c r="AB277" i="5" s="1"/>
  <c r="V277" i="5"/>
  <c r="W277" i="5" s="1"/>
  <c r="AU276" i="5"/>
  <c r="AV276" i="5" s="1"/>
  <c r="AW276" i="5" s="1"/>
  <c r="AO276" i="5"/>
  <c r="AP276" i="5" s="1"/>
  <c r="AQ276" i="5" s="1"/>
  <c r="AH276" i="5"/>
  <c r="AI276" i="5" s="1"/>
  <c r="AE276" i="5"/>
  <c r="AF276" i="5" s="1"/>
  <c r="Z276" i="5"/>
  <c r="AA276" i="5" s="1"/>
  <c r="AB276" i="5" s="1"/>
  <c r="V276" i="5"/>
  <c r="W276" i="5" s="1"/>
  <c r="AV275" i="5"/>
  <c r="AW275" i="5" s="1"/>
  <c r="AU275" i="5"/>
  <c r="AO275" i="5"/>
  <c r="AP275" i="5" s="1"/>
  <c r="AQ275" i="5" s="1"/>
  <c r="AH275" i="5"/>
  <c r="AI275" i="5" s="1"/>
  <c r="AE275" i="5"/>
  <c r="AF275" i="5" s="1"/>
  <c r="Z275" i="5"/>
  <c r="AA275" i="5" s="1"/>
  <c r="AB275" i="5" s="1"/>
  <c r="V275" i="5"/>
  <c r="W275" i="5" s="1"/>
  <c r="AV274" i="5"/>
  <c r="AW274" i="5" s="1"/>
  <c r="AU274" i="5"/>
  <c r="AO274" i="5"/>
  <c r="AP274" i="5" s="1"/>
  <c r="AQ274" i="5" s="1"/>
  <c r="AH274" i="5"/>
  <c r="AI274" i="5" s="1"/>
  <c r="AE274" i="5"/>
  <c r="AF274" i="5" s="1"/>
  <c r="Z274" i="5"/>
  <c r="AA274" i="5" s="1"/>
  <c r="AB274" i="5" s="1"/>
  <c r="W274" i="5"/>
  <c r="V274" i="5"/>
  <c r="AU273" i="5"/>
  <c r="AV273" i="5" s="1"/>
  <c r="AW273" i="5" s="1"/>
  <c r="AO273" i="5"/>
  <c r="AP273" i="5" s="1"/>
  <c r="AQ273" i="5" s="1"/>
  <c r="AH273" i="5"/>
  <c r="AI273" i="5" s="1"/>
  <c r="AE273" i="5"/>
  <c r="AF273" i="5" s="1"/>
  <c r="Z273" i="5"/>
  <c r="AA273" i="5" s="1"/>
  <c r="AB273" i="5" s="1"/>
  <c r="V273" i="5"/>
  <c r="W273" i="5" s="1"/>
  <c r="AU272" i="5"/>
  <c r="AV272" i="5" s="1"/>
  <c r="AW272" i="5" s="1"/>
  <c r="AO272" i="5"/>
  <c r="AP272" i="5" s="1"/>
  <c r="AQ272" i="5" s="1"/>
  <c r="AH272" i="5"/>
  <c r="AI272" i="5" s="1"/>
  <c r="AE272" i="5"/>
  <c r="AF272" i="5" s="1"/>
  <c r="Z272" i="5"/>
  <c r="AA272" i="5" s="1"/>
  <c r="AB272" i="5" s="1"/>
  <c r="V272" i="5"/>
  <c r="W272" i="5" s="1"/>
  <c r="AU271" i="5"/>
  <c r="AV271" i="5" s="1"/>
  <c r="AW271" i="5" s="1"/>
  <c r="AO271" i="5"/>
  <c r="AP271" i="5" s="1"/>
  <c r="AQ271" i="5" s="1"/>
  <c r="AH271" i="5"/>
  <c r="AI271" i="5" s="1"/>
  <c r="AE271" i="5"/>
  <c r="AF271" i="5" s="1"/>
  <c r="Z271" i="5"/>
  <c r="AA271" i="5" s="1"/>
  <c r="AB271" i="5" s="1"/>
  <c r="V271" i="5"/>
  <c r="W271" i="5" s="1"/>
  <c r="AU270" i="5"/>
  <c r="AV270" i="5" s="1"/>
  <c r="AW270" i="5" s="1"/>
  <c r="AO270" i="5"/>
  <c r="AP270" i="5" s="1"/>
  <c r="AQ270" i="5" s="1"/>
  <c r="AH270" i="5"/>
  <c r="AI270" i="5" s="1"/>
  <c r="AE270" i="5"/>
  <c r="AF270" i="5" s="1"/>
  <c r="Z270" i="5"/>
  <c r="AA270" i="5" s="1"/>
  <c r="AB270" i="5" s="1"/>
  <c r="V270" i="5"/>
  <c r="W270" i="5" s="1"/>
  <c r="AU269" i="5"/>
  <c r="AV269" i="5" s="1"/>
  <c r="AW269" i="5" s="1"/>
  <c r="AO269" i="5"/>
  <c r="AP269" i="5" s="1"/>
  <c r="AQ269" i="5" s="1"/>
  <c r="AH269" i="5"/>
  <c r="AI269" i="5" s="1"/>
  <c r="AE269" i="5"/>
  <c r="AF269" i="5" s="1"/>
  <c r="AA269" i="5"/>
  <c r="AB269" i="5" s="1"/>
  <c r="Z269" i="5"/>
  <c r="V269" i="5"/>
  <c r="W269" i="5" s="1"/>
  <c r="AU268" i="5"/>
  <c r="AV268" i="5" s="1"/>
  <c r="AW268" i="5" s="1"/>
  <c r="AO268" i="5"/>
  <c r="AP268" i="5" s="1"/>
  <c r="AQ268" i="5" s="1"/>
  <c r="AH268" i="5"/>
  <c r="AI268" i="5" s="1"/>
  <c r="AE268" i="5"/>
  <c r="AF268" i="5" s="1"/>
  <c r="Z268" i="5"/>
  <c r="AA268" i="5" s="1"/>
  <c r="AB268" i="5" s="1"/>
  <c r="V268" i="5"/>
  <c r="W268" i="5" s="1"/>
  <c r="AU267" i="5"/>
  <c r="AV267" i="5" s="1"/>
  <c r="AW267" i="5" s="1"/>
  <c r="AO267" i="5"/>
  <c r="AP267" i="5" s="1"/>
  <c r="AQ267" i="5" s="1"/>
  <c r="AH267" i="5"/>
  <c r="AI267" i="5" s="1"/>
  <c r="AE267" i="5"/>
  <c r="AF267" i="5" s="1"/>
  <c r="Z267" i="5"/>
  <c r="AA267" i="5" s="1"/>
  <c r="AB267" i="5" s="1"/>
  <c r="W267" i="5"/>
  <c r="V267" i="5"/>
  <c r="AU266" i="5"/>
  <c r="AV266" i="5" s="1"/>
  <c r="AW266" i="5" s="1"/>
  <c r="AO266" i="5"/>
  <c r="AP266" i="5" s="1"/>
  <c r="AQ266" i="5" s="1"/>
  <c r="AH266" i="5"/>
  <c r="AI266" i="5" s="1"/>
  <c r="AE266" i="5"/>
  <c r="AF266" i="5" s="1"/>
  <c r="Z266" i="5"/>
  <c r="AA266" i="5" s="1"/>
  <c r="AB266" i="5" s="1"/>
  <c r="W266" i="5"/>
  <c r="V266" i="5"/>
  <c r="AU265" i="5"/>
  <c r="AV265" i="5" s="1"/>
  <c r="AW265" i="5" s="1"/>
  <c r="AO265" i="5"/>
  <c r="AP265" i="5" s="1"/>
  <c r="AQ265" i="5" s="1"/>
  <c r="AH265" i="5"/>
  <c r="AI265" i="5" s="1"/>
  <c r="AE265" i="5"/>
  <c r="AF265" i="5" s="1"/>
  <c r="Z265" i="5"/>
  <c r="AA265" i="5" s="1"/>
  <c r="AB265" i="5" s="1"/>
  <c r="V265" i="5"/>
  <c r="W265" i="5" s="1"/>
  <c r="AU264" i="5"/>
  <c r="AV264" i="5" s="1"/>
  <c r="AW264" i="5" s="1"/>
  <c r="AO264" i="5"/>
  <c r="AP264" i="5" s="1"/>
  <c r="AQ264" i="5" s="1"/>
  <c r="AH264" i="5"/>
  <c r="AI264" i="5" s="1"/>
  <c r="AE264" i="5"/>
  <c r="AF264" i="5" s="1"/>
  <c r="Z264" i="5"/>
  <c r="AA264" i="5" s="1"/>
  <c r="AB264" i="5" s="1"/>
  <c r="V264" i="5"/>
  <c r="W264" i="5" s="1"/>
  <c r="AU263" i="5"/>
  <c r="AV263" i="5" s="1"/>
  <c r="AW263" i="5" s="1"/>
  <c r="AO263" i="5"/>
  <c r="AP263" i="5" s="1"/>
  <c r="AQ263" i="5" s="1"/>
  <c r="AH263" i="5"/>
  <c r="AI263" i="5" s="1"/>
  <c r="AE263" i="5"/>
  <c r="AF263" i="5" s="1"/>
  <c r="Z263" i="5"/>
  <c r="AA263" i="5" s="1"/>
  <c r="AB263" i="5" s="1"/>
  <c r="V263" i="5"/>
  <c r="W263" i="5" s="1"/>
  <c r="AU262" i="5"/>
  <c r="AV262" i="5" s="1"/>
  <c r="AW262" i="5" s="1"/>
  <c r="AO262" i="5"/>
  <c r="AP262" i="5" s="1"/>
  <c r="AQ262" i="5" s="1"/>
  <c r="AH262" i="5"/>
  <c r="AI262" i="5" s="1"/>
  <c r="AE262" i="5"/>
  <c r="AF262" i="5" s="1"/>
  <c r="Z262" i="5"/>
  <c r="AA262" i="5" s="1"/>
  <c r="AB262" i="5" s="1"/>
  <c r="V262" i="5"/>
  <c r="W262" i="5" s="1"/>
  <c r="AU261" i="5"/>
  <c r="AV261" i="5" s="1"/>
  <c r="AW261" i="5" s="1"/>
  <c r="AO261" i="5"/>
  <c r="AP261" i="5" s="1"/>
  <c r="AQ261" i="5" s="1"/>
  <c r="AI261" i="5"/>
  <c r="AH261" i="5"/>
  <c r="AE261" i="5"/>
  <c r="AF261" i="5" s="1"/>
  <c r="Z261" i="5"/>
  <c r="AA261" i="5" s="1"/>
  <c r="AB261" i="5" s="1"/>
  <c r="V261" i="5"/>
  <c r="W261" i="5" s="1"/>
  <c r="AU260" i="5"/>
  <c r="AV260" i="5" s="1"/>
  <c r="AW260" i="5" s="1"/>
  <c r="AO260" i="5"/>
  <c r="AP260" i="5" s="1"/>
  <c r="AQ260" i="5" s="1"/>
  <c r="AH260" i="5"/>
  <c r="AI260" i="5" s="1"/>
  <c r="AE260" i="5"/>
  <c r="AF260" i="5" s="1"/>
  <c r="Z260" i="5"/>
  <c r="AA260" i="5" s="1"/>
  <c r="AB260" i="5" s="1"/>
  <c r="W260" i="5"/>
  <c r="V260" i="5"/>
  <c r="AU259" i="5"/>
  <c r="AV259" i="5" s="1"/>
  <c r="AW259" i="5" s="1"/>
  <c r="AO259" i="5"/>
  <c r="AP259" i="5" s="1"/>
  <c r="AQ259" i="5" s="1"/>
  <c r="AH259" i="5"/>
  <c r="AI259" i="5" s="1"/>
  <c r="AE259" i="5"/>
  <c r="AF259" i="5" s="1"/>
  <c r="Z259" i="5"/>
  <c r="AA259" i="5" s="1"/>
  <c r="AB259" i="5" s="1"/>
  <c r="V259" i="5"/>
  <c r="W259" i="5" s="1"/>
  <c r="AV258" i="5"/>
  <c r="AW258" i="5" s="1"/>
  <c r="AU258" i="5"/>
  <c r="AO258" i="5"/>
  <c r="AP258" i="5" s="1"/>
  <c r="AQ258" i="5" s="1"/>
  <c r="AH258" i="5"/>
  <c r="AI258" i="5" s="1"/>
  <c r="AE258" i="5"/>
  <c r="AF258" i="5" s="1"/>
  <c r="Z258" i="5"/>
  <c r="AA258" i="5" s="1"/>
  <c r="AB258" i="5" s="1"/>
  <c r="V258" i="5"/>
  <c r="W258" i="5" s="1"/>
  <c r="AU257" i="5"/>
  <c r="AV257" i="5" s="1"/>
  <c r="AW257" i="5" s="1"/>
  <c r="AO257" i="5"/>
  <c r="AP257" i="5" s="1"/>
  <c r="AQ257" i="5" s="1"/>
  <c r="AH257" i="5"/>
  <c r="AI257" i="5" s="1"/>
  <c r="AE257" i="5"/>
  <c r="AF257" i="5" s="1"/>
  <c r="Z257" i="5"/>
  <c r="AA257" i="5" s="1"/>
  <c r="AB257" i="5" s="1"/>
  <c r="V257" i="5"/>
  <c r="W257" i="5" s="1"/>
  <c r="AU256" i="5"/>
  <c r="AV256" i="5" s="1"/>
  <c r="AW256" i="5" s="1"/>
  <c r="AO256" i="5"/>
  <c r="AP256" i="5" s="1"/>
  <c r="AQ256" i="5" s="1"/>
  <c r="AH256" i="5"/>
  <c r="AI256" i="5" s="1"/>
  <c r="AE256" i="5"/>
  <c r="AF256" i="5" s="1"/>
  <c r="Z256" i="5"/>
  <c r="AA256" i="5" s="1"/>
  <c r="AB256" i="5" s="1"/>
  <c r="V256" i="5"/>
  <c r="W256" i="5" s="1"/>
  <c r="AU255" i="5"/>
  <c r="AV255" i="5" s="1"/>
  <c r="AW255" i="5" s="1"/>
  <c r="AO255" i="5"/>
  <c r="AP255" i="5" s="1"/>
  <c r="AQ255" i="5" s="1"/>
  <c r="AH255" i="5"/>
  <c r="AI255" i="5" s="1"/>
  <c r="AE255" i="5"/>
  <c r="AF255" i="5" s="1"/>
  <c r="Z255" i="5"/>
  <c r="AA255" i="5" s="1"/>
  <c r="AB255" i="5" s="1"/>
  <c r="V255" i="5"/>
  <c r="W255" i="5" s="1"/>
  <c r="AU254" i="5"/>
  <c r="AV254" i="5" s="1"/>
  <c r="AW254" i="5" s="1"/>
  <c r="AO254" i="5"/>
  <c r="AP254" i="5" s="1"/>
  <c r="AQ254" i="5" s="1"/>
  <c r="AH254" i="5"/>
  <c r="AI254" i="5" s="1"/>
  <c r="AE254" i="5"/>
  <c r="AF254" i="5" s="1"/>
  <c r="Z254" i="5"/>
  <c r="AA254" i="5" s="1"/>
  <c r="AB254" i="5" s="1"/>
  <c r="V254" i="5"/>
  <c r="W254" i="5" s="1"/>
  <c r="AV253" i="5"/>
  <c r="AW253" i="5" s="1"/>
  <c r="AU253" i="5"/>
  <c r="AO253" i="5"/>
  <c r="AP253" i="5" s="1"/>
  <c r="AQ253" i="5" s="1"/>
  <c r="AH253" i="5"/>
  <c r="AI253" i="5" s="1"/>
  <c r="AE253" i="5"/>
  <c r="AF253" i="5" s="1"/>
  <c r="Z253" i="5"/>
  <c r="AA253" i="5" s="1"/>
  <c r="AB253" i="5" s="1"/>
  <c r="V253" i="5"/>
  <c r="W253" i="5" s="1"/>
  <c r="AU252" i="5"/>
  <c r="AV252" i="5" s="1"/>
  <c r="AW252" i="5" s="1"/>
  <c r="AO252" i="5"/>
  <c r="AP252" i="5" s="1"/>
  <c r="AQ252" i="5" s="1"/>
  <c r="AH252" i="5"/>
  <c r="AI252" i="5" s="1"/>
  <c r="AE252" i="5"/>
  <c r="AF252" i="5" s="1"/>
  <c r="Z252" i="5"/>
  <c r="AA252" i="5" s="1"/>
  <c r="AB252" i="5" s="1"/>
  <c r="V252" i="5"/>
  <c r="W252" i="5" s="1"/>
  <c r="AU251" i="5"/>
  <c r="AV251" i="5" s="1"/>
  <c r="AW251" i="5" s="1"/>
  <c r="AO251" i="5"/>
  <c r="AP251" i="5" s="1"/>
  <c r="AQ251" i="5" s="1"/>
  <c r="AH251" i="5"/>
  <c r="AI251" i="5" s="1"/>
  <c r="AE251" i="5"/>
  <c r="AF251" i="5" s="1"/>
  <c r="Z251" i="5"/>
  <c r="AA251" i="5" s="1"/>
  <c r="AB251" i="5" s="1"/>
  <c r="V251" i="5"/>
  <c r="W251" i="5" s="1"/>
  <c r="AU250" i="5"/>
  <c r="AV250" i="5" s="1"/>
  <c r="AW250" i="5" s="1"/>
  <c r="AO250" i="5"/>
  <c r="AP250" i="5" s="1"/>
  <c r="AQ250" i="5" s="1"/>
  <c r="AH250" i="5"/>
  <c r="AI250" i="5" s="1"/>
  <c r="AE250" i="5"/>
  <c r="AF250" i="5" s="1"/>
  <c r="Z250" i="5"/>
  <c r="AA250" i="5" s="1"/>
  <c r="AB250" i="5" s="1"/>
  <c r="V250" i="5"/>
  <c r="W250" i="5" s="1"/>
  <c r="AU249" i="5"/>
  <c r="AV249" i="5" s="1"/>
  <c r="AW249" i="5" s="1"/>
  <c r="AO249" i="5"/>
  <c r="AP249" i="5" s="1"/>
  <c r="AQ249" i="5" s="1"/>
  <c r="AH249" i="5"/>
  <c r="AI249" i="5" s="1"/>
  <c r="AE249" i="5"/>
  <c r="AF249" i="5" s="1"/>
  <c r="Z249" i="5"/>
  <c r="AA249" i="5" s="1"/>
  <c r="AB249" i="5" s="1"/>
  <c r="V249" i="5"/>
  <c r="W249" i="5" s="1"/>
  <c r="AU248" i="5"/>
  <c r="AV248" i="5" s="1"/>
  <c r="AW248" i="5" s="1"/>
  <c r="AO248" i="5"/>
  <c r="AP248" i="5" s="1"/>
  <c r="AQ248" i="5" s="1"/>
  <c r="AH248" i="5"/>
  <c r="AI248" i="5" s="1"/>
  <c r="AE248" i="5"/>
  <c r="AF248" i="5" s="1"/>
  <c r="Z248" i="5"/>
  <c r="AA248" i="5" s="1"/>
  <c r="AB248" i="5" s="1"/>
  <c r="V248" i="5"/>
  <c r="W248" i="5" s="1"/>
  <c r="AU247" i="5"/>
  <c r="AV247" i="5" s="1"/>
  <c r="AW247" i="5" s="1"/>
  <c r="AO247" i="5"/>
  <c r="AP247" i="5" s="1"/>
  <c r="AQ247" i="5" s="1"/>
  <c r="AI247" i="5"/>
  <c r="AH247" i="5"/>
  <c r="AE247" i="5"/>
  <c r="AF247" i="5" s="1"/>
  <c r="Z247" i="5"/>
  <c r="AA247" i="5" s="1"/>
  <c r="AB247" i="5" s="1"/>
  <c r="V247" i="5"/>
  <c r="W247" i="5" s="1"/>
  <c r="AU246" i="5"/>
  <c r="AV246" i="5" s="1"/>
  <c r="AW246" i="5" s="1"/>
  <c r="AO246" i="5"/>
  <c r="AP246" i="5" s="1"/>
  <c r="AQ246" i="5" s="1"/>
  <c r="AH246" i="5"/>
  <c r="AI246" i="5" s="1"/>
  <c r="AE246" i="5"/>
  <c r="AF246" i="5" s="1"/>
  <c r="Z246" i="5"/>
  <c r="AA246" i="5" s="1"/>
  <c r="AB246" i="5" s="1"/>
  <c r="V246" i="5"/>
  <c r="W246" i="5" s="1"/>
  <c r="AU245" i="5"/>
  <c r="AV245" i="5" s="1"/>
  <c r="AW245" i="5" s="1"/>
  <c r="AO245" i="5"/>
  <c r="AP245" i="5" s="1"/>
  <c r="AQ245" i="5" s="1"/>
  <c r="AH245" i="5"/>
  <c r="AI245" i="5" s="1"/>
  <c r="AE245" i="5"/>
  <c r="AF245" i="5" s="1"/>
  <c r="Z245" i="5"/>
  <c r="AA245" i="5" s="1"/>
  <c r="AB245" i="5" s="1"/>
  <c r="V245" i="5"/>
  <c r="W245" i="5" s="1"/>
  <c r="AU244" i="5"/>
  <c r="AV244" i="5" s="1"/>
  <c r="AW244" i="5" s="1"/>
  <c r="AO244" i="5"/>
  <c r="AP244" i="5" s="1"/>
  <c r="AQ244" i="5" s="1"/>
  <c r="AH244" i="5"/>
  <c r="AI244" i="5" s="1"/>
  <c r="AE244" i="5"/>
  <c r="AF244" i="5" s="1"/>
  <c r="Z244" i="5"/>
  <c r="AA244" i="5" s="1"/>
  <c r="AB244" i="5" s="1"/>
  <c r="V244" i="5"/>
  <c r="W244" i="5" s="1"/>
  <c r="AU243" i="5"/>
  <c r="AV243" i="5" s="1"/>
  <c r="AW243" i="5" s="1"/>
  <c r="AO243" i="5"/>
  <c r="AP243" i="5" s="1"/>
  <c r="AQ243" i="5" s="1"/>
  <c r="AH243" i="5"/>
  <c r="AI243" i="5" s="1"/>
  <c r="AE243" i="5"/>
  <c r="AF243" i="5" s="1"/>
  <c r="Z243" i="5"/>
  <c r="AA243" i="5" s="1"/>
  <c r="AB243" i="5" s="1"/>
  <c r="V243" i="5"/>
  <c r="W243" i="5" s="1"/>
  <c r="AU242" i="5"/>
  <c r="AV242" i="5" s="1"/>
  <c r="AW242" i="5" s="1"/>
  <c r="AO242" i="5"/>
  <c r="AP242" i="5" s="1"/>
  <c r="AQ242" i="5" s="1"/>
  <c r="AH242" i="5"/>
  <c r="AI242" i="5" s="1"/>
  <c r="AE242" i="5"/>
  <c r="AF242" i="5" s="1"/>
  <c r="Z242" i="5"/>
  <c r="AA242" i="5" s="1"/>
  <c r="AB242" i="5" s="1"/>
  <c r="V242" i="5"/>
  <c r="W242" i="5" s="1"/>
  <c r="AU241" i="5"/>
  <c r="AV241" i="5" s="1"/>
  <c r="AW241" i="5" s="1"/>
  <c r="AO241" i="5"/>
  <c r="AP241" i="5" s="1"/>
  <c r="AQ241" i="5" s="1"/>
  <c r="AH241" i="5"/>
  <c r="AI241" i="5" s="1"/>
  <c r="AE241" i="5"/>
  <c r="AF241" i="5" s="1"/>
  <c r="Z241" i="5"/>
  <c r="AA241" i="5" s="1"/>
  <c r="AB241" i="5" s="1"/>
  <c r="V241" i="5"/>
  <c r="W241" i="5" s="1"/>
  <c r="AU240" i="5"/>
  <c r="AV240" i="5" s="1"/>
  <c r="AW240" i="5" s="1"/>
  <c r="AO240" i="5"/>
  <c r="AP240" i="5" s="1"/>
  <c r="AQ240" i="5" s="1"/>
  <c r="AH240" i="5"/>
  <c r="AI240" i="5" s="1"/>
  <c r="AE240" i="5"/>
  <c r="AF240" i="5" s="1"/>
  <c r="Z240" i="5"/>
  <c r="AA240" i="5" s="1"/>
  <c r="AB240" i="5" s="1"/>
  <c r="V240" i="5"/>
  <c r="W240" i="5" s="1"/>
  <c r="AU239" i="5"/>
  <c r="AV239" i="5" s="1"/>
  <c r="AW239" i="5" s="1"/>
  <c r="AO239" i="5"/>
  <c r="AP239" i="5" s="1"/>
  <c r="AQ239" i="5" s="1"/>
  <c r="AH239" i="5"/>
  <c r="AI239" i="5" s="1"/>
  <c r="AE239" i="5"/>
  <c r="AF239" i="5" s="1"/>
  <c r="AA239" i="5"/>
  <c r="AB239" i="5" s="1"/>
  <c r="Z239" i="5"/>
  <c r="V239" i="5"/>
  <c r="W239" i="5" s="1"/>
  <c r="AU238" i="5"/>
  <c r="AV238" i="5" s="1"/>
  <c r="AW238" i="5" s="1"/>
  <c r="AO238" i="5"/>
  <c r="AP238" i="5" s="1"/>
  <c r="AQ238" i="5" s="1"/>
  <c r="AH238" i="5"/>
  <c r="AI238" i="5" s="1"/>
  <c r="AE238" i="5"/>
  <c r="AF238" i="5" s="1"/>
  <c r="Z238" i="5"/>
  <c r="AA238" i="5" s="1"/>
  <c r="AB238" i="5" s="1"/>
  <c r="V238" i="5"/>
  <c r="W238" i="5" s="1"/>
  <c r="AU237" i="5"/>
  <c r="AV237" i="5" s="1"/>
  <c r="AW237" i="5" s="1"/>
  <c r="AO237" i="5"/>
  <c r="AP237" i="5" s="1"/>
  <c r="AQ237" i="5" s="1"/>
  <c r="AH237" i="5"/>
  <c r="AI237" i="5" s="1"/>
  <c r="AE237" i="5"/>
  <c r="AF237" i="5" s="1"/>
  <c r="Z237" i="5"/>
  <c r="AA237" i="5" s="1"/>
  <c r="AB237" i="5" s="1"/>
  <c r="V237" i="5"/>
  <c r="W237" i="5" s="1"/>
  <c r="AU236" i="5"/>
  <c r="AV236" i="5" s="1"/>
  <c r="AW236" i="5" s="1"/>
  <c r="AO236" i="5"/>
  <c r="AP236" i="5" s="1"/>
  <c r="AQ236" i="5" s="1"/>
  <c r="AH236" i="5"/>
  <c r="AI236" i="5" s="1"/>
  <c r="AE236" i="5"/>
  <c r="AF236" i="5" s="1"/>
  <c r="Z236" i="5"/>
  <c r="AA236" i="5" s="1"/>
  <c r="AB236" i="5" s="1"/>
  <c r="V236" i="5"/>
  <c r="W236" i="5" s="1"/>
  <c r="AV235" i="5"/>
  <c r="AW235" i="5" s="1"/>
  <c r="AU235" i="5"/>
  <c r="AO235" i="5"/>
  <c r="AP235" i="5" s="1"/>
  <c r="AQ235" i="5" s="1"/>
  <c r="AH235" i="5"/>
  <c r="AI235" i="5" s="1"/>
  <c r="AE235" i="5"/>
  <c r="AF235" i="5" s="1"/>
  <c r="Z235" i="5"/>
  <c r="AA235" i="5" s="1"/>
  <c r="AB235" i="5" s="1"/>
  <c r="V235" i="5"/>
  <c r="W235" i="5" s="1"/>
  <c r="AU234" i="5"/>
  <c r="AV234" i="5" s="1"/>
  <c r="AW234" i="5" s="1"/>
  <c r="AQ234" i="5"/>
  <c r="AO234" i="5"/>
  <c r="AP234" i="5" s="1"/>
  <c r="AH234" i="5"/>
  <c r="AI234" i="5" s="1"/>
  <c r="AE234" i="5"/>
  <c r="AF234" i="5" s="1"/>
  <c r="Z234" i="5"/>
  <c r="AA234" i="5" s="1"/>
  <c r="AB234" i="5" s="1"/>
  <c r="V234" i="5"/>
  <c r="W234" i="5" s="1"/>
  <c r="AU233" i="5"/>
  <c r="AV233" i="5" s="1"/>
  <c r="AW233" i="5" s="1"/>
  <c r="AO233" i="5"/>
  <c r="AP233" i="5" s="1"/>
  <c r="AQ233" i="5" s="1"/>
  <c r="AH233" i="5"/>
  <c r="AI233" i="5" s="1"/>
  <c r="AE233" i="5"/>
  <c r="AF233" i="5" s="1"/>
  <c r="Z233" i="5"/>
  <c r="AA233" i="5" s="1"/>
  <c r="AB233" i="5" s="1"/>
  <c r="V233" i="5"/>
  <c r="W233" i="5" s="1"/>
  <c r="AU232" i="5"/>
  <c r="AV232" i="5" s="1"/>
  <c r="AW232" i="5" s="1"/>
  <c r="AO232" i="5"/>
  <c r="AP232" i="5" s="1"/>
  <c r="AQ232" i="5" s="1"/>
  <c r="AH232" i="5"/>
  <c r="AI232" i="5" s="1"/>
  <c r="AE232" i="5"/>
  <c r="AF232" i="5" s="1"/>
  <c r="Z232" i="5"/>
  <c r="AA232" i="5" s="1"/>
  <c r="AB232" i="5" s="1"/>
  <c r="V232" i="5"/>
  <c r="W232" i="5" s="1"/>
  <c r="AU231" i="5"/>
  <c r="AV231" i="5" s="1"/>
  <c r="AW231" i="5" s="1"/>
  <c r="AO231" i="5"/>
  <c r="AP231" i="5" s="1"/>
  <c r="AQ231" i="5" s="1"/>
  <c r="AH231" i="5"/>
  <c r="AI231" i="5" s="1"/>
  <c r="AE231" i="5"/>
  <c r="AF231" i="5" s="1"/>
  <c r="Z231" i="5"/>
  <c r="AA231" i="5" s="1"/>
  <c r="AB231" i="5" s="1"/>
  <c r="V231" i="5"/>
  <c r="W231" i="5" s="1"/>
  <c r="AU230" i="5"/>
  <c r="AV230" i="5" s="1"/>
  <c r="AW230" i="5" s="1"/>
  <c r="AO230" i="5"/>
  <c r="AP230" i="5" s="1"/>
  <c r="AQ230" i="5" s="1"/>
  <c r="AH230" i="5"/>
  <c r="AI230" i="5" s="1"/>
  <c r="AE230" i="5"/>
  <c r="AF230" i="5" s="1"/>
  <c r="Z230" i="5"/>
  <c r="AA230" i="5" s="1"/>
  <c r="AB230" i="5" s="1"/>
  <c r="V230" i="5"/>
  <c r="W230" i="5" s="1"/>
  <c r="AU229" i="5"/>
  <c r="AV229" i="5" s="1"/>
  <c r="AW229" i="5" s="1"/>
  <c r="AO229" i="5"/>
  <c r="AP229" i="5" s="1"/>
  <c r="AQ229" i="5" s="1"/>
  <c r="AH229" i="5"/>
  <c r="AI229" i="5" s="1"/>
  <c r="AE229" i="5"/>
  <c r="AF229" i="5" s="1"/>
  <c r="Z229" i="5"/>
  <c r="AA229" i="5" s="1"/>
  <c r="AB229" i="5" s="1"/>
  <c r="V229" i="5"/>
  <c r="W229" i="5" s="1"/>
  <c r="AU228" i="5"/>
  <c r="AV228" i="5" s="1"/>
  <c r="AW228" i="5" s="1"/>
  <c r="AO228" i="5"/>
  <c r="AP228" i="5" s="1"/>
  <c r="AQ228" i="5" s="1"/>
  <c r="AH228" i="5"/>
  <c r="AI228" i="5" s="1"/>
  <c r="AE228" i="5"/>
  <c r="AF228" i="5" s="1"/>
  <c r="Z228" i="5"/>
  <c r="AA228" i="5" s="1"/>
  <c r="AB228" i="5" s="1"/>
  <c r="V228" i="5"/>
  <c r="W228" i="5" s="1"/>
  <c r="AV227" i="5"/>
  <c r="AW227" i="5" s="1"/>
  <c r="AU227" i="5"/>
  <c r="AO227" i="5"/>
  <c r="AP227" i="5" s="1"/>
  <c r="AQ227" i="5" s="1"/>
  <c r="AH227" i="5"/>
  <c r="AI227" i="5" s="1"/>
  <c r="AE227" i="5"/>
  <c r="AF227" i="5" s="1"/>
  <c r="Z227" i="5"/>
  <c r="AA227" i="5" s="1"/>
  <c r="AB227" i="5" s="1"/>
  <c r="V227" i="5"/>
  <c r="W227" i="5" s="1"/>
  <c r="AU226" i="5"/>
  <c r="AV226" i="5" s="1"/>
  <c r="AW226" i="5" s="1"/>
  <c r="AQ226" i="5"/>
  <c r="AO226" i="5"/>
  <c r="AP226" i="5" s="1"/>
  <c r="AH226" i="5"/>
  <c r="AI226" i="5" s="1"/>
  <c r="AE226" i="5"/>
  <c r="AF226" i="5" s="1"/>
  <c r="AA226" i="5"/>
  <c r="AB226" i="5" s="1"/>
  <c r="Z226" i="5"/>
  <c r="V226" i="5"/>
  <c r="W226" i="5" s="1"/>
  <c r="AU225" i="5"/>
  <c r="AV225" i="5" s="1"/>
  <c r="AW225" i="5" s="1"/>
  <c r="AO225" i="5"/>
  <c r="AP225" i="5" s="1"/>
  <c r="AQ225" i="5" s="1"/>
  <c r="AH225" i="5"/>
  <c r="AI225" i="5" s="1"/>
  <c r="AE225" i="5"/>
  <c r="AF225" i="5" s="1"/>
  <c r="Z225" i="5"/>
  <c r="AA225" i="5" s="1"/>
  <c r="AB225" i="5" s="1"/>
  <c r="V225" i="5"/>
  <c r="W225" i="5" s="1"/>
  <c r="AU224" i="5"/>
  <c r="AV224" i="5" s="1"/>
  <c r="AW224" i="5" s="1"/>
  <c r="AO224" i="5"/>
  <c r="AP224" i="5" s="1"/>
  <c r="AQ224" i="5" s="1"/>
  <c r="AH224" i="5"/>
  <c r="AI224" i="5" s="1"/>
  <c r="AE224" i="5"/>
  <c r="AF224" i="5" s="1"/>
  <c r="Z224" i="5"/>
  <c r="AA224" i="5" s="1"/>
  <c r="AB224" i="5" s="1"/>
  <c r="V224" i="5"/>
  <c r="W224" i="5" s="1"/>
  <c r="AU223" i="5"/>
  <c r="AV223" i="5" s="1"/>
  <c r="AW223" i="5" s="1"/>
  <c r="AO223" i="5"/>
  <c r="AP223" i="5" s="1"/>
  <c r="AQ223" i="5" s="1"/>
  <c r="AH223" i="5"/>
  <c r="AI223" i="5" s="1"/>
  <c r="AE223" i="5"/>
  <c r="AF223" i="5" s="1"/>
  <c r="AA223" i="5"/>
  <c r="AB223" i="5" s="1"/>
  <c r="Z223" i="5"/>
  <c r="V223" i="5"/>
  <c r="W223" i="5" s="1"/>
  <c r="AU222" i="5"/>
  <c r="AV222" i="5" s="1"/>
  <c r="AW222" i="5" s="1"/>
  <c r="AQ222" i="5"/>
  <c r="AO222" i="5"/>
  <c r="AP222" i="5" s="1"/>
  <c r="AH222" i="5"/>
  <c r="AI222" i="5" s="1"/>
  <c r="AE222" i="5"/>
  <c r="AF222" i="5" s="1"/>
  <c r="Z222" i="5"/>
  <c r="AA222" i="5" s="1"/>
  <c r="AB222" i="5" s="1"/>
  <c r="V222" i="5"/>
  <c r="W222" i="5" s="1"/>
  <c r="AU221" i="5"/>
  <c r="AV221" i="5" s="1"/>
  <c r="AW221" i="5" s="1"/>
  <c r="AO221" i="5"/>
  <c r="AP221" i="5" s="1"/>
  <c r="AQ221" i="5" s="1"/>
  <c r="AH221" i="5"/>
  <c r="AI221" i="5" s="1"/>
  <c r="AE221" i="5"/>
  <c r="AF221" i="5" s="1"/>
  <c r="Z221" i="5"/>
  <c r="AA221" i="5" s="1"/>
  <c r="AB221" i="5" s="1"/>
  <c r="V221" i="5"/>
  <c r="W221" i="5" s="1"/>
  <c r="AU220" i="5"/>
  <c r="AV220" i="5" s="1"/>
  <c r="AW220" i="5" s="1"/>
  <c r="AO220" i="5"/>
  <c r="AP220" i="5" s="1"/>
  <c r="AQ220" i="5" s="1"/>
  <c r="AH220" i="5"/>
  <c r="AI220" i="5" s="1"/>
  <c r="AE220" i="5"/>
  <c r="AF220" i="5" s="1"/>
  <c r="Z220" i="5"/>
  <c r="AA220" i="5" s="1"/>
  <c r="AB220" i="5" s="1"/>
  <c r="V220" i="5"/>
  <c r="W220" i="5" s="1"/>
  <c r="AU219" i="5"/>
  <c r="AV219" i="5" s="1"/>
  <c r="AW219" i="5" s="1"/>
  <c r="AO219" i="5"/>
  <c r="AP219" i="5" s="1"/>
  <c r="AQ219" i="5" s="1"/>
  <c r="AH219" i="5"/>
  <c r="AI219" i="5" s="1"/>
  <c r="AE219" i="5"/>
  <c r="AF219" i="5" s="1"/>
  <c r="Z219" i="5"/>
  <c r="AA219" i="5" s="1"/>
  <c r="AB219" i="5" s="1"/>
  <c r="V219" i="5"/>
  <c r="W219" i="5" s="1"/>
  <c r="AU218" i="5"/>
  <c r="AV218" i="5" s="1"/>
  <c r="AW218" i="5" s="1"/>
  <c r="AO218" i="5"/>
  <c r="AP218" i="5" s="1"/>
  <c r="AQ218" i="5" s="1"/>
  <c r="AH218" i="5"/>
  <c r="AI218" i="5" s="1"/>
  <c r="AE218" i="5"/>
  <c r="AF218" i="5" s="1"/>
  <c r="Z218" i="5"/>
  <c r="AA218" i="5" s="1"/>
  <c r="AB218" i="5" s="1"/>
  <c r="V218" i="5"/>
  <c r="W218" i="5" s="1"/>
  <c r="AU217" i="5"/>
  <c r="AV217" i="5" s="1"/>
  <c r="AW217" i="5" s="1"/>
  <c r="AO217" i="5"/>
  <c r="AP217" i="5" s="1"/>
  <c r="AQ217" i="5" s="1"/>
  <c r="AH217" i="5"/>
  <c r="AI217" i="5" s="1"/>
  <c r="AE217" i="5"/>
  <c r="AF217" i="5" s="1"/>
  <c r="Z217" i="5"/>
  <c r="AA217" i="5" s="1"/>
  <c r="AB217" i="5" s="1"/>
  <c r="V217" i="5"/>
  <c r="W217" i="5" s="1"/>
  <c r="AU216" i="5"/>
  <c r="AV216" i="5" s="1"/>
  <c r="AW216" i="5" s="1"/>
  <c r="AO216" i="5"/>
  <c r="AP216" i="5" s="1"/>
  <c r="AQ216" i="5" s="1"/>
  <c r="AI216" i="5"/>
  <c r="AH216" i="5"/>
  <c r="AE216" i="5"/>
  <c r="AF216" i="5" s="1"/>
  <c r="Z216" i="5"/>
  <c r="AA216" i="5" s="1"/>
  <c r="AB216" i="5" s="1"/>
  <c r="V216" i="5"/>
  <c r="W216" i="5" s="1"/>
  <c r="AU215" i="5"/>
  <c r="AV215" i="5" s="1"/>
  <c r="AW215" i="5" s="1"/>
  <c r="AO215" i="5"/>
  <c r="AP215" i="5" s="1"/>
  <c r="AQ215" i="5" s="1"/>
  <c r="AH215" i="5"/>
  <c r="AI215" i="5" s="1"/>
  <c r="AE215" i="5"/>
  <c r="AF215" i="5" s="1"/>
  <c r="Z215" i="5"/>
  <c r="AA215" i="5" s="1"/>
  <c r="AB215" i="5" s="1"/>
  <c r="V215" i="5"/>
  <c r="W215" i="5" s="1"/>
  <c r="AU214" i="5"/>
  <c r="AV214" i="5" s="1"/>
  <c r="AW214" i="5" s="1"/>
  <c r="AO214" i="5"/>
  <c r="AP214" i="5" s="1"/>
  <c r="AQ214" i="5" s="1"/>
  <c r="AH214" i="5"/>
  <c r="AI214" i="5" s="1"/>
  <c r="AE214" i="5"/>
  <c r="AF214" i="5" s="1"/>
  <c r="AA214" i="5"/>
  <c r="AB214" i="5" s="1"/>
  <c r="Z214" i="5"/>
  <c r="V214" i="5"/>
  <c r="W214" i="5" s="1"/>
  <c r="AU213" i="5"/>
  <c r="AV213" i="5" s="1"/>
  <c r="AW213" i="5" s="1"/>
  <c r="AO213" i="5"/>
  <c r="AP213" i="5" s="1"/>
  <c r="AQ213" i="5" s="1"/>
  <c r="AH213" i="5"/>
  <c r="AI213" i="5" s="1"/>
  <c r="AE213" i="5"/>
  <c r="AF213" i="5" s="1"/>
  <c r="AA213" i="5"/>
  <c r="AB213" i="5" s="1"/>
  <c r="Z213" i="5"/>
  <c r="V213" i="5"/>
  <c r="W213" i="5" s="1"/>
  <c r="AU212" i="5"/>
  <c r="AV212" i="5" s="1"/>
  <c r="AW212" i="5" s="1"/>
  <c r="AO212" i="5"/>
  <c r="AP212" i="5" s="1"/>
  <c r="AQ212" i="5" s="1"/>
  <c r="AH212" i="5"/>
  <c r="AI212" i="5" s="1"/>
  <c r="AE212" i="5"/>
  <c r="AF212" i="5" s="1"/>
  <c r="Z212" i="5"/>
  <c r="AA212" i="5" s="1"/>
  <c r="AB212" i="5" s="1"/>
  <c r="V212" i="5"/>
  <c r="W212" i="5" s="1"/>
  <c r="AU211" i="5"/>
  <c r="AV211" i="5" s="1"/>
  <c r="AW211" i="5" s="1"/>
  <c r="AO211" i="5"/>
  <c r="AP211" i="5" s="1"/>
  <c r="AQ211" i="5" s="1"/>
  <c r="AH211" i="5"/>
  <c r="AI211" i="5" s="1"/>
  <c r="AE211" i="5"/>
  <c r="AF211" i="5" s="1"/>
  <c r="Z211" i="5"/>
  <c r="AA211" i="5" s="1"/>
  <c r="AB211" i="5" s="1"/>
  <c r="V211" i="5"/>
  <c r="W211" i="5" s="1"/>
  <c r="AU210" i="5"/>
  <c r="AV210" i="5" s="1"/>
  <c r="AW210" i="5" s="1"/>
  <c r="AO210" i="5"/>
  <c r="AP210" i="5" s="1"/>
  <c r="AQ210" i="5" s="1"/>
  <c r="AH210" i="5"/>
  <c r="AI210" i="5" s="1"/>
  <c r="AE210" i="5"/>
  <c r="AF210" i="5" s="1"/>
  <c r="Z210" i="5"/>
  <c r="AA210" i="5" s="1"/>
  <c r="AB210" i="5" s="1"/>
  <c r="V210" i="5"/>
  <c r="W210" i="5" s="1"/>
  <c r="AU209" i="5"/>
  <c r="AV209" i="5" s="1"/>
  <c r="AW209" i="5" s="1"/>
  <c r="AO209" i="5"/>
  <c r="AP209" i="5" s="1"/>
  <c r="AQ209" i="5" s="1"/>
  <c r="AH209" i="5"/>
  <c r="AI209" i="5" s="1"/>
  <c r="AE209" i="5"/>
  <c r="AF209" i="5" s="1"/>
  <c r="Z209" i="5"/>
  <c r="AA209" i="5" s="1"/>
  <c r="AB209" i="5" s="1"/>
  <c r="V209" i="5"/>
  <c r="W209" i="5" s="1"/>
  <c r="AU208" i="5"/>
  <c r="AV208" i="5" s="1"/>
  <c r="AW208" i="5" s="1"/>
  <c r="AO208" i="5"/>
  <c r="AP208" i="5" s="1"/>
  <c r="AQ208" i="5" s="1"/>
  <c r="AH208" i="5"/>
  <c r="AI208" i="5" s="1"/>
  <c r="AE208" i="5"/>
  <c r="AF208" i="5" s="1"/>
  <c r="Z208" i="5"/>
  <c r="AA208" i="5" s="1"/>
  <c r="AB208" i="5" s="1"/>
  <c r="V208" i="5"/>
  <c r="W208" i="5" s="1"/>
  <c r="AU207" i="5"/>
  <c r="AV207" i="5" s="1"/>
  <c r="AW207" i="5" s="1"/>
  <c r="AO207" i="5"/>
  <c r="AP207" i="5" s="1"/>
  <c r="AQ207" i="5" s="1"/>
  <c r="AH207" i="5"/>
  <c r="AI207" i="5" s="1"/>
  <c r="AE207" i="5"/>
  <c r="AF207" i="5" s="1"/>
  <c r="Z207" i="5"/>
  <c r="AA207" i="5" s="1"/>
  <c r="AB207" i="5" s="1"/>
  <c r="V207" i="5"/>
  <c r="W207" i="5" s="1"/>
  <c r="AU206" i="5"/>
  <c r="AV206" i="5" s="1"/>
  <c r="AW206" i="5" s="1"/>
  <c r="AO206" i="5"/>
  <c r="AP206" i="5" s="1"/>
  <c r="AQ206" i="5" s="1"/>
  <c r="AH206" i="5"/>
  <c r="AI206" i="5" s="1"/>
  <c r="AE206" i="5"/>
  <c r="AF206" i="5" s="1"/>
  <c r="Z206" i="5"/>
  <c r="AA206" i="5" s="1"/>
  <c r="AB206" i="5" s="1"/>
  <c r="V206" i="5"/>
  <c r="W206" i="5" s="1"/>
  <c r="AU205" i="5"/>
  <c r="AV205" i="5" s="1"/>
  <c r="AW205" i="5" s="1"/>
  <c r="AO205" i="5"/>
  <c r="AP205" i="5" s="1"/>
  <c r="AQ205" i="5" s="1"/>
  <c r="AH205" i="5"/>
  <c r="AI205" i="5" s="1"/>
  <c r="AE205" i="5"/>
  <c r="AF205" i="5" s="1"/>
  <c r="AA205" i="5"/>
  <c r="AB205" i="5" s="1"/>
  <c r="Z205" i="5"/>
  <c r="V205" i="5"/>
  <c r="W205" i="5" s="1"/>
  <c r="AU204" i="5"/>
  <c r="AV204" i="5" s="1"/>
  <c r="AW204" i="5" s="1"/>
  <c r="AO204" i="5"/>
  <c r="AP204" i="5" s="1"/>
  <c r="AQ204" i="5" s="1"/>
  <c r="AH204" i="5"/>
  <c r="AI204" i="5" s="1"/>
  <c r="AE204" i="5"/>
  <c r="AF204" i="5" s="1"/>
  <c r="Z204" i="5"/>
  <c r="AA204" i="5" s="1"/>
  <c r="AB204" i="5" s="1"/>
  <c r="V204" i="5"/>
  <c r="W204" i="5" s="1"/>
  <c r="AU203" i="5"/>
  <c r="AV203" i="5" s="1"/>
  <c r="AW203" i="5" s="1"/>
  <c r="AO203" i="5"/>
  <c r="AP203" i="5" s="1"/>
  <c r="AQ203" i="5" s="1"/>
  <c r="AH203" i="5"/>
  <c r="AI203" i="5" s="1"/>
  <c r="AE203" i="5"/>
  <c r="AF203" i="5" s="1"/>
  <c r="Z203" i="5"/>
  <c r="AA203" i="5" s="1"/>
  <c r="AB203" i="5" s="1"/>
  <c r="V203" i="5"/>
  <c r="W203" i="5" s="1"/>
  <c r="AU202" i="5"/>
  <c r="AV202" i="5" s="1"/>
  <c r="AW202" i="5" s="1"/>
  <c r="AO202" i="5"/>
  <c r="AP202" i="5" s="1"/>
  <c r="AQ202" i="5" s="1"/>
  <c r="AH202" i="5"/>
  <c r="AI202" i="5" s="1"/>
  <c r="AE202" i="5"/>
  <c r="AF202" i="5" s="1"/>
  <c r="Z202" i="5"/>
  <c r="AA202" i="5" s="1"/>
  <c r="AB202" i="5" s="1"/>
  <c r="V202" i="5"/>
  <c r="W202" i="5" s="1"/>
  <c r="AU201" i="5"/>
  <c r="AV201" i="5" s="1"/>
  <c r="AW201" i="5" s="1"/>
  <c r="AO201" i="5"/>
  <c r="AP201" i="5" s="1"/>
  <c r="AQ201" i="5" s="1"/>
  <c r="AH201" i="5"/>
  <c r="AI201" i="5" s="1"/>
  <c r="AE201" i="5"/>
  <c r="AF201" i="5" s="1"/>
  <c r="Z201" i="5"/>
  <c r="AA201" i="5" s="1"/>
  <c r="AB201" i="5" s="1"/>
  <c r="V201" i="5"/>
  <c r="W201" i="5" s="1"/>
  <c r="AU200" i="5"/>
  <c r="AV200" i="5" s="1"/>
  <c r="AW200" i="5" s="1"/>
  <c r="AO200" i="5"/>
  <c r="AP200" i="5" s="1"/>
  <c r="AQ200" i="5" s="1"/>
  <c r="AH200" i="5"/>
  <c r="AI200" i="5" s="1"/>
  <c r="AE200" i="5"/>
  <c r="AF200" i="5" s="1"/>
  <c r="Z200" i="5"/>
  <c r="AA200" i="5" s="1"/>
  <c r="AB200" i="5" s="1"/>
  <c r="V200" i="5"/>
  <c r="W200" i="5" s="1"/>
  <c r="AU199" i="5"/>
  <c r="AV199" i="5" s="1"/>
  <c r="AW199" i="5" s="1"/>
  <c r="AO199" i="5"/>
  <c r="AP199" i="5" s="1"/>
  <c r="AQ199" i="5" s="1"/>
  <c r="AH199" i="5"/>
  <c r="AI199" i="5" s="1"/>
  <c r="AE199" i="5"/>
  <c r="AF199" i="5" s="1"/>
  <c r="Z199" i="5"/>
  <c r="AA199" i="5" s="1"/>
  <c r="AB199" i="5" s="1"/>
  <c r="V199" i="5"/>
  <c r="W199" i="5" s="1"/>
  <c r="AU198" i="5"/>
  <c r="AV198" i="5" s="1"/>
  <c r="AW198" i="5" s="1"/>
  <c r="AO198" i="5"/>
  <c r="AP198" i="5" s="1"/>
  <c r="AQ198" i="5" s="1"/>
  <c r="AH198" i="5"/>
  <c r="AI198" i="5" s="1"/>
  <c r="AE198" i="5"/>
  <c r="AF198" i="5" s="1"/>
  <c r="Z198" i="5"/>
  <c r="AA198" i="5" s="1"/>
  <c r="AB198" i="5" s="1"/>
  <c r="V198" i="5"/>
  <c r="W198" i="5" s="1"/>
  <c r="AU197" i="5"/>
  <c r="AV197" i="5" s="1"/>
  <c r="AW197" i="5" s="1"/>
  <c r="AO197" i="5"/>
  <c r="AP197" i="5" s="1"/>
  <c r="AQ197" i="5" s="1"/>
  <c r="AH197" i="5"/>
  <c r="AI197" i="5" s="1"/>
  <c r="AE197" i="5"/>
  <c r="AF197" i="5" s="1"/>
  <c r="Z197" i="5"/>
  <c r="AA197" i="5" s="1"/>
  <c r="AB197" i="5" s="1"/>
  <c r="V197" i="5"/>
  <c r="W197" i="5" s="1"/>
  <c r="AU196" i="5"/>
  <c r="AV196" i="5" s="1"/>
  <c r="AW196" i="5" s="1"/>
  <c r="AO196" i="5"/>
  <c r="AP196" i="5" s="1"/>
  <c r="AQ196" i="5" s="1"/>
  <c r="AH196" i="5"/>
  <c r="AI196" i="5" s="1"/>
  <c r="AE196" i="5"/>
  <c r="AF196" i="5" s="1"/>
  <c r="Z196" i="5"/>
  <c r="AA196" i="5" s="1"/>
  <c r="AB196" i="5" s="1"/>
  <c r="V196" i="5"/>
  <c r="W196" i="5" s="1"/>
  <c r="AU195" i="5"/>
  <c r="AV195" i="5" s="1"/>
  <c r="AW195" i="5" s="1"/>
  <c r="AO195" i="5"/>
  <c r="AP195" i="5" s="1"/>
  <c r="AQ195" i="5" s="1"/>
  <c r="AH195" i="5"/>
  <c r="AI195" i="5" s="1"/>
  <c r="AE195" i="5"/>
  <c r="AF195" i="5" s="1"/>
  <c r="Z195" i="5"/>
  <c r="AA195" i="5" s="1"/>
  <c r="AB195" i="5" s="1"/>
  <c r="V195" i="5"/>
  <c r="W195" i="5" s="1"/>
  <c r="AU194" i="5"/>
  <c r="AV194" i="5" s="1"/>
  <c r="AW194" i="5" s="1"/>
  <c r="AO194" i="5"/>
  <c r="AP194" i="5" s="1"/>
  <c r="AQ194" i="5" s="1"/>
  <c r="AH194" i="5"/>
  <c r="AI194" i="5" s="1"/>
  <c r="AE194" i="5"/>
  <c r="AF194" i="5" s="1"/>
  <c r="AA194" i="5"/>
  <c r="AB194" i="5" s="1"/>
  <c r="Z194" i="5"/>
  <c r="V194" i="5"/>
  <c r="W194" i="5" s="1"/>
  <c r="AU193" i="5"/>
  <c r="AV193" i="5" s="1"/>
  <c r="AW193" i="5" s="1"/>
  <c r="AO193" i="5"/>
  <c r="AP193" i="5" s="1"/>
  <c r="AQ193" i="5" s="1"/>
  <c r="AH193" i="5"/>
  <c r="AI193" i="5" s="1"/>
  <c r="AE193" i="5"/>
  <c r="AF193" i="5" s="1"/>
  <c r="Z193" i="5"/>
  <c r="AA193" i="5" s="1"/>
  <c r="AB193" i="5" s="1"/>
  <c r="V193" i="5"/>
  <c r="W193" i="5" s="1"/>
  <c r="AU192" i="5"/>
  <c r="AV192" i="5" s="1"/>
  <c r="AW192" i="5" s="1"/>
  <c r="AO192" i="5"/>
  <c r="AP192" i="5" s="1"/>
  <c r="AQ192" i="5" s="1"/>
  <c r="AH192" i="5"/>
  <c r="AI192" i="5" s="1"/>
  <c r="AE192" i="5"/>
  <c r="AF192" i="5" s="1"/>
  <c r="Z192" i="5"/>
  <c r="AA192" i="5" s="1"/>
  <c r="AB192" i="5" s="1"/>
  <c r="V192" i="5"/>
  <c r="W192" i="5" s="1"/>
  <c r="AU191" i="5"/>
  <c r="AV191" i="5" s="1"/>
  <c r="AW191" i="5" s="1"/>
  <c r="AO191" i="5"/>
  <c r="AP191" i="5" s="1"/>
  <c r="AQ191" i="5" s="1"/>
  <c r="AH191" i="5"/>
  <c r="AI191" i="5" s="1"/>
  <c r="AE191" i="5"/>
  <c r="AF191" i="5" s="1"/>
  <c r="Z191" i="5"/>
  <c r="AA191" i="5" s="1"/>
  <c r="AB191" i="5" s="1"/>
  <c r="V191" i="5"/>
  <c r="W191" i="5" s="1"/>
  <c r="AU190" i="5"/>
  <c r="AV190" i="5" s="1"/>
  <c r="AW190" i="5" s="1"/>
  <c r="AO190" i="5"/>
  <c r="AP190" i="5" s="1"/>
  <c r="AQ190" i="5" s="1"/>
  <c r="AH190" i="5"/>
  <c r="AI190" i="5" s="1"/>
  <c r="AE190" i="5"/>
  <c r="AF190" i="5" s="1"/>
  <c r="Z190" i="5"/>
  <c r="AA190" i="5" s="1"/>
  <c r="AB190" i="5" s="1"/>
  <c r="V190" i="5"/>
  <c r="W190" i="5" s="1"/>
  <c r="AU189" i="5"/>
  <c r="AV189" i="5" s="1"/>
  <c r="AW189" i="5" s="1"/>
  <c r="AO189" i="5"/>
  <c r="AP189" i="5" s="1"/>
  <c r="AQ189" i="5" s="1"/>
  <c r="AH189" i="5"/>
  <c r="AI189" i="5" s="1"/>
  <c r="AE189" i="5"/>
  <c r="AF189" i="5" s="1"/>
  <c r="Z189" i="5"/>
  <c r="AA189" i="5" s="1"/>
  <c r="AB189" i="5" s="1"/>
  <c r="V189" i="5"/>
  <c r="W189" i="5" s="1"/>
  <c r="AW188" i="5"/>
  <c r="AU188" i="5"/>
  <c r="AV188" i="5" s="1"/>
  <c r="AO188" i="5"/>
  <c r="AP188" i="5" s="1"/>
  <c r="AQ188" i="5" s="1"/>
  <c r="AH188" i="5"/>
  <c r="AI188" i="5" s="1"/>
  <c r="AE188" i="5"/>
  <c r="AF188" i="5" s="1"/>
  <c r="Z188" i="5"/>
  <c r="AA188" i="5" s="1"/>
  <c r="AB188" i="5" s="1"/>
  <c r="V188" i="5"/>
  <c r="W188" i="5" s="1"/>
  <c r="AW187" i="5"/>
  <c r="AU187" i="5"/>
  <c r="AV187" i="5" s="1"/>
  <c r="AO187" i="5"/>
  <c r="AP187" i="5" s="1"/>
  <c r="AQ187" i="5" s="1"/>
  <c r="AH187" i="5"/>
  <c r="AI187" i="5" s="1"/>
  <c r="AE187" i="5"/>
  <c r="AF187" i="5" s="1"/>
  <c r="Z187" i="5"/>
  <c r="AA187" i="5" s="1"/>
  <c r="AB187" i="5" s="1"/>
  <c r="V187" i="5"/>
  <c r="W187" i="5" s="1"/>
  <c r="AU186" i="5"/>
  <c r="AV186" i="5" s="1"/>
  <c r="AW186" i="5" s="1"/>
  <c r="AO186" i="5"/>
  <c r="AP186" i="5" s="1"/>
  <c r="AQ186" i="5" s="1"/>
  <c r="AH186" i="5"/>
  <c r="AI186" i="5" s="1"/>
  <c r="AE186" i="5"/>
  <c r="AF186" i="5" s="1"/>
  <c r="Z186" i="5"/>
  <c r="AA186" i="5" s="1"/>
  <c r="AB186" i="5" s="1"/>
  <c r="V186" i="5"/>
  <c r="W186" i="5" s="1"/>
  <c r="AU185" i="5"/>
  <c r="AV185" i="5" s="1"/>
  <c r="AW185" i="5" s="1"/>
  <c r="AO185" i="5"/>
  <c r="AP185" i="5" s="1"/>
  <c r="AQ185" i="5" s="1"/>
  <c r="AH185" i="5"/>
  <c r="AI185" i="5" s="1"/>
  <c r="AE185" i="5"/>
  <c r="AF185" i="5" s="1"/>
  <c r="Z185" i="5"/>
  <c r="AA185" i="5" s="1"/>
  <c r="AB185" i="5" s="1"/>
  <c r="V185" i="5"/>
  <c r="W185" i="5" s="1"/>
  <c r="AU184" i="5"/>
  <c r="AV184" i="5" s="1"/>
  <c r="AW184" i="5" s="1"/>
  <c r="AO184" i="5"/>
  <c r="AP184" i="5" s="1"/>
  <c r="AQ184" i="5" s="1"/>
  <c r="AH184" i="5"/>
  <c r="AI184" i="5" s="1"/>
  <c r="AE184" i="5"/>
  <c r="AF184" i="5" s="1"/>
  <c r="Z184" i="5"/>
  <c r="AA184" i="5" s="1"/>
  <c r="AB184" i="5" s="1"/>
  <c r="V184" i="5"/>
  <c r="W184" i="5" s="1"/>
  <c r="AU183" i="5"/>
  <c r="AV183" i="5" s="1"/>
  <c r="AW183" i="5" s="1"/>
  <c r="AO183" i="5"/>
  <c r="AP183" i="5" s="1"/>
  <c r="AQ183" i="5" s="1"/>
  <c r="AH183" i="5"/>
  <c r="AI183" i="5" s="1"/>
  <c r="AE183" i="5"/>
  <c r="AF183" i="5" s="1"/>
  <c r="Z183" i="5"/>
  <c r="AA183" i="5" s="1"/>
  <c r="AB183" i="5" s="1"/>
  <c r="V183" i="5"/>
  <c r="W183" i="5" s="1"/>
  <c r="AU182" i="5"/>
  <c r="AV182" i="5" s="1"/>
  <c r="AW182" i="5" s="1"/>
  <c r="AO182" i="5"/>
  <c r="AP182" i="5" s="1"/>
  <c r="AQ182" i="5" s="1"/>
  <c r="AH182" i="5"/>
  <c r="AI182" i="5" s="1"/>
  <c r="AE182" i="5"/>
  <c r="AF182" i="5" s="1"/>
  <c r="Z182" i="5"/>
  <c r="AA182" i="5" s="1"/>
  <c r="AB182" i="5" s="1"/>
  <c r="V182" i="5"/>
  <c r="W182" i="5" s="1"/>
  <c r="AU181" i="5"/>
  <c r="AV181" i="5" s="1"/>
  <c r="AW181" i="5" s="1"/>
  <c r="AO181" i="5"/>
  <c r="AP181" i="5" s="1"/>
  <c r="AQ181" i="5" s="1"/>
  <c r="AI181" i="5"/>
  <c r="AH181" i="5"/>
  <c r="AE181" i="5"/>
  <c r="AF181" i="5" s="1"/>
  <c r="Z181" i="5"/>
  <c r="AA181" i="5" s="1"/>
  <c r="AB181" i="5" s="1"/>
  <c r="V181" i="5"/>
  <c r="W181" i="5" s="1"/>
  <c r="AU180" i="5"/>
  <c r="AV180" i="5" s="1"/>
  <c r="AW180" i="5" s="1"/>
  <c r="AO180" i="5"/>
  <c r="AP180" i="5" s="1"/>
  <c r="AQ180" i="5" s="1"/>
  <c r="AH180" i="5"/>
  <c r="AI180" i="5" s="1"/>
  <c r="AE180" i="5"/>
  <c r="AF180" i="5" s="1"/>
  <c r="Z180" i="5"/>
  <c r="AA180" i="5" s="1"/>
  <c r="AB180" i="5" s="1"/>
  <c r="V180" i="5"/>
  <c r="W180" i="5" s="1"/>
  <c r="AU179" i="5"/>
  <c r="AV179" i="5" s="1"/>
  <c r="AW179" i="5" s="1"/>
  <c r="AO179" i="5"/>
  <c r="AP179" i="5" s="1"/>
  <c r="AQ179" i="5" s="1"/>
  <c r="AH179" i="5"/>
  <c r="AI179" i="5" s="1"/>
  <c r="AE179" i="5"/>
  <c r="AF179" i="5" s="1"/>
  <c r="Z179" i="5"/>
  <c r="AA179" i="5" s="1"/>
  <c r="AB179" i="5" s="1"/>
  <c r="V179" i="5"/>
  <c r="W179" i="5" s="1"/>
  <c r="AU178" i="5"/>
  <c r="AV178" i="5" s="1"/>
  <c r="AW178" i="5" s="1"/>
  <c r="AP178" i="5"/>
  <c r="AQ178" i="5" s="1"/>
  <c r="AO178" i="5"/>
  <c r="AH178" i="5"/>
  <c r="AI178" i="5" s="1"/>
  <c r="AE178" i="5"/>
  <c r="AF178" i="5" s="1"/>
  <c r="AB178" i="5"/>
  <c r="Z178" i="5"/>
  <c r="AA178" i="5" s="1"/>
  <c r="V178" i="5"/>
  <c r="W178" i="5" s="1"/>
  <c r="AU177" i="5"/>
  <c r="AV177" i="5" s="1"/>
  <c r="AW177" i="5" s="1"/>
  <c r="AO177" i="5"/>
  <c r="AP177" i="5" s="1"/>
  <c r="AQ177" i="5" s="1"/>
  <c r="AH177" i="5"/>
  <c r="AI177" i="5" s="1"/>
  <c r="AE177" i="5"/>
  <c r="AF177" i="5" s="1"/>
  <c r="Z177" i="5"/>
  <c r="AA177" i="5" s="1"/>
  <c r="AB177" i="5" s="1"/>
  <c r="V177" i="5"/>
  <c r="W177" i="5" s="1"/>
  <c r="AV176" i="5"/>
  <c r="AW176" i="5" s="1"/>
  <c r="AU176" i="5"/>
  <c r="AO176" i="5"/>
  <c r="AP176" i="5" s="1"/>
  <c r="AQ176" i="5" s="1"/>
  <c r="AH176" i="5"/>
  <c r="AI176" i="5" s="1"/>
  <c r="AE176" i="5"/>
  <c r="AF176" i="5" s="1"/>
  <c r="Z176" i="5"/>
  <c r="AA176" i="5" s="1"/>
  <c r="AB176" i="5" s="1"/>
  <c r="V176" i="5"/>
  <c r="W176" i="5" s="1"/>
  <c r="AU175" i="5"/>
  <c r="AV175" i="5" s="1"/>
  <c r="AW175" i="5" s="1"/>
  <c r="AO175" i="5"/>
  <c r="AP175" i="5" s="1"/>
  <c r="AQ175" i="5" s="1"/>
  <c r="AH175" i="5"/>
  <c r="AI175" i="5" s="1"/>
  <c r="AE175" i="5"/>
  <c r="AF175" i="5" s="1"/>
  <c r="AB175" i="5"/>
  <c r="Z175" i="5"/>
  <c r="AA175" i="5" s="1"/>
  <c r="V175" i="5"/>
  <c r="W175" i="5" s="1"/>
  <c r="AU174" i="5"/>
  <c r="AV174" i="5" s="1"/>
  <c r="AW174" i="5" s="1"/>
  <c r="AO174" i="5"/>
  <c r="AP174" i="5" s="1"/>
  <c r="AQ174" i="5" s="1"/>
  <c r="AH174" i="5"/>
  <c r="AI174" i="5" s="1"/>
  <c r="AE174" i="5"/>
  <c r="AF174" i="5" s="1"/>
  <c r="Z174" i="5"/>
  <c r="AA174" i="5" s="1"/>
  <c r="AB174" i="5" s="1"/>
  <c r="V174" i="5"/>
  <c r="W174" i="5" s="1"/>
  <c r="AU173" i="5"/>
  <c r="AV173" i="5" s="1"/>
  <c r="AW173" i="5" s="1"/>
  <c r="AO173" i="5"/>
  <c r="AP173" i="5" s="1"/>
  <c r="AQ173" i="5" s="1"/>
  <c r="AH173" i="5"/>
  <c r="AI173" i="5" s="1"/>
  <c r="AE173" i="5"/>
  <c r="AF173" i="5" s="1"/>
  <c r="Z173" i="5"/>
  <c r="AA173" i="5" s="1"/>
  <c r="AB173" i="5" s="1"/>
  <c r="V173" i="5"/>
  <c r="W173" i="5" s="1"/>
  <c r="AU172" i="5"/>
  <c r="AV172" i="5" s="1"/>
  <c r="AW172" i="5" s="1"/>
  <c r="AO172" i="5"/>
  <c r="AP172" i="5" s="1"/>
  <c r="AQ172" i="5" s="1"/>
  <c r="AH172" i="5"/>
  <c r="AI172" i="5" s="1"/>
  <c r="AE172" i="5"/>
  <c r="AF172" i="5" s="1"/>
  <c r="Z172" i="5"/>
  <c r="AA172" i="5" s="1"/>
  <c r="AB172" i="5" s="1"/>
  <c r="V172" i="5"/>
  <c r="W172" i="5" s="1"/>
  <c r="AU171" i="5"/>
  <c r="AV171" i="5" s="1"/>
  <c r="AW171" i="5" s="1"/>
  <c r="AO171" i="5"/>
  <c r="AP171" i="5" s="1"/>
  <c r="AQ171" i="5" s="1"/>
  <c r="AH171" i="5"/>
  <c r="AI171" i="5" s="1"/>
  <c r="AE171" i="5"/>
  <c r="AF171" i="5" s="1"/>
  <c r="Z171" i="5"/>
  <c r="AA171" i="5" s="1"/>
  <c r="AB171" i="5" s="1"/>
  <c r="V171" i="5"/>
  <c r="W171" i="5" s="1"/>
  <c r="AU170" i="5"/>
  <c r="AV170" i="5" s="1"/>
  <c r="AW170" i="5" s="1"/>
  <c r="AO170" i="5"/>
  <c r="AP170" i="5" s="1"/>
  <c r="AQ170" i="5" s="1"/>
  <c r="AH170" i="5"/>
  <c r="AI170" i="5" s="1"/>
  <c r="AE170" i="5"/>
  <c r="AF170" i="5" s="1"/>
  <c r="Z170" i="5"/>
  <c r="AA170" i="5" s="1"/>
  <c r="AB170" i="5" s="1"/>
  <c r="V170" i="5"/>
  <c r="W170" i="5" s="1"/>
  <c r="AU169" i="5"/>
  <c r="AV169" i="5" s="1"/>
  <c r="AW169" i="5" s="1"/>
  <c r="AO169" i="5"/>
  <c r="AP169" i="5" s="1"/>
  <c r="AQ169" i="5" s="1"/>
  <c r="AH169" i="5"/>
  <c r="AI169" i="5" s="1"/>
  <c r="AE169" i="5"/>
  <c r="AF169" i="5" s="1"/>
  <c r="Z169" i="5"/>
  <c r="AA169" i="5" s="1"/>
  <c r="AB169" i="5" s="1"/>
  <c r="V169" i="5"/>
  <c r="W169" i="5" s="1"/>
  <c r="AU168" i="5"/>
  <c r="AV168" i="5" s="1"/>
  <c r="AW168" i="5" s="1"/>
  <c r="AO168" i="5"/>
  <c r="AP168" i="5" s="1"/>
  <c r="AQ168" i="5" s="1"/>
  <c r="AH168" i="5"/>
  <c r="AI168" i="5" s="1"/>
  <c r="AE168" i="5"/>
  <c r="AF168" i="5" s="1"/>
  <c r="Z168" i="5"/>
  <c r="AA168" i="5" s="1"/>
  <c r="AB168" i="5" s="1"/>
  <c r="V168" i="5"/>
  <c r="W168" i="5" s="1"/>
  <c r="AU167" i="5"/>
  <c r="AV167" i="5" s="1"/>
  <c r="AW167" i="5" s="1"/>
  <c r="AO167" i="5"/>
  <c r="AP167" i="5" s="1"/>
  <c r="AQ167" i="5" s="1"/>
  <c r="AH167" i="5"/>
  <c r="AI167" i="5" s="1"/>
  <c r="AE167" i="5"/>
  <c r="AF167" i="5" s="1"/>
  <c r="Z167" i="5"/>
  <c r="AA167" i="5" s="1"/>
  <c r="AB167" i="5" s="1"/>
  <c r="V167" i="5"/>
  <c r="W167" i="5" s="1"/>
  <c r="AU166" i="5"/>
  <c r="AV166" i="5" s="1"/>
  <c r="AW166" i="5" s="1"/>
  <c r="AO166" i="5"/>
  <c r="AP166" i="5" s="1"/>
  <c r="AQ166" i="5" s="1"/>
  <c r="AH166" i="5"/>
  <c r="AI166" i="5" s="1"/>
  <c r="AE166" i="5"/>
  <c r="AF166" i="5" s="1"/>
  <c r="Z166" i="5"/>
  <c r="AA166" i="5" s="1"/>
  <c r="AB166" i="5" s="1"/>
  <c r="V166" i="5"/>
  <c r="W166" i="5" s="1"/>
  <c r="AU165" i="5"/>
  <c r="AV165" i="5" s="1"/>
  <c r="AW165" i="5" s="1"/>
  <c r="AO165" i="5"/>
  <c r="AP165" i="5" s="1"/>
  <c r="AQ165" i="5" s="1"/>
  <c r="AH165" i="5"/>
  <c r="AI165" i="5" s="1"/>
  <c r="AE165" i="5"/>
  <c r="AF165" i="5" s="1"/>
  <c r="Z165" i="5"/>
  <c r="AA165" i="5" s="1"/>
  <c r="AB165" i="5" s="1"/>
  <c r="V165" i="5"/>
  <c r="W165" i="5" s="1"/>
  <c r="AU164" i="5"/>
  <c r="AV164" i="5" s="1"/>
  <c r="AW164" i="5" s="1"/>
  <c r="AO164" i="5"/>
  <c r="AP164" i="5" s="1"/>
  <c r="AQ164" i="5" s="1"/>
  <c r="AH164" i="5"/>
  <c r="AI164" i="5" s="1"/>
  <c r="AE164" i="5"/>
  <c r="AF164" i="5" s="1"/>
  <c r="Z164" i="5"/>
  <c r="AA164" i="5" s="1"/>
  <c r="AB164" i="5" s="1"/>
  <c r="V164" i="5"/>
  <c r="W164" i="5" s="1"/>
  <c r="AU163" i="5"/>
  <c r="AV163" i="5" s="1"/>
  <c r="AW163" i="5" s="1"/>
  <c r="AO163" i="5"/>
  <c r="AP163" i="5" s="1"/>
  <c r="AQ163" i="5" s="1"/>
  <c r="AH163" i="5"/>
  <c r="AI163" i="5" s="1"/>
  <c r="AE163" i="5"/>
  <c r="AF163" i="5" s="1"/>
  <c r="Z163" i="5"/>
  <c r="AA163" i="5" s="1"/>
  <c r="AB163" i="5" s="1"/>
  <c r="V163" i="5"/>
  <c r="W163" i="5" s="1"/>
  <c r="AU162" i="5"/>
  <c r="AV162" i="5" s="1"/>
  <c r="AW162" i="5" s="1"/>
  <c r="AO162" i="5"/>
  <c r="AP162" i="5" s="1"/>
  <c r="AQ162" i="5" s="1"/>
  <c r="AH162" i="5"/>
  <c r="AI162" i="5" s="1"/>
  <c r="AE162" i="5"/>
  <c r="AF162" i="5" s="1"/>
  <c r="Z162" i="5"/>
  <c r="AA162" i="5" s="1"/>
  <c r="AB162" i="5" s="1"/>
  <c r="V162" i="5"/>
  <c r="W162" i="5" s="1"/>
  <c r="AV161" i="5"/>
  <c r="AW161" i="5" s="1"/>
  <c r="AU161" i="5"/>
  <c r="AO161" i="5"/>
  <c r="AP161" i="5" s="1"/>
  <c r="AQ161" i="5" s="1"/>
  <c r="AH161" i="5"/>
  <c r="AI161" i="5" s="1"/>
  <c r="AE161" i="5"/>
  <c r="AF161" i="5" s="1"/>
  <c r="Z161" i="5"/>
  <c r="AA161" i="5" s="1"/>
  <c r="AB161" i="5" s="1"/>
  <c r="V161" i="5"/>
  <c r="W161" i="5" s="1"/>
  <c r="AU160" i="5"/>
  <c r="AV160" i="5" s="1"/>
  <c r="AW160" i="5" s="1"/>
  <c r="AO160" i="5"/>
  <c r="AP160" i="5" s="1"/>
  <c r="AQ160" i="5" s="1"/>
  <c r="AH160" i="5"/>
  <c r="AI160" i="5" s="1"/>
  <c r="AE160" i="5"/>
  <c r="AF160" i="5" s="1"/>
  <c r="Z160" i="5"/>
  <c r="AA160" i="5" s="1"/>
  <c r="AB160" i="5" s="1"/>
  <c r="V160" i="5"/>
  <c r="W160" i="5" s="1"/>
  <c r="AU159" i="5"/>
  <c r="AV159" i="5" s="1"/>
  <c r="AW159" i="5" s="1"/>
  <c r="AO159" i="5"/>
  <c r="AP159" i="5" s="1"/>
  <c r="AQ159" i="5" s="1"/>
  <c r="AH159" i="5"/>
  <c r="AI159" i="5" s="1"/>
  <c r="AE159" i="5"/>
  <c r="AF159" i="5" s="1"/>
  <c r="Z159" i="5"/>
  <c r="AA159" i="5" s="1"/>
  <c r="AB159" i="5" s="1"/>
  <c r="V159" i="5"/>
  <c r="W159" i="5" s="1"/>
  <c r="AV158" i="5"/>
  <c r="AW158" i="5" s="1"/>
  <c r="AU158" i="5"/>
  <c r="AP158" i="5"/>
  <c r="AQ158" i="5" s="1"/>
  <c r="AO158" i="5"/>
  <c r="AH158" i="5"/>
  <c r="AI158" i="5" s="1"/>
  <c r="AE158" i="5"/>
  <c r="AF158" i="5" s="1"/>
  <c r="Z158" i="5"/>
  <c r="AA158" i="5" s="1"/>
  <c r="AB158" i="5" s="1"/>
  <c r="V158" i="5"/>
  <c r="W158" i="5" s="1"/>
  <c r="AU157" i="5"/>
  <c r="AV157" i="5" s="1"/>
  <c r="AW157" i="5" s="1"/>
  <c r="AO157" i="5"/>
  <c r="AP157" i="5" s="1"/>
  <c r="AQ157" i="5" s="1"/>
  <c r="AI157" i="5"/>
  <c r="AH157" i="5"/>
  <c r="AE157" i="5"/>
  <c r="AF157" i="5" s="1"/>
  <c r="Z157" i="5"/>
  <c r="AA157" i="5" s="1"/>
  <c r="AB157" i="5" s="1"/>
  <c r="V157" i="5"/>
  <c r="W157" i="5" s="1"/>
  <c r="AU156" i="5"/>
  <c r="AV156" i="5" s="1"/>
  <c r="AW156" i="5" s="1"/>
  <c r="AO156" i="5"/>
  <c r="AP156" i="5" s="1"/>
  <c r="AQ156" i="5" s="1"/>
  <c r="AH156" i="5"/>
  <c r="AI156" i="5" s="1"/>
  <c r="AE156" i="5"/>
  <c r="AF156" i="5" s="1"/>
  <c r="Z156" i="5"/>
  <c r="AA156" i="5" s="1"/>
  <c r="AB156" i="5" s="1"/>
  <c r="V156" i="5"/>
  <c r="W156" i="5" s="1"/>
  <c r="AU155" i="5"/>
  <c r="AV155" i="5" s="1"/>
  <c r="AW155" i="5" s="1"/>
  <c r="AO155" i="5"/>
  <c r="AP155" i="5" s="1"/>
  <c r="AQ155" i="5" s="1"/>
  <c r="AH155" i="5"/>
  <c r="AI155" i="5" s="1"/>
  <c r="AE155" i="5"/>
  <c r="AF155" i="5" s="1"/>
  <c r="Z155" i="5"/>
  <c r="AA155" i="5" s="1"/>
  <c r="AB155" i="5" s="1"/>
  <c r="V155" i="5"/>
  <c r="W155" i="5" s="1"/>
  <c r="AU154" i="5"/>
  <c r="AV154" i="5" s="1"/>
  <c r="AW154" i="5" s="1"/>
  <c r="AO154" i="5"/>
  <c r="AP154" i="5" s="1"/>
  <c r="AQ154" i="5" s="1"/>
  <c r="AH154" i="5"/>
  <c r="AI154" i="5" s="1"/>
  <c r="AE154" i="5"/>
  <c r="AF154" i="5" s="1"/>
  <c r="Z154" i="5"/>
  <c r="AA154" i="5" s="1"/>
  <c r="AB154" i="5" s="1"/>
  <c r="V154" i="5"/>
  <c r="W154" i="5" s="1"/>
  <c r="AU153" i="5"/>
  <c r="AV153" i="5" s="1"/>
  <c r="AW153" i="5" s="1"/>
  <c r="AO153" i="5"/>
  <c r="AP153" i="5" s="1"/>
  <c r="AQ153" i="5" s="1"/>
  <c r="AH153" i="5"/>
  <c r="AI153" i="5" s="1"/>
  <c r="AE153" i="5"/>
  <c r="AF153" i="5" s="1"/>
  <c r="Z153" i="5"/>
  <c r="AA153" i="5" s="1"/>
  <c r="AB153" i="5" s="1"/>
  <c r="V153" i="5"/>
  <c r="W153" i="5" s="1"/>
  <c r="AU152" i="5"/>
  <c r="AV152" i="5" s="1"/>
  <c r="AW152" i="5" s="1"/>
  <c r="AO152" i="5"/>
  <c r="AP152" i="5" s="1"/>
  <c r="AQ152" i="5" s="1"/>
  <c r="AH152" i="5"/>
  <c r="AI152" i="5" s="1"/>
  <c r="AE152" i="5"/>
  <c r="AF152" i="5" s="1"/>
  <c r="Z152" i="5"/>
  <c r="AA152" i="5" s="1"/>
  <c r="AB152" i="5" s="1"/>
  <c r="V152" i="5"/>
  <c r="W152" i="5" s="1"/>
  <c r="AU151" i="5"/>
  <c r="AV151" i="5" s="1"/>
  <c r="AW151" i="5" s="1"/>
  <c r="AO151" i="5"/>
  <c r="AP151" i="5" s="1"/>
  <c r="AQ151" i="5" s="1"/>
  <c r="AH151" i="5"/>
  <c r="AI151" i="5" s="1"/>
  <c r="AE151" i="5"/>
  <c r="AF151" i="5" s="1"/>
  <c r="Z151" i="5"/>
  <c r="AA151" i="5" s="1"/>
  <c r="AB151" i="5" s="1"/>
  <c r="V151" i="5"/>
  <c r="W151" i="5" s="1"/>
  <c r="AU150" i="5"/>
  <c r="AV150" i="5" s="1"/>
  <c r="AW150" i="5" s="1"/>
  <c r="AO150" i="5"/>
  <c r="AP150" i="5" s="1"/>
  <c r="AQ150" i="5" s="1"/>
  <c r="AH150" i="5"/>
  <c r="AI150" i="5" s="1"/>
  <c r="AE150" i="5"/>
  <c r="AF150" i="5" s="1"/>
  <c r="Z150" i="5"/>
  <c r="AA150" i="5" s="1"/>
  <c r="AB150" i="5" s="1"/>
  <c r="V150" i="5"/>
  <c r="W150" i="5" s="1"/>
  <c r="AU149" i="5"/>
  <c r="AV149" i="5" s="1"/>
  <c r="AW149" i="5" s="1"/>
  <c r="AO149" i="5"/>
  <c r="AP149" i="5" s="1"/>
  <c r="AQ149" i="5" s="1"/>
  <c r="AH149" i="5"/>
  <c r="AI149" i="5" s="1"/>
  <c r="AE149" i="5"/>
  <c r="AF149" i="5" s="1"/>
  <c r="Z149" i="5"/>
  <c r="AA149" i="5" s="1"/>
  <c r="AB149" i="5" s="1"/>
  <c r="V149" i="5"/>
  <c r="W149" i="5" s="1"/>
  <c r="AU148" i="5"/>
  <c r="AV148" i="5" s="1"/>
  <c r="AW148" i="5" s="1"/>
  <c r="AO148" i="5"/>
  <c r="AP148" i="5" s="1"/>
  <c r="AQ148" i="5" s="1"/>
  <c r="AH148" i="5"/>
  <c r="AI148" i="5" s="1"/>
  <c r="AE148" i="5"/>
  <c r="AF148" i="5" s="1"/>
  <c r="Z148" i="5"/>
  <c r="AA148" i="5" s="1"/>
  <c r="AB148" i="5" s="1"/>
  <c r="V148" i="5"/>
  <c r="W148" i="5" s="1"/>
  <c r="AU147" i="5"/>
  <c r="AV147" i="5" s="1"/>
  <c r="AW147" i="5" s="1"/>
  <c r="AO147" i="5"/>
  <c r="AP147" i="5" s="1"/>
  <c r="AQ147" i="5" s="1"/>
  <c r="AH147" i="5"/>
  <c r="AI147" i="5" s="1"/>
  <c r="AE147" i="5"/>
  <c r="AF147" i="5" s="1"/>
  <c r="Z147" i="5"/>
  <c r="AA147" i="5" s="1"/>
  <c r="AB147" i="5" s="1"/>
  <c r="V147" i="5"/>
  <c r="W147" i="5" s="1"/>
  <c r="AU146" i="5"/>
  <c r="AV146" i="5" s="1"/>
  <c r="AW146" i="5" s="1"/>
  <c r="AO146" i="5"/>
  <c r="AP146" i="5" s="1"/>
  <c r="AQ146" i="5" s="1"/>
  <c r="AH146" i="5"/>
  <c r="AI146" i="5" s="1"/>
  <c r="AE146" i="5"/>
  <c r="AF146" i="5" s="1"/>
  <c r="Z146" i="5"/>
  <c r="AA146" i="5" s="1"/>
  <c r="AB146" i="5" s="1"/>
  <c r="V146" i="5"/>
  <c r="W146" i="5" s="1"/>
  <c r="AU145" i="5"/>
  <c r="AV145" i="5" s="1"/>
  <c r="AW145" i="5" s="1"/>
  <c r="AO145" i="5"/>
  <c r="AP145" i="5" s="1"/>
  <c r="AQ145" i="5" s="1"/>
  <c r="AI145" i="5"/>
  <c r="AH145" i="5"/>
  <c r="AE145" i="5"/>
  <c r="AF145" i="5" s="1"/>
  <c r="Z145" i="5"/>
  <c r="AA145" i="5" s="1"/>
  <c r="AB145" i="5" s="1"/>
  <c r="V145" i="5"/>
  <c r="W145" i="5" s="1"/>
  <c r="AU144" i="5"/>
  <c r="AV144" i="5" s="1"/>
  <c r="AW144" i="5" s="1"/>
  <c r="AP144" i="5"/>
  <c r="AQ144" i="5" s="1"/>
  <c r="AO144" i="5"/>
  <c r="AH144" i="5"/>
  <c r="AI144" i="5" s="1"/>
  <c r="AE144" i="5"/>
  <c r="AF144" i="5" s="1"/>
  <c r="Z144" i="5"/>
  <c r="AA144" i="5" s="1"/>
  <c r="AB144" i="5" s="1"/>
  <c r="V144" i="5"/>
  <c r="W144" i="5" s="1"/>
  <c r="AU143" i="5"/>
  <c r="AV143" i="5" s="1"/>
  <c r="AW143" i="5" s="1"/>
  <c r="AO143" i="5"/>
  <c r="AP143" i="5" s="1"/>
  <c r="AQ143" i="5" s="1"/>
  <c r="AI143" i="5"/>
  <c r="AH143" i="5"/>
  <c r="AE143" i="5"/>
  <c r="AF143" i="5" s="1"/>
  <c r="Z143" i="5"/>
  <c r="AA143" i="5" s="1"/>
  <c r="AB143" i="5" s="1"/>
  <c r="V143" i="5"/>
  <c r="W143" i="5" s="1"/>
  <c r="AU142" i="5"/>
  <c r="AV142" i="5" s="1"/>
  <c r="AW142" i="5" s="1"/>
  <c r="AO142" i="5"/>
  <c r="AP142" i="5" s="1"/>
  <c r="AQ142" i="5" s="1"/>
  <c r="AI142" i="5"/>
  <c r="AH142" i="5"/>
  <c r="AE142" i="5"/>
  <c r="AF142" i="5" s="1"/>
  <c r="Z142" i="5"/>
  <c r="AA142" i="5" s="1"/>
  <c r="AB142" i="5" s="1"/>
  <c r="V142" i="5"/>
  <c r="W142" i="5" s="1"/>
  <c r="AU141" i="5"/>
  <c r="AV141" i="5" s="1"/>
  <c r="AW141" i="5" s="1"/>
  <c r="AO141" i="5"/>
  <c r="AP141" i="5" s="1"/>
  <c r="AQ141" i="5" s="1"/>
  <c r="AI141" i="5"/>
  <c r="AH141" i="5"/>
  <c r="AE141" i="5"/>
  <c r="AF141" i="5" s="1"/>
  <c r="Z141" i="5"/>
  <c r="AA141" i="5" s="1"/>
  <c r="AB141" i="5" s="1"/>
  <c r="V141" i="5"/>
  <c r="W141" i="5" s="1"/>
  <c r="AU140" i="5"/>
  <c r="AV140" i="5" s="1"/>
  <c r="AW140" i="5" s="1"/>
  <c r="AO140" i="5"/>
  <c r="AP140" i="5" s="1"/>
  <c r="AQ140" i="5" s="1"/>
  <c r="AH140" i="5"/>
  <c r="AI140" i="5" s="1"/>
  <c r="AE140" i="5"/>
  <c r="AF140" i="5" s="1"/>
  <c r="Z140" i="5"/>
  <c r="AA140" i="5" s="1"/>
  <c r="AB140" i="5" s="1"/>
  <c r="V140" i="5"/>
  <c r="W140" i="5" s="1"/>
  <c r="AU139" i="5"/>
  <c r="AV139" i="5" s="1"/>
  <c r="AW139" i="5" s="1"/>
  <c r="AO139" i="5"/>
  <c r="AP139" i="5" s="1"/>
  <c r="AQ139" i="5" s="1"/>
  <c r="AH139" i="5"/>
  <c r="AI139" i="5" s="1"/>
  <c r="AE139" i="5"/>
  <c r="AF139" i="5" s="1"/>
  <c r="Z139" i="5"/>
  <c r="AA139" i="5" s="1"/>
  <c r="AB139" i="5" s="1"/>
  <c r="V139" i="5"/>
  <c r="W139" i="5" s="1"/>
  <c r="AU138" i="5"/>
  <c r="AV138" i="5" s="1"/>
  <c r="AW138" i="5" s="1"/>
  <c r="AO138" i="5"/>
  <c r="AP138" i="5" s="1"/>
  <c r="AQ138" i="5" s="1"/>
  <c r="AH138" i="5"/>
  <c r="AI138" i="5" s="1"/>
  <c r="AE138" i="5"/>
  <c r="AF138" i="5" s="1"/>
  <c r="Z138" i="5"/>
  <c r="AA138" i="5" s="1"/>
  <c r="AB138" i="5" s="1"/>
  <c r="V138" i="5"/>
  <c r="W138" i="5" s="1"/>
  <c r="AV137" i="5"/>
  <c r="AW137" i="5" s="1"/>
  <c r="AU137" i="5"/>
  <c r="AO137" i="5"/>
  <c r="AP137" i="5" s="1"/>
  <c r="AQ137" i="5" s="1"/>
  <c r="AH137" i="5"/>
  <c r="AI137" i="5" s="1"/>
  <c r="AE137" i="5"/>
  <c r="AF137" i="5" s="1"/>
  <c r="Z137" i="5"/>
  <c r="AA137" i="5" s="1"/>
  <c r="AB137" i="5" s="1"/>
  <c r="W137" i="5"/>
  <c r="V137" i="5"/>
  <c r="AU136" i="5"/>
  <c r="AV136" i="5" s="1"/>
  <c r="AW136" i="5" s="1"/>
  <c r="AO136" i="5"/>
  <c r="AP136" i="5" s="1"/>
  <c r="AQ136" i="5" s="1"/>
  <c r="AI136" i="5"/>
  <c r="AH136" i="5"/>
  <c r="AE136" i="5"/>
  <c r="AF136" i="5" s="1"/>
  <c r="Z136" i="5"/>
  <c r="AA136" i="5" s="1"/>
  <c r="AB136" i="5" s="1"/>
  <c r="V136" i="5"/>
  <c r="W136" i="5" s="1"/>
  <c r="AU135" i="5"/>
  <c r="AV135" i="5" s="1"/>
  <c r="AW135" i="5" s="1"/>
  <c r="AO135" i="5"/>
  <c r="AP135" i="5" s="1"/>
  <c r="AQ135" i="5" s="1"/>
  <c r="AH135" i="5"/>
  <c r="AI135" i="5" s="1"/>
  <c r="AE135" i="5"/>
  <c r="AF135" i="5" s="1"/>
  <c r="Z135" i="5"/>
  <c r="AA135" i="5" s="1"/>
  <c r="AB135" i="5" s="1"/>
  <c r="V135" i="5"/>
  <c r="W135" i="5" s="1"/>
  <c r="AU134" i="5"/>
  <c r="AV134" i="5" s="1"/>
  <c r="AW134" i="5" s="1"/>
  <c r="AO134" i="5"/>
  <c r="AP134" i="5" s="1"/>
  <c r="AQ134" i="5" s="1"/>
  <c r="AH134" i="5"/>
  <c r="AI134" i="5" s="1"/>
  <c r="AE134" i="5"/>
  <c r="AF134" i="5" s="1"/>
  <c r="Z134" i="5"/>
  <c r="AA134" i="5" s="1"/>
  <c r="AB134" i="5" s="1"/>
  <c r="V134" i="5"/>
  <c r="W134" i="5" s="1"/>
  <c r="AU133" i="5"/>
  <c r="AV133" i="5" s="1"/>
  <c r="AW133" i="5" s="1"/>
  <c r="AO133" i="5"/>
  <c r="AP133" i="5" s="1"/>
  <c r="AQ133" i="5" s="1"/>
  <c r="AH133" i="5"/>
  <c r="AI133" i="5" s="1"/>
  <c r="AE133" i="5"/>
  <c r="AF133" i="5" s="1"/>
  <c r="Z133" i="5"/>
  <c r="AA133" i="5" s="1"/>
  <c r="AB133" i="5" s="1"/>
  <c r="W133" i="5"/>
  <c r="V133" i="5"/>
  <c r="AU132" i="5"/>
  <c r="AV132" i="5" s="1"/>
  <c r="AW132" i="5" s="1"/>
  <c r="AO132" i="5"/>
  <c r="AP132" i="5" s="1"/>
  <c r="AQ132" i="5" s="1"/>
  <c r="AH132" i="5"/>
  <c r="AI132" i="5" s="1"/>
  <c r="AE132" i="5"/>
  <c r="AF132" i="5" s="1"/>
  <c r="Z132" i="5"/>
  <c r="AA132" i="5" s="1"/>
  <c r="AB132" i="5" s="1"/>
  <c r="V132" i="5"/>
  <c r="W132" i="5" s="1"/>
  <c r="AU131" i="5"/>
  <c r="AV131" i="5" s="1"/>
  <c r="AW131" i="5" s="1"/>
  <c r="AO131" i="5"/>
  <c r="AP131" i="5" s="1"/>
  <c r="AQ131" i="5" s="1"/>
  <c r="AH131" i="5"/>
  <c r="AI131" i="5" s="1"/>
  <c r="AE131" i="5"/>
  <c r="AF131" i="5" s="1"/>
  <c r="Z131" i="5"/>
  <c r="AA131" i="5" s="1"/>
  <c r="AB131" i="5" s="1"/>
  <c r="V131" i="5"/>
  <c r="W131" i="5" s="1"/>
  <c r="AU130" i="5"/>
  <c r="AV130" i="5" s="1"/>
  <c r="AW130" i="5" s="1"/>
  <c r="AO130" i="5"/>
  <c r="AP130" i="5" s="1"/>
  <c r="AQ130" i="5" s="1"/>
  <c r="AH130" i="5"/>
  <c r="AI130" i="5" s="1"/>
  <c r="AE130" i="5"/>
  <c r="AF130" i="5" s="1"/>
  <c r="Z130" i="5"/>
  <c r="AA130" i="5" s="1"/>
  <c r="AB130" i="5" s="1"/>
  <c r="V130" i="5"/>
  <c r="W130" i="5" s="1"/>
  <c r="AU129" i="5"/>
  <c r="AV129" i="5" s="1"/>
  <c r="AW129" i="5" s="1"/>
  <c r="AO129" i="5"/>
  <c r="AP129" i="5" s="1"/>
  <c r="AQ129" i="5" s="1"/>
  <c r="AH129" i="5"/>
  <c r="AI129" i="5" s="1"/>
  <c r="AE129" i="5"/>
  <c r="AF129" i="5" s="1"/>
  <c r="Z129" i="5"/>
  <c r="AA129" i="5" s="1"/>
  <c r="AB129" i="5" s="1"/>
  <c r="V129" i="5"/>
  <c r="W129" i="5" s="1"/>
  <c r="AU128" i="5"/>
  <c r="AV128" i="5" s="1"/>
  <c r="AW128" i="5" s="1"/>
  <c r="AO128" i="5"/>
  <c r="AP128" i="5" s="1"/>
  <c r="AQ128" i="5" s="1"/>
  <c r="AH128" i="5"/>
  <c r="AI128" i="5" s="1"/>
  <c r="AE128" i="5"/>
  <c r="AF128" i="5" s="1"/>
  <c r="Z128" i="5"/>
  <c r="AA128" i="5" s="1"/>
  <c r="AB128" i="5" s="1"/>
  <c r="V128" i="5"/>
  <c r="W128" i="5" s="1"/>
  <c r="AU127" i="5"/>
  <c r="AV127" i="5" s="1"/>
  <c r="AW127" i="5" s="1"/>
  <c r="AO127" i="5"/>
  <c r="AP127" i="5" s="1"/>
  <c r="AQ127" i="5" s="1"/>
  <c r="AH127" i="5"/>
  <c r="AI127" i="5" s="1"/>
  <c r="AE127" i="5"/>
  <c r="AF127" i="5" s="1"/>
  <c r="Z127" i="5"/>
  <c r="AA127" i="5" s="1"/>
  <c r="AB127" i="5" s="1"/>
  <c r="V127" i="5"/>
  <c r="W127" i="5" s="1"/>
  <c r="AU126" i="5"/>
  <c r="AV126" i="5" s="1"/>
  <c r="AW126" i="5" s="1"/>
  <c r="AO126" i="5"/>
  <c r="AP126" i="5" s="1"/>
  <c r="AQ126" i="5" s="1"/>
  <c r="AH126" i="5"/>
  <c r="AI126" i="5" s="1"/>
  <c r="AE126" i="5"/>
  <c r="AF126" i="5" s="1"/>
  <c r="Z126" i="5"/>
  <c r="AA126" i="5" s="1"/>
  <c r="AB126" i="5" s="1"/>
  <c r="V126" i="5"/>
  <c r="W126" i="5" s="1"/>
  <c r="AU125" i="5"/>
  <c r="AV125" i="5" s="1"/>
  <c r="AW125" i="5" s="1"/>
  <c r="AP125" i="5"/>
  <c r="AQ125" i="5" s="1"/>
  <c r="AO125" i="5"/>
  <c r="AH125" i="5"/>
  <c r="AI125" i="5" s="1"/>
  <c r="AE125" i="5"/>
  <c r="AF125" i="5" s="1"/>
  <c r="Z125" i="5"/>
  <c r="AA125" i="5" s="1"/>
  <c r="AB125" i="5" s="1"/>
  <c r="V125" i="5"/>
  <c r="W125" i="5" s="1"/>
  <c r="AU124" i="5"/>
  <c r="AV124" i="5" s="1"/>
  <c r="AW124" i="5" s="1"/>
  <c r="AO124" i="5"/>
  <c r="AP124" i="5" s="1"/>
  <c r="AQ124" i="5" s="1"/>
  <c r="AH124" i="5"/>
  <c r="AI124" i="5" s="1"/>
  <c r="AE124" i="5"/>
  <c r="AF124" i="5" s="1"/>
  <c r="Z124" i="5"/>
  <c r="AA124" i="5" s="1"/>
  <c r="AB124" i="5" s="1"/>
  <c r="V124" i="5"/>
  <c r="W124" i="5" s="1"/>
  <c r="AU123" i="5"/>
  <c r="AV123" i="5" s="1"/>
  <c r="AW123" i="5" s="1"/>
  <c r="AP123" i="5"/>
  <c r="AQ123" i="5" s="1"/>
  <c r="AO123" i="5"/>
  <c r="AH123" i="5"/>
  <c r="AI123" i="5" s="1"/>
  <c r="AE123" i="5"/>
  <c r="AF123" i="5" s="1"/>
  <c r="Z123" i="5"/>
  <c r="AA123" i="5" s="1"/>
  <c r="AB123" i="5" s="1"/>
  <c r="V123" i="5"/>
  <c r="W123" i="5" s="1"/>
  <c r="AU122" i="5"/>
  <c r="AV122" i="5" s="1"/>
  <c r="AW122" i="5" s="1"/>
  <c r="AO122" i="5"/>
  <c r="AP122" i="5" s="1"/>
  <c r="AQ122" i="5" s="1"/>
  <c r="AH122" i="5"/>
  <c r="AI122" i="5" s="1"/>
  <c r="AE122" i="5"/>
  <c r="AF122" i="5" s="1"/>
  <c r="Z122" i="5"/>
  <c r="AA122" i="5" s="1"/>
  <c r="AB122" i="5" s="1"/>
  <c r="V122" i="5"/>
  <c r="W122" i="5" s="1"/>
  <c r="AU121" i="5"/>
  <c r="AV121" i="5" s="1"/>
  <c r="AW121" i="5" s="1"/>
  <c r="AP121" i="5"/>
  <c r="AQ121" i="5" s="1"/>
  <c r="AO121" i="5"/>
  <c r="AH121" i="5"/>
  <c r="AI121" i="5" s="1"/>
  <c r="AE121" i="5"/>
  <c r="AF121" i="5" s="1"/>
  <c r="Z121" i="5"/>
  <c r="AA121" i="5" s="1"/>
  <c r="AB121" i="5" s="1"/>
  <c r="V121" i="5"/>
  <c r="W121" i="5" s="1"/>
  <c r="AU120" i="5"/>
  <c r="AV120" i="5" s="1"/>
  <c r="AW120" i="5" s="1"/>
  <c r="AO120" i="5"/>
  <c r="AP120" i="5" s="1"/>
  <c r="AQ120" i="5" s="1"/>
  <c r="AH120" i="5"/>
  <c r="AI120" i="5" s="1"/>
  <c r="AE120" i="5"/>
  <c r="AF120" i="5" s="1"/>
  <c r="Z120" i="5"/>
  <c r="AA120" i="5" s="1"/>
  <c r="AB120" i="5" s="1"/>
  <c r="V120" i="5"/>
  <c r="W120" i="5" s="1"/>
  <c r="AU119" i="5"/>
  <c r="AV119" i="5" s="1"/>
  <c r="AW119" i="5" s="1"/>
  <c r="AO119" i="5"/>
  <c r="AP119" i="5" s="1"/>
  <c r="AQ119" i="5" s="1"/>
  <c r="AH119" i="5"/>
  <c r="AI119" i="5" s="1"/>
  <c r="AE119" i="5"/>
  <c r="AF119" i="5" s="1"/>
  <c r="Z119" i="5"/>
  <c r="AA119" i="5" s="1"/>
  <c r="AB119" i="5" s="1"/>
  <c r="V119" i="5"/>
  <c r="W119" i="5" s="1"/>
  <c r="AU118" i="5"/>
  <c r="AV118" i="5" s="1"/>
  <c r="AW118" i="5" s="1"/>
  <c r="AO118" i="5"/>
  <c r="AP118" i="5" s="1"/>
  <c r="AQ118" i="5" s="1"/>
  <c r="AH118" i="5"/>
  <c r="AI118" i="5" s="1"/>
  <c r="AE118" i="5"/>
  <c r="AF118" i="5" s="1"/>
  <c r="Z118" i="5"/>
  <c r="AA118" i="5" s="1"/>
  <c r="AB118" i="5" s="1"/>
  <c r="V118" i="5"/>
  <c r="W118" i="5" s="1"/>
  <c r="AU117" i="5"/>
  <c r="AV117" i="5" s="1"/>
  <c r="AW117" i="5" s="1"/>
  <c r="AP117" i="5"/>
  <c r="AQ117" i="5" s="1"/>
  <c r="AO117" i="5"/>
  <c r="AH117" i="5"/>
  <c r="AI117" i="5" s="1"/>
  <c r="AE117" i="5"/>
  <c r="AF117" i="5" s="1"/>
  <c r="Z117" i="5"/>
  <c r="AA117" i="5" s="1"/>
  <c r="AB117" i="5" s="1"/>
  <c r="V117" i="5"/>
  <c r="W117" i="5" s="1"/>
  <c r="AU116" i="5"/>
  <c r="AV116" i="5" s="1"/>
  <c r="AW116" i="5" s="1"/>
  <c r="AO116" i="5"/>
  <c r="AP116" i="5" s="1"/>
  <c r="AQ116" i="5" s="1"/>
  <c r="AH116" i="5"/>
  <c r="AI116" i="5" s="1"/>
  <c r="AE116" i="5"/>
  <c r="AF116" i="5" s="1"/>
  <c r="Z116" i="5"/>
  <c r="AA116" i="5" s="1"/>
  <c r="AB116" i="5" s="1"/>
  <c r="V116" i="5"/>
  <c r="W116" i="5" s="1"/>
  <c r="AU115" i="5"/>
  <c r="AV115" i="5" s="1"/>
  <c r="AW115" i="5" s="1"/>
  <c r="AP115" i="5"/>
  <c r="AQ115" i="5" s="1"/>
  <c r="AO115" i="5"/>
  <c r="AH115" i="5"/>
  <c r="AI115" i="5" s="1"/>
  <c r="AE115" i="5"/>
  <c r="AF115" i="5" s="1"/>
  <c r="Z115" i="5"/>
  <c r="AA115" i="5" s="1"/>
  <c r="AB115" i="5" s="1"/>
  <c r="V115" i="5"/>
  <c r="W115" i="5" s="1"/>
  <c r="AU114" i="5"/>
  <c r="AV114" i="5" s="1"/>
  <c r="AW114" i="5" s="1"/>
  <c r="AO114" i="5"/>
  <c r="AP114" i="5" s="1"/>
  <c r="AQ114" i="5" s="1"/>
  <c r="AH114" i="5"/>
  <c r="AI114" i="5" s="1"/>
  <c r="AE114" i="5"/>
  <c r="AF114" i="5" s="1"/>
  <c r="Z114" i="5"/>
  <c r="AA114" i="5" s="1"/>
  <c r="AB114" i="5" s="1"/>
  <c r="V114" i="5"/>
  <c r="W114" i="5" s="1"/>
  <c r="AU113" i="5"/>
  <c r="AV113" i="5" s="1"/>
  <c r="AW113" i="5" s="1"/>
  <c r="AP113" i="5"/>
  <c r="AQ113" i="5" s="1"/>
  <c r="AO113" i="5"/>
  <c r="AH113" i="5"/>
  <c r="AI113" i="5" s="1"/>
  <c r="AE113" i="5"/>
  <c r="AF113" i="5" s="1"/>
  <c r="Z113" i="5"/>
  <c r="AA113" i="5" s="1"/>
  <c r="AB113" i="5" s="1"/>
  <c r="V113" i="5"/>
  <c r="W113" i="5" s="1"/>
  <c r="AU112" i="5"/>
  <c r="AV112" i="5" s="1"/>
  <c r="AW112" i="5" s="1"/>
  <c r="AO112" i="5"/>
  <c r="AP112" i="5" s="1"/>
  <c r="AQ112" i="5" s="1"/>
  <c r="AH112" i="5"/>
  <c r="AI112" i="5" s="1"/>
  <c r="AE112" i="5"/>
  <c r="AF112" i="5" s="1"/>
  <c r="Z112" i="5"/>
  <c r="AA112" i="5" s="1"/>
  <c r="AB112" i="5" s="1"/>
  <c r="V112" i="5"/>
  <c r="W112" i="5" s="1"/>
  <c r="AU111" i="5"/>
  <c r="AV111" i="5" s="1"/>
  <c r="AW111" i="5" s="1"/>
  <c r="AO111" i="5"/>
  <c r="AP111" i="5" s="1"/>
  <c r="AQ111" i="5" s="1"/>
  <c r="AH111" i="5"/>
  <c r="AI111" i="5" s="1"/>
  <c r="AE111" i="5"/>
  <c r="AF111" i="5" s="1"/>
  <c r="Z111" i="5"/>
  <c r="AA111" i="5" s="1"/>
  <c r="AB111" i="5" s="1"/>
  <c r="V111" i="5"/>
  <c r="W111" i="5" s="1"/>
  <c r="AU110" i="5"/>
  <c r="AV110" i="5" s="1"/>
  <c r="AW110" i="5" s="1"/>
  <c r="AO110" i="5"/>
  <c r="AP110" i="5" s="1"/>
  <c r="AQ110" i="5" s="1"/>
  <c r="AH110" i="5"/>
  <c r="AI110" i="5" s="1"/>
  <c r="AE110" i="5"/>
  <c r="AF110" i="5" s="1"/>
  <c r="Z110" i="5"/>
  <c r="AA110" i="5" s="1"/>
  <c r="AB110" i="5" s="1"/>
  <c r="V110" i="5"/>
  <c r="W110" i="5" s="1"/>
  <c r="AU109" i="5"/>
  <c r="AV109" i="5" s="1"/>
  <c r="AW109" i="5" s="1"/>
  <c r="AP109" i="5"/>
  <c r="AQ109" i="5" s="1"/>
  <c r="AO109" i="5"/>
  <c r="AH109" i="5"/>
  <c r="AI109" i="5" s="1"/>
  <c r="AE109" i="5"/>
  <c r="AF109" i="5" s="1"/>
  <c r="Z109" i="5"/>
  <c r="AA109" i="5" s="1"/>
  <c r="AB109" i="5" s="1"/>
  <c r="V109" i="5"/>
  <c r="W109" i="5" s="1"/>
  <c r="AU108" i="5"/>
  <c r="AV108" i="5" s="1"/>
  <c r="AW108" i="5" s="1"/>
  <c r="AO108" i="5"/>
  <c r="AP108" i="5" s="1"/>
  <c r="AQ108" i="5" s="1"/>
  <c r="AH108" i="5"/>
  <c r="AI108" i="5" s="1"/>
  <c r="AE108" i="5"/>
  <c r="AF108" i="5" s="1"/>
  <c r="Z108" i="5"/>
  <c r="AA108" i="5" s="1"/>
  <c r="AB108" i="5" s="1"/>
  <c r="V108" i="5"/>
  <c r="W108" i="5" s="1"/>
  <c r="AU107" i="5"/>
  <c r="AV107" i="5" s="1"/>
  <c r="AW107" i="5" s="1"/>
  <c r="AO107" i="5"/>
  <c r="AP107" i="5" s="1"/>
  <c r="AQ107" i="5" s="1"/>
  <c r="AH107" i="5"/>
  <c r="AI107" i="5" s="1"/>
  <c r="AE107" i="5"/>
  <c r="AF107" i="5" s="1"/>
  <c r="Z107" i="5"/>
  <c r="AA107" i="5" s="1"/>
  <c r="AB107" i="5" s="1"/>
  <c r="V107" i="5"/>
  <c r="W107" i="5" s="1"/>
  <c r="AU106" i="5"/>
  <c r="AV106" i="5" s="1"/>
  <c r="AW106" i="5" s="1"/>
  <c r="AO106" i="5"/>
  <c r="AP106" i="5" s="1"/>
  <c r="AQ106" i="5" s="1"/>
  <c r="AH106" i="5"/>
  <c r="AI106" i="5" s="1"/>
  <c r="AE106" i="5"/>
  <c r="AF106" i="5" s="1"/>
  <c r="Z106" i="5"/>
  <c r="AA106" i="5" s="1"/>
  <c r="AB106" i="5" s="1"/>
  <c r="V106" i="5"/>
  <c r="W106" i="5" s="1"/>
  <c r="AU105" i="5"/>
  <c r="AV105" i="5" s="1"/>
  <c r="AW105" i="5" s="1"/>
  <c r="AO105" i="5"/>
  <c r="AP105" i="5" s="1"/>
  <c r="AQ105" i="5" s="1"/>
  <c r="AH105" i="5"/>
  <c r="AI105" i="5" s="1"/>
  <c r="AE105" i="5"/>
  <c r="AF105" i="5" s="1"/>
  <c r="Z105" i="5"/>
  <c r="AA105" i="5" s="1"/>
  <c r="AB105" i="5" s="1"/>
  <c r="V105" i="5"/>
  <c r="W105" i="5" s="1"/>
  <c r="AU104" i="5"/>
  <c r="AV104" i="5" s="1"/>
  <c r="AW104" i="5" s="1"/>
  <c r="AO104" i="5"/>
  <c r="AP104" i="5" s="1"/>
  <c r="AQ104" i="5" s="1"/>
  <c r="AH104" i="5"/>
  <c r="AI104" i="5" s="1"/>
  <c r="AE104" i="5"/>
  <c r="AF104" i="5" s="1"/>
  <c r="Z104" i="5"/>
  <c r="AA104" i="5" s="1"/>
  <c r="AB104" i="5" s="1"/>
  <c r="V104" i="5"/>
  <c r="W104" i="5" s="1"/>
  <c r="AU103" i="5"/>
  <c r="AV103" i="5" s="1"/>
  <c r="AW103" i="5" s="1"/>
  <c r="AO103" i="5"/>
  <c r="AP103" i="5" s="1"/>
  <c r="AQ103" i="5" s="1"/>
  <c r="AH103" i="5"/>
  <c r="AI103" i="5" s="1"/>
  <c r="AE103" i="5"/>
  <c r="AF103" i="5" s="1"/>
  <c r="AB103" i="5"/>
  <c r="Z103" i="5"/>
  <c r="AA103" i="5" s="1"/>
  <c r="V103" i="5"/>
  <c r="W103" i="5" s="1"/>
  <c r="AU102" i="5"/>
  <c r="AV102" i="5" s="1"/>
  <c r="AW102" i="5" s="1"/>
  <c r="AO102" i="5"/>
  <c r="AP102" i="5" s="1"/>
  <c r="AQ102" i="5" s="1"/>
  <c r="AH102" i="5"/>
  <c r="AI102" i="5" s="1"/>
  <c r="AE102" i="5"/>
  <c r="AF102" i="5" s="1"/>
  <c r="Z102" i="5"/>
  <c r="AA102" i="5" s="1"/>
  <c r="AB102" i="5" s="1"/>
  <c r="V102" i="5"/>
  <c r="W102" i="5" s="1"/>
  <c r="AU101" i="5"/>
  <c r="AV101" i="5" s="1"/>
  <c r="AW101" i="5" s="1"/>
  <c r="AO101" i="5"/>
  <c r="AP101" i="5" s="1"/>
  <c r="AQ101" i="5" s="1"/>
  <c r="AH101" i="5"/>
  <c r="AI101" i="5" s="1"/>
  <c r="AE101" i="5"/>
  <c r="AF101" i="5" s="1"/>
  <c r="Z101" i="5"/>
  <c r="AA101" i="5" s="1"/>
  <c r="AB101" i="5" s="1"/>
  <c r="V101" i="5"/>
  <c r="W101" i="5" s="1"/>
  <c r="AU100" i="5"/>
  <c r="AV100" i="5" s="1"/>
  <c r="AW100" i="5" s="1"/>
  <c r="AP100" i="5"/>
  <c r="AQ100" i="5" s="1"/>
  <c r="AO100" i="5"/>
  <c r="AH100" i="5"/>
  <c r="AI100" i="5" s="1"/>
  <c r="AE100" i="5"/>
  <c r="AF100" i="5" s="1"/>
  <c r="Z100" i="5"/>
  <c r="AA100" i="5" s="1"/>
  <c r="AB100" i="5" s="1"/>
  <c r="V100" i="5"/>
  <c r="W100" i="5" s="1"/>
  <c r="AU99" i="5"/>
  <c r="AV99" i="5" s="1"/>
  <c r="AW99" i="5" s="1"/>
  <c r="AO99" i="5"/>
  <c r="AP99" i="5" s="1"/>
  <c r="AQ99" i="5" s="1"/>
  <c r="AH99" i="5"/>
  <c r="AI99" i="5" s="1"/>
  <c r="AE99" i="5"/>
  <c r="AF99" i="5" s="1"/>
  <c r="Z99" i="5"/>
  <c r="AA99" i="5" s="1"/>
  <c r="AB99" i="5" s="1"/>
  <c r="V99" i="5"/>
  <c r="W99" i="5" s="1"/>
  <c r="AU98" i="5"/>
  <c r="AV98" i="5" s="1"/>
  <c r="AW98" i="5" s="1"/>
  <c r="AO98" i="5"/>
  <c r="AP98" i="5" s="1"/>
  <c r="AQ98" i="5" s="1"/>
  <c r="AH98" i="5"/>
  <c r="AI98" i="5" s="1"/>
  <c r="AE98" i="5"/>
  <c r="AF98" i="5" s="1"/>
  <c r="Z98" i="5"/>
  <c r="AA98" i="5" s="1"/>
  <c r="AB98" i="5" s="1"/>
  <c r="V98" i="5"/>
  <c r="W98" i="5" s="1"/>
  <c r="AU97" i="5"/>
  <c r="AV97" i="5" s="1"/>
  <c r="AW97" i="5" s="1"/>
  <c r="AO97" i="5"/>
  <c r="AP97" i="5" s="1"/>
  <c r="AQ97" i="5" s="1"/>
  <c r="AH97" i="5"/>
  <c r="AI97" i="5" s="1"/>
  <c r="AE97" i="5"/>
  <c r="AF97" i="5" s="1"/>
  <c r="Z97" i="5"/>
  <c r="AA97" i="5" s="1"/>
  <c r="AB97" i="5" s="1"/>
  <c r="V97" i="5"/>
  <c r="W97" i="5" s="1"/>
  <c r="AU96" i="5"/>
  <c r="AV96" i="5" s="1"/>
  <c r="AW96" i="5" s="1"/>
  <c r="AP96" i="5"/>
  <c r="AQ96" i="5" s="1"/>
  <c r="AO96" i="5"/>
  <c r="AI96" i="5"/>
  <c r="AH96" i="5"/>
  <c r="AE96" i="5"/>
  <c r="AF96" i="5" s="1"/>
  <c r="Z96" i="5"/>
  <c r="AA96" i="5" s="1"/>
  <c r="AB96" i="5" s="1"/>
  <c r="V96" i="5"/>
  <c r="W96" i="5" s="1"/>
  <c r="AU95" i="5"/>
  <c r="AV95" i="5" s="1"/>
  <c r="AW95" i="5" s="1"/>
  <c r="AP95" i="5"/>
  <c r="AQ95" i="5" s="1"/>
  <c r="AO95" i="5"/>
  <c r="AI95" i="5"/>
  <c r="AH95" i="5"/>
  <c r="AE95" i="5"/>
  <c r="AF95" i="5" s="1"/>
  <c r="Z95" i="5"/>
  <c r="AA95" i="5" s="1"/>
  <c r="AB95" i="5" s="1"/>
  <c r="V95" i="5"/>
  <c r="W95" i="5" s="1"/>
  <c r="AU94" i="5"/>
  <c r="AV94" i="5" s="1"/>
  <c r="AW94" i="5" s="1"/>
  <c r="AO94" i="5"/>
  <c r="AP94" i="5" s="1"/>
  <c r="AQ94" i="5" s="1"/>
  <c r="AH94" i="5"/>
  <c r="AI94" i="5" s="1"/>
  <c r="AE94" i="5"/>
  <c r="AF94" i="5" s="1"/>
  <c r="Z94" i="5"/>
  <c r="AA94" i="5" s="1"/>
  <c r="AB94" i="5" s="1"/>
  <c r="V94" i="5"/>
  <c r="W94" i="5" s="1"/>
  <c r="AU93" i="5"/>
  <c r="AV93" i="5" s="1"/>
  <c r="AW93" i="5" s="1"/>
  <c r="AO93" i="5"/>
  <c r="AP93" i="5" s="1"/>
  <c r="AQ93" i="5" s="1"/>
  <c r="AH93" i="5"/>
  <c r="AI93" i="5" s="1"/>
  <c r="AE93" i="5"/>
  <c r="AF93" i="5" s="1"/>
  <c r="Z93" i="5"/>
  <c r="AA93" i="5" s="1"/>
  <c r="AB93" i="5" s="1"/>
  <c r="V93" i="5"/>
  <c r="W93" i="5" s="1"/>
  <c r="AU92" i="5"/>
  <c r="AV92" i="5" s="1"/>
  <c r="AW92" i="5" s="1"/>
  <c r="AO92" i="5"/>
  <c r="AP92" i="5" s="1"/>
  <c r="AQ92" i="5" s="1"/>
  <c r="AH92" i="5"/>
  <c r="AI92" i="5" s="1"/>
  <c r="AE92" i="5"/>
  <c r="AF92" i="5" s="1"/>
  <c r="AB92" i="5"/>
  <c r="Z92" i="5"/>
  <c r="AA92" i="5" s="1"/>
  <c r="V92" i="5"/>
  <c r="W92" i="5" s="1"/>
  <c r="AU91" i="5"/>
  <c r="AV91" i="5" s="1"/>
  <c r="AW91" i="5" s="1"/>
  <c r="AO91" i="5"/>
  <c r="AP91" i="5" s="1"/>
  <c r="AQ91" i="5" s="1"/>
  <c r="AH91" i="5"/>
  <c r="AI91" i="5" s="1"/>
  <c r="AE91" i="5"/>
  <c r="AF91" i="5" s="1"/>
  <c r="Z91" i="5"/>
  <c r="AA91" i="5" s="1"/>
  <c r="AB91" i="5" s="1"/>
  <c r="V91" i="5"/>
  <c r="W91" i="5" s="1"/>
  <c r="AU90" i="5"/>
  <c r="AV90" i="5" s="1"/>
  <c r="AW90" i="5" s="1"/>
  <c r="AO90" i="5"/>
  <c r="AP90" i="5" s="1"/>
  <c r="AQ90" i="5" s="1"/>
  <c r="AH90" i="5"/>
  <c r="AI90" i="5" s="1"/>
  <c r="AE90" i="5"/>
  <c r="AF90" i="5" s="1"/>
  <c r="Z90" i="5"/>
  <c r="AA90" i="5" s="1"/>
  <c r="AB90" i="5" s="1"/>
  <c r="V90" i="5"/>
  <c r="W90" i="5" s="1"/>
  <c r="AU89" i="5"/>
  <c r="AV89" i="5" s="1"/>
  <c r="AW89" i="5" s="1"/>
  <c r="AP89" i="5"/>
  <c r="AQ89" i="5" s="1"/>
  <c r="AO89" i="5"/>
  <c r="AH89" i="5"/>
  <c r="AI89" i="5" s="1"/>
  <c r="AE89" i="5"/>
  <c r="AF89" i="5" s="1"/>
  <c r="Z89" i="5"/>
  <c r="AA89" i="5" s="1"/>
  <c r="AB89" i="5" s="1"/>
  <c r="V89" i="5"/>
  <c r="W89" i="5" s="1"/>
  <c r="AU88" i="5"/>
  <c r="AV88" i="5" s="1"/>
  <c r="AW88" i="5" s="1"/>
  <c r="AO88" i="5"/>
  <c r="AP88" i="5" s="1"/>
  <c r="AQ88" i="5" s="1"/>
  <c r="AH88" i="5"/>
  <c r="AI88" i="5" s="1"/>
  <c r="AE88" i="5"/>
  <c r="AF88" i="5" s="1"/>
  <c r="Z88" i="5"/>
  <c r="AA88" i="5" s="1"/>
  <c r="AB88" i="5" s="1"/>
  <c r="V88" i="5"/>
  <c r="W88" i="5" s="1"/>
  <c r="AU87" i="5"/>
  <c r="AV87" i="5" s="1"/>
  <c r="AW87" i="5" s="1"/>
  <c r="AO87" i="5"/>
  <c r="AP87" i="5" s="1"/>
  <c r="AQ87" i="5" s="1"/>
  <c r="AH87" i="5"/>
  <c r="AI87" i="5" s="1"/>
  <c r="AE87" i="5"/>
  <c r="AF87" i="5" s="1"/>
  <c r="Z87" i="5"/>
  <c r="AA87" i="5" s="1"/>
  <c r="AB87" i="5" s="1"/>
  <c r="V87" i="5"/>
  <c r="W87" i="5" s="1"/>
  <c r="AU86" i="5"/>
  <c r="AV86" i="5" s="1"/>
  <c r="AW86" i="5" s="1"/>
  <c r="AO86" i="5"/>
  <c r="AP86" i="5" s="1"/>
  <c r="AQ86" i="5" s="1"/>
  <c r="AH86" i="5"/>
  <c r="AI86" i="5" s="1"/>
  <c r="AE86" i="5"/>
  <c r="AF86" i="5" s="1"/>
  <c r="Z86" i="5"/>
  <c r="AA86" i="5" s="1"/>
  <c r="AB86" i="5" s="1"/>
  <c r="V86" i="5"/>
  <c r="W86" i="5" s="1"/>
  <c r="AU85" i="5"/>
  <c r="AV85" i="5" s="1"/>
  <c r="AW85" i="5" s="1"/>
  <c r="AO85" i="5"/>
  <c r="AP85" i="5" s="1"/>
  <c r="AQ85" i="5" s="1"/>
  <c r="AH85" i="5"/>
  <c r="AI85" i="5" s="1"/>
  <c r="AE85" i="5"/>
  <c r="AF85" i="5" s="1"/>
  <c r="Z85" i="5"/>
  <c r="AA85" i="5" s="1"/>
  <c r="AB85" i="5" s="1"/>
  <c r="V85" i="5"/>
  <c r="W85" i="5" s="1"/>
  <c r="AU84" i="5"/>
  <c r="AV84" i="5" s="1"/>
  <c r="AW84" i="5" s="1"/>
  <c r="AO84" i="5"/>
  <c r="AP84" i="5" s="1"/>
  <c r="AQ84" i="5" s="1"/>
  <c r="AH84" i="5"/>
  <c r="AI84" i="5" s="1"/>
  <c r="AE84" i="5"/>
  <c r="AF84" i="5" s="1"/>
  <c r="Z84" i="5"/>
  <c r="AA84" i="5" s="1"/>
  <c r="AB84" i="5" s="1"/>
  <c r="V84" i="5"/>
  <c r="W84" i="5" s="1"/>
  <c r="AU83" i="5"/>
  <c r="AV83" i="5" s="1"/>
  <c r="AW83" i="5" s="1"/>
  <c r="AO83" i="5"/>
  <c r="AP83" i="5" s="1"/>
  <c r="AQ83" i="5" s="1"/>
  <c r="AI83" i="5"/>
  <c r="AH83" i="5"/>
  <c r="AE83" i="5"/>
  <c r="AF83" i="5" s="1"/>
  <c r="Z83" i="5"/>
  <c r="AA83" i="5" s="1"/>
  <c r="AB83" i="5" s="1"/>
  <c r="V83" i="5"/>
  <c r="W83" i="5" s="1"/>
  <c r="AU82" i="5"/>
  <c r="AV82" i="5" s="1"/>
  <c r="AW82" i="5" s="1"/>
  <c r="AO82" i="5"/>
  <c r="AP82" i="5" s="1"/>
  <c r="AQ82" i="5" s="1"/>
  <c r="AI82" i="5"/>
  <c r="AH82" i="5"/>
  <c r="AE82" i="5"/>
  <c r="AF82" i="5" s="1"/>
  <c r="Z82" i="5"/>
  <c r="AA82" i="5" s="1"/>
  <c r="AB82" i="5" s="1"/>
  <c r="V82" i="5"/>
  <c r="W82" i="5" s="1"/>
  <c r="AU81" i="5"/>
  <c r="AV81" i="5" s="1"/>
  <c r="AW81" i="5" s="1"/>
  <c r="AO81" i="5"/>
  <c r="AP81" i="5" s="1"/>
  <c r="AQ81" i="5" s="1"/>
  <c r="AH81" i="5"/>
  <c r="AI81" i="5" s="1"/>
  <c r="AE81" i="5"/>
  <c r="AF81" i="5" s="1"/>
  <c r="Z81" i="5"/>
  <c r="AA81" i="5" s="1"/>
  <c r="AB81" i="5" s="1"/>
  <c r="V81" i="5"/>
  <c r="W81" i="5" s="1"/>
  <c r="AU80" i="5"/>
  <c r="AV80" i="5" s="1"/>
  <c r="AW80" i="5" s="1"/>
  <c r="AO80" i="5"/>
  <c r="AP80" i="5" s="1"/>
  <c r="AQ80" i="5" s="1"/>
  <c r="AH80" i="5"/>
  <c r="AI80" i="5" s="1"/>
  <c r="AE80" i="5"/>
  <c r="AF80" i="5" s="1"/>
  <c r="Z80" i="5"/>
  <c r="AA80" i="5" s="1"/>
  <c r="AB80" i="5" s="1"/>
  <c r="V80" i="5"/>
  <c r="W80" i="5" s="1"/>
  <c r="AU79" i="5"/>
  <c r="AV79" i="5" s="1"/>
  <c r="AW79" i="5" s="1"/>
  <c r="AO79" i="5"/>
  <c r="AP79" i="5" s="1"/>
  <c r="AQ79" i="5" s="1"/>
  <c r="AH79" i="5"/>
  <c r="AI79" i="5" s="1"/>
  <c r="AE79" i="5"/>
  <c r="AF79" i="5" s="1"/>
  <c r="Z79" i="5"/>
  <c r="AA79" i="5" s="1"/>
  <c r="AB79" i="5" s="1"/>
  <c r="V79" i="5"/>
  <c r="W79" i="5" s="1"/>
  <c r="AU78" i="5"/>
  <c r="AV78" i="5" s="1"/>
  <c r="AW78" i="5" s="1"/>
  <c r="AO78" i="5"/>
  <c r="AP78" i="5" s="1"/>
  <c r="AQ78" i="5" s="1"/>
  <c r="AH78" i="5"/>
  <c r="AI78" i="5" s="1"/>
  <c r="AE78" i="5"/>
  <c r="AF78" i="5" s="1"/>
  <c r="Z78" i="5"/>
  <c r="AA78" i="5" s="1"/>
  <c r="AB78" i="5" s="1"/>
  <c r="V78" i="5"/>
  <c r="W78" i="5" s="1"/>
  <c r="AU77" i="5"/>
  <c r="AV77" i="5" s="1"/>
  <c r="AW77" i="5" s="1"/>
  <c r="AO77" i="5"/>
  <c r="AP77" i="5" s="1"/>
  <c r="AQ77" i="5" s="1"/>
  <c r="AH77" i="5"/>
  <c r="AI77" i="5" s="1"/>
  <c r="AE77" i="5"/>
  <c r="AF77" i="5" s="1"/>
  <c r="Z77" i="5"/>
  <c r="AA77" i="5" s="1"/>
  <c r="AB77" i="5" s="1"/>
  <c r="V77" i="5"/>
  <c r="W77" i="5" s="1"/>
  <c r="AU76" i="5"/>
  <c r="AV76" i="5" s="1"/>
  <c r="AW76" i="5" s="1"/>
  <c r="AO76" i="5"/>
  <c r="AP76" i="5" s="1"/>
  <c r="AQ76" i="5" s="1"/>
  <c r="AH76" i="5"/>
  <c r="AI76" i="5" s="1"/>
  <c r="AE76" i="5"/>
  <c r="AF76" i="5" s="1"/>
  <c r="Z76" i="5"/>
  <c r="AA76" i="5" s="1"/>
  <c r="AB76" i="5" s="1"/>
  <c r="V76" i="5"/>
  <c r="W76" i="5" s="1"/>
  <c r="AU75" i="5"/>
  <c r="AV75" i="5" s="1"/>
  <c r="AW75" i="5" s="1"/>
  <c r="AO75" i="5"/>
  <c r="AP75" i="5" s="1"/>
  <c r="AQ75" i="5" s="1"/>
  <c r="AH75" i="5"/>
  <c r="AI75" i="5" s="1"/>
  <c r="AE75" i="5"/>
  <c r="AF75" i="5" s="1"/>
  <c r="Z75" i="5"/>
  <c r="AA75" i="5" s="1"/>
  <c r="AB75" i="5" s="1"/>
  <c r="V75" i="5"/>
  <c r="W75" i="5" s="1"/>
  <c r="AU74" i="5"/>
  <c r="AV74" i="5" s="1"/>
  <c r="AW74" i="5" s="1"/>
  <c r="AO74" i="5"/>
  <c r="AP74" i="5" s="1"/>
  <c r="AQ74" i="5" s="1"/>
  <c r="AH74" i="5"/>
  <c r="AI74" i="5" s="1"/>
  <c r="AE74" i="5"/>
  <c r="AF74" i="5" s="1"/>
  <c r="Z74" i="5"/>
  <c r="AA74" i="5" s="1"/>
  <c r="AB74" i="5" s="1"/>
  <c r="V74" i="5"/>
  <c r="W74" i="5" s="1"/>
  <c r="AU73" i="5"/>
  <c r="AV73" i="5" s="1"/>
  <c r="AW73" i="5" s="1"/>
  <c r="AO73" i="5"/>
  <c r="AP73" i="5" s="1"/>
  <c r="AQ73" i="5" s="1"/>
  <c r="AI73" i="5"/>
  <c r="AH73" i="5"/>
  <c r="AE73" i="5"/>
  <c r="AF73" i="5" s="1"/>
  <c r="Z73" i="5"/>
  <c r="AA73" i="5" s="1"/>
  <c r="AB73" i="5" s="1"/>
  <c r="V73" i="5"/>
  <c r="W73" i="5" s="1"/>
  <c r="AU72" i="5"/>
  <c r="AV72" i="5" s="1"/>
  <c r="AW72" i="5" s="1"/>
  <c r="AO72" i="5"/>
  <c r="AP72" i="5" s="1"/>
  <c r="AQ72" i="5" s="1"/>
  <c r="AI72" i="5"/>
  <c r="AH72" i="5"/>
  <c r="AE72" i="5"/>
  <c r="AF72" i="5" s="1"/>
  <c r="Z72" i="5"/>
  <c r="AA72" i="5" s="1"/>
  <c r="AB72" i="5" s="1"/>
  <c r="V72" i="5"/>
  <c r="W72" i="5" s="1"/>
  <c r="AU71" i="5"/>
  <c r="AV71" i="5" s="1"/>
  <c r="AW71" i="5" s="1"/>
  <c r="AO71" i="5"/>
  <c r="AP71" i="5" s="1"/>
  <c r="AQ71" i="5" s="1"/>
  <c r="AH71" i="5"/>
  <c r="AI71" i="5" s="1"/>
  <c r="AE71" i="5"/>
  <c r="AF71" i="5" s="1"/>
  <c r="Z71" i="5"/>
  <c r="AA71" i="5" s="1"/>
  <c r="AB71" i="5" s="1"/>
  <c r="V71" i="5"/>
  <c r="W71" i="5" s="1"/>
  <c r="AU70" i="5"/>
  <c r="AV70" i="5" s="1"/>
  <c r="AW70" i="5" s="1"/>
  <c r="AO70" i="5"/>
  <c r="AP70" i="5" s="1"/>
  <c r="AQ70" i="5" s="1"/>
  <c r="AH70" i="5"/>
  <c r="AI70" i="5" s="1"/>
  <c r="AE70" i="5"/>
  <c r="AF70" i="5" s="1"/>
  <c r="AB70" i="5"/>
  <c r="Z70" i="5"/>
  <c r="AA70" i="5" s="1"/>
  <c r="V70" i="5"/>
  <c r="W70" i="5" s="1"/>
  <c r="AU69" i="5"/>
  <c r="AV69" i="5" s="1"/>
  <c r="AW69" i="5" s="1"/>
  <c r="AO69" i="5"/>
  <c r="AP69" i="5" s="1"/>
  <c r="AQ69" i="5" s="1"/>
  <c r="AH69" i="5"/>
  <c r="AI69" i="5" s="1"/>
  <c r="AE69" i="5"/>
  <c r="AF69" i="5" s="1"/>
  <c r="Z69" i="5"/>
  <c r="AA69" i="5" s="1"/>
  <c r="AB69" i="5" s="1"/>
  <c r="V69" i="5"/>
  <c r="W69" i="5" s="1"/>
  <c r="AV68" i="5"/>
  <c r="AW68" i="5" s="1"/>
  <c r="AU68" i="5"/>
  <c r="AO68" i="5"/>
  <c r="AP68" i="5" s="1"/>
  <c r="AQ68" i="5" s="1"/>
  <c r="AH68" i="5"/>
  <c r="AI68" i="5" s="1"/>
  <c r="AE68" i="5"/>
  <c r="AF68" i="5" s="1"/>
  <c r="Z68" i="5"/>
  <c r="AA68" i="5" s="1"/>
  <c r="AB68" i="5" s="1"/>
  <c r="V68" i="5"/>
  <c r="W68" i="5" s="1"/>
  <c r="AU67" i="5"/>
  <c r="AV67" i="5" s="1"/>
  <c r="AW67" i="5" s="1"/>
  <c r="AO67" i="5"/>
  <c r="AP67" i="5" s="1"/>
  <c r="AQ67" i="5" s="1"/>
  <c r="AH67" i="5"/>
  <c r="AI67" i="5" s="1"/>
  <c r="AE67" i="5"/>
  <c r="AF67" i="5" s="1"/>
  <c r="Z67" i="5"/>
  <c r="AA67" i="5" s="1"/>
  <c r="AB67" i="5" s="1"/>
  <c r="V67" i="5"/>
  <c r="W67" i="5" s="1"/>
  <c r="AU66" i="5"/>
  <c r="AV66" i="5" s="1"/>
  <c r="AW66" i="5" s="1"/>
  <c r="AP66" i="5"/>
  <c r="AQ66" i="5" s="1"/>
  <c r="AO66" i="5"/>
  <c r="AI66" i="5"/>
  <c r="AH66" i="5"/>
  <c r="AE66" i="5"/>
  <c r="AF66" i="5" s="1"/>
  <c r="Z66" i="5"/>
  <c r="AA66" i="5" s="1"/>
  <c r="AB66" i="5" s="1"/>
  <c r="V66" i="5"/>
  <c r="W66" i="5" s="1"/>
  <c r="AU65" i="5"/>
  <c r="AV65" i="5" s="1"/>
  <c r="AW65" i="5" s="1"/>
  <c r="AO65" i="5"/>
  <c r="AP65" i="5" s="1"/>
  <c r="AQ65" i="5" s="1"/>
  <c r="AH65" i="5"/>
  <c r="AI65" i="5" s="1"/>
  <c r="AE65" i="5"/>
  <c r="AF65" i="5" s="1"/>
  <c r="Z65" i="5"/>
  <c r="AA65" i="5" s="1"/>
  <c r="AB65" i="5" s="1"/>
  <c r="V65" i="5"/>
  <c r="W65" i="5" s="1"/>
  <c r="AU64" i="5"/>
  <c r="AV64" i="5" s="1"/>
  <c r="AW64" i="5" s="1"/>
  <c r="AO64" i="5"/>
  <c r="AP64" i="5" s="1"/>
  <c r="AQ64" i="5" s="1"/>
  <c r="AH64" i="5"/>
  <c r="AI64" i="5" s="1"/>
  <c r="AE64" i="5"/>
  <c r="AF64" i="5" s="1"/>
  <c r="Z64" i="5"/>
  <c r="AA64" i="5" s="1"/>
  <c r="AB64" i="5" s="1"/>
  <c r="V64" i="5"/>
  <c r="W64" i="5" s="1"/>
  <c r="AU63" i="5"/>
  <c r="AV63" i="5" s="1"/>
  <c r="AW63" i="5" s="1"/>
  <c r="AO63" i="5"/>
  <c r="AP63" i="5" s="1"/>
  <c r="AQ63" i="5" s="1"/>
  <c r="AH63" i="5"/>
  <c r="AI63" i="5" s="1"/>
  <c r="AE63" i="5"/>
  <c r="AF63" i="5" s="1"/>
  <c r="Z63" i="5"/>
  <c r="AA63" i="5" s="1"/>
  <c r="AB63" i="5" s="1"/>
  <c r="V63" i="5"/>
  <c r="W63" i="5" s="1"/>
  <c r="AU62" i="5"/>
  <c r="AV62" i="5" s="1"/>
  <c r="AW62" i="5" s="1"/>
  <c r="AO62" i="5"/>
  <c r="AP62" i="5" s="1"/>
  <c r="AQ62" i="5" s="1"/>
  <c r="AI62" i="5"/>
  <c r="AH62" i="5"/>
  <c r="AE62" i="5"/>
  <c r="AF62" i="5" s="1"/>
  <c r="Z62" i="5"/>
  <c r="AA62" i="5" s="1"/>
  <c r="AB62" i="5" s="1"/>
  <c r="V62" i="5"/>
  <c r="W62" i="5" s="1"/>
  <c r="AU61" i="5"/>
  <c r="AV61" i="5" s="1"/>
  <c r="AW61" i="5" s="1"/>
  <c r="AO61" i="5"/>
  <c r="AP61" i="5" s="1"/>
  <c r="AQ61" i="5" s="1"/>
  <c r="AH61" i="5"/>
  <c r="AI61" i="5" s="1"/>
  <c r="AE61" i="5"/>
  <c r="AF61" i="5" s="1"/>
  <c r="Z61" i="5"/>
  <c r="AA61" i="5" s="1"/>
  <c r="AB61" i="5" s="1"/>
  <c r="V61" i="5"/>
  <c r="W61" i="5" s="1"/>
  <c r="AU60" i="5"/>
  <c r="AV60" i="5" s="1"/>
  <c r="AW60" i="5" s="1"/>
  <c r="AO60" i="5"/>
  <c r="AP60" i="5" s="1"/>
  <c r="AQ60" i="5" s="1"/>
  <c r="AH60" i="5"/>
  <c r="AI60" i="5" s="1"/>
  <c r="AE60" i="5"/>
  <c r="AF60" i="5" s="1"/>
  <c r="Z60" i="5"/>
  <c r="AA60" i="5" s="1"/>
  <c r="AB60" i="5" s="1"/>
  <c r="V60" i="5"/>
  <c r="W60" i="5" s="1"/>
  <c r="AU59" i="5"/>
  <c r="AV59" i="5" s="1"/>
  <c r="AW59" i="5" s="1"/>
  <c r="AO59" i="5"/>
  <c r="AP59" i="5" s="1"/>
  <c r="AQ59" i="5" s="1"/>
  <c r="AH59" i="5"/>
  <c r="AI59" i="5" s="1"/>
  <c r="AE59" i="5"/>
  <c r="AF59" i="5" s="1"/>
  <c r="Z59" i="5"/>
  <c r="AA59" i="5" s="1"/>
  <c r="AB59" i="5" s="1"/>
  <c r="V59" i="5"/>
  <c r="W59" i="5" s="1"/>
  <c r="AU58" i="5"/>
  <c r="AV58" i="5" s="1"/>
  <c r="AW58" i="5" s="1"/>
  <c r="AO58" i="5"/>
  <c r="AP58" i="5" s="1"/>
  <c r="AQ58" i="5" s="1"/>
  <c r="AH58" i="5"/>
  <c r="AI58" i="5" s="1"/>
  <c r="AE58" i="5"/>
  <c r="AF58" i="5" s="1"/>
  <c r="Z58" i="5"/>
  <c r="AA58" i="5" s="1"/>
  <c r="AB58" i="5" s="1"/>
  <c r="V58" i="5"/>
  <c r="W58" i="5" s="1"/>
  <c r="AU57" i="5"/>
  <c r="AV57" i="5" s="1"/>
  <c r="AW57" i="5" s="1"/>
  <c r="AO57" i="5"/>
  <c r="AP57" i="5" s="1"/>
  <c r="AQ57" i="5" s="1"/>
  <c r="AH57" i="5"/>
  <c r="AI57" i="5" s="1"/>
  <c r="AE57" i="5"/>
  <c r="AF57" i="5" s="1"/>
  <c r="Z57" i="5"/>
  <c r="AA57" i="5" s="1"/>
  <c r="AB57" i="5" s="1"/>
  <c r="V57" i="5"/>
  <c r="W57" i="5" s="1"/>
  <c r="AU56" i="5"/>
  <c r="AV56" i="5" s="1"/>
  <c r="AW56" i="5" s="1"/>
  <c r="AO56" i="5"/>
  <c r="AP56" i="5" s="1"/>
  <c r="AQ56" i="5" s="1"/>
  <c r="AH56" i="5"/>
  <c r="AI56" i="5" s="1"/>
  <c r="AE56" i="5"/>
  <c r="AF56" i="5" s="1"/>
  <c r="Z56" i="5"/>
  <c r="AA56" i="5" s="1"/>
  <c r="AB56" i="5" s="1"/>
  <c r="V56" i="5"/>
  <c r="W56" i="5" s="1"/>
  <c r="AU55" i="5"/>
  <c r="AV55" i="5" s="1"/>
  <c r="AW55" i="5" s="1"/>
  <c r="AO55" i="5"/>
  <c r="AP55" i="5" s="1"/>
  <c r="AQ55" i="5" s="1"/>
  <c r="AH55" i="5"/>
  <c r="AI55" i="5" s="1"/>
  <c r="AE55" i="5"/>
  <c r="AF55" i="5" s="1"/>
  <c r="Z55" i="5"/>
  <c r="AA55" i="5" s="1"/>
  <c r="AB55" i="5" s="1"/>
  <c r="V55" i="5"/>
  <c r="W55" i="5" s="1"/>
  <c r="AU54" i="5"/>
  <c r="AV54" i="5" s="1"/>
  <c r="AW54" i="5" s="1"/>
  <c r="AO54" i="5"/>
  <c r="AP54" i="5" s="1"/>
  <c r="AQ54" i="5" s="1"/>
  <c r="AH54" i="5"/>
  <c r="AI54" i="5" s="1"/>
  <c r="AE54" i="5"/>
  <c r="AF54" i="5" s="1"/>
  <c r="AA54" i="5"/>
  <c r="AB54" i="5" s="1"/>
  <c r="Z54" i="5"/>
  <c r="V54" i="5"/>
  <c r="W54" i="5" s="1"/>
  <c r="AU53" i="5"/>
  <c r="AV53" i="5" s="1"/>
  <c r="AW53" i="5" s="1"/>
  <c r="AP53" i="5"/>
  <c r="AQ53" i="5" s="1"/>
  <c r="AO53" i="5"/>
  <c r="AI53" i="5"/>
  <c r="AH53" i="5"/>
  <c r="AE53" i="5"/>
  <c r="AF53" i="5" s="1"/>
  <c r="Z53" i="5"/>
  <c r="AA53" i="5" s="1"/>
  <c r="AB53" i="5" s="1"/>
  <c r="V53" i="5"/>
  <c r="W53" i="5" s="1"/>
  <c r="AU52" i="5"/>
  <c r="AV52" i="5" s="1"/>
  <c r="AW52" i="5" s="1"/>
  <c r="AO52" i="5"/>
  <c r="AP52" i="5" s="1"/>
  <c r="AQ52" i="5" s="1"/>
  <c r="AH52" i="5"/>
  <c r="AI52" i="5" s="1"/>
  <c r="AE52" i="5"/>
  <c r="AF52" i="5" s="1"/>
  <c r="Z52" i="5"/>
  <c r="AA52" i="5" s="1"/>
  <c r="AB52" i="5" s="1"/>
  <c r="V52" i="5"/>
  <c r="W52" i="5" s="1"/>
  <c r="AU51" i="5"/>
  <c r="AV51" i="5" s="1"/>
  <c r="AW51" i="5" s="1"/>
  <c r="AO51" i="5"/>
  <c r="AP51" i="5" s="1"/>
  <c r="AQ51" i="5" s="1"/>
  <c r="AH51" i="5"/>
  <c r="AI51" i="5" s="1"/>
  <c r="AF51" i="5"/>
  <c r="AE51" i="5"/>
  <c r="Z51" i="5"/>
  <c r="AA51" i="5" s="1"/>
  <c r="AB51" i="5" s="1"/>
  <c r="V51" i="5"/>
  <c r="W51" i="5" s="1"/>
  <c r="AU50" i="5"/>
  <c r="AV50" i="5" s="1"/>
  <c r="AW50" i="5" s="1"/>
  <c r="AO50" i="5"/>
  <c r="AP50" i="5" s="1"/>
  <c r="AQ50" i="5" s="1"/>
  <c r="AH50" i="5"/>
  <c r="AI50" i="5" s="1"/>
  <c r="AE50" i="5"/>
  <c r="AF50" i="5" s="1"/>
  <c r="Z50" i="5"/>
  <c r="AA50" i="5" s="1"/>
  <c r="AB50" i="5" s="1"/>
  <c r="V50" i="5"/>
  <c r="W50" i="5" s="1"/>
  <c r="AU49" i="5"/>
  <c r="AV49" i="5" s="1"/>
  <c r="AW49" i="5" s="1"/>
  <c r="AO49" i="5"/>
  <c r="AP49" i="5" s="1"/>
  <c r="AQ49" i="5" s="1"/>
  <c r="AH49" i="5"/>
  <c r="AI49" i="5" s="1"/>
  <c r="AE49" i="5"/>
  <c r="AF49" i="5" s="1"/>
  <c r="Z49" i="5"/>
  <c r="AA49" i="5" s="1"/>
  <c r="AB49" i="5" s="1"/>
  <c r="V49" i="5"/>
  <c r="W49" i="5" s="1"/>
  <c r="AU48" i="5"/>
  <c r="AV48" i="5" s="1"/>
  <c r="AW48" i="5" s="1"/>
  <c r="AO48" i="5"/>
  <c r="AP48" i="5" s="1"/>
  <c r="AQ48" i="5" s="1"/>
  <c r="AH48" i="5"/>
  <c r="AI48" i="5" s="1"/>
  <c r="AE48" i="5"/>
  <c r="AF48" i="5" s="1"/>
  <c r="Z48" i="5"/>
  <c r="AA48" i="5" s="1"/>
  <c r="AB48" i="5" s="1"/>
  <c r="V48" i="5"/>
  <c r="W48" i="5" s="1"/>
  <c r="AU47" i="5"/>
  <c r="AV47" i="5" s="1"/>
  <c r="AW47" i="5" s="1"/>
  <c r="AO47" i="5"/>
  <c r="AP47" i="5" s="1"/>
  <c r="AQ47" i="5" s="1"/>
  <c r="AH47" i="5"/>
  <c r="AI47" i="5" s="1"/>
  <c r="AE47" i="5"/>
  <c r="AF47" i="5" s="1"/>
  <c r="Z47" i="5"/>
  <c r="AA47" i="5" s="1"/>
  <c r="AB47" i="5" s="1"/>
  <c r="V47" i="5"/>
  <c r="W47" i="5" s="1"/>
  <c r="AU46" i="5"/>
  <c r="AV46" i="5" s="1"/>
  <c r="AW46" i="5" s="1"/>
  <c r="AO46" i="5"/>
  <c r="AP46" i="5" s="1"/>
  <c r="AQ46" i="5" s="1"/>
  <c r="AH46" i="5"/>
  <c r="AI46" i="5" s="1"/>
  <c r="AE46" i="5"/>
  <c r="AF46" i="5" s="1"/>
  <c r="Z46" i="5"/>
  <c r="AA46" i="5" s="1"/>
  <c r="AB46" i="5" s="1"/>
  <c r="V46" i="5"/>
  <c r="W46" i="5" s="1"/>
  <c r="AU45" i="5"/>
  <c r="AV45" i="5" s="1"/>
  <c r="AW45" i="5" s="1"/>
  <c r="AO45" i="5"/>
  <c r="AP45" i="5" s="1"/>
  <c r="AQ45" i="5" s="1"/>
  <c r="AI45" i="5"/>
  <c r="AH45" i="5"/>
  <c r="AE45" i="5"/>
  <c r="AF45" i="5" s="1"/>
  <c r="Z45" i="5"/>
  <c r="AA45" i="5" s="1"/>
  <c r="AB45" i="5" s="1"/>
  <c r="V45" i="5"/>
  <c r="W45" i="5" s="1"/>
  <c r="AU44" i="5"/>
  <c r="AV44" i="5" s="1"/>
  <c r="AW44" i="5" s="1"/>
  <c r="AO44" i="5"/>
  <c r="AP44" i="5" s="1"/>
  <c r="AQ44" i="5" s="1"/>
  <c r="AH44" i="5"/>
  <c r="AI44" i="5" s="1"/>
  <c r="AE44" i="5"/>
  <c r="AF44" i="5" s="1"/>
  <c r="Z44" i="5"/>
  <c r="AA44" i="5" s="1"/>
  <c r="AB44" i="5" s="1"/>
  <c r="V44" i="5"/>
  <c r="W44" i="5" s="1"/>
  <c r="AU43" i="5"/>
  <c r="AV43" i="5" s="1"/>
  <c r="AW43" i="5" s="1"/>
  <c r="AO43" i="5"/>
  <c r="AP43" i="5" s="1"/>
  <c r="AQ43" i="5" s="1"/>
  <c r="AH43" i="5"/>
  <c r="AI43" i="5" s="1"/>
  <c r="AE43" i="5"/>
  <c r="AF43" i="5" s="1"/>
  <c r="Z43" i="5"/>
  <c r="AA43" i="5" s="1"/>
  <c r="AB43" i="5" s="1"/>
  <c r="V43" i="5"/>
  <c r="W43" i="5" s="1"/>
  <c r="AU42" i="5"/>
  <c r="AV42" i="5" s="1"/>
  <c r="AW42" i="5" s="1"/>
  <c r="AO42" i="5"/>
  <c r="AP42" i="5" s="1"/>
  <c r="AQ42" i="5" s="1"/>
  <c r="AH42" i="5"/>
  <c r="AI42" i="5" s="1"/>
  <c r="AE42" i="5"/>
  <c r="AF42" i="5" s="1"/>
  <c r="Z42" i="5"/>
  <c r="AA42" i="5" s="1"/>
  <c r="AB42" i="5" s="1"/>
  <c r="V42" i="5"/>
  <c r="W42" i="5" s="1"/>
  <c r="AU41" i="5"/>
  <c r="AV41" i="5" s="1"/>
  <c r="AW41" i="5" s="1"/>
  <c r="AO41" i="5"/>
  <c r="AP41" i="5" s="1"/>
  <c r="AQ41" i="5" s="1"/>
  <c r="AH41" i="5"/>
  <c r="AI41" i="5" s="1"/>
  <c r="AE41" i="5"/>
  <c r="AF41" i="5" s="1"/>
  <c r="Z41" i="5"/>
  <c r="AA41" i="5" s="1"/>
  <c r="AB41" i="5" s="1"/>
  <c r="V41" i="5"/>
  <c r="W41" i="5" s="1"/>
  <c r="AU40" i="5"/>
  <c r="AV40" i="5" s="1"/>
  <c r="AW40" i="5" s="1"/>
  <c r="AO40" i="5"/>
  <c r="AP40" i="5" s="1"/>
  <c r="AQ40" i="5" s="1"/>
  <c r="AH40" i="5"/>
  <c r="AI40" i="5" s="1"/>
  <c r="AE40" i="5"/>
  <c r="AF40" i="5" s="1"/>
  <c r="Z40" i="5"/>
  <c r="AA40" i="5" s="1"/>
  <c r="AB40" i="5" s="1"/>
  <c r="V40" i="5"/>
  <c r="W40" i="5" s="1"/>
  <c r="AU39" i="5"/>
  <c r="AV39" i="5" s="1"/>
  <c r="AW39" i="5" s="1"/>
  <c r="AO39" i="5"/>
  <c r="AP39" i="5" s="1"/>
  <c r="AQ39" i="5" s="1"/>
  <c r="AH39" i="5"/>
  <c r="AI39" i="5" s="1"/>
  <c r="AE39" i="5"/>
  <c r="AF39" i="5" s="1"/>
  <c r="Z39" i="5"/>
  <c r="AA39" i="5" s="1"/>
  <c r="AB39" i="5" s="1"/>
  <c r="V39" i="5"/>
  <c r="W39" i="5" s="1"/>
  <c r="AU38" i="5"/>
  <c r="AV38" i="5" s="1"/>
  <c r="AW38" i="5" s="1"/>
  <c r="AO38" i="5"/>
  <c r="AP38" i="5" s="1"/>
  <c r="AQ38" i="5" s="1"/>
  <c r="AH38" i="5"/>
  <c r="AI38" i="5" s="1"/>
  <c r="AE38" i="5"/>
  <c r="AF38" i="5" s="1"/>
  <c r="Z38" i="5"/>
  <c r="AA38" i="5" s="1"/>
  <c r="AB38" i="5" s="1"/>
  <c r="V38" i="5"/>
  <c r="W38" i="5" s="1"/>
  <c r="AU37" i="5"/>
  <c r="AV37" i="5" s="1"/>
  <c r="AW37" i="5" s="1"/>
  <c r="AO37" i="5"/>
  <c r="AP37" i="5" s="1"/>
  <c r="AQ37" i="5" s="1"/>
  <c r="AH37" i="5"/>
  <c r="AI37" i="5" s="1"/>
  <c r="AE37" i="5"/>
  <c r="AF37" i="5" s="1"/>
  <c r="Z37" i="5"/>
  <c r="AA37" i="5" s="1"/>
  <c r="AB37" i="5" s="1"/>
  <c r="V37" i="5"/>
  <c r="W37" i="5" s="1"/>
  <c r="AU36" i="5"/>
  <c r="AV36" i="5" s="1"/>
  <c r="AW36" i="5" s="1"/>
  <c r="AO36" i="5"/>
  <c r="AP36" i="5" s="1"/>
  <c r="AQ36" i="5" s="1"/>
  <c r="AH36" i="5"/>
  <c r="AI36" i="5" s="1"/>
  <c r="AF36" i="5"/>
  <c r="AE36" i="5"/>
  <c r="Z36" i="5"/>
  <c r="AA36" i="5" s="1"/>
  <c r="AB36" i="5" s="1"/>
  <c r="V36" i="5"/>
  <c r="W36" i="5" s="1"/>
  <c r="AU35" i="5"/>
  <c r="AV35" i="5" s="1"/>
  <c r="AW35" i="5" s="1"/>
  <c r="AO35" i="5"/>
  <c r="AP35" i="5" s="1"/>
  <c r="AQ35" i="5" s="1"/>
  <c r="AH35" i="5"/>
  <c r="AI35" i="5" s="1"/>
  <c r="AE35" i="5"/>
  <c r="AF35" i="5" s="1"/>
  <c r="Z35" i="5"/>
  <c r="AA35" i="5" s="1"/>
  <c r="AB35" i="5" s="1"/>
  <c r="V35" i="5"/>
  <c r="W35" i="5" s="1"/>
  <c r="AU34" i="5"/>
  <c r="AV34" i="5" s="1"/>
  <c r="AW34" i="5" s="1"/>
  <c r="AP34" i="5"/>
  <c r="AQ34" i="5" s="1"/>
  <c r="AO34" i="5"/>
  <c r="AH34" i="5"/>
  <c r="AI34" i="5" s="1"/>
  <c r="AE34" i="5"/>
  <c r="AF34" i="5" s="1"/>
  <c r="Z34" i="5"/>
  <c r="AA34" i="5" s="1"/>
  <c r="AB34" i="5" s="1"/>
  <c r="V34" i="5"/>
  <c r="W34" i="5" s="1"/>
  <c r="AU33" i="5"/>
  <c r="AV33" i="5" s="1"/>
  <c r="AW33" i="5" s="1"/>
  <c r="AO33" i="5"/>
  <c r="AP33" i="5" s="1"/>
  <c r="AQ33" i="5" s="1"/>
  <c r="AH33" i="5"/>
  <c r="AI33" i="5" s="1"/>
  <c r="AE33" i="5"/>
  <c r="AF33" i="5" s="1"/>
  <c r="Z33" i="5"/>
  <c r="AA33" i="5" s="1"/>
  <c r="AB33" i="5" s="1"/>
  <c r="V33" i="5"/>
  <c r="W33" i="5" s="1"/>
  <c r="AU32" i="5"/>
  <c r="AV32" i="5" s="1"/>
  <c r="AW32" i="5" s="1"/>
  <c r="AO32" i="5"/>
  <c r="AP32" i="5" s="1"/>
  <c r="AQ32" i="5" s="1"/>
  <c r="AH32" i="5"/>
  <c r="AI32" i="5" s="1"/>
  <c r="AE32" i="5"/>
  <c r="AF32" i="5" s="1"/>
  <c r="Z32" i="5"/>
  <c r="AA32" i="5" s="1"/>
  <c r="AB32" i="5" s="1"/>
  <c r="V32" i="5"/>
  <c r="W32" i="5" s="1"/>
  <c r="AU31" i="5"/>
  <c r="AV31" i="5" s="1"/>
  <c r="AW31" i="5" s="1"/>
  <c r="AO31" i="5"/>
  <c r="AP31" i="5" s="1"/>
  <c r="AQ31" i="5" s="1"/>
  <c r="AH31" i="5"/>
  <c r="AI31" i="5" s="1"/>
  <c r="AE31" i="5"/>
  <c r="AF31" i="5" s="1"/>
  <c r="Z31" i="5"/>
  <c r="AA31" i="5" s="1"/>
  <c r="AB31" i="5" s="1"/>
  <c r="V31" i="5"/>
  <c r="W31" i="5" s="1"/>
  <c r="AU30" i="5"/>
  <c r="AV30" i="5" s="1"/>
  <c r="AW30" i="5" s="1"/>
  <c r="AO30" i="5"/>
  <c r="AP30" i="5" s="1"/>
  <c r="AQ30" i="5" s="1"/>
  <c r="AH30" i="5"/>
  <c r="AI30" i="5" s="1"/>
  <c r="AE30" i="5"/>
  <c r="AF30" i="5" s="1"/>
  <c r="Z30" i="5"/>
  <c r="AA30" i="5" s="1"/>
  <c r="AB30" i="5" s="1"/>
  <c r="V30" i="5"/>
  <c r="W30" i="5" s="1"/>
  <c r="AU29" i="5"/>
  <c r="AV29" i="5" s="1"/>
  <c r="AW29" i="5" s="1"/>
  <c r="AO29" i="5"/>
  <c r="AP29" i="5" s="1"/>
  <c r="AQ29" i="5" s="1"/>
  <c r="AH29" i="5"/>
  <c r="AI29" i="5" s="1"/>
  <c r="AE29" i="5"/>
  <c r="AF29" i="5" s="1"/>
  <c r="Z29" i="5"/>
  <c r="AA29" i="5" s="1"/>
  <c r="AB29" i="5" s="1"/>
  <c r="V29" i="5"/>
  <c r="W29" i="5" s="1"/>
  <c r="AU28" i="5"/>
  <c r="AV28" i="5" s="1"/>
  <c r="AW28" i="5" s="1"/>
  <c r="AO28" i="5"/>
  <c r="AP28" i="5" s="1"/>
  <c r="AQ28" i="5" s="1"/>
  <c r="AH28" i="5"/>
  <c r="AI28" i="5" s="1"/>
  <c r="AE28" i="5"/>
  <c r="AF28" i="5" s="1"/>
  <c r="AB28" i="5"/>
  <c r="Z28" i="5"/>
  <c r="AA28" i="5" s="1"/>
  <c r="V28" i="5"/>
  <c r="W28" i="5" s="1"/>
  <c r="AU27" i="5"/>
  <c r="AV27" i="5" s="1"/>
  <c r="AW27" i="5" s="1"/>
  <c r="AP27" i="5"/>
  <c r="AQ27" i="5" s="1"/>
  <c r="AO27" i="5"/>
  <c r="AH27" i="5"/>
  <c r="AI27" i="5" s="1"/>
  <c r="AE27" i="5"/>
  <c r="AF27" i="5" s="1"/>
  <c r="Z27" i="5"/>
  <c r="AA27" i="5" s="1"/>
  <c r="AB27" i="5" s="1"/>
  <c r="V27" i="5"/>
  <c r="W27" i="5" s="1"/>
  <c r="AU26" i="5"/>
  <c r="AV26" i="5" s="1"/>
  <c r="AW26" i="5" s="1"/>
  <c r="AO26" i="5"/>
  <c r="AP26" i="5" s="1"/>
  <c r="AQ26" i="5" s="1"/>
  <c r="AI26" i="5"/>
  <c r="AH26" i="5"/>
  <c r="AE26" i="5"/>
  <c r="AF26" i="5" s="1"/>
  <c r="Z26" i="5"/>
  <c r="AA26" i="5" s="1"/>
  <c r="AB26" i="5" s="1"/>
  <c r="V26" i="5"/>
  <c r="W26" i="5" s="1"/>
  <c r="AU25" i="5"/>
  <c r="AV25" i="5" s="1"/>
  <c r="AW25" i="5" s="1"/>
  <c r="AP25" i="5"/>
  <c r="AQ25" i="5" s="1"/>
  <c r="AO25" i="5"/>
  <c r="AH25" i="5"/>
  <c r="AI25" i="5" s="1"/>
  <c r="AE25" i="5"/>
  <c r="AF25" i="5" s="1"/>
  <c r="Z25" i="5"/>
  <c r="AA25" i="5" s="1"/>
  <c r="AB25" i="5" s="1"/>
  <c r="V25" i="5"/>
  <c r="W25" i="5" s="1"/>
  <c r="AU24" i="5"/>
  <c r="AV24" i="5" s="1"/>
  <c r="AW24" i="5" s="1"/>
  <c r="AO24" i="5"/>
  <c r="AP24" i="5" s="1"/>
  <c r="AQ24" i="5" s="1"/>
  <c r="AH24" i="5"/>
  <c r="AI24" i="5" s="1"/>
  <c r="AE24" i="5"/>
  <c r="AF24" i="5" s="1"/>
  <c r="Z24" i="5"/>
  <c r="AA24" i="5" s="1"/>
  <c r="AB24" i="5" s="1"/>
  <c r="V24" i="5"/>
  <c r="W24" i="5" s="1"/>
  <c r="AU23" i="5"/>
  <c r="AV23" i="5" s="1"/>
  <c r="AW23" i="5" s="1"/>
  <c r="AO23" i="5"/>
  <c r="AP23" i="5" s="1"/>
  <c r="AQ23" i="5" s="1"/>
  <c r="AH23" i="5"/>
  <c r="AI23" i="5" s="1"/>
  <c r="AE23" i="5"/>
  <c r="AF23" i="5" s="1"/>
  <c r="Z23" i="5"/>
  <c r="AA23" i="5" s="1"/>
  <c r="AB23" i="5" s="1"/>
  <c r="V23" i="5"/>
  <c r="W23" i="5" s="1"/>
  <c r="AU22" i="5"/>
  <c r="AV22" i="5" s="1"/>
  <c r="AW22" i="5" s="1"/>
  <c r="AO22" i="5"/>
  <c r="AP22" i="5" s="1"/>
  <c r="AQ22" i="5" s="1"/>
  <c r="AH22" i="5"/>
  <c r="AI22" i="5" s="1"/>
  <c r="AE22" i="5"/>
  <c r="AF22" i="5" s="1"/>
  <c r="Z22" i="5"/>
  <c r="AA22" i="5" s="1"/>
  <c r="AB22" i="5" s="1"/>
  <c r="V22" i="5"/>
  <c r="W22" i="5" s="1"/>
  <c r="AV21" i="5"/>
  <c r="AW21" i="5" s="1"/>
  <c r="AU21" i="5"/>
  <c r="AO21" i="5"/>
  <c r="AP21" i="5" s="1"/>
  <c r="AQ21" i="5" s="1"/>
  <c r="AH21" i="5"/>
  <c r="AI21" i="5" s="1"/>
  <c r="AE21" i="5"/>
  <c r="AF21" i="5" s="1"/>
  <c r="Z21" i="5"/>
  <c r="AA21" i="5" s="1"/>
  <c r="AB21" i="5" s="1"/>
  <c r="V21" i="5"/>
  <c r="W21" i="5" s="1"/>
  <c r="AU20" i="5"/>
  <c r="AV20" i="5" s="1"/>
  <c r="AW20" i="5" s="1"/>
  <c r="AO20" i="5"/>
  <c r="AP20" i="5" s="1"/>
  <c r="AQ20" i="5" s="1"/>
  <c r="AH20" i="5"/>
  <c r="AI20" i="5" s="1"/>
  <c r="AF20" i="5"/>
  <c r="AE20" i="5"/>
  <c r="Z20" i="5"/>
  <c r="AA20" i="5" s="1"/>
  <c r="AB20" i="5" s="1"/>
  <c r="V20" i="5"/>
  <c r="W20" i="5" s="1"/>
  <c r="AU19" i="5"/>
  <c r="AV19" i="5" s="1"/>
  <c r="AW19" i="5" s="1"/>
  <c r="AO19" i="5"/>
  <c r="AP19" i="5" s="1"/>
  <c r="AQ19" i="5" s="1"/>
  <c r="AH19" i="5"/>
  <c r="AI19" i="5" s="1"/>
  <c r="AE19" i="5"/>
  <c r="AF19" i="5" s="1"/>
  <c r="Z19" i="5"/>
  <c r="AA19" i="5" s="1"/>
  <c r="AB19" i="5" s="1"/>
  <c r="V19" i="5"/>
  <c r="W19" i="5" s="1"/>
  <c r="AU18" i="5"/>
  <c r="AV18" i="5" s="1"/>
  <c r="AW18" i="5" s="1"/>
  <c r="AO18" i="5"/>
  <c r="AP18" i="5" s="1"/>
  <c r="AQ18" i="5" s="1"/>
  <c r="AH18" i="5"/>
  <c r="AI18" i="5" s="1"/>
  <c r="AE18" i="5"/>
  <c r="AF18" i="5" s="1"/>
  <c r="Z18" i="5"/>
  <c r="AA18" i="5" s="1"/>
  <c r="AB18" i="5" s="1"/>
  <c r="V18" i="5"/>
  <c r="W18" i="5" s="1"/>
  <c r="AU17" i="5"/>
  <c r="AV17" i="5" s="1"/>
  <c r="AW17" i="5" s="1"/>
  <c r="AO17" i="5"/>
  <c r="AP17" i="5" s="1"/>
  <c r="AQ17" i="5" s="1"/>
  <c r="AH17" i="5"/>
  <c r="AI17" i="5" s="1"/>
  <c r="AE17" i="5"/>
  <c r="AF17" i="5" s="1"/>
  <c r="Z17" i="5"/>
  <c r="AA17" i="5" s="1"/>
  <c r="AB17" i="5" s="1"/>
  <c r="V17" i="5"/>
  <c r="W17" i="5" s="1"/>
  <c r="AU16" i="5"/>
  <c r="AV16" i="5" s="1"/>
  <c r="AW16" i="5" s="1"/>
  <c r="AP16" i="5"/>
  <c r="AQ16" i="5" s="1"/>
  <c r="AO16" i="5"/>
  <c r="AH16" i="5"/>
  <c r="AI16" i="5" s="1"/>
  <c r="AE16" i="5"/>
  <c r="AF16" i="5" s="1"/>
  <c r="Z16" i="5"/>
  <c r="AA16" i="5" s="1"/>
  <c r="AB16" i="5" s="1"/>
  <c r="V16" i="5"/>
  <c r="W16" i="5" s="1"/>
  <c r="AU15" i="5"/>
  <c r="AV15" i="5" s="1"/>
  <c r="AW15" i="5" s="1"/>
  <c r="AO15" i="5"/>
  <c r="AP15" i="5" s="1"/>
  <c r="AQ15" i="5" s="1"/>
  <c r="AI15" i="5"/>
  <c r="AH15" i="5"/>
  <c r="AE15" i="5"/>
  <c r="AF15" i="5" s="1"/>
  <c r="Z15" i="5"/>
  <c r="AA15" i="5" s="1"/>
  <c r="AB15" i="5" s="1"/>
  <c r="V15" i="5"/>
  <c r="W15" i="5" s="1"/>
  <c r="AU14" i="5"/>
  <c r="AV14" i="5" s="1"/>
  <c r="AW14" i="5" s="1"/>
  <c r="AO14" i="5"/>
  <c r="AP14" i="5" s="1"/>
  <c r="AQ14" i="5" s="1"/>
  <c r="AH14" i="5"/>
  <c r="AI14" i="5" s="1"/>
  <c r="AE14" i="5"/>
  <c r="AF14" i="5" s="1"/>
  <c r="Z14" i="5"/>
  <c r="AA14" i="5" s="1"/>
  <c r="AB14" i="5" s="1"/>
  <c r="V14" i="5"/>
  <c r="W14" i="5" s="1"/>
  <c r="AU13" i="5"/>
  <c r="AV13" i="5" s="1"/>
  <c r="AW13" i="5" s="1"/>
  <c r="AO13" i="5"/>
  <c r="AP13" i="5" s="1"/>
  <c r="AQ13" i="5" s="1"/>
  <c r="AH13" i="5"/>
  <c r="AI13" i="5" s="1"/>
  <c r="AE13" i="5"/>
  <c r="AF13" i="5" s="1"/>
  <c r="Z13" i="5"/>
  <c r="AA13" i="5" s="1"/>
  <c r="AB13" i="5" s="1"/>
  <c r="V13" i="5"/>
  <c r="W13" i="5" s="1"/>
  <c r="AU12" i="5"/>
  <c r="AV12" i="5" s="1"/>
  <c r="AW12" i="5" s="1"/>
  <c r="AO12" i="5"/>
  <c r="AP12" i="5" s="1"/>
  <c r="AQ12" i="5" s="1"/>
  <c r="AH12" i="5"/>
  <c r="AI12" i="5" s="1"/>
  <c r="AE12" i="5"/>
  <c r="AF12" i="5" s="1"/>
  <c r="Z12" i="5"/>
  <c r="AA12" i="5" s="1"/>
  <c r="AB12" i="5" s="1"/>
  <c r="V12" i="5"/>
  <c r="W12" i="5" s="1"/>
  <c r="AU11" i="5"/>
  <c r="AV11" i="5" s="1"/>
  <c r="AW11" i="5" s="1"/>
  <c r="AO11" i="5"/>
  <c r="AP11" i="5" s="1"/>
  <c r="AQ11" i="5" s="1"/>
  <c r="AH11" i="5"/>
  <c r="AI11" i="5" s="1"/>
  <c r="AE11" i="5"/>
  <c r="AF11" i="5" s="1"/>
  <c r="Z11" i="5"/>
  <c r="AA11" i="5" s="1"/>
  <c r="AB11" i="5" s="1"/>
  <c r="V11" i="5"/>
  <c r="W11" i="5" s="1"/>
  <c r="AU10" i="5"/>
  <c r="AV10" i="5" s="1"/>
  <c r="AW10" i="5" s="1"/>
  <c r="AO10" i="5"/>
  <c r="AP10" i="5" s="1"/>
  <c r="AQ10" i="5" s="1"/>
  <c r="AH10" i="5"/>
  <c r="AI10" i="5" s="1"/>
  <c r="AE10" i="5"/>
  <c r="AF10" i="5" s="1"/>
  <c r="Z10" i="5"/>
  <c r="AA10" i="5" s="1"/>
  <c r="AB10" i="5" s="1"/>
  <c r="V10" i="5"/>
  <c r="W10" i="5" s="1"/>
  <c r="AU9" i="5"/>
  <c r="AV9" i="5" s="1"/>
  <c r="AW9" i="5" s="1"/>
  <c r="AO9" i="5"/>
  <c r="AP9" i="5" s="1"/>
  <c r="AQ9" i="5" s="1"/>
  <c r="AH9" i="5"/>
  <c r="AI9" i="5" s="1"/>
  <c r="AE9" i="5"/>
  <c r="AF9" i="5" s="1"/>
  <c r="Z9" i="5"/>
  <c r="AA9" i="5" s="1"/>
  <c r="AB9" i="5" s="1"/>
  <c r="V9" i="5"/>
  <c r="W9" i="5" s="1"/>
  <c r="AU8" i="5"/>
  <c r="AV8" i="5" s="1"/>
  <c r="AW8" i="5" s="1"/>
  <c r="AO8" i="5"/>
  <c r="AP8" i="5" s="1"/>
  <c r="AQ8" i="5" s="1"/>
  <c r="AH8" i="5"/>
  <c r="AI8" i="5" s="1"/>
  <c r="AE8" i="5"/>
  <c r="AF8" i="5" s="1"/>
  <c r="Z8" i="5"/>
  <c r="AA8" i="5" s="1"/>
  <c r="AB8" i="5" s="1"/>
  <c r="V8" i="5"/>
  <c r="W8" i="5" s="1"/>
  <c r="AU7" i="5"/>
  <c r="AV7" i="5" s="1"/>
  <c r="AW7" i="5" s="1"/>
  <c r="AO7" i="5"/>
  <c r="AP7" i="5" s="1"/>
  <c r="AQ7" i="5" s="1"/>
  <c r="AH7" i="5"/>
  <c r="AI7" i="5" s="1"/>
  <c r="AE7" i="5"/>
  <c r="AF7" i="5" s="1"/>
  <c r="Z7" i="5"/>
  <c r="AA7" i="5" s="1"/>
  <c r="AB7" i="5" s="1"/>
  <c r="V7" i="5"/>
  <c r="W7" i="5" s="1"/>
  <c r="AU6" i="5"/>
  <c r="AV6" i="5" s="1"/>
  <c r="AW6" i="5" s="1"/>
  <c r="AO6" i="5"/>
  <c r="AP6" i="5" s="1"/>
  <c r="AQ6" i="5" s="1"/>
  <c r="AH6" i="5"/>
  <c r="AI6" i="5" s="1"/>
  <c r="AE6" i="5"/>
  <c r="AF6" i="5" s="1"/>
  <c r="Z6" i="5"/>
  <c r="AA6" i="5" s="1"/>
  <c r="AB6" i="5" s="1"/>
  <c r="V6" i="5"/>
  <c r="W6" i="5" s="1"/>
  <c r="AU5" i="5"/>
  <c r="AV5" i="5" s="1"/>
  <c r="AW5" i="5" s="1"/>
  <c r="AO5" i="5"/>
  <c r="AP5" i="5" s="1"/>
  <c r="AQ5" i="5" s="1"/>
  <c r="AH5" i="5"/>
  <c r="AI5" i="5" s="1"/>
  <c r="AE5" i="5"/>
  <c r="AF5" i="5" s="1"/>
  <c r="Z5" i="5"/>
  <c r="AA5" i="5" s="1"/>
  <c r="AB5" i="5" s="1"/>
  <c r="V5" i="5"/>
  <c r="W5" i="5" s="1"/>
  <c r="AU4" i="5"/>
  <c r="AV4" i="5" s="1"/>
  <c r="AW4" i="5" s="1"/>
  <c r="AO4" i="5"/>
  <c r="AP4" i="5" s="1"/>
  <c r="AQ4" i="5" s="1"/>
  <c r="AH4" i="5"/>
  <c r="AI4" i="5" s="1"/>
  <c r="AE4" i="5"/>
  <c r="AF4" i="5" s="1"/>
  <c r="Z4" i="5"/>
  <c r="AA4" i="5" s="1"/>
  <c r="AB4" i="5" s="1"/>
  <c r="V4" i="5"/>
  <c r="W4" i="5" s="1"/>
  <c r="AU3" i="5"/>
  <c r="AV3" i="5" s="1"/>
  <c r="AW3" i="5" s="1"/>
  <c r="AO3" i="5"/>
  <c r="AP3" i="5" s="1"/>
  <c r="AQ3" i="5" s="1"/>
  <c r="AH3" i="5"/>
  <c r="AI3" i="5" s="1"/>
  <c r="AE3" i="5"/>
  <c r="AF3" i="5" s="1"/>
  <c r="Z3" i="5"/>
  <c r="AA3" i="5" s="1"/>
  <c r="AB3" i="5" s="1"/>
  <c r="V3" i="5"/>
  <c r="W3" i="5" s="1"/>
  <c r="AU2" i="5"/>
  <c r="AV2" i="5" s="1"/>
  <c r="AW2" i="5" s="1"/>
  <c r="AO2" i="5"/>
  <c r="AP2" i="5" s="1"/>
  <c r="AQ2" i="5" s="1"/>
  <c r="AH2" i="5"/>
  <c r="AI2" i="5" s="1"/>
  <c r="AE2" i="5"/>
  <c r="AF2" i="5" s="1"/>
  <c r="Z2" i="5"/>
  <c r="AA2" i="5" s="1"/>
  <c r="AB2" i="5" s="1"/>
  <c r="V2" i="5"/>
  <c r="W2" i="5" s="1"/>
  <c r="AX178" i="5" l="1"/>
  <c r="H153" i="8" s="1"/>
  <c r="AX285" i="5"/>
  <c r="H270" i="8" s="1"/>
  <c r="AX150" i="5"/>
  <c r="H212" i="8" s="1"/>
  <c r="H290" i="8"/>
  <c r="AX260" i="5"/>
  <c r="H59" i="8" s="1"/>
  <c r="AX284" i="5"/>
  <c r="H29" i="8" s="1"/>
  <c r="AX301" i="5"/>
  <c r="H90" i="8" s="1"/>
  <c r="AX211" i="5"/>
  <c r="H145" i="8" s="1"/>
  <c r="AX316" i="5"/>
  <c r="H161" i="8" s="1"/>
  <c r="AX147" i="5"/>
  <c r="H239" i="8" s="1"/>
  <c r="AX256" i="5"/>
  <c r="H274" i="8" s="1"/>
  <c r="AX245" i="5"/>
  <c r="H108" i="8" s="1"/>
  <c r="H268" i="8"/>
  <c r="AX24" i="5"/>
  <c r="H252" i="8" s="1"/>
  <c r="AX267" i="5"/>
  <c r="H31" i="8" s="1"/>
  <c r="H213" i="8"/>
  <c r="AX52" i="5"/>
  <c r="H138" i="8" s="1"/>
  <c r="AX58" i="5"/>
  <c r="H38" i="8" s="1"/>
  <c r="AX71" i="5"/>
  <c r="H288" i="8" s="1"/>
  <c r="AX72" i="5"/>
  <c r="H123" i="8" s="1"/>
  <c r="AX235" i="5"/>
  <c r="H205" i="8" s="1"/>
  <c r="AX241" i="5"/>
  <c r="H165" i="8" s="1"/>
  <c r="AX73" i="5"/>
  <c r="H150" i="8" s="1"/>
  <c r="AX86" i="5"/>
  <c r="H242" i="8" s="1"/>
  <c r="AX87" i="5"/>
  <c r="H75" i="8" s="1"/>
  <c r="AX88" i="5"/>
  <c r="H298" i="8" s="1"/>
  <c r="AX89" i="5"/>
  <c r="H251" i="8" s="1"/>
  <c r="AX149" i="5"/>
  <c r="H199" i="8" s="1"/>
  <c r="AX262" i="5"/>
  <c r="H302" i="8" s="1"/>
  <c r="AX289" i="5"/>
  <c r="H291" i="8" s="1"/>
  <c r="AX61" i="5"/>
  <c r="H141" i="8" s="1"/>
  <c r="AX32" i="5"/>
  <c r="H128" i="8" s="1"/>
  <c r="H218" i="8"/>
  <c r="AX185" i="5"/>
  <c r="H13" i="8" s="1"/>
  <c r="AX186" i="5"/>
  <c r="H93" i="8" s="1"/>
  <c r="AX227" i="5"/>
  <c r="H46" i="8" s="1"/>
  <c r="AX232" i="5"/>
  <c r="H130" i="8" s="1"/>
  <c r="AX268" i="5"/>
  <c r="H73" i="8" s="1"/>
  <c r="AX274" i="5"/>
  <c r="H85" i="8" s="1"/>
  <c r="AX293" i="5"/>
  <c r="H24" i="8" s="1"/>
  <c r="AX20" i="5"/>
  <c r="H219" i="8" s="1"/>
  <c r="AX78" i="5"/>
  <c r="H183" i="8" s="1"/>
  <c r="AX132" i="5"/>
  <c r="H224" i="8" s="1"/>
  <c r="AX210" i="5"/>
  <c r="H149" i="8" s="1"/>
  <c r="H39" i="8"/>
  <c r="AX233" i="5"/>
  <c r="H133" i="8" s="1"/>
  <c r="AX247" i="5"/>
  <c r="H125" i="8" s="1"/>
  <c r="AX273" i="5"/>
  <c r="H236" i="8" s="1"/>
  <c r="AX42" i="5"/>
  <c r="H210" i="8" s="1"/>
  <c r="AX50" i="5"/>
  <c r="H69" i="8" s="1"/>
  <c r="AX56" i="5"/>
  <c r="H95" i="8" s="1"/>
  <c r="AX70" i="5"/>
  <c r="H258" i="8" s="1"/>
  <c r="AX127" i="5"/>
  <c r="H157" i="8" s="1"/>
  <c r="AX209" i="5"/>
  <c r="H3" i="8" s="1"/>
  <c r="AX219" i="5"/>
  <c r="H168" i="8" s="1"/>
  <c r="AX276" i="5"/>
  <c r="H255" i="8" s="1"/>
  <c r="AX277" i="5"/>
  <c r="H104" i="8" s="1"/>
  <c r="AX295" i="5"/>
  <c r="H8" i="8" s="1"/>
  <c r="AX74" i="5"/>
  <c r="H60" i="8" s="1"/>
  <c r="AX17" i="5"/>
  <c r="H321" i="8" s="1"/>
  <c r="AX79" i="5"/>
  <c r="H188" i="8" s="1"/>
  <c r="AX80" i="5"/>
  <c r="H68" i="8" s="1"/>
  <c r="AX91" i="5"/>
  <c r="H277" i="8" s="1"/>
  <c r="AX94" i="5"/>
  <c r="H83" i="8" s="1"/>
  <c r="AX134" i="5"/>
  <c r="H152" i="8" s="1"/>
  <c r="AX135" i="5"/>
  <c r="H259" i="8" s="1"/>
  <c r="AX218" i="5"/>
  <c r="H211" i="8" s="1"/>
  <c r="AX239" i="5"/>
  <c r="H23" i="8" s="1"/>
  <c r="AX294" i="5"/>
  <c r="H102" i="8" s="1"/>
  <c r="AX90" i="5"/>
  <c r="H317" i="8" s="1"/>
  <c r="AX146" i="5"/>
  <c r="H160" i="8" s="1"/>
  <c r="AX148" i="5"/>
  <c r="H155" i="8" s="1"/>
  <c r="AX193" i="5"/>
  <c r="H253" i="8" s="1"/>
  <c r="AX212" i="5"/>
  <c r="H320" i="8" s="1"/>
  <c r="AX240" i="5"/>
  <c r="H187" i="8" s="1"/>
  <c r="AX242" i="5"/>
  <c r="H285" i="8" s="1"/>
  <c r="AX243" i="5"/>
  <c r="H196" i="8" s="1"/>
  <c r="AX307" i="5"/>
  <c r="H300" i="8" s="1"/>
  <c r="AX315" i="5"/>
  <c r="H208" i="8" s="1"/>
  <c r="AX258" i="5"/>
  <c r="H28" i="8" s="1"/>
  <c r="AX296" i="5"/>
  <c r="H226" i="8" s="1"/>
  <c r="H315" i="8"/>
  <c r="AX154" i="5"/>
  <c r="H88" i="8" s="1"/>
  <c r="AX214" i="5"/>
  <c r="H172" i="8" s="1"/>
  <c r="AX251" i="5"/>
  <c r="H36" i="8" s="1"/>
  <c r="AX292" i="5"/>
  <c r="H179" i="8" s="1"/>
  <c r="AX81" i="5"/>
  <c r="H322" i="8" s="1"/>
  <c r="AX82" i="5"/>
  <c r="H136" i="8" s="1"/>
  <c r="H225" i="8"/>
  <c r="AX151" i="5"/>
  <c r="H201" i="8" s="1"/>
  <c r="AX152" i="5"/>
  <c r="H41" i="8" s="1"/>
  <c r="H312" i="8"/>
  <c r="H105" i="8"/>
  <c r="AX137" i="5"/>
  <c r="H106" i="8" s="1"/>
  <c r="H278" i="8"/>
  <c r="AX144" i="5"/>
  <c r="H52" i="8" s="1"/>
  <c r="AX234" i="5"/>
  <c r="H70" i="8" s="1"/>
  <c r="AX288" i="5"/>
  <c r="H91" i="8" s="1"/>
  <c r="H171" i="8"/>
  <c r="AX302" i="5"/>
  <c r="H127" i="8" s="1"/>
  <c r="H261" i="8"/>
  <c r="AX318" i="5"/>
  <c r="H177" i="8" s="1"/>
  <c r="AX18" i="5"/>
  <c r="H306" i="8" s="1"/>
  <c r="AX19" i="5"/>
  <c r="H294" i="8" s="1"/>
  <c r="AX23" i="5"/>
  <c r="H195" i="8" s="1"/>
  <c r="AX21" i="5"/>
  <c r="H129" i="8" s="1"/>
  <c r="AX2" i="5"/>
  <c r="AX3" i="5"/>
  <c r="H230" i="8" s="1"/>
  <c r="AX4" i="5"/>
  <c r="H240" i="8" s="1"/>
  <c r="AX5" i="5"/>
  <c r="H283" i="8" s="1"/>
  <c r="AX6" i="5"/>
  <c r="H65" i="8" s="1"/>
  <c r="AX7" i="5"/>
  <c r="H264" i="8" s="1"/>
  <c r="H316" i="8"/>
  <c r="AX9" i="5"/>
  <c r="H273" i="8" s="1"/>
  <c r="AX10" i="5"/>
  <c r="H186" i="8" s="1"/>
  <c r="AX11" i="5"/>
  <c r="H180" i="8" s="1"/>
  <c r="AX12" i="5"/>
  <c r="H263" i="8" s="1"/>
  <c r="AX13" i="5"/>
  <c r="H122" i="8" s="1"/>
  <c r="AX14" i="5"/>
  <c r="H217" i="8" s="1"/>
  <c r="AX15" i="5"/>
  <c r="H178" i="8" s="1"/>
  <c r="AX16" i="5"/>
  <c r="H307" i="8" s="1"/>
  <c r="AX22" i="5"/>
  <c r="H266" i="8" s="1"/>
  <c r="AX27" i="5"/>
  <c r="H11" i="8" s="1"/>
  <c r="AX35" i="5"/>
  <c r="H231" i="8" s="1"/>
  <c r="AX38" i="5"/>
  <c r="H7" i="8" s="1"/>
  <c r="AX45" i="5"/>
  <c r="H202" i="8" s="1"/>
  <c r="AX53" i="5"/>
  <c r="H204" i="8" s="1"/>
  <c r="AX59" i="5"/>
  <c r="H260" i="8" s="1"/>
  <c r="AX60" i="5"/>
  <c r="H132" i="8" s="1"/>
  <c r="AX44" i="5"/>
  <c r="H10" i="8" s="1"/>
  <c r="AX25" i="5"/>
  <c r="H305" i="8" s="1"/>
  <c r="AX30" i="5"/>
  <c r="H272" i="8" s="1"/>
  <c r="AX62" i="5"/>
  <c r="H42" i="8" s="1"/>
  <c r="AX33" i="5"/>
  <c r="H163" i="8" s="1"/>
  <c r="AX39" i="5"/>
  <c r="H303" i="8" s="1"/>
  <c r="AX47" i="5"/>
  <c r="H147" i="8" s="1"/>
  <c r="AX54" i="5"/>
  <c r="H245" i="8" s="1"/>
  <c r="H314" i="8"/>
  <c r="AX64" i="5"/>
  <c r="H197" i="8" s="1"/>
  <c r="AX28" i="5"/>
  <c r="H167" i="8" s="1"/>
  <c r="H319" i="8"/>
  <c r="AX40" i="5"/>
  <c r="H299" i="8" s="1"/>
  <c r="AX48" i="5"/>
  <c r="H241" i="8" s="1"/>
  <c r="AX65" i="5"/>
  <c r="H117" i="8" s="1"/>
  <c r="AX66" i="5"/>
  <c r="H206" i="8" s="1"/>
  <c r="AX75" i="5"/>
  <c r="H30" i="8" s="1"/>
  <c r="AX83" i="5"/>
  <c r="H32" i="8" s="1"/>
  <c r="AX84" i="5"/>
  <c r="H280" i="8" s="1"/>
  <c r="AX85" i="5"/>
  <c r="H114" i="8" s="1"/>
  <c r="AX31" i="5"/>
  <c r="H154" i="8" s="1"/>
  <c r="AX41" i="5"/>
  <c r="H113" i="8" s="1"/>
  <c r="AX49" i="5"/>
  <c r="H27" i="8" s="1"/>
  <c r="AX55" i="5"/>
  <c r="H234" i="8" s="1"/>
  <c r="AX67" i="5"/>
  <c r="H282" i="8" s="1"/>
  <c r="AX68" i="5"/>
  <c r="H119" i="8" s="1"/>
  <c r="AX26" i="5"/>
  <c r="H115" i="8" s="1"/>
  <c r="AX34" i="5"/>
  <c r="H55" i="8" s="1"/>
  <c r="AX69" i="5"/>
  <c r="H235" i="8" s="1"/>
  <c r="AX77" i="5"/>
  <c r="H58" i="8" s="1"/>
  <c r="AX29" i="5"/>
  <c r="H207" i="8" s="1"/>
  <c r="AX37" i="5"/>
  <c r="H84" i="8" s="1"/>
  <c r="AX43" i="5"/>
  <c r="H164" i="8" s="1"/>
  <c r="AX51" i="5"/>
  <c r="H151" i="8" s="1"/>
  <c r="AX57" i="5"/>
  <c r="H222" i="8" s="1"/>
  <c r="AX95" i="5"/>
  <c r="H64" i="8" s="1"/>
  <c r="AX103" i="5"/>
  <c r="H140" i="8" s="1"/>
  <c r="AX128" i="5"/>
  <c r="H137" i="8" s="1"/>
  <c r="H311" i="8"/>
  <c r="H293" i="8"/>
  <c r="H82" i="8"/>
  <c r="AX96" i="5"/>
  <c r="H192" i="8" s="1"/>
  <c r="AX104" i="5"/>
  <c r="H295" i="8" s="1"/>
  <c r="AX129" i="5"/>
  <c r="H71" i="8" s="1"/>
  <c r="AX97" i="5"/>
  <c r="H44" i="8" s="1"/>
  <c r="AX105" i="5"/>
  <c r="H142" i="8" s="1"/>
  <c r="AX98" i="5"/>
  <c r="H286" i="8" s="1"/>
  <c r="AX106" i="5"/>
  <c r="H144" i="8" s="1"/>
  <c r="AX131" i="5"/>
  <c r="H181" i="8" s="1"/>
  <c r="AX138" i="5"/>
  <c r="H198" i="8" s="1"/>
  <c r="AX99" i="5"/>
  <c r="H126" i="8" s="1"/>
  <c r="AX107" i="5"/>
  <c r="H74" i="8" s="1"/>
  <c r="AX133" i="5"/>
  <c r="H215" i="8" s="1"/>
  <c r="AX145" i="5"/>
  <c r="H174" i="8" s="1"/>
  <c r="AX92" i="5"/>
  <c r="H6" i="8" s="1"/>
  <c r="AX100" i="5"/>
  <c r="H9" i="8" s="1"/>
  <c r="AX108" i="5"/>
  <c r="H12" i="8" s="1"/>
  <c r="AX139" i="5"/>
  <c r="H170" i="8" s="1"/>
  <c r="AX93" i="5"/>
  <c r="H227" i="8" s="1"/>
  <c r="AX101" i="5"/>
  <c r="H262" i="8" s="1"/>
  <c r="AX109" i="5"/>
  <c r="H61" i="8" s="1"/>
  <c r="AX110" i="5"/>
  <c r="H158" i="8" s="1"/>
  <c r="AX111" i="5"/>
  <c r="H156" i="8" s="1"/>
  <c r="AX112" i="5"/>
  <c r="H248" i="8" s="1"/>
  <c r="AX113" i="5"/>
  <c r="H276" i="8" s="1"/>
  <c r="AX114" i="5"/>
  <c r="H289" i="8" s="1"/>
  <c r="AX115" i="5"/>
  <c r="H256" i="8" s="1"/>
  <c r="AX116" i="5"/>
  <c r="H194" i="8" s="1"/>
  <c r="AX117" i="5"/>
  <c r="H34" i="8" s="1"/>
  <c r="AX118" i="5"/>
  <c r="H89" i="8" s="1"/>
  <c r="AX119" i="5"/>
  <c r="H107" i="8" s="1"/>
  <c r="AX120" i="5"/>
  <c r="H228" i="8" s="1"/>
  <c r="H304" i="8"/>
  <c r="H279" i="8"/>
  <c r="AX123" i="5"/>
  <c r="H16" i="8" s="1"/>
  <c r="AX124" i="5"/>
  <c r="H53" i="8" s="1"/>
  <c r="AX125" i="5"/>
  <c r="H96" i="8" s="1"/>
  <c r="AX126" i="5"/>
  <c r="H80" i="8" s="1"/>
  <c r="AX140" i="5"/>
  <c r="H100" i="8" s="1"/>
  <c r="AX155" i="5"/>
  <c r="H124" i="8" s="1"/>
  <c r="AX163" i="5"/>
  <c r="H184" i="8" s="1"/>
  <c r="AX173" i="5"/>
  <c r="H97" i="8" s="1"/>
  <c r="AX156" i="5"/>
  <c r="H146" i="8" s="1"/>
  <c r="AX157" i="5"/>
  <c r="H92" i="8" s="1"/>
  <c r="AX169" i="5"/>
  <c r="H257" i="8" s="1"/>
  <c r="AX158" i="5"/>
  <c r="H287" i="8" s="1"/>
  <c r="AX159" i="5"/>
  <c r="H173" i="8" s="1"/>
  <c r="AX177" i="5"/>
  <c r="H185" i="8" s="1"/>
  <c r="AX160" i="5"/>
  <c r="H116" i="8" s="1"/>
  <c r="AX171" i="5"/>
  <c r="H120" i="8" s="1"/>
  <c r="AX153" i="5"/>
  <c r="H269" i="8" s="1"/>
  <c r="AX161" i="5"/>
  <c r="H203" i="8" s="1"/>
  <c r="AX167" i="5"/>
  <c r="H296" i="8" s="1"/>
  <c r="AX175" i="5"/>
  <c r="H297" i="8" s="1"/>
  <c r="AX164" i="5"/>
  <c r="H200" i="8" s="1"/>
  <c r="AX180" i="5"/>
  <c r="H87" i="8" s="1"/>
  <c r="AX188" i="5"/>
  <c r="H223" i="8" s="1"/>
  <c r="AX206" i="5"/>
  <c r="H101" i="8" s="1"/>
  <c r="AX222" i="5"/>
  <c r="H244" i="8" s="1"/>
  <c r="AX237" i="5"/>
  <c r="H17" i="8" s="1"/>
  <c r="AX244" i="5"/>
  <c r="H14" i="8" s="1"/>
  <c r="H18" i="8"/>
  <c r="AX183" i="5"/>
  <c r="H51" i="8" s="1"/>
  <c r="AX191" i="5"/>
  <c r="H131" i="8" s="1"/>
  <c r="AX204" i="5"/>
  <c r="H134" i="8" s="1"/>
  <c r="AX205" i="5"/>
  <c r="H121" i="8" s="1"/>
  <c r="AX213" i="5"/>
  <c r="H284" i="8" s="1"/>
  <c r="AX215" i="5"/>
  <c r="H143" i="8" s="1"/>
  <c r="AX228" i="5"/>
  <c r="H238" i="8" s="1"/>
  <c r="AX248" i="5"/>
  <c r="H229" i="8" s="1"/>
  <c r="AX250" i="5"/>
  <c r="H76" i="8" s="1"/>
  <c r="AX203" i="5"/>
  <c r="H5" i="8" s="1"/>
  <c r="AX221" i="5"/>
  <c r="H109" i="8" s="1"/>
  <c r="AX223" i="5"/>
  <c r="H271" i="8" s="1"/>
  <c r="AX166" i="5"/>
  <c r="H110" i="8" s="1"/>
  <c r="AX168" i="5"/>
  <c r="H78" i="8" s="1"/>
  <c r="AX170" i="5"/>
  <c r="H232" i="8" s="1"/>
  <c r="AX172" i="5"/>
  <c r="H86" i="8" s="1"/>
  <c r="AX174" i="5"/>
  <c r="H246" i="8" s="1"/>
  <c r="AX176" i="5"/>
  <c r="H81" i="8" s="1"/>
  <c r="AX181" i="5"/>
  <c r="H310" i="8" s="1"/>
  <c r="AX189" i="5"/>
  <c r="H43" i="8" s="1"/>
  <c r="AX202" i="5"/>
  <c r="H57" i="8" s="1"/>
  <c r="AX216" i="5"/>
  <c r="H249" i="8" s="1"/>
  <c r="AX217" i="5"/>
  <c r="H66" i="8" s="1"/>
  <c r="AX230" i="5"/>
  <c r="H25" i="8" s="1"/>
  <c r="AX249" i="5"/>
  <c r="H301" i="8" s="1"/>
  <c r="AX162" i="5"/>
  <c r="H250" i="8" s="1"/>
  <c r="AX184" i="5"/>
  <c r="H254" i="8" s="1"/>
  <c r="AX192" i="5"/>
  <c r="H209" i="8" s="1"/>
  <c r="AX200" i="5"/>
  <c r="H103" i="8" s="1"/>
  <c r="AX201" i="5"/>
  <c r="H62" i="8" s="1"/>
  <c r="AX224" i="5"/>
  <c r="H220" i="8" s="1"/>
  <c r="AX225" i="5"/>
  <c r="H67" i="8" s="1"/>
  <c r="H191" i="8"/>
  <c r="AX187" i="5"/>
  <c r="H243" i="8" s="1"/>
  <c r="AX199" i="5"/>
  <c r="H214" i="8" s="1"/>
  <c r="H94" i="8"/>
  <c r="AX229" i="5"/>
  <c r="H139" i="8" s="1"/>
  <c r="AX231" i="5"/>
  <c r="H98" i="8" s="1"/>
  <c r="AX165" i="5"/>
  <c r="H193" i="8" s="1"/>
  <c r="AX182" i="5"/>
  <c r="H54" i="8" s="1"/>
  <c r="AX190" i="5"/>
  <c r="H148" i="8" s="1"/>
  <c r="AX195" i="5"/>
  <c r="H247" i="8" s="1"/>
  <c r="AX196" i="5"/>
  <c r="H162" i="8" s="1"/>
  <c r="AX197" i="5"/>
  <c r="H45" i="8" s="1"/>
  <c r="AX198" i="5"/>
  <c r="H112" i="8" s="1"/>
  <c r="AX220" i="5"/>
  <c r="H33" i="8" s="1"/>
  <c r="AX238" i="5"/>
  <c r="H159" i="8" s="1"/>
  <c r="H313" i="8"/>
  <c r="AX259" i="5"/>
  <c r="H19" i="8" s="1"/>
  <c r="AX271" i="5"/>
  <c r="H182" i="8" s="1"/>
  <c r="AX278" i="5"/>
  <c r="H49" i="8" s="1"/>
  <c r="AX286" i="5"/>
  <c r="H275" i="8" s="1"/>
  <c r="AX253" i="5"/>
  <c r="H189" i="8" s="1"/>
  <c r="AX263" i="5"/>
  <c r="H176" i="8" s="1"/>
  <c r="AX264" i="5"/>
  <c r="H79" i="8" s="1"/>
  <c r="AX254" i="5"/>
  <c r="H233" i="8" s="1"/>
  <c r="AX265" i="5"/>
  <c r="H56" i="8" s="1"/>
  <c r="AX255" i="5"/>
  <c r="H265" i="8" s="1"/>
  <c r="AX266" i="5"/>
  <c r="H135" i="8" s="1"/>
  <c r="AX269" i="5"/>
  <c r="H37" i="8" s="1"/>
  <c r="AX279" i="5"/>
  <c r="H166" i="8" s="1"/>
  <c r="AX282" i="5"/>
  <c r="H77" i="8" s="1"/>
  <c r="AX257" i="5"/>
  <c r="H190" i="8" s="1"/>
  <c r="AX270" i="5"/>
  <c r="H221" i="8" s="1"/>
  <c r="AX261" i="5"/>
  <c r="H4" i="8" s="1"/>
  <c r="AX272" i="5"/>
  <c r="H48" i="8" s="1"/>
  <c r="AX275" i="5"/>
  <c r="H40" i="8" s="1"/>
  <c r="H309" i="8"/>
  <c r="AX280" i="5"/>
  <c r="H20" i="8" s="1"/>
  <c r="AX306" i="5"/>
  <c r="H50" i="8" s="1"/>
  <c r="AX314" i="5"/>
  <c r="H216" i="8" s="1"/>
  <c r="H318" i="8"/>
  <c r="AX281" i="5"/>
  <c r="H15" i="8" s="1"/>
  <c r="H21" i="8"/>
  <c r="AX305" i="5"/>
  <c r="H292" i="8" s="1"/>
  <c r="AX313" i="5"/>
  <c r="H308" i="8" s="1"/>
  <c r="AX321" i="5"/>
  <c r="H169" i="8" s="1"/>
  <c r="AX291" i="5"/>
  <c r="H35" i="8" s="1"/>
  <c r="AX304" i="5"/>
  <c r="H26" i="8" s="1"/>
  <c r="AX312" i="5"/>
  <c r="H72" i="8" s="1"/>
  <c r="AX320" i="5"/>
  <c r="H118" i="8" s="1"/>
  <c r="AX283" i="5"/>
  <c r="H2" i="8" s="1"/>
  <c r="AX287" i="5"/>
  <c r="H63" i="8" s="1"/>
  <c r="AX299" i="5"/>
  <c r="H22" i="8" s="1"/>
  <c r="AX300" i="5"/>
  <c r="H99" i="8" s="1"/>
  <c r="AX303" i="5"/>
  <c r="H111" i="8" s="1"/>
  <c r="AX311" i="5"/>
  <c r="H47" i="8" s="1"/>
  <c r="AX319" i="5"/>
  <c r="H281" i="8" s="1"/>
  <c r="AX309" i="5"/>
  <c r="H267" i="8" s="1"/>
  <c r="AX317" i="5"/>
  <c r="H237" i="8" s="1"/>
  <c r="AP3" i="6" l="1"/>
  <c r="AQ3" i="6"/>
  <c r="AP4" i="6"/>
  <c r="AQ4" i="6"/>
  <c r="AP5" i="6"/>
  <c r="AQ5" i="6"/>
  <c r="AP6" i="6"/>
  <c r="AQ6" i="6"/>
  <c r="AP7" i="6"/>
  <c r="AQ7" i="6"/>
  <c r="AP8" i="6"/>
  <c r="AQ8" i="6"/>
  <c r="AP9" i="6"/>
  <c r="AQ9" i="6"/>
  <c r="AP10" i="6"/>
  <c r="AQ10" i="6"/>
  <c r="AP11" i="6"/>
  <c r="AQ11" i="6"/>
  <c r="AP12" i="6"/>
  <c r="AQ12" i="6"/>
  <c r="AP13" i="6"/>
  <c r="AQ13" i="6"/>
  <c r="AP14" i="6"/>
  <c r="AQ14" i="6"/>
  <c r="AP15" i="6"/>
  <c r="AQ15" i="6"/>
  <c r="AP16" i="6"/>
  <c r="AQ16" i="6"/>
  <c r="AP17" i="6"/>
  <c r="AQ17" i="6"/>
  <c r="AP18" i="6"/>
  <c r="AQ18" i="6"/>
  <c r="AP19" i="6"/>
  <c r="AQ19" i="6"/>
  <c r="AP20" i="6"/>
  <c r="AQ20" i="6"/>
  <c r="AP21" i="6"/>
  <c r="AQ21" i="6"/>
  <c r="AP22" i="6"/>
  <c r="AQ22" i="6"/>
  <c r="AP23" i="6"/>
  <c r="AQ23" i="6"/>
  <c r="AP24" i="6"/>
  <c r="AQ24" i="6"/>
  <c r="AP25" i="6"/>
  <c r="AQ25" i="6"/>
  <c r="AP26" i="6"/>
  <c r="AQ26" i="6"/>
  <c r="AP27" i="6"/>
  <c r="AQ27" i="6"/>
  <c r="AP28" i="6"/>
  <c r="AQ28" i="6"/>
  <c r="AP29" i="6"/>
  <c r="AQ29" i="6"/>
  <c r="AP30" i="6"/>
  <c r="AQ30" i="6"/>
  <c r="AP31" i="6"/>
  <c r="AQ31" i="6"/>
  <c r="AP32" i="6"/>
  <c r="AQ32" i="6"/>
  <c r="AP33" i="6"/>
  <c r="AQ33" i="6"/>
  <c r="AP34" i="6"/>
  <c r="AQ34" i="6"/>
  <c r="AP35" i="6"/>
  <c r="AQ35" i="6"/>
  <c r="AP36" i="6"/>
  <c r="AQ36" i="6"/>
  <c r="AP37" i="6"/>
  <c r="AQ37" i="6"/>
  <c r="AP38" i="6"/>
  <c r="AQ38" i="6"/>
  <c r="AP39" i="6"/>
  <c r="AQ39" i="6"/>
  <c r="AP40" i="6"/>
  <c r="AQ40" i="6"/>
  <c r="AP41" i="6"/>
  <c r="AQ41" i="6"/>
  <c r="AP42" i="6"/>
  <c r="AQ42" i="6"/>
  <c r="AP43" i="6"/>
  <c r="AQ43" i="6"/>
  <c r="AP44" i="6"/>
  <c r="AQ44" i="6"/>
  <c r="AP45" i="6"/>
  <c r="AQ45" i="6"/>
  <c r="AP46" i="6"/>
  <c r="AQ46" i="6"/>
  <c r="AP47" i="6"/>
  <c r="AQ47" i="6"/>
  <c r="AP48" i="6"/>
  <c r="AQ48" i="6"/>
  <c r="AP49" i="6"/>
  <c r="AQ49" i="6"/>
  <c r="AP50" i="6"/>
  <c r="AQ50" i="6"/>
  <c r="AP51" i="6"/>
  <c r="AQ51" i="6"/>
  <c r="AP52" i="6"/>
  <c r="AQ52" i="6"/>
  <c r="AP53" i="6"/>
  <c r="AQ53" i="6"/>
  <c r="AP54" i="6"/>
  <c r="AQ54" i="6"/>
  <c r="AP55" i="6"/>
  <c r="AQ55" i="6"/>
  <c r="AP56" i="6"/>
  <c r="AQ56" i="6"/>
  <c r="AP57" i="6"/>
  <c r="AQ57" i="6"/>
  <c r="AP58" i="6"/>
  <c r="AQ58" i="6"/>
  <c r="AP59" i="6"/>
  <c r="AQ59" i="6"/>
  <c r="AP60" i="6"/>
  <c r="AQ60" i="6"/>
  <c r="AP61" i="6"/>
  <c r="AQ61" i="6"/>
  <c r="AP62" i="6"/>
  <c r="AQ62" i="6"/>
  <c r="AP63" i="6"/>
  <c r="AQ63" i="6"/>
  <c r="AP64" i="6"/>
  <c r="AQ64" i="6"/>
  <c r="AP65" i="6"/>
  <c r="AQ65" i="6"/>
  <c r="AP66" i="6"/>
  <c r="AQ66" i="6"/>
  <c r="AP67" i="6"/>
  <c r="AQ67" i="6"/>
  <c r="AP68" i="6"/>
  <c r="AQ68" i="6"/>
  <c r="AP69" i="6"/>
  <c r="AQ69" i="6"/>
  <c r="AP70" i="6"/>
  <c r="AQ70" i="6"/>
  <c r="AP71" i="6"/>
  <c r="AQ71" i="6"/>
  <c r="AP72" i="6"/>
  <c r="AQ72" i="6"/>
  <c r="AP73" i="6"/>
  <c r="AQ73" i="6"/>
  <c r="AP74" i="6"/>
  <c r="AQ74" i="6"/>
  <c r="AP75" i="6"/>
  <c r="AQ75" i="6"/>
  <c r="AP76" i="6"/>
  <c r="AQ76" i="6"/>
  <c r="AP77" i="6"/>
  <c r="AQ77" i="6"/>
  <c r="AP78" i="6"/>
  <c r="AQ78" i="6"/>
  <c r="AP79" i="6"/>
  <c r="AQ79" i="6"/>
  <c r="AP80" i="6"/>
  <c r="AQ80" i="6"/>
  <c r="AP81" i="6"/>
  <c r="AQ81" i="6"/>
  <c r="AP82" i="6"/>
  <c r="AQ82" i="6"/>
  <c r="AP83" i="6"/>
  <c r="AQ83" i="6"/>
  <c r="AP84" i="6"/>
  <c r="AQ84" i="6"/>
  <c r="AP85" i="6"/>
  <c r="AQ85" i="6"/>
  <c r="AP86" i="6"/>
  <c r="AQ86" i="6"/>
  <c r="AP87" i="6"/>
  <c r="AQ87" i="6"/>
  <c r="AP88" i="6"/>
  <c r="AQ88" i="6"/>
  <c r="AP89" i="6"/>
  <c r="AQ89" i="6"/>
  <c r="AP90" i="6"/>
  <c r="AQ90" i="6"/>
  <c r="AP91" i="6"/>
  <c r="AQ91" i="6"/>
  <c r="AP92" i="6"/>
  <c r="AQ92" i="6"/>
  <c r="AP93" i="6"/>
  <c r="AQ93" i="6"/>
  <c r="AP94" i="6"/>
  <c r="AQ94" i="6"/>
  <c r="AP95" i="6"/>
  <c r="AQ95" i="6"/>
  <c r="AP96" i="6"/>
  <c r="AQ96" i="6"/>
  <c r="AP97" i="6"/>
  <c r="AQ97" i="6"/>
  <c r="AP98" i="6"/>
  <c r="AQ98" i="6"/>
  <c r="AP99" i="6"/>
  <c r="AQ99" i="6"/>
  <c r="AP100" i="6"/>
  <c r="AQ100" i="6"/>
  <c r="AP101" i="6"/>
  <c r="AQ101" i="6"/>
  <c r="AP102" i="6"/>
  <c r="AQ102" i="6"/>
  <c r="AP103" i="6"/>
  <c r="AQ103" i="6"/>
  <c r="AP104" i="6"/>
  <c r="AQ104" i="6"/>
  <c r="AP105" i="6"/>
  <c r="AQ105" i="6"/>
  <c r="AP106" i="6"/>
  <c r="AQ106" i="6"/>
  <c r="AP107" i="6"/>
  <c r="AQ107" i="6"/>
  <c r="AP108" i="6"/>
  <c r="AQ108" i="6"/>
  <c r="AP109" i="6"/>
  <c r="AQ109" i="6"/>
  <c r="AP110" i="6"/>
  <c r="AQ110" i="6"/>
  <c r="AP111" i="6"/>
  <c r="AQ111" i="6"/>
  <c r="AP112" i="6"/>
  <c r="AQ112" i="6"/>
  <c r="AP113" i="6"/>
  <c r="AQ113" i="6"/>
  <c r="AP114" i="6"/>
  <c r="AQ114" i="6"/>
  <c r="AP115" i="6"/>
  <c r="AQ115" i="6"/>
  <c r="AP116" i="6"/>
  <c r="AQ116" i="6"/>
  <c r="AP117" i="6"/>
  <c r="AQ117" i="6"/>
  <c r="AP118" i="6"/>
  <c r="AQ118" i="6"/>
  <c r="AP119" i="6"/>
  <c r="AQ119" i="6"/>
  <c r="AP120" i="6"/>
  <c r="AQ120" i="6"/>
  <c r="AP121" i="6"/>
  <c r="AQ121" i="6"/>
  <c r="AP122" i="6"/>
  <c r="AQ122" i="6"/>
  <c r="AP123" i="6"/>
  <c r="AQ123" i="6"/>
  <c r="AP124" i="6"/>
  <c r="AQ124" i="6"/>
  <c r="AP125" i="6"/>
  <c r="AQ125" i="6"/>
  <c r="AP126" i="6"/>
  <c r="AQ126" i="6"/>
  <c r="AP127" i="6"/>
  <c r="AQ127" i="6"/>
  <c r="AP128" i="6"/>
  <c r="AQ128" i="6"/>
  <c r="AP129" i="6"/>
  <c r="AQ129" i="6"/>
  <c r="AP130" i="6"/>
  <c r="AQ130" i="6"/>
  <c r="AP131" i="6"/>
  <c r="AQ131" i="6"/>
  <c r="AP132" i="6"/>
  <c r="AQ132" i="6"/>
  <c r="AP133" i="6"/>
  <c r="AQ133" i="6"/>
  <c r="AP134" i="6"/>
  <c r="AQ134" i="6"/>
  <c r="AP135" i="6"/>
  <c r="AQ135" i="6"/>
  <c r="AP136" i="6"/>
  <c r="AQ136" i="6"/>
  <c r="AP137" i="6"/>
  <c r="AQ137" i="6"/>
  <c r="AP138" i="6"/>
  <c r="AQ138" i="6"/>
  <c r="AP139" i="6"/>
  <c r="AQ139" i="6"/>
  <c r="AP140" i="6"/>
  <c r="AQ140" i="6"/>
  <c r="AP141" i="6"/>
  <c r="AQ141" i="6"/>
  <c r="AP142" i="6"/>
  <c r="AQ142" i="6"/>
  <c r="AP143" i="6"/>
  <c r="AQ143" i="6"/>
  <c r="AP144" i="6"/>
  <c r="AQ144" i="6"/>
  <c r="AP145" i="6"/>
  <c r="AQ145" i="6"/>
  <c r="AP146" i="6"/>
  <c r="AQ146" i="6"/>
  <c r="AP147" i="6"/>
  <c r="AQ147" i="6"/>
  <c r="AP148" i="6"/>
  <c r="AQ148" i="6"/>
  <c r="AP149" i="6"/>
  <c r="AQ149" i="6"/>
  <c r="AP150" i="6"/>
  <c r="AQ150" i="6"/>
  <c r="AP151" i="6"/>
  <c r="AQ151" i="6"/>
  <c r="AP152" i="6"/>
  <c r="AQ152" i="6"/>
  <c r="AP153" i="6"/>
  <c r="AQ153" i="6"/>
  <c r="AP154" i="6"/>
  <c r="AQ154" i="6"/>
  <c r="AP155" i="6"/>
  <c r="AQ155" i="6"/>
  <c r="AP156" i="6"/>
  <c r="AQ156" i="6"/>
  <c r="AP157" i="6"/>
  <c r="AQ157" i="6"/>
  <c r="AP158" i="6"/>
  <c r="AQ158" i="6"/>
  <c r="AP159" i="6"/>
  <c r="AQ159" i="6"/>
  <c r="AP160" i="6"/>
  <c r="AQ160" i="6"/>
  <c r="AP161" i="6"/>
  <c r="AQ161" i="6"/>
  <c r="AP162" i="6"/>
  <c r="AQ162" i="6"/>
  <c r="AP163" i="6"/>
  <c r="AQ163" i="6"/>
  <c r="AP164" i="6"/>
  <c r="AQ164" i="6"/>
  <c r="AP165" i="6"/>
  <c r="AQ165" i="6"/>
  <c r="AP166" i="6"/>
  <c r="AQ166" i="6"/>
  <c r="AP167" i="6"/>
  <c r="AQ167" i="6"/>
  <c r="AQ168" i="6"/>
  <c r="AP169" i="6"/>
  <c r="AQ169" i="6"/>
  <c r="AP170" i="6"/>
  <c r="AQ170" i="6"/>
  <c r="AP171" i="6"/>
  <c r="AQ171" i="6"/>
  <c r="AP172" i="6"/>
  <c r="AQ172" i="6"/>
  <c r="AP173" i="6"/>
  <c r="AQ173" i="6"/>
  <c r="AP174" i="6"/>
  <c r="AQ174" i="6"/>
  <c r="AP175" i="6"/>
  <c r="AQ175" i="6"/>
  <c r="AP176" i="6"/>
  <c r="AQ176" i="6"/>
  <c r="AP177" i="6"/>
  <c r="AQ177" i="6"/>
  <c r="AP178" i="6"/>
  <c r="AQ178" i="6"/>
  <c r="AP179" i="6"/>
  <c r="AQ179" i="6"/>
  <c r="AP180" i="6"/>
  <c r="AQ180" i="6"/>
  <c r="AP181" i="6"/>
  <c r="AQ181" i="6"/>
  <c r="AP182" i="6"/>
  <c r="AQ182" i="6"/>
  <c r="AP183" i="6"/>
  <c r="AQ183" i="6"/>
  <c r="AP184" i="6"/>
  <c r="AQ184" i="6"/>
  <c r="AP185" i="6"/>
  <c r="AQ185" i="6"/>
  <c r="AP186" i="6"/>
  <c r="AQ186" i="6"/>
  <c r="AP187" i="6"/>
  <c r="AQ187" i="6"/>
  <c r="AP188" i="6"/>
  <c r="AQ188" i="6"/>
  <c r="AP189" i="6"/>
  <c r="AQ189" i="6"/>
  <c r="AP190" i="6"/>
  <c r="AQ190" i="6"/>
  <c r="AP191" i="6"/>
  <c r="AQ191" i="6"/>
  <c r="AP192" i="6"/>
  <c r="AQ192" i="6"/>
  <c r="AP193" i="6"/>
  <c r="AQ193" i="6"/>
  <c r="AP194" i="6"/>
  <c r="AQ194" i="6"/>
  <c r="AP195" i="6"/>
  <c r="AQ195" i="6"/>
  <c r="AP196" i="6"/>
  <c r="AQ196" i="6"/>
  <c r="AP197" i="6"/>
  <c r="AQ197" i="6"/>
  <c r="AP198" i="6"/>
  <c r="AQ198" i="6"/>
  <c r="AP199" i="6"/>
  <c r="AQ199" i="6"/>
  <c r="AP200" i="6"/>
  <c r="AQ200" i="6"/>
  <c r="AP201" i="6"/>
  <c r="AQ201" i="6"/>
  <c r="AP202" i="6"/>
  <c r="AQ202" i="6"/>
  <c r="AP203" i="6"/>
  <c r="AQ203" i="6"/>
  <c r="AP204" i="6"/>
  <c r="AQ204" i="6"/>
  <c r="AP205" i="6"/>
  <c r="AQ205" i="6"/>
  <c r="AP206" i="6"/>
  <c r="AQ206" i="6"/>
  <c r="AP207" i="6"/>
  <c r="AQ207" i="6"/>
  <c r="AP208" i="6"/>
  <c r="AQ208" i="6"/>
  <c r="AP209" i="6"/>
  <c r="AQ209" i="6"/>
  <c r="AP210" i="6"/>
  <c r="AQ210" i="6"/>
  <c r="AP211" i="6"/>
  <c r="AQ211" i="6"/>
  <c r="AP212" i="6"/>
  <c r="AQ212" i="6"/>
  <c r="AP213" i="6"/>
  <c r="AQ213" i="6"/>
  <c r="AP214" i="6"/>
  <c r="AQ214" i="6"/>
  <c r="AP215" i="6"/>
  <c r="AQ215" i="6"/>
  <c r="AP216" i="6"/>
  <c r="AQ216" i="6"/>
  <c r="AP217" i="6"/>
  <c r="AQ217" i="6"/>
  <c r="AP218" i="6"/>
  <c r="AQ218" i="6"/>
  <c r="AP219" i="6"/>
  <c r="AQ219" i="6"/>
  <c r="AP220" i="6"/>
  <c r="AQ220" i="6"/>
  <c r="AP221" i="6"/>
  <c r="AQ221" i="6"/>
  <c r="AP222" i="6"/>
  <c r="AQ222" i="6"/>
  <c r="AP223" i="6"/>
  <c r="AQ223" i="6"/>
  <c r="AP224" i="6"/>
  <c r="AQ224" i="6"/>
  <c r="AP225" i="6"/>
  <c r="AQ225" i="6"/>
  <c r="AP226" i="6"/>
  <c r="AQ226" i="6"/>
  <c r="AP227" i="6"/>
  <c r="AQ227" i="6"/>
  <c r="AP228" i="6"/>
  <c r="AQ228" i="6"/>
  <c r="AP229" i="6"/>
  <c r="AQ229" i="6"/>
  <c r="AP230" i="6"/>
  <c r="AQ230" i="6"/>
  <c r="AP231" i="6"/>
  <c r="AQ231" i="6"/>
  <c r="AP232" i="6"/>
  <c r="AQ232" i="6"/>
  <c r="AP233" i="6"/>
  <c r="AQ233" i="6"/>
  <c r="AP234" i="6"/>
  <c r="AQ234" i="6"/>
  <c r="AP235" i="6"/>
  <c r="AQ235" i="6"/>
  <c r="AP236" i="6"/>
  <c r="AQ236" i="6"/>
  <c r="AP237" i="6"/>
  <c r="AQ237" i="6"/>
  <c r="AP238" i="6"/>
  <c r="AQ238" i="6"/>
  <c r="AP239" i="6"/>
  <c r="AQ239" i="6"/>
  <c r="AP240" i="6"/>
  <c r="AQ240" i="6"/>
  <c r="AP241" i="6"/>
  <c r="AQ241" i="6"/>
  <c r="AP242" i="6"/>
  <c r="AQ242" i="6"/>
  <c r="AP243" i="6"/>
  <c r="AQ243" i="6"/>
  <c r="AP244" i="6"/>
  <c r="AQ244" i="6"/>
  <c r="AP245" i="6"/>
  <c r="AQ245" i="6"/>
  <c r="AP246" i="6"/>
  <c r="AQ246" i="6"/>
  <c r="AP247" i="6"/>
  <c r="AQ247" i="6"/>
  <c r="AP248" i="6"/>
  <c r="AQ248" i="6"/>
  <c r="AP249" i="6"/>
  <c r="AQ249" i="6"/>
  <c r="AP250" i="6"/>
  <c r="AQ250" i="6"/>
  <c r="AP251" i="6"/>
  <c r="AQ251" i="6"/>
  <c r="AP252" i="6"/>
  <c r="AQ252" i="6"/>
  <c r="AP253" i="6"/>
  <c r="AQ253" i="6"/>
  <c r="AP254" i="6"/>
  <c r="AQ254" i="6"/>
  <c r="AP255" i="6"/>
  <c r="AQ255" i="6"/>
  <c r="AP256" i="6"/>
  <c r="AQ256" i="6"/>
  <c r="AP257" i="6"/>
  <c r="AQ257" i="6"/>
  <c r="AP258" i="6"/>
  <c r="AQ258" i="6"/>
  <c r="AP259" i="6"/>
  <c r="AQ259" i="6"/>
  <c r="AP260" i="6"/>
  <c r="AQ260" i="6"/>
  <c r="AP261" i="6"/>
  <c r="AQ261" i="6"/>
  <c r="AP262" i="6"/>
  <c r="AQ262" i="6"/>
  <c r="AP263" i="6"/>
  <c r="AQ263" i="6"/>
  <c r="AP264" i="6"/>
  <c r="AQ264" i="6"/>
  <c r="AP265" i="6"/>
  <c r="AQ265" i="6"/>
  <c r="AP266" i="6"/>
  <c r="AQ266" i="6"/>
  <c r="AP267" i="6"/>
  <c r="AQ267" i="6"/>
  <c r="AP268" i="6"/>
  <c r="AQ268" i="6"/>
  <c r="AP269" i="6"/>
  <c r="AQ269" i="6"/>
  <c r="AP270" i="6"/>
  <c r="AQ270" i="6"/>
  <c r="AP271" i="6"/>
  <c r="AQ271" i="6"/>
  <c r="AP272" i="6"/>
  <c r="AQ272" i="6"/>
  <c r="AP273" i="6"/>
  <c r="AQ273" i="6"/>
  <c r="AP274" i="6"/>
  <c r="AQ274" i="6"/>
  <c r="AP275" i="6"/>
  <c r="AQ275" i="6"/>
  <c r="AP276" i="6"/>
  <c r="AQ276" i="6"/>
  <c r="AP277" i="6"/>
  <c r="AQ277" i="6"/>
  <c r="AP278" i="6"/>
  <c r="AQ278" i="6"/>
  <c r="AP279" i="6"/>
  <c r="AQ279" i="6"/>
  <c r="AP280" i="6"/>
  <c r="AQ280" i="6"/>
  <c r="AP281" i="6"/>
  <c r="AQ281" i="6"/>
  <c r="AP282" i="6"/>
  <c r="AQ282" i="6"/>
  <c r="AP283" i="6"/>
  <c r="AQ283" i="6"/>
  <c r="AP284" i="6"/>
  <c r="AQ284" i="6"/>
  <c r="AP285" i="6"/>
  <c r="AQ285" i="6"/>
  <c r="AP286" i="6"/>
  <c r="AQ286" i="6"/>
  <c r="AP287" i="6"/>
  <c r="AQ287" i="6"/>
  <c r="AP288" i="6"/>
  <c r="AQ288" i="6"/>
  <c r="AP289" i="6"/>
  <c r="AQ289" i="6"/>
  <c r="AP290" i="6"/>
  <c r="AQ290" i="6"/>
  <c r="AP291" i="6"/>
  <c r="AQ291" i="6"/>
  <c r="AP292" i="6"/>
  <c r="AQ292" i="6"/>
  <c r="AP293" i="6"/>
  <c r="AQ293" i="6"/>
  <c r="AP294" i="6"/>
  <c r="AQ294" i="6"/>
  <c r="AP295" i="6"/>
  <c r="AQ295" i="6"/>
  <c r="AP296" i="6"/>
  <c r="AQ296" i="6"/>
  <c r="AP297" i="6"/>
  <c r="AQ297" i="6"/>
  <c r="AP298" i="6"/>
  <c r="AQ298" i="6"/>
  <c r="AP299" i="6"/>
  <c r="AQ299" i="6"/>
  <c r="AP300" i="6"/>
  <c r="AQ300" i="6"/>
  <c r="AP301" i="6"/>
  <c r="AQ301" i="6"/>
  <c r="AP302" i="6"/>
  <c r="AQ302" i="6"/>
  <c r="AP303" i="6"/>
  <c r="AQ303" i="6"/>
  <c r="AP304" i="6"/>
  <c r="AQ304" i="6"/>
  <c r="AP305" i="6"/>
  <c r="AQ305" i="6"/>
  <c r="AP306" i="6"/>
  <c r="AQ306" i="6"/>
  <c r="AP307" i="6"/>
  <c r="AQ307" i="6"/>
  <c r="AP308" i="6"/>
  <c r="AQ308" i="6"/>
  <c r="AP309" i="6"/>
  <c r="AQ309" i="6"/>
  <c r="AP310" i="6"/>
  <c r="AQ310" i="6"/>
  <c r="AP311" i="6"/>
  <c r="AQ311" i="6"/>
  <c r="AP312" i="6"/>
  <c r="AQ312" i="6"/>
  <c r="AP313" i="6"/>
  <c r="AQ313" i="6"/>
  <c r="AP314" i="6"/>
  <c r="AQ314" i="6"/>
  <c r="AP315" i="6"/>
  <c r="AQ315" i="6"/>
  <c r="AP316" i="6"/>
  <c r="AQ316" i="6"/>
  <c r="AP317" i="6"/>
  <c r="AQ317" i="6"/>
  <c r="AP318" i="6"/>
  <c r="AQ318" i="6"/>
  <c r="AP319" i="6"/>
  <c r="AQ319" i="6"/>
  <c r="AP320" i="6"/>
  <c r="AQ320" i="6"/>
  <c r="AP321" i="6"/>
  <c r="AQ321" i="6"/>
  <c r="AP322" i="6"/>
  <c r="AQ322" i="6"/>
  <c r="AQ2" i="6"/>
  <c r="AP2" i="6"/>
  <c r="BQ322" i="6"/>
  <c r="BR322" i="6" s="1"/>
  <c r="BM322" i="6"/>
  <c r="BN322" i="6" s="1"/>
  <c r="BO322" i="6" s="1"/>
  <c r="BI322" i="6"/>
  <c r="BJ322" i="6" s="1"/>
  <c r="BK322" i="6" s="1"/>
  <c r="BE322" i="6"/>
  <c r="BA322" i="6"/>
  <c r="BB322" i="6" s="1"/>
  <c r="AW322" i="6"/>
  <c r="AX322" i="6" s="1"/>
  <c r="AY322" i="6" s="1"/>
  <c r="AO322" i="6"/>
  <c r="AI322" i="6"/>
  <c r="AJ322" i="6" s="1"/>
  <c r="AK322" i="6" s="1"/>
  <c r="BQ321" i="6"/>
  <c r="BR321" i="6" s="1"/>
  <c r="BM321" i="6"/>
  <c r="BN321" i="6" s="1"/>
  <c r="BO321" i="6" s="1"/>
  <c r="BI321" i="6"/>
  <c r="BJ321" i="6" s="1"/>
  <c r="BK321" i="6" s="1"/>
  <c r="BE321" i="6"/>
  <c r="BA321" i="6"/>
  <c r="BB321" i="6" s="1"/>
  <c r="AW321" i="6"/>
  <c r="AX321" i="6" s="1"/>
  <c r="AY321" i="6" s="1"/>
  <c r="AO321" i="6"/>
  <c r="AI321" i="6"/>
  <c r="AJ321" i="6" s="1"/>
  <c r="AK321" i="6" s="1"/>
  <c r="AD321" i="6"/>
  <c r="AE321" i="6" s="1"/>
  <c r="AF321" i="6" s="1"/>
  <c r="W321" i="6"/>
  <c r="X321" i="6" s="1"/>
  <c r="Y321" i="6" s="1"/>
  <c r="BQ320" i="6"/>
  <c r="BR320" i="6" s="1"/>
  <c r="BM320" i="6"/>
  <c r="BN320" i="6" s="1"/>
  <c r="BO320" i="6" s="1"/>
  <c r="BI320" i="6"/>
  <c r="BJ320" i="6" s="1"/>
  <c r="BK320" i="6" s="1"/>
  <c r="BE320" i="6"/>
  <c r="BA320" i="6"/>
  <c r="BB320" i="6" s="1"/>
  <c r="AW320" i="6"/>
  <c r="AX320" i="6" s="1"/>
  <c r="AY320" i="6" s="1"/>
  <c r="AO320" i="6"/>
  <c r="AI320" i="6"/>
  <c r="AJ320" i="6" s="1"/>
  <c r="AK320" i="6" s="1"/>
  <c r="AD320" i="6"/>
  <c r="AE320" i="6" s="1"/>
  <c r="AF320" i="6" s="1"/>
  <c r="W320" i="6"/>
  <c r="X320" i="6" s="1"/>
  <c r="Y320" i="6" s="1"/>
  <c r="BQ319" i="6"/>
  <c r="BR319" i="6" s="1"/>
  <c r="BM319" i="6"/>
  <c r="BN319" i="6" s="1"/>
  <c r="BO319" i="6" s="1"/>
  <c r="BI319" i="6"/>
  <c r="BJ319" i="6" s="1"/>
  <c r="BK319" i="6" s="1"/>
  <c r="BE319" i="6"/>
  <c r="BA319" i="6"/>
  <c r="BB319" i="6" s="1"/>
  <c r="AW319" i="6"/>
  <c r="AX319" i="6" s="1"/>
  <c r="AY319" i="6" s="1"/>
  <c r="AO319" i="6"/>
  <c r="AI319" i="6"/>
  <c r="AJ319" i="6" s="1"/>
  <c r="AK319" i="6" s="1"/>
  <c r="AD319" i="6"/>
  <c r="AE319" i="6" s="1"/>
  <c r="AF319" i="6" s="1"/>
  <c r="W319" i="6"/>
  <c r="X319" i="6" s="1"/>
  <c r="Y319" i="6" s="1"/>
  <c r="BQ318" i="6"/>
  <c r="BR318" i="6" s="1"/>
  <c r="BM318" i="6"/>
  <c r="BN318" i="6" s="1"/>
  <c r="BO318" i="6" s="1"/>
  <c r="BI318" i="6"/>
  <c r="BJ318" i="6" s="1"/>
  <c r="BK318" i="6" s="1"/>
  <c r="BE318" i="6"/>
  <c r="BA318" i="6"/>
  <c r="BB318" i="6" s="1"/>
  <c r="AW318" i="6"/>
  <c r="AX318" i="6" s="1"/>
  <c r="AY318" i="6" s="1"/>
  <c r="AM318" i="6"/>
  <c r="AI318" i="6"/>
  <c r="AJ318" i="6" s="1"/>
  <c r="AK318" i="6" s="1"/>
  <c r="AD318" i="6"/>
  <c r="AE318" i="6" s="1"/>
  <c r="AF318" i="6" s="1"/>
  <c r="W318" i="6"/>
  <c r="X318" i="6" s="1"/>
  <c r="Y318" i="6" s="1"/>
  <c r="BQ317" i="6"/>
  <c r="BR317" i="6" s="1"/>
  <c r="BM317" i="6"/>
  <c r="BN317" i="6" s="1"/>
  <c r="BO317" i="6" s="1"/>
  <c r="BI317" i="6"/>
  <c r="BJ317" i="6" s="1"/>
  <c r="BK317" i="6" s="1"/>
  <c r="BE317" i="6"/>
  <c r="BA317" i="6"/>
  <c r="BB317" i="6" s="1"/>
  <c r="AW317" i="6"/>
  <c r="AX317" i="6" s="1"/>
  <c r="AY317" i="6" s="1"/>
  <c r="AM317" i="6"/>
  <c r="AI317" i="6"/>
  <c r="AJ317" i="6" s="1"/>
  <c r="AK317" i="6" s="1"/>
  <c r="AD317" i="6"/>
  <c r="AE317" i="6" s="1"/>
  <c r="AF317" i="6" s="1"/>
  <c r="W317" i="6"/>
  <c r="X317" i="6" s="1"/>
  <c r="Y317" i="6" s="1"/>
  <c r="BQ316" i="6"/>
  <c r="BR316" i="6" s="1"/>
  <c r="BM316" i="6"/>
  <c r="BN316" i="6" s="1"/>
  <c r="BO316" i="6" s="1"/>
  <c r="BI316" i="6"/>
  <c r="BJ316" i="6" s="1"/>
  <c r="BK316" i="6" s="1"/>
  <c r="BE316" i="6"/>
  <c r="BA316" i="6"/>
  <c r="BB316" i="6" s="1"/>
  <c r="AW316" i="6"/>
  <c r="AX316" i="6" s="1"/>
  <c r="AY316" i="6" s="1"/>
  <c r="AM316" i="6"/>
  <c r="AI316" i="6"/>
  <c r="AJ316" i="6" s="1"/>
  <c r="AK316" i="6" s="1"/>
  <c r="AD316" i="6"/>
  <c r="AE316" i="6" s="1"/>
  <c r="AF316" i="6" s="1"/>
  <c r="W316" i="6"/>
  <c r="X316" i="6" s="1"/>
  <c r="Y316" i="6" s="1"/>
  <c r="BQ315" i="6"/>
  <c r="BR315" i="6" s="1"/>
  <c r="BM315" i="6"/>
  <c r="BN315" i="6" s="1"/>
  <c r="BO315" i="6" s="1"/>
  <c r="BI315" i="6"/>
  <c r="BJ315" i="6" s="1"/>
  <c r="BK315" i="6" s="1"/>
  <c r="BE315" i="6"/>
  <c r="BA315" i="6"/>
  <c r="BB315" i="6" s="1"/>
  <c r="AW315" i="6"/>
  <c r="AX315" i="6" s="1"/>
  <c r="AY315" i="6" s="1"/>
  <c r="AM315" i="6"/>
  <c r="AI315" i="6"/>
  <c r="AJ315" i="6" s="1"/>
  <c r="AK315" i="6" s="1"/>
  <c r="AD315" i="6"/>
  <c r="AE315" i="6" s="1"/>
  <c r="AF315" i="6" s="1"/>
  <c r="W315" i="6"/>
  <c r="X315" i="6" s="1"/>
  <c r="Y315" i="6" s="1"/>
  <c r="BQ314" i="6"/>
  <c r="BR314" i="6" s="1"/>
  <c r="BM314" i="6"/>
  <c r="BN314" i="6" s="1"/>
  <c r="BO314" i="6" s="1"/>
  <c r="BI314" i="6"/>
  <c r="BJ314" i="6" s="1"/>
  <c r="BK314" i="6" s="1"/>
  <c r="BE314" i="6"/>
  <c r="BA314" i="6"/>
  <c r="BB314" i="6" s="1"/>
  <c r="AW314" i="6"/>
  <c r="AX314" i="6" s="1"/>
  <c r="AY314" i="6" s="1"/>
  <c r="AM314" i="6"/>
  <c r="AI314" i="6"/>
  <c r="AJ314" i="6" s="1"/>
  <c r="AK314" i="6" s="1"/>
  <c r="AD314" i="6"/>
  <c r="AE314" i="6" s="1"/>
  <c r="AF314" i="6" s="1"/>
  <c r="W314" i="6"/>
  <c r="X314" i="6" s="1"/>
  <c r="Y314" i="6" s="1"/>
  <c r="BQ313" i="6"/>
  <c r="BR313" i="6" s="1"/>
  <c r="BM313" i="6"/>
  <c r="BN313" i="6" s="1"/>
  <c r="BO313" i="6" s="1"/>
  <c r="BI313" i="6"/>
  <c r="BJ313" i="6" s="1"/>
  <c r="BK313" i="6" s="1"/>
  <c r="BE313" i="6"/>
  <c r="BA313" i="6"/>
  <c r="BB313" i="6" s="1"/>
  <c r="AW313" i="6"/>
  <c r="AX313" i="6" s="1"/>
  <c r="AY313" i="6" s="1"/>
  <c r="AM313" i="6"/>
  <c r="AI313" i="6"/>
  <c r="AJ313" i="6" s="1"/>
  <c r="AK313" i="6" s="1"/>
  <c r="AD313" i="6"/>
  <c r="AE313" i="6" s="1"/>
  <c r="AF313" i="6" s="1"/>
  <c r="W313" i="6"/>
  <c r="X313" i="6" s="1"/>
  <c r="Y313" i="6" s="1"/>
  <c r="BQ312" i="6"/>
  <c r="BR312" i="6" s="1"/>
  <c r="BM312" i="6"/>
  <c r="BN312" i="6" s="1"/>
  <c r="BO312" i="6" s="1"/>
  <c r="BI312" i="6"/>
  <c r="BJ312" i="6" s="1"/>
  <c r="BK312" i="6" s="1"/>
  <c r="BE312" i="6"/>
  <c r="BA312" i="6"/>
  <c r="BB312" i="6" s="1"/>
  <c r="AW312" i="6"/>
  <c r="AX312" i="6" s="1"/>
  <c r="AY312" i="6" s="1"/>
  <c r="AM312" i="6"/>
  <c r="AI312" i="6"/>
  <c r="AJ312" i="6" s="1"/>
  <c r="AK312" i="6" s="1"/>
  <c r="AD312" i="6"/>
  <c r="AE312" i="6" s="1"/>
  <c r="AF312" i="6" s="1"/>
  <c r="W312" i="6"/>
  <c r="X312" i="6" s="1"/>
  <c r="Y312" i="6" s="1"/>
  <c r="BQ311" i="6"/>
  <c r="BR311" i="6" s="1"/>
  <c r="BM311" i="6"/>
  <c r="BN311" i="6" s="1"/>
  <c r="BO311" i="6" s="1"/>
  <c r="BI311" i="6"/>
  <c r="BJ311" i="6" s="1"/>
  <c r="BK311" i="6" s="1"/>
  <c r="BE311" i="6"/>
  <c r="BA311" i="6"/>
  <c r="BB311" i="6" s="1"/>
  <c r="AW311" i="6"/>
  <c r="AX311" i="6" s="1"/>
  <c r="AY311" i="6" s="1"/>
  <c r="AM311" i="6"/>
  <c r="AI311" i="6"/>
  <c r="AJ311" i="6" s="1"/>
  <c r="AK311" i="6" s="1"/>
  <c r="AD311" i="6"/>
  <c r="AE311" i="6" s="1"/>
  <c r="AF311" i="6" s="1"/>
  <c r="W311" i="6"/>
  <c r="X311" i="6" s="1"/>
  <c r="Y311" i="6" s="1"/>
  <c r="BQ310" i="6"/>
  <c r="BR310" i="6" s="1"/>
  <c r="BM310" i="6"/>
  <c r="BN310" i="6" s="1"/>
  <c r="BO310" i="6" s="1"/>
  <c r="BI310" i="6"/>
  <c r="BJ310" i="6" s="1"/>
  <c r="BK310" i="6" s="1"/>
  <c r="BE310" i="6"/>
  <c r="BA310" i="6"/>
  <c r="BB310" i="6" s="1"/>
  <c r="AW310" i="6"/>
  <c r="AX310" i="6" s="1"/>
  <c r="AY310" i="6" s="1"/>
  <c r="AO310" i="6"/>
  <c r="AI310" i="6"/>
  <c r="AJ310" i="6" s="1"/>
  <c r="AK310" i="6" s="1"/>
  <c r="BQ309" i="6"/>
  <c r="BR309" i="6" s="1"/>
  <c r="BM309" i="6"/>
  <c r="BN309" i="6" s="1"/>
  <c r="BO309" i="6" s="1"/>
  <c r="BI309" i="6"/>
  <c r="BJ309" i="6" s="1"/>
  <c r="BK309" i="6" s="1"/>
  <c r="BE309" i="6"/>
  <c r="BA309" i="6"/>
  <c r="BB309" i="6" s="1"/>
  <c r="AW309" i="6"/>
  <c r="AX309" i="6" s="1"/>
  <c r="AY309" i="6" s="1"/>
  <c r="AO309" i="6"/>
  <c r="AI309" i="6"/>
  <c r="AJ309" i="6" s="1"/>
  <c r="AK309" i="6" s="1"/>
  <c r="AD309" i="6"/>
  <c r="AE309" i="6" s="1"/>
  <c r="AF309" i="6" s="1"/>
  <c r="W309" i="6"/>
  <c r="X309" i="6" s="1"/>
  <c r="Y309" i="6" s="1"/>
  <c r="BQ308" i="6"/>
  <c r="BR308" i="6" s="1"/>
  <c r="BM308" i="6"/>
  <c r="BN308" i="6" s="1"/>
  <c r="BO308" i="6" s="1"/>
  <c r="BI308" i="6"/>
  <c r="BJ308" i="6" s="1"/>
  <c r="BK308" i="6" s="1"/>
  <c r="BE308" i="6"/>
  <c r="BA308" i="6"/>
  <c r="BB308" i="6" s="1"/>
  <c r="AW308" i="6"/>
  <c r="AX308" i="6" s="1"/>
  <c r="AY308" i="6" s="1"/>
  <c r="AO308" i="6"/>
  <c r="AI308" i="6"/>
  <c r="AJ308" i="6" s="1"/>
  <c r="AK308" i="6" s="1"/>
  <c r="BQ307" i="6"/>
  <c r="BR307" i="6" s="1"/>
  <c r="BM307" i="6"/>
  <c r="BN307" i="6" s="1"/>
  <c r="BO307" i="6" s="1"/>
  <c r="BI307" i="6"/>
  <c r="BJ307" i="6" s="1"/>
  <c r="BK307" i="6" s="1"/>
  <c r="BE307" i="6"/>
  <c r="BA307" i="6"/>
  <c r="BB307" i="6" s="1"/>
  <c r="AW307" i="6"/>
  <c r="AX307" i="6" s="1"/>
  <c r="AY307" i="6" s="1"/>
  <c r="AO307" i="6"/>
  <c r="AI307" i="6"/>
  <c r="AJ307" i="6" s="1"/>
  <c r="AK307" i="6" s="1"/>
  <c r="AD307" i="6"/>
  <c r="AE307" i="6" s="1"/>
  <c r="AF307" i="6" s="1"/>
  <c r="W307" i="6"/>
  <c r="X307" i="6" s="1"/>
  <c r="Y307" i="6" s="1"/>
  <c r="BQ306" i="6"/>
  <c r="BR306" i="6" s="1"/>
  <c r="BM306" i="6"/>
  <c r="BN306" i="6" s="1"/>
  <c r="BO306" i="6" s="1"/>
  <c r="BI306" i="6"/>
  <c r="BJ306" i="6" s="1"/>
  <c r="BK306" i="6" s="1"/>
  <c r="BE306" i="6"/>
  <c r="BA306" i="6"/>
  <c r="BB306" i="6" s="1"/>
  <c r="AW306" i="6"/>
  <c r="AX306" i="6" s="1"/>
  <c r="AY306" i="6" s="1"/>
  <c r="AM306" i="6"/>
  <c r="AI306" i="6"/>
  <c r="AJ306" i="6" s="1"/>
  <c r="AK306" i="6" s="1"/>
  <c r="AD306" i="6"/>
  <c r="AE306" i="6" s="1"/>
  <c r="AF306" i="6" s="1"/>
  <c r="W306" i="6"/>
  <c r="X306" i="6" s="1"/>
  <c r="Y306" i="6" s="1"/>
  <c r="BQ305" i="6"/>
  <c r="BR305" i="6" s="1"/>
  <c r="BM305" i="6"/>
  <c r="BN305" i="6" s="1"/>
  <c r="BO305" i="6" s="1"/>
  <c r="BI305" i="6"/>
  <c r="BJ305" i="6" s="1"/>
  <c r="BK305" i="6" s="1"/>
  <c r="BE305" i="6"/>
  <c r="BA305" i="6"/>
  <c r="BB305" i="6" s="1"/>
  <c r="AW305" i="6"/>
  <c r="AX305" i="6" s="1"/>
  <c r="AY305" i="6" s="1"/>
  <c r="AO305" i="6"/>
  <c r="AI305" i="6"/>
  <c r="AJ305" i="6" s="1"/>
  <c r="AK305" i="6" s="1"/>
  <c r="AD305" i="6"/>
  <c r="AE305" i="6" s="1"/>
  <c r="AF305" i="6" s="1"/>
  <c r="W305" i="6"/>
  <c r="X305" i="6" s="1"/>
  <c r="Y305" i="6" s="1"/>
  <c r="BQ304" i="6"/>
  <c r="BR304" i="6" s="1"/>
  <c r="BM304" i="6"/>
  <c r="BN304" i="6" s="1"/>
  <c r="BO304" i="6" s="1"/>
  <c r="BI304" i="6"/>
  <c r="BJ304" i="6" s="1"/>
  <c r="BK304" i="6" s="1"/>
  <c r="BE304" i="6"/>
  <c r="BA304" i="6"/>
  <c r="BB304" i="6" s="1"/>
  <c r="AW304" i="6"/>
  <c r="AX304" i="6" s="1"/>
  <c r="AY304" i="6" s="1"/>
  <c r="AM304" i="6"/>
  <c r="AI304" i="6"/>
  <c r="AJ304" i="6" s="1"/>
  <c r="AK304" i="6" s="1"/>
  <c r="AD304" i="6"/>
  <c r="AE304" i="6" s="1"/>
  <c r="AF304" i="6" s="1"/>
  <c r="W304" i="6"/>
  <c r="X304" i="6" s="1"/>
  <c r="Y304" i="6" s="1"/>
  <c r="BQ303" i="6"/>
  <c r="BR303" i="6" s="1"/>
  <c r="BM303" i="6"/>
  <c r="BN303" i="6" s="1"/>
  <c r="BO303" i="6" s="1"/>
  <c r="BI303" i="6"/>
  <c r="BJ303" i="6" s="1"/>
  <c r="BK303" i="6" s="1"/>
  <c r="BE303" i="6"/>
  <c r="BA303" i="6"/>
  <c r="BB303" i="6" s="1"/>
  <c r="AW303" i="6"/>
  <c r="AX303" i="6" s="1"/>
  <c r="AY303" i="6" s="1"/>
  <c r="AO303" i="6"/>
  <c r="AI303" i="6"/>
  <c r="AJ303" i="6" s="1"/>
  <c r="AK303" i="6" s="1"/>
  <c r="AD303" i="6"/>
  <c r="AE303" i="6" s="1"/>
  <c r="AF303" i="6" s="1"/>
  <c r="W303" i="6"/>
  <c r="X303" i="6" s="1"/>
  <c r="Y303" i="6" s="1"/>
  <c r="BQ302" i="6"/>
  <c r="BR302" i="6" s="1"/>
  <c r="BM302" i="6"/>
  <c r="BN302" i="6" s="1"/>
  <c r="BO302" i="6" s="1"/>
  <c r="BI302" i="6"/>
  <c r="BJ302" i="6" s="1"/>
  <c r="BK302" i="6" s="1"/>
  <c r="BE302" i="6"/>
  <c r="BA302" i="6"/>
  <c r="BB302" i="6" s="1"/>
  <c r="AW302" i="6"/>
  <c r="AX302" i="6" s="1"/>
  <c r="AY302" i="6" s="1"/>
  <c r="AM302" i="6"/>
  <c r="AI302" i="6"/>
  <c r="AJ302" i="6" s="1"/>
  <c r="AK302" i="6" s="1"/>
  <c r="AD302" i="6"/>
  <c r="AE302" i="6" s="1"/>
  <c r="AF302" i="6" s="1"/>
  <c r="W302" i="6"/>
  <c r="X302" i="6" s="1"/>
  <c r="Y302" i="6" s="1"/>
  <c r="BQ301" i="6"/>
  <c r="BR301" i="6" s="1"/>
  <c r="BM301" i="6"/>
  <c r="BN301" i="6" s="1"/>
  <c r="BO301" i="6" s="1"/>
  <c r="BI301" i="6"/>
  <c r="BJ301" i="6" s="1"/>
  <c r="BK301" i="6" s="1"/>
  <c r="BE301" i="6"/>
  <c r="BA301" i="6"/>
  <c r="BB301" i="6" s="1"/>
  <c r="AW301" i="6"/>
  <c r="AX301" i="6" s="1"/>
  <c r="AY301" i="6" s="1"/>
  <c r="AM301" i="6"/>
  <c r="AI301" i="6"/>
  <c r="AJ301" i="6" s="1"/>
  <c r="AK301" i="6" s="1"/>
  <c r="AD301" i="6"/>
  <c r="AE301" i="6" s="1"/>
  <c r="AF301" i="6" s="1"/>
  <c r="W301" i="6"/>
  <c r="X301" i="6" s="1"/>
  <c r="Y301" i="6" s="1"/>
  <c r="BQ300" i="6"/>
  <c r="BR300" i="6" s="1"/>
  <c r="BM300" i="6"/>
  <c r="BN300" i="6" s="1"/>
  <c r="BO300" i="6" s="1"/>
  <c r="BI300" i="6"/>
  <c r="BJ300" i="6" s="1"/>
  <c r="BK300" i="6" s="1"/>
  <c r="BE300" i="6"/>
  <c r="BA300" i="6"/>
  <c r="BB300" i="6" s="1"/>
  <c r="AW300" i="6"/>
  <c r="AX300" i="6" s="1"/>
  <c r="AY300" i="6" s="1"/>
  <c r="AO300" i="6"/>
  <c r="AI300" i="6"/>
  <c r="AJ300" i="6" s="1"/>
  <c r="AK300" i="6" s="1"/>
  <c r="AD300" i="6"/>
  <c r="AE300" i="6" s="1"/>
  <c r="AF300" i="6" s="1"/>
  <c r="W300" i="6"/>
  <c r="X300" i="6" s="1"/>
  <c r="Y300" i="6" s="1"/>
  <c r="BQ299" i="6"/>
  <c r="BR299" i="6" s="1"/>
  <c r="BM299" i="6"/>
  <c r="BN299" i="6" s="1"/>
  <c r="BO299" i="6" s="1"/>
  <c r="BI299" i="6"/>
  <c r="BJ299" i="6" s="1"/>
  <c r="BK299" i="6" s="1"/>
  <c r="BE299" i="6"/>
  <c r="BA299" i="6"/>
  <c r="BB299" i="6" s="1"/>
  <c r="AW299" i="6"/>
  <c r="AX299" i="6" s="1"/>
  <c r="AY299" i="6" s="1"/>
  <c r="AO299" i="6"/>
  <c r="AI299" i="6"/>
  <c r="AJ299" i="6" s="1"/>
  <c r="AK299" i="6" s="1"/>
  <c r="AD299" i="6"/>
  <c r="AE299" i="6" s="1"/>
  <c r="AF299" i="6" s="1"/>
  <c r="W299" i="6"/>
  <c r="X299" i="6" s="1"/>
  <c r="Y299" i="6" s="1"/>
  <c r="BQ298" i="6"/>
  <c r="BR298" i="6" s="1"/>
  <c r="BM298" i="6"/>
  <c r="BN298" i="6" s="1"/>
  <c r="BO298" i="6" s="1"/>
  <c r="BI298" i="6"/>
  <c r="BJ298" i="6" s="1"/>
  <c r="BK298" i="6" s="1"/>
  <c r="BE298" i="6"/>
  <c r="BA298" i="6"/>
  <c r="BB298" i="6" s="1"/>
  <c r="AW298" i="6"/>
  <c r="AX298" i="6" s="1"/>
  <c r="AY298" i="6" s="1"/>
  <c r="AO298" i="6"/>
  <c r="AI298" i="6"/>
  <c r="AJ298" i="6" s="1"/>
  <c r="AK298" i="6" s="1"/>
  <c r="BQ297" i="6"/>
  <c r="BR297" i="6" s="1"/>
  <c r="BM297" i="6"/>
  <c r="BN297" i="6" s="1"/>
  <c r="BO297" i="6" s="1"/>
  <c r="BI297" i="6"/>
  <c r="BJ297" i="6" s="1"/>
  <c r="BK297" i="6" s="1"/>
  <c r="BE297" i="6"/>
  <c r="BA297" i="6"/>
  <c r="BB297" i="6" s="1"/>
  <c r="AW297" i="6"/>
  <c r="AX297" i="6" s="1"/>
  <c r="AY297" i="6" s="1"/>
  <c r="AO297" i="6"/>
  <c r="AI297" i="6"/>
  <c r="AJ297" i="6" s="1"/>
  <c r="AK297" i="6" s="1"/>
  <c r="BQ296" i="6"/>
  <c r="BR296" i="6" s="1"/>
  <c r="BM296" i="6"/>
  <c r="BN296" i="6" s="1"/>
  <c r="BO296" i="6" s="1"/>
  <c r="BI296" i="6"/>
  <c r="BJ296" i="6" s="1"/>
  <c r="BK296" i="6" s="1"/>
  <c r="BE296" i="6"/>
  <c r="BA296" i="6"/>
  <c r="BB296" i="6" s="1"/>
  <c r="AW296" i="6"/>
  <c r="AX296" i="6" s="1"/>
  <c r="AY296" i="6" s="1"/>
  <c r="AM296" i="6"/>
  <c r="AI296" i="6"/>
  <c r="AJ296" i="6" s="1"/>
  <c r="AK296" i="6" s="1"/>
  <c r="AD296" i="6"/>
  <c r="AE296" i="6" s="1"/>
  <c r="AF296" i="6" s="1"/>
  <c r="W296" i="6"/>
  <c r="X296" i="6" s="1"/>
  <c r="Y296" i="6" s="1"/>
  <c r="BQ295" i="6"/>
  <c r="BR295" i="6" s="1"/>
  <c r="BM295" i="6"/>
  <c r="BN295" i="6" s="1"/>
  <c r="BO295" i="6" s="1"/>
  <c r="BI295" i="6"/>
  <c r="BJ295" i="6" s="1"/>
  <c r="BK295" i="6" s="1"/>
  <c r="BE295" i="6"/>
  <c r="BA295" i="6"/>
  <c r="BB295" i="6" s="1"/>
  <c r="AW295" i="6"/>
  <c r="AX295" i="6" s="1"/>
  <c r="AY295" i="6" s="1"/>
  <c r="AM295" i="6"/>
  <c r="AI295" i="6"/>
  <c r="AJ295" i="6" s="1"/>
  <c r="AK295" i="6" s="1"/>
  <c r="AD295" i="6"/>
  <c r="AE295" i="6" s="1"/>
  <c r="AF295" i="6" s="1"/>
  <c r="W295" i="6"/>
  <c r="X295" i="6" s="1"/>
  <c r="Y295" i="6" s="1"/>
  <c r="BQ294" i="6"/>
  <c r="BR294" i="6" s="1"/>
  <c r="BM294" i="6"/>
  <c r="BN294" i="6" s="1"/>
  <c r="BO294" i="6" s="1"/>
  <c r="BI294" i="6"/>
  <c r="BJ294" i="6" s="1"/>
  <c r="BK294" i="6" s="1"/>
  <c r="BE294" i="6"/>
  <c r="BA294" i="6"/>
  <c r="BB294" i="6" s="1"/>
  <c r="AW294" i="6"/>
  <c r="AX294" i="6" s="1"/>
  <c r="AY294" i="6" s="1"/>
  <c r="AM294" i="6"/>
  <c r="AI294" i="6"/>
  <c r="AJ294" i="6" s="1"/>
  <c r="AK294" i="6" s="1"/>
  <c r="AD294" i="6"/>
  <c r="AE294" i="6" s="1"/>
  <c r="AF294" i="6" s="1"/>
  <c r="W294" i="6"/>
  <c r="X294" i="6" s="1"/>
  <c r="Y294" i="6" s="1"/>
  <c r="BQ293" i="6"/>
  <c r="BR293" i="6" s="1"/>
  <c r="BM293" i="6"/>
  <c r="BN293" i="6" s="1"/>
  <c r="BO293" i="6" s="1"/>
  <c r="BI293" i="6"/>
  <c r="BJ293" i="6" s="1"/>
  <c r="BK293" i="6" s="1"/>
  <c r="BE293" i="6"/>
  <c r="BA293" i="6"/>
  <c r="BB293" i="6" s="1"/>
  <c r="AW293" i="6"/>
  <c r="AX293" i="6" s="1"/>
  <c r="AY293" i="6" s="1"/>
  <c r="AO293" i="6"/>
  <c r="AI293" i="6"/>
  <c r="AJ293" i="6" s="1"/>
  <c r="AK293" i="6" s="1"/>
  <c r="AD293" i="6"/>
  <c r="AE293" i="6" s="1"/>
  <c r="AF293" i="6" s="1"/>
  <c r="W293" i="6"/>
  <c r="X293" i="6" s="1"/>
  <c r="Y293" i="6" s="1"/>
  <c r="BQ292" i="6"/>
  <c r="BR292" i="6" s="1"/>
  <c r="BM292" i="6"/>
  <c r="BN292" i="6" s="1"/>
  <c r="BO292" i="6" s="1"/>
  <c r="BI292" i="6"/>
  <c r="BJ292" i="6" s="1"/>
  <c r="BK292" i="6" s="1"/>
  <c r="BE292" i="6"/>
  <c r="BA292" i="6"/>
  <c r="BB292" i="6" s="1"/>
  <c r="AW292" i="6"/>
  <c r="AX292" i="6" s="1"/>
  <c r="AY292" i="6" s="1"/>
  <c r="AO292" i="6"/>
  <c r="AI292" i="6"/>
  <c r="AJ292" i="6" s="1"/>
  <c r="AK292" i="6" s="1"/>
  <c r="AD292" i="6"/>
  <c r="AE292" i="6" s="1"/>
  <c r="AF292" i="6" s="1"/>
  <c r="W292" i="6"/>
  <c r="X292" i="6" s="1"/>
  <c r="Y292" i="6" s="1"/>
  <c r="BQ291" i="6"/>
  <c r="BR291" i="6" s="1"/>
  <c r="BM291" i="6"/>
  <c r="BN291" i="6" s="1"/>
  <c r="BO291" i="6" s="1"/>
  <c r="BI291" i="6"/>
  <c r="BJ291" i="6" s="1"/>
  <c r="BK291" i="6" s="1"/>
  <c r="BE291" i="6"/>
  <c r="BA291" i="6"/>
  <c r="BB291" i="6" s="1"/>
  <c r="AW291" i="6"/>
  <c r="AX291" i="6" s="1"/>
  <c r="AY291" i="6" s="1"/>
  <c r="AM291" i="6"/>
  <c r="AI291" i="6"/>
  <c r="AJ291" i="6" s="1"/>
  <c r="AK291" i="6" s="1"/>
  <c r="AD291" i="6"/>
  <c r="AE291" i="6" s="1"/>
  <c r="AF291" i="6" s="1"/>
  <c r="W291" i="6"/>
  <c r="X291" i="6" s="1"/>
  <c r="Y291" i="6" s="1"/>
  <c r="BQ290" i="6"/>
  <c r="BR290" i="6" s="1"/>
  <c r="BM290" i="6"/>
  <c r="BN290" i="6" s="1"/>
  <c r="BO290" i="6" s="1"/>
  <c r="BI290" i="6"/>
  <c r="BJ290" i="6" s="1"/>
  <c r="BK290" i="6" s="1"/>
  <c r="BE290" i="6"/>
  <c r="BA290" i="6"/>
  <c r="BB290" i="6" s="1"/>
  <c r="AW290" i="6"/>
  <c r="AX290" i="6" s="1"/>
  <c r="AY290" i="6" s="1"/>
  <c r="AO290" i="6"/>
  <c r="AI290" i="6"/>
  <c r="AJ290" i="6" s="1"/>
  <c r="AK290" i="6" s="1"/>
  <c r="BQ289" i="6"/>
  <c r="BR289" i="6" s="1"/>
  <c r="BM289" i="6"/>
  <c r="BN289" i="6" s="1"/>
  <c r="BO289" i="6" s="1"/>
  <c r="BI289" i="6"/>
  <c r="BJ289" i="6" s="1"/>
  <c r="BK289" i="6" s="1"/>
  <c r="BE289" i="6"/>
  <c r="BA289" i="6"/>
  <c r="BB289" i="6" s="1"/>
  <c r="AW289" i="6"/>
  <c r="AX289" i="6" s="1"/>
  <c r="AY289" i="6" s="1"/>
  <c r="AM289" i="6"/>
  <c r="AI289" i="6"/>
  <c r="AJ289" i="6" s="1"/>
  <c r="AK289" i="6" s="1"/>
  <c r="AD289" i="6"/>
  <c r="AE289" i="6" s="1"/>
  <c r="AF289" i="6" s="1"/>
  <c r="W289" i="6"/>
  <c r="X289" i="6" s="1"/>
  <c r="Y289" i="6" s="1"/>
  <c r="BQ288" i="6"/>
  <c r="BR288" i="6" s="1"/>
  <c r="BM288" i="6"/>
  <c r="BN288" i="6" s="1"/>
  <c r="BO288" i="6" s="1"/>
  <c r="BI288" i="6"/>
  <c r="BJ288" i="6" s="1"/>
  <c r="BK288" i="6" s="1"/>
  <c r="BE288" i="6"/>
  <c r="BA288" i="6"/>
  <c r="BB288" i="6" s="1"/>
  <c r="AW288" i="6"/>
  <c r="AX288" i="6" s="1"/>
  <c r="AY288" i="6" s="1"/>
  <c r="AM288" i="6"/>
  <c r="AI288" i="6"/>
  <c r="AJ288" i="6" s="1"/>
  <c r="AK288" i="6" s="1"/>
  <c r="AD288" i="6"/>
  <c r="AE288" i="6" s="1"/>
  <c r="AF288" i="6" s="1"/>
  <c r="W288" i="6"/>
  <c r="X288" i="6" s="1"/>
  <c r="Y288" i="6" s="1"/>
  <c r="BQ287" i="6"/>
  <c r="BR287" i="6" s="1"/>
  <c r="BM287" i="6"/>
  <c r="BN287" i="6" s="1"/>
  <c r="BO287" i="6" s="1"/>
  <c r="BI287" i="6"/>
  <c r="BJ287" i="6" s="1"/>
  <c r="BK287" i="6" s="1"/>
  <c r="BE287" i="6"/>
  <c r="BA287" i="6"/>
  <c r="BB287" i="6" s="1"/>
  <c r="AW287" i="6"/>
  <c r="AX287" i="6" s="1"/>
  <c r="AY287" i="6" s="1"/>
  <c r="AO287" i="6"/>
  <c r="AI287" i="6"/>
  <c r="AJ287" i="6" s="1"/>
  <c r="AK287" i="6" s="1"/>
  <c r="AD287" i="6"/>
  <c r="AE287" i="6" s="1"/>
  <c r="AF287" i="6" s="1"/>
  <c r="W287" i="6"/>
  <c r="X287" i="6" s="1"/>
  <c r="Y287" i="6" s="1"/>
  <c r="BQ286" i="6"/>
  <c r="BR286" i="6" s="1"/>
  <c r="BM286" i="6"/>
  <c r="BN286" i="6" s="1"/>
  <c r="BO286" i="6" s="1"/>
  <c r="BI286" i="6"/>
  <c r="BJ286" i="6" s="1"/>
  <c r="BK286" i="6" s="1"/>
  <c r="BE286" i="6"/>
  <c r="BA286" i="6"/>
  <c r="BB286" i="6" s="1"/>
  <c r="AW286" i="6"/>
  <c r="AX286" i="6" s="1"/>
  <c r="AY286" i="6" s="1"/>
  <c r="AM286" i="6"/>
  <c r="AI286" i="6"/>
  <c r="AJ286" i="6" s="1"/>
  <c r="AK286" i="6" s="1"/>
  <c r="AD286" i="6"/>
  <c r="AE286" i="6" s="1"/>
  <c r="AF286" i="6" s="1"/>
  <c r="W286" i="6"/>
  <c r="X286" i="6" s="1"/>
  <c r="Y286" i="6" s="1"/>
  <c r="BQ285" i="6"/>
  <c r="BR285" i="6" s="1"/>
  <c r="BM285" i="6"/>
  <c r="BN285" i="6" s="1"/>
  <c r="BO285" i="6" s="1"/>
  <c r="BI285" i="6"/>
  <c r="BJ285" i="6" s="1"/>
  <c r="BK285" i="6" s="1"/>
  <c r="BE285" i="6"/>
  <c r="BA285" i="6"/>
  <c r="BB285" i="6" s="1"/>
  <c r="AW285" i="6"/>
  <c r="AX285" i="6" s="1"/>
  <c r="AY285" i="6" s="1"/>
  <c r="AO285" i="6"/>
  <c r="AI285" i="6"/>
  <c r="AJ285" i="6" s="1"/>
  <c r="AK285" i="6" s="1"/>
  <c r="AD285" i="6"/>
  <c r="AE285" i="6" s="1"/>
  <c r="AF285" i="6" s="1"/>
  <c r="W285" i="6"/>
  <c r="X285" i="6" s="1"/>
  <c r="Y285" i="6" s="1"/>
  <c r="BQ284" i="6"/>
  <c r="BR284" i="6" s="1"/>
  <c r="BM284" i="6"/>
  <c r="BN284" i="6" s="1"/>
  <c r="BO284" i="6" s="1"/>
  <c r="BI284" i="6"/>
  <c r="BJ284" i="6" s="1"/>
  <c r="BK284" i="6" s="1"/>
  <c r="BE284" i="6"/>
  <c r="BA284" i="6"/>
  <c r="BB284" i="6" s="1"/>
  <c r="AW284" i="6"/>
  <c r="AX284" i="6" s="1"/>
  <c r="AY284" i="6" s="1"/>
  <c r="AO284" i="6"/>
  <c r="AI284" i="6"/>
  <c r="AJ284" i="6" s="1"/>
  <c r="AK284" i="6" s="1"/>
  <c r="AD284" i="6"/>
  <c r="AE284" i="6" s="1"/>
  <c r="AF284" i="6" s="1"/>
  <c r="W284" i="6"/>
  <c r="X284" i="6" s="1"/>
  <c r="Y284" i="6" s="1"/>
  <c r="BQ283" i="6"/>
  <c r="BR283" i="6" s="1"/>
  <c r="BM283" i="6"/>
  <c r="BN283" i="6" s="1"/>
  <c r="BO283" i="6" s="1"/>
  <c r="BI283" i="6"/>
  <c r="BJ283" i="6" s="1"/>
  <c r="BK283" i="6" s="1"/>
  <c r="BE283" i="6"/>
  <c r="BA283" i="6"/>
  <c r="BB283" i="6" s="1"/>
  <c r="AW283" i="6"/>
  <c r="AX283" i="6" s="1"/>
  <c r="AY283" i="6" s="1"/>
  <c r="AM283" i="6"/>
  <c r="AI283" i="6"/>
  <c r="AJ283" i="6" s="1"/>
  <c r="AK283" i="6" s="1"/>
  <c r="AD283" i="6"/>
  <c r="AE283" i="6" s="1"/>
  <c r="AF283" i="6" s="1"/>
  <c r="W283" i="6"/>
  <c r="X283" i="6" s="1"/>
  <c r="Y283" i="6" s="1"/>
  <c r="BQ282" i="6"/>
  <c r="BR282" i="6" s="1"/>
  <c r="BM282" i="6"/>
  <c r="BN282" i="6" s="1"/>
  <c r="BO282" i="6" s="1"/>
  <c r="BI282" i="6"/>
  <c r="BJ282" i="6" s="1"/>
  <c r="BK282" i="6" s="1"/>
  <c r="BE282" i="6"/>
  <c r="BA282" i="6"/>
  <c r="BB282" i="6" s="1"/>
  <c r="AW282" i="6"/>
  <c r="AX282" i="6" s="1"/>
  <c r="AY282" i="6" s="1"/>
  <c r="AO282" i="6"/>
  <c r="AI282" i="6"/>
  <c r="AJ282" i="6" s="1"/>
  <c r="AK282" i="6" s="1"/>
  <c r="AD282" i="6"/>
  <c r="AE282" i="6" s="1"/>
  <c r="AF282" i="6" s="1"/>
  <c r="W282" i="6"/>
  <c r="X282" i="6" s="1"/>
  <c r="Y282" i="6" s="1"/>
  <c r="BQ281" i="6"/>
  <c r="BR281" i="6" s="1"/>
  <c r="BM281" i="6"/>
  <c r="BN281" i="6" s="1"/>
  <c r="BO281" i="6" s="1"/>
  <c r="BI281" i="6"/>
  <c r="BJ281" i="6" s="1"/>
  <c r="BK281" i="6" s="1"/>
  <c r="BE281" i="6"/>
  <c r="BA281" i="6"/>
  <c r="BB281" i="6" s="1"/>
  <c r="AW281" i="6"/>
  <c r="AX281" i="6" s="1"/>
  <c r="AY281" i="6" s="1"/>
  <c r="AM281" i="6"/>
  <c r="AI281" i="6"/>
  <c r="AJ281" i="6" s="1"/>
  <c r="AK281" i="6" s="1"/>
  <c r="AD281" i="6"/>
  <c r="AE281" i="6" s="1"/>
  <c r="AF281" i="6" s="1"/>
  <c r="W281" i="6"/>
  <c r="X281" i="6" s="1"/>
  <c r="Y281" i="6" s="1"/>
  <c r="BQ280" i="6"/>
  <c r="BR280" i="6" s="1"/>
  <c r="BM280" i="6"/>
  <c r="BN280" i="6" s="1"/>
  <c r="BO280" i="6" s="1"/>
  <c r="BI280" i="6"/>
  <c r="BJ280" i="6" s="1"/>
  <c r="BK280" i="6" s="1"/>
  <c r="BE280" i="6"/>
  <c r="BA280" i="6"/>
  <c r="BB280" i="6" s="1"/>
  <c r="AW280" i="6"/>
  <c r="AX280" i="6" s="1"/>
  <c r="AY280" i="6" s="1"/>
  <c r="AM280" i="6"/>
  <c r="AI280" i="6"/>
  <c r="AJ280" i="6" s="1"/>
  <c r="AK280" i="6" s="1"/>
  <c r="AD280" i="6"/>
  <c r="AE280" i="6" s="1"/>
  <c r="AF280" i="6" s="1"/>
  <c r="W280" i="6"/>
  <c r="X280" i="6" s="1"/>
  <c r="Y280" i="6" s="1"/>
  <c r="BQ279" i="6"/>
  <c r="BR279" i="6" s="1"/>
  <c r="BM279" i="6"/>
  <c r="BN279" i="6" s="1"/>
  <c r="BO279" i="6" s="1"/>
  <c r="BI279" i="6"/>
  <c r="BJ279" i="6" s="1"/>
  <c r="BK279" i="6" s="1"/>
  <c r="BE279" i="6"/>
  <c r="BA279" i="6"/>
  <c r="BB279" i="6" s="1"/>
  <c r="AW279" i="6"/>
  <c r="AX279" i="6" s="1"/>
  <c r="AY279" i="6" s="1"/>
  <c r="AO279" i="6"/>
  <c r="AI279" i="6"/>
  <c r="AJ279" i="6" s="1"/>
  <c r="AK279" i="6" s="1"/>
  <c r="AD279" i="6"/>
  <c r="AE279" i="6" s="1"/>
  <c r="AF279" i="6" s="1"/>
  <c r="W279" i="6"/>
  <c r="X279" i="6" s="1"/>
  <c r="Y279" i="6" s="1"/>
  <c r="BQ278" i="6"/>
  <c r="BR278" i="6" s="1"/>
  <c r="BM278" i="6"/>
  <c r="BN278" i="6" s="1"/>
  <c r="BO278" i="6" s="1"/>
  <c r="BI278" i="6"/>
  <c r="BJ278" i="6" s="1"/>
  <c r="BK278" i="6" s="1"/>
  <c r="BE278" i="6"/>
  <c r="BA278" i="6"/>
  <c r="BB278" i="6" s="1"/>
  <c r="AW278" i="6"/>
  <c r="AX278" i="6" s="1"/>
  <c r="AY278" i="6" s="1"/>
  <c r="AO278" i="6"/>
  <c r="AI278" i="6"/>
  <c r="AJ278" i="6" s="1"/>
  <c r="AK278" i="6" s="1"/>
  <c r="AD278" i="6"/>
  <c r="AE278" i="6" s="1"/>
  <c r="AF278" i="6" s="1"/>
  <c r="W278" i="6"/>
  <c r="X278" i="6" s="1"/>
  <c r="Y278" i="6" s="1"/>
  <c r="BQ277" i="6"/>
  <c r="BR277" i="6" s="1"/>
  <c r="BM277" i="6"/>
  <c r="BN277" i="6" s="1"/>
  <c r="BO277" i="6" s="1"/>
  <c r="BI277" i="6"/>
  <c r="BJ277" i="6" s="1"/>
  <c r="BK277" i="6" s="1"/>
  <c r="BE277" i="6"/>
  <c r="BA277" i="6"/>
  <c r="BB277" i="6" s="1"/>
  <c r="AW277" i="6"/>
  <c r="AX277" i="6" s="1"/>
  <c r="AY277" i="6" s="1"/>
  <c r="AM277" i="6"/>
  <c r="AI277" i="6"/>
  <c r="AJ277" i="6" s="1"/>
  <c r="AK277" i="6" s="1"/>
  <c r="AD277" i="6"/>
  <c r="AE277" i="6" s="1"/>
  <c r="AF277" i="6" s="1"/>
  <c r="W277" i="6"/>
  <c r="X277" i="6" s="1"/>
  <c r="Y277" i="6" s="1"/>
  <c r="BQ276" i="6"/>
  <c r="BR276" i="6" s="1"/>
  <c r="BM276" i="6"/>
  <c r="BN276" i="6" s="1"/>
  <c r="BO276" i="6" s="1"/>
  <c r="BI276" i="6"/>
  <c r="BJ276" i="6" s="1"/>
  <c r="BK276" i="6" s="1"/>
  <c r="BE276" i="6"/>
  <c r="BA276" i="6"/>
  <c r="BB276" i="6" s="1"/>
  <c r="AW276" i="6"/>
  <c r="AX276" i="6" s="1"/>
  <c r="AY276" i="6" s="1"/>
  <c r="AO276" i="6"/>
  <c r="AI276" i="6"/>
  <c r="AJ276" i="6" s="1"/>
  <c r="AK276" i="6" s="1"/>
  <c r="AD276" i="6"/>
  <c r="AE276" i="6" s="1"/>
  <c r="AF276" i="6" s="1"/>
  <c r="W276" i="6"/>
  <c r="X276" i="6" s="1"/>
  <c r="Y276" i="6" s="1"/>
  <c r="BQ275" i="6"/>
  <c r="BR275" i="6" s="1"/>
  <c r="BM275" i="6"/>
  <c r="BN275" i="6" s="1"/>
  <c r="BO275" i="6" s="1"/>
  <c r="BI275" i="6"/>
  <c r="BJ275" i="6" s="1"/>
  <c r="BK275" i="6" s="1"/>
  <c r="BE275" i="6"/>
  <c r="BA275" i="6"/>
  <c r="BB275" i="6" s="1"/>
  <c r="AW275" i="6"/>
  <c r="AX275" i="6" s="1"/>
  <c r="AY275" i="6" s="1"/>
  <c r="AM275" i="6"/>
  <c r="AI275" i="6"/>
  <c r="AJ275" i="6" s="1"/>
  <c r="AK275" i="6" s="1"/>
  <c r="AD275" i="6"/>
  <c r="AE275" i="6" s="1"/>
  <c r="AF275" i="6" s="1"/>
  <c r="W275" i="6"/>
  <c r="X275" i="6" s="1"/>
  <c r="Y275" i="6" s="1"/>
  <c r="BQ274" i="6"/>
  <c r="BR274" i="6" s="1"/>
  <c r="BM274" i="6"/>
  <c r="BN274" i="6" s="1"/>
  <c r="BO274" i="6" s="1"/>
  <c r="BI274" i="6"/>
  <c r="BJ274" i="6" s="1"/>
  <c r="BK274" i="6" s="1"/>
  <c r="BE274" i="6"/>
  <c r="BA274" i="6"/>
  <c r="BB274" i="6" s="1"/>
  <c r="AW274" i="6"/>
  <c r="AX274" i="6" s="1"/>
  <c r="AY274" i="6" s="1"/>
  <c r="AM274" i="6"/>
  <c r="AI274" i="6"/>
  <c r="AJ274" i="6" s="1"/>
  <c r="AK274" i="6" s="1"/>
  <c r="AD274" i="6"/>
  <c r="AE274" i="6" s="1"/>
  <c r="AF274" i="6" s="1"/>
  <c r="W274" i="6"/>
  <c r="X274" i="6" s="1"/>
  <c r="Y274" i="6" s="1"/>
  <c r="BQ273" i="6"/>
  <c r="BR273" i="6" s="1"/>
  <c r="BM273" i="6"/>
  <c r="BN273" i="6" s="1"/>
  <c r="BO273" i="6" s="1"/>
  <c r="BI273" i="6"/>
  <c r="BJ273" i="6" s="1"/>
  <c r="BK273" i="6" s="1"/>
  <c r="BE273" i="6"/>
  <c r="BA273" i="6"/>
  <c r="BB273" i="6" s="1"/>
  <c r="AW273" i="6"/>
  <c r="AX273" i="6" s="1"/>
  <c r="AY273" i="6" s="1"/>
  <c r="AM273" i="6"/>
  <c r="AI273" i="6"/>
  <c r="AJ273" i="6" s="1"/>
  <c r="AK273" i="6" s="1"/>
  <c r="AD273" i="6"/>
  <c r="AE273" i="6" s="1"/>
  <c r="AF273" i="6" s="1"/>
  <c r="W273" i="6"/>
  <c r="X273" i="6" s="1"/>
  <c r="Y273" i="6" s="1"/>
  <c r="BQ272" i="6"/>
  <c r="BR272" i="6" s="1"/>
  <c r="BM272" i="6"/>
  <c r="BN272" i="6" s="1"/>
  <c r="BO272" i="6" s="1"/>
  <c r="BI272" i="6"/>
  <c r="BJ272" i="6" s="1"/>
  <c r="BK272" i="6" s="1"/>
  <c r="BE272" i="6"/>
  <c r="BA272" i="6"/>
  <c r="BB272" i="6" s="1"/>
  <c r="AW272" i="6"/>
  <c r="AX272" i="6" s="1"/>
  <c r="AY272" i="6" s="1"/>
  <c r="AM272" i="6"/>
  <c r="AI272" i="6"/>
  <c r="AJ272" i="6" s="1"/>
  <c r="AK272" i="6" s="1"/>
  <c r="AD272" i="6"/>
  <c r="AE272" i="6" s="1"/>
  <c r="AF272" i="6" s="1"/>
  <c r="W272" i="6"/>
  <c r="X272" i="6" s="1"/>
  <c r="Y272" i="6" s="1"/>
  <c r="BQ271" i="6"/>
  <c r="BR271" i="6" s="1"/>
  <c r="BM271" i="6"/>
  <c r="BN271" i="6" s="1"/>
  <c r="BO271" i="6" s="1"/>
  <c r="BI271" i="6"/>
  <c r="BJ271" i="6" s="1"/>
  <c r="BK271" i="6" s="1"/>
  <c r="BE271" i="6"/>
  <c r="BA271" i="6"/>
  <c r="BB271" i="6" s="1"/>
  <c r="AW271" i="6"/>
  <c r="AX271" i="6" s="1"/>
  <c r="AY271" i="6" s="1"/>
  <c r="AM271" i="6"/>
  <c r="AI271" i="6"/>
  <c r="AJ271" i="6" s="1"/>
  <c r="AK271" i="6" s="1"/>
  <c r="AD271" i="6"/>
  <c r="AE271" i="6" s="1"/>
  <c r="AF271" i="6" s="1"/>
  <c r="W271" i="6"/>
  <c r="X271" i="6" s="1"/>
  <c r="Y271" i="6" s="1"/>
  <c r="BQ270" i="6"/>
  <c r="BR270" i="6" s="1"/>
  <c r="BM270" i="6"/>
  <c r="BN270" i="6" s="1"/>
  <c r="BO270" i="6" s="1"/>
  <c r="BI270" i="6"/>
  <c r="BJ270" i="6" s="1"/>
  <c r="BK270" i="6" s="1"/>
  <c r="BE270" i="6"/>
  <c r="BA270" i="6"/>
  <c r="BB270" i="6" s="1"/>
  <c r="AW270" i="6"/>
  <c r="AX270" i="6" s="1"/>
  <c r="AY270" i="6" s="1"/>
  <c r="AO270" i="6"/>
  <c r="AI270" i="6"/>
  <c r="AJ270" i="6" s="1"/>
  <c r="AK270" i="6" s="1"/>
  <c r="AD270" i="6"/>
  <c r="AE270" i="6" s="1"/>
  <c r="AF270" i="6" s="1"/>
  <c r="W270" i="6"/>
  <c r="X270" i="6" s="1"/>
  <c r="Y270" i="6" s="1"/>
  <c r="BQ269" i="6"/>
  <c r="BR269" i="6" s="1"/>
  <c r="BM269" i="6"/>
  <c r="BN269" i="6" s="1"/>
  <c r="BO269" i="6" s="1"/>
  <c r="BI269" i="6"/>
  <c r="BJ269" i="6" s="1"/>
  <c r="BK269" i="6" s="1"/>
  <c r="BE269" i="6"/>
  <c r="BA269" i="6"/>
  <c r="BB269" i="6" s="1"/>
  <c r="AW269" i="6"/>
  <c r="AX269" i="6" s="1"/>
  <c r="AY269" i="6" s="1"/>
  <c r="AM269" i="6"/>
  <c r="AI269" i="6"/>
  <c r="AJ269" i="6" s="1"/>
  <c r="AK269" i="6" s="1"/>
  <c r="AD269" i="6"/>
  <c r="AE269" i="6" s="1"/>
  <c r="AF269" i="6" s="1"/>
  <c r="W269" i="6"/>
  <c r="X269" i="6" s="1"/>
  <c r="Y269" i="6" s="1"/>
  <c r="BQ268" i="6"/>
  <c r="BR268" i="6" s="1"/>
  <c r="BM268" i="6"/>
  <c r="BN268" i="6" s="1"/>
  <c r="BO268" i="6" s="1"/>
  <c r="BI268" i="6"/>
  <c r="BJ268" i="6" s="1"/>
  <c r="BK268" i="6" s="1"/>
  <c r="BE268" i="6"/>
  <c r="BA268" i="6"/>
  <c r="BB268" i="6" s="1"/>
  <c r="AW268" i="6"/>
  <c r="AX268" i="6" s="1"/>
  <c r="AY268" i="6" s="1"/>
  <c r="AM268" i="6"/>
  <c r="AI268" i="6"/>
  <c r="AJ268" i="6" s="1"/>
  <c r="AK268" i="6" s="1"/>
  <c r="AD268" i="6"/>
  <c r="AE268" i="6" s="1"/>
  <c r="AF268" i="6" s="1"/>
  <c r="W268" i="6"/>
  <c r="X268" i="6" s="1"/>
  <c r="Y268" i="6" s="1"/>
  <c r="BQ267" i="6"/>
  <c r="BR267" i="6" s="1"/>
  <c r="BM267" i="6"/>
  <c r="BN267" i="6" s="1"/>
  <c r="BO267" i="6" s="1"/>
  <c r="BI267" i="6"/>
  <c r="BJ267" i="6" s="1"/>
  <c r="BK267" i="6" s="1"/>
  <c r="BE267" i="6"/>
  <c r="BA267" i="6"/>
  <c r="BB267" i="6" s="1"/>
  <c r="AW267" i="6"/>
  <c r="AX267" i="6" s="1"/>
  <c r="AY267" i="6" s="1"/>
  <c r="AM267" i="6"/>
  <c r="AI267" i="6"/>
  <c r="AJ267" i="6" s="1"/>
  <c r="AK267" i="6" s="1"/>
  <c r="AD267" i="6"/>
  <c r="AE267" i="6" s="1"/>
  <c r="AF267" i="6" s="1"/>
  <c r="W267" i="6"/>
  <c r="X267" i="6" s="1"/>
  <c r="Y267" i="6" s="1"/>
  <c r="BQ266" i="6"/>
  <c r="BR266" i="6" s="1"/>
  <c r="BM266" i="6"/>
  <c r="BN266" i="6" s="1"/>
  <c r="BO266" i="6" s="1"/>
  <c r="BI266" i="6"/>
  <c r="BJ266" i="6" s="1"/>
  <c r="BK266" i="6" s="1"/>
  <c r="BE266" i="6"/>
  <c r="BA266" i="6"/>
  <c r="BB266" i="6" s="1"/>
  <c r="AW266" i="6"/>
  <c r="AX266" i="6" s="1"/>
  <c r="AY266" i="6" s="1"/>
  <c r="AM266" i="6"/>
  <c r="AI266" i="6"/>
  <c r="AJ266" i="6" s="1"/>
  <c r="AK266" i="6" s="1"/>
  <c r="AD266" i="6"/>
  <c r="AE266" i="6" s="1"/>
  <c r="AF266" i="6" s="1"/>
  <c r="W266" i="6"/>
  <c r="X266" i="6" s="1"/>
  <c r="Y266" i="6" s="1"/>
  <c r="BQ265" i="6"/>
  <c r="BR265" i="6" s="1"/>
  <c r="BM265" i="6"/>
  <c r="BN265" i="6" s="1"/>
  <c r="BO265" i="6" s="1"/>
  <c r="BI265" i="6"/>
  <c r="BJ265" i="6" s="1"/>
  <c r="BK265" i="6" s="1"/>
  <c r="BE265" i="6"/>
  <c r="BA265" i="6"/>
  <c r="BB265" i="6" s="1"/>
  <c r="AW265" i="6"/>
  <c r="AX265" i="6" s="1"/>
  <c r="AY265" i="6" s="1"/>
  <c r="AM265" i="6"/>
  <c r="AI265" i="6"/>
  <c r="AJ265" i="6" s="1"/>
  <c r="AK265" i="6" s="1"/>
  <c r="AD265" i="6"/>
  <c r="AE265" i="6" s="1"/>
  <c r="AF265" i="6" s="1"/>
  <c r="W265" i="6"/>
  <c r="X265" i="6" s="1"/>
  <c r="Y265" i="6" s="1"/>
  <c r="BQ264" i="6"/>
  <c r="BR264" i="6" s="1"/>
  <c r="BM264" i="6"/>
  <c r="BN264" i="6" s="1"/>
  <c r="BO264" i="6" s="1"/>
  <c r="BI264" i="6"/>
  <c r="BJ264" i="6" s="1"/>
  <c r="BK264" i="6" s="1"/>
  <c r="BE264" i="6"/>
  <c r="BA264" i="6"/>
  <c r="BB264" i="6" s="1"/>
  <c r="AW264" i="6"/>
  <c r="AX264" i="6" s="1"/>
  <c r="AY264" i="6" s="1"/>
  <c r="AM264" i="6"/>
  <c r="AI264" i="6"/>
  <c r="AJ264" i="6" s="1"/>
  <c r="AK264" i="6" s="1"/>
  <c r="AD264" i="6"/>
  <c r="AE264" i="6" s="1"/>
  <c r="AF264" i="6" s="1"/>
  <c r="W264" i="6"/>
  <c r="X264" i="6" s="1"/>
  <c r="Y264" i="6" s="1"/>
  <c r="BQ263" i="6"/>
  <c r="BR263" i="6" s="1"/>
  <c r="BM263" i="6"/>
  <c r="BN263" i="6" s="1"/>
  <c r="BO263" i="6" s="1"/>
  <c r="BI263" i="6"/>
  <c r="BJ263" i="6" s="1"/>
  <c r="BK263" i="6" s="1"/>
  <c r="BE263" i="6"/>
  <c r="BA263" i="6"/>
  <c r="BB263" i="6" s="1"/>
  <c r="AW263" i="6"/>
  <c r="AX263" i="6" s="1"/>
  <c r="AY263" i="6" s="1"/>
  <c r="AO263" i="6"/>
  <c r="AI263" i="6"/>
  <c r="AJ263" i="6" s="1"/>
  <c r="AK263" i="6" s="1"/>
  <c r="AD263" i="6"/>
  <c r="AE263" i="6" s="1"/>
  <c r="AF263" i="6" s="1"/>
  <c r="W263" i="6"/>
  <c r="X263" i="6" s="1"/>
  <c r="Y263" i="6" s="1"/>
  <c r="BQ262" i="6"/>
  <c r="BR262" i="6" s="1"/>
  <c r="BM262" i="6"/>
  <c r="BN262" i="6" s="1"/>
  <c r="BO262" i="6" s="1"/>
  <c r="BI262" i="6"/>
  <c r="BJ262" i="6" s="1"/>
  <c r="BK262" i="6" s="1"/>
  <c r="BE262" i="6"/>
  <c r="BA262" i="6"/>
  <c r="BB262" i="6" s="1"/>
  <c r="AW262" i="6"/>
  <c r="AX262" i="6" s="1"/>
  <c r="AY262" i="6" s="1"/>
  <c r="AO262" i="6"/>
  <c r="AI262" i="6"/>
  <c r="AJ262" i="6" s="1"/>
  <c r="AK262" i="6" s="1"/>
  <c r="AD262" i="6"/>
  <c r="AE262" i="6" s="1"/>
  <c r="AF262" i="6" s="1"/>
  <c r="W262" i="6"/>
  <c r="X262" i="6" s="1"/>
  <c r="Y262" i="6" s="1"/>
  <c r="BQ261" i="6"/>
  <c r="BR261" i="6" s="1"/>
  <c r="BM261" i="6"/>
  <c r="BN261" i="6" s="1"/>
  <c r="BO261" i="6" s="1"/>
  <c r="BI261" i="6"/>
  <c r="BJ261" i="6" s="1"/>
  <c r="BK261" i="6" s="1"/>
  <c r="BE261" i="6"/>
  <c r="BA261" i="6"/>
  <c r="BB261" i="6" s="1"/>
  <c r="AW261" i="6"/>
  <c r="AX261" i="6" s="1"/>
  <c r="AY261" i="6" s="1"/>
  <c r="AO261" i="6"/>
  <c r="AI261" i="6"/>
  <c r="AJ261" i="6" s="1"/>
  <c r="AK261" i="6" s="1"/>
  <c r="AD261" i="6"/>
  <c r="AE261" i="6" s="1"/>
  <c r="AF261" i="6" s="1"/>
  <c r="W261" i="6"/>
  <c r="X261" i="6" s="1"/>
  <c r="Y261" i="6" s="1"/>
  <c r="BQ260" i="6"/>
  <c r="BR260" i="6" s="1"/>
  <c r="BM260" i="6"/>
  <c r="BN260" i="6" s="1"/>
  <c r="BO260" i="6" s="1"/>
  <c r="BI260" i="6"/>
  <c r="BJ260" i="6" s="1"/>
  <c r="BK260" i="6" s="1"/>
  <c r="BE260" i="6"/>
  <c r="BA260" i="6"/>
  <c r="BB260" i="6" s="1"/>
  <c r="AW260" i="6"/>
  <c r="AX260" i="6" s="1"/>
  <c r="AY260" i="6" s="1"/>
  <c r="AM260" i="6"/>
  <c r="AI260" i="6"/>
  <c r="AJ260" i="6" s="1"/>
  <c r="AK260" i="6" s="1"/>
  <c r="AD260" i="6"/>
  <c r="AE260" i="6" s="1"/>
  <c r="AF260" i="6" s="1"/>
  <c r="W260" i="6"/>
  <c r="X260" i="6" s="1"/>
  <c r="Y260" i="6" s="1"/>
  <c r="BQ259" i="6"/>
  <c r="BR259" i="6" s="1"/>
  <c r="BM259" i="6"/>
  <c r="BN259" i="6" s="1"/>
  <c r="BO259" i="6" s="1"/>
  <c r="BI259" i="6"/>
  <c r="BJ259" i="6" s="1"/>
  <c r="BK259" i="6" s="1"/>
  <c r="BE259" i="6"/>
  <c r="BA259" i="6"/>
  <c r="BB259" i="6" s="1"/>
  <c r="AW259" i="6"/>
  <c r="AX259" i="6" s="1"/>
  <c r="AY259" i="6" s="1"/>
  <c r="AO259" i="6"/>
  <c r="AI259" i="6"/>
  <c r="AJ259" i="6" s="1"/>
  <c r="AK259" i="6" s="1"/>
  <c r="AD259" i="6"/>
  <c r="AE259" i="6" s="1"/>
  <c r="AF259" i="6" s="1"/>
  <c r="W259" i="6"/>
  <c r="X259" i="6" s="1"/>
  <c r="Y259" i="6" s="1"/>
  <c r="BQ258" i="6"/>
  <c r="BR258" i="6" s="1"/>
  <c r="BM258" i="6"/>
  <c r="BN258" i="6" s="1"/>
  <c r="BO258" i="6" s="1"/>
  <c r="BI258" i="6"/>
  <c r="BJ258" i="6" s="1"/>
  <c r="BK258" i="6" s="1"/>
  <c r="BE258" i="6"/>
  <c r="BA258" i="6"/>
  <c r="BB258" i="6" s="1"/>
  <c r="AW258" i="6"/>
  <c r="AX258" i="6" s="1"/>
  <c r="AY258" i="6" s="1"/>
  <c r="AM258" i="6"/>
  <c r="AI258" i="6"/>
  <c r="AJ258" i="6" s="1"/>
  <c r="AK258" i="6" s="1"/>
  <c r="AD258" i="6"/>
  <c r="AE258" i="6" s="1"/>
  <c r="AF258" i="6" s="1"/>
  <c r="W258" i="6"/>
  <c r="X258" i="6" s="1"/>
  <c r="Y258" i="6" s="1"/>
  <c r="BQ257" i="6"/>
  <c r="BR257" i="6" s="1"/>
  <c r="BM257" i="6"/>
  <c r="BN257" i="6" s="1"/>
  <c r="BO257" i="6" s="1"/>
  <c r="BI257" i="6"/>
  <c r="BJ257" i="6" s="1"/>
  <c r="BK257" i="6" s="1"/>
  <c r="BE257" i="6"/>
  <c r="BA257" i="6"/>
  <c r="BB257" i="6" s="1"/>
  <c r="AW257" i="6"/>
  <c r="AX257" i="6" s="1"/>
  <c r="AY257" i="6" s="1"/>
  <c r="AM257" i="6"/>
  <c r="AI257" i="6"/>
  <c r="AJ257" i="6" s="1"/>
  <c r="AK257" i="6" s="1"/>
  <c r="AD257" i="6"/>
  <c r="AE257" i="6" s="1"/>
  <c r="AF257" i="6" s="1"/>
  <c r="W257" i="6"/>
  <c r="X257" i="6" s="1"/>
  <c r="Y257" i="6" s="1"/>
  <c r="BQ256" i="6"/>
  <c r="BR256" i="6" s="1"/>
  <c r="BM256" i="6"/>
  <c r="BN256" i="6" s="1"/>
  <c r="BO256" i="6" s="1"/>
  <c r="BI256" i="6"/>
  <c r="BJ256" i="6" s="1"/>
  <c r="BK256" i="6" s="1"/>
  <c r="BE256" i="6"/>
  <c r="BA256" i="6"/>
  <c r="BB256" i="6" s="1"/>
  <c r="AW256" i="6"/>
  <c r="AX256" i="6" s="1"/>
  <c r="AY256" i="6" s="1"/>
  <c r="AO256" i="6"/>
  <c r="AI256" i="6"/>
  <c r="AJ256" i="6" s="1"/>
  <c r="AK256" i="6" s="1"/>
  <c r="AD256" i="6"/>
  <c r="AE256" i="6" s="1"/>
  <c r="AF256" i="6" s="1"/>
  <c r="W256" i="6"/>
  <c r="X256" i="6" s="1"/>
  <c r="Y256" i="6" s="1"/>
  <c r="BQ255" i="6"/>
  <c r="BR255" i="6" s="1"/>
  <c r="BM255" i="6"/>
  <c r="BN255" i="6" s="1"/>
  <c r="BO255" i="6" s="1"/>
  <c r="BI255" i="6"/>
  <c r="BJ255" i="6" s="1"/>
  <c r="BK255" i="6" s="1"/>
  <c r="BE255" i="6"/>
  <c r="BA255" i="6"/>
  <c r="BB255" i="6" s="1"/>
  <c r="AW255" i="6"/>
  <c r="AX255" i="6" s="1"/>
  <c r="AY255" i="6" s="1"/>
  <c r="AM255" i="6"/>
  <c r="AI255" i="6"/>
  <c r="AJ255" i="6" s="1"/>
  <c r="AK255" i="6" s="1"/>
  <c r="AD255" i="6"/>
  <c r="AE255" i="6" s="1"/>
  <c r="AF255" i="6" s="1"/>
  <c r="W255" i="6"/>
  <c r="X255" i="6" s="1"/>
  <c r="Y255" i="6" s="1"/>
  <c r="BQ254" i="6"/>
  <c r="BR254" i="6" s="1"/>
  <c r="BM254" i="6"/>
  <c r="BN254" i="6" s="1"/>
  <c r="BO254" i="6" s="1"/>
  <c r="BI254" i="6"/>
  <c r="BJ254" i="6" s="1"/>
  <c r="BK254" i="6" s="1"/>
  <c r="BE254" i="6"/>
  <c r="BA254" i="6"/>
  <c r="BB254" i="6" s="1"/>
  <c r="AW254" i="6"/>
  <c r="AX254" i="6" s="1"/>
  <c r="AY254" i="6" s="1"/>
  <c r="AO254" i="6"/>
  <c r="AI254" i="6"/>
  <c r="AJ254" i="6" s="1"/>
  <c r="AK254" i="6" s="1"/>
  <c r="AD254" i="6"/>
  <c r="AE254" i="6" s="1"/>
  <c r="AF254" i="6" s="1"/>
  <c r="W254" i="6"/>
  <c r="X254" i="6" s="1"/>
  <c r="Y254" i="6" s="1"/>
  <c r="BQ253" i="6"/>
  <c r="BR253" i="6" s="1"/>
  <c r="BM253" i="6"/>
  <c r="BN253" i="6" s="1"/>
  <c r="BO253" i="6" s="1"/>
  <c r="BI253" i="6"/>
  <c r="BJ253" i="6" s="1"/>
  <c r="BK253" i="6" s="1"/>
  <c r="BE253" i="6"/>
  <c r="BA253" i="6"/>
  <c r="BB253" i="6" s="1"/>
  <c r="AW253" i="6"/>
  <c r="AX253" i="6" s="1"/>
  <c r="AY253" i="6" s="1"/>
  <c r="AM253" i="6"/>
  <c r="AI253" i="6"/>
  <c r="AJ253" i="6" s="1"/>
  <c r="AK253" i="6" s="1"/>
  <c r="AD253" i="6"/>
  <c r="AE253" i="6" s="1"/>
  <c r="AF253" i="6" s="1"/>
  <c r="W253" i="6"/>
  <c r="X253" i="6" s="1"/>
  <c r="Y253" i="6" s="1"/>
  <c r="BQ252" i="6"/>
  <c r="BR252" i="6" s="1"/>
  <c r="BM252" i="6"/>
  <c r="BN252" i="6" s="1"/>
  <c r="BO252" i="6" s="1"/>
  <c r="BI252" i="6"/>
  <c r="BJ252" i="6" s="1"/>
  <c r="BK252" i="6" s="1"/>
  <c r="BE252" i="6"/>
  <c r="BA252" i="6"/>
  <c r="BB252" i="6" s="1"/>
  <c r="AW252" i="6"/>
  <c r="AX252" i="6" s="1"/>
  <c r="AY252" i="6" s="1"/>
  <c r="AO252" i="6"/>
  <c r="AI252" i="6"/>
  <c r="AJ252" i="6" s="1"/>
  <c r="AK252" i="6" s="1"/>
  <c r="BQ251" i="6"/>
  <c r="BR251" i="6" s="1"/>
  <c r="BM251" i="6"/>
  <c r="BN251" i="6" s="1"/>
  <c r="BO251" i="6" s="1"/>
  <c r="BI251" i="6"/>
  <c r="BJ251" i="6" s="1"/>
  <c r="BK251" i="6" s="1"/>
  <c r="BE251" i="6"/>
  <c r="BA251" i="6"/>
  <c r="BB251" i="6" s="1"/>
  <c r="AW251" i="6"/>
  <c r="AX251" i="6" s="1"/>
  <c r="AY251" i="6" s="1"/>
  <c r="AO251" i="6"/>
  <c r="AI251" i="6"/>
  <c r="AJ251" i="6" s="1"/>
  <c r="AK251" i="6" s="1"/>
  <c r="AD251" i="6"/>
  <c r="AE251" i="6" s="1"/>
  <c r="AF251" i="6" s="1"/>
  <c r="W251" i="6"/>
  <c r="X251" i="6" s="1"/>
  <c r="Y251" i="6" s="1"/>
  <c r="BQ250" i="6"/>
  <c r="BR250" i="6" s="1"/>
  <c r="BM250" i="6"/>
  <c r="BN250" i="6" s="1"/>
  <c r="BO250" i="6" s="1"/>
  <c r="BI250" i="6"/>
  <c r="BJ250" i="6" s="1"/>
  <c r="BK250" i="6" s="1"/>
  <c r="BE250" i="6"/>
  <c r="BA250" i="6"/>
  <c r="BB250" i="6" s="1"/>
  <c r="AW250" i="6"/>
  <c r="AX250" i="6" s="1"/>
  <c r="AY250" i="6" s="1"/>
  <c r="AM250" i="6"/>
  <c r="AI250" i="6"/>
  <c r="AJ250" i="6" s="1"/>
  <c r="AK250" i="6" s="1"/>
  <c r="AD250" i="6"/>
  <c r="AE250" i="6" s="1"/>
  <c r="AF250" i="6" s="1"/>
  <c r="W250" i="6"/>
  <c r="X250" i="6" s="1"/>
  <c r="Y250" i="6" s="1"/>
  <c r="BQ249" i="6"/>
  <c r="BR249" i="6" s="1"/>
  <c r="BM249" i="6"/>
  <c r="BN249" i="6" s="1"/>
  <c r="BO249" i="6" s="1"/>
  <c r="BI249" i="6"/>
  <c r="BJ249" i="6" s="1"/>
  <c r="BK249" i="6" s="1"/>
  <c r="BE249" i="6"/>
  <c r="BA249" i="6"/>
  <c r="BB249" i="6" s="1"/>
  <c r="AW249" i="6"/>
  <c r="AX249" i="6" s="1"/>
  <c r="AY249" i="6" s="1"/>
  <c r="AO249" i="6"/>
  <c r="AI249" i="6"/>
  <c r="AJ249" i="6" s="1"/>
  <c r="AK249" i="6" s="1"/>
  <c r="AD249" i="6"/>
  <c r="AE249" i="6" s="1"/>
  <c r="AF249" i="6" s="1"/>
  <c r="W249" i="6"/>
  <c r="X249" i="6" s="1"/>
  <c r="Y249" i="6" s="1"/>
  <c r="BQ248" i="6"/>
  <c r="BR248" i="6" s="1"/>
  <c r="BM248" i="6"/>
  <c r="BN248" i="6" s="1"/>
  <c r="BO248" i="6" s="1"/>
  <c r="BI248" i="6"/>
  <c r="BJ248" i="6" s="1"/>
  <c r="BK248" i="6" s="1"/>
  <c r="BE248" i="6"/>
  <c r="BA248" i="6"/>
  <c r="BB248" i="6" s="1"/>
  <c r="AW248" i="6"/>
  <c r="AX248" i="6" s="1"/>
  <c r="AY248" i="6" s="1"/>
  <c r="AM248" i="6"/>
  <c r="AI248" i="6"/>
  <c r="AJ248" i="6" s="1"/>
  <c r="AK248" i="6" s="1"/>
  <c r="AD248" i="6"/>
  <c r="AE248" i="6" s="1"/>
  <c r="AF248" i="6" s="1"/>
  <c r="W248" i="6"/>
  <c r="X248" i="6" s="1"/>
  <c r="Y248" i="6" s="1"/>
  <c r="BQ247" i="6"/>
  <c r="BR247" i="6" s="1"/>
  <c r="BM247" i="6"/>
  <c r="BN247" i="6" s="1"/>
  <c r="BO247" i="6" s="1"/>
  <c r="BI247" i="6"/>
  <c r="BJ247" i="6" s="1"/>
  <c r="BK247" i="6" s="1"/>
  <c r="BE247" i="6"/>
  <c r="BA247" i="6"/>
  <c r="BB247" i="6" s="1"/>
  <c r="AW247" i="6"/>
  <c r="AX247" i="6" s="1"/>
  <c r="AY247" i="6" s="1"/>
  <c r="AM247" i="6"/>
  <c r="AI247" i="6"/>
  <c r="AJ247" i="6" s="1"/>
  <c r="AK247" i="6" s="1"/>
  <c r="AD247" i="6"/>
  <c r="AE247" i="6" s="1"/>
  <c r="AF247" i="6" s="1"/>
  <c r="W247" i="6"/>
  <c r="X247" i="6" s="1"/>
  <c r="Y247" i="6" s="1"/>
  <c r="BQ246" i="6"/>
  <c r="BR246" i="6" s="1"/>
  <c r="BM246" i="6"/>
  <c r="BN246" i="6" s="1"/>
  <c r="BO246" i="6" s="1"/>
  <c r="BI246" i="6"/>
  <c r="BJ246" i="6" s="1"/>
  <c r="BK246" i="6" s="1"/>
  <c r="BE246" i="6"/>
  <c r="BA246" i="6"/>
  <c r="BB246" i="6" s="1"/>
  <c r="AW246" i="6"/>
  <c r="AX246" i="6" s="1"/>
  <c r="AY246" i="6" s="1"/>
  <c r="AO246" i="6"/>
  <c r="AI246" i="6"/>
  <c r="AJ246" i="6" s="1"/>
  <c r="AK246" i="6" s="1"/>
  <c r="BQ245" i="6"/>
  <c r="BR245" i="6" s="1"/>
  <c r="BM245" i="6"/>
  <c r="BN245" i="6" s="1"/>
  <c r="BO245" i="6" s="1"/>
  <c r="BI245" i="6"/>
  <c r="BJ245" i="6" s="1"/>
  <c r="BK245" i="6" s="1"/>
  <c r="BE245" i="6"/>
  <c r="BA245" i="6"/>
  <c r="BB245" i="6" s="1"/>
  <c r="AW245" i="6"/>
  <c r="AX245" i="6" s="1"/>
  <c r="AY245" i="6" s="1"/>
  <c r="AM245" i="6"/>
  <c r="AI245" i="6"/>
  <c r="AJ245" i="6" s="1"/>
  <c r="AK245" i="6" s="1"/>
  <c r="AD245" i="6"/>
  <c r="AE245" i="6" s="1"/>
  <c r="AF245" i="6" s="1"/>
  <c r="W245" i="6"/>
  <c r="X245" i="6" s="1"/>
  <c r="Y245" i="6" s="1"/>
  <c r="BQ244" i="6"/>
  <c r="BR244" i="6" s="1"/>
  <c r="BM244" i="6"/>
  <c r="BN244" i="6" s="1"/>
  <c r="BO244" i="6" s="1"/>
  <c r="BI244" i="6"/>
  <c r="BJ244" i="6" s="1"/>
  <c r="BK244" i="6" s="1"/>
  <c r="BE244" i="6"/>
  <c r="BA244" i="6"/>
  <c r="BB244" i="6" s="1"/>
  <c r="AW244" i="6"/>
  <c r="AX244" i="6" s="1"/>
  <c r="AY244" i="6" s="1"/>
  <c r="AM244" i="6"/>
  <c r="AI244" i="6"/>
  <c r="AJ244" i="6" s="1"/>
  <c r="AK244" i="6" s="1"/>
  <c r="AD244" i="6"/>
  <c r="AE244" i="6" s="1"/>
  <c r="AF244" i="6" s="1"/>
  <c r="W244" i="6"/>
  <c r="X244" i="6" s="1"/>
  <c r="Y244" i="6" s="1"/>
  <c r="BQ243" i="6"/>
  <c r="BR243" i="6" s="1"/>
  <c r="BM243" i="6"/>
  <c r="BN243" i="6" s="1"/>
  <c r="BO243" i="6" s="1"/>
  <c r="BI243" i="6"/>
  <c r="BJ243" i="6" s="1"/>
  <c r="BK243" i="6" s="1"/>
  <c r="BE243" i="6"/>
  <c r="BA243" i="6"/>
  <c r="BB243" i="6" s="1"/>
  <c r="AW243" i="6"/>
  <c r="AX243" i="6" s="1"/>
  <c r="AY243" i="6" s="1"/>
  <c r="AO243" i="6"/>
  <c r="AI243" i="6"/>
  <c r="AJ243" i="6" s="1"/>
  <c r="AK243" i="6" s="1"/>
  <c r="AD243" i="6"/>
  <c r="AE243" i="6" s="1"/>
  <c r="AF243" i="6" s="1"/>
  <c r="W243" i="6"/>
  <c r="X243" i="6" s="1"/>
  <c r="Y243" i="6" s="1"/>
  <c r="BQ242" i="6"/>
  <c r="BR242" i="6" s="1"/>
  <c r="BM242" i="6"/>
  <c r="BN242" i="6" s="1"/>
  <c r="BO242" i="6" s="1"/>
  <c r="BI242" i="6"/>
  <c r="BJ242" i="6" s="1"/>
  <c r="BK242" i="6" s="1"/>
  <c r="BE242" i="6"/>
  <c r="BA242" i="6"/>
  <c r="BB242" i="6" s="1"/>
  <c r="AW242" i="6"/>
  <c r="AX242" i="6" s="1"/>
  <c r="AY242" i="6" s="1"/>
  <c r="AO242" i="6"/>
  <c r="AI242" i="6"/>
  <c r="AJ242" i="6" s="1"/>
  <c r="AK242" i="6" s="1"/>
  <c r="AD242" i="6"/>
  <c r="AE242" i="6" s="1"/>
  <c r="AF242" i="6" s="1"/>
  <c r="W242" i="6"/>
  <c r="X242" i="6" s="1"/>
  <c r="Y242" i="6" s="1"/>
  <c r="BQ241" i="6"/>
  <c r="BR241" i="6" s="1"/>
  <c r="BM241" i="6"/>
  <c r="BN241" i="6" s="1"/>
  <c r="BO241" i="6" s="1"/>
  <c r="BI241" i="6"/>
  <c r="BJ241" i="6" s="1"/>
  <c r="BK241" i="6" s="1"/>
  <c r="BE241" i="6"/>
  <c r="BA241" i="6"/>
  <c r="BB241" i="6" s="1"/>
  <c r="AW241" i="6"/>
  <c r="AX241" i="6" s="1"/>
  <c r="AY241" i="6" s="1"/>
  <c r="AO241" i="6"/>
  <c r="AI241" i="6"/>
  <c r="AJ241" i="6" s="1"/>
  <c r="AK241" i="6" s="1"/>
  <c r="AD241" i="6"/>
  <c r="AE241" i="6" s="1"/>
  <c r="AF241" i="6" s="1"/>
  <c r="W241" i="6"/>
  <c r="X241" i="6" s="1"/>
  <c r="Y241" i="6" s="1"/>
  <c r="BQ240" i="6"/>
  <c r="BR240" i="6" s="1"/>
  <c r="BM240" i="6"/>
  <c r="BN240" i="6" s="1"/>
  <c r="BO240" i="6" s="1"/>
  <c r="BI240" i="6"/>
  <c r="BJ240" i="6" s="1"/>
  <c r="BK240" i="6" s="1"/>
  <c r="BE240" i="6"/>
  <c r="BA240" i="6"/>
  <c r="BB240" i="6" s="1"/>
  <c r="AW240" i="6"/>
  <c r="AX240" i="6" s="1"/>
  <c r="AY240" i="6" s="1"/>
  <c r="AM240" i="6"/>
  <c r="AI240" i="6"/>
  <c r="AJ240" i="6" s="1"/>
  <c r="AK240" i="6" s="1"/>
  <c r="AD240" i="6"/>
  <c r="AE240" i="6" s="1"/>
  <c r="AF240" i="6" s="1"/>
  <c r="W240" i="6"/>
  <c r="X240" i="6" s="1"/>
  <c r="Y240" i="6" s="1"/>
  <c r="BQ239" i="6"/>
  <c r="BR239" i="6" s="1"/>
  <c r="BM239" i="6"/>
  <c r="BN239" i="6" s="1"/>
  <c r="BO239" i="6" s="1"/>
  <c r="BI239" i="6"/>
  <c r="BJ239" i="6" s="1"/>
  <c r="BK239" i="6" s="1"/>
  <c r="BE239" i="6"/>
  <c r="BA239" i="6"/>
  <c r="BB239" i="6" s="1"/>
  <c r="AW239" i="6"/>
  <c r="AX239" i="6" s="1"/>
  <c r="AY239" i="6" s="1"/>
  <c r="AO239" i="6"/>
  <c r="AI239" i="6"/>
  <c r="AJ239" i="6" s="1"/>
  <c r="AK239" i="6" s="1"/>
  <c r="AD239" i="6"/>
  <c r="AE239" i="6" s="1"/>
  <c r="AF239" i="6" s="1"/>
  <c r="W239" i="6"/>
  <c r="X239" i="6" s="1"/>
  <c r="Y239" i="6" s="1"/>
  <c r="BQ238" i="6"/>
  <c r="BR238" i="6" s="1"/>
  <c r="BM238" i="6"/>
  <c r="BN238" i="6" s="1"/>
  <c r="BO238" i="6" s="1"/>
  <c r="BI238" i="6"/>
  <c r="BJ238" i="6" s="1"/>
  <c r="BK238" i="6" s="1"/>
  <c r="BE238" i="6"/>
  <c r="BA238" i="6"/>
  <c r="BB238" i="6" s="1"/>
  <c r="AW238" i="6"/>
  <c r="AX238" i="6" s="1"/>
  <c r="AY238" i="6" s="1"/>
  <c r="AO238" i="6"/>
  <c r="AI238" i="6"/>
  <c r="AJ238" i="6" s="1"/>
  <c r="AK238" i="6" s="1"/>
  <c r="AD238" i="6"/>
  <c r="AE238" i="6" s="1"/>
  <c r="AF238" i="6" s="1"/>
  <c r="W238" i="6"/>
  <c r="X238" i="6" s="1"/>
  <c r="Y238" i="6" s="1"/>
  <c r="BQ237" i="6"/>
  <c r="BR237" i="6" s="1"/>
  <c r="BM237" i="6"/>
  <c r="BN237" i="6" s="1"/>
  <c r="BO237" i="6" s="1"/>
  <c r="BI237" i="6"/>
  <c r="BJ237" i="6" s="1"/>
  <c r="BK237" i="6" s="1"/>
  <c r="BE237" i="6"/>
  <c r="BA237" i="6"/>
  <c r="BB237" i="6" s="1"/>
  <c r="AW237" i="6"/>
  <c r="AX237" i="6" s="1"/>
  <c r="AY237" i="6" s="1"/>
  <c r="AM237" i="6"/>
  <c r="AI237" i="6"/>
  <c r="AJ237" i="6" s="1"/>
  <c r="AK237" i="6" s="1"/>
  <c r="AD237" i="6"/>
  <c r="AE237" i="6" s="1"/>
  <c r="AF237" i="6" s="1"/>
  <c r="W237" i="6"/>
  <c r="X237" i="6" s="1"/>
  <c r="Y237" i="6" s="1"/>
  <c r="BQ236" i="6"/>
  <c r="BR236" i="6" s="1"/>
  <c r="BM236" i="6"/>
  <c r="BN236" i="6" s="1"/>
  <c r="BO236" i="6" s="1"/>
  <c r="BI236" i="6"/>
  <c r="BJ236" i="6" s="1"/>
  <c r="BK236" i="6" s="1"/>
  <c r="BE236" i="6"/>
  <c r="BA236" i="6"/>
  <c r="BB236" i="6" s="1"/>
  <c r="AW236" i="6"/>
  <c r="AX236" i="6" s="1"/>
  <c r="AY236" i="6" s="1"/>
  <c r="AO236" i="6"/>
  <c r="AI236" i="6"/>
  <c r="AJ236" i="6" s="1"/>
  <c r="AK236" i="6" s="1"/>
  <c r="BQ235" i="6"/>
  <c r="BR235" i="6" s="1"/>
  <c r="BM235" i="6"/>
  <c r="BN235" i="6" s="1"/>
  <c r="BO235" i="6" s="1"/>
  <c r="BI235" i="6"/>
  <c r="BJ235" i="6" s="1"/>
  <c r="BK235" i="6" s="1"/>
  <c r="BE235" i="6"/>
  <c r="BA235" i="6"/>
  <c r="BB235" i="6" s="1"/>
  <c r="AW235" i="6"/>
  <c r="AX235" i="6" s="1"/>
  <c r="AY235" i="6" s="1"/>
  <c r="AM235" i="6"/>
  <c r="AI235" i="6"/>
  <c r="AJ235" i="6" s="1"/>
  <c r="AK235" i="6" s="1"/>
  <c r="AD235" i="6"/>
  <c r="AE235" i="6" s="1"/>
  <c r="AF235" i="6" s="1"/>
  <c r="W235" i="6"/>
  <c r="X235" i="6" s="1"/>
  <c r="Y235" i="6" s="1"/>
  <c r="BQ234" i="6"/>
  <c r="BR234" i="6" s="1"/>
  <c r="BM234" i="6"/>
  <c r="BN234" i="6" s="1"/>
  <c r="BO234" i="6" s="1"/>
  <c r="BI234" i="6"/>
  <c r="BJ234" i="6" s="1"/>
  <c r="BK234" i="6" s="1"/>
  <c r="BE234" i="6"/>
  <c r="BA234" i="6"/>
  <c r="BB234" i="6" s="1"/>
  <c r="AW234" i="6"/>
  <c r="AX234" i="6" s="1"/>
  <c r="AY234" i="6" s="1"/>
  <c r="AO234" i="6"/>
  <c r="AI234" i="6"/>
  <c r="AJ234" i="6" s="1"/>
  <c r="AK234" i="6" s="1"/>
  <c r="AD234" i="6"/>
  <c r="AE234" i="6" s="1"/>
  <c r="AF234" i="6" s="1"/>
  <c r="W234" i="6"/>
  <c r="X234" i="6" s="1"/>
  <c r="Y234" i="6" s="1"/>
  <c r="BQ233" i="6"/>
  <c r="BR233" i="6" s="1"/>
  <c r="BM233" i="6"/>
  <c r="BN233" i="6" s="1"/>
  <c r="BO233" i="6" s="1"/>
  <c r="BI233" i="6"/>
  <c r="BJ233" i="6" s="1"/>
  <c r="BK233" i="6" s="1"/>
  <c r="BE233" i="6"/>
  <c r="BA233" i="6"/>
  <c r="BB233" i="6" s="1"/>
  <c r="AW233" i="6"/>
  <c r="AX233" i="6" s="1"/>
  <c r="AY233" i="6" s="1"/>
  <c r="AM233" i="6"/>
  <c r="AI233" i="6"/>
  <c r="AJ233" i="6" s="1"/>
  <c r="AK233" i="6" s="1"/>
  <c r="AD233" i="6"/>
  <c r="AE233" i="6" s="1"/>
  <c r="AF233" i="6" s="1"/>
  <c r="W233" i="6"/>
  <c r="X233" i="6" s="1"/>
  <c r="Y233" i="6" s="1"/>
  <c r="BQ232" i="6"/>
  <c r="BR232" i="6" s="1"/>
  <c r="BM232" i="6"/>
  <c r="BN232" i="6" s="1"/>
  <c r="BO232" i="6" s="1"/>
  <c r="BI232" i="6"/>
  <c r="BJ232" i="6" s="1"/>
  <c r="BK232" i="6" s="1"/>
  <c r="BE232" i="6"/>
  <c r="BA232" i="6"/>
  <c r="BB232" i="6" s="1"/>
  <c r="AW232" i="6"/>
  <c r="AX232" i="6" s="1"/>
  <c r="AY232" i="6" s="1"/>
  <c r="AO232" i="6"/>
  <c r="AI232" i="6"/>
  <c r="AJ232" i="6" s="1"/>
  <c r="AK232" i="6" s="1"/>
  <c r="AD232" i="6"/>
  <c r="AE232" i="6" s="1"/>
  <c r="AF232" i="6" s="1"/>
  <c r="W232" i="6"/>
  <c r="X232" i="6" s="1"/>
  <c r="Y232" i="6" s="1"/>
  <c r="BQ231" i="6"/>
  <c r="BR231" i="6" s="1"/>
  <c r="BM231" i="6"/>
  <c r="BN231" i="6" s="1"/>
  <c r="BO231" i="6" s="1"/>
  <c r="BI231" i="6"/>
  <c r="BJ231" i="6" s="1"/>
  <c r="BK231" i="6" s="1"/>
  <c r="BE231" i="6"/>
  <c r="BA231" i="6"/>
  <c r="BB231" i="6" s="1"/>
  <c r="AW231" i="6"/>
  <c r="AX231" i="6" s="1"/>
  <c r="AY231" i="6" s="1"/>
  <c r="AM231" i="6"/>
  <c r="AI231" i="6"/>
  <c r="AJ231" i="6" s="1"/>
  <c r="AK231" i="6" s="1"/>
  <c r="AD231" i="6"/>
  <c r="AE231" i="6" s="1"/>
  <c r="AF231" i="6" s="1"/>
  <c r="W231" i="6"/>
  <c r="X231" i="6" s="1"/>
  <c r="Y231" i="6" s="1"/>
  <c r="BQ230" i="6"/>
  <c r="BR230" i="6" s="1"/>
  <c r="BM230" i="6"/>
  <c r="BN230" i="6" s="1"/>
  <c r="BO230" i="6" s="1"/>
  <c r="BI230" i="6"/>
  <c r="BJ230" i="6" s="1"/>
  <c r="BK230" i="6" s="1"/>
  <c r="BE230" i="6"/>
  <c r="BA230" i="6"/>
  <c r="BB230" i="6" s="1"/>
  <c r="AW230" i="6"/>
  <c r="AX230" i="6" s="1"/>
  <c r="AY230" i="6" s="1"/>
  <c r="AM230" i="6"/>
  <c r="AI230" i="6"/>
  <c r="AJ230" i="6" s="1"/>
  <c r="AK230" i="6" s="1"/>
  <c r="AD230" i="6"/>
  <c r="AE230" i="6" s="1"/>
  <c r="AF230" i="6" s="1"/>
  <c r="W230" i="6"/>
  <c r="X230" i="6" s="1"/>
  <c r="Y230" i="6" s="1"/>
  <c r="BQ229" i="6"/>
  <c r="BR229" i="6" s="1"/>
  <c r="BM229" i="6"/>
  <c r="BN229" i="6" s="1"/>
  <c r="BO229" i="6" s="1"/>
  <c r="BI229" i="6"/>
  <c r="BJ229" i="6" s="1"/>
  <c r="BK229" i="6" s="1"/>
  <c r="BE229" i="6"/>
  <c r="BA229" i="6"/>
  <c r="BB229" i="6" s="1"/>
  <c r="AW229" i="6"/>
  <c r="AX229" i="6" s="1"/>
  <c r="AY229" i="6" s="1"/>
  <c r="AM229" i="6"/>
  <c r="AI229" i="6"/>
  <c r="AJ229" i="6" s="1"/>
  <c r="AK229" i="6" s="1"/>
  <c r="AD229" i="6"/>
  <c r="AE229" i="6" s="1"/>
  <c r="AF229" i="6" s="1"/>
  <c r="W229" i="6"/>
  <c r="X229" i="6" s="1"/>
  <c r="Y229" i="6" s="1"/>
  <c r="BQ228" i="6"/>
  <c r="BR228" i="6" s="1"/>
  <c r="BM228" i="6"/>
  <c r="BN228" i="6" s="1"/>
  <c r="BO228" i="6" s="1"/>
  <c r="BI228" i="6"/>
  <c r="BJ228" i="6" s="1"/>
  <c r="BK228" i="6" s="1"/>
  <c r="BE228" i="6"/>
  <c r="BA228" i="6"/>
  <c r="BB228" i="6" s="1"/>
  <c r="AW228" i="6"/>
  <c r="AX228" i="6" s="1"/>
  <c r="AY228" i="6" s="1"/>
  <c r="AO228" i="6"/>
  <c r="AI228" i="6"/>
  <c r="AJ228" i="6" s="1"/>
  <c r="AK228" i="6" s="1"/>
  <c r="AD228" i="6"/>
  <c r="AE228" i="6" s="1"/>
  <c r="AF228" i="6" s="1"/>
  <c r="W228" i="6"/>
  <c r="X228" i="6" s="1"/>
  <c r="Y228" i="6" s="1"/>
  <c r="BQ227" i="6"/>
  <c r="BR227" i="6" s="1"/>
  <c r="BM227" i="6"/>
  <c r="BN227" i="6" s="1"/>
  <c r="BO227" i="6" s="1"/>
  <c r="BI227" i="6"/>
  <c r="BJ227" i="6" s="1"/>
  <c r="BK227" i="6" s="1"/>
  <c r="BE227" i="6"/>
  <c r="BA227" i="6"/>
  <c r="BB227" i="6" s="1"/>
  <c r="AW227" i="6"/>
  <c r="AX227" i="6" s="1"/>
  <c r="AY227" i="6" s="1"/>
  <c r="AO227" i="6"/>
  <c r="AI227" i="6"/>
  <c r="AJ227" i="6" s="1"/>
  <c r="AK227" i="6" s="1"/>
  <c r="AD227" i="6"/>
  <c r="AE227" i="6" s="1"/>
  <c r="AF227" i="6" s="1"/>
  <c r="W227" i="6"/>
  <c r="X227" i="6" s="1"/>
  <c r="Y227" i="6" s="1"/>
  <c r="BQ226" i="6"/>
  <c r="BR226" i="6" s="1"/>
  <c r="BM226" i="6"/>
  <c r="BN226" i="6" s="1"/>
  <c r="BO226" i="6" s="1"/>
  <c r="BI226" i="6"/>
  <c r="BJ226" i="6" s="1"/>
  <c r="BK226" i="6" s="1"/>
  <c r="BE226" i="6"/>
  <c r="BA226" i="6"/>
  <c r="BB226" i="6" s="1"/>
  <c r="AW226" i="6"/>
  <c r="AX226" i="6" s="1"/>
  <c r="AY226" i="6" s="1"/>
  <c r="AO226" i="6"/>
  <c r="AI226" i="6"/>
  <c r="AJ226" i="6" s="1"/>
  <c r="AK226" i="6" s="1"/>
  <c r="BQ225" i="6"/>
  <c r="BR225" i="6" s="1"/>
  <c r="BM225" i="6"/>
  <c r="BN225" i="6" s="1"/>
  <c r="BO225" i="6" s="1"/>
  <c r="BI225" i="6"/>
  <c r="BJ225" i="6" s="1"/>
  <c r="BK225" i="6" s="1"/>
  <c r="BE225" i="6"/>
  <c r="BA225" i="6"/>
  <c r="BB225" i="6" s="1"/>
  <c r="AW225" i="6"/>
  <c r="AX225" i="6" s="1"/>
  <c r="AY225" i="6" s="1"/>
  <c r="AO225" i="6"/>
  <c r="AI225" i="6"/>
  <c r="AJ225" i="6" s="1"/>
  <c r="AK225" i="6" s="1"/>
  <c r="AD225" i="6"/>
  <c r="AE225" i="6" s="1"/>
  <c r="AF225" i="6" s="1"/>
  <c r="W225" i="6"/>
  <c r="X225" i="6" s="1"/>
  <c r="Y225" i="6" s="1"/>
  <c r="BQ224" i="6"/>
  <c r="BR224" i="6" s="1"/>
  <c r="BM224" i="6"/>
  <c r="BN224" i="6" s="1"/>
  <c r="BO224" i="6" s="1"/>
  <c r="BI224" i="6"/>
  <c r="BJ224" i="6" s="1"/>
  <c r="BK224" i="6" s="1"/>
  <c r="BE224" i="6"/>
  <c r="BA224" i="6"/>
  <c r="BB224" i="6" s="1"/>
  <c r="AW224" i="6"/>
  <c r="AX224" i="6" s="1"/>
  <c r="AY224" i="6" s="1"/>
  <c r="AO224" i="6"/>
  <c r="AI224" i="6"/>
  <c r="AJ224" i="6" s="1"/>
  <c r="AK224" i="6" s="1"/>
  <c r="AD224" i="6"/>
  <c r="AE224" i="6" s="1"/>
  <c r="AF224" i="6" s="1"/>
  <c r="W224" i="6"/>
  <c r="X224" i="6" s="1"/>
  <c r="Y224" i="6" s="1"/>
  <c r="BQ223" i="6"/>
  <c r="BR223" i="6" s="1"/>
  <c r="BM223" i="6"/>
  <c r="BN223" i="6" s="1"/>
  <c r="BO223" i="6" s="1"/>
  <c r="BI223" i="6"/>
  <c r="BJ223" i="6" s="1"/>
  <c r="BK223" i="6" s="1"/>
  <c r="BE223" i="6"/>
  <c r="BA223" i="6"/>
  <c r="BB223" i="6" s="1"/>
  <c r="AW223" i="6"/>
  <c r="AX223" i="6" s="1"/>
  <c r="AY223" i="6" s="1"/>
  <c r="AO223" i="6"/>
  <c r="AI223" i="6"/>
  <c r="AJ223" i="6" s="1"/>
  <c r="AK223" i="6" s="1"/>
  <c r="AD223" i="6"/>
  <c r="AE223" i="6" s="1"/>
  <c r="AF223" i="6" s="1"/>
  <c r="W223" i="6"/>
  <c r="X223" i="6" s="1"/>
  <c r="Y223" i="6" s="1"/>
  <c r="BQ222" i="6"/>
  <c r="BR222" i="6" s="1"/>
  <c r="BM222" i="6"/>
  <c r="BN222" i="6" s="1"/>
  <c r="BO222" i="6" s="1"/>
  <c r="BI222" i="6"/>
  <c r="BJ222" i="6" s="1"/>
  <c r="BK222" i="6" s="1"/>
  <c r="BE222" i="6"/>
  <c r="BA222" i="6"/>
  <c r="BB222" i="6" s="1"/>
  <c r="AW222" i="6"/>
  <c r="AX222" i="6" s="1"/>
  <c r="AY222" i="6" s="1"/>
  <c r="AO222" i="6"/>
  <c r="AI222" i="6"/>
  <c r="AJ222" i="6" s="1"/>
  <c r="AK222" i="6" s="1"/>
  <c r="AD222" i="6"/>
  <c r="AE222" i="6" s="1"/>
  <c r="AF222" i="6" s="1"/>
  <c r="W222" i="6"/>
  <c r="X222" i="6" s="1"/>
  <c r="Y222" i="6" s="1"/>
  <c r="BQ221" i="6"/>
  <c r="BR221" i="6" s="1"/>
  <c r="BM221" i="6"/>
  <c r="BN221" i="6" s="1"/>
  <c r="BO221" i="6" s="1"/>
  <c r="BI221" i="6"/>
  <c r="BJ221" i="6" s="1"/>
  <c r="BK221" i="6" s="1"/>
  <c r="BE221" i="6"/>
  <c r="BA221" i="6"/>
  <c r="BB221" i="6" s="1"/>
  <c r="AW221" i="6"/>
  <c r="AX221" i="6" s="1"/>
  <c r="AY221" i="6" s="1"/>
  <c r="AO221" i="6"/>
  <c r="AI221" i="6"/>
  <c r="AJ221" i="6" s="1"/>
  <c r="AK221" i="6" s="1"/>
  <c r="AD221" i="6"/>
  <c r="AE221" i="6" s="1"/>
  <c r="AF221" i="6" s="1"/>
  <c r="W221" i="6"/>
  <c r="X221" i="6" s="1"/>
  <c r="Y221" i="6" s="1"/>
  <c r="BQ220" i="6"/>
  <c r="BR220" i="6" s="1"/>
  <c r="BM220" i="6"/>
  <c r="BN220" i="6" s="1"/>
  <c r="BO220" i="6" s="1"/>
  <c r="BI220" i="6"/>
  <c r="BJ220" i="6" s="1"/>
  <c r="BK220" i="6" s="1"/>
  <c r="BE220" i="6"/>
  <c r="BA220" i="6"/>
  <c r="BB220" i="6" s="1"/>
  <c r="AW220" i="6"/>
  <c r="AX220" i="6" s="1"/>
  <c r="AY220" i="6" s="1"/>
  <c r="AM220" i="6"/>
  <c r="AI220" i="6"/>
  <c r="AJ220" i="6" s="1"/>
  <c r="AK220" i="6" s="1"/>
  <c r="AD220" i="6"/>
  <c r="AE220" i="6" s="1"/>
  <c r="AF220" i="6" s="1"/>
  <c r="W220" i="6"/>
  <c r="X220" i="6" s="1"/>
  <c r="Y220" i="6" s="1"/>
  <c r="BQ219" i="6"/>
  <c r="BR219" i="6" s="1"/>
  <c r="BM219" i="6"/>
  <c r="BN219" i="6" s="1"/>
  <c r="BO219" i="6" s="1"/>
  <c r="BI219" i="6"/>
  <c r="BJ219" i="6" s="1"/>
  <c r="BK219" i="6" s="1"/>
  <c r="BE219" i="6"/>
  <c r="BA219" i="6"/>
  <c r="BB219" i="6" s="1"/>
  <c r="AW219" i="6"/>
  <c r="AX219" i="6" s="1"/>
  <c r="AY219" i="6" s="1"/>
  <c r="AO219" i="6"/>
  <c r="AI219" i="6"/>
  <c r="AJ219" i="6" s="1"/>
  <c r="AK219" i="6" s="1"/>
  <c r="AD219" i="6"/>
  <c r="AE219" i="6" s="1"/>
  <c r="AF219" i="6" s="1"/>
  <c r="W219" i="6"/>
  <c r="X219" i="6" s="1"/>
  <c r="Y219" i="6" s="1"/>
  <c r="BQ218" i="6"/>
  <c r="BR218" i="6" s="1"/>
  <c r="BM218" i="6"/>
  <c r="BN218" i="6" s="1"/>
  <c r="BO218" i="6" s="1"/>
  <c r="BI218" i="6"/>
  <c r="BJ218" i="6" s="1"/>
  <c r="BK218" i="6" s="1"/>
  <c r="BE218" i="6"/>
  <c r="BA218" i="6"/>
  <c r="BB218" i="6" s="1"/>
  <c r="AW218" i="6"/>
  <c r="AX218" i="6" s="1"/>
  <c r="AY218" i="6" s="1"/>
  <c r="AM218" i="6"/>
  <c r="AI218" i="6"/>
  <c r="AJ218" i="6" s="1"/>
  <c r="AK218" i="6" s="1"/>
  <c r="AD218" i="6"/>
  <c r="AE218" i="6" s="1"/>
  <c r="AF218" i="6" s="1"/>
  <c r="W218" i="6"/>
  <c r="X218" i="6" s="1"/>
  <c r="Y218" i="6" s="1"/>
  <c r="BQ217" i="6"/>
  <c r="BR217" i="6" s="1"/>
  <c r="BM217" i="6"/>
  <c r="BN217" i="6" s="1"/>
  <c r="BO217" i="6" s="1"/>
  <c r="BI217" i="6"/>
  <c r="BJ217" i="6" s="1"/>
  <c r="BK217" i="6" s="1"/>
  <c r="BE217" i="6"/>
  <c r="BA217" i="6"/>
  <c r="BB217" i="6" s="1"/>
  <c r="AW217" i="6"/>
  <c r="AX217" i="6" s="1"/>
  <c r="AY217" i="6" s="1"/>
  <c r="AM217" i="6"/>
  <c r="AI217" i="6"/>
  <c r="AJ217" i="6" s="1"/>
  <c r="AK217" i="6" s="1"/>
  <c r="AD217" i="6"/>
  <c r="AE217" i="6" s="1"/>
  <c r="AF217" i="6" s="1"/>
  <c r="W217" i="6"/>
  <c r="X217" i="6" s="1"/>
  <c r="Y217" i="6" s="1"/>
  <c r="BQ216" i="6"/>
  <c r="BR216" i="6" s="1"/>
  <c r="BM216" i="6"/>
  <c r="BN216" i="6" s="1"/>
  <c r="BO216" i="6" s="1"/>
  <c r="BI216" i="6"/>
  <c r="BJ216" i="6" s="1"/>
  <c r="BK216" i="6" s="1"/>
  <c r="BE216" i="6"/>
  <c r="BA216" i="6"/>
  <c r="BB216" i="6" s="1"/>
  <c r="AW216" i="6"/>
  <c r="AX216" i="6" s="1"/>
  <c r="AY216" i="6" s="1"/>
  <c r="AM216" i="6"/>
  <c r="AI216" i="6"/>
  <c r="AJ216" i="6" s="1"/>
  <c r="AK216" i="6" s="1"/>
  <c r="AD216" i="6"/>
  <c r="AE216" i="6" s="1"/>
  <c r="AF216" i="6" s="1"/>
  <c r="W216" i="6"/>
  <c r="X216" i="6" s="1"/>
  <c r="Y216" i="6" s="1"/>
  <c r="BQ215" i="6"/>
  <c r="BR215" i="6" s="1"/>
  <c r="BM215" i="6"/>
  <c r="BN215" i="6" s="1"/>
  <c r="BO215" i="6" s="1"/>
  <c r="BI215" i="6"/>
  <c r="BJ215" i="6" s="1"/>
  <c r="BK215" i="6" s="1"/>
  <c r="BE215" i="6"/>
  <c r="BA215" i="6"/>
  <c r="BB215" i="6" s="1"/>
  <c r="AW215" i="6"/>
  <c r="AX215" i="6" s="1"/>
  <c r="AY215" i="6" s="1"/>
  <c r="AM215" i="6"/>
  <c r="AI215" i="6"/>
  <c r="AJ215" i="6" s="1"/>
  <c r="AK215" i="6" s="1"/>
  <c r="AD215" i="6"/>
  <c r="AE215" i="6" s="1"/>
  <c r="AF215" i="6" s="1"/>
  <c r="W215" i="6"/>
  <c r="X215" i="6" s="1"/>
  <c r="Y215" i="6" s="1"/>
  <c r="BQ214" i="6"/>
  <c r="BR214" i="6" s="1"/>
  <c r="BM214" i="6"/>
  <c r="BN214" i="6" s="1"/>
  <c r="BO214" i="6" s="1"/>
  <c r="BI214" i="6"/>
  <c r="BJ214" i="6" s="1"/>
  <c r="BK214" i="6" s="1"/>
  <c r="BE214" i="6"/>
  <c r="BA214" i="6"/>
  <c r="BB214" i="6" s="1"/>
  <c r="AW214" i="6"/>
  <c r="AX214" i="6" s="1"/>
  <c r="AY214" i="6" s="1"/>
  <c r="AM214" i="6"/>
  <c r="AI214" i="6"/>
  <c r="AJ214" i="6" s="1"/>
  <c r="AK214" i="6" s="1"/>
  <c r="AD214" i="6"/>
  <c r="AE214" i="6" s="1"/>
  <c r="AF214" i="6" s="1"/>
  <c r="W214" i="6"/>
  <c r="X214" i="6" s="1"/>
  <c r="Y214" i="6" s="1"/>
  <c r="BQ213" i="6"/>
  <c r="BR213" i="6" s="1"/>
  <c r="BM213" i="6"/>
  <c r="BN213" i="6" s="1"/>
  <c r="BO213" i="6" s="1"/>
  <c r="BI213" i="6"/>
  <c r="BJ213" i="6" s="1"/>
  <c r="BK213" i="6" s="1"/>
  <c r="BE213" i="6"/>
  <c r="BA213" i="6"/>
  <c r="BB213" i="6" s="1"/>
  <c r="AW213" i="6"/>
  <c r="AX213" i="6" s="1"/>
  <c r="AY213" i="6" s="1"/>
  <c r="AM213" i="6"/>
  <c r="AI213" i="6"/>
  <c r="AJ213" i="6" s="1"/>
  <c r="AK213" i="6" s="1"/>
  <c r="AD213" i="6"/>
  <c r="AE213" i="6" s="1"/>
  <c r="AF213" i="6" s="1"/>
  <c r="W213" i="6"/>
  <c r="X213" i="6" s="1"/>
  <c r="Y213" i="6" s="1"/>
  <c r="BQ212" i="6"/>
  <c r="BR212" i="6" s="1"/>
  <c r="BM212" i="6"/>
  <c r="BN212" i="6" s="1"/>
  <c r="BO212" i="6" s="1"/>
  <c r="BI212" i="6"/>
  <c r="BJ212" i="6" s="1"/>
  <c r="BK212" i="6" s="1"/>
  <c r="BE212" i="6"/>
  <c r="BA212" i="6"/>
  <c r="BB212" i="6" s="1"/>
  <c r="AW212" i="6"/>
  <c r="AX212" i="6" s="1"/>
  <c r="AY212" i="6" s="1"/>
  <c r="AO212" i="6"/>
  <c r="AI212" i="6"/>
  <c r="AJ212" i="6" s="1"/>
  <c r="AK212" i="6" s="1"/>
  <c r="AD212" i="6"/>
  <c r="AE212" i="6" s="1"/>
  <c r="AF212" i="6" s="1"/>
  <c r="W212" i="6"/>
  <c r="X212" i="6" s="1"/>
  <c r="Y212" i="6" s="1"/>
  <c r="BQ211" i="6"/>
  <c r="BR211" i="6" s="1"/>
  <c r="BM211" i="6"/>
  <c r="BN211" i="6" s="1"/>
  <c r="BO211" i="6" s="1"/>
  <c r="BI211" i="6"/>
  <c r="BJ211" i="6" s="1"/>
  <c r="BK211" i="6" s="1"/>
  <c r="BE211" i="6"/>
  <c r="BA211" i="6"/>
  <c r="BB211" i="6" s="1"/>
  <c r="AW211" i="6"/>
  <c r="AX211" i="6" s="1"/>
  <c r="AY211" i="6" s="1"/>
  <c r="AM211" i="6"/>
  <c r="AI211" i="6"/>
  <c r="AJ211" i="6" s="1"/>
  <c r="AK211" i="6" s="1"/>
  <c r="AD211" i="6"/>
  <c r="AE211" i="6" s="1"/>
  <c r="AF211" i="6" s="1"/>
  <c r="W211" i="6"/>
  <c r="X211" i="6" s="1"/>
  <c r="Y211" i="6" s="1"/>
  <c r="BQ210" i="6"/>
  <c r="BR210" i="6" s="1"/>
  <c r="BM210" i="6"/>
  <c r="BN210" i="6" s="1"/>
  <c r="BO210" i="6" s="1"/>
  <c r="BI210" i="6"/>
  <c r="BJ210" i="6" s="1"/>
  <c r="BK210" i="6" s="1"/>
  <c r="BE210" i="6"/>
  <c r="BA210" i="6"/>
  <c r="BB210" i="6" s="1"/>
  <c r="AW210" i="6"/>
  <c r="AX210" i="6" s="1"/>
  <c r="AY210" i="6" s="1"/>
  <c r="AM210" i="6"/>
  <c r="AI210" i="6"/>
  <c r="AJ210" i="6" s="1"/>
  <c r="AK210" i="6" s="1"/>
  <c r="AD210" i="6"/>
  <c r="AE210" i="6" s="1"/>
  <c r="AF210" i="6" s="1"/>
  <c r="W210" i="6"/>
  <c r="X210" i="6" s="1"/>
  <c r="Y210" i="6" s="1"/>
  <c r="BQ209" i="6"/>
  <c r="BR209" i="6" s="1"/>
  <c r="BM209" i="6"/>
  <c r="BN209" i="6" s="1"/>
  <c r="BO209" i="6" s="1"/>
  <c r="BI209" i="6"/>
  <c r="BJ209" i="6" s="1"/>
  <c r="BK209" i="6" s="1"/>
  <c r="BE209" i="6"/>
  <c r="BA209" i="6"/>
  <c r="BB209" i="6" s="1"/>
  <c r="AW209" i="6"/>
  <c r="AX209" i="6" s="1"/>
  <c r="AY209" i="6" s="1"/>
  <c r="AM209" i="6"/>
  <c r="AI209" i="6"/>
  <c r="AJ209" i="6" s="1"/>
  <c r="AK209" i="6" s="1"/>
  <c r="AD209" i="6"/>
  <c r="AE209" i="6" s="1"/>
  <c r="AF209" i="6" s="1"/>
  <c r="W209" i="6"/>
  <c r="X209" i="6" s="1"/>
  <c r="Y209" i="6" s="1"/>
  <c r="BQ208" i="6"/>
  <c r="BR208" i="6" s="1"/>
  <c r="BM208" i="6"/>
  <c r="BN208" i="6" s="1"/>
  <c r="BO208" i="6" s="1"/>
  <c r="BI208" i="6"/>
  <c r="BJ208" i="6" s="1"/>
  <c r="BK208" i="6" s="1"/>
  <c r="BE208" i="6"/>
  <c r="BA208" i="6"/>
  <c r="BB208" i="6" s="1"/>
  <c r="AW208" i="6"/>
  <c r="AX208" i="6" s="1"/>
  <c r="AY208" i="6" s="1"/>
  <c r="AO208" i="6"/>
  <c r="AI208" i="6"/>
  <c r="AJ208" i="6" s="1"/>
  <c r="AK208" i="6" s="1"/>
  <c r="BQ207" i="6"/>
  <c r="BR207" i="6" s="1"/>
  <c r="BM207" i="6"/>
  <c r="BN207" i="6" s="1"/>
  <c r="BO207" i="6" s="1"/>
  <c r="BI207" i="6"/>
  <c r="BJ207" i="6" s="1"/>
  <c r="BK207" i="6" s="1"/>
  <c r="BE207" i="6"/>
  <c r="BA207" i="6"/>
  <c r="BB207" i="6" s="1"/>
  <c r="AW207" i="6"/>
  <c r="AX207" i="6" s="1"/>
  <c r="AY207" i="6" s="1"/>
  <c r="AO207" i="6"/>
  <c r="AI207" i="6"/>
  <c r="AJ207" i="6" s="1"/>
  <c r="AK207" i="6" s="1"/>
  <c r="BQ206" i="6"/>
  <c r="BR206" i="6" s="1"/>
  <c r="BM206" i="6"/>
  <c r="BN206" i="6" s="1"/>
  <c r="BO206" i="6" s="1"/>
  <c r="BI206" i="6"/>
  <c r="BJ206" i="6" s="1"/>
  <c r="BK206" i="6" s="1"/>
  <c r="BE206" i="6"/>
  <c r="BA206" i="6"/>
  <c r="BB206" i="6" s="1"/>
  <c r="AW206" i="6"/>
  <c r="AX206" i="6" s="1"/>
  <c r="AY206" i="6" s="1"/>
  <c r="AO206" i="6"/>
  <c r="AI206" i="6"/>
  <c r="AJ206" i="6" s="1"/>
  <c r="AK206" i="6" s="1"/>
  <c r="AD206" i="6"/>
  <c r="AE206" i="6" s="1"/>
  <c r="AF206" i="6" s="1"/>
  <c r="W206" i="6"/>
  <c r="X206" i="6" s="1"/>
  <c r="Y206" i="6" s="1"/>
  <c r="BQ205" i="6"/>
  <c r="BR205" i="6" s="1"/>
  <c r="BM205" i="6"/>
  <c r="BN205" i="6" s="1"/>
  <c r="BO205" i="6" s="1"/>
  <c r="BI205" i="6"/>
  <c r="BJ205" i="6" s="1"/>
  <c r="BK205" i="6" s="1"/>
  <c r="BE205" i="6"/>
  <c r="BA205" i="6"/>
  <c r="BB205" i="6" s="1"/>
  <c r="AW205" i="6"/>
  <c r="AX205" i="6" s="1"/>
  <c r="AY205" i="6" s="1"/>
  <c r="AM205" i="6"/>
  <c r="AI205" i="6"/>
  <c r="AJ205" i="6" s="1"/>
  <c r="AK205" i="6" s="1"/>
  <c r="AD205" i="6"/>
  <c r="AE205" i="6" s="1"/>
  <c r="AF205" i="6" s="1"/>
  <c r="W205" i="6"/>
  <c r="X205" i="6" s="1"/>
  <c r="Y205" i="6" s="1"/>
  <c r="BQ204" i="6"/>
  <c r="BR204" i="6" s="1"/>
  <c r="BM204" i="6"/>
  <c r="BN204" i="6" s="1"/>
  <c r="BO204" i="6" s="1"/>
  <c r="BI204" i="6"/>
  <c r="BJ204" i="6" s="1"/>
  <c r="BK204" i="6" s="1"/>
  <c r="BE204" i="6"/>
  <c r="BA204" i="6"/>
  <c r="BB204" i="6" s="1"/>
  <c r="AW204" i="6"/>
  <c r="AX204" i="6" s="1"/>
  <c r="AY204" i="6" s="1"/>
  <c r="AM204" i="6"/>
  <c r="AI204" i="6"/>
  <c r="AJ204" i="6" s="1"/>
  <c r="AK204" i="6" s="1"/>
  <c r="AD204" i="6"/>
  <c r="AE204" i="6" s="1"/>
  <c r="AF204" i="6" s="1"/>
  <c r="W204" i="6"/>
  <c r="X204" i="6" s="1"/>
  <c r="Y204" i="6" s="1"/>
  <c r="BQ203" i="6"/>
  <c r="BR203" i="6" s="1"/>
  <c r="BM203" i="6"/>
  <c r="BN203" i="6" s="1"/>
  <c r="BO203" i="6" s="1"/>
  <c r="BI203" i="6"/>
  <c r="BJ203" i="6" s="1"/>
  <c r="BK203" i="6" s="1"/>
  <c r="BE203" i="6"/>
  <c r="BA203" i="6"/>
  <c r="BB203" i="6" s="1"/>
  <c r="AW203" i="6"/>
  <c r="AX203" i="6" s="1"/>
  <c r="AY203" i="6" s="1"/>
  <c r="AM203" i="6"/>
  <c r="AI203" i="6"/>
  <c r="AJ203" i="6" s="1"/>
  <c r="AK203" i="6" s="1"/>
  <c r="AD203" i="6"/>
  <c r="AE203" i="6" s="1"/>
  <c r="AF203" i="6" s="1"/>
  <c r="W203" i="6"/>
  <c r="X203" i="6" s="1"/>
  <c r="Y203" i="6" s="1"/>
  <c r="BQ202" i="6"/>
  <c r="BR202" i="6" s="1"/>
  <c r="BM202" i="6"/>
  <c r="BN202" i="6" s="1"/>
  <c r="BO202" i="6" s="1"/>
  <c r="BI202" i="6"/>
  <c r="BJ202" i="6" s="1"/>
  <c r="BK202" i="6" s="1"/>
  <c r="BE202" i="6"/>
  <c r="BA202" i="6"/>
  <c r="BB202" i="6" s="1"/>
  <c r="AW202" i="6"/>
  <c r="AX202" i="6" s="1"/>
  <c r="AY202" i="6" s="1"/>
  <c r="AM202" i="6"/>
  <c r="AI202" i="6"/>
  <c r="AJ202" i="6" s="1"/>
  <c r="AK202" i="6" s="1"/>
  <c r="AD202" i="6"/>
  <c r="AE202" i="6" s="1"/>
  <c r="AF202" i="6" s="1"/>
  <c r="W202" i="6"/>
  <c r="X202" i="6" s="1"/>
  <c r="Y202" i="6" s="1"/>
  <c r="BQ201" i="6"/>
  <c r="BR201" i="6" s="1"/>
  <c r="BM201" i="6"/>
  <c r="BN201" i="6" s="1"/>
  <c r="BO201" i="6" s="1"/>
  <c r="BI201" i="6"/>
  <c r="BJ201" i="6" s="1"/>
  <c r="BK201" i="6" s="1"/>
  <c r="BE201" i="6"/>
  <c r="BA201" i="6"/>
  <c r="BB201" i="6" s="1"/>
  <c r="AW201" i="6"/>
  <c r="AX201" i="6" s="1"/>
  <c r="AY201" i="6" s="1"/>
  <c r="AM201" i="6"/>
  <c r="AI201" i="6"/>
  <c r="AJ201" i="6" s="1"/>
  <c r="AK201" i="6" s="1"/>
  <c r="AD201" i="6"/>
  <c r="AE201" i="6" s="1"/>
  <c r="AF201" i="6" s="1"/>
  <c r="W201" i="6"/>
  <c r="X201" i="6" s="1"/>
  <c r="Y201" i="6" s="1"/>
  <c r="BQ200" i="6"/>
  <c r="BR200" i="6" s="1"/>
  <c r="BM200" i="6"/>
  <c r="BN200" i="6" s="1"/>
  <c r="BO200" i="6" s="1"/>
  <c r="BI200" i="6"/>
  <c r="BJ200" i="6" s="1"/>
  <c r="BK200" i="6" s="1"/>
  <c r="BE200" i="6"/>
  <c r="BA200" i="6"/>
  <c r="BB200" i="6" s="1"/>
  <c r="AW200" i="6"/>
  <c r="AX200" i="6" s="1"/>
  <c r="AY200" i="6" s="1"/>
  <c r="AO200" i="6"/>
  <c r="AI200" i="6"/>
  <c r="AJ200" i="6" s="1"/>
  <c r="AK200" i="6" s="1"/>
  <c r="AD200" i="6"/>
  <c r="AE200" i="6" s="1"/>
  <c r="AF200" i="6" s="1"/>
  <c r="W200" i="6"/>
  <c r="X200" i="6" s="1"/>
  <c r="Y200" i="6" s="1"/>
  <c r="BQ199" i="6"/>
  <c r="BR199" i="6" s="1"/>
  <c r="BM199" i="6"/>
  <c r="BN199" i="6" s="1"/>
  <c r="BO199" i="6" s="1"/>
  <c r="BI199" i="6"/>
  <c r="BJ199" i="6" s="1"/>
  <c r="BK199" i="6" s="1"/>
  <c r="BE199" i="6"/>
  <c r="BA199" i="6"/>
  <c r="BB199" i="6" s="1"/>
  <c r="AW199" i="6"/>
  <c r="AX199" i="6" s="1"/>
  <c r="AY199" i="6" s="1"/>
  <c r="AO199" i="6"/>
  <c r="AI199" i="6"/>
  <c r="AJ199" i="6" s="1"/>
  <c r="AK199" i="6" s="1"/>
  <c r="AD199" i="6"/>
  <c r="AE199" i="6" s="1"/>
  <c r="AF199" i="6" s="1"/>
  <c r="W199" i="6"/>
  <c r="X199" i="6" s="1"/>
  <c r="Y199" i="6" s="1"/>
  <c r="BQ198" i="6"/>
  <c r="BR198" i="6" s="1"/>
  <c r="BM198" i="6"/>
  <c r="BN198" i="6" s="1"/>
  <c r="BO198" i="6" s="1"/>
  <c r="BI198" i="6"/>
  <c r="BJ198" i="6" s="1"/>
  <c r="BK198" i="6" s="1"/>
  <c r="BE198" i="6"/>
  <c r="BA198" i="6"/>
  <c r="BB198" i="6" s="1"/>
  <c r="AW198" i="6"/>
  <c r="AX198" i="6" s="1"/>
  <c r="AY198" i="6" s="1"/>
  <c r="AM198" i="6"/>
  <c r="AI198" i="6"/>
  <c r="AJ198" i="6" s="1"/>
  <c r="AK198" i="6" s="1"/>
  <c r="AD198" i="6"/>
  <c r="AE198" i="6" s="1"/>
  <c r="AF198" i="6" s="1"/>
  <c r="W198" i="6"/>
  <c r="X198" i="6" s="1"/>
  <c r="Y198" i="6" s="1"/>
  <c r="BQ197" i="6"/>
  <c r="BR197" i="6" s="1"/>
  <c r="BM197" i="6"/>
  <c r="BN197" i="6" s="1"/>
  <c r="BO197" i="6" s="1"/>
  <c r="BI197" i="6"/>
  <c r="BJ197" i="6" s="1"/>
  <c r="BK197" i="6" s="1"/>
  <c r="BE197" i="6"/>
  <c r="BA197" i="6"/>
  <c r="BB197" i="6" s="1"/>
  <c r="AW197" i="6"/>
  <c r="AX197" i="6" s="1"/>
  <c r="AY197" i="6" s="1"/>
  <c r="AM197" i="6"/>
  <c r="AI197" i="6"/>
  <c r="AJ197" i="6" s="1"/>
  <c r="AK197" i="6" s="1"/>
  <c r="AD197" i="6"/>
  <c r="AE197" i="6" s="1"/>
  <c r="AF197" i="6" s="1"/>
  <c r="W197" i="6"/>
  <c r="X197" i="6" s="1"/>
  <c r="Y197" i="6" s="1"/>
  <c r="BQ196" i="6"/>
  <c r="BR196" i="6" s="1"/>
  <c r="BM196" i="6"/>
  <c r="BN196" i="6" s="1"/>
  <c r="BO196" i="6" s="1"/>
  <c r="BI196" i="6"/>
  <c r="BJ196" i="6" s="1"/>
  <c r="BK196" i="6" s="1"/>
  <c r="BE196" i="6"/>
  <c r="BA196" i="6"/>
  <c r="BB196" i="6" s="1"/>
  <c r="AW196" i="6"/>
  <c r="AX196" i="6" s="1"/>
  <c r="AY196" i="6" s="1"/>
  <c r="AO196" i="6"/>
  <c r="AI196" i="6"/>
  <c r="AJ196" i="6" s="1"/>
  <c r="AK196" i="6" s="1"/>
  <c r="AD196" i="6"/>
  <c r="AE196" i="6" s="1"/>
  <c r="AF196" i="6" s="1"/>
  <c r="W196" i="6"/>
  <c r="X196" i="6" s="1"/>
  <c r="Y196" i="6" s="1"/>
  <c r="BQ195" i="6"/>
  <c r="BR195" i="6" s="1"/>
  <c r="BM195" i="6"/>
  <c r="BN195" i="6" s="1"/>
  <c r="BO195" i="6" s="1"/>
  <c r="BI195" i="6"/>
  <c r="BJ195" i="6" s="1"/>
  <c r="BK195" i="6" s="1"/>
  <c r="BE195" i="6"/>
  <c r="BA195" i="6"/>
  <c r="BB195" i="6" s="1"/>
  <c r="AW195" i="6"/>
  <c r="AX195" i="6" s="1"/>
  <c r="AY195" i="6" s="1"/>
  <c r="AM195" i="6"/>
  <c r="AI195" i="6"/>
  <c r="AJ195" i="6" s="1"/>
  <c r="AK195" i="6" s="1"/>
  <c r="AD195" i="6"/>
  <c r="AE195" i="6" s="1"/>
  <c r="AF195" i="6" s="1"/>
  <c r="W195" i="6"/>
  <c r="X195" i="6" s="1"/>
  <c r="Y195" i="6" s="1"/>
  <c r="BQ194" i="6"/>
  <c r="BR194" i="6" s="1"/>
  <c r="BM194" i="6"/>
  <c r="BN194" i="6" s="1"/>
  <c r="BO194" i="6" s="1"/>
  <c r="BI194" i="6"/>
  <c r="BJ194" i="6" s="1"/>
  <c r="BK194" i="6" s="1"/>
  <c r="BE194" i="6"/>
  <c r="BA194" i="6"/>
  <c r="BB194" i="6" s="1"/>
  <c r="AW194" i="6"/>
  <c r="AX194" i="6" s="1"/>
  <c r="AY194" i="6" s="1"/>
  <c r="AM194" i="6"/>
  <c r="AI194" i="6"/>
  <c r="AJ194" i="6" s="1"/>
  <c r="AK194" i="6" s="1"/>
  <c r="BQ193" i="6"/>
  <c r="BR193" i="6" s="1"/>
  <c r="BM193" i="6"/>
  <c r="BN193" i="6" s="1"/>
  <c r="BO193" i="6" s="1"/>
  <c r="BI193" i="6"/>
  <c r="BJ193" i="6" s="1"/>
  <c r="BK193" i="6" s="1"/>
  <c r="BE193" i="6"/>
  <c r="BA193" i="6"/>
  <c r="BB193" i="6" s="1"/>
  <c r="AW193" i="6"/>
  <c r="AX193" i="6" s="1"/>
  <c r="AY193" i="6" s="1"/>
  <c r="AO193" i="6"/>
  <c r="AI193" i="6"/>
  <c r="AJ193" i="6" s="1"/>
  <c r="AK193" i="6" s="1"/>
  <c r="AD193" i="6"/>
  <c r="AE193" i="6" s="1"/>
  <c r="AF193" i="6" s="1"/>
  <c r="W193" i="6"/>
  <c r="X193" i="6" s="1"/>
  <c r="Y193" i="6" s="1"/>
  <c r="BQ192" i="6"/>
  <c r="BR192" i="6" s="1"/>
  <c r="BM192" i="6"/>
  <c r="BN192" i="6" s="1"/>
  <c r="BO192" i="6" s="1"/>
  <c r="BI192" i="6"/>
  <c r="BJ192" i="6" s="1"/>
  <c r="BK192" i="6" s="1"/>
  <c r="BE192" i="6"/>
  <c r="BA192" i="6"/>
  <c r="BB192" i="6" s="1"/>
  <c r="AW192" i="6"/>
  <c r="AX192" i="6" s="1"/>
  <c r="AY192" i="6" s="1"/>
  <c r="AM192" i="6"/>
  <c r="AI192" i="6"/>
  <c r="AJ192" i="6" s="1"/>
  <c r="AK192" i="6" s="1"/>
  <c r="AD192" i="6"/>
  <c r="AE192" i="6" s="1"/>
  <c r="AF192" i="6" s="1"/>
  <c r="W192" i="6"/>
  <c r="X192" i="6" s="1"/>
  <c r="Y192" i="6" s="1"/>
  <c r="BQ191" i="6"/>
  <c r="BR191" i="6" s="1"/>
  <c r="BM191" i="6"/>
  <c r="BN191" i="6" s="1"/>
  <c r="BO191" i="6" s="1"/>
  <c r="BI191" i="6"/>
  <c r="BJ191" i="6" s="1"/>
  <c r="BK191" i="6" s="1"/>
  <c r="BE191" i="6"/>
  <c r="BA191" i="6"/>
  <c r="BB191" i="6" s="1"/>
  <c r="AW191" i="6"/>
  <c r="AX191" i="6" s="1"/>
  <c r="AY191" i="6" s="1"/>
  <c r="AM191" i="6"/>
  <c r="AI191" i="6"/>
  <c r="AJ191" i="6" s="1"/>
  <c r="AK191" i="6" s="1"/>
  <c r="AD191" i="6"/>
  <c r="AE191" i="6" s="1"/>
  <c r="AF191" i="6" s="1"/>
  <c r="W191" i="6"/>
  <c r="X191" i="6" s="1"/>
  <c r="Y191" i="6" s="1"/>
  <c r="BQ190" i="6"/>
  <c r="BR190" i="6" s="1"/>
  <c r="BM190" i="6"/>
  <c r="BN190" i="6" s="1"/>
  <c r="BO190" i="6" s="1"/>
  <c r="BI190" i="6"/>
  <c r="BJ190" i="6" s="1"/>
  <c r="BK190" i="6" s="1"/>
  <c r="BE190" i="6"/>
  <c r="BA190" i="6"/>
  <c r="BB190" i="6" s="1"/>
  <c r="AW190" i="6"/>
  <c r="AX190" i="6" s="1"/>
  <c r="AY190" i="6" s="1"/>
  <c r="AM190" i="6"/>
  <c r="AI190" i="6"/>
  <c r="AJ190" i="6" s="1"/>
  <c r="AK190" i="6" s="1"/>
  <c r="AD190" i="6"/>
  <c r="AE190" i="6" s="1"/>
  <c r="AF190" i="6" s="1"/>
  <c r="W190" i="6"/>
  <c r="X190" i="6" s="1"/>
  <c r="Y190" i="6" s="1"/>
  <c r="BQ189" i="6"/>
  <c r="BR189" i="6" s="1"/>
  <c r="BM189" i="6"/>
  <c r="BN189" i="6" s="1"/>
  <c r="BO189" i="6" s="1"/>
  <c r="BI189" i="6"/>
  <c r="BJ189" i="6" s="1"/>
  <c r="BK189" i="6" s="1"/>
  <c r="BE189" i="6"/>
  <c r="BA189" i="6"/>
  <c r="BB189" i="6" s="1"/>
  <c r="AW189" i="6"/>
  <c r="AX189" i="6" s="1"/>
  <c r="AY189" i="6" s="1"/>
  <c r="AM189" i="6"/>
  <c r="AI189" i="6"/>
  <c r="AJ189" i="6" s="1"/>
  <c r="AK189" i="6" s="1"/>
  <c r="AD189" i="6"/>
  <c r="AE189" i="6" s="1"/>
  <c r="AF189" i="6" s="1"/>
  <c r="W189" i="6"/>
  <c r="X189" i="6" s="1"/>
  <c r="Y189" i="6" s="1"/>
  <c r="BQ188" i="6"/>
  <c r="BR188" i="6" s="1"/>
  <c r="BM188" i="6"/>
  <c r="BN188" i="6" s="1"/>
  <c r="BO188" i="6" s="1"/>
  <c r="BI188" i="6"/>
  <c r="BJ188" i="6" s="1"/>
  <c r="BK188" i="6" s="1"/>
  <c r="BE188" i="6"/>
  <c r="BA188" i="6"/>
  <c r="BB188" i="6" s="1"/>
  <c r="AW188" i="6"/>
  <c r="AX188" i="6" s="1"/>
  <c r="AY188" i="6" s="1"/>
  <c r="AO188" i="6"/>
  <c r="AI188" i="6"/>
  <c r="AJ188" i="6" s="1"/>
  <c r="AK188" i="6" s="1"/>
  <c r="AD188" i="6"/>
  <c r="AE188" i="6" s="1"/>
  <c r="AF188" i="6" s="1"/>
  <c r="W188" i="6"/>
  <c r="X188" i="6" s="1"/>
  <c r="Y188" i="6" s="1"/>
  <c r="BQ187" i="6"/>
  <c r="BR187" i="6" s="1"/>
  <c r="BM187" i="6"/>
  <c r="BN187" i="6" s="1"/>
  <c r="BO187" i="6" s="1"/>
  <c r="BI187" i="6"/>
  <c r="BJ187" i="6" s="1"/>
  <c r="BK187" i="6" s="1"/>
  <c r="BE187" i="6"/>
  <c r="BA187" i="6"/>
  <c r="BB187" i="6" s="1"/>
  <c r="AW187" i="6"/>
  <c r="AX187" i="6" s="1"/>
  <c r="AY187" i="6" s="1"/>
  <c r="AM187" i="6"/>
  <c r="AI187" i="6"/>
  <c r="AJ187" i="6" s="1"/>
  <c r="AK187" i="6" s="1"/>
  <c r="AD187" i="6"/>
  <c r="AE187" i="6" s="1"/>
  <c r="AF187" i="6" s="1"/>
  <c r="W187" i="6"/>
  <c r="X187" i="6" s="1"/>
  <c r="Y187" i="6" s="1"/>
  <c r="BQ186" i="6"/>
  <c r="BR186" i="6" s="1"/>
  <c r="BM186" i="6"/>
  <c r="BN186" i="6" s="1"/>
  <c r="BO186" i="6" s="1"/>
  <c r="BI186" i="6"/>
  <c r="BJ186" i="6" s="1"/>
  <c r="BK186" i="6" s="1"/>
  <c r="BE186" i="6"/>
  <c r="BA186" i="6"/>
  <c r="BB186" i="6" s="1"/>
  <c r="AW186" i="6"/>
  <c r="AX186" i="6" s="1"/>
  <c r="AY186" i="6" s="1"/>
  <c r="AO186" i="6"/>
  <c r="AI186" i="6"/>
  <c r="AJ186" i="6" s="1"/>
  <c r="AK186" i="6" s="1"/>
  <c r="AD186" i="6"/>
  <c r="AE186" i="6" s="1"/>
  <c r="AF186" i="6" s="1"/>
  <c r="W186" i="6"/>
  <c r="X186" i="6" s="1"/>
  <c r="Y186" i="6" s="1"/>
  <c r="BQ185" i="6"/>
  <c r="BR185" i="6" s="1"/>
  <c r="BM185" i="6"/>
  <c r="BN185" i="6" s="1"/>
  <c r="BO185" i="6" s="1"/>
  <c r="BI185" i="6"/>
  <c r="BJ185" i="6" s="1"/>
  <c r="BK185" i="6" s="1"/>
  <c r="BE185" i="6"/>
  <c r="BA185" i="6"/>
  <c r="BB185" i="6" s="1"/>
  <c r="AW185" i="6"/>
  <c r="AX185" i="6" s="1"/>
  <c r="AY185" i="6" s="1"/>
  <c r="AO185" i="6"/>
  <c r="AI185" i="6"/>
  <c r="AJ185" i="6" s="1"/>
  <c r="AK185" i="6" s="1"/>
  <c r="AD185" i="6"/>
  <c r="AE185" i="6" s="1"/>
  <c r="AF185" i="6" s="1"/>
  <c r="W185" i="6"/>
  <c r="X185" i="6" s="1"/>
  <c r="Y185" i="6" s="1"/>
  <c r="BQ184" i="6"/>
  <c r="BR184" i="6" s="1"/>
  <c r="BM184" i="6"/>
  <c r="BN184" i="6" s="1"/>
  <c r="BO184" i="6" s="1"/>
  <c r="BI184" i="6"/>
  <c r="BJ184" i="6" s="1"/>
  <c r="BK184" i="6" s="1"/>
  <c r="BE184" i="6"/>
  <c r="BA184" i="6"/>
  <c r="BB184" i="6" s="1"/>
  <c r="AW184" i="6"/>
  <c r="AX184" i="6" s="1"/>
  <c r="AY184" i="6" s="1"/>
  <c r="AO184" i="6"/>
  <c r="AI184" i="6"/>
  <c r="AJ184" i="6" s="1"/>
  <c r="AK184" i="6" s="1"/>
  <c r="AD184" i="6"/>
  <c r="AE184" i="6" s="1"/>
  <c r="AF184" i="6" s="1"/>
  <c r="W184" i="6"/>
  <c r="X184" i="6" s="1"/>
  <c r="Y184" i="6" s="1"/>
  <c r="BQ183" i="6"/>
  <c r="BR183" i="6" s="1"/>
  <c r="BM183" i="6"/>
  <c r="BN183" i="6" s="1"/>
  <c r="BO183" i="6" s="1"/>
  <c r="BI183" i="6"/>
  <c r="BJ183" i="6" s="1"/>
  <c r="BK183" i="6" s="1"/>
  <c r="BE183" i="6"/>
  <c r="BA183" i="6"/>
  <c r="BB183" i="6" s="1"/>
  <c r="AW183" i="6"/>
  <c r="AX183" i="6" s="1"/>
  <c r="AY183" i="6" s="1"/>
  <c r="AM183" i="6"/>
  <c r="AI183" i="6"/>
  <c r="AJ183" i="6" s="1"/>
  <c r="AK183" i="6" s="1"/>
  <c r="AD183" i="6"/>
  <c r="AE183" i="6" s="1"/>
  <c r="AF183" i="6" s="1"/>
  <c r="W183" i="6"/>
  <c r="X183" i="6" s="1"/>
  <c r="Y183" i="6" s="1"/>
  <c r="BQ182" i="6"/>
  <c r="BR182" i="6" s="1"/>
  <c r="BM182" i="6"/>
  <c r="BN182" i="6" s="1"/>
  <c r="BO182" i="6" s="1"/>
  <c r="BI182" i="6"/>
  <c r="BJ182" i="6" s="1"/>
  <c r="BK182" i="6" s="1"/>
  <c r="BE182" i="6"/>
  <c r="BA182" i="6"/>
  <c r="BB182" i="6" s="1"/>
  <c r="AW182" i="6"/>
  <c r="AX182" i="6" s="1"/>
  <c r="AY182" i="6" s="1"/>
  <c r="AM182" i="6"/>
  <c r="AI182" i="6"/>
  <c r="AJ182" i="6" s="1"/>
  <c r="AK182" i="6" s="1"/>
  <c r="AD182" i="6"/>
  <c r="AE182" i="6" s="1"/>
  <c r="AF182" i="6" s="1"/>
  <c r="W182" i="6"/>
  <c r="X182" i="6" s="1"/>
  <c r="Y182" i="6" s="1"/>
  <c r="BQ181" i="6"/>
  <c r="BR181" i="6" s="1"/>
  <c r="BM181" i="6"/>
  <c r="BN181" i="6" s="1"/>
  <c r="BO181" i="6" s="1"/>
  <c r="BI181" i="6"/>
  <c r="BJ181" i="6" s="1"/>
  <c r="BK181" i="6" s="1"/>
  <c r="BE181" i="6"/>
  <c r="BA181" i="6"/>
  <c r="BB181" i="6" s="1"/>
  <c r="AW181" i="6"/>
  <c r="AX181" i="6" s="1"/>
  <c r="AY181" i="6" s="1"/>
  <c r="AO181" i="6"/>
  <c r="AI181" i="6"/>
  <c r="AJ181" i="6" s="1"/>
  <c r="AK181" i="6" s="1"/>
  <c r="AD181" i="6"/>
  <c r="AE181" i="6" s="1"/>
  <c r="AF181" i="6" s="1"/>
  <c r="W181" i="6"/>
  <c r="X181" i="6" s="1"/>
  <c r="Y181" i="6" s="1"/>
  <c r="BQ180" i="6"/>
  <c r="BR180" i="6" s="1"/>
  <c r="BM180" i="6"/>
  <c r="BN180" i="6" s="1"/>
  <c r="BO180" i="6" s="1"/>
  <c r="BI180" i="6"/>
  <c r="BJ180" i="6" s="1"/>
  <c r="BK180" i="6" s="1"/>
  <c r="BE180" i="6"/>
  <c r="BA180" i="6"/>
  <c r="BB180" i="6" s="1"/>
  <c r="AW180" i="6"/>
  <c r="AX180" i="6" s="1"/>
  <c r="AY180" i="6" s="1"/>
  <c r="AO180" i="6"/>
  <c r="AI180" i="6"/>
  <c r="AJ180" i="6" s="1"/>
  <c r="AK180" i="6" s="1"/>
  <c r="AD180" i="6"/>
  <c r="AE180" i="6" s="1"/>
  <c r="AF180" i="6" s="1"/>
  <c r="W180" i="6"/>
  <c r="X180" i="6" s="1"/>
  <c r="Y180" i="6" s="1"/>
  <c r="BQ179" i="6"/>
  <c r="BR179" i="6" s="1"/>
  <c r="BM179" i="6"/>
  <c r="BN179" i="6" s="1"/>
  <c r="BO179" i="6" s="1"/>
  <c r="BI179" i="6"/>
  <c r="BJ179" i="6" s="1"/>
  <c r="BK179" i="6" s="1"/>
  <c r="BE179" i="6"/>
  <c r="BA179" i="6"/>
  <c r="BB179" i="6" s="1"/>
  <c r="AW179" i="6"/>
  <c r="AX179" i="6" s="1"/>
  <c r="AY179" i="6" s="1"/>
  <c r="AO179" i="6"/>
  <c r="AI179" i="6"/>
  <c r="AJ179" i="6" s="1"/>
  <c r="AK179" i="6" s="1"/>
  <c r="BQ178" i="6"/>
  <c r="BR178" i="6" s="1"/>
  <c r="BM178" i="6"/>
  <c r="BN178" i="6" s="1"/>
  <c r="BO178" i="6" s="1"/>
  <c r="BI178" i="6"/>
  <c r="BJ178" i="6" s="1"/>
  <c r="BK178" i="6" s="1"/>
  <c r="BE178" i="6"/>
  <c r="BA178" i="6"/>
  <c r="BB178" i="6" s="1"/>
  <c r="AW178" i="6"/>
  <c r="AX178" i="6" s="1"/>
  <c r="AY178" i="6" s="1"/>
  <c r="AM178" i="6"/>
  <c r="AI178" i="6"/>
  <c r="AJ178" i="6" s="1"/>
  <c r="AK178" i="6" s="1"/>
  <c r="AD178" i="6"/>
  <c r="AE178" i="6" s="1"/>
  <c r="AF178" i="6" s="1"/>
  <c r="W178" i="6"/>
  <c r="X178" i="6" s="1"/>
  <c r="Y178" i="6" s="1"/>
  <c r="BQ177" i="6"/>
  <c r="BR177" i="6" s="1"/>
  <c r="BM177" i="6"/>
  <c r="BN177" i="6" s="1"/>
  <c r="BO177" i="6" s="1"/>
  <c r="BI177" i="6"/>
  <c r="BJ177" i="6" s="1"/>
  <c r="BK177" i="6" s="1"/>
  <c r="BE177" i="6"/>
  <c r="BA177" i="6"/>
  <c r="BB177" i="6" s="1"/>
  <c r="AW177" i="6"/>
  <c r="AX177" i="6" s="1"/>
  <c r="AY177" i="6" s="1"/>
  <c r="AM177" i="6"/>
  <c r="AI177" i="6"/>
  <c r="AJ177" i="6" s="1"/>
  <c r="AK177" i="6" s="1"/>
  <c r="AD177" i="6"/>
  <c r="AE177" i="6" s="1"/>
  <c r="AF177" i="6" s="1"/>
  <c r="W177" i="6"/>
  <c r="X177" i="6" s="1"/>
  <c r="Y177" i="6" s="1"/>
  <c r="BQ176" i="6"/>
  <c r="BR176" i="6" s="1"/>
  <c r="BM176" i="6"/>
  <c r="BN176" i="6" s="1"/>
  <c r="BO176" i="6" s="1"/>
  <c r="BI176" i="6"/>
  <c r="BJ176" i="6" s="1"/>
  <c r="BK176" i="6" s="1"/>
  <c r="BE176" i="6"/>
  <c r="BA176" i="6"/>
  <c r="BB176" i="6" s="1"/>
  <c r="AW176" i="6"/>
  <c r="AX176" i="6" s="1"/>
  <c r="AY176" i="6" s="1"/>
  <c r="AO176" i="6"/>
  <c r="AI176" i="6"/>
  <c r="AJ176" i="6" s="1"/>
  <c r="AK176" i="6" s="1"/>
  <c r="AD176" i="6"/>
  <c r="AE176" i="6" s="1"/>
  <c r="AF176" i="6" s="1"/>
  <c r="W176" i="6"/>
  <c r="X176" i="6" s="1"/>
  <c r="Y176" i="6" s="1"/>
  <c r="BQ175" i="6"/>
  <c r="BR175" i="6" s="1"/>
  <c r="BM175" i="6"/>
  <c r="BN175" i="6" s="1"/>
  <c r="BO175" i="6" s="1"/>
  <c r="BI175" i="6"/>
  <c r="BJ175" i="6" s="1"/>
  <c r="BK175" i="6" s="1"/>
  <c r="BE175" i="6"/>
  <c r="BA175" i="6"/>
  <c r="BB175" i="6" s="1"/>
  <c r="AW175" i="6"/>
  <c r="AX175" i="6" s="1"/>
  <c r="AY175" i="6" s="1"/>
  <c r="AO175" i="6"/>
  <c r="AI175" i="6"/>
  <c r="AJ175" i="6" s="1"/>
  <c r="AK175" i="6" s="1"/>
  <c r="AD175" i="6"/>
  <c r="AE175" i="6" s="1"/>
  <c r="AF175" i="6" s="1"/>
  <c r="W175" i="6"/>
  <c r="X175" i="6" s="1"/>
  <c r="Y175" i="6" s="1"/>
  <c r="BQ174" i="6"/>
  <c r="BR174" i="6" s="1"/>
  <c r="BM174" i="6"/>
  <c r="BN174" i="6" s="1"/>
  <c r="BO174" i="6" s="1"/>
  <c r="BI174" i="6"/>
  <c r="BJ174" i="6" s="1"/>
  <c r="BK174" i="6" s="1"/>
  <c r="BE174" i="6"/>
  <c r="BA174" i="6"/>
  <c r="BB174" i="6" s="1"/>
  <c r="AW174" i="6"/>
  <c r="AX174" i="6" s="1"/>
  <c r="AY174" i="6" s="1"/>
  <c r="AM174" i="6"/>
  <c r="AI174" i="6"/>
  <c r="AJ174" i="6" s="1"/>
  <c r="AK174" i="6" s="1"/>
  <c r="AD174" i="6"/>
  <c r="AE174" i="6" s="1"/>
  <c r="AF174" i="6" s="1"/>
  <c r="W174" i="6"/>
  <c r="X174" i="6" s="1"/>
  <c r="Y174" i="6" s="1"/>
  <c r="BQ173" i="6"/>
  <c r="BR173" i="6" s="1"/>
  <c r="BM173" i="6"/>
  <c r="BN173" i="6" s="1"/>
  <c r="BO173" i="6" s="1"/>
  <c r="BI173" i="6"/>
  <c r="BJ173" i="6" s="1"/>
  <c r="BK173" i="6" s="1"/>
  <c r="BE173" i="6"/>
  <c r="BA173" i="6"/>
  <c r="BB173" i="6" s="1"/>
  <c r="AW173" i="6"/>
  <c r="AX173" i="6" s="1"/>
  <c r="AY173" i="6" s="1"/>
  <c r="AM173" i="6"/>
  <c r="AI173" i="6"/>
  <c r="AJ173" i="6" s="1"/>
  <c r="AK173" i="6" s="1"/>
  <c r="AD173" i="6"/>
  <c r="AE173" i="6" s="1"/>
  <c r="AF173" i="6" s="1"/>
  <c r="W173" i="6"/>
  <c r="X173" i="6" s="1"/>
  <c r="Y173" i="6" s="1"/>
  <c r="BQ172" i="6"/>
  <c r="BR172" i="6" s="1"/>
  <c r="BM172" i="6"/>
  <c r="BN172" i="6" s="1"/>
  <c r="BO172" i="6" s="1"/>
  <c r="BI172" i="6"/>
  <c r="BJ172" i="6" s="1"/>
  <c r="BK172" i="6" s="1"/>
  <c r="BE172" i="6"/>
  <c r="BA172" i="6"/>
  <c r="BB172" i="6" s="1"/>
  <c r="AW172" i="6"/>
  <c r="AX172" i="6" s="1"/>
  <c r="AY172" i="6" s="1"/>
  <c r="AO172" i="6"/>
  <c r="AI172" i="6"/>
  <c r="AJ172" i="6" s="1"/>
  <c r="AK172" i="6" s="1"/>
  <c r="AD172" i="6"/>
  <c r="AE172" i="6" s="1"/>
  <c r="AF172" i="6" s="1"/>
  <c r="W172" i="6"/>
  <c r="X172" i="6" s="1"/>
  <c r="Y172" i="6" s="1"/>
  <c r="BQ171" i="6"/>
  <c r="BR171" i="6" s="1"/>
  <c r="BM171" i="6"/>
  <c r="BN171" i="6" s="1"/>
  <c r="BO171" i="6" s="1"/>
  <c r="BI171" i="6"/>
  <c r="BJ171" i="6" s="1"/>
  <c r="BK171" i="6" s="1"/>
  <c r="BE171" i="6"/>
  <c r="BA171" i="6"/>
  <c r="BB171" i="6" s="1"/>
  <c r="AW171" i="6"/>
  <c r="AX171" i="6" s="1"/>
  <c r="AY171" i="6" s="1"/>
  <c r="AO171" i="6"/>
  <c r="AI171" i="6"/>
  <c r="AJ171" i="6" s="1"/>
  <c r="AK171" i="6" s="1"/>
  <c r="AD171" i="6"/>
  <c r="AE171" i="6" s="1"/>
  <c r="AF171" i="6" s="1"/>
  <c r="W171" i="6"/>
  <c r="X171" i="6" s="1"/>
  <c r="Y171" i="6" s="1"/>
  <c r="BQ170" i="6"/>
  <c r="BR170" i="6" s="1"/>
  <c r="BM170" i="6"/>
  <c r="BN170" i="6" s="1"/>
  <c r="BO170" i="6" s="1"/>
  <c r="BI170" i="6"/>
  <c r="BJ170" i="6" s="1"/>
  <c r="BK170" i="6" s="1"/>
  <c r="BE170" i="6"/>
  <c r="BA170" i="6"/>
  <c r="BB170" i="6" s="1"/>
  <c r="AW170" i="6"/>
  <c r="AX170" i="6" s="1"/>
  <c r="AY170" i="6" s="1"/>
  <c r="AO170" i="6"/>
  <c r="AI170" i="6"/>
  <c r="AJ170" i="6" s="1"/>
  <c r="AK170" i="6" s="1"/>
  <c r="AD170" i="6"/>
  <c r="AE170" i="6" s="1"/>
  <c r="AF170" i="6" s="1"/>
  <c r="W170" i="6"/>
  <c r="X170" i="6" s="1"/>
  <c r="Y170" i="6" s="1"/>
  <c r="BQ169" i="6"/>
  <c r="BR169" i="6" s="1"/>
  <c r="BM169" i="6"/>
  <c r="BN169" i="6" s="1"/>
  <c r="BO169" i="6" s="1"/>
  <c r="BI169" i="6"/>
  <c r="BJ169" i="6" s="1"/>
  <c r="BK169" i="6" s="1"/>
  <c r="BE169" i="6"/>
  <c r="BA169" i="6"/>
  <c r="BB169" i="6" s="1"/>
  <c r="AW169" i="6"/>
  <c r="AX169" i="6" s="1"/>
  <c r="AY169" i="6" s="1"/>
  <c r="AO169" i="6"/>
  <c r="AI169" i="6"/>
  <c r="AJ169" i="6" s="1"/>
  <c r="AK169" i="6" s="1"/>
  <c r="AD169" i="6"/>
  <c r="AE169" i="6" s="1"/>
  <c r="AF169" i="6" s="1"/>
  <c r="W169" i="6"/>
  <c r="X169" i="6" s="1"/>
  <c r="Y169" i="6" s="1"/>
  <c r="BQ168" i="6"/>
  <c r="BR168" i="6" s="1"/>
  <c r="BM168" i="6"/>
  <c r="BN168" i="6" s="1"/>
  <c r="BO168" i="6" s="1"/>
  <c r="BI168" i="6"/>
  <c r="BJ168" i="6" s="1"/>
  <c r="BK168" i="6" s="1"/>
  <c r="BE168" i="6"/>
  <c r="BA168" i="6"/>
  <c r="BB168" i="6" s="1"/>
  <c r="AW168" i="6"/>
  <c r="AX168" i="6" s="1"/>
  <c r="AY168" i="6" s="1"/>
  <c r="AM168" i="6"/>
  <c r="AI168" i="6"/>
  <c r="AJ168" i="6" s="1"/>
  <c r="AK168" i="6" s="1"/>
  <c r="AD168" i="6"/>
  <c r="AE168" i="6" s="1"/>
  <c r="AF168" i="6" s="1"/>
  <c r="W168" i="6"/>
  <c r="X168" i="6" s="1"/>
  <c r="Y168" i="6" s="1"/>
  <c r="BQ167" i="6"/>
  <c r="BR167" i="6" s="1"/>
  <c r="BM167" i="6"/>
  <c r="BN167" i="6" s="1"/>
  <c r="BO167" i="6" s="1"/>
  <c r="BI167" i="6"/>
  <c r="BJ167" i="6" s="1"/>
  <c r="BK167" i="6" s="1"/>
  <c r="BE167" i="6"/>
  <c r="BA167" i="6"/>
  <c r="BB167" i="6" s="1"/>
  <c r="AW167" i="6"/>
  <c r="AX167" i="6" s="1"/>
  <c r="AY167" i="6" s="1"/>
  <c r="AM167" i="6"/>
  <c r="AI167" i="6"/>
  <c r="AJ167" i="6" s="1"/>
  <c r="AK167" i="6" s="1"/>
  <c r="AD167" i="6"/>
  <c r="AE167" i="6" s="1"/>
  <c r="AF167" i="6" s="1"/>
  <c r="W167" i="6"/>
  <c r="X167" i="6" s="1"/>
  <c r="Y167" i="6" s="1"/>
  <c r="BQ166" i="6"/>
  <c r="BR166" i="6" s="1"/>
  <c r="BM166" i="6"/>
  <c r="BN166" i="6" s="1"/>
  <c r="BO166" i="6" s="1"/>
  <c r="BI166" i="6"/>
  <c r="BJ166" i="6" s="1"/>
  <c r="BK166" i="6" s="1"/>
  <c r="BE166" i="6"/>
  <c r="BA166" i="6"/>
  <c r="BB166" i="6" s="1"/>
  <c r="AW166" i="6"/>
  <c r="AX166" i="6" s="1"/>
  <c r="AY166" i="6" s="1"/>
  <c r="AO166" i="6"/>
  <c r="AI166" i="6"/>
  <c r="AJ166" i="6" s="1"/>
  <c r="AK166" i="6" s="1"/>
  <c r="AD166" i="6"/>
  <c r="AE166" i="6" s="1"/>
  <c r="AF166" i="6" s="1"/>
  <c r="W166" i="6"/>
  <c r="X166" i="6" s="1"/>
  <c r="Y166" i="6" s="1"/>
  <c r="BQ165" i="6"/>
  <c r="BR165" i="6" s="1"/>
  <c r="BM165" i="6"/>
  <c r="BN165" i="6" s="1"/>
  <c r="BO165" i="6" s="1"/>
  <c r="BI165" i="6"/>
  <c r="BJ165" i="6" s="1"/>
  <c r="BK165" i="6" s="1"/>
  <c r="BE165" i="6"/>
  <c r="BA165" i="6"/>
  <c r="BB165" i="6" s="1"/>
  <c r="AW165" i="6"/>
  <c r="AX165" i="6" s="1"/>
  <c r="AY165" i="6" s="1"/>
  <c r="AM165" i="6"/>
  <c r="AI165" i="6"/>
  <c r="AJ165" i="6" s="1"/>
  <c r="AK165" i="6" s="1"/>
  <c r="AD165" i="6"/>
  <c r="AE165" i="6" s="1"/>
  <c r="AF165" i="6" s="1"/>
  <c r="W165" i="6"/>
  <c r="X165" i="6" s="1"/>
  <c r="Y165" i="6" s="1"/>
  <c r="BQ164" i="6"/>
  <c r="BR164" i="6" s="1"/>
  <c r="BM164" i="6"/>
  <c r="BN164" i="6" s="1"/>
  <c r="BO164" i="6" s="1"/>
  <c r="BI164" i="6"/>
  <c r="BJ164" i="6" s="1"/>
  <c r="BK164" i="6" s="1"/>
  <c r="BE164" i="6"/>
  <c r="BA164" i="6"/>
  <c r="BB164" i="6" s="1"/>
  <c r="AW164" i="6"/>
  <c r="AX164" i="6" s="1"/>
  <c r="AY164" i="6" s="1"/>
  <c r="AO164" i="6"/>
  <c r="AI164" i="6"/>
  <c r="AJ164" i="6" s="1"/>
  <c r="AK164" i="6" s="1"/>
  <c r="AD164" i="6"/>
  <c r="AE164" i="6" s="1"/>
  <c r="AF164" i="6" s="1"/>
  <c r="W164" i="6"/>
  <c r="X164" i="6" s="1"/>
  <c r="Y164" i="6" s="1"/>
  <c r="BQ163" i="6"/>
  <c r="BR163" i="6" s="1"/>
  <c r="BM163" i="6"/>
  <c r="BN163" i="6" s="1"/>
  <c r="BO163" i="6" s="1"/>
  <c r="BI163" i="6"/>
  <c r="BJ163" i="6" s="1"/>
  <c r="BK163" i="6" s="1"/>
  <c r="BE163" i="6"/>
  <c r="BA163" i="6"/>
  <c r="BB163" i="6" s="1"/>
  <c r="AW163" i="6"/>
  <c r="AX163" i="6" s="1"/>
  <c r="AY163" i="6" s="1"/>
  <c r="AM163" i="6"/>
  <c r="AI163" i="6"/>
  <c r="AJ163" i="6" s="1"/>
  <c r="AK163" i="6" s="1"/>
  <c r="AD163" i="6"/>
  <c r="AE163" i="6" s="1"/>
  <c r="AF163" i="6" s="1"/>
  <c r="W163" i="6"/>
  <c r="X163" i="6" s="1"/>
  <c r="Y163" i="6" s="1"/>
  <c r="BQ162" i="6"/>
  <c r="BR162" i="6" s="1"/>
  <c r="BM162" i="6"/>
  <c r="BN162" i="6" s="1"/>
  <c r="BO162" i="6" s="1"/>
  <c r="BI162" i="6"/>
  <c r="BJ162" i="6" s="1"/>
  <c r="BK162" i="6" s="1"/>
  <c r="BE162" i="6"/>
  <c r="BA162" i="6"/>
  <c r="BB162" i="6" s="1"/>
  <c r="AW162" i="6"/>
  <c r="AX162" i="6" s="1"/>
  <c r="AY162" i="6" s="1"/>
  <c r="AO162" i="6"/>
  <c r="AI162" i="6"/>
  <c r="AJ162" i="6" s="1"/>
  <c r="AK162" i="6" s="1"/>
  <c r="AD162" i="6"/>
  <c r="AE162" i="6" s="1"/>
  <c r="AF162" i="6" s="1"/>
  <c r="W162" i="6"/>
  <c r="X162" i="6" s="1"/>
  <c r="Y162" i="6" s="1"/>
  <c r="BQ161" i="6"/>
  <c r="BR161" i="6" s="1"/>
  <c r="BM161" i="6"/>
  <c r="BN161" i="6" s="1"/>
  <c r="BO161" i="6" s="1"/>
  <c r="BI161" i="6"/>
  <c r="BJ161" i="6" s="1"/>
  <c r="BK161" i="6" s="1"/>
  <c r="BE161" i="6"/>
  <c r="BA161" i="6"/>
  <c r="BB161" i="6" s="1"/>
  <c r="AW161" i="6"/>
  <c r="AX161" i="6" s="1"/>
  <c r="AY161" i="6" s="1"/>
  <c r="AM161" i="6"/>
  <c r="AI161" i="6"/>
  <c r="AJ161" i="6" s="1"/>
  <c r="AK161" i="6" s="1"/>
  <c r="AD161" i="6"/>
  <c r="AE161" i="6" s="1"/>
  <c r="AF161" i="6" s="1"/>
  <c r="W161" i="6"/>
  <c r="X161" i="6" s="1"/>
  <c r="Y161" i="6" s="1"/>
  <c r="BQ160" i="6"/>
  <c r="BR160" i="6" s="1"/>
  <c r="BM160" i="6"/>
  <c r="BN160" i="6" s="1"/>
  <c r="BO160" i="6" s="1"/>
  <c r="BI160" i="6"/>
  <c r="BJ160" i="6" s="1"/>
  <c r="BK160" i="6" s="1"/>
  <c r="BE160" i="6"/>
  <c r="BA160" i="6"/>
  <c r="BB160" i="6" s="1"/>
  <c r="AW160" i="6"/>
  <c r="AX160" i="6" s="1"/>
  <c r="AY160" i="6" s="1"/>
  <c r="AM160" i="6"/>
  <c r="AI160" i="6"/>
  <c r="AJ160" i="6" s="1"/>
  <c r="AK160" i="6" s="1"/>
  <c r="AD160" i="6"/>
  <c r="AE160" i="6" s="1"/>
  <c r="AF160" i="6" s="1"/>
  <c r="W160" i="6"/>
  <c r="X160" i="6" s="1"/>
  <c r="Y160" i="6" s="1"/>
  <c r="BQ159" i="6"/>
  <c r="BR159" i="6" s="1"/>
  <c r="BM159" i="6"/>
  <c r="BN159" i="6" s="1"/>
  <c r="BO159" i="6" s="1"/>
  <c r="BI159" i="6"/>
  <c r="BJ159" i="6" s="1"/>
  <c r="BK159" i="6" s="1"/>
  <c r="BE159" i="6"/>
  <c r="BA159" i="6"/>
  <c r="BB159" i="6" s="1"/>
  <c r="AW159" i="6"/>
  <c r="AX159" i="6" s="1"/>
  <c r="AY159" i="6" s="1"/>
  <c r="AO159" i="6"/>
  <c r="AI159" i="6"/>
  <c r="AJ159" i="6" s="1"/>
  <c r="AK159" i="6" s="1"/>
  <c r="AD159" i="6"/>
  <c r="AE159" i="6" s="1"/>
  <c r="AF159" i="6" s="1"/>
  <c r="W159" i="6"/>
  <c r="X159" i="6" s="1"/>
  <c r="Y159" i="6" s="1"/>
  <c r="BQ158" i="6"/>
  <c r="BR158" i="6" s="1"/>
  <c r="BM158" i="6"/>
  <c r="BN158" i="6" s="1"/>
  <c r="BO158" i="6" s="1"/>
  <c r="BI158" i="6"/>
  <c r="BJ158" i="6" s="1"/>
  <c r="BK158" i="6" s="1"/>
  <c r="BE158" i="6"/>
  <c r="BA158" i="6"/>
  <c r="BB158" i="6" s="1"/>
  <c r="AW158" i="6"/>
  <c r="AX158" i="6" s="1"/>
  <c r="AY158" i="6" s="1"/>
  <c r="AM158" i="6"/>
  <c r="AI158" i="6"/>
  <c r="AJ158" i="6" s="1"/>
  <c r="AK158" i="6" s="1"/>
  <c r="AD158" i="6"/>
  <c r="AE158" i="6" s="1"/>
  <c r="AF158" i="6" s="1"/>
  <c r="W158" i="6"/>
  <c r="X158" i="6" s="1"/>
  <c r="Y158" i="6" s="1"/>
  <c r="BQ157" i="6"/>
  <c r="BR157" i="6" s="1"/>
  <c r="BM157" i="6"/>
  <c r="BN157" i="6" s="1"/>
  <c r="BO157" i="6" s="1"/>
  <c r="BI157" i="6"/>
  <c r="BJ157" i="6" s="1"/>
  <c r="BK157" i="6" s="1"/>
  <c r="BE157" i="6"/>
  <c r="BA157" i="6"/>
  <c r="BB157" i="6" s="1"/>
  <c r="AW157" i="6"/>
  <c r="AX157" i="6" s="1"/>
  <c r="AY157" i="6" s="1"/>
  <c r="AO157" i="6"/>
  <c r="AI157" i="6"/>
  <c r="AJ157" i="6" s="1"/>
  <c r="AK157" i="6" s="1"/>
  <c r="AD157" i="6"/>
  <c r="AE157" i="6" s="1"/>
  <c r="AF157" i="6" s="1"/>
  <c r="W157" i="6"/>
  <c r="X157" i="6" s="1"/>
  <c r="Y157" i="6" s="1"/>
  <c r="BQ156" i="6"/>
  <c r="BR156" i="6" s="1"/>
  <c r="BM156" i="6"/>
  <c r="BN156" i="6" s="1"/>
  <c r="BO156" i="6" s="1"/>
  <c r="BI156" i="6"/>
  <c r="BJ156" i="6" s="1"/>
  <c r="BK156" i="6" s="1"/>
  <c r="BE156" i="6"/>
  <c r="BA156" i="6"/>
  <c r="BB156" i="6" s="1"/>
  <c r="AW156" i="6"/>
  <c r="AX156" i="6" s="1"/>
  <c r="AY156" i="6" s="1"/>
  <c r="AM156" i="6"/>
  <c r="AI156" i="6"/>
  <c r="AJ156" i="6" s="1"/>
  <c r="AK156" i="6" s="1"/>
  <c r="AD156" i="6"/>
  <c r="AE156" i="6" s="1"/>
  <c r="AF156" i="6" s="1"/>
  <c r="W156" i="6"/>
  <c r="X156" i="6" s="1"/>
  <c r="Y156" i="6" s="1"/>
  <c r="BQ155" i="6"/>
  <c r="BR155" i="6" s="1"/>
  <c r="BM155" i="6"/>
  <c r="BN155" i="6" s="1"/>
  <c r="BO155" i="6" s="1"/>
  <c r="BI155" i="6"/>
  <c r="BJ155" i="6" s="1"/>
  <c r="BK155" i="6" s="1"/>
  <c r="BE155" i="6"/>
  <c r="BA155" i="6"/>
  <c r="BB155" i="6" s="1"/>
  <c r="AW155" i="6"/>
  <c r="AX155" i="6" s="1"/>
  <c r="AY155" i="6" s="1"/>
  <c r="AO155" i="6"/>
  <c r="AI155" i="6"/>
  <c r="AJ155" i="6" s="1"/>
  <c r="AK155" i="6" s="1"/>
  <c r="AD155" i="6"/>
  <c r="AE155" i="6" s="1"/>
  <c r="AF155" i="6" s="1"/>
  <c r="W155" i="6"/>
  <c r="X155" i="6" s="1"/>
  <c r="Y155" i="6" s="1"/>
  <c r="BQ154" i="6"/>
  <c r="BR154" i="6" s="1"/>
  <c r="BM154" i="6"/>
  <c r="BN154" i="6" s="1"/>
  <c r="BO154" i="6" s="1"/>
  <c r="BI154" i="6"/>
  <c r="BJ154" i="6" s="1"/>
  <c r="BK154" i="6" s="1"/>
  <c r="BE154" i="6"/>
  <c r="BA154" i="6"/>
  <c r="BB154" i="6" s="1"/>
  <c r="AW154" i="6"/>
  <c r="AX154" i="6" s="1"/>
  <c r="AY154" i="6" s="1"/>
  <c r="AM154" i="6"/>
  <c r="AI154" i="6"/>
  <c r="AJ154" i="6" s="1"/>
  <c r="AK154" i="6" s="1"/>
  <c r="AD154" i="6"/>
  <c r="AE154" i="6" s="1"/>
  <c r="AF154" i="6" s="1"/>
  <c r="W154" i="6"/>
  <c r="X154" i="6" s="1"/>
  <c r="Y154" i="6" s="1"/>
  <c r="BQ153" i="6"/>
  <c r="BR153" i="6" s="1"/>
  <c r="BM153" i="6"/>
  <c r="BN153" i="6" s="1"/>
  <c r="BO153" i="6" s="1"/>
  <c r="BI153" i="6"/>
  <c r="BJ153" i="6" s="1"/>
  <c r="BK153" i="6" s="1"/>
  <c r="BE153" i="6"/>
  <c r="BA153" i="6"/>
  <c r="BB153" i="6" s="1"/>
  <c r="AW153" i="6"/>
  <c r="AX153" i="6" s="1"/>
  <c r="AY153" i="6" s="1"/>
  <c r="AO153" i="6"/>
  <c r="AI153" i="6"/>
  <c r="AJ153" i="6" s="1"/>
  <c r="AK153" i="6" s="1"/>
  <c r="AD153" i="6"/>
  <c r="AE153" i="6" s="1"/>
  <c r="AF153" i="6" s="1"/>
  <c r="W153" i="6"/>
  <c r="X153" i="6" s="1"/>
  <c r="Y153" i="6" s="1"/>
  <c r="BQ152" i="6"/>
  <c r="BR152" i="6" s="1"/>
  <c r="BM152" i="6"/>
  <c r="BN152" i="6" s="1"/>
  <c r="BO152" i="6" s="1"/>
  <c r="BI152" i="6"/>
  <c r="BJ152" i="6" s="1"/>
  <c r="BK152" i="6" s="1"/>
  <c r="BE152" i="6"/>
  <c r="BA152" i="6"/>
  <c r="BB152" i="6" s="1"/>
  <c r="AW152" i="6"/>
  <c r="AX152" i="6" s="1"/>
  <c r="AY152" i="6" s="1"/>
  <c r="AO152" i="6"/>
  <c r="AI152" i="6"/>
  <c r="AJ152" i="6" s="1"/>
  <c r="AK152" i="6" s="1"/>
  <c r="AD152" i="6"/>
  <c r="AE152" i="6" s="1"/>
  <c r="AF152" i="6" s="1"/>
  <c r="W152" i="6"/>
  <c r="X152" i="6" s="1"/>
  <c r="Y152" i="6" s="1"/>
  <c r="BQ151" i="6"/>
  <c r="BR151" i="6" s="1"/>
  <c r="BM151" i="6"/>
  <c r="BN151" i="6" s="1"/>
  <c r="BO151" i="6" s="1"/>
  <c r="BI151" i="6"/>
  <c r="BJ151" i="6" s="1"/>
  <c r="BK151" i="6" s="1"/>
  <c r="BE151" i="6"/>
  <c r="BA151" i="6"/>
  <c r="BB151" i="6" s="1"/>
  <c r="AW151" i="6"/>
  <c r="AX151" i="6" s="1"/>
  <c r="AY151" i="6" s="1"/>
  <c r="AM151" i="6"/>
  <c r="AI151" i="6"/>
  <c r="AJ151" i="6" s="1"/>
  <c r="AK151" i="6" s="1"/>
  <c r="AD151" i="6"/>
  <c r="AE151" i="6" s="1"/>
  <c r="AF151" i="6" s="1"/>
  <c r="W151" i="6"/>
  <c r="X151" i="6" s="1"/>
  <c r="Y151" i="6" s="1"/>
  <c r="BQ150" i="6"/>
  <c r="BR150" i="6" s="1"/>
  <c r="BM150" i="6"/>
  <c r="BN150" i="6" s="1"/>
  <c r="BO150" i="6" s="1"/>
  <c r="BI150" i="6"/>
  <c r="BJ150" i="6" s="1"/>
  <c r="BK150" i="6" s="1"/>
  <c r="BE150" i="6"/>
  <c r="BA150" i="6"/>
  <c r="BB150" i="6" s="1"/>
  <c r="AW150" i="6"/>
  <c r="AX150" i="6" s="1"/>
  <c r="AY150" i="6" s="1"/>
  <c r="AO150" i="6"/>
  <c r="AI150" i="6"/>
  <c r="AJ150" i="6" s="1"/>
  <c r="AK150" i="6" s="1"/>
  <c r="AD150" i="6"/>
  <c r="AE150" i="6" s="1"/>
  <c r="AF150" i="6" s="1"/>
  <c r="W150" i="6"/>
  <c r="X150" i="6" s="1"/>
  <c r="Y150" i="6" s="1"/>
  <c r="BQ149" i="6"/>
  <c r="BR149" i="6" s="1"/>
  <c r="BM149" i="6"/>
  <c r="BN149" i="6" s="1"/>
  <c r="BO149" i="6" s="1"/>
  <c r="BI149" i="6"/>
  <c r="BJ149" i="6" s="1"/>
  <c r="BK149" i="6" s="1"/>
  <c r="BE149" i="6"/>
  <c r="BA149" i="6"/>
  <c r="BB149" i="6" s="1"/>
  <c r="AW149" i="6"/>
  <c r="AX149" i="6" s="1"/>
  <c r="AY149" i="6" s="1"/>
  <c r="AM149" i="6"/>
  <c r="AI149" i="6"/>
  <c r="AJ149" i="6" s="1"/>
  <c r="AK149" i="6" s="1"/>
  <c r="AD149" i="6"/>
  <c r="AE149" i="6" s="1"/>
  <c r="AF149" i="6" s="1"/>
  <c r="W149" i="6"/>
  <c r="X149" i="6" s="1"/>
  <c r="Y149" i="6" s="1"/>
  <c r="BQ148" i="6"/>
  <c r="BR148" i="6" s="1"/>
  <c r="BM148" i="6"/>
  <c r="BN148" i="6" s="1"/>
  <c r="BO148" i="6" s="1"/>
  <c r="BI148" i="6"/>
  <c r="BJ148" i="6" s="1"/>
  <c r="BK148" i="6" s="1"/>
  <c r="BE148" i="6"/>
  <c r="BA148" i="6"/>
  <c r="BB148" i="6" s="1"/>
  <c r="AW148" i="6"/>
  <c r="AX148" i="6" s="1"/>
  <c r="AY148" i="6" s="1"/>
  <c r="AM148" i="6"/>
  <c r="AI148" i="6"/>
  <c r="AJ148" i="6" s="1"/>
  <c r="AK148" i="6" s="1"/>
  <c r="AD148" i="6"/>
  <c r="AE148" i="6" s="1"/>
  <c r="AF148" i="6" s="1"/>
  <c r="W148" i="6"/>
  <c r="X148" i="6" s="1"/>
  <c r="Y148" i="6" s="1"/>
  <c r="BQ147" i="6"/>
  <c r="BR147" i="6" s="1"/>
  <c r="BM147" i="6"/>
  <c r="BN147" i="6" s="1"/>
  <c r="BO147" i="6" s="1"/>
  <c r="BI147" i="6"/>
  <c r="BJ147" i="6" s="1"/>
  <c r="BK147" i="6" s="1"/>
  <c r="BE147" i="6"/>
  <c r="BA147" i="6"/>
  <c r="BB147" i="6" s="1"/>
  <c r="AW147" i="6"/>
  <c r="AX147" i="6" s="1"/>
  <c r="AY147" i="6" s="1"/>
  <c r="AM147" i="6"/>
  <c r="AI147" i="6"/>
  <c r="AJ147" i="6" s="1"/>
  <c r="AK147" i="6" s="1"/>
  <c r="AD147" i="6"/>
  <c r="AE147" i="6" s="1"/>
  <c r="AF147" i="6" s="1"/>
  <c r="W147" i="6"/>
  <c r="X147" i="6" s="1"/>
  <c r="Y147" i="6" s="1"/>
  <c r="BQ146" i="6"/>
  <c r="BR146" i="6" s="1"/>
  <c r="BM146" i="6"/>
  <c r="BN146" i="6" s="1"/>
  <c r="BO146" i="6" s="1"/>
  <c r="BI146" i="6"/>
  <c r="BJ146" i="6" s="1"/>
  <c r="BK146" i="6" s="1"/>
  <c r="BE146" i="6"/>
  <c r="BA146" i="6"/>
  <c r="BB146" i="6" s="1"/>
  <c r="AW146" i="6"/>
  <c r="AX146" i="6" s="1"/>
  <c r="AY146" i="6" s="1"/>
  <c r="AO146" i="6"/>
  <c r="AI146" i="6"/>
  <c r="AJ146" i="6" s="1"/>
  <c r="AK146" i="6" s="1"/>
  <c r="AD146" i="6"/>
  <c r="AE146" i="6" s="1"/>
  <c r="AF146" i="6" s="1"/>
  <c r="W146" i="6"/>
  <c r="X146" i="6" s="1"/>
  <c r="Y146" i="6" s="1"/>
  <c r="BQ145" i="6"/>
  <c r="BR145" i="6" s="1"/>
  <c r="BM145" i="6"/>
  <c r="BN145" i="6" s="1"/>
  <c r="BO145" i="6" s="1"/>
  <c r="BI145" i="6"/>
  <c r="BJ145" i="6" s="1"/>
  <c r="BK145" i="6" s="1"/>
  <c r="BE145" i="6"/>
  <c r="BA145" i="6"/>
  <c r="BB145" i="6" s="1"/>
  <c r="AW145" i="6"/>
  <c r="AX145" i="6" s="1"/>
  <c r="AY145" i="6" s="1"/>
  <c r="AM145" i="6"/>
  <c r="AI145" i="6"/>
  <c r="AJ145" i="6" s="1"/>
  <c r="AK145" i="6" s="1"/>
  <c r="AD145" i="6"/>
  <c r="AE145" i="6" s="1"/>
  <c r="AF145" i="6" s="1"/>
  <c r="W145" i="6"/>
  <c r="X145" i="6" s="1"/>
  <c r="Y145" i="6" s="1"/>
  <c r="BQ144" i="6"/>
  <c r="BR144" i="6" s="1"/>
  <c r="BM144" i="6"/>
  <c r="BN144" i="6" s="1"/>
  <c r="BO144" i="6" s="1"/>
  <c r="BI144" i="6"/>
  <c r="BJ144" i="6" s="1"/>
  <c r="BK144" i="6" s="1"/>
  <c r="BE144" i="6"/>
  <c r="BA144" i="6"/>
  <c r="BB144" i="6" s="1"/>
  <c r="AW144" i="6"/>
  <c r="AX144" i="6" s="1"/>
  <c r="AY144" i="6" s="1"/>
  <c r="AM144" i="6"/>
  <c r="AI144" i="6"/>
  <c r="AJ144" i="6" s="1"/>
  <c r="AK144" i="6" s="1"/>
  <c r="AD144" i="6"/>
  <c r="AE144" i="6" s="1"/>
  <c r="AF144" i="6" s="1"/>
  <c r="W144" i="6"/>
  <c r="X144" i="6" s="1"/>
  <c r="Y144" i="6" s="1"/>
  <c r="BQ143" i="6"/>
  <c r="BR143" i="6" s="1"/>
  <c r="BM143" i="6"/>
  <c r="BN143" i="6" s="1"/>
  <c r="BO143" i="6" s="1"/>
  <c r="BI143" i="6"/>
  <c r="BJ143" i="6" s="1"/>
  <c r="BK143" i="6" s="1"/>
  <c r="BE143" i="6"/>
  <c r="BA143" i="6"/>
  <c r="BB143" i="6" s="1"/>
  <c r="AW143" i="6"/>
  <c r="AX143" i="6" s="1"/>
  <c r="AY143" i="6" s="1"/>
  <c r="AM143" i="6"/>
  <c r="AI143" i="6"/>
  <c r="AJ143" i="6" s="1"/>
  <c r="AK143" i="6" s="1"/>
  <c r="BQ142" i="6"/>
  <c r="BR142" i="6" s="1"/>
  <c r="BM142" i="6"/>
  <c r="BN142" i="6" s="1"/>
  <c r="BO142" i="6" s="1"/>
  <c r="BI142" i="6"/>
  <c r="BJ142" i="6" s="1"/>
  <c r="BK142" i="6" s="1"/>
  <c r="BE142" i="6"/>
  <c r="BA142" i="6"/>
  <c r="BB142" i="6" s="1"/>
  <c r="AW142" i="6"/>
  <c r="AX142" i="6" s="1"/>
  <c r="AY142" i="6" s="1"/>
  <c r="AO142" i="6"/>
  <c r="AI142" i="6"/>
  <c r="AJ142" i="6" s="1"/>
  <c r="AK142" i="6" s="1"/>
  <c r="BQ141" i="6"/>
  <c r="BR141" i="6" s="1"/>
  <c r="BM141" i="6"/>
  <c r="BN141" i="6" s="1"/>
  <c r="BO141" i="6" s="1"/>
  <c r="BI141" i="6"/>
  <c r="BJ141" i="6" s="1"/>
  <c r="BK141" i="6" s="1"/>
  <c r="BE141" i="6"/>
  <c r="BA141" i="6"/>
  <c r="BB141" i="6" s="1"/>
  <c r="AW141" i="6"/>
  <c r="AX141" i="6" s="1"/>
  <c r="AY141" i="6" s="1"/>
  <c r="AO141" i="6"/>
  <c r="AI141" i="6"/>
  <c r="AJ141" i="6" s="1"/>
  <c r="AK141" i="6" s="1"/>
  <c r="BQ140" i="6"/>
  <c r="BR140" i="6" s="1"/>
  <c r="BM140" i="6"/>
  <c r="BN140" i="6" s="1"/>
  <c r="BO140" i="6" s="1"/>
  <c r="BI140" i="6"/>
  <c r="BJ140" i="6" s="1"/>
  <c r="BK140" i="6" s="1"/>
  <c r="BE140" i="6"/>
  <c r="BA140" i="6"/>
  <c r="BB140" i="6" s="1"/>
  <c r="AW140" i="6"/>
  <c r="AX140" i="6" s="1"/>
  <c r="AY140" i="6" s="1"/>
  <c r="AO140" i="6"/>
  <c r="AI140" i="6"/>
  <c r="AJ140" i="6" s="1"/>
  <c r="AK140" i="6" s="1"/>
  <c r="AD140" i="6"/>
  <c r="AE140" i="6" s="1"/>
  <c r="AF140" i="6" s="1"/>
  <c r="W140" i="6"/>
  <c r="X140" i="6" s="1"/>
  <c r="Y140" i="6" s="1"/>
  <c r="BQ139" i="6"/>
  <c r="BR139" i="6" s="1"/>
  <c r="BM139" i="6"/>
  <c r="BN139" i="6" s="1"/>
  <c r="BO139" i="6" s="1"/>
  <c r="BI139" i="6"/>
  <c r="BJ139" i="6" s="1"/>
  <c r="BK139" i="6" s="1"/>
  <c r="BE139" i="6"/>
  <c r="BA139" i="6"/>
  <c r="BB139" i="6" s="1"/>
  <c r="AW139" i="6"/>
  <c r="AX139" i="6" s="1"/>
  <c r="AY139" i="6" s="1"/>
  <c r="AM139" i="6"/>
  <c r="AI139" i="6"/>
  <c r="AJ139" i="6" s="1"/>
  <c r="AK139" i="6" s="1"/>
  <c r="AD139" i="6"/>
  <c r="AE139" i="6" s="1"/>
  <c r="AF139" i="6" s="1"/>
  <c r="W139" i="6"/>
  <c r="X139" i="6" s="1"/>
  <c r="Y139" i="6" s="1"/>
  <c r="BQ138" i="6"/>
  <c r="BR138" i="6" s="1"/>
  <c r="BM138" i="6"/>
  <c r="BN138" i="6" s="1"/>
  <c r="BO138" i="6" s="1"/>
  <c r="BI138" i="6"/>
  <c r="BJ138" i="6" s="1"/>
  <c r="BK138" i="6" s="1"/>
  <c r="BE138" i="6"/>
  <c r="BA138" i="6"/>
  <c r="BB138" i="6" s="1"/>
  <c r="AW138" i="6"/>
  <c r="AX138" i="6" s="1"/>
  <c r="AY138" i="6" s="1"/>
  <c r="AM138" i="6"/>
  <c r="AI138" i="6"/>
  <c r="AJ138" i="6" s="1"/>
  <c r="AK138" i="6" s="1"/>
  <c r="AD138" i="6"/>
  <c r="AE138" i="6" s="1"/>
  <c r="AF138" i="6" s="1"/>
  <c r="W138" i="6"/>
  <c r="X138" i="6" s="1"/>
  <c r="Y138" i="6" s="1"/>
  <c r="BQ137" i="6"/>
  <c r="BR137" i="6" s="1"/>
  <c r="BM137" i="6"/>
  <c r="BN137" i="6" s="1"/>
  <c r="BO137" i="6" s="1"/>
  <c r="BI137" i="6"/>
  <c r="BJ137" i="6" s="1"/>
  <c r="BK137" i="6" s="1"/>
  <c r="BE137" i="6"/>
  <c r="BA137" i="6"/>
  <c r="BB137" i="6" s="1"/>
  <c r="AW137" i="6"/>
  <c r="AX137" i="6" s="1"/>
  <c r="AY137" i="6" s="1"/>
  <c r="AM137" i="6"/>
  <c r="AI137" i="6"/>
  <c r="AJ137" i="6" s="1"/>
  <c r="AK137" i="6" s="1"/>
  <c r="AD137" i="6"/>
  <c r="AE137" i="6" s="1"/>
  <c r="AF137" i="6" s="1"/>
  <c r="W137" i="6"/>
  <c r="X137" i="6" s="1"/>
  <c r="Y137" i="6" s="1"/>
  <c r="BQ136" i="6"/>
  <c r="BR136" i="6" s="1"/>
  <c r="BM136" i="6"/>
  <c r="BN136" i="6" s="1"/>
  <c r="BO136" i="6" s="1"/>
  <c r="BI136" i="6"/>
  <c r="BJ136" i="6" s="1"/>
  <c r="BK136" i="6" s="1"/>
  <c r="BE136" i="6"/>
  <c r="BA136" i="6"/>
  <c r="BB136" i="6" s="1"/>
  <c r="AW136" i="6"/>
  <c r="AX136" i="6" s="1"/>
  <c r="AY136" i="6" s="1"/>
  <c r="AO136" i="6"/>
  <c r="AI136" i="6"/>
  <c r="AJ136" i="6" s="1"/>
  <c r="AK136" i="6" s="1"/>
  <c r="BQ135" i="6"/>
  <c r="BR135" i="6" s="1"/>
  <c r="BM135" i="6"/>
  <c r="BN135" i="6" s="1"/>
  <c r="BO135" i="6" s="1"/>
  <c r="BI135" i="6"/>
  <c r="BJ135" i="6" s="1"/>
  <c r="BK135" i="6" s="1"/>
  <c r="BE135" i="6"/>
  <c r="BA135" i="6"/>
  <c r="BB135" i="6" s="1"/>
  <c r="AW135" i="6"/>
  <c r="AX135" i="6" s="1"/>
  <c r="AY135" i="6" s="1"/>
  <c r="AO135" i="6"/>
  <c r="AI135" i="6"/>
  <c r="AJ135" i="6" s="1"/>
  <c r="AK135" i="6" s="1"/>
  <c r="AD135" i="6"/>
  <c r="AE135" i="6" s="1"/>
  <c r="AF135" i="6" s="1"/>
  <c r="W135" i="6"/>
  <c r="X135" i="6" s="1"/>
  <c r="Y135" i="6" s="1"/>
  <c r="BQ134" i="6"/>
  <c r="BR134" i="6" s="1"/>
  <c r="BM134" i="6"/>
  <c r="BN134" i="6" s="1"/>
  <c r="BO134" i="6" s="1"/>
  <c r="BI134" i="6"/>
  <c r="BJ134" i="6" s="1"/>
  <c r="BK134" i="6" s="1"/>
  <c r="BE134" i="6"/>
  <c r="BA134" i="6"/>
  <c r="BB134" i="6" s="1"/>
  <c r="AW134" i="6"/>
  <c r="AX134" i="6" s="1"/>
  <c r="AY134" i="6" s="1"/>
  <c r="AO134" i="6"/>
  <c r="AI134" i="6"/>
  <c r="AJ134" i="6" s="1"/>
  <c r="AK134" i="6" s="1"/>
  <c r="AD134" i="6"/>
  <c r="AE134" i="6" s="1"/>
  <c r="AF134" i="6" s="1"/>
  <c r="W134" i="6"/>
  <c r="X134" i="6" s="1"/>
  <c r="Y134" i="6" s="1"/>
  <c r="BQ133" i="6"/>
  <c r="BR133" i="6" s="1"/>
  <c r="BM133" i="6"/>
  <c r="BN133" i="6" s="1"/>
  <c r="BO133" i="6" s="1"/>
  <c r="BI133" i="6"/>
  <c r="BJ133" i="6" s="1"/>
  <c r="BK133" i="6" s="1"/>
  <c r="BE133" i="6"/>
  <c r="BA133" i="6"/>
  <c r="BB133" i="6" s="1"/>
  <c r="AW133" i="6"/>
  <c r="AX133" i="6" s="1"/>
  <c r="AY133" i="6" s="1"/>
  <c r="AM133" i="6"/>
  <c r="AI133" i="6"/>
  <c r="AJ133" i="6" s="1"/>
  <c r="AK133" i="6" s="1"/>
  <c r="AD133" i="6"/>
  <c r="AE133" i="6" s="1"/>
  <c r="AF133" i="6" s="1"/>
  <c r="W133" i="6"/>
  <c r="X133" i="6" s="1"/>
  <c r="Y133" i="6" s="1"/>
  <c r="BQ132" i="6"/>
  <c r="BR132" i="6" s="1"/>
  <c r="BM132" i="6"/>
  <c r="BN132" i="6" s="1"/>
  <c r="BO132" i="6" s="1"/>
  <c r="BI132" i="6"/>
  <c r="BJ132" i="6" s="1"/>
  <c r="BK132" i="6" s="1"/>
  <c r="BE132" i="6"/>
  <c r="BA132" i="6"/>
  <c r="BB132" i="6" s="1"/>
  <c r="AW132" i="6"/>
  <c r="AX132" i="6" s="1"/>
  <c r="AY132" i="6" s="1"/>
  <c r="AM132" i="6"/>
  <c r="AI132" i="6"/>
  <c r="AJ132" i="6" s="1"/>
  <c r="AK132" i="6" s="1"/>
  <c r="AD132" i="6"/>
  <c r="AE132" i="6" s="1"/>
  <c r="AF132" i="6" s="1"/>
  <c r="W132" i="6"/>
  <c r="X132" i="6" s="1"/>
  <c r="Y132" i="6" s="1"/>
  <c r="BQ131" i="6"/>
  <c r="BR131" i="6" s="1"/>
  <c r="BM131" i="6"/>
  <c r="BN131" i="6" s="1"/>
  <c r="BO131" i="6" s="1"/>
  <c r="BI131" i="6"/>
  <c r="BJ131" i="6" s="1"/>
  <c r="BK131" i="6" s="1"/>
  <c r="BE131" i="6"/>
  <c r="BA131" i="6"/>
  <c r="BB131" i="6" s="1"/>
  <c r="AW131" i="6"/>
  <c r="AX131" i="6" s="1"/>
  <c r="AY131" i="6" s="1"/>
  <c r="AO131" i="6"/>
  <c r="AI131" i="6"/>
  <c r="AJ131" i="6" s="1"/>
  <c r="AK131" i="6" s="1"/>
  <c r="AD131" i="6"/>
  <c r="AE131" i="6" s="1"/>
  <c r="AF131" i="6" s="1"/>
  <c r="W131" i="6"/>
  <c r="X131" i="6" s="1"/>
  <c r="Y131" i="6" s="1"/>
  <c r="BQ130" i="6"/>
  <c r="BR130" i="6" s="1"/>
  <c r="BM130" i="6"/>
  <c r="BN130" i="6" s="1"/>
  <c r="BO130" i="6" s="1"/>
  <c r="BI130" i="6"/>
  <c r="BJ130" i="6" s="1"/>
  <c r="BK130" i="6" s="1"/>
  <c r="BE130" i="6"/>
  <c r="BA130" i="6"/>
  <c r="BB130" i="6" s="1"/>
  <c r="AW130" i="6"/>
  <c r="AX130" i="6" s="1"/>
  <c r="AY130" i="6" s="1"/>
  <c r="AO130" i="6"/>
  <c r="AI130" i="6"/>
  <c r="AJ130" i="6" s="1"/>
  <c r="AK130" i="6" s="1"/>
  <c r="BQ129" i="6"/>
  <c r="BR129" i="6" s="1"/>
  <c r="BM129" i="6"/>
  <c r="BN129" i="6" s="1"/>
  <c r="BO129" i="6" s="1"/>
  <c r="BI129" i="6"/>
  <c r="BJ129" i="6" s="1"/>
  <c r="BK129" i="6" s="1"/>
  <c r="BE129" i="6"/>
  <c r="BA129" i="6"/>
  <c r="BB129" i="6" s="1"/>
  <c r="AW129" i="6"/>
  <c r="AX129" i="6" s="1"/>
  <c r="AY129" i="6" s="1"/>
  <c r="AM129" i="6"/>
  <c r="AI129" i="6"/>
  <c r="AJ129" i="6" s="1"/>
  <c r="AK129" i="6" s="1"/>
  <c r="AD129" i="6"/>
  <c r="AE129" i="6" s="1"/>
  <c r="AF129" i="6" s="1"/>
  <c r="W129" i="6"/>
  <c r="X129" i="6" s="1"/>
  <c r="Y129" i="6" s="1"/>
  <c r="BQ128" i="6"/>
  <c r="BR128" i="6" s="1"/>
  <c r="BM128" i="6"/>
  <c r="BN128" i="6" s="1"/>
  <c r="BO128" i="6" s="1"/>
  <c r="BI128" i="6"/>
  <c r="BJ128" i="6" s="1"/>
  <c r="BK128" i="6" s="1"/>
  <c r="BE128" i="6"/>
  <c r="BA128" i="6"/>
  <c r="BB128" i="6" s="1"/>
  <c r="AW128" i="6"/>
  <c r="AX128" i="6" s="1"/>
  <c r="AY128" i="6" s="1"/>
  <c r="AO128" i="6"/>
  <c r="AI128" i="6"/>
  <c r="AJ128" i="6" s="1"/>
  <c r="AK128" i="6" s="1"/>
  <c r="AD128" i="6"/>
  <c r="AE128" i="6" s="1"/>
  <c r="AF128" i="6" s="1"/>
  <c r="W128" i="6"/>
  <c r="X128" i="6" s="1"/>
  <c r="Y128" i="6" s="1"/>
  <c r="BQ127" i="6"/>
  <c r="BR127" i="6" s="1"/>
  <c r="BM127" i="6"/>
  <c r="BN127" i="6" s="1"/>
  <c r="BO127" i="6" s="1"/>
  <c r="BI127" i="6"/>
  <c r="BJ127" i="6" s="1"/>
  <c r="BK127" i="6" s="1"/>
  <c r="BE127" i="6"/>
  <c r="BA127" i="6"/>
  <c r="BB127" i="6" s="1"/>
  <c r="AW127" i="6"/>
  <c r="AX127" i="6" s="1"/>
  <c r="AY127" i="6" s="1"/>
  <c r="AO127" i="6"/>
  <c r="AI127" i="6"/>
  <c r="AJ127" i="6" s="1"/>
  <c r="AK127" i="6" s="1"/>
  <c r="AD127" i="6"/>
  <c r="AE127" i="6" s="1"/>
  <c r="AF127" i="6" s="1"/>
  <c r="W127" i="6"/>
  <c r="X127" i="6" s="1"/>
  <c r="Y127" i="6" s="1"/>
  <c r="BQ126" i="6"/>
  <c r="BR126" i="6" s="1"/>
  <c r="BM126" i="6"/>
  <c r="BN126" i="6" s="1"/>
  <c r="BO126" i="6" s="1"/>
  <c r="BI126" i="6"/>
  <c r="BJ126" i="6" s="1"/>
  <c r="BK126" i="6" s="1"/>
  <c r="BE126" i="6"/>
  <c r="BA126" i="6"/>
  <c r="BB126" i="6" s="1"/>
  <c r="AW126" i="6"/>
  <c r="AX126" i="6" s="1"/>
  <c r="AY126" i="6" s="1"/>
  <c r="AM126" i="6"/>
  <c r="AI126" i="6"/>
  <c r="AJ126" i="6" s="1"/>
  <c r="AK126" i="6" s="1"/>
  <c r="AD126" i="6"/>
  <c r="AE126" i="6" s="1"/>
  <c r="AF126" i="6" s="1"/>
  <c r="W126" i="6"/>
  <c r="X126" i="6" s="1"/>
  <c r="Y126" i="6" s="1"/>
  <c r="BQ125" i="6"/>
  <c r="BR125" i="6" s="1"/>
  <c r="BM125" i="6"/>
  <c r="BN125" i="6" s="1"/>
  <c r="BO125" i="6" s="1"/>
  <c r="BI125" i="6"/>
  <c r="BJ125" i="6" s="1"/>
  <c r="BK125" i="6" s="1"/>
  <c r="BE125" i="6"/>
  <c r="BA125" i="6"/>
  <c r="BB125" i="6" s="1"/>
  <c r="AW125" i="6"/>
  <c r="AX125" i="6" s="1"/>
  <c r="AY125" i="6" s="1"/>
  <c r="AM125" i="6"/>
  <c r="AI125" i="6"/>
  <c r="AJ125" i="6" s="1"/>
  <c r="AK125" i="6" s="1"/>
  <c r="AD125" i="6"/>
  <c r="AE125" i="6" s="1"/>
  <c r="AF125" i="6" s="1"/>
  <c r="W125" i="6"/>
  <c r="X125" i="6" s="1"/>
  <c r="Y125" i="6" s="1"/>
  <c r="BQ124" i="6"/>
  <c r="BR124" i="6" s="1"/>
  <c r="BM124" i="6"/>
  <c r="BN124" i="6" s="1"/>
  <c r="BO124" i="6" s="1"/>
  <c r="BI124" i="6"/>
  <c r="BJ124" i="6" s="1"/>
  <c r="BK124" i="6" s="1"/>
  <c r="BE124" i="6"/>
  <c r="BA124" i="6"/>
  <c r="BB124" i="6" s="1"/>
  <c r="AW124" i="6"/>
  <c r="AX124" i="6" s="1"/>
  <c r="AY124" i="6" s="1"/>
  <c r="AM124" i="6"/>
  <c r="AI124" i="6"/>
  <c r="AJ124" i="6" s="1"/>
  <c r="AK124" i="6" s="1"/>
  <c r="AD124" i="6"/>
  <c r="AE124" i="6" s="1"/>
  <c r="AF124" i="6" s="1"/>
  <c r="W124" i="6"/>
  <c r="X124" i="6" s="1"/>
  <c r="Y124" i="6" s="1"/>
  <c r="BQ123" i="6"/>
  <c r="BR123" i="6" s="1"/>
  <c r="BM123" i="6"/>
  <c r="BN123" i="6" s="1"/>
  <c r="BO123" i="6" s="1"/>
  <c r="BI123" i="6"/>
  <c r="BJ123" i="6" s="1"/>
  <c r="BK123" i="6" s="1"/>
  <c r="BE123" i="6"/>
  <c r="BA123" i="6"/>
  <c r="BB123" i="6" s="1"/>
  <c r="AW123" i="6"/>
  <c r="AX123" i="6" s="1"/>
  <c r="AY123" i="6" s="1"/>
  <c r="AM123" i="6"/>
  <c r="AI123" i="6"/>
  <c r="AJ123" i="6" s="1"/>
  <c r="AK123" i="6" s="1"/>
  <c r="AD123" i="6"/>
  <c r="AE123" i="6" s="1"/>
  <c r="AF123" i="6" s="1"/>
  <c r="W123" i="6"/>
  <c r="X123" i="6" s="1"/>
  <c r="Y123" i="6" s="1"/>
  <c r="BQ122" i="6"/>
  <c r="BR122" i="6" s="1"/>
  <c r="BM122" i="6"/>
  <c r="BN122" i="6" s="1"/>
  <c r="BO122" i="6" s="1"/>
  <c r="BI122" i="6"/>
  <c r="BJ122" i="6" s="1"/>
  <c r="BK122" i="6" s="1"/>
  <c r="BE122" i="6"/>
  <c r="BA122" i="6"/>
  <c r="BB122" i="6" s="1"/>
  <c r="AW122" i="6"/>
  <c r="AX122" i="6" s="1"/>
  <c r="AY122" i="6" s="1"/>
  <c r="AO122" i="6"/>
  <c r="AI122" i="6"/>
  <c r="AJ122" i="6" s="1"/>
  <c r="AK122" i="6" s="1"/>
  <c r="BQ121" i="6"/>
  <c r="BR121" i="6" s="1"/>
  <c r="BM121" i="6"/>
  <c r="BN121" i="6" s="1"/>
  <c r="BO121" i="6" s="1"/>
  <c r="BI121" i="6"/>
  <c r="BJ121" i="6" s="1"/>
  <c r="BK121" i="6" s="1"/>
  <c r="BE121" i="6"/>
  <c r="BA121" i="6"/>
  <c r="BB121" i="6" s="1"/>
  <c r="AW121" i="6"/>
  <c r="AX121" i="6" s="1"/>
  <c r="AY121" i="6" s="1"/>
  <c r="AM121" i="6"/>
  <c r="AI121" i="6"/>
  <c r="AJ121" i="6" s="1"/>
  <c r="AK121" i="6" s="1"/>
  <c r="BQ120" i="6"/>
  <c r="BR120" i="6" s="1"/>
  <c r="BM120" i="6"/>
  <c r="BN120" i="6" s="1"/>
  <c r="BO120" i="6" s="1"/>
  <c r="BI120" i="6"/>
  <c r="BJ120" i="6" s="1"/>
  <c r="BK120" i="6" s="1"/>
  <c r="BE120" i="6"/>
  <c r="BA120" i="6"/>
  <c r="BB120" i="6" s="1"/>
  <c r="AW120" i="6"/>
  <c r="AX120" i="6" s="1"/>
  <c r="AY120" i="6" s="1"/>
  <c r="AM120" i="6"/>
  <c r="AI120" i="6"/>
  <c r="AJ120" i="6" s="1"/>
  <c r="AK120" i="6" s="1"/>
  <c r="AD120" i="6"/>
  <c r="AE120" i="6" s="1"/>
  <c r="AF120" i="6" s="1"/>
  <c r="W120" i="6"/>
  <c r="X120" i="6" s="1"/>
  <c r="Y120" i="6" s="1"/>
  <c r="BQ119" i="6"/>
  <c r="BR119" i="6" s="1"/>
  <c r="BM119" i="6"/>
  <c r="BN119" i="6" s="1"/>
  <c r="BO119" i="6" s="1"/>
  <c r="BI119" i="6"/>
  <c r="BJ119" i="6" s="1"/>
  <c r="BK119" i="6" s="1"/>
  <c r="BE119" i="6"/>
  <c r="BA119" i="6"/>
  <c r="BB119" i="6" s="1"/>
  <c r="AW119" i="6"/>
  <c r="AX119" i="6" s="1"/>
  <c r="AY119" i="6" s="1"/>
  <c r="AO119" i="6"/>
  <c r="AI119" i="6"/>
  <c r="AJ119" i="6" s="1"/>
  <c r="AK119" i="6" s="1"/>
  <c r="AD119" i="6"/>
  <c r="AE119" i="6" s="1"/>
  <c r="AF119" i="6" s="1"/>
  <c r="W119" i="6"/>
  <c r="X119" i="6" s="1"/>
  <c r="Y119" i="6" s="1"/>
  <c r="BQ118" i="6"/>
  <c r="BR118" i="6" s="1"/>
  <c r="BM118" i="6"/>
  <c r="BN118" i="6" s="1"/>
  <c r="BO118" i="6" s="1"/>
  <c r="BI118" i="6"/>
  <c r="BJ118" i="6" s="1"/>
  <c r="BK118" i="6" s="1"/>
  <c r="BE118" i="6"/>
  <c r="BA118" i="6"/>
  <c r="BB118" i="6" s="1"/>
  <c r="AW118" i="6"/>
  <c r="AX118" i="6" s="1"/>
  <c r="AY118" i="6" s="1"/>
  <c r="AO118" i="6"/>
  <c r="AI118" i="6"/>
  <c r="AJ118" i="6" s="1"/>
  <c r="AK118" i="6" s="1"/>
  <c r="AD118" i="6"/>
  <c r="AE118" i="6" s="1"/>
  <c r="AF118" i="6" s="1"/>
  <c r="W118" i="6"/>
  <c r="X118" i="6" s="1"/>
  <c r="Y118" i="6" s="1"/>
  <c r="BQ117" i="6"/>
  <c r="BR117" i="6" s="1"/>
  <c r="BM117" i="6"/>
  <c r="BN117" i="6" s="1"/>
  <c r="BO117" i="6" s="1"/>
  <c r="BI117" i="6"/>
  <c r="BJ117" i="6" s="1"/>
  <c r="BK117" i="6" s="1"/>
  <c r="BE117" i="6"/>
  <c r="BA117" i="6"/>
  <c r="BB117" i="6" s="1"/>
  <c r="AW117" i="6"/>
  <c r="AX117" i="6" s="1"/>
  <c r="AY117" i="6" s="1"/>
  <c r="AO117" i="6"/>
  <c r="AI117" i="6"/>
  <c r="AJ117" i="6" s="1"/>
  <c r="AK117" i="6" s="1"/>
  <c r="AD117" i="6"/>
  <c r="AE117" i="6" s="1"/>
  <c r="AF117" i="6" s="1"/>
  <c r="W117" i="6"/>
  <c r="X117" i="6" s="1"/>
  <c r="Y117" i="6" s="1"/>
  <c r="BQ116" i="6"/>
  <c r="BR116" i="6" s="1"/>
  <c r="BM116" i="6"/>
  <c r="BN116" i="6" s="1"/>
  <c r="BO116" i="6" s="1"/>
  <c r="BI116" i="6"/>
  <c r="BJ116" i="6" s="1"/>
  <c r="BK116" i="6" s="1"/>
  <c r="BE116" i="6"/>
  <c r="BA116" i="6"/>
  <c r="BB116" i="6" s="1"/>
  <c r="AW116" i="6"/>
  <c r="AX116" i="6" s="1"/>
  <c r="AY116" i="6" s="1"/>
  <c r="AO116" i="6"/>
  <c r="AI116" i="6"/>
  <c r="AJ116" i="6" s="1"/>
  <c r="AK116" i="6" s="1"/>
  <c r="AD116" i="6"/>
  <c r="AE116" i="6" s="1"/>
  <c r="AF116" i="6" s="1"/>
  <c r="W116" i="6"/>
  <c r="X116" i="6" s="1"/>
  <c r="Y116" i="6" s="1"/>
  <c r="BQ115" i="6"/>
  <c r="BR115" i="6" s="1"/>
  <c r="BM115" i="6"/>
  <c r="BN115" i="6" s="1"/>
  <c r="BO115" i="6" s="1"/>
  <c r="BI115" i="6"/>
  <c r="BJ115" i="6" s="1"/>
  <c r="BK115" i="6" s="1"/>
  <c r="BE115" i="6"/>
  <c r="BA115" i="6"/>
  <c r="BB115" i="6" s="1"/>
  <c r="AW115" i="6"/>
  <c r="AX115" i="6" s="1"/>
  <c r="AY115" i="6" s="1"/>
  <c r="AO115" i="6"/>
  <c r="AI115" i="6"/>
  <c r="AJ115" i="6" s="1"/>
  <c r="AK115" i="6" s="1"/>
  <c r="AD115" i="6"/>
  <c r="AE115" i="6" s="1"/>
  <c r="AF115" i="6" s="1"/>
  <c r="W115" i="6"/>
  <c r="X115" i="6" s="1"/>
  <c r="Y115" i="6" s="1"/>
  <c r="BQ114" i="6"/>
  <c r="BR114" i="6" s="1"/>
  <c r="BM114" i="6"/>
  <c r="BN114" i="6" s="1"/>
  <c r="BO114" i="6" s="1"/>
  <c r="BI114" i="6"/>
  <c r="BJ114" i="6" s="1"/>
  <c r="BK114" i="6" s="1"/>
  <c r="BE114" i="6"/>
  <c r="BA114" i="6"/>
  <c r="BB114" i="6" s="1"/>
  <c r="AW114" i="6"/>
  <c r="AX114" i="6" s="1"/>
  <c r="AY114" i="6" s="1"/>
  <c r="AM114" i="6"/>
  <c r="AI114" i="6"/>
  <c r="AJ114" i="6" s="1"/>
  <c r="AK114" i="6" s="1"/>
  <c r="AD114" i="6"/>
  <c r="AE114" i="6" s="1"/>
  <c r="AF114" i="6" s="1"/>
  <c r="W114" i="6"/>
  <c r="X114" i="6" s="1"/>
  <c r="Y114" i="6" s="1"/>
  <c r="BQ113" i="6"/>
  <c r="BR113" i="6" s="1"/>
  <c r="BM113" i="6"/>
  <c r="BN113" i="6" s="1"/>
  <c r="BO113" i="6" s="1"/>
  <c r="BI113" i="6"/>
  <c r="BJ113" i="6" s="1"/>
  <c r="BK113" i="6" s="1"/>
  <c r="BE113" i="6"/>
  <c r="BA113" i="6"/>
  <c r="BB113" i="6" s="1"/>
  <c r="AW113" i="6"/>
  <c r="AX113" i="6" s="1"/>
  <c r="AY113" i="6" s="1"/>
  <c r="AO113" i="6"/>
  <c r="AI113" i="6"/>
  <c r="AJ113" i="6" s="1"/>
  <c r="AK113" i="6" s="1"/>
  <c r="AD113" i="6"/>
  <c r="AE113" i="6" s="1"/>
  <c r="AF113" i="6" s="1"/>
  <c r="W113" i="6"/>
  <c r="X113" i="6" s="1"/>
  <c r="Y113" i="6" s="1"/>
  <c r="BQ112" i="6"/>
  <c r="BR112" i="6" s="1"/>
  <c r="BM112" i="6"/>
  <c r="BN112" i="6" s="1"/>
  <c r="BO112" i="6" s="1"/>
  <c r="BI112" i="6"/>
  <c r="BJ112" i="6" s="1"/>
  <c r="BK112" i="6" s="1"/>
  <c r="BE112" i="6"/>
  <c r="BA112" i="6"/>
  <c r="BB112" i="6" s="1"/>
  <c r="AW112" i="6"/>
  <c r="AX112" i="6" s="1"/>
  <c r="AY112" i="6" s="1"/>
  <c r="AO112" i="6"/>
  <c r="AI112" i="6"/>
  <c r="AJ112" i="6" s="1"/>
  <c r="AK112" i="6" s="1"/>
  <c r="AD112" i="6"/>
  <c r="AE112" i="6" s="1"/>
  <c r="AF112" i="6" s="1"/>
  <c r="W112" i="6"/>
  <c r="X112" i="6" s="1"/>
  <c r="Y112" i="6" s="1"/>
  <c r="BQ111" i="6"/>
  <c r="BR111" i="6" s="1"/>
  <c r="BM111" i="6"/>
  <c r="BN111" i="6" s="1"/>
  <c r="BO111" i="6" s="1"/>
  <c r="BI111" i="6"/>
  <c r="BJ111" i="6" s="1"/>
  <c r="BK111" i="6" s="1"/>
  <c r="BE111" i="6"/>
  <c r="BA111" i="6"/>
  <c r="BB111" i="6" s="1"/>
  <c r="AW111" i="6"/>
  <c r="AX111" i="6" s="1"/>
  <c r="AY111" i="6" s="1"/>
  <c r="AM111" i="6"/>
  <c r="AI111" i="6"/>
  <c r="AJ111" i="6" s="1"/>
  <c r="AK111" i="6" s="1"/>
  <c r="AD111" i="6"/>
  <c r="AE111" i="6" s="1"/>
  <c r="AF111" i="6" s="1"/>
  <c r="W111" i="6"/>
  <c r="X111" i="6" s="1"/>
  <c r="Y111" i="6" s="1"/>
  <c r="BQ110" i="6"/>
  <c r="BR110" i="6" s="1"/>
  <c r="BM110" i="6"/>
  <c r="BN110" i="6" s="1"/>
  <c r="BO110" i="6" s="1"/>
  <c r="BI110" i="6"/>
  <c r="BJ110" i="6" s="1"/>
  <c r="BK110" i="6" s="1"/>
  <c r="BE110" i="6"/>
  <c r="BA110" i="6"/>
  <c r="BB110" i="6" s="1"/>
  <c r="AW110" i="6"/>
  <c r="AX110" i="6" s="1"/>
  <c r="AY110" i="6" s="1"/>
  <c r="AM110" i="6"/>
  <c r="AI110" i="6"/>
  <c r="AJ110" i="6" s="1"/>
  <c r="AK110" i="6" s="1"/>
  <c r="AD110" i="6"/>
  <c r="AE110" i="6" s="1"/>
  <c r="AF110" i="6" s="1"/>
  <c r="W110" i="6"/>
  <c r="X110" i="6" s="1"/>
  <c r="Y110" i="6" s="1"/>
  <c r="BQ109" i="6"/>
  <c r="BR109" i="6" s="1"/>
  <c r="BM109" i="6"/>
  <c r="BN109" i="6" s="1"/>
  <c r="BO109" i="6" s="1"/>
  <c r="BI109" i="6"/>
  <c r="BJ109" i="6" s="1"/>
  <c r="BK109" i="6" s="1"/>
  <c r="BE109" i="6"/>
  <c r="BA109" i="6"/>
  <c r="BB109" i="6" s="1"/>
  <c r="AW109" i="6"/>
  <c r="AX109" i="6" s="1"/>
  <c r="AY109" i="6" s="1"/>
  <c r="AM109" i="6"/>
  <c r="AI109" i="6"/>
  <c r="AJ109" i="6" s="1"/>
  <c r="AK109" i="6" s="1"/>
  <c r="AD109" i="6"/>
  <c r="AE109" i="6" s="1"/>
  <c r="AF109" i="6" s="1"/>
  <c r="W109" i="6"/>
  <c r="X109" i="6" s="1"/>
  <c r="Y109" i="6" s="1"/>
  <c r="BQ108" i="6"/>
  <c r="BR108" i="6" s="1"/>
  <c r="BM108" i="6"/>
  <c r="BN108" i="6" s="1"/>
  <c r="BO108" i="6" s="1"/>
  <c r="BI108" i="6"/>
  <c r="BJ108" i="6" s="1"/>
  <c r="BK108" i="6" s="1"/>
  <c r="BE108" i="6"/>
  <c r="BA108" i="6"/>
  <c r="BB108" i="6" s="1"/>
  <c r="AW108" i="6"/>
  <c r="AX108" i="6" s="1"/>
  <c r="AY108" i="6" s="1"/>
  <c r="AO108" i="6"/>
  <c r="AI108" i="6"/>
  <c r="AJ108" i="6" s="1"/>
  <c r="AK108" i="6" s="1"/>
  <c r="AD108" i="6"/>
  <c r="AE108" i="6" s="1"/>
  <c r="AF108" i="6" s="1"/>
  <c r="W108" i="6"/>
  <c r="X108" i="6" s="1"/>
  <c r="Y108" i="6" s="1"/>
  <c r="BQ107" i="6"/>
  <c r="BR107" i="6" s="1"/>
  <c r="BM107" i="6"/>
  <c r="BN107" i="6" s="1"/>
  <c r="BO107" i="6" s="1"/>
  <c r="BI107" i="6"/>
  <c r="BJ107" i="6" s="1"/>
  <c r="BK107" i="6" s="1"/>
  <c r="BE107" i="6"/>
  <c r="BA107" i="6"/>
  <c r="BB107" i="6" s="1"/>
  <c r="AW107" i="6"/>
  <c r="AX107" i="6" s="1"/>
  <c r="AY107" i="6" s="1"/>
  <c r="AM107" i="6"/>
  <c r="AI107" i="6"/>
  <c r="AJ107" i="6" s="1"/>
  <c r="AK107" i="6" s="1"/>
  <c r="AD107" i="6"/>
  <c r="AE107" i="6" s="1"/>
  <c r="AF107" i="6" s="1"/>
  <c r="W107" i="6"/>
  <c r="X107" i="6" s="1"/>
  <c r="Y107" i="6" s="1"/>
  <c r="BQ106" i="6"/>
  <c r="BR106" i="6" s="1"/>
  <c r="BM106" i="6"/>
  <c r="BN106" i="6" s="1"/>
  <c r="BO106" i="6" s="1"/>
  <c r="BI106" i="6"/>
  <c r="BJ106" i="6" s="1"/>
  <c r="BK106" i="6" s="1"/>
  <c r="BE106" i="6"/>
  <c r="BA106" i="6"/>
  <c r="BB106" i="6" s="1"/>
  <c r="AW106" i="6"/>
  <c r="AX106" i="6" s="1"/>
  <c r="AY106" i="6" s="1"/>
  <c r="AM106" i="6"/>
  <c r="AI106" i="6"/>
  <c r="AJ106" i="6" s="1"/>
  <c r="AK106" i="6" s="1"/>
  <c r="AD106" i="6"/>
  <c r="AE106" i="6" s="1"/>
  <c r="AF106" i="6" s="1"/>
  <c r="W106" i="6"/>
  <c r="X106" i="6" s="1"/>
  <c r="Y106" i="6" s="1"/>
  <c r="BQ105" i="6"/>
  <c r="BR105" i="6" s="1"/>
  <c r="BM105" i="6"/>
  <c r="BN105" i="6" s="1"/>
  <c r="BO105" i="6" s="1"/>
  <c r="BI105" i="6"/>
  <c r="BJ105" i="6" s="1"/>
  <c r="BK105" i="6" s="1"/>
  <c r="BE105" i="6"/>
  <c r="BA105" i="6"/>
  <c r="BB105" i="6" s="1"/>
  <c r="AW105" i="6"/>
  <c r="AX105" i="6" s="1"/>
  <c r="AY105" i="6" s="1"/>
  <c r="AM105" i="6"/>
  <c r="AI105" i="6"/>
  <c r="AJ105" i="6" s="1"/>
  <c r="AK105" i="6" s="1"/>
  <c r="AD105" i="6"/>
  <c r="AE105" i="6" s="1"/>
  <c r="AF105" i="6" s="1"/>
  <c r="W105" i="6"/>
  <c r="X105" i="6" s="1"/>
  <c r="Y105" i="6" s="1"/>
  <c r="BQ104" i="6"/>
  <c r="BR104" i="6" s="1"/>
  <c r="BM104" i="6"/>
  <c r="BN104" i="6" s="1"/>
  <c r="BO104" i="6" s="1"/>
  <c r="BI104" i="6"/>
  <c r="BJ104" i="6" s="1"/>
  <c r="BK104" i="6" s="1"/>
  <c r="BE104" i="6"/>
  <c r="BA104" i="6"/>
  <c r="BB104" i="6" s="1"/>
  <c r="AW104" i="6"/>
  <c r="AX104" i="6" s="1"/>
  <c r="AY104" i="6" s="1"/>
  <c r="AM104" i="6"/>
  <c r="AI104" i="6"/>
  <c r="AJ104" i="6" s="1"/>
  <c r="AK104" i="6" s="1"/>
  <c r="AD104" i="6"/>
  <c r="AE104" i="6" s="1"/>
  <c r="AF104" i="6" s="1"/>
  <c r="W104" i="6"/>
  <c r="X104" i="6" s="1"/>
  <c r="Y104" i="6" s="1"/>
  <c r="BQ103" i="6"/>
  <c r="BR103" i="6" s="1"/>
  <c r="BM103" i="6"/>
  <c r="BN103" i="6" s="1"/>
  <c r="BO103" i="6" s="1"/>
  <c r="BI103" i="6"/>
  <c r="BJ103" i="6" s="1"/>
  <c r="BK103" i="6" s="1"/>
  <c r="BE103" i="6"/>
  <c r="BA103" i="6"/>
  <c r="BB103" i="6" s="1"/>
  <c r="AW103" i="6"/>
  <c r="AX103" i="6" s="1"/>
  <c r="AY103" i="6" s="1"/>
  <c r="AM103" i="6"/>
  <c r="AI103" i="6"/>
  <c r="AJ103" i="6" s="1"/>
  <c r="AK103" i="6" s="1"/>
  <c r="AD103" i="6"/>
  <c r="AE103" i="6" s="1"/>
  <c r="AF103" i="6" s="1"/>
  <c r="W103" i="6"/>
  <c r="X103" i="6" s="1"/>
  <c r="Y103" i="6" s="1"/>
  <c r="BQ102" i="6"/>
  <c r="BR102" i="6" s="1"/>
  <c r="BM102" i="6"/>
  <c r="BN102" i="6" s="1"/>
  <c r="BO102" i="6" s="1"/>
  <c r="BI102" i="6"/>
  <c r="BJ102" i="6" s="1"/>
  <c r="BK102" i="6" s="1"/>
  <c r="BE102" i="6"/>
  <c r="BA102" i="6"/>
  <c r="BB102" i="6" s="1"/>
  <c r="AW102" i="6"/>
  <c r="AX102" i="6" s="1"/>
  <c r="AY102" i="6" s="1"/>
  <c r="AM102" i="6"/>
  <c r="AI102" i="6"/>
  <c r="AJ102" i="6" s="1"/>
  <c r="AK102" i="6" s="1"/>
  <c r="BQ101" i="6"/>
  <c r="BR101" i="6" s="1"/>
  <c r="BM101" i="6"/>
  <c r="BN101" i="6" s="1"/>
  <c r="BO101" i="6" s="1"/>
  <c r="BI101" i="6"/>
  <c r="BJ101" i="6" s="1"/>
  <c r="BK101" i="6" s="1"/>
  <c r="BE101" i="6"/>
  <c r="BA101" i="6"/>
  <c r="BB101" i="6" s="1"/>
  <c r="AW101" i="6"/>
  <c r="AX101" i="6" s="1"/>
  <c r="AY101" i="6" s="1"/>
  <c r="AM101" i="6"/>
  <c r="AI101" i="6"/>
  <c r="AJ101" i="6" s="1"/>
  <c r="AK101" i="6" s="1"/>
  <c r="AD101" i="6"/>
  <c r="AE101" i="6" s="1"/>
  <c r="AF101" i="6" s="1"/>
  <c r="W101" i="6"/>
  <c r="X101" i="6" s="1"/>
  <c r="Y101" i="6" s="1"/>
  <c r="BQ100" i="6"/>
  <c r="BR100" i="6" s="1"/>
  <c r="BM100" i="6"/>
  <c r="BN100" i="6" s="1"/>
  <c r="BO100" i="6" s="1"/>
  <c r="BI100" i="6"/>
  <c r="BJ100" i="6" s="1"/>
  <c r="BK100" i="6" s="1"/>
  <c r="BE100" i="6"/>
  <c r="BA100" i="6"/>
  <c r="BB100" i="6" s="1"/>
  <c r="AW100" i="6"/>
  <c r="AX100" i="6" s="1"/>
  <c r="AY100" i="6" s="1"/>
  <c r="AM100" i="6"/>
  <c r="AI100" i="6"/>
  <c r="AJ100" i="6" s="1"/>
  <c r="AK100" i="6" s="1"/>
  <c r="AD100" i="6"/>
  <c r="AE100" i="6" s="1"/>
  <c r="AF100" i="6" s="1"/>
  <c r="W100" i="6"/>
  <c r="X100" i="6" s="1"/>
  <c r="Y100" i="6" s="1"/>
  <c r="BQ99" i="6"/>
  <c r="BR99" i="6" s="1"/>
  <c r="BM99" i="6"/>
  <c r="BN99" i="6" s="1"/>
  <c r="BO99" i="6" s="1"/>
  <c r="BI99" i="6"/>
  <c r="BJ99" i="6" s="1"/>
  <c r="BK99" i="6" s="1"/>
  <c r="BE99" i="6"/>
  <c r="BA99" i="6"/>
  <c r="BB99" i="6" s="1"/>
  <c r="AW99" i="6"/>
  <c r="AX99" i="6" s="1"/>
  <c r="AY99" i="6" s="1"/>
  <c r="AO99" i="6"/>
  <c r="AI99" i="6"/>
  <c r="AJ99" i="6" s="1"/>
  <c r="AK99" i="6" s="1"/>
  <c r="AD99" i="6"/>
  <c r="AE99" i="6" s="1"/>
  <c r="AF99" i="6" s="1"/>
  <c r="W99" i="6"/>
  <c r="X99" i="6" s="1"/>
  <c r="Y99" i="6" s="1"/>
  <c r="BQ98" i="6"/>
  <c r="BR98" i="6" s="1"/>
  <c r="BM98" i="6"/>
  <c r="BN98" i="6" s="1"/>
  <c r="BO98" i="6" s="1"/>
  <c r="BI98" i="6"/>
  <c r="BJ98" i="6" s="1"/>
  <c r="BK98" i="6" s="1"/>
  <c r="BE98" i="6"/>
  <c r="BA98" i="6"/>
  <c r="BB98" i="6" s="1"/>
  <c r="AW98" i="6"/>
  <c r="AX98" i="6" s="1"/>
  <c r="AY98" i="6" s="1"/>
  <c r="AM98" i="6"/>
  <c r="AI98" i="6"/>
  <c r="AJ98" i="6" s="1"/>
  <c r="AK98" i="6" s="1"/>
  <c r="AD98" i="6"/>
  <c r="AE98" i="6" s="1"/>
  <c r="AF98" i="6" s="1"/>
  <c r="W98" i="6"/>
  <c r="X98" i="6" s="1"/>
  <c r="Y98" i="6" s="1"/>
  <c r="BQ97" i="6"/>
  <c r="BR97" i="6" s="1"/>
  <c r="BM97" i="6"/>
  <c r="BN97" i="6" s="1"/>
  <c r="BO97" i="6" s="1"/>
  <c r="BI97" i="6"/>
  <c r="BJ97" i="6" s="1"/>
  <c r="BK97" i="6" s="1"/>
  <c r="BE97" i="6"/>
  <c r="BA97" i="6"/>
  <c r="BB97" i="6" s="1"/>
  <c r="AW97" i="6"/>
  <c r="AX97" i="6" s="1"/>
  <c r="AY97" i="6" s="1"/>
  <c r="AM97" i="6"/>
  <c r="AI97" i="6"/>
  <c r="AJ97" i="6" s="1"/>
  <c r="AK97" i="6" s="1"/>
  <c r="AD97" i="6"/>
  <c r="AE97" i="6" s="1"/>
  <c r="AF97" i="6" s="1"/>
  <c r="W97" i="6"/>
  <c r="X97" i="6" s="1"/>
  <c r="Y97" i="6" s="1"/>
  <c r="BQ96" i="6"/>
  <c r="BR96" i="6" s="1"/>
  <c r="BM96" i="6"/>
  <c r="BN96" i="6" s="1"/>
  <c r="BO96" i="6" s="1"/>
  <c r="BI96" i="6"/>
  <c r="BJ96" i="6" s="1"/>
  <c r="BK96" i="6" s="1"/>
  <c r="BE96" i="6"/>
  <c r="BA96" i="6"/>
  <c r="BB96" i="6" s="1"/>
  <c r="AW96" i="6"/>
  <c r="AX96" i="6" s="1"/>
  <c r="AY96" i="6" s="1"/>
  <c r="AM96" i="6"/>
  <c r="AI96" i="6"/>
  <c r="AJ96" i="6" s="1"/>
  <c r="AK96" i="6" s="1"/>
  <c r="AD96" i="6"/>
  <c r="AE96" i="6" s="1"/>
  <c r="AF96" i="6" s="1"/>
  <c r="W96" i="6"/>
  <c r="X96" i="6" s="1"/>
  <c r="Y96" i="6" s="1"/>
  <c r="BQ95" i="6"/>
  <c r="BR95" i="6" s="1"/>
  <c r="BM95" i="6"/>
  <c r="BN95" i="6" s="1"/>
  <c r="BO95" i="6" s="1"/>
  <c r="BI95" i="6"/>
  <c r="BJ95" i="6" s="1"/>
  <c r="BK95" i="6" s="1"/>
  <c r="BE95" i="6"/>
  <c r="BA95" i="6"/>
  <c r="BB95" i="6" s="1"/>
  <c r="AW95" i="6"/>
  <c r="AX95" i="6" s="1"/>
  <c r="AY95" i="6" s="1"/>
  <c r="AM95" i="6"/>
  <c r="AI95" i="6"/>
  <c r="AJ95" i="6" s="1"/>
  <c r="AK95" i="6" s="1"/>
  <c r="AD95" i="6"/>
  <c r="AE95" i="6" s="1"/>
  <c r="AF95" i="6" s="1"/>
  <c r="W95" i="6"/>
  <c r="X95" i="6" s="1"/>
  <c r="Y95" i="6" s="1"/>
  <c r="BQ94" i="6"/>
  <c r="BR94" i="6" s="1"/>
  <c r="BM94" i="6"/>
  <c r="BN94" i="6" s="1"/>
  <c r="BO94" i="6" s="1"/>
  <c r="BI94" i="6"/>
  <c r="BJ94" i="6" s="1"/>
  <c r="BK94" i="6" s="1"/>
  <c r="BE94" i="6"/>
  <c r="BA94" i="6"/>
  <c r="BB94" i="6" s="1"/>
  <c r="AW94" i="6"/>
  <c r="AX94" i="6" s="1"/>
  <c r="AY94" i="6" s="1"/>
  <c r="AM94" i="6"/>
  <c r="AI94" i="6"/>
  <c r="AJ94" i="6" s="1"/>
  <c r="AK94" i="6" s="1"/>
  <c r="AD94" i="6"/>
  <c r="AE94" i="6" s="1"/>
  <c r="AF94" i="6" s="1"/>
  <c r="W94" i="6"/>
  <c r="X94" i="6" s="1"/>
  <c r="Y94" i="6" s="1"/>
  <c r="BQ93" i="6"/>
  <c r="BR93" i="6" s="1"/>
  <c r="BM93" i="6"/>
  <c r="BN93" i="6" s="1"/>
  <c r="BO93" i="6" s="1"/>
  <c r="BI93" i="6"/>
  <c r="BJ93" i="6" s="1"/>
  <c r="BK93" i="6" s="1"/>
  <c r="BE93" i="6"/>
  <c r="BA93" i="6"/>
  <c r="BB93" i="6" s="1"/>
  <c r="AW93" i="6"/>
  <c r="AX93" i="6" s="1"/>
  <c r="AY93" i="6" s="1"/>
  <c r="AM93" i="6"/>
  <c r="AI93" i="6"/>
  <c r="AJ93" i="6" s="1"/>
  <c r="AK93" i="6" s="1"/>
  <c r="AD93" i="6"/>
  <c r="AE93" i="6" s="1"/>
  <c r="AF93" i="6" s="1"/>
  <c r="W93" i="6"/>
  <c r="X93" i="6" s="1"/>
  <c r="Y93" i="6" s="1"/>
  <c r="BQ92" i="6"/>
  <c r="BR92" i="6" s="1"/>
  <c r="BM92" i="6"/>
  <c r="BN92" i="6" s="1"/>
  <c r="BO92" i="6" s="1"/>
  <c r="BI92" i="6"/>
  <c r="BJ92" i="6" s="1"/>
  <c r="BK92" i="6" s="1"/>
  <c r="BE92" i="6"/>
  <c r="BA92" i="6"/>
  <c r="BB92" i="6" s="1"/>
  <c r="AW92" i="6"/>
  <c r="AX92" i="6" s="1"/>
  <c r="AY92" i="6" s="1"/>
  <c r="AM92" i="6"/>
  <c r="AI92" i="6"/>
  <c r="AJ92" i="6" s="1"/>
  <c r="AK92" i="6" s="1"/>
  <c r="AD92" i="6"/>
  <c r="AE92" i="6" s="1"/>
  <c r="AF92" i="6" s="1"/>
  <c r="W92" i="6"/>
  <c r="X92" i="6" s="1"/>
  <c r="Y92" i="6" s="1"/>
  <c r="BQ91" i="6"/>
  <c r="BR91" i="6" s="1"/>
  <c r="BM91" i="6"/>
  <c r="BN91" i="6" s="1"/>
  <c r="BO91" i="6" s="1"/>
  <c r="BI91" i="6"/>
  <c r="BJ91" i="6" s="1"/>
  <c r="BK91" i="6" s="1"/>
  <c r="BE91" i="6"/>
  <c r="BA91" i="6"/>
  <c r="BB91" i="6" s="1"/>
  <c r="AW91" i="6"/>
  <c r="AX91" i="6" s="1"/>
  <c r="AY91" i="6" s="1"/>
  <c r="AO91" i="6"/>
  <c r="AI91" i="6"/>
  <c r="AJ91" i="6" s="1"/>
  <c r="AK91" i="6" s="1"/>
  <c r="AD91" i="6"/>
  <c r="AE91" i="6" s="1"/>
  <c r="AF91" i="6" s="1"/>
  <c r="W91" i="6"/>
  <c r="X91" i="6" s="1"/>
  <c r="Y91" i="6" s="1"/>
  <c r="BQ90" i="6"/>
  <c r="BR90" i="6" s="1"/>
  <c r="BM90" i="6"/>
  <c r="BN90" i="6" s="1"/>
  <c r="BO90" i="6" s="1"/>
  <c r="BI90" i="6"/>
  <c r="BJ90" i="6" s="1"/>
  <c r="BK90" i="6" s="1"/>
  <c r="BE90" i="6"/>
  <c r="BA90" i="6"/>
  <c r="BB90" i="6" s="1"/>
  <c r="AW90" i="6"/>
  <c r="AX90" i="6" s="1"/>
  <c r="AY90" i="6" s="1"/>
  <c r="AM90" i="6"/>
  <c r="AI90" i="6"/>
  <c r="AJ90" i="6" s="1"/>
  <c r="AK90" i="6" s="1"/>
  <c r="AD90" i="6"/>
  <c r="AE90" i="6" s="1"/>
  <c r="AF90" i="6" s="1"/>
  <c r="W90" i="6"/>
  <c r="X90" i="6" s="1"/>
  <c r="Y90" i="6" s="1"/>
  <c r="BQ89" i="6"/>
  <c r="BR89" i="6" s="1"/>
  <c r="BM89" i="6"/>
  <c r="BN89" i="6" s="1"/>
  <c r="BO89" i="6" s="1"/>
  <c r="BI89" i="6"/>
  <c r="BJ89" i="6" s="1"/>
  <c r="BK89" i="6" s="1"/>
  <c r="BE89" i="6"/>
  <c r="BA89" i="6"/>
  <c r="BB89" i="6" s="1"/>
  <c r="AW89" i="6"/>
  <c r="AX89" i="6" s="1"/>
  <c r="AY89" i="6" s="1"/>
  <c r="AM89" i="6"/>
  <c r="AI89" i="6"/>
  <c r="AJ89" i="6" s="1"/>
  <c r="AK89" i="6" s="1"/>
  <c r="AD89" i="6"/>
  <c r="AE89" i="6" s="1"/>
  <c r="AF89" i="6" s="1"/>
  <c r="W89" i="6"/>
  <c r="X89" i="6" s="1"/>
  <c r="Y89" i="6" s="1"/>
  <c r="BQ88" i="6"/>
  <c r="BR88" i="6" s="1"/>
  <c r="BM88" i="6"/>
  <c r="BN88" i="6" s="1"/>
  <c r="BO88" i="6" s="1"/>
  <c r="BI88" i="6"/>
  <c r="BJ88" i="6" s="1"/>
  <c r="BK88" i="6" s="1"/>
  <c r="BE88" i="6"/>
  <c r="BA88" i="6"/>
  <c r="BB88" i="6" s="1"/>
  <c r="AW88" i="6"/>
  <c r="AX88" i="6" s="1"/>
  <c r="AY88" i="6" s="1"/>
  <c r="AM88" i="6"/>
  <c r="AI88" i="6"/>
  <c r="AJ88" i="6" s="1"/>
  <c r="AK88" i="6" s="1"/>
  <c r="AD88" i="6"/>
  <c r="AE88" i="6" s="1"/>
  <c r="AF88" i="6" s="1"/>
  <c r="W88" i="6"/>
  <c r="X88" i="6" s="1"/>
  <c r="Y88" i="6" s="1"/>
  <c r="BQ87" i="6"/>
  <c r="BR87" i="6" s="1"/>
  <c r="BM87" i="6"/>
  <c r="BN87" i="6" s="1"/>
  <c r="BO87" i="6" s="1"/>
  <c r="BI87" i="6"/>
  <c r="BJ87" i="6" s="1"/>
  <c r="BK87" i="6" s="1"/>
  <c r="BE87" i="6"/>
  <c r="BA87" i="6"/>
  <c r="BB87" i="6" s="1"/>
  <c r="AW87" i="6"/>
  <c r="AX87" i="6" s="1"/>
  <c r="AY87" i="6" s="1"/>
  <c r="AO87" i="6"/>
  <c r="AI87" i="6"/>
  <c r="AJ87" i="6" s="1"/>
  <c r="AK87" i="6" s="1"/>
  <c r="AD87" i="6"/>
  <c r="AE87" i="6" s="1"/>
  <c r="AF87" i="6" s="1"/>
  <c r="W87" i="6"/>
  <c r="X87" i="6" s="1"/>
  <c r="Y87" i="6" s="1"/>
  <c r="BQ86" i="6"/>
  <c r="BR86" i="6" s="1"/>
  <c r="BM86" i="6"/>
  <c r="BN86" i="6" s="1"/>
  <c r="BO86" i="6" s="1"/>
  <c r="BI86" i="6"/>
  <c r="BJ86" i="6" s="1"/>
  <c r="BK86" i="6" s="1"/>
  <c r="BE86" i="6"/>
  <c r="BA86" i="6"/>
  <c r="BB86" i="6" s="1"/>
  <c r="AW86" i="6"/>
  <c r="AX86" i="6" s="1"/>
  <c r="AY86" i="6" s="1"/>
  <c r="AM86" i="6"/>
  <c r="AI86" i="6"/>
  <c r="AJ86" i="6" s="1"/>
  <c r="AK86" i="6" s="1"/>
  <c r="AD86" i="6"/>
  <c r="AE86" i="6" s="1"/>
  <c r="AF86" i="6" s="1"/>
  <c r="W86" i="6"/>
  <c r="X86" i="6" s="1"/>
  <c r="Y86" i="6" s="1"/>
  <c r="BQ85" i="6"/>
  <c r="BR85" i="6" s="1"/>
  <c r="BM85" i="6"/>
  <c r="BN85" i="6" s="1"/>
  <c r="BO85" i="6" s="1"/>
  <c r="BI85" i="6"/>
  <c r="BJ85" i="6" s="1"/>
  <c r="BK85" i="6" s="1"/>
  <c r="BE85" i="6"/>
  <c r="BA85" i="6"/>
  <c r="BB85" i="6" s="1"/>
  <c r="AW85" i="6"/>
  <c r="AX85" i="6" s="1"/>
  <c r="AY85" i="6" s="1"/>
  <c r="AM85" i="6"/>
  <c r="AI85" i="6"/>
  <c r="AJ85" i="6" s="1"/>
  <c r="AK85" i="6" s="1"/>
  <c r="AD85" i="6"/>
  <c r="AE85" i="6" s="1"/>
  <c r="AF85" i="6" s="1"/>
  <c r="W85" i="6"/>
  <c r="X85" i="6" s="1"/>
  <c r="Y85" i="6" s="1"/>
  <c r="BQ84" i="6"/>
  <c r="BR84" i="6" s="1"/>
  <c r="BM84" i="6"/>
  <c r="BN84" i="6" s="1"/>
  <c r="BO84" i="6" s="1"/>
  <c r="BI84" i="6"/>
  <c r="BJ84" i="6" s="1"/>
  <c r="BK84" i="6" s="1"/>
  <c r="BE84" i="6"/>
  <c r="BA84" i="6"/>
  <c r="BB84" i="6" s="1"/>
  <c r="AW84" i="6"/>
  <c r="AX84" i="6" s="1"/>
  <c r="AY84" i="6" s="1"/>
  <c r="AM84" i="6"/>
  <c r="AI84" i="6"/>
  <c r="AJ84" i="6" s="1"/>
  <c r="AK84" i="6" s="1"/>
  <c r="AD84" i="6"/>
  <c r="AE84" i="6" s="1"/>
  <c r="AF84" i="6" s="1"/>
  <c r="W84" i="6"/>
  <c r="X84" i="6" s="1"/>
  <c r="Y84" i="6" s="1"/>
  <c r="BQ83" i="6"/>
  <c r="BR83" i="6" s="1"/>
  <c r="BM83" i="6"/>
  <c r="BN83" i="6" s="1"/>
  <c r="BO83" i="6" s="1"/>
  <c r="BI83" i="6"/>
  <c r="BJ83" i="6" s="1"/>
  <c r="BK83" i="6" s="1"/>
  <c r="BE83" i="6"/>
  <c r="BA83" i="6"/>
  <c r="BB83" i="6" s="1"/>
  <c r="AW83" i="6"/>
  <c r="AX83" i="6" s="1"/>
  <c r="AY83" i="6" s="1"/>
  <c r="AM83" i="6"/>
  <c r="AI83" i="6"/>
  <c r="AJ83" i="6" s="1"/>
  <c r="AK83" i="6" s="1"/>
  <c r="AD83" i="6"/>
  <c r="AE83" i="6" s="1"/>
  <c r="AF83" i="6" s="1"/>
  <c r="W83" i="6"/>
  <c r="X83" i="6" s="1"/>
  <c r="Y83" i="6" s="1"/>
  <c r="BQ82" i="6"/>
  <c r="BR82" i="6" s="1"/>
  <c r="BM82" i="6"/>
  <c r="BN82" i="6" s="1"/>
  <c r="BO82" i="6" s="1"/>
  <c r="BI82" i="6"/>
  <c r="BJ82" i="6" s="1"/>
  <c r="BK82" i="6" s="1"/>
  <c r="BE82" i="6"/>
  <c r="BA82" i="6"/>
  <c r="BB82" i="6" s="1"/>
  <c r="AW82" i="6"/>
  <c r="AX82" i="6" s="1"/>
  <c r="AY82" i="6" s="1"/>
  <c r="AM82" i="6"/>
  <c r="AI82" i="6"/>
  <c r="AJ82" i="6" s="1"/>
  <c r="AK82" i="6" s="1"/>
  <c r="AD82" i="6"/>
  <c r="AE82" i="6" s="1"/>
  <c r="AF82" i="6" s="1"/>
  <c r="W82" i="6"/>
  <c r="X82" i="6" s="1"/>
  <c r="Y82" i="6" s="1"/>
  <c r="BQ81" i="6"/>
  <c r="BR81" i="6" s="1"/>
  <c r="BM81" i="6"/>
  <c r="BN81" i="6" s="1"/>
  <c r="BO81" i="6" s="1"/>
  <c r="BI81" i="6"/>
  <c r="BJ81" i="6" s="1"/>
  <c r="BK81" i="6" s="1"/>
  <c r="BE81" i="6"/>
  <c r="BA81" i="6"/>
  <c r="BB81" i="6" s="1"/>
  <c r="AW81" i="6"/>
  <c r="AX81" i="6" s="1"/>
  <c r="AY81" i="6" s="1"/>
  <c r="AO81" i="6"/>
  <c r="AI81" i="6"/>
  <c r="AJ81" i="6" s="1"/>
  <c r="AK81" i="6" s="1"/>
  <c r="AD81" i="6"/>
  <c r="AE81" i="6" s="1"/>
  <c r="AF81" i="6" s="1"/>
  <c r="W81" i="6"/>
  <c r="X81" i="6" s="1"/>
  <c r="Y81" i="6" s="1"/>
  <c r="BQ80" i="6"/>
  <c r="BR80" i="6" s="1"/>
  <c r="BM80" i="6"/>
  <c r="BN80" i="6" s="1"/>
  <c r="BO80" i="6" s="1"/>
  <c r="BI80" i="6"/>
  <c r="BJ80" i="6" s="1"/>
  <c r="BK80" i="6" s="1"/>
  <c r="BE80" i="6"/>
  <c r="BA80" i="6"/>
  <c r="BB80" i="6" s="1"/>
  <c r="AW80" i="6"/>
  <c r="AX80" i="6" s="1"/>
  <c r="AY80" i="6" s="1"/>
  <c r="AM80" i="6"/>
  <c r="AI80" i="6"/>
  <c r="AJ80" i="6" s="1"/>
  <c r="AK80" i="6" s="1"/>
  <c r="AD80" i="6"/>
  <c r="AE80" i="6" s="1"/>
  <c r="AF80" i="6" s="1"/>
  <c r="W80" i="6"/>
  <c r="X80" i="6" s="1"/>
  <c r="Y80" i="6" s="1"/>
  <c r="BQ79" i="6"/>
  <c r="BR79" i="6" s="1"/>
  <c r="BM79" i="6"/>
  <c r="BN79" i="6" s="1"/>
  <c r="BO79" i="6" s="1"/>
  <c r="BI79" i="6"/>
  <c r="BJ79" i="6" s="1"/>
  <c r="BK79" i="6" s="1"/>
  <c r="BE79" i="6"/>
  <c r="BA79" i="6"/>
  <c r="BB79" i="6" s="1"/>
  <c r="AW79" i="6"/>
  <c r="AX79" i="6" s="1"/>
  <c r="AY79" i="6" s="1"/>
  <c r="AO79" i="6"/>
  <c r="AI79" i="6"/>
  <c r="AJ79" i="6" s="1"/>
  <c r="AK79" i="6" s="1"/>
  <c r="AD79" i="6"/>
  <c r="AE79" i="6" s="1"/>
  <c r="AF79" i="6" s="1"/>
  <c r="W79" i="6"/>
  <c r="X79" i="6" s="1"/>
  <c r="Y79" i="6" s="1"/>
  <c r="BQ78" i="6"/>
  <c r="BR78" i="6" s="1"/>
  <c r="BM78" i="6"/>
  <c r="BN78" i="6" s="1"/>
  <c r="BO78" i="6" s="1"/>
  <c r="BI78" i="6"/>
  <c r="BJ78" i="6" s="1"/>
  <c r="BK78" i="6" s="1"/>
  <c r="BE78" i="6"/>
  <c r="BA78" i="6"/>
  <c r="BB78" i="6" s="1"/>
  <c r="AW78" i="6"/>
  <c r="AX78" i="6" s="1"/>
  <c r="AY78" i="6" s="1"/>
  <c r="AM78" i="6"/>
  <c r="AI78" i="6"/>
  <c r="AJ78" i="6" s="1"/>
  <c r="AK78" i="6" s="1"/>
  <c r="AD78" i="6"/>
  <c r="AE78" i="6" s="1"/>
  <c r="AF78" i="6" s="1"/>
  <c r="W78" i="6"/>
  <c r="X78" i="6" s="1"/>
  <c r="Y78" i="6" s="1"/>
  <c r="BQ77" i="6"/>
  <c r="BR77" i="6" s="1"/>
  <c r="BM77" i="6"/>
  <c r="BN77" i="6" s="1"/>
  <c r="BO77" i="6" s="1"/>
  <c r="BI77" i="6"/>
  <c r="BJ77" i="6" s="1"/>
  <c r="BK77" i="6" s="1"/>
  <c r="BE77" i="6"/>
  <c r="BA77" i="6"/>
  <c r="BB77" i="6" s="1"/>
  <c r="AW77" i="6"/>
  <c r="AX77" i="6" s="1"/>
  <c r="AY77" i="6" s="1"/>
  <c r="AM77" i="6"/>
  <c r="AI77" i="6"/>
  <c r="AJ77" i="6" s="1"/>
  <c r="AK77" i="6" s="1"/>
  <c r="AD77" i="6"/>
  <c r="AE77" i="6" s="1"/>
  <c r="AF77" i="6" s="1"/>
  <c r="W77" i="6"/>
  <c r="X77" i="6" s="1"/>
  <c r="Y77" i="6" s="1"/>
  <c r="BQ76" i="6"/>
  <c r="BR76" i="6" s="1"/>
  <c r="BM76" i="6"/>
  <c r="BN76" i="6" s="1"/>
  <c r="BO76" i="6" s="1"/>
  <c r="BI76" i="6"/>
  <c r="BJ76" i="6" s="1"/>
  <c r="BK76" i="6" s="1"/>
  <c r="BE76" i="6"/>
  <c r="BA76" i="6"/>
  <c r="BB76" i="6" s="1"/>
  <c r="AW76" i="6"/>
  <c r="AX76" i="6" s="1"/>
  <c r="AY76" i="6" s="1"/>
  <c r="AO76" i="6"/>
  <c r="AI76" i="6"/>
  <c r="AJ76" i="6" s="1"/>
  <c r="AK76" i="6" s="1"/>
  <c r="BQ75" i="6"/>
  <c r="BR75" i="6" s="1"/>
  <c r="BM75" i="6"/>
  <c r="BN75" i="6" s="1"/>
  <c r="BO75" i="6" s="1"/>
  <c r="BI75" i="6"/>
  <c r="BJ75" i="6" s="1"/>
  <c r="BK75" i="6" s="1"/>
  <c r="BE75" i="6"/>
  <c r="BA75" i="6"/>
  <c r="BB75" i="6" s="1"/>
  <c r="AW75" i="6"/>
  <c r="AX75" i="6" s="1"/>
  <c r="AY75" i="6" s="1"/>
  <c r="AO75" i="6"/>
  <c r="AI75" i="6"/>
  <c r="AJ75" i="6" s="1"/>
  <c r="AK75" i="6" s="1"/>
  <c r="AD75" i="6"/>
  <c r="AE75" i="6" s="1"/>
  <c r="AF75" i="6" s="1"/>
  <c r="W75" i="6"/>
  <c r="X75" i="6" s="1"/>
  <c r="Y75" i="6" s="1"/>
  <c r="BQ74" i="6"/>
  <c r="BR74" i="6" s="1"/>
  <c r="BM74" i="6"/>
  <c r="BN74" i="6" s="1"/>
  <c r="BO74" i="6" s="1"/>
  <c r="BI74" i="6"/>
  <c r="BJ74" i="6" s="1"/>
  <c r="BK74" i="6" s="1"/>
  <c r="BE74" i="6"/>
  <c r="BA74" i="6"/>
  <c r="BB74" i="6" s="1"/>
  <c r="AW74" i="6"/>
  <c r="AX74" i="6" s="1"/>
  <c r="AY74" i="6" s="1"/>
  <c r="AM74" i="6"/>
  <c r="AI74" i="6"/>
  <c r="AJ74" i="6" s="1"/>
  <c r="AK74" i="6" s="1"/>
  <c r="AD74" i="6"/>
  <c r="AE74" i="6" s="1"/>
  <c r="AF74" i="6" s="1"/>
  <c r="W74" i="6"/>
  <c r="X74" i="6" s="1"/>
  <c r="Y74" i="6" s="1"/>
  <c r="BQ73" i="6"/>
  <c r="BR73" i="6" s="1"/>
  <c r="BM73" i="6"/>
  <c r="BN73" i="6" s="1"/>
  <c r="BO73" i="6" s="1"/>
  <c r="BI73" i="6"/>
  <c r="BJ73" i="6" s="1"/>
  <c r="BK73" i="6" s="1"/>
  <c r="BE73" i="6"/>
  <c r="BA73" i="6"/>
  <c r="BB73" i="6" s="1"/>
  <c r="AW73" i="6"/>
  <c r="AX73" i="6" s="1"/>
  <c r="AY73" i="6" s="1"/>
  <c r="AM73" i="6"/>
  <c r="AI73" i="6"/>
  <c r="AJ73" i="6" s="1"/>
  <c r="AK73" i="6" s="1"/>
  <c r="AD73" i="6"/>
  <c r="AE73" i="6" s="1"/>
  <c r="AF73" i="6" s="1"/>
  <c r="W73" i="6"/>
  <c r="X73" i="6" s="1"/>
  <c r="Y73" i="6" s="1"/>
  <c r="BQ72" i="6"/>
  <c r="BR72" i="6" s="1"/>
  <c r="BM72" i="6"/>
  <c r="BN72" i="6" s="1"/>
  <c r="BO72" i="6" s="1"/>
  <c r="BI72" i="6"/>
  <c r="BJ72" i="6" s="1"/>
  <c r="BK72" i="6" s="1"/>
  <c r="BE72" i="6"/>
  <c r="BA72" i="6"/>
  <c r="BB72" i="6" s="1"/>
  <c r="AW72" i="6"/>
  <c r="AX72" i="6" s="1"/>
  <c r="AY72" i="6" s="1"/>
  <c r="AO72" i="6"/>
  <c r="AI72" i="6"/>
  <c r="AJ72" i="6" s="1"/>
  <c r="AK72" i="6" s="1"/>
  <c r="AD72" i="6"/>
  <c r="AE72" i="6" s="1"/>
  <c r="AF72" i="6" s="1"/>
  <c r="W72" i="6"/>
  <c r="X72" i="6" s="1"/>
  <c r="Y72" i="6" s="1"/>
  <c r="BQ71" i="6"/>
  <c r="BR71" i="6" s="1"/>
  <c r="BM71" i="6"/>
  <c r="BN71" i="6" s="1"/>
  <c r="BO71" i="6" s="1"/>
  <c r="BI71" i="6"/>
  <c r="BJ71" i="6" s="1"/>
  <c r="BK71" i="6" s="1"/>
  <c r="BE71" i="6"/>
  <c r="BA71" i="6"/>
  <c r="BB71" i="6" s="1"/>
  <c r="AW71" i="6"/>
  <c r="AX71" i="6" s="1"/>
  <c r="AY71" i="6" s="1"/>
  <c r="AM71" i="6"/>
  <c r="AI71" i="6"/>
  <c r="AJ71" i="6" s="1"/>
  <c r="AK71" i="6" s="1"/>
  <c r="AD71" i="6"/>
  <c r="AE71" i="6" s="1"/>
  <c r="AF71" i="6" s="1"/>
  <c r="W71" i="6"/>
  <c r="X71" i="6" s="1"/>
  <c r="Y71" i="6" s="1"/>
  <c r="BQ70" i="6"/>
  <c r="BR70" i="6" s="1"/>
  <c r="BM70" i="6"/>
  <c r="BN70" i="6" s="1"/>
  <c r="BO70" i="6" s="1"/>
  <c r="BI70" i="6"/>
  <c r="BJ70" i="6" s="1"/>
  <c r="BK70" i="6" s="1"/>
  <c r="BE70" i="6"/>
  <c r="BA70" i="6"/>
  <c r="BB70" i="6" s="1"/>
  <c r="AW70" i="6"/>
  <c r="AX70" i="6" s="1"/>
  <c r="AY70" i="6" s="1"/>
  <c r="AM70" i="6"/>
  <c r="AI70" i="6"/>
  <c r="AJ70" i="6" s="1"/>
  <c r="AK70" i="6" s="1"/>
  <c r="AD70" i="6"/>
  <c r="AE70" i="6" s="1"/>
  <c r="AF70" i="6" s="1"/>
  <c r="W70" i="6"/>
  <c r="X70" i="6" s="1"/>
  <c r="Y70" i="6" s="1"/>
  <c r="BQ69" i="6"/>
  <c r="BR69" i="6" s="1"/>
  <c r="BM69" i="6"/>
  <c r="BN69" i="6" s="1"/>
  <c r="BO69" i="6" s="1"/>
  <c r="BI69" i="6"/>
  <c r="BJ69" i="6" s="1"/>
  <c r="BK69" i="6" s="1"/>
  <c r="BE69" i="6"/>
  <c r="BA69" i="6"/>
  <c r="BB69" i="6" s="1"/>
  <c r="AW69" i="6"/>
  <c r="AX69" i="6" s="1"/>
  <c r="AY69" i="6" s="1"/>
  <c r="AO69" i="6"/>
  <c r="AI69" i="6"/>
  <c r="AJ69" i="6" s="1"/>
  <c r="AK69" i="6" s="1"/>
  <c r="AD69" i="6"/>
  <c r="AE69" i="6" s="1"/>
  <c r="AF69" i="6" s="1"/>
  <c r="W69" i="6"/>
  <c r="X69" i="6" s="1"/>
  <c r="Y69" i="6" s="1"/>
  <c r="BQ68" i="6"/>
  <c r="BR68" i="6" s="1"/>
  <c r="BM68" i="6"/>
  <c r="BN68" i="6" s="1"/>
  <c r="BO68" i="6" s="1"/>
  <c r="BI68" i="6"/>
  <c r="BJ68" i="6" s="1"/>
  <c r="BK68" i="6" s="1"/>
  <c r="BE68" i="6"/>
  <c r="BA68" i="6"/>
  <c r="BB68" i="6" s="1"/>
  <c r="AW68" i="6"/>
  <c r="AX68" i="6" s="1"/>
  <c r="AY68" i="6" s="1"/>
  <c r="AM68" i="6"/>
  <c r="AI68" i="6"/>
  <c r="AJ68" i="6" s="1"/>
  <c r="AK68" i="6" s="1"/>
  <c r="AD68" i="6"/>
  <c r="AE68" i="6" s="1"/>
  <c r="AF68" i="6" s="1"/>
  <c r="W68" i="6"/>
  <c r="X68" i="6" s="1"/>
  <c r="Y68" i="6" s="1"/>
  <c r="BQ67" i="6"/>
  <c r="BR67" i="6" s="1"/>
  <c r="BM67" i="6"/>
  <c r="BN67" i="6" s="1"/>
  <c r="BO67" i="6" s="1"/>
  <c r="BI67" i="6"/>
  <c r="BJ67" i="6" s="1"/>
  <c r="BK67" i="6" s="1"/>
  <c r="BE67" i="6"/>
  <c r="BA67" i="6"/>
  <c r="BB67" i="6" s="1"/>
  <c r="AW67" i="6"/>
  <c r="AX67" i="6" s="1"/>
  <c r="AY67" i="6" s="1"/>
  <c r="AO67" i="6"/>
  <c r="AI67" i="6"/>
  <c r="AJ67" i="6" s="1"/>
  <c r="AK67" i="6" s="1"/>
  <c r="AD67" i="6"/>
  <c r="AE67" i="6" s="1"/>
  <c r="AF67" i="6" s="1"/>
  <c r="W67" i="6"/>
  <c r="X67" i="6" s="1"/>
  <c r="Y67" i="6" s="1"/>
  <c r="BQ66" i="6"/>
  <c r="BR66" i="6" s="1"/>
  <c r="BM66" i="6"/>
  <c r="BN66" i="6" s="1"/>
  <c r="BO66" i="6" s="1"/>
  <c r="BI66" i="6"/>
  <c r="BJ66" i="6" s="1"/>
  <c r="BK66" i="6" s="1"/>
  <c r="BE66" i="6"/>
  <c r="BA66" i="6"/>
  <c r="BB66" i="6" s="1"/>
  <c r="AW66" i="6"/>
  <c r="AX66" i="6" s="1"/>
  <c r="AY66" i="6" s="1"/>
  <c r="AM66" i="6"/>
  <c r="AI66" i="6"/>
  <c r="AJ66" i="6" s="1"/>
  <c r="AK66" i="6" s="1"/>
  <c r="AD66" i="6"/>
  <c r="AE66" i="6" s="1"/>
  <c r="AF66" i="6" s="1"/>
  <c r="W66" i="6"/>
  <c r="X66" i="6" s="1"/>
  <c r="Y66" i="6" s="1"/>
  <c r="BQ65" i="6"/>
  <c r="BR65" i="6" s="1"/>
  <c r="BM65" i="6"/>
  <c r="BN65" i="6" s="1"/>
  <c r="BO65" i="6" s="1"/>
  <c r="BI65" i="6"/>
  <c r="BJ65" i="6" s="1"/>
  <c r="BK65" i="6" s="1"/>
  <c r="BE65" i="6"/>
  <c r="BA65" i="6"/>
  <c r="BB65" i="6" s="1"/>
  <c r="AW65" i="6"/>
  <c r="AX65" i="6" s="1"/>
  <c r="AY65" i="6" s="1"/>
  <c r="AO65" i="6"/>
  <c r="AI65" i="6"/>
  <c r="AJ65" i="6" s="1"/>
  <c r="AK65" i="6" s="1"/>
  <c r="AD65" i="6"/>
  <c r="AE65" i="6" s="1"/>
  <c r="AF65" i="6" s="1"/>
  <c r="W65" i="6"/>
  <c r="X65" i="6" s="1"/>
  <c r="Y65" i="6" s="1"/>
  <c r="BQ64" i="6"/>
  <c r="BR64" i="6" s="1"/>
  <c r="BM64" i="6"/>
  <c r="BN64" i="6" s="1"/>
  <c r="BO64" i="6" s="1"/>
  <c r="BI64" i="6"/>
  <c r="BJ64" i="6" s="1"/>
  <c r="BK64" i="6" s="1"/>
  <c r="BE64" i="6"/>
  <c r="BA64" i="6"/>
  <c r="BB64" i="6" s="1"/>
  <c r="AW64" i="6"/>
  <c r="AX64" i="6" s="1"/>
  <c r="AY64" i="6" s="1"/>
  <c r="AM64" i="6"/>
  <c r="AI64" i="6"/>
  <c r="AJ64" i="6" s="1"/>
  <c r="AK64" i="6" s="1"/>
  <c r="AD64" i="6"/>
  <c r="AE64" i="6" s="1"/>
  <c r="AF64" i="6" s="1"/>
  <c r="W64" i="6"/>
  <c r="X64" i="6" s="1"/>
  <c r="Y64" i="6" s="1"/>
  <c r="BQ63" i="6"/>
  <c r="BR63" i="6" s="1"/>
  <c r="BM63" i="6"/>
  <c r="BN63" i="6" s="1"/>
  <c r="BO63" i="6" s="1"/>
  <c r="BI63" i="6"/>
  <c r="BJ63" i="6" s="1"/>
  <c r="BK63" i="6" s="1"/>
  <c r="BE63" i="6"/>
  <c r="BA63" i="6"/>
  <c r="BB63" i="6" s="1"/>
  <c r="AW63" i="6"/>
  <c r="AX63" i="6" s="1"/>
  <c r="AY63" i="6" s="1"/>
  <c r="AO63" i="6"/>
  <c r="AI63" i="6"/>
  <c r="AJ63" i="6" s="1"/>
  <c r="AK63" i="6" s="1"/>
  <c r="BQ62" i="6"/>
  <c r="BR62" i="6" s="1"/>
  <c r="BM62" i="6"/>
  <c r="BN62" i="6" s="1"/>
  <c r="BO62" i="6" s="1"/>
  <c r="BI62" i="6"/>
  <c r="BJ62" i="6" s="1"/>
  <c r="BK62" i="6" s="1"/>
  <c r="BE62" i="6"/>
  <c r="BA62" i="6"/>
  <c r="BB62" i="6" s="1"/>
  <c r="AW62" i="6"/>
  <c r="AX62" i="6" s="1"/>
  <c r="AY62" i="6" s="1"/>
  <c r="AO62" i="6"/>
  <c r="AI62" i="6"/>
  <c r="AJ62" i="6" s="1"/>
  <c r="AK62" i="6" s="1"/>
  <c r="AD62" i="6"/>
  <c r="AE62" i="6" s="1"/>
  <c r="AF62" i="6" s="1"/>
  <c r="W62" i="6"/>
  <c r="X62" i="6" s="1"/>
  <c r="Y62" i="6" s="1"/>
  <c r="BQ61" i="6"/>
  <c r="BR61" i="6" s="1"/>
  <c r="BM61" i="6"/>
  <c r="BN61" i="6" s="1"/>
  <c r="BO61" i="6" s="1"/>
  <c r="BI61" i="6"/>
  <c r="BJ61" i="6" s="1"/>
  <c r="BK61" i="6" s="1"/>
  <c r="BE61" i="6"/>
  <c r="BA61" i="6"/>
  <c r="BB61" i="6" s="1"/>
  <c r="AW61" i="6"/>
  <c r="AX61" i="6" s="1"/>
  <c r="AY61" i="6" s="1"/>
  <c r="AM61" i="6"/>
  <c r="AI61" i="6"/>
  <c r="AJ61" i="6" s="1"/>
  <c r="AK61" i="6" s="1"/>
  <c r="AD61" i="6"/>
  <c r="AE61" i="6" s="1"/>
  <c r="AF61" i="6" s="1"/>
  <c r="W61" i="6"/>
  <c r="X61" i="6" s="1"/>
  <c r="Y61" i="6" s="1"/>
  <c r="BQ60" i="6"/>
  <c r="BR60" i="6" s="1"/>
  <c r="BM60" i="6"/>
  <c r="BN60" i="6" s="1"/>
  <c r="BO60" i="6" s="1"/>
  <c r="BI60" i="6"/>
  <c r="BJ60" i="6" s="1"/>
  <c r="BK60" i="6" s="1"/>
  <c r="BE60" i="6"/>
  <c r="BA60" i="6"/>
  <c r="BB60" i="6" s="1"/>
  <c r="AW60" i="6"/>
  <c r="AX60" i="6" s="1"/>
  <c r="AY60" i="6" s="1"/>
  <c r="AM60" i="6"/>
  <c r="AI60" i="6"/>
  <c r="AJ60" i="6" s="1"/>
  <c r="AK60" i="6" s="1"/>
  <c r="AD60" i="6"/>
  <c r="AE60" i="6" s="1"/>
  <c r="AF60" i="6" s="1"/>
  <c r="W60" i="6"/>
  <c r="X60" i="6" s="1"/>
  <c r="Y60" i="6" s="1"/>
  <c r="BQ59" i="6"/>
  <c r="BR59" i="6" s="1"/>
  <c r="BM59" i="6"/>
  <c r="BN59" i="6" s="1"/>
  <c r="BO59" i="6" s="1"/>
  <c r="BI59" i="6"/>
  <c r="BJ59" i="6" s="1"/>
  <c r="BK59" i="6" s="1"/>
  <c r="BE59" i="6"/>
  <c r="BA59" i="6"/>
  <c r="BB59" i="6" s="1"/>
  <c r="AW59" i="6"/>
  <c r="AX59" i="6" s="1"/>
  <c r="AY59" i="6" s="1"/>
  <c r="AO59" i="6"/>
  <c r="AI59" i="6"/>
  <c r="AJ59" i="6" s="1"/>
  <c r="AK59" i="6" s="1"/>
  <c r="AD59" i="6"/>
  <c r="AE59" i="6" s="1"/>
  <c r="AF59" i="6" s="1"/>
  <c r="W59" i="6"/>
  <c r="X59" i="6" s="1"/>
  <c r="Y59" i="6" s="1"/>
  <c r="BQ58" i="6"/>
  <c r="BR58" i="6" s="1"/>
  <c r="BM58" i="6"/>
  <c r="BN58" i="6" s="1"/>
  <c r="BO58" i="6" s="1"/>
  <c r="BI58" i="6"/>
  <c r="BJ58" i="6" s="1"/>
  <c r="BK58" i="6" s="1"/>
  <c r="BE58" i="6"/>
  <c r="BA58" i="6"/>
  <c r="BB58" i="6" s="1"/>
  <c r="AW58" i="6"/>
  <c r="AX58" i="6" s="1"/>
  <c r="AY58" i="6" s="1"/>
  <c r="AM58" i="6"/>
  <c r="AI58" i="6"/>
  <c r="AJ58" i="6" s="1"/>
  <c r="AK58" i="6" s="1"/>
  <c r="AD58" i="6"/>
  <c r="AE58" i="6" s="1"/>
  <c r="AF58" i="6" s="1"/>
  <c r="W58" i="6"/>
  <c r="X58" i="6" s="1"/>
  <c r="Y58" i="6" s="1"/>
  <c r="BQ57" i="6"/>
  <c r="BR57" i="6" s="1"/>
  <c r="BM57" i="6"/>
  <c r="BN57" i="6" s="1"/>
  <c r="BO57" i="6" s="1"/>
  <c r="BI57" i="6"/>
  <c r="BJ57" i="6" s="1"/>
  <c r="BK57" i="6" s="1"/>
  <c r="BE57" i="6"/>
  <c r="BA57" i="6"/>
  <c r="BB57" i="6" s="1"/>
  <c r="AW57" i="6"/>
  <c r="AX57" i="6" s="1"/>
  <c r="AY57" i="6" s="1"/>
  <c r="AM57" i="6"/>
  <c r="AI57" i="6"/>
  <c r="AJ57" i="6" s="1"/>
  <c r="AK57" i="6" s="1"/>
  <c r="AD57" i="6"/>
  <c r="AE57" i="6" s="1"/>
  <c r="AF57" i="6" s="1"/>
  <c r="W57" i="6"/>
  <c r="X57" i="6" s="1"/>
  <c r="Y57" i="6" s="1"/>
  <c r="BQ56" i="6"/>
  <c r="BR56" i="6" s="1"/>
  <c r="BM56" i="6"/>
  <c r="BN56" i="6" s="1"/>
  <c r="BO56" i="6" s="1"/>
  <c r="BI56" i="6"/>
  <c r="BJ56" i="6" s="1"/>
  <c r="BK56" i="6" s="1"/>
  <c r="BE56" i="6"/>
  <c r="BA56" i="6"/>
  <c r="BB56" i="6" s="1"/>
  <c r="AW56" i="6"/>
  <c r="AX56" i="6" s="1"/>
  <c r="AY56" i="6" s="1"/>
  <c r="AM56" i="6"/>
  <c r="AI56" i="6"/>
  <c r="AJ56" i="6" s="1"/>
  <c r="AK56" i="6" s="1"/>
  <c r="AD56" i="6"/>
  <c r="AE56" i="6" s="1"/>
  <c r="AF56" i="6" s="1"/>
  <c r="W56" i="6"/>
  <c r="X56" i="6" s="1"/>
  <c r="Y56" i="6" s="1"/>
  <c r="BQ55" i="6"/>
  <c r="BR55" i="6" s="1"/>
  <c r="BM55" i="6"/>
  <c r="BN55" i="6" s="1"/>
  <c r="BO55" i="6" s="1"/>
  <c r="BI55" i="6"/>
  <c r="BJ55" i="6" s="1"/>
  <c r="BK55" i="6" s="1"/>
  <c r="BE55" i="6"/>
  <c r="BA55" i="6"/>
  <c r="BB55" i="6" s="1"/>
  <c r="AW55" i="6"/>
  <c r="AX55" i="6" s="1"/>
  <c r="AY55" i="6" s="1"/>
  <c r="AO55" i="6"/>
  <c r="AI55" i="6"/>
  <c r="AJ55" i="6" s="1"/>
  <c r="AK55" i="6" s="1"/>
  <c r="AD55" i="6"/>
  <c r="AE55" i="6" s="1"/>
  <c r="AF55" i="6" s="1"/>
  <c r="W55" i="6"/>
  <c r="X55" i="6" s="1"/>
  <c r="Y55" i="6" s="1"/>
  <c r="BQ54" i="6"/>
  <c r="BR54" i="6" s="1"/>
  <c r="BM54" i="6"/>
  <c r="BN54" i="6" s="1"/>
  <c r="BO54" i="6" s="1"/>
  <c r="BI54" i="6"/>
  <c r="BJ54" i="6" s="1"/>
  <c r="BK54" i="6" s="1"/>
  <c r="BE54" i="6"/>
  <c r="BA54" i="6"/>
  <c r="BB54" i="6" s="1"/>
  <c r="AW54" i="6"/>
  <c r="AX54" i="6" s="1"/>
  <c r="AY54" i="6" s="1"/>
  <c r="AO54" i="6"/>
  <c r="AI54" i="6"/>
  <c r="AJ54" i="6" s="1"/>
  <c r="AK54" i="6" s="1"/>
  <c r="AD54" i="6"/>
  <c r="AE54" i="6" s="1"/>
  <c r="AF54" i="6" s="1"/>
  <c r="W54" i="6"/>
  <c r="X54" i="6" s="1"/>
  <c r="Y54" i="6" s="1"/>
  <c r="BQ53" i="6"/>
  <c r="BR53" i="6" s="1"/>
  <c r="BM53" i="6"/>
  <c r="BN53" i="6" s="1"/>
  <c r="BO53" i="6" s="1"/>
  <c r="BI53" i="6"/>
  <c r="BJ53" i="6" s="1"/>
  <c r="BK53" i="6" s="1"/>
  <c r="BE53" i="6"/>
  <c r="BA53" i="6"/>
  <c r="BB53" i="6" s="1"/>
  <c r="AW53" i="6"/>
  <c r="AX53" i="6" s="1"/>
  <c r="AY53" i="6" s="1"/>
  <c r="AM53" i="6"/>
  <c r="AI53" i="6"/>
  <c r="AJ53" i="6" s="1"/>
  <c r="AK53" i="6" s="1"/>
  <c r="AD53" i="6"/>
  <c r="AE53" i="6" s="1"/>
  <c r="AF53" i="6" s="1"/>
  <c r="W53" i="6"/>
  <c r="X53" i="6" s="1"/>
  <c r="Y53" i="6" s="1"/>
  <c r="BQ52" i="6"/>
  <c r="BR52" i="6" s="1"/>
  <c r="BM52" i="6"/>
  <c r="BN52" i="6" s="1"/>
  <c r="BO52" i="6" s="1"/>
  <c r="BI52" i="6"/>
  <c r="BJ52" i="6" s="1"/>
  <c r="BK52" i="6" s="1"/>
  <c r="BE52" i="6"/>
  <c r="BA52" i="6"/>
  <c r="BB52" i="6" s="1"/>
  <c r="AW52" i="6"/>
  <c r="AX52" i="6" s="1"/>
  <c r="AY52" i="6" s="1"/>
  <c r="AM52" i="6"/>
  <c r="AI52" i="6"/>
  <c r="AJ52" i="6" s="1"/>
  <c r="AK52" i="6" s="1"/>
  <c r="AD52" i="6"/>
  <c r="AE52" i="6" s="1"/>
  <c r="AF52" i="6" s="1"/>
  <c r="W52" i="6"/>
  <c r="X52" i="6" s="1"/>
  <c r="Y52" i="6" s="1"/>
  <c r="BQ51" i="6"/>
  <c r="BR51" i="6" s="1"/>
  <c r="BM51" i="6"/>
  <c r="BN51" i="6" s="1"/>
  <c r="BO51" i="6" s="1"/>
  <c r="BI51" i="6"/>
  <c r="BJ51" i="6" s="1"/>
  <c r="BK51" i="6" s="1"/>
  <c r="BE51" i="6"/>
  <c r="BA51" i="6"/>
  <c r="BB51" i="6" s="1"/>
  <c r="AW51" i="6"/>
  <c r="AX51" i="6" s="1"/>
  <c r="AY51" i="6" s="1"/>
  <c r="AM51" i="6"/>
  <c r="AI51" i="6"/>
  <c r="AJ51" i="6" s="1"/>
  <c r="AK51" i="6" s="1"/>
  <c r="AD51" i="6"/>
  <c r="AE51" i="6" s="1"/>
  <c r="AF51" i="6" s="1"/>
  <c r="W51" i="6"/>
  <c r="X51" i="6" s="1"/>
  <c r="Y51" i="6" s="1"/>
  <c r="BQ50" i="6"/>
  <c r="BR50" i="6" s="1"/>
  <c r="BM50" i="6"/>
  <c r="BN50" i="6" s="1"/>
  <c r="BO50" i="6" s="1"/>
  <c r="BI50" i="6"/>
  <c r="BJ50" i="6" s="1"/>
  <c r="BK50" i="6" s="1"/>
  <c r="BE50" i="6"/>
  <c r="BA50" i="6"/>
  <c r="BB50" i="6" s="1"/>
  <c r="AW50" i="6"/>
  <c r="AX50" i="6" s="1"/>
  <c r="AY50" i="6" s="1"/>
  <c r="AM50" i="6"/>
  <c r="AI50" i="6"/>
  <c r="AJ50" i="6" s="1"/>
  <c r="AK50" i="6" s="1"/>
  <c r="AD50" i="6"/>
  <c r="AE50" i="6" s="1"/>
  <c r="AF50" i="6" s="1"/>
  <c r="W50" i="6"/>
  <c r="X50" i="6" s="1"/>
  <c r="Y50" i="6" s="1"/>
  <c r="BQ49" i="6"/>
  <c r="BR49" i="6" s="1"/>
  <c r="BM49" i="6"/>
  <c r="BN49" i="6" s="1"/>
  <c r="BO49" i="6" s="1"/>
  <c r="BI49" i="6"/>
  <c r="BJ49" i="6" s="1"/>
  <c r="BK49" i="6" s="1"/>
  <c r="BE49" i="6"/>
  <c r="BA49" i="6"/>
  <c r="BB49" i="6" s="1"/>
  <c r="AW49" i="6"/>
  <c r="AX49" i="6" s="1"/>
  <c r="AY49" i="6" s="1"/>
  <c r="AO49" i="6"/>
  <c r="AI49" i="6"/>
  <c r="AJ49" i="6" s="1"/>
  <c r="AK49" i="6" s="1"/>
  <c r="AD49" i="6"/>
  <c r="AE49" i="6" s="1"/>
  <c r="AF49" i="6" s="1"/>
  <c r="W49" i="6"/>
  <c r="X49" i="6" s="1"/>
  <c r="Y49" i="6" s="1"/>
  <c r="BQ48" i="6"/>
  <c r="BR48" i="6" s="1"/>
  <c r="BM48" i="6"/>
  <c r="BN48" i="6" s="1"/>
  <c r="BO48" i="6" s="1"/>
  <c r="BI48" i="6"/>
  <c r="BJ48" i="6" s="1"/>
  <c r="BK48" i="6" s="1"/>
  <c r="BE48" i="6"/>
  <c r="BA48" i="6"/>
  <c r="BB48" i="6" s="1"/>
  <c r="AW48" i="6"/>
  <c r="AX48" i="6" s="1"/>
  <c r="AY48" i="6" s="1"/>
  <c r="AO48" i="6"/>
  <c r="AI48" i="6"/>
  <c r="AJ48" i="6" s="1"/>
  <c r="AK48" i="6" s="1"/>
  <c r="AD48" i="6"/>
  <c r="AE48" i="6" s="1"/>
  <c r="AF48" i="6" s="1"/>
  <c r="W48" i="6"/>
  <c r="X48" i="6" s="1"/>
  <c r="Y48" i="6" s="1"/>
  <c r="BQ47" i="6"/>
  <c r="BR47" i="6" s="1"/>
  <c r="BM47" i="6"/>
  <c r="BN47" i="6" s="1"/>
  <c r="BO47" i="6" s="1"/>
  <c r="BI47" i="6"/>
  <c r="BJ47" i="6" s="1"/>
  <c r="BK47" i="6" s="1"/>
  <c r="BE47" i="6"/>
  <c r="BA47" i="6"/>
  <c r="BB47" i="6" s="1"/>
  <c r="AW47" i="6"/>
  <c r="AX47" i="6" s="1"/>
  <c r="AY47" i="6" s="1"/>
  <c r="AM47" i="6"/>
  <c r="AI47" i="6"/>
  <c r="AJ47" i="6" s="1"/>
  <c r="AK47" i="6" s="1"/>
  <c r="AD47" i="6"/>
  <c r="AE47" i="6" s="1"/>
  <c r="AF47" i="6" s="1"/>
  <c r="W47" i="6"/>
  <c r="X47" i="6" s="1"/>
  <c r="Y47" i="6" s="1"/>
  <c r="BQ46" i="6"/>
  <c r="BR46" i="6" s="1"/>
  <c r="BM46" i="6"/>
  <c r="BN46" i="6" s="1"/>
  <c r="BO46" i="6" s="1"/>
  <c r="BI46" i="6"/>
  <c r="BJ46" i="6" s="1"/>
  <c r="BK46" i="6" s="1"/>
  <c r="BE46" i="6"/>
  <c r="BA46" i="6"/>
  <c r="BB46" i="6" s="1"/>
  <c r="AW46" i="6"/>
  <c r="AX46" i="6" s="1"/>
  <c r="AY46" i="6" s="1"/>
  <c r="AO46" i="6"/>
  <c r="AI46" i="6"/>
  <c r="AJ46" i="6" s="1"/>
  <c r="AK46" i="6" s="1"/>
  <c r="BQ45" i="6"/>
  <c r="BR45" i="6" s="1"/>
  <c r="BM45" i="6"/>
  <c r="BN45" i="6" s="1"/>
  <c r="BO45" i="6" s="1"/>
  <c r="BI45" i="6"/>
  <c r="BJ45" i="6" s="1"/>
  <c r="BK45" i="6" s="1"/>
  <c r="BE45" i="6"/>
  <c r="BA45" i="6"/>
  <c r="BB45" i="6" s="1"/>
  <c r="AW45" i="6"/>
  <c r="AX45" i="6" s="1"/>
  <c r="AY45" i="6" s="1"/>
  <c r="AO45" i="6"/>
  <c r="AI45" i="6"/>
  <c r="AJ45" i="6" s="1"/>
  <c r="AK45" i="6" s="1"/>
  <c r="AD45" i="6"/>
  <c r="AE45" i="6" s="1"/>
  <c r="AF45" i="6" s="1"/>
  <c r="W45" i="6"/>
  <c r="X45" i="6" s="1"/>
  <c r="Y45" i="6" s="1"/>
  <c r="BQ44" i="6"/>
  <c r="BR44" i="6" s="1"/>
  <c r="BM44" i="6"/>
  <c r="BN44" i="6" s="1"/>
  <c r="BO44" i="6" s="1"/>
  <c r="BI44" i="6"/>
  <c r="BJ44" i="6" s="1"/>
  <c r="BK44" i="6" s="1"/>
  <c r="BE44" i="6"/>
  <c r="BA44" i="6"/>
  <c r="BB44" i="6" s="1"/>
  <c r="AW44" i="6"/>
  <c r="AX44" i="6" s="1"/>
  <c r="AY44" i="6" s="1"/>
  <c r="AM44" i="6"/>
  <c r="AI44" i="6"/>
  <c r="AJ44" i="6" s="1"/>
  <c r="AK44" i="6" s="1"/>
  <c r="AD44" i="6"/>
  <c r="AE44" i="6" s="1"/>
  <c r="AF44" i="6" s="1"/>
  <c r="W44" i="6"/>
  <c r="X44" i="6" s="1"/>
  <c r="Y44" i="6" s="1"/>
  <c r="BQ43" i="6"/>
  <c r="BR43" i="6" s="1"/>
  <c r="BM43" i="6"/>
  <c r="BN43" i="6" s="1"/>
  <c r="BO43" i="6" s="1"/>
  <c r="BI43" i="6"/>
  <c r="BJ43" i="6" s="1"/>
  <c r="BK43" i="6" s="1"/>
  <c r="BE43" i="6"/>
  <c r="BA43" i="6"/>
  <c r="BB43" i="6" s="1"/>
  <c r="AW43" i="6"/>
  <c r="AX43" i="6" s="1"/>
  <c r="AY43" i="6" s="1"/>
  <c r="AM43" i="6"/>
  <c r="AI43" i="6"/>
  <c r="AJ43" i="6" s="1"/>
  <c r="AK43" i="6" s="1"/>
  <c r="AD43" i="6"/>
  <c r="AE43" i="6" s="1"/>
  <c r="AF43" i="6" s="1"/>
  <c r="W43" i="6"/>
  <c r="X43" i="6" s="1"/>
  <c r="Y43" i="6" s="1"/>
  <c r="BQ42" i="6"/>
  <c r="BR42" i="6" s="1"/>
  <c r="BM42" i="6"/>
  <c r="BN42" i="6" s="1"/>
  <c r="BO42" i="6" s="1"/>
  <c r="BI42" i="6"/>
  <c r="BJ42" i="6" s="1"/>
  <c r="BK42" i="6" s="1"/>
  <c r="BE42" i="6"/>
  <c r="BA42" i="6"/>
  <c r="BB42" i="6" s="1"/>
  <c r="AW42" i="6"/>
  <c r="AX42" i="6" s="1"/>
  <c r="AY42" i="6" s="1"/>
  <c r="AM42" i="6"/>
  <c r="AI42" i="6"/>
  <c r="AJ42" i="6" s="1"/>
  <c r="AK42" i="6" s="1"/>
  <c r="AD42" i="6"/>
  <c r="AE42" i="6" s="1"/>
  <c r="AF42" i="6" s="1"/>
  <c r="W42" i="6"/>
  <c r="X42" i="6" s="1"/>
  <c r="Y42" i="6" s="1"/>
  <c r="BQ41" i="6"/>
  <c r="BR41" i="6" s="1"/>
  <c r="BM41" i="6"/>
  <c r="BN41" i="6" s="1"/>
  <c r="BO41" i="6" s="1"/>
  <c r="BI41" i="6"/>
  <c r="BJ41" i="6" s="1"/>
  <c r="BK41" i="6" s="1"/>
  <c r="BE41" i="6"/>
  <c r="BA41" i="6"/>
  <c r="BB41" i="6" s="1"/>
  <c r="AW41" i="6"/>
  <c r="AX41" i="6" s="1"/>
  <c r="AY41" i="6" s="1"/>
  <c r="AO41" i="6"/>
  <c r="AI41" i="6"/>
  <c r="AJ41" i="6" s="1"/>
  <c r="AK41" i="6" s="1"/>
  <c r="AD41" i="6"/>
  <c r="AE41" i="6" s="1"/>
  <c r="AF41" i="6" s="1"/>
  <c r="W41" i="6"/>
  <c r="X41" i="6" s="1"/>
  <c r="Y41" i="6" s="1"/>
  <c r="BQ40" i="6"/>
  <c r="BR40" i="6" s="1"/>
  <c r="BM40" i="6"/>
  <c r="BN40" i="6" s="1"/>
  <c r="BO40" i="6" s="1"/>
  <c r="BI40" i="6"/>
  <c r="BJ40" i="6" s="1"/>
  <c r="BK40" i="6" s="1"/>
  <c r="BE40" i="6"/>
  <c r="BA40" i="6"/>
  <c r="BB40" i="6" s="1"/>
  <c r="AW40" i="6"/>
  <c r="AX40" i="6" s="1"/>
  <c r="AY40" i="6" s="1"/>
  <c r="AM40" i="6"/>
  <c r="AI40" i="6"/>
  <c r="AJ40" i="6" s="1"/>
  <c r="AK40" i="6" s="1"/>
  <c r="AD40" i="6"/>
  <c r="AE40" i="6" s="1"/>
  <c r="AF40" i="6" s="1"/>
  <c r="W40" i="6"/>
  <c r="X40" i="6" s="1"/>
  <c r="Y40" i="6" s="1"/>
  <c r="BQ39" i="6"/>
  <c r="BR39" i="6" s="1"/>
  <c r="BM39" i="6"/>
  <c r="BN39" i="6" s="1"/>
  <c r="BO39" i="6" s="1"/>
  <c r="BI39" i="6"/>
  <c r="BJ39" i="6" s="1"/>
  <c r="BK39" i="6" s="1"/>
  <c r="BE39" i="6"/>
  <c r="BA39" i="6"/>
  <c r="BB39" i="6" s="1"/>
  <c r="AW39" i="6"/>
  <c r="AX39" i="6" s="1"/>
  <c r="AY39" i="6" s="1"/>
  <c r="AM39" i="6"/>
  <c r="AI39" i="6"/>
  <c r="AJ39" i="6" s="1"/>
  <c r="AK39" i="6" s="1"/>
  <c r="AD39" i="6"/>
  <c r="AE39" i="6" s="1"/>
  <c r="AF39" i="6" s="1"/>
  <c r="W39" i="6"/>
  <c r="X39" i="6" s="1"/>
  <c r="Y39" i="6" s="1"/>
  <c r="BQ38" i="6"/>
  <c r="BR38" i="6" s="1"/>
  <c r="BM38" i="6"/>
  <c r="BN38" i="6" s="1"/>
  <c r="BO38" i="6" s="1"/>
  <c r="BI38" i="6"/>
  <c r="BJ38" i="6" s="1"/>
  <c r="BK38" i="6" s="1"/>
  <c r="BE38" i="6"/>
  <c r="BA38" i="6"/>
  <c r="BB38" i="6" s="1"/>
  <c r="AW38" i="6"/>
  <c r="AX38" i="6" s="1"/>
  <c r="AY38" i="6" s="1"/>
  <c r="AM38" i="6"/>
  <c r="AI38" i="6"/>
  <c r="AJ38" i="6" s="1"/>
  <c r="AK38" i="6" s="1"/>
  <c r="AD38" i="6"/>
  <c r="AE38" i="6" s="1"/>
  <c r="AF38" i="6" s="1"/>
  <c r="W38" i="6"/>
  <c r="X38" i="6" s="1"/>
  <c r="Y38" i="6" s="1"/>
  <c r="BQ37" i="6"/>
  <c r="BR37" i="6" s="1"/>
  <c r="BM37" i="6"/>
  <c r="BN37" i="6" s="1"/>
  <c r="BO37" i="6" s="1"/>
  <c r="BI37" i="6"/>
  <c r="BJ37" i="6" s="1"/>
  <c r="BK37" i="6" s="1"/>
  <c r="BE37" i="6"/>
  <c r="BA37" i="6"/>
  <c r="BB37" i="6" s="1"/>
  <c r="AW37" i="6"/>
  <c r="AX37" i="6" s="1"/>
  <c r="AY37" i="6" s="1"/>
  <c r="AM37" i="6"/>
  <c r="AI37" i="6"/>
  <c r="AJ37" i="6" s="1"/>
  <c r="AK37" i="6" s="1"/>
  <c r="AD37" i="6"/>
  <c r="AE37" i="6" s="1"/>
  <c r="AF37" i="6" s="1"/>
  <c r="W37" i="6"/>
  <c r="X37" i="6" s="1"/>
  <c r="Y37" i="6" s="1"/>
  <c r="BQ36" i="6"/>
  <c r="BR36" i="6" s="1"/>
  <c r="BM36" i="6"/>
  <c r="BN36" i="6" s="1"/>
  <c r="BO36" i="6" s="1"/>
  <c r="BI36" i="6"/>
  <c r="BJ36" i="6" s="1"/>
  <c r="BK36" i="6" s="1"/>
  <c r="BE36" i="6"/>
  <c r="BA36" i="6"/>
  <c r="BB36" i="6" s="1"/>
  <c r="AW36" i="6"/>
  <c r="AX36" i="6" s="1"/>
  <c r="AY36" i="6" s="1"/>
  <c r="AO36" i="6"/>
  <c r="AI36" i="6"/>
  <c r="AJ36" i="6" s="1"/>
  <c r="AK36" i="6" s="1"/>
  <c r="BQ35" i="6"/>
  <c r="BR35" i="6" s="1"/>
  <c r="BM35" i="6"/>
  <c r="BN35" i="6" s="1"/>
  <c r="BO35" i="6" s="1"/>
  <c r="BI35" i="6"/>
  <c r="BJ35" i="6" s="1"/>
  <c r="BK35" i="6" s="1"/>
  <c r="BE35" i="6"/>
  <c r="BA35" i="6"/>
  <c r="BB35" i="6" s="1"/>
  <c r="AW35" i="6"/>
  <c r="AX35" i="6" s="1"/>
  <c r="AY35" i="6" s="1"/>
  <c r="AO35" i="6"/>
  <c r="AI35" i="6"/>
  <c r="AJ35" i="6" s="1"/>
  <c r="AK35" i="6" s="1"/>
  <c r="AD35" i="6"/>
  <c r="AE35" i="6" s="1"/>
  <c r="AF35" i="6" s="1"/>
  <c r="W35" i="6"/>
  <c r="X35" i="6" s="1"/>
  <c r="Y35" i="6" s="1"/>
  <c r="BQ34" i="6"/>
  <c r="BR34" i="6" s="1"/>
  <c r="BM34" i="6"/>
  <c r="BN34" i="6" s="1"/>
  <c r="BO34" i="6" s="1"/>
  <c r="BI34" i="6"/>
  <c r="BJ34" i="6" s="1"/>
  <c r="BK34" i="6" s="1"/>
  <c r="BE34" i="6"/>
  <c r="BA34" i="6"/>
  <c r="BB34" i="6" s="1"/>
  <c r="AW34" i="6"/>
  <c r="AX34" i="6" s="1"/>
  <c r="AY34" i="6" s="1"/>
  <c r="AO34" i="6"/>
  <c r="AI34" i="6"/>
  <c r="AJ34" i="6" s="1"/>
  <c r="AK34" i="6" s="1"/>
  <c r="AD34" i="6"/>
  <c r="AE34" i="6" s="1"/>
  <c r="AF34" i="6" s="1"/>
  <c r="W34" i="6"/>
  <c r="X34" i="6" s="1"/>
  <c r="Y34" i="6" s="1"/>
  <c r="BQ33" i="6"/>
  <c r="BR33" i="6" s="1"/>
  <c r="BM33" i="6"/>
  <c r="BN33" i="6" s="1"/>
  <c r="BO33" i="6" s="1"/>
  <c r="BI33" i="6"/>
  <c r="BJ33" i="6" s="1"/>
  <c r="BK33" i="6" s="1"/>
  <c r="BE33" i="6"/>
  <c r="BA33" i="6"/>
  <c r="BB33" i="6" s="1"/>
  <c r="AW33" i="6"/>
  <c r="AX33" i="6" s="1"/>
  <c r="AY33" i="6" s="1"/>
  <c r="AO33" i="6"/>
  <c r="AI33" i="6"/>
  <c r="AJ33" i="6" s="1"/>
  <c r="AK33" i="6" s="1"/>
  <c r="AD33" i="6"/>
  <c r="AE33" i="6" s="1"/>
  <c r="AF33" i="6" s="1"/>
  <c r="W33" i="6"/>
  <c r="X33" i="6" s="1"/>
  <c r="Y33" i="6" s="1"/>
  <c r="BQ32" i="6"/>
  <c r="BR32" i="6" s="1"/>
  <c r="BM32" i="6"/>
  <c r="BN32" i="6" s="1"/>
  <c r="BO32" i="6" s="1"/>
  <c r="BI32" i="6"/>
  <c r="BJ32" i="6" s="1"/>
  <c r="BK32" i="6" s="1"/>
  <c r="BE32" i="6"/>
  <c r="BA32" i="6"/>
  <c r="BB32" i="6" s="1"/>
  <c r="AW32" i="6"/>
  <c r="AX32" i="6" s="1"/>
  <c r="AY32" i="6" s="1"/>
  <c r="AO32" i="6"/>
  <c r="AI32" i="6"/>
  <c r="AJ32" i="6" s="1"/>
  <c r="AK32" i="6" s="1"/>
  <c r="AD32" i="6"/>
  <c r="AE32" i="6" s="1"/>
  <c r="AF32" i="6" s="1"/>
  <c r="W32" i="6"/>
  <c r="X32" i="6" s="1"/>
  <c r="Y32" i="6" s="1"/>
  <c r="BQ31" i="6"/>
  <c r="BR31" i="6" s="1"/>
  <c r="BM31" i="6"/>
  <c r="BN31" i="6" s="1"/>
  <c r="BO31" i="6" s="1"/>
  <c r="BI31" i="6"/>
  <c r="BJ31" i="6" s="1"/>
  <c r="BK31" i="6" s="1"/>
  <c r="BE31" i="6"/>
  <c r="BA31" i="6"/>
  <c r="BB31" i="6" s="1"/>
  <c r="AW31" i="6"/>
  <c r="AX31" i="6" s="1"/>
  <c r="AY31" i="6" s="1"/>
  <c r="AO31" i="6"/>
  <c r="AI31" i="6"/>
  <c r="AJ31" i="6" s="1"/>
  <c r="AK31" i="6" s="1"/>
  <c r="AD31" i="6"/>
  <c r="AE31" i="6" s="1"/>
  <c r="AF31" i="6" s="1"/>
  <c r="W31" i="6"/>
  <c r="X31" i="6" s="1"/>
  <c r="Y31" i="6" s="1"/>
  <c r="BQ30" i="6"/>
  <c r="BR30" i="6" s="1"/>
  <c r="BM30" i="6"/>
  <c r="BN30" i="6" s="1"/>
  <c r="BO30" i="6" s="1"/>
  <c r="BI30" i="6"/>
  <c r="BJ30" i="6" s="1"/>
  <c r="BK30" i="6" s="1"/>
  <c r="BE30" i="6"/>
  <c r="BA30" i="6"/>
  <c r="BB30" i="6" s="1"/>
  <c r="AW30" i="6"/>
  <c r="AX30" i="6" s="1"/>
  <c r="AY30" i="6" s="1"/>
  <c r="AO30" i="6"/>
  <c r="AI30" i="6"/>
  <c r="AJ30" i="6" s="1"/>
  <c r="AK30" i="6" s="1"/>
  <c r="AD30" i="6"/>
  <c r="AE30" i="6" s="1"/>
  <c r="AF30" i="6" s="1"/>
  <c r="W30" i="6"/>
  <c r="X30" i="6" s="1"/>
  <c r="Y30" i="6" s="1"/>
  <c r="BQ29" i="6"/>
  <c r="BR29" i="6" s="1"/>
  <c r="BM29" i="6"/>
  <c r="BN29" i="6" s="1"/>
  <c r="BO29" i="6" s="1"/>
  <c r="BI29" i="6"/>
  <c r="BJ29" i="6" s="1"/>
  <c r="BK29" i="6" s="1"/>
  <c r="BE29" i="6"/>
  <c r="BA29" i="6"/>
  <c r="BB29" i="6" s="1"/>
  <c r="AW29" i="6"/>
  <c r="AX29" i="6" s="1"/>
  <c r="AY29" i="6" s="1"/>
  <c r="AO29" i="6"/>
  <c r="AI29" i="6"/>
  <c r="AJ29" i="6" s="1"/>
  <c r="AK29" i="6" s="1"/>
  <c r="AD29" i="6"/>
  <c r="AE29" i="6" s="1"/>
  <c r="AF29" i="6" s="1"/>
  <c r="W29" i="6"/>
  <c r="X29" i="6" s="1"/>
  <c r="Y29" i="6" s="1"/>
  <c r="BQ28" i="6"/>
  <c r="BR28" i="6" s="1"/>
  <c r="BM28" i="6"/>
  <c r="BN28" i="6" s="1"/>
  <c r="BO28" i="6" s="1"/>
  <c r="BI28" i="6"/>
  <c r="BJ28" i="6" s="1"/>
  <c r="BK28" i="6" s="1"/>
  <c r="BE28" i="6"/>
  <c r="BA28" i="6"/>
  <c r="BB28" i="6" s="1"/>
  <c r="AW28" i="6"/>
  <c r="AX28" i="6" s="1"/>
  <c r="AY28" i="6" s="1"/>
  <c r="AM28" i="6"/>
  <c r="AI28" i="6"/>
  <c r="AJ28" i="6" s="1"/>
  <c r="AK28" i="6" s="1"/>
  <c r="AD28" i="6"/>
  <c r="AE28" i="6" s="1"/>
  <c r="AF28" i="6" s="1"/>
  <c r="W28" i="6"/>
  <c r="X28" i="6" s="1"/>
  <c r="Y28" i="6" s="1"/>
  <c r="BQ27" i="6"/>
  <c r="BR27" i="6" s="1"/>
  <c r="BM27" i="6"/>
  <c r="BN27" i="6" s="1"/>
  <c r="BO27" i="6" s="1"/>
  <c r="BI27" i="6"/>
  <c r="BJ27" i="6" s="1"/>
  <c r="BK27" i="6" s="1"/>
  <c r="BE27" i="6"/>
  <c r="BA27" i="6"/>
  <c r="BB27" i="6" s="1"/>
  <c r="AW27" i="6"/>
  <c r="AX27" i="6" s="1"/>
  <c r="AY27" i="6" s="1"/>
  <c r="AM27" i="6"/>
  <c r="AI27" i="6"/>
  <c r="AJ27" i="6" s="1"/>
  <c r="AK27" i="6" s="1"/>
  <c r="AD27" i="6"/>
  <c r="AE27" i="6" s="1"/>
  <c r="AF27" i="6" s="1"/>
  <c r="W27" i="6"/>
  <c r="X27" i="6" s="1"/>
  <c r="Y27" i="6" s="1"/>
  <c r="BQ26" i="6"/>
  <c r="BR26" i="6" s="1"/>
  <c r="BM26" i="6"/>
  <c r="BN26" i="6" s="1"/>
  <c r="BO26" i="6" s="1"/>
  <c r="BI26" i="6"/>
  <c r="BJ26" i="6" s="1"/>
  <c r="BK26" i="6" s="1"/>
  <c r="BE26" i="6"/>
  <c r="BA26" i="6"/>
  <c r="BB26" i="6" s="1"/>
  <c r="AW26" i="6"/>
  <c r="AX26" i="6" s="1"/>
  <c r="AY26" i="6" s="1"/>
  <c r="AO26" i="6"/>
  <c r="AI26" i="6"/>
  <c r="AJ26" i="6" s="1"/>
  <c r="AK26" i="6" s="1"/>
  <c r="AD26" i="6"/>
  <c r="AE26" i="6" s="1"/>
  <c r="AF26" i="6" s="1"/>
  <c r="W26" i="6"/>
  <c r="X26" i="6" s="1"/>
  <c r="Y26" i="6" s="1"/>
  <c r="BQ25" i="6"/>
  <c r="BR25" i="6" s="1"/>
  <c r="BM25" i="6"/>
  <c r="BN25" i="6" s="1"/>
  <c r="BO25" i="6" s="1"/>
  <c r="BI25" i="6"/>
  <c r="BJ25" i="6" s="1"/>
  <c r="BK25" i="6" s="1"/>
  <c r="BE25" i="6"/>
  <c r="BA25" i="6"/>
  <c r="BB25" i="6" s="1"/>
  <c r="AW25" i="6"/>
  <c r="AX25" i="6" s="1"/>
  <c r="AY25" i="6" s="1"/>
  <c r="AO25" i="6"/>
  <c r="AI25" i="6"/>
  <c r="AJ25" i="6" s="1"/>
  <c r="AK25" i="6" s="1"/>
  <c r="AD25" i="6"/>
  <c r="AE25" i="6" s="1"/>
  <c r="AF25" i="6" s="1"/>
  <c r="W25" i="6"/>
  <c r="X25" i="6" s="1"/>
  <c r="Y25" i="6" s="1"/>
  <c r="BQ24" i="6"/>
  <c r="BR24" i="6" s="1"/>
  <c r="BM24" i="6"/>
  <c r="BN24" i="6" s="1"/>
  <c r="BO24" i="6" s="1"/>
  <c r="BI24" i="6"/>
  <c r="BJ24" i="6" s="1"/>
  <c r="BK24" i="6" s="1"/>
  <c r="BE24" i="6"/>
  <c r="BA24" i="6"/>
  <c r="BB24" i="6" s="1"/>
  <c r="AW24" i="6"/>
  <c r="AX24" i="6" s="1"/>
  <c r="AY24" i="6" s="1"/>
  <c r="AM24" i="6"/>
  <c r="AI24" i="6"/>
  <c r="AJ24" i="6" s="1"/>
  <c r="AK24" i="6" s="1"/>
  <c r="AD24" i="6"/>
  <c r="AE24" i="6" s="1"/>
  <c r="AF24" i="6" s="1"/>
  <c r="W24" i="6"/>
  <c r="X24" i="6" s="1"/>
  <c r="Y24" i="6" s="1"/>
  <c r="BQ23" i="6"/>
  <c r="BR23" i="6" s="1"/>
  <c r="BM23" i="6"/>
  <c r="BN23" i="6" s="1"/>
  <c r="BO23" i="6" s="1"/>
  <c r="BI23" i="6"/>
  <c r="BJ23" i="6" s="1"/>
  <c r="BK23" i="6" s="1"/>
  <c r="BE23" i="6"/>
  <c r="BA23" i="6"/>
  <c r="BB23" i="6" s="1"/>
  <c r="AW23" i="6"/>
  <c r="AX23" i="6" s="1"/>
  <c r="AY23" i="6" s="1"/>
  <c r="AO23" i="6"/>
  <c r="AI23" i="6"/>
  <c r="AJ23" i="6" s="1"/>
  <c r="AK23" i="6" s="1"/>
  <c r="AD23" i="6"/>
  <c r="AE23" i="6" s="1"/>
  <c r="AF23" i="6" s="1"/>
  <c r="W23" i="6"/>
  <c r="X23" i="6" s="1"/>
  <c r="Y23" i="6" s="1"/>
  <c r="BQ22" i="6"/>
  <c r="BR22" i="6" s="1"/>
  <c r="BM22" i="6"/>
  <c r="BN22" i="6" s="1"/>
  <c r="BO22" i="6" s="1"/>
  <c r="BI22" i="6"/>
  <c r="BJ22" i="6" s="1"/>
  <c r="BK22" i="6" s="1"/>
  <c r="BE22" i="6"/>
  <c r="BA22" i="6"/>
  <c r="BB22" i="6" s="1"/>
  <c r="AW22" i="6"/>
  <c r="AX22" i="6" s="1"/>
  <c r="AY22" i="6" s="1"/>
  <c r="AM22" i="6"/>
  <c r="AI22" i="6"/>
  <c r="AJ22" i="6" s="1"/>
  <c r="AK22" i="6" s="1"/>
  <c r="AD22" i="6"/>
  <c r="AE22" i="6" s="1"/>
  <c r="AF22" i="6" s="1"/>
  <c r="W22" i="6"/>
  <c r="X22" i="6" s="1"/>
  <c r="Y22" i="6" s="1"/>
  <c r="BQ21" i="6"/>
  <c r="BR21" i="6" s="1"/>
  <c r="BM21" i="6"/>
  <c r="BN21" i="6" s="1"/>
  <c r="BO21" i="6" s="1"/>
  <c r="BI21" i="6"/>
  <c r="BJ21" i="6" s="1"/>
  <c r="BK21" i="6" s="1"/>
  <c r="BE21" i="6"/>
  <c r="BA21" i="6"/>
  <c r="BB21" i="6" s="1"/>
  <c r="AW21" i="6"/>
  <c r="AX21" i="6" s="1"/>
  <c r="AY21" i="6" s="1"/>
  <c r="AM21" i="6"/>
  <c r="AI21" i="6"/>
  <c r="AJ21" i="6" s="1"/>
  <c r="AK21" i="6" s="1"/>
  <c r="AD21" i="6"/>
  <c r="AE21" i="6" s="1"/>
  <c r="AF21" i="6" s="1"/>
  <c r="W21" i="6"/>
  <c r="X21" i="6" s="1"/>
  <c r="Y21" i="6" s="1"/>
  <c r="BQ20" i="6"/>
  <c r="BR20" i="6" s="1"/>
  <c r="BM20" i="6"/>
  <c r="BN20" i="6" s="1"/>
  <c r="BO20" i="6" s="1"/>
  <c r="BI20" i="6"/>
  <c r="BJ20" i="6" s="1"/>
  <c r="BK20" i="6" s="1"/>
  <c r="BE20" i="6"/>
  <c r="BA20" i="6"/>
  <c r="BB20" i="6" s="1"/>
  <c r="AW20" i="6"/>
  <c r="AX20" i="6" s="1"/>
  <c r="AY20" i="6" s="1"/>
  <c r="AO20" i="6"/>
  <c r="AI20" i="6"/>
  <c r="AJ20" i="6" s="1"/>
  <c r="AK20" i="6" s="1"/>
  <c r="AD20" i="6"/>
  <c r="AE20" i="6" s="1"/>
  <c r="AF20" i="6" s="1"/>
  <c r="W20" i="6"/>
  <c r="X20" i="6" s="1"/>
  <c r="Y20" i="6" s="1"/>
  <c r="BQ19" i="6"/>
  <c r="BR19" i="6" s="1"/>
  <c r="BM19" i="6"/>
  <c r="BN19" i="6" s="1"/>
  <c r="BO19" i="6" s="1"/>
  <c r="BI19" i="6"/>
  <c r="BJ19" i="6" s="1"/>
  <c r="BK19" i="6" s="1"/>
  <c r="BE19" i="6"/>
  <c r="BA19" i="6"/>
  <c r="BB19" i="6" s="1"/>
  <c r="AW19" i="6"/>
  <c r="AX19" i="6" s="1"/>
  <c r="AY19" i="6" s="1"/>
  <c r="AO19" i="6"/>
  <c r="AI19" i="6"/>
  <c r="AJ19" i="6" s="1"/>
  <c r="AK19" i="6" s="1"/>
  <c r="AD19" i="6"/>
  <c r="AE19" i="6" s="1"/>
  <c r="AF19" i="6" s="1"/>
  <c r="W19" i="6"/>
  <c r="X19" i="6" s="1"/>
  <c r="Y19" i="6" s="1"/>
  <c r="BQ18" i="6"/>
  <c r="BR18" i="6" s="1"/>
  <c r="BM18" i="6"/>
  <c r="BN18" i="6" s="1"/>
  <c r="BO18" i="6" s="1"/>
  <c r="BI18" i="6"/>
  <c r="BJ18" i="6" s="1"/>
  <c r="BK18" i="6" s="1"/>
  <c r="BE18" i="6"/>
  <c r="BA18" i="6"/>
  <c r="BB18" i="6" s="1"/>
  <c r="AW18" i="6"/>
  <c r="AX18" i="6" s="1"/>
  <c r="AY18" i="6" s="1"/>
  <c r="AO18" i="6"/>
  <c r="AI18" i="6"/>
  <c r="AJ18" i="6" s="1"/>
  <c r="AK18" i="6" s="1"/>
  <c r="AD18" i="6"/>
  <c r="AE18" i="6" s="1"/>
  <c r="AF18" i="6" s="1"/>
  <c r="W18" i="6"/>
  <c r="X18" i="6" s="1"/>
  <c r="Y18" i="6" s="1"/>
  <c r="BQ17" i="6"/>
  <c r="BR17" i="6" s="1"/>
  <c r="BM17" i="6"/>
  <c r="BN17" i="6" s="1"/>
  <c r="BO17" i="6" s="1"/>
  <c r="BI17" i="6"/>
  <c r="BJ17" i="6" s="1"/>
  <c r="BK17" i="6" s="1"/>
  <c r="BE17" i="6"/>
  <c r="BA17" i="6"/>
  <c r="BB17" i="6" s="1"/>
  <c r="AW17" i="6"/>
  <c r="AX17" i="6" s="1"/>
  <c r="AY17" i="6" s="1"/>
  <c r="AO17" i="6"/>
  <c r="AI17" i="6"/>
  <c r="AJ17" i="6" s="1"/>
  <c r="AK17" i="6" s="1"/>
  <c r="AD17" i="6"/>
  <c r="AE17" i="6" s="1"/>
  <c r="AF17" i="6" s="1"/>
  <c r="W17" i="6"/>
  <c r="X17" i="6" s="1"/>
  <c r="Y17" i="6" s="1"/>
  <c r="BQ16" i="6"/>
  <c r="BR16" i="6" s="1"/>
  <c r="BM16" i="6"/>
  <c r="BN16" i="6" s="1"/>
  <c r="BO16" i="6" s="1"/>
  <c r="BI16" i="6"/>
  <c r="BJ16" i="6" s="1"/>
  <c r="BK16" i="6" s="1"/>
  <c r="BE16" i="6"/>
  <c r="BA16" i="6"/>
  <c r="BB16" i="6" s="1"/>
  <c r="AW16" i="6"/>
  <c r="AX16" i="6" s="1"/>
  <c r="AY16" i="6" s="1"/>
  <c r="AO16" i="6"/>
  <c r="AI16" i="6"/>
  <c r="AJ16" i="6" s="1"/>
  <c r="AK16" i="6" s="1"/>
  <c r="AD16" i="6"/>
  <c r="AE16" i="6" s="1"/>
  <c r="AF16" i="6" s="1"/>
  <c r="W16" i="6"/>
  <c r="X16" i="6" s="1"/>
  <c r="Y16" i="6" s="1"/>
  <c r="BQ15" i="6"/>
  <c r="BR15" i="6" s="1"/>
  <c r="BM15" i="6"/>
  <c r="BN15" i="6" s="1"/>
  <c r="BO15" i="6" s="1"/>
  <c r="BI15" i="6"/>
  <c r="BJ15" i="6" s="1"/>
  <c r="BK15" i="6" s="1"/>
  <c r="BE15" i="6"/>
  <c r="BA15" i="6"/>
  <c r="BB15" i="6" s="1"/>
  <c r="AW15" i="6"/>
  <c r="AX15" i="6" s="1"/>
  <c r="AY15" i="6" s="1"/>
  <c r="AO15" i="6"/>
  <c r="AI15" i="6"/>
  <c r="AJ15" i="6" s="1"/>
  <c r="AK15" i="6" s="1"/>
  <c r="AD15" i="6"/>
  <c r="AE15" i="6" s="1"/>
  <c r="AF15" i="6" s="1"/>
  <c r="W15" i="6"/>
  <c r="X15" i="6" s="1"/>
  <c r="Y15" i="6" s="1"/>
  <c r="BQ14" i="6"/>
  <c r="BR14" i="6" s="1"/>
  <c r="BM14" i="6"/>
  <c r="BN14" i="6" s="1"/>
  <c r="BO14" i="6" s="1"/>
  <c r="BI14" i="6"/>
  <c r="BJ14" i="6" s="1"/>
  <c r="BK14" i="6" s="1"/>
  <c r="BE14" i="6"/>
  <c r="BA14" i="6"/>
  <c r="BB14" i="6" s="1"/>
  <c r="AW14" i="6"/>
  <c r="AX14" i="6" s="1"/>
  <c r="AY14" i="6" s="1"/>
  <c r="AO14" i="6"/>
  <c r="AI14" i="6"/>
  <c r="AJ14" i="6" s="1"/>
  <c r="AK14" i="6" s="1"/>
  <c r="AD14" i="6"/>
  <c r="AE14" i="6" s="1"/>
  <c r="AF14" i="6" s="1"/>
  <c r="W14" i="6"/>
  <c r="X14" i="6" s="1"/>
  <c r="Y14" i="6" s="1"/>
  <c r="BQ13" i="6"/>
  <c r="BR13" i="6" s="1"/>
  <c r="BM13" i="6"/>
  <c r="BN13" i="6" s="1"/>
  <c r="BO13" i="6" s="1"/>
  <c r="BI13" i="6"/>
  <c r="BJ13" i="6" s="1"/>
  <c r="BK13" i="6" s="1"/>
  <c r="BE13" i="6"/>
  <c r="BA13" i="6"/>
  <c r="BB13" i="6" s="1"/>
  <c r="AW13" i="6"/>
  <c r="AX13" i="6" s="1"/>
  <c r="AY13" i="6" s="1"/>
  <c r="AO13" i="6"/>
  <c r="AI13" i="6"/>
  <c r="AJ13" i="6" s="1"/>
  <c r="AK13" i="6" s="1"/>
  <c r="AD13" i="6"/>
  <c r="AE13" i="6" s="1"/>
  <c r="AF13" i="6" s="1"/>
  <c r="W13" i="6"/>
  <c r="X13" i="6" s="1"/>
  <c r="Y13" i="6" s="1"/>
  <c r="BQ12" i="6"/>
  <c r="BR12" i="6" s="1"/>
  <c r="BM12" i="6"/>
  <c r="BN12" i="6" s="1"/>
  <c r="BO12" i="6" s="1"/>
  <c r="BI12" i="6"/>
  <c r="BJ12" i="6" s="1"/>
  <c r="BK12" i="6" s="1"/>
  <c r="BE12" i="6"/>
  <c r="BA12" i="6"/>
  <c r="BB12" i="6" s="1"/>
  <c r="AW12" i="6"/>
  <c r="AX12" i="6" s="1"/>
  <c r="AY12" i="6" s="1"/>
  <c r="AM12" i="6"/>
  <c r="AI12" i="6"/>
  <c r="AJ12" i="6" s="1"/>
  <c r="AK12" i="6" s="1"/>
  <c r="AD12" i="6"/>
  <c r="AE12" i="6" s="1"/>
  <c r="AF12" i="6" s="1"/>
  <c r="W12" i="6"/>
  <c r="X12" i="6" s="1"/>
  <c r="Y12" i="6" s="1"/>
  <c r="BQ11" i="6"/>
  <c r="BR11" i="6" s="1"/>
  <c r="BM11" i="6"/>
  <c r="BN11" i="6" s="1"/>
  <c r="BO11" i="6" s="1"/>
  <c r="BI11" i="6"/>
  <c r="BJ11" i="6" s="1"/>
  <c r="BK11" i="6" s="1"/>
  <c r="BE11" i="6"/>
  <c r="BA11" i="6"/>
  <c r="BB11" i="6" s="1"/>
  <c r="AW11" i="6"/>
  <c r="AX11" i="6" s="1"/>
  <c r="AY11" i="6" s="1"/>
  <c r="AO11" i="6"/>
  <c r="AI11" i="6"/>
  <c r="AJ11" i="6" s="1"/>
  <c r="AK11" i="6" s="1"/>
  <c r="AD11" i="6"/>
  <c r="AE11" i="6" s="1"/>
  <c r="AF11" i="6" s="1"/>
  <c r="W11" i="6"/>
  <c r="X11" i="6" s="1"/>
  <c r="Y11" i="6" s="1"/>
  <c r="BQ10" i="6"/>
  <c r="BR10" i="6" s="1"/>
  <c r="BM10" i="6"/>
  <c r="BN10" i="6" s="1"/>
  <c r="BO10" i="6" s="1"/>
  <c r="BI10" i="6"/>
  <c r="BJ10" i="6" s="1"/>
  <c r="BK10" i="6" s="1"/>
  <c r="BE10" i="6"/>
  <c r="BA10" i="6"/>
  <c r="BB10" i="6" s="1"/>
  <c r="AW10" i="6"/>
  <c r="AX10" i="6" s="1"/>
  <c r="AY10" i="6" s="1"/>
  <c r="AM10" i="6"/>
  <c r="AI10" i="6"/>
  <c r="AJ10" i="6" s="1"/>
  <c r="AK10" i="6" s="1"/>
  <c r="AD10" i="6"/>
  <c r="AE10" i="6" s="1"/>
  <c r="AF10" i="6" s="1"/>
  <c r="W10" i="6"/>
  <c r="X10" i="6" s="1"/>
  <c r="Y10" i="6" s="1"/>
  <c r="BQ9" i="6"/>
  <c r="BR9" i="6" s="1"/>
  <c r="BM9" i="6"/>
  <c r="BN9" i="6" s="1"/>
  <c r="BO9" i="6" s="1"/>
  <c r="BI9" i="6"/>
  <c r="BJ9" i="6" s="1"/>
  <c r="BK9" i="6" s="1"/>
  <c r="BE9" i="6"/>
  <c r="BA9" i="6"/>
  <c r="BB9" i="6" s="1"/>
  <c r="AW9" i="6"/>
  <c r="AX9" i="6" s="1"/>
  <c r="AY9" i="6" s="1"/>
  <c r="AO9" i="6"/>
  <c r="AI9" i="6"/>
  <c r="AJ9" i="6" s="1"/>
  <c r="AK9" i="6" s="1"/>
  <c r="AD9" i="6"/>
  <c r="AE9" i="6" s="1"/>
  <c r="AF9" i="6" s="1"/>
  <c r="W9" i="6"/>
  <c r="X9" i="6" s="1"/>
  <c r="Y9" i="6" s="1"/>
  <c r="BQ8" i="6"/>
  <c r="BR8" i="6" s="1"/>
  <c r="BM8" i="6"/>
  <c r="BN8" i="6" s="1"/>
  <c r="BO8" i="6" s="1"/>
  <c r="BI8" i="6"/>
  <c r="BJ8" i="6" s="1"/>
  <c r="BK8" i="6" s="1"/>
  <c r="BE8" i="6"/>
  <c r="BA8" i="6"/>
  <c r="BB8" i="6" s="1"/>
  <c r="AW8" i="6"/>
  <c r="AX8" i="6" s="1"/>
  <c r="AY8" i="6" s="1"/>
  <c r="AO8" i="6"/>
  <c r="AI8" i="6"/>
  <c r="AJ8" i="6" s="1"/>
  <c r="AK8" i="6" s="1"/>
  <c r="BQ7" i="6"/>
  <c r="BR7" i="6" s="1"/>
  <c r="BM7" i="6"/>
  <c r="BN7" i="6" s="1"/>
  <c r="BO7" i="6" s="1"/>
  <c r="BI7" i="6"/>
  <c r="BJ7" i="6" s="1"/>
  <c r="BK7" i="6" s="1"/>
  <c r="BE7" i="6"/>
  <c r="BA7" i="6"/>
  <c r="BB7" i="6" s="1"/>
  <c r="AW7" i="6"/>
  <c r="AX7" i="6" s="1"/>
  <c r="AY7" i="6" s="1"/>
  <c r="AM7" i="6"/>
  <c r="AI7" i="6"/>
  <c r="AJ7" i="6" s="1"/>
  <c r="AK7" i="6" s="1"/>
  <c r="AD7" i="6"/>
  <c r="AE7" i="6" s="1"/>
  <c r="AF7" i="6" s="1"/>
  <c r="W7" i="6"/>
  <c r="X7" i="6" s="1"/>
  <c r="Y7" i="6" s="1"/>
  <c r="BQ6" i="6"/>
  <c r="BR6" i="6" s="1"/>
  <c r="BM6" i="6"/>
  <c r="BN6" i="6" s="1"/>
  <c r="BO6" i="6" s="1"/>
  <c r="BI6" i="6"/>
  <c r="BJ6" i="6" s="1"/>
  <c r="BK6" i="6" s="1"/>
  <c r="BE6" i="6"/>
  <c r="BA6" i="6"/>
  <c r="BB6" i="6" s="1"/>
  <c r="AW6" i="6"/>
  <c r="AX6" i="6" s="1"/>
  <c r="AY6" i="6" s="1"/>
  <c r="AM6" i="6"/>
  <c r="AI6" i="6"/>
  <c r="AJ6" i="6" s="1"/>
  <c r="AK6" i="6" s="1"/>
  <c r="AD6" i="6"/>
  <c r="AE6" i="6" s="1"/>
  <c r="AF6" i="6" s="1"/>
  <c r="W6" i="6"/>
  <c r="X6" i="6" s="1"/>
  <c r="Y6" i="6" s="1"/>
  <c r="BQ5" i="6"/>
  <c r="BR5" i="6" s="1"/>
  <c r="BM5" i="6"/>
  <c r="BN5" i="6" s="1"/>
  <c r="BO5" i="6" s="1"/>
  <c r="BI5" i="6"/>
  <c r="BJ5" i="6" s="1"/>
  <c r="BK5" i="6" s="1"/>
  <c r="BE5" i="6"/>
  <c r="BA5" i="6"/>
  <c r="BB5" i="6" s="1"/>
  <c r="AW5" i="6"/>
  <c r="AX5" i="6" s="1"/>
  <c r="AY5" i="6" s="1"/>
  <c r="AO5" i="6"/>
  <c r="AI5" i="6"/>
  <c r="AJ5" i="6" s="1"/>
  <c r="AK5" i="6" s="1"/>
  <c r="AD5" i="6"/>
  <c r="AE5" i="6" s="1"/>
  <c r="AF5" i="6" s="1"/>
  <c r="W5" i="6"/>
  <c r="X5" i="6" s="1"/>
  <c r="Y5" i="6" s="1"/>
  <c r="BQ4" i="6"/>
  <c r="BR4" i="6" s="1"/>
  <c r="BM4" i="6"/>
  <c r="BN4" i="6" s="1"/>
  <c r="BO4" i="6" s="1"/>
  <c r="BI4" i="6"/>
  <c r="BJ4" i="6" s="1"/>
  <c r="BK4" i="6" s="1"/>
  <c r="BE4" i="6"/>
  <c r="BA4" i="6"/>
  <c r="BB4" i="6" s="1"/>
  <c r="AW4" i="6"/>
  <c r="AX4" i="6" s="1"/>
  <c r="AY4" i="6" s="1"/>
  <c r="AM4" i="6"/>
  <c r="AI4" i="6"/>
  <c r="AJ4" i="6" s="1"/>
  <c r="AK4" i="6" s="1"/>
  <c r="AD4" i="6"/>
  <c r="AE4" i="6" s="1"/>
  <c r="AF4" i="6" s="1"/>
  <c r="W4" i="6"/>
  <c r="X4" i="6" s="1"/>
  <c r="Y4" i="6" s="1"/>
  <c r="BQ3" i="6"/>
  <c r="BR3" i="6" s="1"/>
  <c r="BM3" i="6"/>
  <c r="BN3" i="6" s="1"/>
  <c r="BO3" i="6" s="1"/>
  <c r="BI3" i="6"/>
  <c r="BJ3" i="6" s="1"/>
  <c r="BK3" i="6" s="1"/>
  <c r="BE3" i="6"/>
  <c r="BA3" i="6"/>
  <c r="BB3" i="6" s="1"/>
  <c r="AW3" i="6"/>
  <c r="AX3" i="6" s="1"/>
  <c r="AY3" i="6" s="1"/>
  <c r="AM3" i="6"/>
  <c r="AI3" i="6"/>
  <c r="AJ3" i="6" s="1"/>
  <c r="AK3" i="6" s="1"/>
  <c r="AD3" i="6"/>
  <c r="AE3" i="6" s="1"/>
  <c r="AF3" i="6" s="1"/>
  <c r="W3" i="6"/>
  <c r="X3" i="6" s="1"/>
  <c r="Y3" i="6" s="1"/>
  <c r="BQ2" i="6"/>
  <c r="BR2" i="6" s="1"/>
  <c r="BM2" i="6"/>
  <c r="BN2" i="6" s="1"/>
  <c r="BO2" i="6" s="1"/>
  <c r="BI2" i="6"/>
  <c r="BJ2" i="6" s="1"/>
  <c r="BK2" i="6" s="1"/>
  <c r="BD2" i="6"/>
  <c r="BE2" i="6" s="1"/>
  <c r="BA2" i="6"/>
  <c r="BB2" i="6" s="1"/>
  <c r="AW2" i="6"/>
  <c r="AX2" i="6" s="1"/>
  <c r="AY2" i="6" s="1"/>
  <c r="AM2" i="6"/>
  <c r="AI2" i="6"/>
  <c r="AJ2" i="6" s="1"/>
  <c r="AK2" i="6" s="1"/>
  <c r="AD2" i="6"/>
  <c r="AE2" i="6" s="1"/>
  <c r="AF2" i="6" s="1"/>
  <c r="W2" i="6"/>
  <c r="X2" i="6" s="1"/>
  <c r="Y2" i="6" s="1"/>
  <c r="AR259" i="6" l="1"/>
  <c r="AS259" i="6" s="1"/>
  <c r="AT259" i="6" s="1"/>
  <c r="AU259" i="6" s="1"/>
  <c r="AR255" i="6"/>
  <c r="AS255" i="6" s="1"/>
  <c r="AT255" i="6" s="1"/>
  <c r="AU255" i="6" s="1"/>
  <c r="AR251" i="6"/>
  <c r="AS251" i="6" s="1"/>
  <c r="AT251" i="6" s="1"/>
  <c r="AU251" i="6" s="1"/>
  <c r="BS251" i="6" s="1"/>
  <c r="I36" i="8" s="1"/>
  <c r="AR247" i="6"/>
  <c r="AS247" i="6" s="1"/>
  <c r="AT247" i="6" s="1"/>
  <c r="AU247" i="6" s="1"/>
  <c r="AR243" i="6"/>
  <c r="AS243" i="6" s="1"/>
  <c r="AT243" i="6" s="1"/>
  <c r="AU243" i="6" s="1"/>
  <c r="AR239" i="6"/>
  <c r="AS239" i="6" s="1"/>
  <c r="AT239" i="6" s="1"/>
  <c r="AU239" i="6" s="1"/>
  <c r="AR235" i="6"/>
  <c r="AS235" i="6" s="1"/>
  <c r="AT235" i="6" s="1"/>
  <c r="AU235" i="6" s="1"/>
  <c r="AR231" i="6"/>
  <c r="AS231" i="6" s="1"/>
  <c r="AT231" i="6" s="1"/>
  <c r="AU231" i="6" s="1"/>
  <c r="AR227" i="6"/>
  <c r="AS227" i="6" s="1"/>
  <c r="AT227" i="6" s="1"/>
  <c r="AU227" i="6" s="1"/>
  <c r="AR223" i="6"/>
  <c r="AS223" i="6" s="1"/>
  <c r="AT223" i="6" s="1"/>
  <c r="AU223" i="6" s="1"/>
  <c r="AR219" i="6"/>
  <c r="AS219" i="6" s="1"/>
  <c r="AT219" i="6" s="1"/>
  <c r="AU219" i="6" s="1"/>
  <c r="AR215" i="6"/>
  <c r="AS215" i="6" s="1"/>
  <c r="AT215" i="6" s="1"/>
  <c r="AU215" i="6" s="1"/>
  <c r="AR211" i="6"/>
  <c r="AS211" i="6" s="1"/>
  <c r="AT211" i="6" s="1"/>
  <c r="AU211" i="6" s="1"/>
  <c r="AR207" i="6"/>
  <c r="AS207" i="6" s="1"/>
  <c r="AT207" i="6" s="1"/>
  <c r="AU207" i="6" s="1"/>
  <c r="AR203" i="6"/>
  <c r="AS203" i="6" s="1"/>
  <c r="AT203" i="6" s="1"/>
  <c r="AU203" i="6" s="1"/>
  <c r="AR199" i="6"/>
  <c r="AS199" i="6" s="1"/>
  <c r="AT199" i="6" s="1"/>
  <c r="AU199" i="6" s="1"/>
  <c r="AR195" i="6"/>
  <c r="AS195" i="6" s="1"/>
  <c r="AT195" i="6" s="1"/>
  <c r="AU195" i="6" s="1"/>
  <c r="AR191" i="6"/>
  <c r="AS191" i="6" s="1"/>
  <c r="AT191" i="6" s="1"/>
  <c r="AU191" i="6" s="1"/>
  <c r="AR187" i="6"/>
  <c r="AS187" i="6" s="1"/>
  <c r="AT187" i="6" s="1"/>
  <c r="AU187" i="6" s="1"/>
  <c r="BS187" i="6" s="1"/>
  <c r="I243" i="8" s="1"/>
  <c r="AR183" i="6"/>
  <c r="AS183" i="6" s="1"/>
  <c r="AT183" i="6" s="1"/>
  <c r="AU183" i="6" s="1"/>
  <c r="AR179" i="6"/>
  <c r="AS179" i="6" s="1"/>
  <c r="AT179" i="6" s="1"/>
  <c r="AU179" i="6" s="1"/>
  <c r="AR175" i="6"/>
  <c r="AS175" i="6" s="1"/>
  <c r="AT175" i="6" s="1"/>
  <c r="AU175" i="6" s="1"/>
  <c r="AR171" i="6"/>
  <c r="AS171" i="6" s="1"/>
  <c r="AT171" i="6" s="1"/>
  <c r="AU171" i="6" s="1"/>
  <c r="BS171" i="6" s="1"/>
  <c r="I120" i="8" s="1"/>
  <c r="AN106" i="6"/>
  <c r="AO106" i="6" s="1"/>
  <c r="AN145" i="6"/>
  <c r="AO145" i="6" s="1"/>
  <c r="AN4" i="6"/>
  <c r="AO4" i="6" s="1"/>
  <c r="AN38" i="6"/>
  <c r="AO38" i="6" s="1"/>
  <c r="AN42" i="6"/>
  <c r="AO42" i="6" s="1"/>
  <c r="AO51" i="6"/>
  <c r="AN51" i="6"/>
  <c r="AN85" i="6"/>
  <c r="AO85" i="6" s="1"/>
  <c r="AN89" i="6"/>
  <c r="AO89" i="6" s="1"/>
  <c r="AN101" i="6"/>
  <c r="AO101" i="6" s="1"/>
  <c r="AO161" i="6"/>
  <c r="AN161" i="6"/>
  <c r="AN165" i="6"/>
  <c r="AO165" i="6" s="1"/>
  <c r="AN203" i="6"/>
  <c r="AO203" i="6" s="1"/>
  <c r="AN10" i="6"/>
  <c r="AO10" i="6" s="1"/>
  <c r="AN22" i="6"/>
  <c r="AO22" i="6" s="1"/>
  <c r="AN39" i="6"/>
  <c r="AO39" i="6" s="1"/>
  <c r="AN43" i="6"/>
  <c r="AO43" i="6" s="1"/>
  <c r="AN52" i="6"/>
  <c r="AO52" i="6" s="1"/>
  <c r="AN56" i="6"/>
  <c r="AO56" i="6" s="1"/>
  <c r="AN60" i="6"/>
  <c r="AO60" i="6" s="1"/>
  <c r="AN73" i="6"/>
  <c r="AO73" i="6" s="1"/>
  <c r="AN78" i="6"/>
  <c r="AO78" i="6" s="1"/>
  <c r="AN82" i="6"/>
  <c r="AO82" i="6" s="1"/>
  <c r="AN86" i="6"/>
  <c r="AO86" i="6" s="1"/>
  <c r="AN90" i="6"/>
  <c r="AO90" i="6" s="1"/>
  <c r="AN94" i="6"/>
  <c r="AO94" i="6" s="1"/>
  <c r="AN98" i="6"/>
  <c r="AO98" i="6" s="1"/>
  <c r="AN103" i="6"/>
  <c r="AO103" i="6" s="1"/>
  <c r="AN107" i="6"/>
  <c r="AO107" i="6" s="1"/>
  <c r="AN111" i="6"/>
  <c r="AO111" i="6" s="1"/>
  <c r="AN125" i="6"/>
  <c r="AO125" i="6" s="1"/>
  <c r="AN129" i="6"/>
  <c r="AO129" i="6" s="1"/>
  <c r="AN139" i="6"/>
  <c r="AO139" i="6" s="1"/>
  <c r="AN154" i="6"/>
  <c r="AO154" i="6" s="1"/>
  <c r="AO158" i="6"/>
  <c r="AN158" i="6"/>
  <c r="AN174" i="6"/>
  <c r="AO174" i="6" s="1"/>
  <c r="AN178" i="6"/>
  <c r="AO178" i="6" s="1"/>
  <c r="AN183" i="6"/>
  <c r="AO183" i="6" s="1"/>
  <c r="BS183" i="6" s="1"/>
  <c r="I51" i="8" s="1"/>
  <c r="AO187" i="6"/>
  <c r="AN187" i="6"/>
  <c r="AN191" i="6"/>
  <c r="AO191" i="6" s="1"/>
  <c r="BS191" i="6" s="1"/>
  <c r="I131" i="8" s="1"/>
  <c r="AN204" i="6"/>
  <c r="AO204" i="6" s="1"/>
  <c r="AN210" i="6"/>
  <c r="AO210" i="6" s="1"/>
  <c r="AO214" i="6"/>
  <c r="AN214" i="6"/>
  <c r="AN218" i="6"/>
  <c r="AO218" i="6" s="1"/>
  <c r="AN231" i="6"/>
  <c r="AO231" i="6" s="1"/>
  <c r="BS231" i="6" s="1"/>
  <c r="I98" i="8" s="1"/>
  <c r="AN235" i="6"/>
  <c r="AO235" i="6" s="1"/>
  <c r="AO240" i="6"/>
  <c r="AN240" i="6"/>
  <c r="AN244" i="6"/>
  <c r="AO244" i="6" s="1"/>
  <c r="AN258" i="6"/>
  <c r="AO258" i="6" s="1"/>
  <c r="AN266" i="6"/>
  <c r="AO266" i="6" s="1"/>
  <c r="AN274" i="6"/>
  <c r="AO274" i="6" s="1"/>
  <c r="AN286" i="6"/>
  <c r="AO286" i="6" s="1"/>
  <c r="AN291" i="6"/>
  <c r="AO291" i="6" s="1"/>
  <c r="AN295" i="6"/>
  <c r="AO295" i="6" s="1"/>
  <c r="AN301" i="6"/>
  <c r="AO301" i="6" s="1"/>
  <c r="AN311" i="6"/>
  <c r="AO311" i="6" s="1"/>
  <c r="AN315" i="6"/>
  <c r="AO315" i="6" s="1"/>
  <c r="AN47" i="6"/>
  <c r="AO47" i="6" s="1"/>
  <c r="AO64" i="6"/>
  <c r="AN64" i="6"/>
  <c r="AN110" i="6"/>
  <c r="AO110" i="6" s="1"/>
  <c r="AN114" i="6"/>
  <c r="AO114" i="6" s="1"/>
  <c r="AN124" i="6"/>
  <c r="AO124" i="6" s="1"/>
  <c r="AN138" i="6"/>
  <c r="AO138" i="6" s="1"/>
  <c r="AN190" i="6"/>
  <c r="AO190" i="6" s="1"/>
  <c r="AN68" i="6"/>
  <c r="AO68" i="6" s="1"/>
  <c r="AN102" i="6"/>
  <c r="AO102" i="6" s="1"/>
  <c r="AO195" i="6"/>
  <c r="AN195" i="6"/>
  <c r="AN209" i="6"/>
  <c r="AO209" i="6" s="1"/>
  <c r="AN248" i="6"/>
  <c r="AO248" i="6" s="1"/>
  <c r="AN253" i="6"/>
  <c r="AO253" i="6" s="1"/>
  <c r="AO273" i="6"/>
  <c r="AN273" i="6"/>
  <c r="AN289" i="6"/>
  <c r="AO289" i="6" s="1"/>
  <c r="AN294" i="6"/>
  <c r="AO294" i="6" s="1"/>
  <c r="AN304" i="6"/>
  <c r="AO304" i="6" s="1"/>
  <c r="AO314" i="6"/>
  <c r="AN314" i="6"/>
  <c r="AN318" i="6"/>
  <c r="AO318" i="6" s="1"/>
  <c r="AN2" i="6"/>
  <c r="AO2" i="6" s="1"/>
  <c r="AN6" i="6"/>
  <c r="AO6" i="6" s="1"/>
  <c r="AO27" i="6"/>
  <c r="AN27" i="6"/>
  <c r="AN40" i="6"/>
  <c r="AO40" i="6" s="1"/>
  <c r="AN44" i="6"/>
  <c r="AO44" i="6" s="1"/>
  <c r="AN53" i="6"/>
  <c r="AO53" i="6" s="1"/>
  <c r="AO57" i="6"/>
  <c r="AN57" i="6"/>
  <c r="AN61" i="6"/>
  <c r="AO61" i="6" s="1"/>
  <c r="AN66" i="6"/>
  <c r="AO66" i="6" s="1"/>
  <c r="AN70" i="6"/>
  <c r="AO70" i="6" s="1"/>
  <c r="AN74" i="6"/>
  <c r="AO74" i="6" s="1"/>
  <c r="AN83" i="6"/>
  <c r="AO83" i="6" s="1"/>
  <c r="AN95" i="6"/>
  <c r="AO95" i="6" s="1"/>
  <c r="AN104" i="6"/>
  <c r="AO104" i="6" s="1"/>
  <c r="AO120" i="6"/>
  <c r="AN120" i="6"/>
  <c r="AN121" i="6"/>
  <c r="AO121" i="6" s="1"/>
  <c r="AN126" i="6"/>
  <c r="AO126" i="6" s="1"/>
  <c r="AN143" i="6"/>
  <c r="AO143" i="6" s="1"/>
  <c r="AN147" i="6"/>
  <c r="AO147" i="6" s="1"/>
  <c r="AN151" i="6"/>
  <c r="AO151" i="6" s="1"/>
  <c r="AN163" i="6"/>
  <c r="AO163" i="6" s="1"/>
  <c r="AN167" i="6"/>
  <c r="AO167" i="6" s="1"/>
  <c r="AO192" i="6"/>
  <c r="AN192" i="6"/>
  <c r="AN197" i="6"/>
  <c r="AO197" i="6" s="1"/>
  <c r="AN201" i="6"/>
  <c r="AO201" i="6" s="1"/>
  <c r="AN205" i="6"/>
  <c r="AO205" i="6" s="1"/>
  <c r="AO211" i="6"/>
  <c r="AN211" i="6"/>
  <c r="AN215" i="6"/>
  <c r="AO215" i="6" s="1"/>
  <c r="AN237" i="6"/>
  <c r="AO237" i="6" s="1"/>
  <c r="AN245" i="6"/>
  <c r="AO245" i="6" s="1"/>
  <c r="AO250" i="6"/>
  <c r="AN250" i="6"/>
  <c r="AN255" i="6"/>
  <c r="AO255" i="6" s="1"/>
  <c r="BS255" i="6" s="1"/>
  <c r="I265" i="8" s="1"/>
  <c r="AN267" i="6"/>
  <c r="AO267" i="6" s="1"/>
  <c r="AN271" i="6"/>
  <c r="AO271" i="6" s="1"/>
  <c r="AO275" i="6"/>
  <c r="AN275" i="6"/>
  <c r="AN283" i="6"/>
  <c r="AO283" i="6" s="1"/>
  <c r="AN296" i="6"/>
  <c r="AO296" i="6" s="1"/>
  <c r="AN302" i="6"/>
  <c r="AO302" i="6" s="1"/>
  <c r="AO306" i="6"/>
  <c r="AN306" i="6"/>
  <c r="AN312" i="6"/>
  <c r="AO312" i="6" s="1"/>
  <c r="AN316" i="6"/>
  <c r="AO316" i="6" s="1"/>
  <c r="AN21" i="6"/>
  <c r="AO21" i="6" s="1"/>
  <c r="AN77" i="6"/>
  <c r="AO77" i="6" s="1"/>
  <c r="AN133" i="6"/>
  <c r="AO133" i="6" s="1"/>
  <c r="AN149" i="6"/>
  <c r="AO149" i="6" s="1"/>
  <c r="AN173" i="6"/>
  <c r="AO173" i="6" s="1"/>
  <c r="AN177" i="6"/>
  <c r="AO177" i="6" s="1"/>
  <c r="AN182" i="6"/>
  <c r="AO182" i="6" s="1"/>
  <c r="AN257" i="6"/>
  <c r="AO257" i="6" s="1"/>
  <c r="AN265" i="6"/>
  <c r="AO265" i="6" s="1"/>
  <c r="AN277" i="6"/>
  <c r="AO277" i="6" s="1"/>
  <c r="AN281" i="6"/>
  <c r="AO281" i="6" s="1"/>
  <c r="AN93" i="6"/>
  <c r="AO93" i="6" s="1"/>
  <c r="AN97" i="6"/>
  <c r="AO97" i="6" s="1"/>
  <c r="AN213" i="6"/>
  <c r="AO213" i="6" s="1"/>
  <c r="AN217" i="6"/>
  <c r="AO217" i="6" s="1"/>
  <c r="AN230" i="6"/>
  <c r="AO230" i="6" s="1"/>
  <c r="AN269" i="6"/>
  <c r="AO269" i="6" s="1"/>
  <c r="AN3" i="6"/>
  <c r="AO3" i="6" s="1"/>
  <c r="AN7" i="6"/>
  <c r="AO7" i="6" s="1"/>
  <c r="AN12" i="6"/>
  <c r="AO12" i="6" s="1"/>
  <c r="AN24" i="6"/>
  <c r="AO24" i="6" s="1"/>
  <c r="AN28" i="6"/>
  <c r="AO28" i="6" s="1"/>
  <c r="AN37" i="6"/>
  <c r="AO37" i="6" s="1"/>
  <c r="AN50" i="6"/>
  <c r="AO50" i="6" s="1"/>
  <c r="AN58" i="6"/>
  <c r="AO58" i="6" s="1"/>
  <c r="AN71" i="6"/>
  <c r="AO71" i="6" s="1"/>
  <c r="AN80" i="6"/>
  <c r="AO80" i="6" s="1"/>
  <c r="AN84" i="6"/>
  <c r="AO84" i="6" s="1"/>
  <c r="AN88" i="6"/>
  <c r="AO88" i="6" s="1"/>
  <c r="AN92" i="6"/>
  <c r="AO92" i="6" s="1"/>
  <c r="AN96" i="6"/>
  <c r="AO96" i="6" s="1"/>
  <c r="AN100" i="6"/>
  <c r="AO100" i="6" s="1"/>
  <c r="AN105" i="6"/>
  <c r="AO105" i="6" s="1"/>
  <c r="AN109" i="6"/>
  <c r="AO109" i="6" s="1"/>
  <c r="AN123" i="6"/>
  <c r="AO123" i="6" s="1"/>
  <c r="BS123" i="6" s="1"/>
  <c r="I16" i="8" s="1"/>
  <c r="AN132" i="6"/>
  <c r="AO132" i="6" s="1"/>
  <c r="AN137" i="6"/>
  <c r="AO137" i="6" s="1"/>
  <c r="AN144" i="6"/>
  <c r="AO144" i="6" s="1"/>
  <c r="AN148" i="6"/>
  <c r="AO148" i="6" s="1"/>
  <c r="AN156" i="6"/>
  <c r="AO156" i="6" s="1"/>
  <c r="AN160" i="6"/>
  <c r="AO160" i="6" s="1"/>
  <c r="AN168" i="6"/>
  <c r="AO168" i="6" s="1"/>
  <c r="AN189" i="6"/>
  <c r="AO189" i="6" s="1"/>
  <c r="AN194" i="6"/>
  <c r="AO194" i="6" s="1"/>
  <c r="AN198" i="6"/>
  <c r="AO198" i="6" s="1"/>
  <c r="AN202" i="6"/>
  <c r="AO202" i="6" s="1"/>
  <c r="AN216" i="6"/>
  <c r="AO216" i="6" s="1"/>
  <c r="AN220" i="6"/>
  <c r="AO220" i="6" s="1"/>
  <c r="AN229" i="6"/>
  <c r="AO229" i="6" s="1"/>
  <c r="AN233" i="6"/>
  <c r="AO233" i="6" s="1"/>
  <c r="AN247" i="6"/>
  <c r="AO247" i="6" s="1"/>
  <c r="BS247" i="6" s="1"/>
  <c r="I125" i="8" s="1"/>
  <c r="AN260" i="6"/>
  <c r="AO260" i="6" s="1"/>
  <c r="AN264" i="6"/>
  <c r="AO264" i="6" s="1"/>
  <c r="AN268" i="6"/>
  <c r="AO268" i="6" s="1"/>
  <c r="AN272" i="6"/>
  <c r="AO272" i="6" s="1"/>
  <c r="AN280" i="6"/>
  <c r="AO280" i="6" s="1"/>
  <c r="AN288" i="6"/>
  <c r="AO288" i="6" s="1"/>
  <c r="AN313" i="6"/>
  <c r="AO313" i="6" s="1"/>
  <c r="AN317" i="6"/>
  <c r="AO317" i="6" s="1"/>
  <c r="AR59" i="6"/>
  <c r="AS59" i="6" s="1"/>
  <c r="AT59" i="6" s="1"/>
  <c r="AU59" i="6" s="1"/>
  <c r="AR51" i="6"/>
  <c r="AS51" i="6" s="1"/>
  <c r="AT51" i="6" s="1"/>
  <c r="AU51" i="6" s="1"/>
  <c r="BS51" i="6" s="1"/>
  <c r="I151" i="8" s="1"/>
  <c r="AR43" i="6"/>
  <c r="AS43" i="6" s="1"/>
  <c r="AT43" i="6" s="1"/>
  <c r="AU43" i="6" s="1"/>
  <c r="AR39" i="6"/>
  <c r="AS39" i="6" s="1"/>
  <c r="AT39" i="6" s="1"/>
  <c r="AU39" i="6" s="1"/>
  <c r="AR159" i="6"/>
  <c r="AS159" i="6" s="1"/>
  <c r="AT159" i="6" s="1"/>
  <c r="AU159" i="6" s="1"/>
  <c r="AR155" i="6"/>
  <c r="AS155" i="6" s="1"/>
  <c r="AT155" i="6" s="1"/>
  <c r="AU155" i="6" s="1"/>
  <c r="AR151" i="6"/>
  <c r="AS151" i="6" s="1"/>
  <c r="AT151" i="6" s="1"/>
  <c r="AU151" i="6" s="1"/>
  <c r="AR147" i="6"/>
  <c r="AS147" i="6" s="1"/>
  <c r="AT147" i="6" s="1"/>
  <c r="AU147" i="6" s="1"/>
  <c r="AR143" i="6"/>
  <c r="AS143" i="6" s="1"/>
  <c r="AT143" i="6" s="1"/>
  <c r="AU143" i="6" s="1"/>
  <c r="AR139" i="6"/>
  <c r="AS139" i="6" s="1"/>
  <c r="AT139" i="6" s="1"/>
  <c r="AU139" i="6" s="1"/>
  <c r="AR135" i="6"/>
  <c r="AS135" i="6" s="1"/>
  <c r="AT135" i="6" s="1"/>
  <c r="AU135" i="6" s="1"/>
  <c r="AR131" i="6"/>
  <c r="AS131" i="6" s="1"/>
  <c r="AT131" i="6" s="1"/>
  <c r="AU131" i="6" s="1"/>
  <c r="BS131" i="6" s="1"/>
  <c r="I181" i="8" s="1"/>
  <c r="AR127" i="6"/>
  <c r="AS127" i="6" s="1"/>
  <c r="AT127" i="6" s="1"/>
  <c r="AU127" i="6" s="1"/>
  <c r="AR123" i="6"/>
  <c r="AS123" i="6" s="1"/>
  <c r="AT123" i="6" s="1"/>
  <c r="AU123" i="6" s="1"/>
  <c r="AR119" i="6"/>
  <c r="AS119" i="6" s="1"/>
  <c r="AT119" i="6" s="1"/>
  <c r="AU119" i="6" s="1"/>
  <c r="AR167" i="6"/>
  <c r="AS167" i="6" s="1"/>
  <c r="AT167" i="6" s="1"/>
  <c r="AU167" i="6" s="1"/>
  <c r="AR163" i="6"/>
  <c r="AS163" i="6" s="1"/>
  <c r="AT163" i="6" s="1"/>
  <c r="AU163" i="6" s="1"/>
  <c r="AR46" i="6"/>
  <c r="AS46" i="6" s="1"/>
  <c r="AT46" i="6" s="1"/>
  <c r="AU46" i="6" s="1"/>
  <c r="BS46" i="6" s="1"/>
  <c r="I213" i="8" s="1"/>
  <c r="AR42" i="6"/>
  <c r="AS42" i="6" s="1"/>
  <c r="AT42" i="6" s="1"/>
  <c r="AU42" i="6" s="1"/>
  <c r="AR38" i="6"/>
  <c r="AS38" i="6" s="1"/>
  <c r="AT38" i="6" s="1"/>
  <c r="AU38" i="6" s="1"/>
  <c r="AR34" i="6"/>
  <c r="AS34" i="6" s="1"/>
  <c r="AT34" i="6" s="1"/>
  <c r="AR30" i="6"/>
  <c r="AS30" i="6" s="1"/>
  <c r="AT30" i="6" s="1"/>
  <c r="AR26" i="6"/>
  <c r="AS26" i="6" s="1"/>
  <c r="AT26" i="6" s="1"/>
  <c r="AU26" i="6" s="1"/>
  <c r="BS26" i="6" s="1"/>
  <c r="I115" i="8" s="1"/>
  <c r="AR22" i="6"/>
  <c r="AS22" i="6" s="1"/>
  <c r="AT22" i="6" s="1"/>
  <c r="AU22" i="6" s="1"/>
  <c r="BS22" i="6" s="1"/>
  <c r="I266" i="8" s="1"/>
  <c r="AR18" i="6"/>
  <c r="AS18" i="6" s="1"/>
  <c r="AT18" i="6" s="1"/>
  <c r="AU18" i="6" s="1"/>
  <c r="BS18" i="6" s="1"/>
  <c r="I306" i="8" s="1"/>
  <c r="AR14" i="6"/>
  <c r="AS14" i="6" s="1"/>
  <c r="AT14" i="6" s="1"/>
  <c r="AU14" i="6" s="1"/>
  <c r="BS14" i="6" s="1"/>
  <c r="I217" i="8" s="1"/>
  <c r="AR10" i="6"/>
  <c r="AS10" i="6" s="1"/>
  <c r="AT10" i="6" s="1"/>
  <c r="AR6" i="6"/>
  <c r="AS6" i="6" s="1"/>
  <c r="AT6" i="6" s="1"/>
  <c r="AU6" i="6" s="1"/>
  <c r="AR85" i="6"/>
  <c r="AS85" i="6" s="1"/>
  <c r="AT85" i="6" s="1"/>
  <c r="AU85" i="6" s="1"/>
  <c r="AR69" i="6"/>
  <c r="AS69" i="6" s="1"/>
  <c r="AT69" i="6" s="1"/>
  <c r="AU69" i="6" s="1"/>
  <c r="AR212" i="6"/>
  <c r="AS212" i="6" s="1"/>
  <c r="AT212" i="6" s="1"/>
  <c r="AU212" i="6" s="1"/>
  <c r="BS212" i="6" s="1"/>
  <c r="I320" i="8" s="1"/>
  <c r="AR276" i="6"/>
  <c r="AS276" i="6" s="1"/>
  <c r="AT276" i="6" s="1"/>
  <c r="AU276" i="6" s="1"/>
  <c r="BS276" i="6" s="1"/>
  <c r="I255" i="8" s="1"/>
  <c r="AR260" i="6"/>
  <c r="AS260" i="6" s="1"/>
  <c r="AT260" i="6" s="1"/>
  <c r="AU260" i="6" s="1"/>
  <c r="AR196" i="6"/>
  <c r="AS196" i="6" s="1"/>
  <c r="AT196" i="6" s="1"/>
  <c r="AU196" i="6" s="1"/>
  <c r="BS196" i="6" s="1"/>
  <c r="I162" i="8" s="1"/>
  <c r="AR148" i="6"/>
  <c r="AS148" i="6" s="1"/>
  <c r="AT148" i="6" s="1"/>
  <c r="AU148" i="6" s="1"/>
  <c r="AR132" i="6"/>
  <c r="AS132" i="6" s="1"/>
  <c r="AT132" i="6" s="1"/>
  <c r="AU132" i="6" s="1"/>
  <c r="AR319" i="6"/>
  <c r="AS319" i="6" s="1"/>
  <c r="AT319" i="6" s="1"/>
  <c r="AU319" i="6" s="1"/>
  <c r="BS319" i="6" s="1"/>
  <c r="I281" i="8" s="1"/>
  <c r="AR315" i="6"/>
  <c r="AS315" i="6" s="1"/>
  <c r="AT315" i="6" s="1"/>
  <c r="AU315" i="6" s="1"/>
  <c r="AR311" i="6"/>
  <c r="AS311" i="6" s="1"/>
  <c r="AT311" i="6" s="1"/>
  <c r="AU311" i="6" s="1"/>
  <c r="AR303" i="6"/>
  <c r="AS303" i="6" s="1"/>
  <c r="AT303" i="6" s="1"/>
  <c r="AU303" i="6" s="1"/>
  <c r="BS303" i="6" s="1"/>
  <c r="I111" i="8" s="1"/>
  <c r="AR299" i="6"/>
  <c r="AS299" i="6" s="1"/>
  <c r="AT299" i="6" s="1"/>
  <c r="AU299" i="6" s="1"/>
  <c r="BS299" i="6" s="1"/>
  <c r="I22" i="8" s="1"/>
  <c r="AR295" i="6"/>
  <c r="AS295" i="6" s="1"/>
  <c r="AT295" i="6" s="1"/>
  <c r="AU295" i="6" s="1"/>
  <c r="AR291" i="6"/>
  <c r="AS291" i="6" s="1"/>
  <c r="AT291" i="6" s="1"/>
  <c r="AU291" i="6" s="1"/>
  <c r="AR287" i="6"/>
  <c r="AS287" i="6" s="1"/>
  <c r="AT287" i="6" s="1"/>
  <c r="AU287" i="6" s="1"/>
  <c r="AR283" i="6"/>
  <c r="AS283" i="6" s="1"/>
  <c r="AT283" i="6" s="1"/>
  <c r="AU283" i="6" s="1"/>
  <c r="AR279" i="6"/>
  <c r="AS279" i="6" s="1"/>
  <c r="AT279" i="6" s="1"/>
  <c r="AU279" i="6" s="1"/>
  <c r="AR275" i="6"/>
  <c r="AS275" i="6" s="1"/>
  <c r="AT275" i="6" s="1"/>
  <c r="AU275" i="6" s="1"/>
  <c r="AR271" i="6"/>
  <c r="AS271" i="6" s="1"/>
  <c r="AT271" i="6" s="1"/>
  <c r="AU271" i="6" s="1"/>
  <c r="AR267" i="6"/>
  <c r="AS267" i="6" s="1"/>
  <c r="AT267" i="6" s="1"/>
  <c r="AU267" i="6" s="1"/>
  <c r="AR263" i="6"/>
  <c r="AS263" i="6" s="1"/>
  <c r="AT263" i="6" s="1"/>
  <c r="AU263" i="6" s="1"/>
  <c r="BS263" i="6" s="1"/>
  <c r="I176" i="8" s="1"/>
  <c r="AR117" i="6"/>
  <c r="AS117" i="6" s="1"/>
  <c r="AT117" i="6" s="1"/>
  <c r="AU117" i="6" s="1"/>
  <c r="BS117" i="6" s="1"/>
  <c r="I34" i="8" s="1"/>
  <c r="AR113" i="6"/>
  <c r="AS113" i="6" s="1"/>
  <c r="AT113" i="6" s="1"/>
  <c r="AU113" i="6" s="1"/>
  <c r="BS113" i="6" s="1"/>
  <c r="I276" i="8" s="1"/>
  <c r="AR109" i="6"/>
  <c r="AS109" i="6" s="1"/>
  <c r="AT109" i="6" s="1"/>
  <c r="AU109" i="6" s="1"/>
  <c r="AR105" i="6"/>
  <c r="AR101" i="6"/>
  <c r="AS101" i="6" s="1"/>
  <c r="AT101" i="6" s="1"/>
  <c r="AU101" i="6" s="1"/>
  <c r="AR97" i="6"/>
  <c r="AS97" i="6" s="1"/>
  <c r="AT97" i="6" s="1"/>
  <c r="AU97" i="6" s="1"/>
  <c r="AR93" i="6"/>
  <c r="AS93" i="6" s="1"/>
  <c r="AT93" i="6" s="1"/>
  <c r="AU93" i="6" s="1"/>
  <c r="AR89" i="6"/>
  <c r="AS89" i="6" s="1"/>
  <c r="AT89" i="6" s="1"/>
  <c r="AU89" i="6" s="1"/>
  <c r="AR81" i="6"/>
  <c r="AS81" i="6" s="1"/>
  <c r="AT81" i="6" s="1"/>
  <c r="AU81" i="6" s="1"/>
  <c r="BS81" i="6" s="1"/>
  <c r="I322" i="8" s="1"/>
  <c r="AR77" i="6"/>
  <c r="AS77" i="6" s="1"/>
  <c r="AT77" i="6" s="1"/>
  <c r="AU77" i="6" s="1"/>
  <c r="AR73" i="6"/>
  <c r="AR65" i="6"/>
  <c r="AR61" i="6"/>
  <c r="AS61" i="6" s="1"/>
  <c r="AT61" i="6" s="1"/>
  <c r="AU61" i="6" s="1"/>
  <c r="AR57" i="6"/>
  <c r="AS57" i="6" s="1"/>
  <c r="AT57" i="6" s="1"/>
  <c r="AU57" i="6" s="1"/>
  <c r="BS57" i="6" s="1"/>
  <c r="I222" i="8" s="1"/>
  <c r="AR53" i="6"/>
  <c r="AS53" i="6" s="1"/>
  <c r="AT53" i="6" s="1"/>
  <c r="AU53" i="6" s="1"/>
  <c r="AR49" i="6"/>
  <c r="AS49" i="6" s="1"/>
  <c r="AT49" i="6" s="1"/>
  <c r="AU49" i="6" s="1"/>
  <c r="BS49" i="6" s="1"/>
  <c r="I27" i="8" s="1"/>
  <c r="AR45" i="6"/>
  <c r="AS45" i="6" s="1"/>
  <c r="AT45" i="6" s="1"/>
  <c r="AU45" i="6" s="1"/>
  <c r="BS45" i="6" s="1"/>
  <c r="I202" i="8" s="1"/>
  <c r="AR41" i="6"/>
  <c r="AS41" i="6" s="1"/>
  <c r="AT41" i="6" s="1"/>
  <c r="AU41" i="6" s="1"/>
  <c r="BS41" i="6" s="1"/>
  <c r="I113" i="8" s="1"/>
  <c r="AR37" i="6"/>
  <c r="AS37" i="6" s="1"/>
  <c r="AT37" i="6" s="1"/>
  <c r="AU37" i="6" s="1"/>
  <c r="AR33" i="6"/>
  <c r="AR29" i="6"/>
  <c r="AS29" i="6" s="1"/>
  <c r="AT29" i="6" s="1"/>
  <c r="AU29" i="6" s="1"/>
  <c r="BS29" i="6" s="1"/>
  <c r="I207" i="8" s="1"/>
  <c r="AR25" i="6"/>
  <c r="AS25" i="6" s="1"/>
  <c r="AT25" i="6" s="1"/>
  <c r="AU25" i="6" s="1"/>
  <c r="BS25" i="6" s="1"/>
  <c r="I305" i="8" s="1"/>
  <c r="AR21" i="6"/>
  <c r="AS21" i="6" s="1"/>
  <c r="AT21" i="6" s="1"/>
  <c r="AU21" i="6" s="1"/>
  <c r="AR17" i="6"/>
  <c r="AS17" i="6" s="1"/>
  <c r="AT17" i="6" s="1"/>
  <c r="AU17" i="6" s="1"/>
  <c r="BS17" i="6" s="1"/>
  <c r="I321" i="8" s="1"/>
  <c r="AR13" i="6"/>
  <c r="AS13" i="6" s="1"/>
  <c r="AT13" i="6" s="1"/>
  <c r="AU13" i="6" s="1"/>
  <c r="BS13" i="6" s="1"/>
  <c r="I122" i="8" s="1"/>
  <c r="AR9" i="6"/>
  <c r="AS9" i="6" s="1"/>
  <c r="AT9" i="6" s="1"/>
  <c r="AU9" i="6" s="1"/>
  <c r="BS9" i="6" s="1"/>
  <c r="I273" i="8" s="1"/>
  <c r="AR5" i="6"/>
  <c r="AS5" i="6" s="1"/>
  <c r="AT5" i="6" s="1"/>
  <c r="AU5" i="6" s="1"/>
  <c r="BS5" i="6" s="1"/>
  <c r="I283" i="8" s="1"/>
  <c r="AR320" i="6"/>
  <c r="AR316" i="6"/>
  <c r="AS316" i="6" s="1"/>
  <c r="AT316" i="6" s="1"/>
  <c r="AU316" i="6" s="1"/>
  <c r="AR312" i="6"/>
  <c r="AS312" i="6" s="1"/>
  <c r="AT312" i="6" s="1"/>
  <c r="AU312" i="6" s="1"/>
  <c r="AR308" i="6"/>
  <c r="AS308" i="6" s="1"/>
  <c r="AT308" i="6" s="1"/>
  <c r="AU308" i="6" s="1"/>
  <c r="BS308" i="6" s="1"/>
  <c r="I268" i="8" s="1"/>
  <c r="AR304" i="6"/>
  <c r="AS304" i="6" s="1"/>
  <c r="AT304" i="6" s="1"/>
  <c r="AU304" i="6" s="1"/>
  <c r="AR300" i="6"/>
  <c r="AS300" i="6" s="1"/>
  <c r="AT300" i="6" s="1"/>
  <c r="AU300" i="6" s="1"/>
  <c r="BS300" i="6" s="1"/>
  <c r="I99" i="8" s="1"/>
  <c r="AR296" i="6"/>
  <c r="AS296" i="6" s="1"/>
  <c r="AT296" i="6" s="1"/>
  <c r="AU296" i="6" s="1"/>
  <c r="AR292" i="6"/>
  <c r="AS292" i="6" s="1"/>
  <c r="AT292" i="6" s="1"/>
  <c r="AU292" i="6" s="1"/>
  <c r="AR288" i="6"/>
  <c r="AS288" i="6" s="1"/>
  <c r="AR284" i="6"/>
  <c r="AS284" i="6" s="1"/>
  <c r="AT284" i="6" s="1"/>
  <c r="AU284" i="6" s="1"/>
  <c r="BS284" i="6" s="1"/>
  <c r="I29" i="8" s="1"/>
  <c r="AR280" i="6"/>
  <c r="AS280" i="6" s="1"/>
  <c r="AT280" i="6" s="1"/>
  <c r="AU280" i="6" s="1"/>
  <c r="AR272" i="6"/>
  <c r="AS272" i="6" s="1"/>
  <c r="AT272" i="6" s="1"/>
  <c r="AU272" i="6" s="1"/>
  <c r="AR268" i="6"/>
  <c r="AS268" i="6" s="1"/>
  <c r="AT268" i="6" s="1"/>
  <c r="AU268" i="6" s="1"/>
  <c r="AR264" i="6"/>
  <c r="AS264" i="6" s="1"/>
  <c r="AT264" i="6" s="1"/>
  <c r="AU264" i="6" s="1"/>
  <c r="AR256" i="6"/>
  <c r="AS256" i="6" s="1"/>
  <c r="AT256" i="6" s="1"/>
  <c r="AU256" i="6" s="1"/>
  <c r="BS256" i="6" s="1"/>
  <c r="I274" i="8" s="1"/>
  <c r="AR252" i="6"/>
  <c r="AS252" i="6" s="1"/>
  <c r="AT252" i="6" s="1"/>
  <c r="AU252" i="6" s="1"/>
  <c r="AR248" i="6"/>
  <c r="AR244" i="6"/>
  <c r="AS244" i="6" s="1"/>
  <c r="AT244" i="6" s="1"/>
  <c r="AU244" i="6" s="1"/>
  <c r="AR240" i="6"/>
  <c r="AS240" i="6" s="1"/>
  <c r="AT240" i="6" s="1"/>
  <c r="AU240" i="6" s="1"/>
  <c r="BS240" i="6" s="1"/>
  <c r="I187" i="8" s="1"/>
  <c r="AR236" i="6"/>
  <c r="AS236" i="6" s="1"/>
  <c r="AT236" i="6" s="1"/>
  <c r="AU236" i="6" s="1"/>
  <c r="BS236" i="6" s="1"/>
  <c r="I171" i="8" s="1"/>
  <c r="AR232" i="6"/>
  <c r="AS232" i="6" s="1"/>
  <c r="AT232" i="6" s="1"/>
  <c r="AU232" i="6" s="1"/>
  <c r="BS232" i="6" s="1"/>
  <c r="I130" i="8" s="1"/>
  <c r="AR228" i="6"/>
  <c r="AS228" i="6" s="1"/>
  <c r="AT228" i="6" s="1"/>
  <c r="AU228" i="6" s="1"/>
  <c r="BS228" i="6" s="1"/>
  <c r="I238" i="8" s="1"/>
  <c r="AR224" i="6"/>
  <c r="AS224" i="6" s="1"/>
  <c r="AT224" i="6" s="1"/>
  <c r="AU224" i="6" s="1"/>
  <c r="BS224" i="6" s="1"/>
  <c r="I220" i="8" s="1"/>
  <c r="AR220" i="6"/>
  <c r="AS220" i="6" s="1"/>
  <c r="AT220" i="6" s="1"/>
  <c r="AU220" i="6" s="1"/>
  <c r="AR216" i="6"/>
  <c r="AR208" i="6"/>
  <c r="AS208" i="6" s="1"/>
  <c r="AT208" i="6" s="1"/>
  <c r="AU208" i="6" s="1"/>
  <c r="BS208" i="6" s="1"/>
  <c r="I94" i="8" s="1"/>
  <c r="AR204" i="6"/>
  <c r="AS204" i="6" s="1"/>
  <c r="AT204" i="6" s="1"/>
  <c r="AU204" i="6" s="1"/>
  <c r="AR200" i="6"/>
  <c r="AS200" i="6" s="1"/>
  <c r="AT200" i="6" s="1"/>
  <c r="AU200" i="6" s="1"/>
  <c r="BS200" i="6" s="1"/>
  <c r="I103" i="8" s="1"/>
  <c r="AR192" i="6"/>
  <c r="AS192" i="6" s="1"/>
  <c r="AT192" i="6" s="1"/>
  <c r="AU192" i="6" s="1"/>
  <c r="BS192" i="6" s="1"/>
  <c r="I209" i="8" s="1"/>
  <c r="AR188" i="6"/>
  <c r="AS188" i="6" s="1"/>
  <c r="AT188" i="6" s="1"/>
  <c r="AU188" i="6" s="1"/>
  <c r="BS188" i="6" s="1"/>
  <c r="I223" i="8" s="1"/>
  <c r="AR184" i="6"/>
  <c r="AS184" i="6" s="1"/>
  <c r="AT184" i="6" s="1"/>
  <c r="AU184" i="6" s="1"/>
  <c r="BS184" i="6" s="1"/>
  <c r="I254" i="8" s="1"/>
  <c r="AR180" i="6"/>
  <c r="AS180" i="6" s="1"/>
  <c r="AT180" i="6" s="1"/>
  <c r="AU180" i="6" s="1"/>
  <c r="BS180" i="6" s="1"/>
  <c r="I87" i="8" s="1"/>
  <c r="AR176" i="6"/>
  <c r="AR172" i="6"/>
  <c r="AS172" i="6" s="1"/>
  <c r="AT172" i="6" s="1"/>
  <c r="AU172" i="6" s="1"/>
  <c r="BS172" i="6" s="1"/>
  <c r="I86" i="8" s="1"/>
  <c r="AR164" i="6"/>
  <c r="AS164" i="6" s="1"/>
  <c r="AT164" i="6" s="1"/>
  <c r="AU164" i="6" s="1"/>
  <c r="BS164" i="6" s="1"/>
  <c r="I200" i="8" s="1"/>
  <c r="AR160" i="6"/>
  <c r="AS160" i="6" s="1"/>
  <c r="AT160" i="6" s="1"/>
  <c r="AU160" i="6" s="1"/>
  <c r="AR156" i="6"/>
  <c r="AS156" i="6" s="1"/>
  <c r="AT156" i="6" s="1"/>
  <c r="AU156" i="6" s="1"/>
  <c r="AR152" i="6"/>
  <c r="AS152" i="6" s="1"/>
  <c r="AT152" i="6" s="1"/>
  <c r="AU152" i="6" s="1"/>
  <c r="BS152" i="6" s="1"/>
  <c r="I41" i="8" s="1"/>
  <c r="AR144" i="6"/>
  <c r="AS144" i="6" s="1"/>
  <c r="AT144" i="6" s="1"/>
  <c r="AU144" i="6" s="1"/>
  <c r="AR140" i="6"/>
  <c r="AS140" i="6" s="1"/>
  <c r="AT140" i="6" s="1"/>
  <c r="AU140" i="6" s="1"/>
  <c r="AR136" i="6"/>
  <c r="AS136" i="6" s="1"/>
  <c r="AT136" i="6" s="1"/>
  <c r="AU136" i="6" s="1"/>
  <c r="BS136" i="6" s="1"/>
  <c r="I311" i="8" s="1"/>
  <c r="AR128" i="6"/>
  <c r="AS128" i="6" s="1"/>
  <c r="AT128" i="6" s="1"/>
  <c r="AU128" i="6" s="1"/>
  <c r="BS128" i="6" s="1"/>
  <c r="I137" i="8" s="1"/>
  <c r="AR124" i="6"/>
  <c r="AS124" i="6" s="1"/>
  <c r="AT124" i="6" s="1"/>
  <c r="AU124" i="6" s="1"/>
  <c r="AR120" i="6"/>
  <c r="AS120" i="6" s="1"/>
  <c r="AR116" i="6"/>
  <c r="AS116" i="6" s="1"/>
  <c r="AT116" i="6" s="1"/>
  <c r="AU116" i="6" s="1"/>
  <c r="BS116" i="6" s="1"/>
  <c r="I194" i="8" s="1"/>
  <c r="AR112" i="6"/>
  <c r="AS112" i="6" s="1"/>
  <c r="AT112" i="6" s="1"/>
  <c r="AU112" i="6" s="1"/>
  <c r="BS112" i="6" s="1"/>
  <c r="I248" i="8" s="1"/>
  <c r="AR108" i="6"/>
  <c r="AS108" i="6" s="1"/>
  <c r="AT108" i="6" s="1"/>
  <c r="AU108" i="6" s="1"/>
  <c r="BS108" i="6" s="1"/>
  <c r="I12" i="8" s="1"/>
  <c r="AR104" i="6"/>
  <c r="AS104" i="6" s="1"/>
  <c r="AT104" i="6" s="1"/>
  <c r="AU104" i="6" s="1"/>
  <c r="AR100" i="6"/>
  <c r="AS100" i="6" s="1"/>
  <c r="AT100" i="6" s="1"/>
  <c r="AU100" i="6" s="1"/>
  <c r="AR96" i="6"/>
  <c r="AS96" i="6" s="1"/>
  <c r="AT96" i="6" s="1"/>
  <c r="AU96" i="6" s="1"/>
  <c r="AR92" i="6"/>
  <c r="AS92" i="6" s="1"/>
  <c r="AT92" i="6" s="1"/>
  <c r="AU92" i="6" s="1"/>
  <c r="AR88" i="6"/>
  <c r="AS88" i="6" s="1"/>
  <c r="AT88" i="6" s="1"/>
  <c r="AU88" i="6" s="1"/>
  <c r="AR84" i="6"/>
  <c r="AS84" i="6" s="1"/>
  <c r="AT84" i="6" s="1"/>
  <c r="AU84" i="6" s="1"/>
  <c r="AR80" i="6"/>
  <c r="AS80" i="6" s="1"/>
  <c r="AT80" i="6" s="1"/>
  <c r="AU80" i="6" s="1"/>
  <c r="AR76" i="6"/>
  <c r="AS76" i="6" s="1"/>
  <c r="AT76" i="6" s="1"/>
  <c r="AU76" i="6" s="1"/>
  <c r="BS76" i="6" s="1"/>
  <c r="I218" i="8" s="1"/>
  <c r="AR72" i="6"/>
  <c r="AS72" i="6" s="1"/>
  <c r="AT72" i="6" s="1"/>
  <c r="AU72" i="6" s="1"/>
  <c r="BS72" i="6" s="1"/>
  <c r="I123" i="8" s="1"/>
  <c r="AR68" i="6"/>
  <c r="AS68" i="6" s="1"/>
  <c r="AT68" i="6" s="1"/>
  <c r="AU68" i="6" s="1"/>
  <c r="AR64" i="6"/>
  <c r="AS64" i="6" s="1"/>
  <c r="AT64" i="6" s="1"/>
  <c r="AU64" i="6" s="1"/>
  <c r="BS64" i="6" s="1"/>
  <c r="I197" i="8" s="1"/>
  <c r="AR60" i="6"/>
  <c r="AS60" i="6" s="1"/>
  <c r="AT60" i="6" s="1"/>
  <c r="AU60" i="6" s="1"/>
  <c r="AR56" i="6"/>
  <c r="AS56" i="6" s="1"/>
  <c r="AT56" i="6" s="1"/>
  <c r="AU56" i="6" s="1"/>
  <c r="AR52" i="6"/>
  <c r="AS52" i="6" s="1"/>
  <c r="AT52" i="6" s="1"/>
  <c r="AU52" i="6" s="1"/>
  <c r="AR48" i="6"/>
  <c r="AS48" i="6" s="1"/>
  <c r="AT48" i="6" s="1"/>
  <c r="AU48" i="6" s="1"/>
  <c r="BS48" i="6" s="1"/>
  <c r="I241" i="8" s="1"/>
  <c r="AR44" i="6"/>
  <c r="AS44" i="6" s="1"/>
  <c r="AT44" i="6" s="1"/>
  <c r="AU44" i="6" s="1"/>
  <c r="AR36" i="6"/>
  <c r="AS36" i="6" s="1"/>
  <c r="AT36" i="6" s="1"/>
  <c r="AU36" i="6" s="1"/>
  <c r="BS36" i="6" s="1"/>
  <c r="I319" i="8" s="1"/>
  <c r="AR55" i="6"/>
  <c r="AS55" i="6" s="1"/>
  <c r="AT55" i="6" s="1"/>
  <c r="AU55" i="6" s="1"/>
  <c r="BS55" i="6" s="1"/>
  <c r="I234" i="8" s="1"/>
  <c r="AR47" i="6"/>
  <c r="AS47" i="6" s="1"/>
  <c r="AT47" i="6" s="1"/>
  <c r="AU47" i="6" s="1"/>
  <c r="AR321" i="6"/>
  <c r="AS321" i="6" s="1"/>
  <c r="AT321" i="6" s="1"/>
  <c r="AU321" i="6" s="1"/>
  <c r="BS321" i="6" s="1"/>
  <c r="I169" i="8" s="1"/>
  <c r="AR317" i="6"/>
  <c r="AS317" i="6" s="1"/>
  <c r="AT317" i="6" s="1"/>
  <c r="AR313" i="6"/>
  <c r="AS313" i="6" s="1"/>
  <c r="AT313" i="6" s="1"/>
  <c r="AU313" i="6" s="1"/>
  <c r="AR309" i="6"/>
  <c r="AS309" i="6" s="1"/>
  <c r="AT309" i="6" s="1"/>
  <c r="AU309" i="6" s="1"/>
  <c r="BS309" i="6" s="1"/>
  <c r="I267" i="8" s="1"/>
  <c r="AR305" i="6"/>
  <c r="AS305" i="6" s="1"/>
  <c r="AT305" i="6" s="1"/>
  <c r="AU305" i="6" s="1"/>
  <c r="BS305" i="6" s="1"/>
  <c r="I292" i="8" s="1"/>
  <c r="AR301" i="6"/>
  <c r="AS301" i="6" s="1"/>
  <c r="AT301" i="6" s="1"/>
  <c r="AR297" i="6"/>
  <c r="AS297" i="6" s="1"/>
  <c r="AT297" i="6" s="1"/>
  <c r="AU297" i="6" s="1"/>
  <c r="BS297" i="6" s="1"/>
  <c r="I309" i="8" s="1"/>
  <c r="AR293" i="6"/>
  <c r="AS293" i="6" s="1"/>
  <c r="AT293" i="6" s="1"/>
  <c r="AU293" i="6" s="1"/>
  <c r="BS293" i="6" s="1"/>
  <c r="I24" i="8" s="1"/>
  <c r="AR289" i="6"/>
  <c r="AS289" i="6" s="1"/>
  <c r="AT289" i="6" s="1"/>
  <c r="AU289" i="6" s="1"/>
  <c r="AR285" i="6"/>
  <c r="AS285" i="6" s="1"/>
  <c r="AT285" i="6" s="1"/>
  <c r="AU285" i="6" s="1"/>
  <c r="BS285" i="6" s="1"/>
  <c r="I270" i="8" s="1"/>
  <c r="AR281" i="6"/>
  <c r="AS281" i="6" s="1"/>
  <c r="AT281" i="6" s="1"/>
  <c r="AU281" i="6" s="1"/>
  <c r="AR277" i="6"/>
  <c r="AS277" i="6" s="1"/>
  <c r="AT277" i="6" s="1"/>
  <c r="AU277" i="6" s="1"/>
  <c r="AR273" i="6"/>
  <c r="AS273" i="6" s="1"/>
  <c r="AT273" i="6" s="1"/>
  <c r="AU273" i="6" s="1"/>
  <c r="BS273" i="6" s="1"/>
  <c r="I236" i="8" s="1"/>
  <c r="AR269" i="6"/>
  <c r="AS269" i="6" s="1"/>
  <c r="AT269" i="6" s="1"/>
  <c r="AU269" i="6" s="1"/>
  <c r="AR265" i="6"/>
  <c r="AS265" i="6" s="1"/>
  <c r="AT265" i="6" s="1"/>
  <c r="AU265" i="6" s="1"/>
  <c r="AR261" i="6"/>
  <c r="AS261" i="6" s="1"/>
  <c r="AT261" i="6" s="1"/>
  <c r="AU261" i="6" s="1"/>
  <c r="BS261" i="6" s="1"/>
  <c r="I4" i="8" s="1"/>
  <c r="AR257" i="6"/>
  <c r="AS257" i="6" s="1"/>
  <c r="AT257" i="6" s="1"/>
  <c r="AU257" i="6" s="1"/>
  <c r="AR253" i="6"/>
  <c r="AS253" i="6" s="1"/>
  <c r="AT253" i="6" s="1"/>
  <c r="AR249" i="6"/>
  <c r="AS249" i="6" s="1"/>
  <c r="AT249" i="6" s="1"/>
  <c r="AU249" i="6" s="1"/>
  <c r="BS249" i="6" s="1"/>
  <c r="I301" i="8" s="1"/>
  <c r="AR245" i="6"/>
  <c r="AS245" i="6" s="1"/>
  <c r="AT245" i="6" s="1"/>
  <c r="AU245" i="6" s="1"/>
  <c r="AR241" i="6"/>
  <c r="AS241" i="6" s="1"/>
  <c r="AT241" i="6" s="1"/>
  <c r="AU241" i="6" s="1"/>
  <c r="BS241" i="6" s="1"/>
  <c r="I165" i="8" s="1"/>
  <c r="AR237" i="6"/>
  <c r="AS237" i="6" s="1"/>
  <c r="AT237" i="6" s="1"/>
  <c r="AU237" i="6" s="1"/>
  <c r="AR233" i="6"/>
  <c r="AS233" i="6" s="1"/>
  <c r="AT233" i="6" s="1"/>
  <c r="AU233" i="6" s="1"/>
  <c r="AR229" i="6"/>
  <c r="AS229" i="6" s="1"/>
  <c r="AT229" i="6" s="1"/>
  <c r="AU229" i="6" s="1"/>
  <c r="AR225" i="6"/>
  <c r="AS225" i="6" s="1"/>
  <c r="AT225" i="6" s="1"/>
  <c r="AU225" i="6" s="1"/>
  <c r="BS225" i="6" s="1"/>
  <c r="I67" i="8" s="1"/>
  <c r="AR221" i="6"/>
  <c r="AS221" i="6" s="1"/>
  <c r="AT221" i="6" s="1"/>
  <c r="AU221" i="6" s="1"/>
  <c r="BS221" i="6" s="1"/>
  <c r="I109" i="8" s="1"/>
  <c r="AR217" i="6"/>
  <c r="AS217" i="6" s="1"/>
  <c r="AT217" i="6" s="1"/>
  <c r="AU217" i="6" s="1"/>
  <c r="AR213" i="6"/>
  <c r="AS213" i="6" s="1"/>
  <c r="AT213" i="6" s="1"/>
  <c r="AU213" i="6" s="1"/>
  <c r="AR209" i="6"/>
  <c r="AS209" i="6" s="1"/>
  <c r="AT209" i="6" s="1"/>
  <c r="AU209" i="6" s="1"/>
  <c r="AR205" i="6"/>
  <c r="AS205" i="6" s="1"/>
  <c r="AT205" i="6" s="1"/>
  <c r="AU205" i="6" s="1"/>
  <c r="AR201" i="6"/>
  <c r="AS201" i="6" s="1"/>
  <c r="AT201" i="6" s="1"/>
  <c r="AU201" i="6" s="1"/>
  <c r="AR197" i="6"/>
  <c r="AS197" i="6" s="1"/>
  <c r="AT197" i="6" s="1"/>
  <c r="AU197" i="6" s="1"/>
  <c r="AR193" i="6"/>
  <c r="AS193" i="6" s="1"/>
  <c r="AT193" i="6" s="1"/>
  <c r="AU193" i="6" s="1"/>
  <c r="BS193" i="6" s="1"/>
  <c r="I253" i="8" s="1"/>
  <c r="AR189" i="6"/>
  <c r="AS189" i="6" s="1"/>
  <c r="AT189" i="6" s="1"/>
  <c r="AR185" i="6"/>
  <c r="AS185" i="6" s="1"/>
  <c r="AT185" i="6" s="1"/>
  <c r="AU185" i="6" s="1"/>
  <c r="BS185" i="6" s="1"/>
  <c r="I13" i="8" s="1"/>
  <c r="AR181" i="6"/>
  <c r="AS181" i="6" s="1"/>
  <c r="AT181" i="6" s="1"/>
  <c r="AU181" i="6" s="1"/>
  <c r="BS181" i="6" s="1"/>
  <c r="I310" i="8" s="1"/>
  <c r="AR177" i="6"/>
  <c r="AS177" i="6" s="1"/>
  <c r="AT177" i="6" s="1"/>
  <c r="AU177" i="6" s="1"/>
  <c r="AR173" i="6"/>
  <c r="AS173" i="6" s="1"/>
  <c r="AT173" i="6" s="1"/>
  <c r="AU173" i="6" s="1"/>
  <c r="AR169" i="6"/>
  <c r="AS169" i="6" s="1"/>
  <c r="AT169" i="6" s="1"/>
  <c r="AU169" i="6" s="1"/>
  <c r="BS169" i="6" s="1"/>
  <c r="I257" i="8" s="1"/>
  <c r="AR165" i="6"/>
  <c r="AS165" i="6" s="1"/>
  <c r="AT165" i="6" s="1"/>
  <c r="AU165" i="6" s="1"/>
  <c r="AR161" i="6"/>
  <c r="AS161" i="6" s="1"/>
  <c r="AT161" i="6" s="1"/>
  <c r="AU161" i="6" s="1"/>
  <c r="BS161" i="6" s="1"/>
  <c r="I203" i="8" s="1"/>
  <c r="AR157" i="6"/>
  <c r="AS157" i="6" s="1"/>
  <c r="AT157" i="6" s="1"/>
  <c r="AU157" i="6" s="1"/>
  <c r="BS157" i="6" s="1"/>
  <c r="I92" i="8" s="1"/>
  <c r="AR153" i="6"/>
  <c r="AS153" i="6" s="1"/>
  <c r="AT153" i="6" s="1"/>
  <c r="AU153" i="6" s="1"/>
  <c r="BS153" i="6" s="1"/>
  <c r="I269" i="8" s="1"/>
  <c r="AR149" i="6"/>
  <c r="AS149" i="6" s="1"/>
  <c r="AT149" i="6" s="1"/>
  <c r="AU149" i="6" s="1"/>
  <c r="AR145" i="6"/>
  <c r="AS145" i="6" s="1"/>
  <c r="AT145" i="6" s="1"/>
  <c r="AR141" i="6"/>
  <c r="AS141" i="6" s="1"/>
  <c r="AT141" i="6" s="1"/>
  <c r="AU141" i="6" s="1"/>
  <c r="BS141" i="6" s="1"/>
  <c r="I293" i="8" s="1"/>
  <c r="AR137" i="6"/>
  <c r="AS137" i="6" s="1"/>
  <c r="AT137" i="6" s="1"/>
  <c r="AU137" i="6" s="1"/>
  <c r="AR133" i="6"/>
  <c r="AS133" i="6" s="1"/>
  <c r="AT133" i="6" s="1"/>
  <c r="AU133" i="6" s="1"/>
  <c r="AR129" i="6"/>
  <c r="AS129" i="6" s="1"/>
  <c r="AT129" i="6" s="1"/>
  <c r="AU129" i="6" s="1"/>
  <c r="AR125" i="6"/>
  <c r="AS125" i="6" s="1"/>
  <c r="AT125" i="6" s="1"/>
  <c r="AR121" i="6"/>
  <c r="AS121" i="6" s="1"/>
  <c r="AT121" i="6" s="1"/>
  <c r="AU121" i="6" s="1"/>
  <c r="AR118" i="6"/>
  <c r="AS118" i="6" s="1"/>
  <c r="AT118" i="6" s="1"/>
  <c r="AU118" i="6" s="1"/>
  <c r="BS118" i="6" s="1"/>
  <c r="I89" i="8" s="1"/>
  <c r="AR114" i="6"/>
  <c r="AS114" i="6" s="1"/>
  <c r="AT114" i="6" s="1"/>
  <c r="AU114" i="6" s="1"/>
  <c r="AR110" i="6"/>
  <c r="AS110" i="6" s="1"/>
  <c r="AT110" i="6" s="1"/>
  <c r="AU110" i="6" s="1"/>
  <c r="AR106" i="6"/>
  <c r="AS106" i="6" s="1"/>
  <c r="AT106" i="6" s="1"/>
  <c r="AU106" i="6" s="1"/>
  <c r="AR102" i="6"/>
  <c r="AS102" i="6" s="1"/>
  <c r="AT102" i="6" s="1"/>
  <c r="AU102" i="6" s="1"/>
  <c r="AR98" i="6"/>
  <c r="AS98" i="6" s="1"/>
  <c r="AT98" i="6" s="1"/>
  <c r="AU98" i="6" s="1"/>
  <c r="AR94" i="6"/>
  <c r="AS94" i="6" s="1"/>
  <c r="AT94" i="6" s="1"/>
  <c r="AU94" i="6" s="1"/>
  <c r="AR90" i="6"/>
  <c r="AS90" i="6" s="1"/>
  <c r="AT90" i="6" s="1"/>
  <c r="AU90" i="6" s="1"/>
  <c r="AR86" i="6"/>
  <c r="AS86" i="6" s="1"/>
  <c r="AT86" i="6" s="1"/>
  <c r="AU86" i="6" s="1"/>
  <c r="AR82" i="6"/>
  <c r="AS82" i="6" s="1"/>
  <c r="AT82" i="6" s="1"/>
  <c r="AU82" i="6" s="1"/>
  <c r="AR78" i="6"/>
  <c r="AS78" i="6" s="1"/>
  <c r="AT78" i="6" s="1"/>
  <c r="AU78" i="6" s="1"/>
  <c r="AR74" i="6"/>
  <c r="AS74" i="6" s="1"/>
  <c r="AT74" i="6" s="1"/>
  <c r="AU74" i="6" s="1"/>
  <c r="AR70" i="6"/>
  <c r="AS70" i="6" s="1"/>
  <c r="AT70" i="6" s="1"/>
  <c r="AU70" i="6" s="1"/>
  <c r="AR66" i="6"/>
  <c r="AS66" i="6" s="1"/>
  <c r="AT66" i="6" s="1"/>
  <c r="AU66" i="6" s="1"/>
  <c r="AR62" i="6"/>
  <c r="AS62" i="6" s="1"/>
  <c r="AT62" i="6" s="1"/>
  <c r="AU62" i="6" s="1"/>
  <c r="BS62" i="6" s="1"/>
  <c r="I42" i="8" s="1"/>
  <c r="AR58" i="6"/>
  <c r="AS58" i="6" s="1"/>
  <c r="AT58" i="6" s="1"/>
  <c r="AU58" i="6" s="1"/>
  <c r="AR54" i="6"/>
  <c r="AS54" i="6" s="1"/>
  <c r="AT54" i="6" s="1"/>
  <c r="AU54" i="6" s="1"/>
  <c r="BS54" i="6" s="1"/>
  <c r="I245" i="8" s="1"/>
  <c r="AR50" i="6"/>
  <c r="AS50" i="6" s="1"/>
  <c r="AT50" i="6" s="1"/>
  <c r="AU50" i="6" s="1"/>
  <c r="AR318" i="6"/>
  <c r="AS318" i="6" s="1"/>
  <c r="AT318" i="6" s="1"/>
  <c r="AU318" i="6" s="1"/>
  <c r="AR310" i="6"/>
  <c r="AS310" i="6" s="1"/>
  <c r="AT310" i="6" s="1"/>
  <c r="AU310" i="6" s="1"/>
  <c r="BS310" i="6" s="1"/>
  <c r="I261" i="8" s="1"/>
  <c r="AR302" i="6"/>
  <c r="AS302" i="6" s="1"/>
  <c r="AT302" i="6" s="1"/>
  <c r="AU302" i="6" s="1"/>
  <c r="AR294" i="6"/>
  <c r="AS294" i="6" s="1"/>
  <c r="AT294" i="6" s="1"/>
  <c r="AU294" i="6" s="1"/>
  <c r="AR290" i="6"/>
  <c r="AS290" i="6" s="1"/>
  <c r="AT290" i="6" s="1"/>
  <c r="AU290" i="6" s="1"/>
  <c r="AR286" i="6"/>
  <c r="AS286" i="6" s="1"/>
  <c r="AT286" i="6" s="1"/>
  <c r="AU286" i="6" s="1"/>
  <c r="AR282" i="6"/>
  <c r="AS282" i="6" s="1"/>
  <c r="AT282" i="6" s="1"/>
  <c r="AU282" i="6" s="1"/>
  <c r="BS282" i="6" s="1"/>
  <c r="I77" i="8" s="1"/>
  <c r="AR278" i="6"/>
  <c r="AS278" i="6" s="1"/>
  <c r="AT278" i="6" s="1"/>
  <c r="AU278" i="6" s="1"/>
  <c r="BS278" i="6" s="1"/>
  <c r="I49" i="8" s="1"/>
  <c r="AR274" i="6"/>
  <c r="AS274" i="6" s="1"/>
  <c r="AT274" i="6" s="1"/>
  <c r="AU274" i="6" s="1"/>
  <c r="AR270" i="6"/>
  <c r="AS270" i="6" s="1"/>
  <c r="AT270" i="6" s="1"/>
  <c r="AU270" i="6" s="1"/>
  <c r="BS270" i="6" s="1"/>
  <c r="I221" i="8" s="1"/>
  <c r="AR262" i="6"/>
  <c r="AS262" i="6" s="1"/>
  <c r="AT262" i="6" s="1"/>
  <c r="AU262" i="6" s="1"/>
  <c r="BS262" i="6" s="1"/>
  <c r="I302" i="8" s="1"/>
  <c r="AR258" i="6"/>
  <c r="AS258" i="6" s="1"/>
  <c r="AT258" i="6" s="1"/>
  <c r="AU258" i="6" s="1"/>
  <c r="AR254" i="6"/>
  <c r="AS254" i="6" s="1"/>
  <c r="AT254" i="6" s="1"/>
  <c r="AU254" i="6" s="1"/>
  <c r="BS254" i="6" s="1"/>
  <c r="I233" i="8" s="1"/>
  <c r="AR250" i="6"/>
  <c r="AS250" i="6" s="1"/>
  <c r="AT250" i="6" s="1"/>
  <c r="AU250" i="6" s="1"/>
  <c r="AR246" i="6"/>
  <c r="AS246" i="6" s="1"/>
  <c r="AT246" i="6" s="1"/>
  <c r="AU246" i="6" s="1"/>
  <c r="BS246" i="6" s="1"/>
  <c r="I18" i="8" s="1"/>
  <c r="AR238" i="6"/>
  <c r="AS238" i="6" s="1"/>
  <c r="AT238" i="6" s="1"/>
  <c r="AU238" i="6" s="1"/>
  <c r="BS238" i="6" s="1"/>
  <c r="I159" i="8" s="1"/>
  <c r="AR230" i="6"/>
  <c r="AS230" i="6" s="1"/>
  <c r="AT230" i="6" s="1"/>
  <c r="AU230" i="6" s="1"/>
  <c r="AR222" i="6"/>
  <c r="AS222" i="6" s="1"/>
  <c r="AT222" i="6" s="1"/>
  <c r="AU222" i="6" s="1"/>
  <c r="BS222" i="6" s="1"/>
  <c r="I244" i="8" s="1"/>
  <c r="AR214" i="6"/>
  <c r="AS214" i="6" s="1"/>
  <c r="AT214" i="6" s="1"/>
  <c r="AU214" i="6" s="1"/>
  <c r="AR210" i="6"/>
  <c r="AS210" i="6" s="1"/>
  <c r="AT210" i="6" s="1"/>
  <c r="AU210" i="6" s="1"/>
  <c r="AR206" i="6"/>
  <c r="AS206" i="6" s="1"/>
  <c r="AT206" i="6" s="1"/>
  <c r="AU206" i="6" s="1"/>
  <c r="BS206" i="6" s="1"/>
  <c r="I101" i="8" s="1"/>
  <c r="AR202" i="6"/>
  <c r="AS202" i="6" s="1"/>
  <c r="AT202" i="6" s="1"/>
  <c r="AU202" i="6" s="1"/>
  <c r="AR198" i="6"/>
  <c r="AS198" i="6" s="1"/>
  <c r="AT198" i="6" s="1"/>
  <c r="AU198" i="6" s="1"/>
  <c r="AR194" i="6"/>
  <c r="AS194" i="6" s="1"/>
  <c r="AT194" i="6" s="1"/>
  <c r="AU194" i="6" s="1"/>
  <c r="AR190" i="6"/>
  <c r="AS190" i="6" s="1"/>
  <c r="AT190" i="6" s="1"/>
  <c r="AU190" i="6" s="1"/>
  <c r="AR186" i="6"/>
  <c r="AS186" i="6" s="1"/>
  <c r="AT186" i="6" s="1"/>
  <c r="AU186" i="6" s="1"/>
  <c r="BS186" i="6" s="1"/>
  <c r="I93" i="8" s="1"/>
  <c r="AR182" i="6"/>
  <c r="AS182" i="6" s="1"/>
  <c r="AT182" i="6" s="1"/>
  <c r="AU182" i="6" s="1"/>
  <c r="AR174" i="6"/>
  <c r="AS174" i="6" s="1"/>
  <c r="AT174" i="6" s="1"/>
  <c r="AU174" i="6" s="1"/>
  <c r="AR170" i="6"/>
  <c r="AS170" i="6" s="1"/>
  <c r="AT170" i="6" s="1"/>
  <c r="AU170" i="6" s="1"/>
  <c r="BS170" i="6" s="1"/>
  <c r="I232" i="8" s="1"/>
  <c r="AR166" i="6"/>
  <c r="AS166" i="6" s="1"/>
  <c r="AT166" i="6" s="1"/>
  <c r="AU166" i="6" s="1"/>
  <c r="BS166" i="6" s="1"/>
  <c r="I110" i="8" s="1"/>
  <c r="AR162" i="6"/>
  <c r="AS162" i="6" s="1"/>
  <c r="AT162" i="6" s="1"/>
  <c r="AU162" i="6" s="1"/>
  <c r="BS162" i="6" s="1"/>
  <c r="I250" i="8" s="1"/>
  <c r="AR158" i="6"/>
  <c r="AS158" i="6" s="1"/>
  <c r="AT158" i="6" s="1"/>
  <c r="AU158" i="6" s="1"/>
  <c r="BS158" i="6" s="1"/>
  <c r="I287" i="8" s="1"/>
  <c r="AR150" i="6"/>
  <c r="AS150" i="6" s="1"/>
  <c r="AT150" i="6" s="1"/>
  <c r="AU150" i="6" s="1"/>
  <c r="BS150" i="6" s="1"/>
  <c r="I212" i="8" s="1"/>
  <c r="AR146" i="6"/>
  <c r="AS146" i="6" s="1"/>
  <c r="AT146" i="6" s="1"/>
  <c r="AU146" i="6" s="1"/>
  <c r="BS146" i="6" s="1"/>
  <c r="I160" i="8" s="1"/>
  <c r="AR142" i="6"/>
  <c r="AS142" i="6" s="1"/>
  <c r="AT142" i="6" s="1"/>
  <c r="AU142" i="6" s="1"/>
  <c r="BS142" i="6" s="1"/>
  <c r="I82" i="8" s="1"/>
  <c r="AR138" i="6"/>
  <c r="AS138" i="6" s="1"/>
  <c r="AT138" i="6" s="1"/>
  <c r="AU138" i="6" s="1"/>
  <c r="AR134" i="6"/>
  <c r="AS134" i="6" s="1"/>
  <c r="AT134" i="6" s="1"/>
  <c r="AU134" i="6" s="1"/>
  <c r="BS134" i="6" s="1"/>
  <c r="I152" i="8" s="1"/>
  <c r="AR130" i="6"/>
  <c r="AS130" i="6" s="1"/>
  <c r="AT130" i="6" s="1"/>
  <c r="AU130" i="6" s="1"/>
  <c r="BS130" i="6" s="1"/>
  <c r="I105" i="8" s="1"/>
  <c r="AR126" i="6"/>
  <c r="AS126" i="6" s="1"/>
  <c r="AT126" i="6" s="1"/>
  <c r="AU126" i="6" s="1"/>
  <c r="AR122" i="6"/>
  <c r="AS122" i="6" s="1"/>
  <c r="AT122" i="6" s="1"/>
  <c r="AU122" i="6" s="1"/>
  <c r="BS122" i="6" s="1"/>
  <c r="I279" i="8" s="1"/>
  <c r="AR115" i="6"/>
  <c r="AS115" i="6" s="1"/>
  <c r="AT115" i="6" s="1"/>
  <c r="AU115" i="6" s="1"/>
  <c r="BS115" i="6" s="1"/>
  <c r="I256" i="8" s="1"/>
  <c r="AR111" i="6"/>
  <c r="AS111" i="6" s="1"/>
  <c r="AT111" i="6" s="1"/>
  <c r="AU111" i="6" s="1"/>
  <c r="AR107" i="6"/>
  <c r="AS107" i="6" s="1"/>
  <c r="AT107" i="6" s="1"/>
  <c r="AU107" i="6" s="1"/>
  <c r="AR103" i="6"/>
  <c r="AS103" i="6" s="1"/>
  <c r="AT103" i="6" s="1"/>
  <c r="AU103" i="6" s="1"/>
  <c r="AR99" i="6"/>
  <c r="AS99" i="6" s="1"/>
  <c r="AT99" i="6" s="1"/>
  <c r="AU99" i="6" s="1"/>
  <c r="AR95" i="6"/>
  <c r="AS95" i="6" s="1"/>
  <c r="AT95" i="6" s="1"/>
  <c r="AU95" i="6" s="1"/>
  <c r="AR91" i="6"/>
  <c r="AS91" i="6" s="1"/>
  <c r="AT91" i="6" s="1"/>
  <c r="AU91" i="6" s="1"/>
  <c r="BS91" i="6" s="1"/>
  <c r="I277" i="8" s="1"/>
  <c r="AR87" i="6"/>
  <c r="AS87" i="6" s="1"/>
  <c r="AT87" i="6" s="1"/>
  <c r="AU87" i="6" s="1"/>
  <c r="BS87" i="6" s="1"/>
  <c r="I75" i="8" s="1"/>
  <c r="AR83" i="6"/>
  <c r="AS83" i="6" s="1"/>
  <c r="AT83" i="6" s="1"/>
  <c r="AU83" i="6" s="1"/>
  <c r="AR79" i="6"/>
  <c r="AS79" i="6" s="1"/>
  <c r="AT79" i="6" s="1"/>
  <c r="AU79" i="6" s="1"/>
  <c r="BS79" i="6" s="1"/>
  <c r="I188" i="8" s="1"/>
  <c r="AR75" i="6"/>
  <c r="AS75" i="6" s="1"/>
  <c r="AT75" i="6" s="1"/>
  <c r="AU75" i="6" s="1"/>
  <c r="BS75" i="6" s="1"/>
  <c r="I30" i="8" s="1"/>
  <c r="AR71" i="6"/>
  <c r="AS71" i="6" s="1"/>
  <c r="AT71" i="6" s="1"/>
  <c r="AU71" i="6" s="1"/>
  <c r="AR67" i="6"/>
  <c r="AS67" i="6" s="1"/>
  <c r="AT67" i="6" s="1"/>
  <c r="AU67" i="6" s="1"/>
  <c r="BS67" i="6" s="1"/>
  <c r="I282" i="8" s="1"/>
  <c r="AR63" i="6"/>
  <c r="AS63" i="6" s="1"/>
  <c r="AT63" i="6" s="1"/>
  <c r="AU63" i="6" s="1"/>
  <c r="BS63" i="6" s="1"/>
  <c r="I314" i="8" s="1"/>
  <c r="AR307" i="6"/>
  <c r="AS307" i="6" s="1"/>
  <c r="AT307" i="6" s="1"/>
  <c r="AU307" i="6" s="1"/>
  <c r="BS307" i="6" s="1"/>
  <c r="I300" i="8" s="1"/>
  <c r="AS320" i="6"/>
  <c r="AT320" i="6" s="1"/>
  <c r="AU320" i="6" s="1"/>
  <c r="BS320" i="6" s="1"/>
  <c r="I118" i="8" s="1"/>
  <c r="AT288" i="6"/>
  <c r="AU288" i="6" s="1"/>
  <c r="AS248" i="6"/>
  <c r="AT248" i="6" s="1"/>
  <c r="AU248" i="6" s="1"/>
  <c r="AS216" i="6"/>
  <c r="AT216" i="6" s="1"/>
  <c r="AU216" i="6" s="1"/>
  <c r="AS176" i="6"/>
  <c r="AT176" i="6" s="1"/>
  <c r="AU176" i="6" s="1"/>
  <c r="BS176" i="6" s="1"/>
  <c r="I81" i="8" s="1"/>
  <c r="AT120" i="6"/>
  <c r="AU120" i="6" s="1"/>
  <c r="BS120" i="6" s="1"/>
  <c r="I228" i="8" s="1"/>
  <c r="AS105" i="6"/>
  <c r="AT105" i="6" s="1"/>
  <c r="AU105" i="6" s="1"/>
  <c r="AS73" i="6"/>
  <c r="AT73" i="6" s="1"/>
  <c r="AU73" i="6" s="1"/>
  <c r="AS65" i="6"/>
  <c r="AT65" i="6" s="1"/>
  <c r="AU65" i="6" s="1"/>
  <c r="BS65" i="6" s="1"/>
  <c r="I117" i="8" s="1"/>
  <c r="AR40" i="6"/>
  <c r="AS40" i="6" s="1"/>
  <c r="AT40" i="6" s="1"/>
  <c r="AU40" i="6" s="1"/>
  <c r="AR32" i="6"/>
  <c r="AS32" i="6" s="1"/>
  <c r="AT32" i="6" s="1"/>
  <c r="AU32" i="6" s="1"/>
  <c r="BS32" i="6" s="1"/>
  <c r="I128" i="8" s="1"/>
  <c r="AR28" i="6"/>
  <c r="AS28" i="6" s="1"/>
  <c r="AT28" i="6" s="1"/>
  <c r="AU28" i="6" s="1"/>
  <c r="AR24" i="6"/>
  <c r="AS24" i="6" s="1"/>
  <c r="AT24" i="6" s="1"/>
  <c r="AU24" i="6" s="1"/>
  <c r="AR20" i="6"/>
  <c r="AS20" i="6" s="1"/>
  <c r="AT20" i="6" s="1"/>
  <c r="AU20" i="6" s="1"/>
  <c r="BS20" i="6" s="1"/>
  <c r="I219" i="8" s="1"/>
  <c r="AR16" i="6"/>
  <c r="AS16" i="6" s="1"/>
  <c r="AT16" i="6" s="1"/>
  <c r="AU16" i="6" s="1"/>
  <c r="BS16" i="6" s="1"/>
  <c r="I307" i="8" s="1"/>
  <c r="AR12" i="6"/>
  <c r="AS12" i="6" s="1"/>
  <c r="AT12" i="6" s="1"/>
  <c r="AU12" i="6" s="1"/>
  <c r="AR8" i="6"/>
  <c r="AS8" i="6" s="1"/>
  <c r="AT8" i="6" s="1"/>
  <c r="AU8" i="6" s="1"/>
  <c r="BS8" i="6" s="1"/>
  <c r="I316" i="8" s="1"/>
  <c r="AR4" i="6"/>
  <c r="AS4" i="6" s="1"/>
  <c r="AT4" i="6" s="1"/>
  <c r="AU4" i="6" s="1"/>
  <c r="AR35" i="6"/>
  <c r="AS35" i="6" s="1"/>
  <c r="AT35" i="6" s="1"/>
  <c r="AU35" i="6" s="1"/>
  <c r="BS35" i="6" s="1"/>
  <c r="I231" i="8" s="1"/>
  <c r="AR31" i="6"/>
  <c r="AS31" i="6" s="1"/>
  <c r="AT31" i="6" s="1"/>
  <c r="AU31" i="6" s="1"/>
  <c r="BS31" i="6" s="1"/>
  <c r="I154" i="8" s="1"/>
  <c r="AR27" i="6"/>
  <c r="AS27" i="6" s="1"/>
  <c r="AT27" i="6" s="1"/>
  <c r="AU27" i="6" s="1"/>
  <c r="BS27" i="6" s="1"/>
  <c r="I11" i="8" s="1"/>
  <c r="AR23" i="6"/>
  <c r="AS23" i="6" s="1"/>
  <c r="AT23" i="6" s="1"/>
  <c r="AU23" i="6" s="1"/>
  <c r="BS23" i="6" s="1"/>
  <c r="I195" i="8" s="1"/>
  <c r="AR19" i="6"/>
  <c r="AS19" i="6" s="1"/>
  <c r="AT19" i="6" s="1"/>
  <c r="AU19" i="6" s="1"/>
  <c r="BS19" i="6" s="1"/>
  <c r="I294" i="8" s="1"/>
  <c r="AR15" i="6"/>
  <c r="AS15" i="6" s="1"/>
  <c r="AT15" i="6" s="1"/>
  <c r="AU15" i="6" s="1"/>
  <c r="BS15" i="6" s="1"/>
  <c r="I178" i="8" s="1"/>
  <c r="AR11" i="6"/>
  <c r="AS11" i="6" s="1"/>
  <c r="AT11" i="6" s="1"/>
  <c r="AU11" i="6" s="1"/>
  <c r="BS11" i="6" s="1"/>
  <c r="I180" i="8" s="1"/>
  <c r="AR7" i="6"/>
  <c r="AS7" i="6" s="1"/>
  <c r="AT7" i="6" s="1"/>
  <c r="AU7" i="6" s="1"/>
  <c r="AR3" i="6"/>
  <c r="AS3" i="6" s="1"/>
  <c r="AT3" i="6" s="1"/>
  <c r="AU3" i="6" s="1"/>
  <c r="AU253" i="6"/>
  <c r="AU189" i="6"/>
  <c r="AU125" i="6"/>
  <c r="AU30" i="6"/>
  <c r="BS30" i="6" s="1"/>
  <c r="I272" i="8" s="1"/>
  <c r="AR322" i="6"/>
  <c r="AS322" i="6" s="1"/>
  <c r="AT322" i="6" s="1"/>
  <c r="AU322" i="6" s="1"/>
  <c r="BS322" i="6" s="1"/>
  <c r="I318" i="8" s="1"/>
  <c r="AR314" i="6"/>
  <c r="AS314" i="6" s="1"/>
  <c r="AT314" i="6" s="1"/>
  <c r="AU314" i="6" s="1"/>
  <c r="AR306" i="6"/>
  <c r="AS306" i="6" s="1"/>
  <c r="AT306" i="6" s="1"/>
  <c r="AU306" i="6" s="1"/>
  <c r="BS306" i="6" s="1"/>
  <c r="I50" i="8" s="1"/>
  <c r="AR298" i="6"/>
  <c r="AS298" i="6" s="1"/>
  <c r="AT298" i="6" s="1"/>
  <c r="AU298" i="6" s="1"/>
  <c r="BS298" i="6" s="1"/>
  <c r="I315" i="8" s="1"/>
  <c r="AR266" i="6"/>
  <c r="AS266" i="6" s="1"/>
  <c r="AT266" i="6" s="1"/>
  <c r="AU266" i="6" s="1"/>
  <c r="AR242" i="6"/>
  <c r="AS242" i="6" s="1"/>
  <c r="AT242" i="6" s="1"/>
  <c r="AU242" i="6" s="1"/>
  <c r="BS242" i="6" s="1"/>
  <c r="I285" i="8" s="1"/>
  <c r="AR234" i="6"/>
  <c r="AS234" i="6" s="1"/>
  <c r="AT234" i="6" s="1"/>
  <c r="AU234" i="6" s="1"/>
  <c r="BS234" i="6" s="1"/>
  <c r="I70" i="8" s="1"/>
  <c r="AR226" i="6"/>
  <c r="AS226" i="6" s="1"/>
  <c r="AT226" i="6" s="1"/>
  <c r="AU226" i="6" s="1"/>
  <c r="BS226" i="6" s="1"/>
  <c r="I39" i="8" s="1"/>
  <c r="AR218" i="6"/>
  <c r="AS218" i="6" s="1"/>
  <c r="AT218" i="6" s="1"/>
  <c r="AU218" i="6" s="1"/>
  <c r="AR178" i="6"/>
  <c r="AS178" i="6" s="1"/>
  <c r="AT178" i="6" s="1"/>
  <c r="AU178" i="6" s="1"/>
  <c r="AR154" i="6"/>
  <c r="AS154" i="6" s="1"/>
  <c r="AT154" i="6" s="1"/>
  <c r="AU154" i="6" s="1"/>
  <c r="AS33" i="6"/>
  <c r="AT33" i="6" s="1"/>
  <c r="AU33" i="6" s="1"/>
  <c r="BS33" i="6" s="1"/>
  <c r="I163" i="8" s="1"/>
  <c r="AU145" i="6"/>
  <c r="AU34" i="6"/>
  <c r="BS34" i="6" s="1"/>
  <c r="I55" i="8" s="1"/>
  <c r="AU10" i="6"/>
  <c r="AU301" i="6"/>
  <c r="AU317" i="6"/>
  <c r="AR2" i="6"/>
  <c r="AS2" i="6" s="1"/>
  <c r="AT2" i="6" s="1"/>
  <c r="AU2" i="6" s="1"/>
  <c r="BS127" i="6"/>
  <c r="I157" i="8" s="1"/>
  <c r="BS59" i="6"/>
  <c r="I260" i="8" s="1"/>
  <c r="BS207" i="6"/>
  <c r="I312" i="8" s="1"/>
  <c r="BS259" i="6"/>
  <c r="I19" i="8" s="1"/>
  <c r="BS279" i="6"/>
  <c r="I166" i="8" s="1"/>
  <c r="BS243" i="6"/>
  <c r="I196" i="8" s="1"/>
  <c r="BS292" i="6"/>
  <c r="I179" i="8" s="1"/>
  <c r="BS69" i="6"/>
  <c r="I235" i="8" s="1"/>
  <c r="BS99" i="6"/>
  <c r="I126" i="8" s="1"/>
  <c r="BS135" i="6"/>
  <c r="I259" i="8" s="1"/>
  <c r="BS119" i="6"/>
  <c r="I107" i="8" s="1"/>
  <c r="BS140" i="6"/>
  <c r="I100" i="8" s="1"/>
  <c r="BS159" i="6"/>
  <c r="I173" i="8" s="1"/>
  <c r="BS155" i="6"/>
  <c r="I124" i="8" s="1"/>
  <c r="BS175" i="6"/>
  <c r="I297" i="8" s="1"/>
  <c r="BS179" i="6"/>
  <c r="I191" i="8" s="1"/>
  <c r="BS195" i="6"/>
  <c r="I247" i="8" s="1"/>
  <c r="BS199" i="6"/>
  <c r="I214" i="8" s="1"/>
  <c r="BS239" i="6"/>
  <c r="I23" i="8" s="1"/>
  <c r="BS227" i="6"/>
  <c r="I46" i="8" s="1"/>
  <c r="BS211" i="6"/>
  <c r="I145" i="8" s="1"/>
  <c r="BS252" i="6"/>
  <c r="I313" i="8" s="1"/>
  <c r="BS287" i="6"/>
  <c r="I63" i="8" s="1"/>
  <c r="BS219" i="6"/>
  <c r="I168" i="8" s="1"/>
  <c r="BS223" i="6"/>
  <c r="I271" i="8" s="1"/>
  <c r="BS290" i="6"/>
  <c r="I21" i="8" s="1"/>
  <c r="BS215" i="6" l="1"/>
  <c r="I143" i="8" s="1"/>
  <c r="BS315" i="6"/>
  <c r="I208" i="8" s="1"/>
  <c r="BS203" i="6"/>
  <c r="I5" i="8" s="1"/>
  <c r="BS151" i="6"/>
  <c r="I201" i="8" s="1"/>
  <c r="BS56" i="6"/>
  <c r="I95" i="8" s="1"/>
  <c r="BS235" i="6"/>
  <c r="I205" i="8" s="1"/>
  <c r="BS80" i="6"/>
  <c r="I68" i="8" s="1"/>
  <c r="BS85" i="6"/>
  <c r="I114" i="8" s="1"/>
  <c r="BS163" i="6"/>
  <c r="I184" i="8" s="1"/>
  <c r="BS147" i="6"/>
  <c r="I239" i="8" s="1"/>
  <c r="BS143" i="6"/>
  <c r="I278" i="8" s="1"/>
  <c r="BS43" i="6"/>
  <c r="I164" i="8" s="1"/>
  <c r="BS138" i="6"/>
  <c r="I198" i="8" s="1"/>
  <c r="BS98" i="6"/>
  <c r="I286" i="8" s="1"/>
  <c r="BS250" i="6"/>
  <c r="I76" i="8" s="1"/>
  <c r="BS198" i="6"/>
  <c r="I112" i="8" s="1"/>
  <c r="BS88" i="6"/>
  <c r="I298" i="8" s="1"/>
  <c r="BS314" i="6"/>
  <c r="I216" i="8" s="1"/>
  <c r="BS93" i="6"/>
  <c r="I227" i="8" s="1"/>
  <c r="BS86" i="6"/>
  <c r="I242" i="8" s="1"/>
  <c r="BS145" i="6"/>
  <c r="I174" i="8" s="1"/>
  <c r="BS214" i="6"/>
  <c r="I172" i="8" s="1"/>
  <c r="BS275" i="6"/>
  <c r="I40" i="8" s="1"/>
  <c r="BS109" i="6"/>
  <c r="I61" i="8" s="1"/>
  <c r="BS3" i="6"/>
  <c r="I230" i="8" s="1"/>
  <c r="BS39" i="6"/>
  <c r="I303" i="8" s="1"/>
  <c r="BS74" i="6"/>
  <c r="I60" i="8" s="1"/>
  <c r="BS204" i="6"/>
  <c r="I134" i="8" s="1"/>
  <c r="BS274" i="6"/>
  <c r="I85" i="8" s="1"/>
  <c r="BS220" i="6"/>
  <c r="I33" i="8" s="1"/>
  <c r="BS167" i="6"/>
  <c r="I296" i="8" s="1"/>
  <c r="BS291" i="6"/>
  <c r="I35" i="8" s="1"/>
  <c r="BS82" i="6"/>
  <c r="I136" i="8" s="1"/>
  <c r="BS148" i="6"/>
  <c r="I155" i="8" s="1"/>
  <c r="BS37" i="6"/>
  <c r="I84" i="8" s="1"/>
  <c r="BS271" i="6"/>
  <c r="I182" i="8" s="1"/>
  <c r="BS4" i="6"/>
  <c r="I240" i="8" s="1"/>
  <c r="BS301" i="6"/>
  <c r="I90" i="8" s="1"/>
  <c r="BS125" i="6"/>
  <c r="I96" i="8" s="1"/>
  <c r="BS213" i="6"/>
  <c r="I284" i="8" s="1"/>
  <c r="BS197" i="6"/>
  <c r="I45" i="8" s="1"/>
  <c r="BS90" i="6"/>
  <c r="I317" i="8" s="1"/>
  <c r="BS139" i="6"/>
  <c r="I170" i="8" s="1"/>
  <c r="BS189" i="6"/>
  <c r="I43" i="8" s="1"/>
  <c r="BS73" i="6"/>
  <c r="I150" i="8" s="1"/>
  <c r="BS94" i="6"/>
  <c r="I83" i="8" s="1"/>
  <c r="BS160" i="6"/>
  <c r="I116" i="8" s="1"/>
  <c r="BS272" i="6"/>
  <c r="I48" i="8" s="1"/>
  <c r="BS21" i="6"/>
  <c r="I129" i="8" s="1"/>
  <c r="BS53" i="6"/>
  <c r="I204" i="8" s="1"/>
  <c r="BS267" i="6"/>
  <c r="I31" i="8" s="1"/>
  <c r="BS260" i="6"/>
  <c r="I59" i="8" s="1"/>
  <c r="BS286" i="6"/>
  <c r="I275" i="8" s="1"/>
  <c r="BS268" i="6"/>
  <c r="I73" i="8" s="1"/>
  <c r="BS304" i="6"/>
  <c r="I26" i="8" s="1"/>
  <c r="BS89" i="6"/>
  <c r="I251" i="8" s="1"/>
  <c r="BS317" i="6"/>
  <c r="I237" i="8" s="1"/>
  <c r="BS248" i="6"/>
  <c r="I229" i="8" s="1"/>
  <c r="BS71" i="6"/>
  <c r="I288" i="8" s="1"/>
  <c r="BS103" i="6"/>
  <c r="I140" i="8" s="1"/>
  <c r="BS174" i="6"/>
  <c r="I246" i="8" s="1"/>
  <c r="BS210" i="6"/>
  <c r="I149" i="8" s="1"/>
  <c r="BS258" i="6"/>
  <c r="I28" i="8" s="1"/>
  <c r="BS294" i="6"/>
  <c r="I102" i="8" s="1"/>
  <c r="BS66" i="6"/>
  <c r="I206" i="8" s="1"/>
  <c r="BS129" i="6"/>
  <c r="I71" i="8" s="1"/>
  <c r="BS257" i="6"/>
  <c r="I190" i="8" s="1"/>
  <c r="BS60" i="6"/>
  <c r="I132" i="8" s="1"/>
  <c r="BS92" i="6"/>
  <c r="I6" i="8" s="1"/>
  <c r="BS124" i="6"/>
  <c r="I53" i="8" s="1"/>
  <c r="BS217" i="6"/>
  <c r="I66" i="8" s="1"/>
  <c r="BS156" i="6"/>
  <c r="I146" i="8" s="1"/>
  <c r="BS289" i="6"/>
  <c r="I291" i="8" s="1"/>
  <c r="BS253" i="6"/>
  <c r="I189" i="8" s="1"/>
  <c r="BS24" i="6"/>
  <c r="I252" i="8" s="1"/>
  <c r="BS97" i="6"/>
  <c r="I44" i="8" s="1"/>
  <c r="BS264" i="6"/>
  <c r="I79" i="8" s="1"/>
  <c r="BS107" i="6"/>
  <c r="I74" i="8" s="1"/>
  <c r="BS182" i="6"/>
  <c r="I54" i="8" s="1"/>
  <c r="BS302" i="6"/>
  <c r="I127" i="8" s="1"/>
  <c r="BS70" i="6"/>
  <c r="I258" i="8" s="1"/>
  <c r="BS102" i="6"/>
  <c r="I225" i="8" s="1"/>
  <c r="BS133" i="6"/>
  <c r="I215" i="8" s="1"/>
  <c r="BS165" i="6"/>
  <c r="I193" i="8" s="1"/>
  <c r="BS229" i="6"/>
  <c r="I139" i="8" s="1"/>
  <c r="BS47" i="6"/>
  <c r="I147" i="8" s="1"/>
  <c r="BS96" i="6"/>
  <c r="I192" i="8" s="1"/>
  <c r="BS244" i="6"/>
  <c r="I14" i="8" s="1"/>
  <c r="BS316" i="6"/>
  <c r="I161" i="8" s="1"/>
  <c r="BS61" i="6"/>
  <c r="I141" i="8" s="1"/>
  <c r="BS101" i="6"/>
  <c r="I262" i="8" s="1"/>
  <c r="BS311" i="6"/>
  <c r="I47" i="8" s="1"/>
  <c r="BS218" i="6"/>
  <c r="I211" i="8" s="1"/>
  <c r="BS216" i="6"/>
  <c r="I249" i="8" s="1"/>
  <c r="BS95" i="6"/>
  <c r="I64" i="8" s="1"/>
  <c r="BS202" i="6"/>
  <c r="I57" i="8" s="1"/>
  <c r="BS58" i="6"/>
  <c r="I38" i="8" s="1"/>
  <c r="BS121" i="6"/>
  <c r="I304" i="8" s="1"/>
  <c r="BS312" i="6"/>
  <c r="I72" i="8" s="1"/>
  <c r="BS266" i="6"/>
  <c r="I135" i="8" s="1"/>
  <c r="BS277" i="6"/>
  <c r="I104" i="8" s="1"/>
  <c r="BS28" i="6"/>
  <c r="I167" i="8" s="1"/>
  <c r="BS105" i="6"/>
  <c r="I142" i="8" s="1"/>
  <c r="BS280" i="6"/>
  <c r="I20" i="8" s="1"/>
  <c r="BS111" i="6"/>
  <c r="I156" i="8" s="1"/>
  <c r="BS106" i="6"/>
  <c r="I144" i="8" s="1"/>
  <c r="BS137" i="6"/>
  <c r="I106" i="8" s="1"/>
  <c r="BS201" i="6"/>
  <c r="I62" i="8" s="1"/>
  <c r="BS233" i="6"/>
  <c r="I133" i="8" s="1"/>
  <c r="BS265" i="6"/>
  <c r="I56" i="8" s="1"/>
  <c r="BS68" i="6"/>
  <c r="I119" i="8" s="1"/>
  <c r="BS100" i="6"/>
  <c r="I9" i="8" s="1"/>
  <c r="BS295" i="6"/>
  <c r="I8" i="8" s="1"/>
  <c r="BS10" i="6"/>
  <c r="I186" i="8" s="1"/>
  <c r="BS288" i="6"/>
  <c r="I91" i="8" s="1"/>
  <c r="BS83" i="6"/>
  <c r="I32" i="8" s="1"/>
  <c r="BS190" i="6"/>
  <c r="I148" i="8" s="1"/>
  <c r="BS230" i="6"/>
  <c r="I25" i="8" s="1"/>
  <c r="BS318" i="6"/>
  <c r="I177" i="8" s="1"/>
  <c r="BS78" i="6"/>
  <c r="I183" i="8" s="1"/>
  <c r="BS110" i="6"/>
  <c r="I158" i="8" s="1"/>
  <c r="BS173" i="6"/>
  <c r="I97" i="8" s="1"/>
  <c r="BS205" i="6"/>
  <c r="I121" i="8" s="1"/>
  <c r="BS237" i="6"/>
  <c r="I17" i="8" s="1"/>
  <c r="BS269" i="6"/>
  <c r="I37" i="8" s="1"/>
  <c r="BS104" i="6"/>
  <c r="I295" i="8" s="1"/>
  <c r="BS283" i="6"/>
  <c r="I2" i="8" s="1"/>
  <c r="BS2" i="6"/>
  <c r="BS281" i="6"/>
  <c r="I15" i="8" s="1"/>
  <c r="BS313" i="6"/>
  <c r="I308" i="8" s="1"/>
  <c r="BS52" i="6"/>
  <c r="I138" i="8" s="1"/>
  <c r="BS84" i="6"/>
  <c r="I280" i="8" s="1"/>
  <c r="BS154" i="6"/>
  <c r="I88" i="8" s="1"/>
  <c r="BS50" i="6"/>
  <c r="I69" i="8" s="1"/>
  <c r="BS114" i="6"/>
  <c r="I289" i="8" s="1"/>
  <c r="BS177" i="6"/>
  <c r="I185" i="8" s="1"/>
  <c r="BS209" i="6"/>
  <c r="I3" i="8" s="1"/>
  <c r="BS44" i="6"/>
  <c r="I10" i="8" s="1"/>
  <c r="BS144" i="6"/>
  <c r="I52" i="8" s="1"/>
  <c r="BS296" i="6"/>
  <c r="I226" i="8" s="1"/>
  <c r="BS77" i="6"/>
  <c r="I58" i="8" s="1"/>
  <c r="BS132" i="6"/>
  <c r="I224" i="8" s="1"/>
  <c r="BS6" i="6"/>
  <c r="I65" i="8" s="1"/>
  <c r="BS38" i="6"/>
  <c r="I7" i="8" s="1"/>
  <c r="BS12" i="6"/>
  <c r="I263" i="8" s="1"/>
  <c r="BS149" i="6"/>
  <c r="I199" i="8" s="1"/>
  <c r="BS7" i="6"/>
  <c r="I264" i="8" s="1"/>
  <c r="BS40" i="6"/>
  <c r="I299" i="8" s="1"/>
  <c r="BS194" i="6"/>
  <c r="I290" i="8" s="1"/>
  <c r="BS42" i="6"/>
  <c r="I210" i="8" s="1"/>
  <c r="BS178" i="6"/>
  <c r="I153" i="8" s="1"/>
  <c r="BS126" i="6"/>
  <c r="I80" i="8" s="1"/>
  <c r="BS245" i="6"/>
  <c r="I108" i="8" s="1"/>
  <c r="BP323" i="2"/>
  <c r="BQ323" i="2" s="1"/>
  <c r="BR323" i="2" s="1"/>
  <c r="BP322" i="2"/>
  <c r="BQ322" i="2" s="1"/>
  <c r="BR322" i="2" s="1"/>
  <c r="BP321" i="2"/>
  <c r="BQ321" i="2" s="1"/>
  <c r="BR321" i="2" s="1"/>
  <c r="BP320" i="2"/>
  <c r="BQ320" i="2" s="1"/>
  <c r="BR320" i="2" s="1"/>
  <c r="BP319" i="2"/>
  <c r="BQ319" i="2" s="1"/>
  <c r="BR319" i="2" s="1"/>
  <c r="BP318" i="2"/>
  <c r="BQ318" i="2" s="1"/>
  <c r="BR318" i="2" s="1"/>
  <c r="BP317" i="2"/>
  <c r="BQ317" i="2" s="1"/>
  <c r="BR317" i="2" s="1"/>
  <c r="BP316" i="2"/>
  <c r="BQ316" i="2" s="1"/>
  <c r="BR316" i="2" s="1"/>
  <c r="BP315" i="2"/>
  <c r="BQ315" i="2" s="1"/>
  <c r="BR315" i="2" s="1"/>
  <c r="BP314" i="2"/>
  <c r="BQ314" i="2" s="1"/>
  <c r="BR314" i="2" s="1"/>
  <c r="BP313" i="2"/>
  <c r="BQ313" i="2" s="1"/>
  <c r="BR313" i="2" s="1"/>
  <c r="BP312" i="2"/>
  <c r="BQ312" i="2" s="1"/>
  <c r="BR312" i="2" s="1"/>
  <c r="BP311" i="2"/>
  <c r="BQ311" i="2" s="1"/>
  <c r="BR311" i="2" s="1"/>
  <c r="BP310" i="2"/>
  <c r="BQ310" i="2" s="1"/>
  <c r="BR310" i="2" s="1"/>
  <c r="BP309" i="2"/>
  <c r="BQ309" i="2" s="1"/>
  <c r="BR309" i="2" s="1"/>
  <c r="BP308" i="2"/>
  <c r="BQ308" i="2" s="1"/>
  <c r="BR308" i="2" s="1"/>
  <c r="BP307" i="2"/>
  <c r="BQ307" i="2" s="1"/>
  <c r="BR307" i="2" s="1"/>
  <c r="BP306" i="2"/>
  <c r="BQ306" i="2" s="1"/>
  <c r="BR306" i="2" s="1"/>
  <c r="BP305" i="2"/>
  <c r="BQ305" i="2" s="1"/>
  <c r="BR305" i="2" s="1"/>
  <c r="BP304" i="2"/>
  <c r="BQ304" i="2" s="1"/>
  <c r="BR304" i="2" s="1"/>
  <c r="BP303" i="2"/>
  <c r="BQ303" i="2" s="1"/>
  <c r="BR303" i="2" s="1"/>
  <c r="BP302" i="2"/>
  <c r="BQ302" i="2" s="1"/>
  <c r="BR302" i="2" s="1"/>
  <c r="BP301" i="2"/>
  <c r="BQ301" i="2" s="1"/>
  <c r="BR301" i="2" s="1"/>
  <c r="BP300" i="2"/>
  <c r="BQ300" i="2" s="1"/>
  <c r="BR300" i="2" s="1"/>
  <c r="BP299" i="2"/>
  <c r="BQ299" i="2" s="1"/>
  <c r="BR299" i="2" s="1"/>
  <c r="BP298" i="2"/>
  <c r="BQ298" i="2" s="1"/>
  <c r="BR298" i="2" s="1"/>
  <c r="BP297" i="2"/>
  <c r="BQ297" i="2" s="1"/>
  <c r="BR297" i="2" s="1"/>
  <c r="BP296" i="2"/>
  <c r="BQ296" i="2" s="1"/>
  <c r="BR296" i="2" s="1"/>
  <c r="BP295" i="2"/>
  <c r="BQ295" i="2" s="1"/>
  <c r="BR295" i="2" s="1"/>
  <c r="BP294" i="2"/>
  <c r="BQ294" i="2" s="1"/>
  <c r="BR294" i="2" s="1"/>
  <c r="BP293" i="2"/>
  <c r="BQ293" i="2" s="1"/>
  <c r="BR293" i="2" s="1"/>
  <c r="BP292" i="2"/>
  <c r="BQ292" i="2" s="1"/>
  <c r="BR292" i="2" s="1"/>
  <c r="BP291" i="2"/>
  <c r="BQ291" i="2" s="1"/>
  <c r="BR291" i="2" s="1"/>
  <c r="BP290" i="2"/>
  <c r="BQ290" i="2" s="1"/>
  <c r="BR290" i="2" s="1"/>
  <c r="BP289" i="2"/>
  <c r="BQ289" i="2" s="1"/>
  <c r="BR289" i="2" s="1"/>
  <c r="BP288" i="2"/>
  <c r="BQ288" i="2" s="1"/>
  <c r="BR288" i="2" s="1"/>
  <c r="BP287" i="2"/>
  <c r="BQ287" i="2" s="1"/>
  <c r="BR287" i="2" s="1"/>
  <c r="BP286" i="2"/>
  <c r="BQ286" i="2" s="1"/>
  <c r="BR286" i="2" s="1"/>
  <c r="BP285" i="2"/>
  <c r="BQ285" i="2" s="1"/>
  <c r="BR285" i="2" s="1"/>
  <c r="BP284" i="2"/>
  <c r="BQ284" i="2" s="1"/>
  <c r="BR284" i="2" s="1"/>
  <c r="BP283" i="2"/>
  <c r="BQ283" i="2" s="1"/>
  <c r="BR283" i="2" s="1"/>
  <c r="BP282" i="2"/>
  <c r="BQ282" i="2" s="1"/>
  <c r="BR282" i="2" s="1"/>
  <c r="BP281" i="2"/>
  <c r="BQ281" i="2" s="1"/>
  <c r="BR281" i="2" s="1"/>
  <c r="BP280" i="2"/>
  <c r="BQ280" i="2" s="1"/>
  <c r="BR280" i="2" s="1"/>
  <c r="BP279" i="2"/>
  <c r="BQ279" i="2" s="1"/>
  <c r="BR279" i="2" s="1"/>
  <c r="BP278" i="2"/>
  <c r="BQ278" i="2" s="1"/>
  <c r="BR278" i="2" s="1"/>
  <c r="BP277" i="2"/>
  <c r="BQ277" i="2" s="1"/>
  <c r="BR277" i="2" s="1"/>
  <c r="BP276" i="2"/>
  <c r="BQ276" i="2" s="1"/>
  <c r="BR276" i="2" s="1"/>
  <c r="BP275" i="2"/>
  <c r="BQ275" i="2" s="1"/>
  <c r="BR275" i="2" s="1"/>
  <c r="BP274" i="2"/>
  <c r="BQ274" i="2" s="1"/>
  <c r="BR274" i="2" s="1"/>
  <c r="BP273" i="2"/>
  <c r="BQ273" i="2" s="1"/>
  <c r="BR273" i="2" s="1"/>
  <c r="BP272" i="2"/>
  <c r="BQ272" i="2" s="1"/>
  <c r="BR272" i="2" s="1"/>
  <c r="BP271" i="2"/>
  <c r="BQ271" i="2" s="1"/>
  <c r="BR271" i="2" s="1"/>
  <c r="BP270" i="2"/>
  <c r="BQ270" i="2" s="1"/>
  <c r="BR270" i="2" s="1"/>
  <c r="BP269" i="2"/>
  <c r="BQ269" i="2" s="1"/>
  <c r="BR269" i="2" s="1"/>
  <c r="BP268" i="2"/>
  <c r="BQ268" i="2" s="1"/>
  <c r="BR268" i="2" s="1"/>
  <c r="BP267" i="2"/>
  <c r="BQ267" i="2" s="1"/>
  <c r="BR267" i="2" s="1"/>
  <c r="BP266" i="2"/>
  <c r="BQ266" i="2" s="1"/>
  <c r="BR266" i="2" s="1"/>
  <c r="BP265" i="2"/>
  <c r="BQ265" i="2" s="1"/>
  <c r="BR265" i="2" s="1"/>
  <c r="BP264" i="2"/>
  <c r="BQ264" i="2" s="1"/>
  <c r="BR264" i="2" s="1"/>
  <c r="BP263" i="2"/>
  <c r="BQ263" i="2" s="1"/>
  <c r="BR263" i="2" s="1"/>
  <c r="BP262" i="2"/>
  <c r="BQ262" i="2" s="1"/>
  <c r="BR262" i="2" s="1"/>
  <c r="BP261" i="2"/>
  <c r="BQ261" i="2" s="1"/>
  <c r="BR261" i="2" s="1"/>
  <c r="BP260" i="2"/>
  <c r="BQ260" i="2" s="1"/>
  <c r="BR260" i="2" s="1"/>
  <c r="BP259" i="2"/>
  <c r="BQ259" i="2" s="1"/>
  <c r="BR259" i="2" s="1"/>
  <c r="BP258" i="2"/>
  <c r="BQ258" i="2" s="1"/>
  <c r="BR258" i="2" s="1"/>
  <c r="BP257" i="2"/>
  <c r="BQ257" i="2" s="1"/>
  <c r="BR257" i="2" s="1"/>
  <c r="BP256" i="2"/>
  <c r="BQ256" i="2" s="1"/>
  <c r="BR256" i="2" s="1"/>
  <c r="BP255" i="2"/>
  <c r="BQ255" i="2" s="1"/>
  <c r="BR255" i="2" s="1"/>
  <c r="BP254" i="2"/>
  <c r="BQ254" i="2" s="1"/>
  <c r="BR254" i="2" s="1"/>
  <c r="BP253" i="2"/>
  <c r="BQ253" i="2" s="1"/>
  <c r="BR253" i="2" s="1"/>
  <c r="BP252" i="2"/>
  <c r="BQ252" i="2" s="1"/>
  <c r="BR252" i="2" s="1"/>
  <c r="BP251" i="2"/>
  <c r="BQ251" i="2" s="1"/>
  <c r="BR251" i="2" s="1"/>
  <c r="BP250" i="2"/>
  <c r="BQ250" i="2" s="1"/>
  <c r="BR250" i="2" s="1"/>
  <c r="BP249" i="2"/>
  <c r="BQ249" i="2" s="1"/>
  <c r="BR249" i="2" s="1"/>
  <c r="BP248" i="2"/>
  <c r="BQ248" i="2" s="1"/>
  <c r="BR248" i="2" s="1"/>
  <c r="BP247" i="2"/>
  <c r="BQ247" i="2" s="1"/>
  <c r="BR247" i="2" s="1"/>
  <c r="BP246" i="2"/>
  <c r="BQ246" i="2" s="1"/>
  <c r="BR246" i="2" s="1"/>
  <c r="BP245" i="2"/>
  <c r="BQ245" i="2" s="1"/>
  <c r="BR245" i="2" s="1"/>
  <c r="BP244" i="2"/>
  <c r="BQ244" i="2" s="1"/>
  <c r="BR244" i="2" s="1"/>
  <c r="BP243" i="2"/>
  <c r="BQ243" i="2" s="1"/>
  <c r="BR243" i="2" s="1"/>
  <c r="BP242" i="2"/>
  <c r="BQ242" i="2" s="1"/>
  <c r="BR242" i="2" s="1"/>
  <c r="BP241" i="2"/>
  <c r="BQ241" i="2" s="1"/>
  <c r="BR241" i="2" s="1"/>
  <c r="BP240" i="2"/>
  <c r="BQ240" i="2" s="1"/>
  <c r="BR240" i="2" s="1"/>
  <c r="BP239" i="2"/>
  <c r="BQ239" i="2" s="1"/>
  <c r="BR239" i="2" s="1"/>
  <c r="BP238" i="2"/>
  <c r="BQ238" i="2" s="1"/>
  <c r="BR238" i="2" s="1"/>
  <c r="BP237" i="2"/>
  <c r="BQ237" i="2" s="1"/>
  <c r="BR237" i="2" s="1"/>
  <c r="BP236" i="2"/>
  <c r="BQ236" i="2" s="1"/>
  <c r="BR236" i="2" s="1"/>
  <c r="BP235" i="2"/>
  <c r="BQ235" i="2" s="1"/>
  <c r="BR235" i="2" s="1"/>
  <c r="BP234" i="2"/>
  <c r="BQ234" i="2" s="1"/>
  <c r="BR234" i="2" s="1"/>
  <c r="BP233" i="2"/>
  <c r="BQ233" i="2" s="1"/>
  <c r="BR233" i="2" s="1"/>
  <c r="BP232" i="2"/>
  <c r="BQ232" i="2" s="1"/>
  <c r="BR232" i="2" s="1"/>
  <c r="BP231" i="2"/>
  <c r="BQ231" i="2" s="1"/>
  <c r="BR231" i="2" s="1"/>
  <c r="BP230" i="2"/>
  <c r="BQ230" i="2" s="1"/>
  <c r="BR230" i="2" s="1"/>
  <c r="BP229" i="2"/>
  <c r="BQ229" i="2" s="1"/>
  <c r="BR229" i="2" s="1"/>
  <c r="BP228" i="2"/>
  <c r="BQ228" i="2" s="1"/>
  <c r="BR228" i="2" s="1"/>
  <c r="BP227" i="2"/>
  <c r="BQ227" i="2" s="1"/>
  <c r="BR227" i="2" s="1"/>
  <c r="BP226" i="2"/>
  <c r="BQ226" i="2" s="1"/>
  <c r="BR226" i="2" s="1"/>
  <c r="BP225" i="2"/>
  <c r="BQ225" i="2" s="1"/>
  <c r="BR225" i="2" s="1"/>
  <c r="BP224" i="2"/>
  <c r="BQ224" i="2" s="1"/>
  <c r="BR224" i="2" s="1"/>
  <c r="BP223" i="2"/>
  <c r="BQ223" i="2" s="1"/>
  <c r="BR223" i="2" s="1"/>
  <c r="BP222" i="2"/>
  <c r="BQ222" i="2" s="1"/>
  <c r="BR222" i="2" s="1"/>
  <c r="BP221" i="2"/>
  <c r="BQ221" i="2" s="1"/>
  <c r="BR221" i="2" s="1"/>
  <c r="BP220" i="2"/>
  <c r="BQ220" i="2" s="1"/>
  <c r="BR220" i="2" s="1"/>
  <c r="BP219" i="2"/>
  <c r="BQ219" i="2" s="1"/>
  <c r="BR219" i="2" s="1"/>
  <c r="BP218" i="2"/>
  <c r="BQ218" i="2" s="1"/>
  <c r="BR218" i="2" s="1"/>
  <c r="BP217" i="2"/>
  <c r="BQ217" i="2" s="1"/>
  <c r="BR217" i="2" s="1"/>
  <c r="BP216" i="2"/>
  <c r="BQ216" i="2" s="1"/>
  <c r="BR216" i="2" s="1"/>
  <c r="BP215" i="2"/>
  <c r="BQ215" i="2" s="1"/>
  <c r="BR215" i="2" s="1"/>
  <c r="BP214" i="2"/>
  <c r="BQ214" i="2" s="1"/>
  <c r="BR214" i="2" s="1"/>
  <c r="BP213" i="2"/>
  <c r="BQ213" i="2" s="1"/>
  <c r="BR213" i="2" s="1"/>
  <c r="BP212" i="2"/>
  <c r="BQ212" i="2" s="1"/>
  <c r="BR212" i="2" s="1"/>
  <c r="BQ211" i="2"/>
  <c r="BR211" i="2" s="1"/>
  <c r="BP210" i="2"/>
  <c r="BQ210" i="2" s="1"/>
  <c r="BR210" i="2" s="1"/>
  <c r="BP209" i="2"/>
  <c r="BQ209" i="2" s="1"/>
  <c r="BR209" i="2" s="1"/>
  <c r="BP208" i="2"/>
  <c r="BQ208" i="2" s="1"/>
  <c r="BR208" i="2" s="1"/>
  <c r="BP207" i="2"/>
  <c r="BQ207" i="2" s="1"/>
  <c r="BR207" i="2" s="1"/>
  <c r="BP206" i="2"/>
  <c r="BQ206" i="2" s="1"/>
  <c r="BR206" i="2" s="1"/>
  <c r="BP205" i="2"/>
  <c r="BQ205" i="2" s="1"/>
  <c r="BR205" i="2" s="1"/>
  <c r="BP204" i="2"/>
  <c r="BQ204" i="2" s="1"/>
  <c r="BR204" i="2" s="1"/>
  <c r="BP203" i="2"/>
  <c r="BQ203" i="2" s="1"/>
  <c r="BR203" i="2" s="1"/>
  <c r="BP202" i="2"/>
  <c r="BQ202" i="2" s="1"/>
  <c r="BR202" i="2" s="1"/>
  <c r="BP201" i="2"/>
  <c r="BQ201" i="2" s="1"/>
  <c r="BR201" i="2" s="1"/>
  <c r="BP200" i="2"/>
  <c r="BQ200" i="2" s="1"/>
  <c r="BR200" i="2" s="1"/>
  <c r="BP199" i="2"/>
  <c r="BQ199" i="2" s="1"/>
  <c r="BR199" i="2" s="1"/>
  <c r="BP198" i="2"/>
  <c r="BQ198" i="2" s="1"/>
  <c r="BR198" i="2" s="1"/>
  <c r="BP197" i="2"/>
  <c r="BQ197" i="2" s="1"/>
  <c r="BR197" i="2" s="1"/>
  <c r="BP196" i="2"/>
  <c r="BQ196" i="2" s="1"/>
  <c r="BR196" i="2" s="1"/>
  <c r="BP195" i="2"/>
  <c r="BQ195" i="2" s="1"/>
  <c r="BR195" i="2" s="1"/>
  <c r="BP194" i="2"/>
  <c r="BQ194" i="2" s="1"/>
  <c r="BR194" i="2" s="1"/>
  <c r="BP193" i="2"/>
  <c r="BQ193" i="2" s="1"/>
  <c r="BR193" i="2" s="1"/>
  <c r="BP192" i="2"/>
  <c r="BQ192" i="2" s="1"/>
  <c r="BR192" i="2" s="1"/>
  <c r="BP191" i="2"/>
  <c r="BQ191" i="2" s="1"/>
  <c r="BR191" i="2" s="1"/>
  <c r="BP190" i="2"/>
  <c r="BQ190" i="2" s="1"/>
  <c r="BR190" i="2" s="1"/>
  <c r="BP189" i="2"/>
  <c r="BQ189" i="2" s="1"/>
  <c r="BR189" i="2" s="1"/>
  <c r="BP188" i="2"/>
  <c r="BQ188" i="2" s="1"/>
  <c r="BR188" i="2" s="1"/>
  <c r="BP187" i="2"/>
  <c r="BQ187" i="2" s="1"/>
  <c r="BR187" i="2" s="1"/>
  <c r="BP186" i="2"/>
  <c r="BQ186" i="2" s="1"/>
  <c r="BR186" i="2" s="1"/>
  <c r="BP185" i="2"/>
  <c r="BQ185" i="2" s="1"/>
  <c r="BR185" i="2" s="1"/>
  <c r="BP184" i="2"/>
  <c r="BQ184" i="2" s="1"/>
  <c r="BR184" i="2" s="1"/>
  <c r="BP183" i="2"/>
  <c r="BQ183" i="2" s="1"/>
  <c r="BR183" i="2" s="1"/>
  <c r="BP182" i="2"/>
  <c r="BQ182" i="2" s="1"/>
  <c r="BR182" i="2" s="1"/>
  <c r="BP181" i="2"/>
  <c r="BQ181" i="2" s="1"/>
  <c r="BR181" i="2" s="1"/>
  <c r="BP180" i="2"/>
  <c r="BQ180" i="2" s="1"/>
  <c r="BR180" i="2" s="1"/>
  <c r="BP179" i="2"/>
  <c r="BQ179" i="2" s="1"/>
  <c r="BR179" i="2" s="1"/>
  <c r="BP178" i="2"/>
  <c r="BQ178" i="2" s="1"/>
  <c r="BR178" i="2" s="1"/>
  <c r="BP177" i="2"/>
  <c r="BQ177" i="2" s="1"/>
  <c r="BR177" i="2" s="1"/>
  <c r="BP176" i="2"/>
  <c r="BQ176" i="2" s="1"/>
  <c r="BR176" i="2" s="1"/>
  <c r="BP175" i="2"/>
  <c r="BQ175" i="2" s="1"/>
  <c r="BR175" i="2" s="1"/>
  <c r="BP174" i="2"/>
  <c r="BQ174" i="2" s="1"/>
  <c r="BR174" i="2" s="1"/>
  <c r="BP173" i="2"/>
  <c r="BQ173" i="2" s="1"/>
  <c r="BR173" i="2" s="1"/>
  <c r="BP172" i="2"/>
  <c r="BQ172" i="2" s="1"/>
  <c r="BR172" i="2" s="1"/>
  <c r="BP171" i="2"/>
  <c r="BQ171" i="2" s="1"/>
  <c r="BR171" i="2" s="1"/>
  <c r="BP170" i="2"/>
  <c r="BQ170" i="2" s="1"/>
  <c r="BR170" i="2" s="1"/>
  <c r="BP169" i="2"/>
  <c r="BQ169" i="2" s="1"/>
  <c r="BR169" i="2" s="1"/>
  <c r="BP168" i="2"/>
  <c r="BQ168" i="2" s="1"/>
  <c r="BR168" i="2" s="1"/>
  <c r="BP167" i="2"/>
  <c r="BQ167" i="2" s="1"/>
  <c r="BR167" i="2" s="1"/>
  <c r="BP166" i="2"/>
  <c r="BQ166" i="2" s="1"/>
  <c r="BR166" i="2" s="1"/>
  <c r="BP165" i="2"/>
  <c r="BQ165" i="2" s="1"/>
  <c r="BR165" i="2" s="1"/>
  <c r="BP164" i="2"/>
  <c r="BQ164" i="2" s="1"/>
  <c r="BR164" i="2" s="1"/>
  <c r="BP163" i="2"/>
  <c r="BQ163" i="2" s="1"/>
  <c r="BR163" i="2" s="1"/>
  <c r="BP162" i="2"/>
  <c r="BQ162" i="2" s="1"/>
  <c r="BR162" i="2" s="1"/>
  <c r="BP161" i="2"/>
  <c r="BQ161" i="2" s="1"/>
  <c r="BR161" i="2" s="1"/>
  <c r="BP160" i="2"/>
  <c r="BQ160" i="2" s="1"/>
  <c r="BR160" i="2" s="1"/>
  <c r="BP159" i="2"/>
  <c r="BQ159" i="2" s="1"/>
  <c r="BR159" i="2" s="1"/>
  <c r="BP158" i="2"/>
  <c r="BQ158" i="2" s="1"/>
  <c r="BR158" i="2" s="1"/>
  <c r="BP157" i="2"/>
  <c r="BQ157" i="2" s="1"/>
  <c r="BR157" i="2" s="1"/>
  <c r="BP156" i="2"/>
  <c r="BQ156" i="2" s="1"/>
  <c r="BR156" i="2" s="1"/>
  <c r="BP155" i="2"/>
  <c r="BQ155" i="2" s="1"/>
  <c r="BR155" i="2" s="1"/>
  <c r="BP154" i="2"/>
  <c r="BQ154" i="2" s="1"/>
  <c r="BR154" i="2" s="1"/>
  <c r="BP153" i="2"/>
  <c r="BQ153" i="2" s="1"/>
  <c r="BR153" i="2" s="1"/>
  <c r="BP152" i="2"/>
  <c r="BQ152" i="2" s="1"/>
  <c r="BR152" i="2" s="1"/>
  <c r="BP151" i="2"/>
  <c r="BQ151" i="2" s="1"/>
  <c r="BR151" i="2" s="1"/>
  <c r="BP150" i="2"/>
  <c r="BQ150" i="2" s="1"/>
  <c r="BR150" i="2" s="1"/>
  <c r="BP149" i="2"/>
  <c r="BQ149" i="2" s="1"/>
  <c r="BR149" i="2" s="1"/>
  <c r="BP148" i="2"/>
  <c r="BQ148" i="2" s="1"/>
  <c r="BR148" i="2" s="1"/>
  <c r="BP147" i="2"/>
  <c r="BQ147" i="2" s="1"/>
  <c r="BR147" i="2" s="1"/>
  <c r="BP146" i="2"/>
  <c r="BQ146" i="2" s="1"/>
  <c r="BR146" i="2" s="1"/>
  <c r="BP145" i="2"/>
  <c r="BQ145" i="2" s="1"/>
  <c r="BR145" i="2" s="1"/>
  <c r="BP144" i="2"/>
  <c r="BQ144" i="2" s="1"/>
  <c r="BR144" i="2" s="1"/>
  <c r="BP143" i="2"/>
  <c r="BQ143" i="2" s="1"/>
  <c r="BR143" i="2" s="1"/>
  <c r="BP142" i="2"/>
  <c r="BQ142" i="2" s="1"/>
  <c r="BR142" i="2" s="1"/>
  <c r="BP141" i="2"/>
  <c r="BQ141" i="2" s="1"/>
  <c r="BR141" i="2" s="1"/>
  <c r="BP140" i="2"/>
  <c r="BQ140" i="2" s="1"/>
  <c r="BR140" i="2" s="1"/>
  <c r="BP139" i="2"/>
  <c r="BQ139" i="2" s="1"/>
  <c r="BR139" i="2" s="1"/>
  <c r="BP138" i="2"/>
  <c r="BQ138" i="2" s="1"/>
  <c r="BR138" i="2" s="1"/>
  <c r="BP137" i="2"/>
  <c r="BQ137" i="2" s="1"/>
  <c r="BR137" i="2" s="1"/>
  <c r="BQ136" i="2"/>
  <c r="BR136" i="2" s="1"/>
  <c r="BP135" i="2"/>
  <c r="BQ135" i="2" s="1"/>
  <c r="BR135" i="2" s="1"/>
  <c r="BP134" i="2"/>
  <c r="BQ134" i="2" s="1"/>
  <c r="BR134" i="2" s="1"/>
  <c r="BP133" i="2"/>
  <c r="BQ133" i="2" s="1"/>
  <c r="BR133" i="2" s="1"/>
  <c r="BP132" i="2"/>
  <c r="BQ132" i="2" s="1"/>
  <c r="BR132" i="2" s="1"/>
  <c r="BP131" i="2"/>
  <c r="BQ131" i="2" s="1"/>
  <c r="BR131" i="2" s="1"/>
  <c r="BP130" i="2"/>
  <c r="BQ130" i="2" s="1"/>
  <c r="BR130" i="2" s="1"/>
  <c r="BP129" i="2"/>
  <c r="BQ129" i="2" s="1"/>
  <c r="BR129" i="2" s="1"/>
  <c r="BP128" i="2"/>
  <c r="BQ128" i="2" s="1"/>
  <c r="BR128" i="2" s="1"/>
  <c r="BP127" i="2"/>
  <c r="BQ127" i="2" s="1"/>
  <c r="BR127" i="2" s="1"/>
  <c r="BP126" i="2"/>
  <c r="BQ126" i="2" s="1"/>
  <c r="BR126" i="2" s="1"/>
  <c r="BP125" i="2"/>
  <c r="BQ125" i="2" s="1"/>
  <c r="BR125" i="2" s="1"/>
  <c r="BP124" i="2"/>
  <c r="BQ124" i="2" s="1"/>
  <c r="BR124" i="2" s="1"/>
  <c r="BP123" i="2"/>
  <c r="BQ123" i="2" s="1"/>
  <c r="BR123" i="2" s="1"/>
  <c r="BP122" i="2"/>
  <c r="BQ122" i="2" s="1"/>
  <c r="BR122" i="2" s="1"/>
  <c r="BP121" i="2"/>
  <c r="BQ121" i="2" s="1"/>
  <c r="BR121" i="2" s="1"/>
  <c r="BP120" i="2"/>
  <c r="BQ120" i="2" s="1"/>
  <c r="BR120" i="2" s="1"/>
  <c r="BP119" i="2"/>
  <c r="BQ119" i="2" s="1"/>
  <c r="BR119" i="2" s="1"/>
  <c r="BP118" i="2"/>
  <c r="BQ118" i="2" s="1"/>
  <c r="BR118" i="2" s="1"/>
  <c r="BP117" i="2"/>
  <c r="BQ117" i="2" s="1"/>
  <c r="BR117" i="2" s="1"/>
  <c r="BP116" i="2"/>
  <c r="BQ116" i="2" s="1"/>
  <c r="BR116" i="2" s="1"/>
  <c r="BP115" i="2"/>
  <c r="BQ115" i="2" s="1"/>
  <c r="BR115" i="2" s="1"/>
  <c r="BP114" i="2"/>
  <c r="BQ114" i="2" s="1"/>
  <c r="BR114" i="2" s="1"/>
  <c r="BP113" i="2"/>
  <c r="BQ113" i="2" s="1"/>
  <c r="BR113" i="2" s="1"/>
  <c r="BP112" i="2"/>
  <c r="BQ112" i="2" s="1"/>
  <c r="BR112" i="2" s="1"/>
  <c r="BP111" i="2"/>
  <c r="BQ111" i="2" s="1"/>
  <c r="BR111" i="2" s="1"/>
  <c r="BP110" i="2"/>
  <c r="BQ110" i="2" s="1"/>
  <c r="BR110" i="2" s="1"/>
  <c r="BP109" i="2"/>
  <c r="BQ109" i="2" s="1"/>
  <c r="BR109" i="2" s="1"/>
  <c r="BP108" i="2"/>
  <c r="BQ108" i="2" s="1"/>
  <c r="BR108" i="2" s="1"/>
  <c r="BP107" i="2"/>
  <c r="BQ107" i="2" s="1"/>
  <c r="BR107" i="2" s="1"/>
  <c r="BP106" i="2"/>
  <c r="BQ106" i="2" s="1"/>
  <c r="BR106" i="2" s="1"/>
  <c r="BP105" i="2"/>
  <c r="BQ105" i="2" s="1"/>
  <c r="BR105" i="2" s="1"/>
  <c r="BP104" i="2"/>
  <c r="BQ104" i="2" s="1"/>
  <c r="BR104" i="2" s="1"/>
  <c r="BP103" i="2"/>
  <c r="BQ103" i="2" s="1"/>
  <c r="BR103" i="2" s="1"/>
  <c r="BP102" i="2"/>
  <c r="BQ102" i="2" s="1"/>
  <c r="BR102" i="2" s="1"/>
  <c r="BP101" i="2"/>
  <c r="BQ101" i="2" s="1"/>
  <c r="BR101" i="2" s="1"/>
  <c r="BP100" i="2"/>
  <c r="BQ100" i="2" s="1"/>
  <c r="BR100" i="2" s="1"/>
  <c r="BP99" i="2"/>
  <c r="BQ99" i="2" s="1"/>
  <c r="BR99" i="2" s="1"/>
  <c r="BP98" i="2"/>
  <c r="BQ98" i="2" s="1"/>
  <c r="BR98" i="2" s="1"/>
  <c r="BP97" i="2"/>
  <c r="BQ97" i="2" s="1"/>
  <c r="BR97" i="2" s="1"/>
  <c r="BP96" i="2"/>
  <c r="BQ96" i="2" s="1"/>
  <c r="BR96" i="2" s="1"/>
  <c r="BP95" i="2"/>
  <c r="BQ95" i="2" s="1"/>
  <c r="BR95" i="2" s="1"/>
  <c r="BP94" i="2"/>
  <c r="BQ94" i="2" s="1"/>
  <c r="BR94" i="2" s="1"/>
  <c r="BP93" i="2"/>
  <c r="BQ93" i="2" s="1"/>
  <c r="BR93" i="2" s="1"/>
  <c r="BP92" i="2"/>
  <c r="BQ92" i="2" s="1"/>
  <c r="BR92" i="2" s="1"/>
  <c r="BP91" i="2"/>
  <c r="BQ91" i="2" s="1"/>
  <c r="BR91" i="2" s="1"/>
  <c r="BP90" i="2"/>
  <c r="BQ90" i="2" s="1"/>
  <c r="BR90" i="2" s="1"/>
  <c r="BP89" i="2"/>
  <c r="BQ89" i="2" s="1"/>
  <c r="BR89" i="2" s="1"/>
  <c r="BP88" i="2"/>
  <c r="BQ88" i="2" s="1"/>
  <c r="BR88" i="2" s="1"/>
  <c r="BP87" i="2"/>
  <c r="BQ87" i="2" s="1"/>
  <c r="BR87" i="2" s="1"/>
  <c r="BP86" i="2"/>
  <c r="BQ86" i="2" s="1"/>
  <c r="BR86" i="2" s="1"/>
  <c r="BP85" i="2"/>
  <c r="BQ85" i="2" s="1"/>
  <c r="BR85" i="2" s="1"/>
  <c r="BP84" i="2"/>
  <c r="BQ84" i="2" s="1"/>
  <c r="BR84" i="2" s="1"/>
  <c r="BP83" i="2"/>
  <c r="BQ83" i="2" s="1"/>
  <c r="BR83" i="2" s="1"/>
  <c r="BP82" i="2"/>
  <c r="BQ82" i="2" s="1"/>
  <c r="BR82" i="2" s="1"/>
  <c r="BP81" i="2"/>
  <c r="BQ81" i="2" s="1"/>
  <c r="BR81" i="2" s="1"/>
  <c r="BP80" i="2"/>
  <c r="BQ80" i="2" s="1"/>
  <c r="BR80" i="2" s="1"/>
  <c r="BP79" i="2"/>
  <c r="BQ79" i="2" s="1"/>
  <c r="BR79" i="2" s="1"/>
  <c r="BP78" i="2"/>
  <c r="BQ78" i="2" s="1"/>
  <c r="BR78" i="2" s="1"/>
  <c r="BP77" i="2"/>
  <c r="BQ77" i="2" s="1"/>
  <c r="BR77" i="2" s="1"/>
  <c r="BP76" i="2"/>
  <c r="BQ76" i="2" s="1"/>
  <c r="BR76" i="2" s="1"/>
  <c r="BP75" i="2"/>
  <c r="BQ75" i="2" s="1"/>
  <c r="BR75" i="2" s="1"/>
  <c r="BP74" i="2"/>
  <c r="BQ74" i="2" s="1"/>
  <c r="BR74" i="2" s="1"/>
  <c r="BP73" i="2"/>
  <c r="BQ73" i="2" s="1"/>
  <c r="BR73" i="2" s="1"/>
  <c r="BP72" i="2"/>
  <c r="BQ72" i="2" s="1"/>
  <c r="BR72" i="2" s="1"/>
  <c r="BP71" i="2"/>
  <c r="BQ71" i="2" s="1"/>
  <c r="BR71" i="2" s="1"/>
  <c r="BP70" i="2"/>
  <c r="BQ70" i="2" s="1"/>
  <c r="BR70" i="2" s="1"/>
  <c r="BP69" i="2"/>
  <c r="BQ69" i="2" s="1"/>
  <c r="BR69" i="2" s="1"/>
  <c r="BP68" i="2"/>
  <c r="BQ68" i="2" s="1"/>
  <c r="BR68" i="2" s="1"/>
  <c r="BP67" i="2"/>
  <c r="BQ67" i="2" s="1"/>
  <c r="BR67" i="2" s="1"/>
  <c r="BP66" i="2"/>
  <c r="BQ66" i="2" s="1"/>
  <c r="BR66" i="2" s="1"/>
  <c r="BP65" i="2"/>
  <c r="BQ65" i="2" s="1"/>
  <c r="BR65" i="2" s="1"/>
  <c r="BP64" i="2"/>
  <c r="BQ64" i="2" s="1"/>
  <c r="BR64" i="2" s="1"/>
  <c r="BP63" i="2"/>
  <c r="BQ63" i="2" s="1"/>
  <c r="BR63" i="2" s="1"/>
  <c r="BP62" i="2"/>
  <c r="BQ62" i="2" s="1"/>
  <c r="BR62" i="2" s="1"/>
  <c r="BP61" i="2"/>
  <c r="BQ61" i="2" s="1"/>
  <c r="BR61" i="2" s="1"/>
  <c r="BP60" i="2"/>
  <c r="BQ60" i="2" s="1"/>
  <c r="BR60" i="2" s="1"/>
  <c r="BP59" i="2"/>
  <c r="BQ59" i="2" s="1"/>
  <c r="BR59" i="2" s="1"/>
  <c r="BP58" i="2"/>
  <c r="BQ58" i="2" s="1"/>
  <c r="BR58" i="2" s="1"/>
  <c r="BP57" i="2"/>
  <c r="BQ57" i="2" s="1"/>
  <c r="BR57" i="2" s="1"/>
  <c r="BP56" i="2"/>
  <c r="BQ56" i="2" s="1"/>
  <c r="BR56" i="2" s="1"/>
  <c r="BP55" i="2"/>
  <c r="BQ55" i="2" s="1"/>
  <c r="BR55" i="2" s="1"/>
  <c r="BP54" i="2"/>
  <c r="BQ54" i="2" s="1"/>
  <c r="BR54" i="2" s="1"/>
  <c r="BP53" i="2"/>
  <c r="BQ53" i="2" s="1"/>
  <c r="BR53" i="2" s="1"/>
  <c r="BP52" i="2"/>
  <c r="BQ52" i="2" s="1"/>
  <c r="BR52" i="2" s="1"/>
  <c r="BP51" i="2"/>
  <c r="BQ51" i="2" s="1"/>
  <c r="BR51" i="2" s="1"/>
  <c r="BP50" i="2"/>
  <c r="BQ50" i="2" s="1"/>
  <c r="BR50" i="2" s="1"/>
  <c r="BP49" i="2"/>
  <c r="BQ49" i="2" s="1"/>
  <c r="BR49" i="2" s="1"/>
  <c r="BP48" i="2"/>
  <c r="BQ48" i="2" s="1"/>
  <c r="BR48" i="2" s="1"/>
  <c r="BP47" i="2"/>
  <c r="BQ47" i="2" s="1"/>
  <c r="BR47" i="2" s="1"/>
  <c r="BP46" i="2"/>
  <c r="BQ46" i="2" s="1"/>
  <c r="BR46" i="2" s="1"/>
  <c r="BP45" i="2"/>
  <c r="BQ45" i="2" s="1"/>
  <c r="BR45" i="2" s="1"/>
  <c r="BP44" i="2"/>
  <c r="BQ44" i="2" s="1"/>
  <c r="BR44" i="2" s="1"/>
  <c r="BP43" i="2"/>
  <c r="BQ43" i="2" s="1"/>
  <c r="BR43" i="2" s="1"/>
  <c r="BP42" i="2"/>
  <c r="BQ42" i="2" s="1"/>
  <c r="BR42" i="2" s="1"/>
  <c r="BP41" i="2"/>
  <c r="BQ41" i="2" s="1"/>
  <c r="BR41" i="2" s="1"/>
  <c r="BP40" i="2"/>
  <c r="BQ40" i="2" s="1"/>
  <c r="BR40" i="2" s="1"/>
  <c r="BP39" i="2"/>
  <c r="BQ39" i="2" s="1"/>
  <c r="BR39" i="2" s="1"/>
  <c r="BP38" i="2"/>
  <c r="BQ38" i="2" s="1"/>
  <c r="BR38" i="2" s="1"/>
  <c r="BP37" i="2"/>
  <c r="BQ37" i="2" s="1"/>
  <c r="BR37" i="2" s="1"/>
  <c r="BP36" i="2"/>
  <c r="BQ36" i="2" s="1"/>
  <c r="BR36" i="2" s="1"/>
  <c r="BP35" i="2"/>
  <c r="BQ35" i="2" s="1"/>
  <c r="BR35" i="2" s="1"/>
  <c r="BP34" i="2"/>
  <c r="BQ34" i="2" s="1"/>
  <c r="BR34" i="2" s="1"/>
  <c r="BP33" i="2"/>
  <c r="BQ33" i="2" s="1"/>
  <c r="BR33" i="2" s="1"/>
  <c r="BP32" i="2"/>
  <c r="BQ32" i="2" s="1"/>
  <c r="BR32" i="2" s="1"/>
  <c r="BP31" i="2"/>
  <c r="BQ31" i="2" s="1"/>
  <c r="BR31" i="2" s="1"/>
  <c r="BP30" i="2"/>
  <c r="BQ30" i="2" s="1"/>
  <c r="BR30" i="2" s="1"/>
  <c r="BP29" i="2"/>
  <c r="BQ29" i="2" s="1"/>
  <c r="BR29" i="2" s="1"/>
  <c r="BP28" i="2"/>
  <c r="BQ28" i="2" s="1"/>
  <c r="BR28" i="2" s="1"/>
  <c r="BP27" i="2"/>
  <c r="BQ27" i="2" s="1"/>
  <c r="BR27" i="2" s="1"/>
  <c r="BP26" i="2"/>
  <c r="BQ26" i="2" s="1"/>
  <c r="BR26" i="2" s="1"/>
  <c r="BP25" i="2"/>
  <c r="BQ25" i="2" s="1"/>
  <c r="BR25" i="2" s="1"/>
  <c r="BP24" i="2"/>
  <c r="BQ24" i="2" s="1"/>
  <c r="BR24" i="2" s="1"/>
  <c r="BP23" i="2"/>
  <c r="BQ23" i="2" s="1"/>
  <c r="BR23" i="2" s="1"/>
  <c r="BP22" i="2"/>
  <c r="BQ22" i="2" s="1"/>
  <c r="BR22" i="2" s="1"/>
  <c r="BP21" i="2"/>
  <c r="BQ21" i="2" s="1"/>
  <c r="BR21" i="2" s="1"/>
  <c r="BP20" i="2"/>
  <c r="BQ20" i="2" s="1"/>
  <c r="BR20" i="2" s="1"/>
  <c r="BP19" i="2"/>
  <c r="BQ19" i="2" s="1"/>
  <c r="BR19" i="2" s="1"/>
  <c r="BP18" i="2"/>
  <c r="BQ18" i="2" s="1"/>
  <c r="BR18" i="2" s="1"/>
  <c r="BP17" i="2"/>
  <c r="BQ17" i="2" s="1"/>
  <c r="BR17" i="2" s="1"/>
  <c r="BP16" i="2"/>
  <c r="BQ16" i="2" s="1"/>
  <c r="BR16" i="2" s="1"/>
  <c r="BP15" i="2"/>
  <c r="BQ15" i="2" s="1"/>
  <c r="BR15" i="2" s="1"/>
  <c r="BQ14" i="2"/>
  <c r="BR14" i="2" s="1"/>
  <c r="BP13" i="2"/>
  <c r="BQ13" i="2" s="1"/>
  <c r="BR13" i="2" s="1"/>
  <c r="BP12" i="2"/>
  <c r="BQ12" i="2" s="1"/>
  <c r="BR12" i="2" s="1"/>
  <c r="BP11" i="2"/>
  <c r="BQ11" i="2" s="1"/>
  <c r="BR11" i="2" s="1"/>
  <c r="BP10" i="2"/>
  <c r="BQ10" i="2" s="1"/>
  <c r="BR10" i="2" s="1"/>
  <c r="BP9" i="2"/>
  <c r="BQ9" i="2" s="1"/>
  <c r="BR9" i="2" s="1"/>
  <c r="BP8" i="2"/>
  <c r="BQ8" i="2" s="1"/>
  <c r="BR8" i="2" s="1"/>
  <c r="BP7" i="2"/>
  <c r="BQ7" i="2" s="1"/>
  <c r="BR7" i="2" s="1"/>
  <c r="BP6" i="2"/>
  <c r="BQ6" i="2" s="1"/>
  <c r="BR6" i="2" s="1"/>
  <c r="BP5" i="2"/>
  <c r="BQ5" i="2" s="1"/>
  <c r="BR5" i="2" s="1"/>
  <c r="BP4" i="2"/>
  <c r="BQ4" i="2" s="1"/>
  <c r="BR4" i="2" s="1"/>
  <c r="BP3" i="2"/>
  <c r="BQ3" i="2" s="1"/>
  <c r="BR3" i="2" s="1"/>
  <c r="BP2" i="2"/>
  <c r="BQ2" i="2" s="1"/>
  <c r="BR2" i="2" s="1"/>
  <c r="BK323" i="2"/>
  <c r="BL323" i="2" s="1"/>
  <c r="BK322" i="2"/>
  <c r="BL322" i="2" s="1"/>
  <c r="BK321" i="2"/>
  <c r="BL321" i="2" s="1"/>
  <c r="BK320" i="2"/>
  <c r="BL320" i="2" s="1"/>
  <c r="BK319" i="2"/>
  <c r="BL319" i="2" s="1"/>
  <c r="BK318" i="2"/>
  <c r="BL318" i="2" s="1"/>
  <c r="BK317" i="2"/>
  <c r="BL317" i="2" s="1"/>
  <c r="BK316" i="2"/>
  <c r="BL316" i="2" s="1"/>
  <c r="BK315" i="2"/>
  <c r="BL315" i="2" s="1"/>
  <c r="BK314" i="2"/>
  <c r="BL314" i="2" s="1"/>
  <c r="BK313" i="2"/>
  <c r="BL313" i="2" s="1"/>
  <c r="BK312" i="2"/>
  <c r="BL312" i="2" s="1"/>
  <c r="BK311" i="2"/>
  <c r="BL311" i="2" s="1"/>
  <c r="BK310" i="2"/>
  <c r="BL310" i="2" s="1"/>
  <c r="BK309" i="2"/>
  <c r="BL309" i="2" s="1"/>
  <c r="BK308" i="2"/>
  <c r="BL308" i="2" s="1"/>
  <c r="BK307" i="2"/>
  <c r="BL307" i="2" s="1"/>
  <c r="BK306" i="2"/>
  <c r="BL306" i="2" s="1"/>
  <c r="BK305" i="2"/>
  <c r="BL305" i="2" s="1"/>
  <c r="BK304" i="2"/>
  <c r="BL304" i="2" s="1"/>
  <c r="BK303" i="2"/>
  <c r="BL303" i="2" s="1"/>
  <c r="BK302" i="2"/>
  <c r="BL302" i="2" s="1"/>
  <c r="BK301" i="2"/>
  <c r="BL301" i="2" s="1"/>
  <c r="BK300" i="2"/>
  <c r="BL300" i="2" s="1"/>
  <c r="BK299" i="2"/>
  <c r="BL299" i="2" s="1"/>
  <c r="BK298" i="2"/>
  <c r="BL298" i="2" s="1"/>
  <c r="BK297" i="2"/>
  <c r="BL297" i="2" s="1"/>
  <c r="BK296" i="2"/>
  <c r="BL296" i="2" s="1"/>
  <c r="BK295" i="2"/>
  <c r="BL295" i="2" s="1"/>
  <c r="BK294" i="2"/>
  <c r="BL294" i="2" s="1"/>
  <c r="BK293" i="2"/>
  <c r="BL293" i="2" s="1"/>
  <c r="BK292" i="2"/>
  <c r="BL292" i="2" s="1"/>
  <c r="BK291" i="2"/>
  <c r="BL291" i="2" s="1"/>
  <c r="BK290" i="2"/>
  <c r="BL290" i="2" s="1"/>
  <c r="BK289" i="2"/>
  <c r="BL289" i="2" s="1"/>
  <c r="BK288" i="2"/>
  <c r="BL288" i="2" s="1"/>
  <c r="BK287" i="2"/>
  <c r="BL287" i="2" s="1"/>
  <c r="BK286" i="2"/>
  <c r="BL286" i="2" s="1"/>
  <c r="BK285" i="2"/>
  <c r="BL285" i="2" s="1"/>
  <c r="BK284" i="2"/>
  <c r="BL284" i="2" s="1"/>
  <c r="BK283" i="2"/>
  <c r="BL283" i="2" s="1"/>
  <c r="BK282" i="2"/>
  <c r="BL282" i="2" s="1"/>
  <c r="BK281" i="2"/>
  <c r="BL281" i="2" s="1"/>
  <c r="BK280" i="2"/>
  <c r="BL280" i="2" s="1"/>
  <c r="BK279" i="2"/>
  <c r="BL279" i="2" s="1"/>
  <c r="BK278" i="2"/>
  <c r="BL278" i="2" s="1"/>
  <c r="BK277" i="2"/>
  <c r="BL277" i="2" s="1"/>
  <c r="BK276" i="2"/>
  <c r="BL276" i="2" s="1"/>
  <c r="BK275" i="2"/>
  <c r="BL275" i="2" s="1"/>
  <c r="BK274" i="2"/>
  <c r="BL274" i="2" s="1"/>
  <c r="BK273" i="2"/>
  <c r="BL273" i="2" s="1"/>
  <c r="BK272" i="2"/>
  <c r="BL272" i="2" s="1"/>
  <c r="BK271" i="2"/>
  <c r="BL271" i="2" s="1"/>
  <c r="BK270" i="2"/>
  <c r="BL270" i="2" s="1"/>
  <c r="BK269" i="2"/>
  <c r="BL269" i="2" s="1"/>
  <c r="BK268" i="2"/>
  <c r="BL268" i="2" s="1"/>
  <c r="BK267" i="2"/>
  <c r="BL267" i="2" s="1"/>
  <c r="BK266" i="2"/>
  <c r="BL266" i="2" s="1"/>
  <c r="BK265" i="2"/>
  <c r="BL265" i="2" s="1"/>
  <c r="BK264" i="2"/>
  <c r="BL264" i="2" s="1"/>
  <c r="BK263" i="2"/>
  <c r="BL263" i="2" s="1"/>
  <c r="BK262" i="2"/>
  <c r="BL262" i="2" s="1"/>
  <c r="BK261" i="2"/>
  <c r="BL261" i="2" s="1"/>
  <c r="BK260" i="2"/>
  <c r="BL260" i="2" s="1"/>
  <c r="BK259" i="2"/>
  <c r="BL259" i="2" s="1"/>
  <c r="BK258" i="2"/>
  <c r="BL258" i="2" s="1"/>
  <c r="BK257" i="2"/>
  <c r="BL257" i="2" s="1"/>
  <c r="BK256" i="2"/>
  <c r="BL256" i="2" s="1"/>
  <c r="BK255" i="2"/>
  <c r="BL255" i="2" s="1"/>
  <c r="BK254" i="2"/>
  <c r="BL254" i="2" s="1"/>
  <c r="BK253" i="2"/>
  <c r="BL253" i="2" s="1"/>
  <c r="BK252" i="2"/>
  <c r="BL252" i="2" s="1"/>
  <c r="BK251" i="2"/>
  <c r="BL251" i="2" s="1"/>
  <c r="BK250" i="2"/>
  <c r="BL250" i="2" s="1"/>
  <c r="BK249" i="2"/>
  <c r="BL249" i="2" s="1"/>
  <c r="BK248" i="2"/>
  <c r="BL248" i="2" s="1"/>
  <c r="BK247" i="2"/>
  <c r="BL247" i="2" s="1"/>
  <c r="BK246" i="2"/>
  <c r="BL246" i="2" s="1"/>
  <c r="BK245" i="2"/>
  <c r="BL245" i="2" s="1"/>
  <c r="BK244" i="2"/>
  <c r="BL244" i="2" s="1"/>
  <c r="BK243" i="2"/>
  <c r="BL243" i="2" s="1"/>
  <c r="BK242" i="2"/>
  <c r="BL242" i="2" s="1"/>
  <c r="BK241" i="2"/>
  <c r="BL241" i="2" s="1"/>
  <c r="BK240" i="2"/>
  <c r="BL240" i="2" s="1"/>
  <c r="BK239" i="2"/>
  <c r="BL239" i="2" s="1"/>
  <c r="BK238" i="2"/>
  <c r="BL238" i="2" s="1"/>
  <c r="BK237" i="2"/>
  <c r="BL237" i="2" s="1"/>
  <c r="BK236" i="2"/>
  <c r="BL236" i="2" s="1"/>
  <c r="BK235" i="2"/>
  <c r="BL235" i="2" s="1"/>
  <c r="BK234" i="2"/>
  <c r="BL234" i="2" s="1"/>
  <c r="BK233" i="2"/>
  <c r="BL233" i="2" s="1"/>
  <c r="BK232" i="2"/>
  <c r="BL232" i="2" s="1"/>
  <c r="BK231" i="2"/>
  <c r="BL231" i="2" s="1"/>
  <c r="BK230" i="2"/>
  <c r="BL230" i="2" s="1"/>
  <c r="BK229" i="2"/>
  <c r="BL229" i="2" s="1"/>
  <c r="BK228" i="2"/>
  <c r="BL228" i="2" s="1"/>
  <c r="BK227" i="2"/>
  <c r="BL227" i="2" s="1"/>
  <c r="BK226" i="2"/>
  <c r="BL226" i="2" s="1"/>
  <c r="BK225" i="2"/>
  <c r="BL225" i="2" s="1"/>
  <c r="BK224" i="2"/>
  <c r="BL224" i="2" s="1"/>
  <c r="BK223" i="2"/>
  <c r="BL223" i="2" s="1"/>
  <c r="BK222" i="2"/>
  <c r="BL222" i="2" s="1"/>
  <c r="BK221" i="2"/>
  <c r="BL221" i="2" s="1"/>
  <c r="BK220" i="2"/>
  <c r="BL220" i="2" s="1"/>
  <c r="BK219" i="2"/>
  <c r="BL219" i="2" s="1"/>
  <c r="BK218" i="2"/>
  <c r="BL218" i="2" s="1"/>
  <c r="BK217" i="2"/>
  <c r="BL217" i="2" s="1"/>
  <c r="BK216" i="2"/>
  <c r="BL216" i="2" s="1"/>
  <c r="BK215" i="2"/>
  <c r="BL215" i="2" s="1"/>
  <c r="BK214" i="2"/>
  <c r="BL214" i="2" s="1"/>
  <c r="BK213" i="2"/>
  <c r="BL213" i="2" s="1"/>
  <c r="BK212" i="2"/>
  <c r="BL212" i="2" s="1"/>
  <c r="BK211" i="2"/>
  <c r="BL211" i="2" s="1"/>
  <c r="BK210" i="2"/>
  <c r="BL210" i="2" s="1"/>
  <c r="BK209" i="2"/>
  <c r="BL209" i="2" s="1"/>
  <c r="BK208" i="2"/>
  <c r="BL208" i="2" s="1"/>
  <c r="BK207" i="2"/>
  <c r="BL207" i="2" s="1"/>
  <c r="BK206" i="2"/>
  <c r="BL206" i="2" s="1"/>
  <c r="BK205" i="2"/>
  <c r="BL205" i="2" s="1"/>
  <c r="BK204" i="2"/>
  <c r="BL204" i="2" s="1"/>
  <c r="BK203" i="2"/>
  <c r="BL203" i="2" s="1"/>
  <c r="BK202" i="2"/>
  <c r="BL202" i="2" s="1"/>
  <c r="BK201" i="2"/>
  <c r="BL201" i="2" s="1"/>
  <c r="BK200" i="2"/>
  <c r="BL200" i="2" s="1"/>
  <c r="BK199" i="2"/>
  <c r="BL199" i="2" s="1"/>
  <c r="BK198" i="2"/>
  <c r="BL198" i="2" s="1"/>
  <c r="BK197" i="2"/>
  <c r="BL197" i="2" s="1"/>
  <c r="BK196" i="2"/>
  <c r="BL196" i="2" s="1"/>
  <c r="BK195" i="2"/>
  <c r="BL195" i="2" s="1"/>
  <c r="BK194" i="2"/>
  <c r="BL194" i="2" s="1"/>
  <c r="BK193" i="2"/>
  <c r="BL193" i="2" s="1"/>
  <c r="BK192" i="2"/>
  <c r="BL192" i="2" s="1"/>
  <c r="BK191" i="2"/>
  <c r="BL191" i="2" s="1"/>
  <c r="BK190" i="2"/>
  <c r="BL190" i="2" s="1"/>
  <c r="BK189" i="2"/>
  <c r="BL189" i="2" s="1"/>
  <c r="BK188" i="2"/>
  <c r="BL188" i="2" s="1"/>
  <c r="BK187" i="2"/>
  <c r="BL187" i="2" s="1"/>
  <c r="BK186" i="2"/>
  <c r="BL186" i="2" s="1"/>
  <c r="BK185" i="2"/>
  <c r="BL185" i="2" s="1"/>
  <c r="BK184" i="2"/>
  <c r="BL184" i="2" s="1"/>
  <c r="BK183" i="2"/>
  <c r="BL183" i="2" s="1"/>
  <c r="BK182" i="2"/>
  <c r="BL182" i="2" s="1"/>
  <c r="BK181" i="2"/>
  <c r="BL181" i="2" s="1"/>
  <c r="BK180" i="2"/>
  <c r="BL180" i="2" s="1"/>
  <c r="BK179" i="2"/>
  <c r="BL179" i="2" s="1"/>
  <c r="BK178" i="2"/>
  <c r="BL178" i="2" s="1"/>
  <c r="BK177" i="2"/>
  <c r="BL177" i="2" s="1"/>
  <c r="BK176" i="2"/>
  <c r="BL176" i="2" s="1"/>
  <c r="BK175" i="2"/>
  <c r="BL175" i="2" s="1"/>
  <c r="BK174" i="2"/>
  <c r="BL174" i="2" s="1"/>
  <c r="BK173" i="2"/>
  <c r="BL173" i="2" s="1"/>
  <c r="BK172" i="2"/>
  <c r="BL172" i="2" s="1"/>
  <c r="BK171" i="2"/>
  <c r="BL171" i="2" s="1"/>
  <c r="BK170" i="2"/>
  <c r="BL170" i="2" s="1"/>
  <c r="BK169" i="2"/>
  <c r="BL169" i="2" s="1"/>
  <c r="BK168" i="2"/>
  <c r="BL168" i="2" s="1"/>
  <c r="BK167" i="2"/>
  <c r="BL167" i="2" s="1"/>
  <c r="BK166" i="2"/>
  <c r="BL166" i="2" s="1"/>
  <c r="BK165" i="2"/>
  <c r="BL165" i="2" s="1"/>
  <c r="BK164" i="2"/>
  <c r="BL164" i="2" s="1"/>
  <c r="BK163" i="2"/>
  <c r="BL163" i="2" s="1"/>
  <c r="BK162" i="2"/>
  <c r="BL162" i="2" s="1"/>
  <c r="BK161" i="2"/>
  <c r="BL161" i="2" s="1"/>
  <c r="BK160" i="2"/>
  <c r="BL160" i="2" s="1"/>
  <c r="BK159" i="2"/>
  <c r="BL159" i="2" s="1"/>
  <c r="BK158" i="2"/>
  <c r="BL158" i="2" s="1"/>
  <c r="BK157" i="2"/>
  <c r="BL157" i="2" s="1"/>
  <c r="BK156" i="2"/>
  <c r="BL156" i="2" s="1"/>
  <c r="BK155" i="2"/>
  <c r="BL155" i="2" s="1"/>
  <c r="BK154" i="2"/>
  <c r="BL154" i="2" s="1"/>
  <c r="BK153" i="2"/>
  <c r="BL153" i="2" s="1"/>
  <c r="BK152" i="2"/>
  <c r="BL152" i="2" s="1"/>
  <c r="BK151" i="2"/>
  <c r="BL151" i="2" s="1"/>
  <c r="BK150" i="2"/>
  <c r="BL150" i="2" s="1"/>
  <c r="BK149" i="2"/>
  <c r="BL149" i="2" s="1"/>
  <c r="BK148" i="2"/>
  <c r="BL148" i="2" s="1"/>
  <c r="BK147" i="2"/>
  <c r="BL147" i="2" s="1"/>
  <c r="BK146" i="2"/>
  <c r="BL146" i="2" s="1"/>
  <c r="BK145" i="2"/>
  <c r="BL145" i="2" s="1"/>
  <c r="BK144" i="2"/>
  <c r="BL144" i="2" s="1"/>
  <c r="BK143" i="2"/>
  <c r="BL143" i="2" s="1"/>
  <c r="BK142" i="2"/>
  <c r="BL142" i="2" s="1"/>
  <c r="BK141" i="2"/>
  <c r="BL141" i="2" s="1"/>
  <c r="BK140" i="2"/>
  <c r="BL140" i="2" s="1"/>
  <c r="BK139" i="2"/>
  <c r="BL139" i="2" s="1"/>
  <c r="BK138" i="2"/>
  <c r="BL138" i="2" s="1"/>
  <c r="BK137" i="2"/>
  <c r="BL137" i="2" s="1"/>
  <c r="BK136" i="2"/>
  <c r="BL136" i="2" s="1"/>
  <c r="BK135" i="2"/>
  <c r="BL135" i="2" s="1"/>
  <c r="BK134" i="2"/>
  <c r="BL134" i="2" s="1"/>
  <c r="BK133" i="2"/>
  <c r="BL133" i="2" s="1"/>
  <c r="BK132" i="2"/>
  <c r="BL132" i="2" s="1"/>
  <c r="BK131" i="2"/>
  <c r="BL131" i="2" s="1"/>
  <c r="BK130" i="2"/>
  <c r="BL130" i="2" s="1"/>
  <c r="BK129" i="2"/>
  <c r="BL129" i="2" s="1"/>
  <c r="BK128" i="2"/>
  <c r="BL128" i="2" s="1"/>
  <c r="BK127" i="2"/>
  <c r="BL127" i="2" s="1"/>
  <c r="BK126" i="2"/>
  <c r="BL126" i="2" s="1"/>
  <c r="BK125" i="2"/>
  <c r="BL125" i="2" s="1"/>
  <c r="BK124" i="2"/>
  <c r="BL124" i="2" s="1"/>
  <c r="BK123" i="2"/>
  <c r="BL123" i="2" s="1"/>
  <c r="BK122" i="2"/>
  <c r="BL122" i="2" s="1"/>
  <c r="BK121" i="2"/>
  <c r="BL121" i="2" s="1"/>
  <c r="BK120" i="2"/>
  <c r="BL120" i="2" s="1"/>
  <c r="BK119" i="2"/>
  <c r="BL119" i="2" s="1"/>
  <c r="BK118" i="2"/>
  <c r="BL118" i="2" s="1"/>
  <c r="BK117" i="2"/>
  <c r="BL117" i="2" s="1"/>
  <c r="BK116" i="2"/>
  <c r="BL116" i="2" s="1"/>
  <c r="BK115" i="2"/>
  <c r="BL115" i="2" s="1"/>
  <c r="BK114" i="2"/>
  <c r="BL114" i="2" s="1"/>
  <c r="BK113" i="2"/>
  <c r="BL113" i="2" s="1"/>
  <c r="BK112" i="2"/>
  <c r="BL112" i="2" s="1"/>
  <c r="BK111" i="2"/>
  <c r="BL111" i="2" s="1"/>
  <c r="BK110" i="2"/>
  <c r="BL110" i="2" s="1"/>
  <c r="BK109" i="2"/>
  <c r="BL109" i="2" s="1"/>
  <c r="BK108" i="2"/>
  <c r="BL108" i="2" s="1"/>
  <c r="BK107" i="2"/>
  <c r="BL107" i="2" s="1"/>
  <c r="BK106" i="2"/>
  <c r="BL106" i="2" s="1"/>
  <c r="BK105" i="2"/>
  <c r="BL105" i="2" s="1"/>
  <c r="BK104" i="2"/>
  <c r="BL104" i="2" s="1"/>
  <c r="BK103" i="2"/>
  <c r="BL103" i="2" s="1"/>
  <c r="BK102" i="2"/>
  <c r="BL102" i="2" s="1"/>
  <c r="BK101" i="2"/>
  <c r="BL101" i="2" s="1"/>
  <c r="BK100" i="2"/>
  <c r="BL100" i="2" s="1"/>
  <c r="BK99" i="2"/>
  <c r="BL99" i="2" s="1"/>
  <c r="BK98" i="2"/>
  <c r="BL98" i="2" s="1"/>
  <c r="BK97" i="2"/>
  <c r="BL97" i="2" s="1"/>
  <c r="BK96" i="2"/>
  <c r="BL96" i="2" s="1"/>
  <c r="BK95" i="2"/>
  <c r="BL95" i="2" s="1"/>
  <c r="BK94" i="2"/>
  <c r="BL94" i="2" s="1"/>
  <c r="BK93" i="2"/>
  <c r="BL93" i="2" s="1"/>
  <c r="BK92" i="2"/>
  <c r="BL92" i="2" s="1"/>
  <c r="BK91" i="2"/>
  <c r="BL91" i="2" s="1"/>
  <c r="BK90" i="2"/>
  <c r="BL90" i="2" s="1"/>
  <c r="BK89" i="2"/>
  <c r="BL89" i="2" s="1"/>
  <c r="BK88" i="2"/>
  <c r="BL88" i="2" s="1"/>
  <c r="BK87" i="2"/>
  <c r="BL87" i="2" s="1"/>
  <c r="BK86" i="2"/>
  <c r="BL86" i="2" s="1"/>
  <c r="BK85" i="2"/>
  <c r="BL85" i="2" s="1"/>
  <c r="BK84" i="2"/>
  <c r="BL84" i="2" s="1"/>
  <c r="BK83" i="2"/>
  <c r="BL83" i="2" s="1"/>
  <c r="BK82" i="2"/>
  <c r="BL82" i="2" s="1"/>
  <c r="BK81" i="2"/>
  <c r="BL81" i="2" s="1"/>
  <c r="BK80" i="2"/>
  <c r="BL80" i="2" s="1"/>
  <c r="BK79" i="2"/>
  <c r="BL79" i="2" s="1"/>
  <c r="BK78" i="2"/>
  <c r="BL78" i="2" s="1"/>
  <c r="BK77" i="2"/>
  <c r="BL77" i="2" s="1"/>
  <c r="BK76" i="2"/>
  <c r="BL76" i="2" s="1"/>
  <c r="BK75" i="2"/>
  <c r="BL75" i="2" s="1"/>
  <c r="BK74" i="2"/>
  <c r="BL74" i="2" s="1"/>
  <c r="BK73" i="2"/>
  <c r="BL73" i="2" s="1"/>
  <c r="BK72" i="2"/>
  <c r="BL72" i="2" s="1"/>
  <c r="BK71" i="2"/>
  <c r="BL71" i="2" s="1"/>
  <c r="BK70" i="2"/>
  <c r="BL70" i="2" s="1"/>
  <c r="BK69" i="2"/>
  <c r="BL69" i="2" s="1"/>
  <c r="BK68" i="2"/>
  <c r="BL68" i="2" s="1"/>
  <c r="BK67" i="2"/>
  <c r="BL67" i="2" s="1"/>
  <c r="BK66" i="2"/>
  <c r="BL66" i="2" s="1"/>
  <c r="BK65" i="2"/>
  <c r="BL65" i="2" s="1"/>
  <c r="BK64" i="2"/>
  <c r="BL64" i="2" s="1"/>
  <c r="BK63" i="2"/>
  <c r="BL63" i="2" s="1"/>
  <c r="BK62" i="2"/>
  <c r="BL62" i="2" s="1"/>
  <c r="BK61" i="2"/>
  <c r="BL61" i="2" s="1"/>
  <c r="BK60" i="2"/>
  <c r="BL60" i="2" s="1"/>
  <c r="BK59" i="2"/>
  <c r="BL59" i="2" s="1"/>
  <c r="BK58" i="2"/>
  <c r="BL58" i="2" s="1"/>
  <c r="BK57" i="2"/>
  <c r="BL57" i="2" s="1"/>
  <c r="BK56" i="2"/>
  <c r="BL56" i="2" s="1"/>
  <c r="BK55" i="2"/>
  <c r="BL55" i="2" s="1"/>
  <c r="BK54" i="2"/>
  <c r="BL54" i="2" s="1"/>
  <c r="BK53" i="2"/>
  <c r="BL53" i="2" s="1"/>
  <c r="BK52" i="2"/>
  <c r="BL52" i="2" s="1"/>
  <c r="BK51" i="2"/>
  <c r="BL51" i="2" s="1"/>
  <c r="BK50" i="2"/>
  <c r="BL50" i="2" s="1"/>
  <c r="BK49" i="2"/>
  <c r="BL49" i="2" s="1"/>
  <c r="BK48" i="2"/>
  <c r="BL48" i="2" s="1"/>
  <c r="BK47" i="2"/>
  <c r="BL47" i="2" s="1"/>
  <c r="BK46" i="2"/>
  <c r="BL46" i="2" s="1"/>
  <c r="BK45" i="2"/>
  <c r="BL45" i="2" s="1"/>
  <c r="BK44" i="2"/>
  <c r="BL44" i="2" s="1"/>
  <c r="BK43" i="2"/>
  <c r="BL43" i="2" s="1"/>
  <c r="BK42" i="2"/>
  <c r="BL42" i="2" s="1"/>
  <c r="BK41" i="2"/>
  <c r="BL41" i="2" s="1"/>
  <c r="BK40" i="2"/>
  <c r="BL40" i="2" s="1"/>
  <c r="BK39" i="2"/>
  <c r="BL39" i="2" s="1"/>
  <c r="BK38" i="2"/>
  <c r="BL38" i="2" s="1"/>
  <c r="BK37" i="2"/>
  <c r="BL37" i="2" s="1"/>
  <c r="BK36" i="2"/>
  <c r="BL36" i="2" s="1"/>
  <c r="BK35" i="2"/>
  <c r="BL35" i="2" s="1"/>
  <c r="BK34" i="2"/>
  <c r="BL34" i="2" s="1"/>
  <c r="BK33" i="2"/>
  <c r="BL33" i="2" s="1"/>
  <c r="BK32" i="2"/>
  <c r="BL32" i="2" s="1"/>
  <c r="BK31" i="2"/>
  <c r="BL31" i="2" s="1"/>
  <c r="BK30" i="2"/>
  <c r="BL30" i="2" s="1"/>
  <c r="BK29" i="2"/>
  <c r="BL29" i="2" s="1"/>
  <c r="BK28" i="2"/>
  <c r="BL28" i="2" s="1"/>
  <c r="BK27" i="2"/>
  <c r="BL27" i="2" s="1"/>
  <c r="BK26" i="2"/>
  <c r="BL26" i="2" s="1"/>
  <c r="BK25" i="2"/>
  <c r="BL25" i="2" s="1"/>
  <c r="BK24" i="2"/>
  <c r="BL24" i="2" s="1"/>
  <c r="BK23" i="2"/>
  <c r="BL23" i="2" s="1"/>
  <c r="BK22" i="2"/>
  <c r="BL22" i="2" s="1"/>
  <c r="BK21" i="2"/>
  <c r="BL21" i="2" s="1"/>
  <c r="BK20" i="2"/>
  <c r="BL20" i="2" s="1"/>
  <c r="BK19" i="2"/>
  <c r="BL19" i="2" s="1"/>
  <c r="BK18" i="2"/>
  <c r="BL18" i="2" s="1"/>
  <c r="BK17" i="2"/>
  <c r="BL17" i="2" s="1"/>
  <c r="BK16" i="2"/>
  <c r="BL16" i="2" s="1"/>
  <c r="BK15" i="2"/>
  <c r="BL15" i="2" s="1"/>
  <c r="BK14" i="2"/>
  <c r="BL14" i="2" s="1"/>
  <c r="BK13" i="2"/>
  <c r="BL13" i="2" s="1"/>
  <c r="BK12" i="2"/>
  <c r="BL12" i="2" s="1"/>
  <c r="BK11" i="2"/>
  <c r="BL11" i="2" s="1"/>
  <c r="BK10" i="2"/>
  <c r="BL10" i="2" s="1"/>
  <c r="BK9" i="2"/>
  <c r="BL9" i="2" s="1"/>
  <c r="BK8" i="2"/>
  <c r="BL8" i="2" s="1"/>
  <c r="BK7" i="2"/>
  <c r="BL7" i="2" s="1"/>
  <c r="BK6" i="2"/>
  <c r="BL6" i="2" s="1"/>
  <c r="BK5" i="2"/>
  <c r="BL5" i="2" s="1"/>
  <c r="BK4" i="2"/>
  <c r="BL4" i="2" s="1"/>
  <c r="BK3" i="2"/>
  <c r="BL3" i="2" s="1"/>
  <c r="BK2" i="2"/>
  <c r="BL2" i="2" s="1"/>
  <c r="BG323" i="2"/>
  <c r="BH323" i="2" s="1"/>
  <c r="BI323" i="2" s="1"/>
  <c r="BG322" i="2"/>
  <c r="BH322" i="2" s="1"/>
  <c r="BI322" i="2" s="1"/>
  <c r="BG321" i="2"/>
  <c r="BH321" i="2" s="1"/>
  <c r="BI321" i="2" s="1"/>
  <c r="BG320" i="2"/>
  <c r="BH320" i="2" s="1"/>
  <c r="BI320" i="2" s="1"/>
  <c r="BG319" i="2"/>
  <c r="BH319" i="2" s="1"/>
  <c r="BI319" i="2" s="1"/>
  <c r="BG318" i="2"/>
  <c r="BH318" i="2" s="1"/>
  <c r="BI318" i="2" s="1"/>
  <c r="BG317" i="2"/>
  <c r="BH317" i="2" s="1"/>
  <c r="BI317" i="2" s="1"/>
  <c r="BG316" i="2"/>
  <c r="BH316" i="2" s="1"/>
  <c r="BI316" i="2" s="1"/>
  <c r="BG315" i="2"/>
  <c r="BH315" i="2" s="1"/>
  <c r="BI315" i="2" s="1"/>
  <c r="BG314" i="2"/>
  <c r="BH314" i="2" s="1"/>
  <c r="BI314" i="2" s="1"/>
  <c r="BG313" i="2"/>
  <c r="BH313" i="2" s="1"/>
  <c r="BI313" i="2" s="1"/>
  <c r="BG312" i="2"/>
  <c r="BH312" i="2" s="1"/>
  <c r="BI312" i="2" s="1"/>
  <c r="BG311" i="2"/>
  <c r="BH311" i="2" s="1"/>
  <c r="BI311" i="2" s="1"/>
  <c r="BG310" i="2"/>
  <c r="BH310" i="2" s="1"/>
  <c r="BI310" i="2" s="1"/>
  <c r="BG309" i="2"/>
  <c r="BH309" i="2" s="1"/>
  <c r="BI309" i="2" s="1"/>
  <c r="BG308" i="2"/>
  <c r="BH308" i="2" s="1"/>
  <c r="BI308" i="2" s="1"/>
  <c r="BG307" i="2"/>
  <c r="BH307" i="2" s="1"/>
  <c r="BI307" i="2" s="1"/>
  <c r="BG306" i="2"/>
  <c r="BH306" i="2" s="1"/>
  <c r="BI306" i="2" s="1"/>
  <c r="BG305" i="2"/>
  <c r="BH305" i="2" s="1"/>
  <c r="BI305" i="2" s="1"/>
  <c r="BG304" i="2"/>
  <c r="BH304" i="2" s="1"/>
  <c r="BI304" i="2" s="1"/>
  <c r="BG303" i="2"/>
  <c r="BH303" i="2" s="1"/>
  <c r="BI303" i="2" s="1"/>
  <c r="BG302" i="2"/>
  <c r="BH302" i="2" s="1"/>
  <c r="BI302" i="2" s="1"/>
  <c r="BG301" i="2"/>
  <c r="BH301" i="2" s="1"/>
  <c r="BI301" i="2" s="1"/>
  <c r="BG300" i="2"/>
  <c r="BH300" i="2" s="1"/>
  <c r="BI300" i="2" s="1"/>
  <c r="BG299" i="2"/>
  <c r="BH299" i="2" s="1"/>
  <c r="BI299" i="2" s="1"/>
  <c r="BG298" i="2"/>
  <c r="BH298" i="2" s="1"/>
  <c r="BI298" i="2" s="1"/>
  <c r="BG297" i="2"/>
  <c r="BH297" i="2" s="1"/>
  <c r="BI297" i="2" s="1"/>
  <c r="BG296" i="2"/>
  <c r="BH296" i="2" s="1"/>
  <c r="BI296" i="2" s="1"/>
  <c r="BG295" i="2"/>
  <c r="BH295" i="2" s="1"/>
  <c r="BI295" i="2" s="1"/>
  <c r="BG294" i="2"/>
  <c r="BH294" i="2" s="1"/>
  <c r="BI294" i="2" s="1"/>
  <c r="BG293" i="2"/>
  <c r="BH293" i="2" s="1"/>
  <c r="BI293" i="2" s="1"/>
  <c r="BG292" i="2"/>
  <c r="BH292" i="2" s="1"/>
  <c r="BI292" i="2" s="1"/>
  <c r="BG291" i="2"/>
  <c r="BH291" i="2" s="1"/>
  <c r="BI291" i="2" s="1"/>
  <c r="BG290" i="2"/>
  <c r="BH290" i="2" s="1"/>
  <c r="BI290" i="2" s="1"/>
  <c r="BG289" i="2"/>
  <c r="BH289" i="2" s="1"/>
  <c r="BI289" i="2" s="1"/>
  <c r="BG288" i="2"/>
  <c r="BH288" i="2" s="1"/>
  <c r="BI288" i="2" s="1"/>
  <c r="BG287" i="2"/>
  <c r="BH287" i="2" s="1"/>
  <c r="BI287" i="2" s="1"/>
  <c r="BG286" i="2"/>
  <c r="BH286" i="2" s="1"/>
  <c r="BI286" i="2" s="1"/>
  <c r="BG285" i="2"/>
  <c r="BH285" i="2" s="1"/>
  <c r="BI285" i="2" s="1"/>
  <c r="BG284" i="2"/>
  <c r="BH284" i="2" s="1"/>
  <c r="BI284" i="2" s="1"/>
  <c r="BG283" i="2"/>
  <c r="BH283" i="2" s="1"/>
  <c r="BI283" i="2" s="1"/>
  <c r="BG282" i="2"/>
  <c r="BH282" i="2" s="1"/>
  <c r="BI282" i="2" s="1"/>
  <c r="BG281" i="2"/>
  <c r="BH281" i="2" s="1"/>
  <c r="BI281" i="2" s="1"/>
  <c r="BG280" i="2"/>
  <c r="BH280" i="2" s="1"/>
  <c r="BI280" i="2" s="1"/>
  <c r="BG279" i="2"/>
  <c r="BH279" i="2" s="1"/>
  <c r="BI279" i="2" s="1"/>
  <c r="BG278" i="2"/>
  <c r="BH278" i="2" s="1"/>
  <c r="BI278" i="2" s="1"/>
  <c r="BG277" i="2"/>
  <c r="BH277" i="2" s="1"/>
  <c r="BI277" i="2" s="1"/>
  <c r="BG276" i="2"/>
  <c r="BH276" i="2" s="1"/>
  <c r="BI276" i="2" s="1"/>
  <c r="BG275" i="2"/>
  <c r="BH275" i="2" s="1"/>
  <c r="BI275" i="2" s="1"/>
  <c r="BG274" i="2"/>
  <c r="BH274" i="2" s="1"/>
  <c r="BI274" i="2" s="1"/>
  <c r="BG273" i="2"/>
  <c r="BH273" i="2" s="1"/>
  <c r="BI273" i="2" s="1"/>
  <c r="BG272" i="2"/>
  <c r="BH272" i="2" s="1"/>
  <c r="BI272" i="2" s="1"/>
  <c r="BG271" i="2"/>
  <c r="BH271" i="2" s="1"/>
  <c r="BI271" i="2" s="1"/>
  <c r="BG270" i="2"/>
  <c r="BH270" i="2" s="1"/>
  <c r="BI270" i="2" s="1"/>
  <c r="BG269" i="2"/>
  <c r="BH269" i="2" s="1"/>
  <c r="BI269" i="2" s="1"/>
  <c r="BG268" i="2"/>
  <c r="BH268" i="2" s="1"/>
  <c r="BI268" i="2" s="1"/>
  <c r="BG267" i="2"/>
  <c r="BH267" i="2" s="1"/>
  <c r="BI267" i="2" s="1"/>
  <c r="BG266" i="2"/>
  <c r="BH266" i="2" s="1"/>
  <c r="BI266" i="2" s="1"/>
  <c r="BG265" i="2"/>
  <c r="BH265" i="2" s="1"/>
  <c r="BI265" i="2" s="1"/>
  <c r="BG264" i="2"/>
  <c r="BH264" i="2" s="1"/>
  <c r="BI264" i="2" s="1"/>
  <c r="BG263" i="2"/>
  <c r="BH263" i="2" s="1"/>
  <c r="BI263" i="2" s="1"/>
  <c r="BG262" i="2"/>
  <c r="BH262" i="2" s="1"/>
  <c r="BI262" i="2" s="1"/>
  <c r="BG261" i="2"/>
  <c r="BH261" i="2" s="1"/>
  <c r="BI261" i="2" s="1"/>
  <c r="BG260" i="2"/>
  <c r="BH260" i="2" s="1"/>
  <c r="BI260" i="2" s="1"/>
  <c r="BG259" i="2"/>
  <c r="BH259" i="2" s="1"/>
  <c r="BI259" i="2" s="1"/>
  <c r="BG258" i="2"/>
  <c r="BH258" i="2" s="1"/>
  <c r="BI258" i="2" s="1"/>
  <c r="BG257" i="2"/>
  <c r="BH257" i="2" s="1"/>
  <c r="BI257" i="2" s="1"/>
  <c r="BG256" i="2"/>
  <c r="BH256" i="2" s="1"/>
  <c r="BI256" i="2" s="1"/>
  <c r="BG255" i="2"/>
  <c r="BH255" i="2" s="1"/>
  <c r="BI255" i="2" s="1"/>
  <c r="BG254" i="2"/>
  <c r="BH254" i="2" s="1"/>
  <c r="BI254" i="2" s="1"/>
  <c r="BG253" i="2"/>
  <c r="BH253" i="2" s="1"/>
  <c r="BI253" i="2" s="1"/>
  <c r="BG252" i="2"/>
  <c r="BH252" i="2" s="1"/>
  <c r="BI252" i="2" s="1"/>
  <c r="BG251" i="2"/>
  <c r="BH251" i="2" s="1"/>
  <c r="BI251" i="2" s="1"/>
  <c r="BG250" i="2"/>
  <c r="BH250" i="2" s="1"/>
  <c r="BI250" i="2" s="1"/>
  <c r="BG249" i="2"/>
  <c r="BH249" i="2" s="1"/>
  <c r="BI249" i="2" s="1"/>
  <c r="BG248" i="2"/>
  <c r="BH248" i="2" s="1"/>
  <c r="BI248" i="2" s="1"/>
  <c r="BG247" i="2"/>
  <c r="BH247" i="2" s="1"/>
  <c r="BI247" i="2" s="1"/>
  <c r="BG246" i="2"/>
  <c r="BH246" i="2" s="1"/>
  <c r="BI246" i="2" s="1"/>
  <c r="BG245" i="2"/>
  <c r="BH245" i="2" s="1"/>
  <c r="BI245" i="2" s="1"/>
  <c r="BG244" i="2"/>
  <c r="BH244" i="2" s="1"/>
  <c r="BI244" i="2" s="1"/>
  <c r="BG243" i="2"/>
  <c r="BH243" i="2" s="1"/>
  <c r="BI243" i="2" s="1"/>
  <c r="BG242" i="2"/>
  <c r="BH242" i="2" s="1"/>
  <c r="BI242" i="2" s="1"/>
  <c r="BG241" i="2"/>
  <c r="BH241" i="2" s="1"/>
  <c r="BI241" i="2" s="1"/>
  <c r="BG240" i="2"/>
  <c r="BH240" i="2" s="1"/>
  <c r="BI240" i="2" s="1"/>
  <c r="BG239" i="2"/>
  <c r="BH239" i="2" s="1"/>
  <c r="BI239" i="2" s="1"/>
  <c r="BG238" i="2"/>
  <c r="BH238" i="2" s="1"/>
  <c r="BI238" i="2" s="1"/>
  <c r="BG237" i="2"/>
  <c r="BH237" i="2" s="1"/>
  <c r="BI237" i="2" s="1"/>
  <c r="BG236" i="2"/>
  <c r="BH236" i="2" s="1"/>
  <c r="BI236" i="2" s="1"/>
  <c r="BG235" i="2"/>
  <c r="BH235" i="2" s="1"/>
  <c r="BI235" i="2" s="1"/>
  <c r="BG234" i="2"/>
  <c r="BH234" i="2" s="1"/>
  <c r="BI234" i="2" s="1"/>
  <c r="BG233" i="2"/>
  <c r="BH233" i="2" s="1"/>
  <c r="BI233" i="2" s="1"/>
  <c r="BG232" i="2"/>
  <c r="BH232" i="2" s="1"/>
  <c r="BI232" i="2" s="1"/>
  <c r="BG231" i="2"/>
  <c r="BH231" i="2" s="1"/>
  <c r="BI231" i="2" s="1"/>
  <c r="BG230" i="2"/>
  <c r="BH230" i="2" s="1"/>
  <c r="BI230" i="2" s="1"/>
  <c r="BG229" i="2"/>
  <c r="BH229" i="2" s="1"/>
  <c r="BI229" i="2" s="1"/>
  <c r="BG228" i="2"/>
  <c r="BH228" i="2" s="1"/>
  <c r="BI228" i="2" s="1"/>
  <c r="BG227" i="2"/>
  <c r="BH227" i="2" s="1"/>
  <c r="BI227" i="2" s="1"/>
  <c r="BG226" i="2"/>
  <c r="BH226" i="2" s="1"/>
  <c r="BI226" i="2" s="1"/>
  <c r="BG225" i="2"/>
  <c r="BH225" i="2" s="1"/>
  <c r="BI225" i="2" s="1"/>
  <c r="BG224" i="2"/>
  <c r="BH224" i="2" s="1"/>
  <c r="BI224" i="2" s="1"/>
  <c r="BG223" i="2"/>
  <c r="BH223" i="2" s="1"/>
  <c r="BI223" i="2" s="1"/>
  <c r="BG222" i="2"/>
  <c r="BH222" i="2" s="1"/>
  <c r="BI222" i="2" s="1"/>
  <c r="BG221" i="2"/>
  <c r="BH221" i="2" s="1"/>
  <c r="BI221" i="2" s="1"/>
  <c r="BG220" i="2"/>
  <c r="BH220" i="2" s="1"/>
  <c r="BI220" i="2" s="1"/>
  <c r="BG219" i="2"/>
  <c r="BH219" i="2" s="1"/>
  <c r="BI219" i="2" s="1"/>
  <c r="BG218" i="2"/>
  <c r="BH218" i="2" s="1"/>
  <c r="BI218" i="2" s="1"/>
  <c r="BG217" i="2"/>
  <c r="BH217" i="2" s="1"/>
  <c r="BI217" i="2" s="1"/>
  <c r="BG216" i="2"/>
  <c r="BH216" i="2" s="1"/>
  <c r="BI216" i="2" s="1"/>
  <c r="BG215" i="2"/>
  <c r="BH215" i="2" s="1"/>
  <c r="BI215" i="2" s="1"/>
  <c r="BG214" i="2"/>
  <c r="BH214" i="2" s="1"/>
  <c r="BI214" i="2" s="1"/>
  <c r="BG213" i="2"/>
  <c r="BH213" i="2" s="1"/>
  <c r="BI213" i="2" s="1"/>
  <c r="BG212" i="2"/>
  <c r="BH212" i="2" s="1"/>
  <c r="BI212" i="2" s="1"/>
  <c r="BG211" i="2"/>
  <c r="BH211" i="2" s="1"/>
  <c r="BI211" i="2" s="1"/>
  <c r="BG210" i="2"/>
  <c r="BH210" i="2" s="1"/>
  <c r="BI210" i="2" s="1"/>
  <c r="BG209" i="2"/>
  <c r="BH209" i="2" s="1"/>
  <c r="BI209" i="2" s="1"/>
  <c r="BG208" i="2"/>
  <c r="BH208" i="2" s="1"/>
  <c r="BI208" i="2" s="1"/>
  <c r="BG207" i="2"/>
  <c r="BH207" i="2" s="1"/>
  <c r="BI207" i="2" s="1"/>
  <c r="BG206" i="2"/>
  <c r="BH206" i="2" s="1"/>
  <c r="BI206" i="2" s="1"/>
  <c r="BG205" i="2"/>
  <c r="BH205" i="2" s="1"/>
  <c r="BI205" i="2" s="1"/>
  <c r="BG204" i="2"/>
  <c r="BH204" i="2" s="1"/>
  <c r="BI204" i="2" s="1"/>
  <c r="BG203" i="2"/>
  <c r="BH203" i="2" s="1"/>
  <c r="BI203" i="2" s="1"/>
  <c r="BG202" i="2"/>
  <c r="BH202" i="2" s="1"/>
  <c r="BI202" i="2" s="1"/>
  <c r="BG201" i="2"/>
  <c r="BH201" i="2" s="1"/>
  <c r="BI201" i="2" s="1"/>
  <c r="BG200" i="2"/>
  <c r="BH200" i="2" s="1"/>
  <c r="BI200" i="2" s="1"/>
  <c r="BG199" i="2"/>
  <c r="BH199" i="2" s="1"/>
  <c r="BI199" i="2" s="1"/>
  <c r="BG198" i="2"/>
  <c r="BH198" i="2" s="1"/>
  <c r="BI198" i="2" s="1"/>
  <c r="BG197" i="2"/>
  <c r="BH197" i="2" s="1"/>
  <c r="BI197" i="2" s="1"/>
  <c r="BG196" i="2"/>
  <c r="BH196" i="2" s="1"/>
  <c r="BI196" i="2" s="1"/>
  <c r="BG195" i="2"/>
  <c r="BH195" i="2" s="1"/>
  <c r="BI195" i="2" s="1"/>
  <c r="BG194" i="2"/>
  <c r="BH194" i="2" s="1"/>
  <c r="BI194" i="2" s="1"/>
  <c r="BG193" i="2"/>
  <c r="BH193" i="2" s="1"/>
  <c r="BI193" i="2" s="1"/>
  <c r="BG192" i="2"/>
  <c r="BH192" i="2" s="1"/>
  <c r="BI192" i="2" s="1"/>
  <c r="BG191" i="2"/>
  <c r="BH191" i="2" s="1"/>
  <c r="BI191" i="2" s="1"/>
  <c r="BG190" i="2"/>
  <c r="BH190" i="2" s="1"/>
  <c r="BI190" i="2" s="1"/>
  <c r="BG189" i="2"/>
  <c r="BH189" i="2" s="1"/>
  <c r="BI189" i="2" s="1"/>
  <c r="BG188" i="2"/>
  <c r="BH188" i="2" s="1"/>
  <c r="BI188" i="2" s="1"/>
  <c r="BG187" i="2"/>
  <c r="BH187" i="2" s="1"/>
  <c r="BI187" i="2" s="1"/>
  <c r="BG186" i="2"/>
  <c r="BH186" i="2" s="1"/>
  <c r="BI186" i="2" s="1"/>
  <c r="BG185" i="2"/>
  <c r="BH185" i="2" s="1"/>
  <c r="BI185" i="2" s="1"/>
  <c r="BG184" i="2"/>
  <c r="BH184" i="2" s="1"/>
  <c r="BI184" i="2" s="1"/>
  <c r="BG183" i="2"/>
  <c r="BH183" i="2" s="1"/>
  <c r="BI183" i="2" s="1"/>
  <c r="BG182" i="2"/>
  <c r="BH182" i="2" s="1"/>
  <c r="BI182" i="2" s="1"/>
  <c r="BG181" i="2"/>
  <c r="BH181" i="2" s="1"/>
  <c r="BI181" i="2" s="1"/>
  <c r="BG180" i="2"/>
  <c r="BH180" i="2" s="1"/>
  <c r="BI180" i="2" s="1"/>
  <c r="BG179" i="2"/>
  <c r="BH179" i="2" s="1"/>
  <c r="BI179" i="2" s="1"/>
  <c r="BG178" i="2"/>
  <c r="BH178" i="2" s="1"/>
  <c r="BI178" i="2" s="1"/>
  <c r="BG177" i="2"/>
  <c r="BH177" i="2" s="1"/>
  <c r="BI177" i="2" s="1"/>
  <c r="BG176" i="2"/>
  <c r="BH176" i="2" s="1"/>
  <c r="BI176" i="2" s="1"/>
  <c r="BG175" i="2"/>
  <c r="BH175" i="2" s="1"/>
  <c r="BI175" i="2" s="1"/>
  <c r="BG174" i="2"/>
  <c r="BH174" i="2" s="1"/>
  <c r="BI174" i="2" s="1"/>
  <c r="BG173" i="2"/>
  <c r="BH173" i="2" s="1"/>
  <c r="BI173" i="2" s="1"/>
  <c r="BG172" i="2"/>
  <c r="BH172" i="2" s="1"/>
  <c r="BI172" i="2" s="1"/>
  <c r="BG171" i="2"/>
  <c r="BH171" i="2" s="1"/>
  <c r="BI171" i="2" s="1"/>
  <c r="BG170" i="2"/>
  <c r="BH170" i="2" s="1"/>
  <c r="BI170" i="2" s="1"/>
  <c r="BG169" i="2"/>
  <c r="BH169" i="2" s="1"/>
  <c r="BI169" i="2" s="1"/>
  <c r="BG168" i="2"/>
  <c r="BH168" i="2" s="1"/>
  <c r="BI168" i="2" s="1"/>
  <c r="BG167" i="2"/>
  <c r="BH167" i="2" s="1"/>
  <c r="BI167" i="2" s="1"/>
  <c r="BG166" i="2"/>
  <c r="BH166" i="2" s="1"/>
  <c r="BI166" i="2" s="1"/>
  <c r="BG165" i="2"/>
  <c r="BH165" i="2" s="1"/>
  <c r="BI165" i="2" s="1"/>
  <c r="BG164" i="2"/>
  <c r="BH164" i="2" s="1"/>
  <c r="BI164" i="2" s="1"/>
  <c r="BG163" i="2"/>
  <c r="BH163" i="2" s="1"/>
  <c r="BI163" i="2" s="1"/>
  <c r="BG162" i="2"/>
  <c r="BH162" i="2" s="1"/>
  <c r="BI162" i="2" s="1"/>
  <c r="BG161" i="2"/>
  <c r="BH161" i="2" s="1"/>
  <c r="BI161" i="2" s="1"/>
  <c r="BG160" i="2"/>
  <c r="BH160" i="2" s="1"/>
  <c r="BI160" i="2" s="1"/>
  <c r="BG159" i="2"/>
  <c r="BH159" i="2" s="1"/>
  <c r="BI159" i="2" s="1"/>
  <c r="BG158" i="2"/>
  <c r="BH158" i="2" s="1"/>
  <c r="BI158" i="2" s="1"/>
  <c r="BG157" i="2"/>
  <c r="BH157" i="2" s="1"/>
  <c r="BI157" i="2" s="1"/>
  <c r="BG156" i="2"/>
  <c r="BH156" i="2" s="1"/>
  <c r="BI156" i="2" s="1"/>
  <c r="BG155" i="2"/>
  <c r="BH155" i="2" s="1"/>
  <c r="BI155" i="2" s="1"/>
  <c r="BG154" i="2"/>
  <c r="BH154" i="2" s="1"/>
  <c r="BI154" i="2" s="1"/>
  <c r="BG153" i="2"/>
  <c r="BH153" i="2" s="1"/>
  <c r="BI153" i="2" s="1"/>
  <c r="BG152" i="2"/>
  <c r="BH152" i="2" s="1"/>
  <c r="BI152" i="2" s="1"/>
  <c r="BG151" i="2"/>
  <c r="BH151" i="2" s="1"/>
  <c r="BI151" i="2" s="1"/>
  <c r="BG150" i="2"/>
  <c r="BH150" i="2" s="1"/>
  <c r="BI150" i="2" s="1"/>
  <c r="BG149" i="2"/>
  <c r="BH149" i="2" s="1"/>
  <c r="BI149" i="2" s="1"/>
  <c r="BG148" i="2"/>
  <c r="BH148" i="2" s="1"/>
  <c r="BI148" i="2" s="1"/>
  <c r="BG147" i="2"/>
  <c r="BH147" i="2" s="1"/>
  <c r="BI147" i="2" s="1"/>
  <c r="BG146" i="2"/>
  <c r="BH146" i="2" s="1"/>
  <c r="BI146" i="2" s="1"/>
  <c r="BG145" i="2"/>
  <c r="BH145" i="2" s="1"/>
  <c r="BI145" i="2" s="1"/>
  <c r="BG144" i="2"/>
  <c r="BH144" i="2" s="1"/>
  <c r="BI144" i="2" s="1"/>
  <c r="BG143" i="2"/>
  <c r="BH143" i="2" s="1"/>
  <c r="BI143" i="2" s="1"/>
  <c r="BG142" i="2"/>
  <c r="BH142" i="2" s="1"/>
  <c r="BI142" i="2" s="1"/>
  <c r="BG141" i="2"/>
  <c r="BH141" i="2" s="1"/>
  <c r="BI141" i="2" s="1"/>
  <c r="BG140" i="2"/>
  <c r="BH140" i="2" s="1"/>
  <c r="BI140" i="2" s="1"/>
  <c r="BG139" i="2"/>
  <c r="BH139" i="2" s="1"/>
  <c r="BI139" i="2" s="1"/>
  <c r="BG138" i="2"/>
  <c r="BH138" i="2" s="1"/>
  <c r="BI138" i="2" s="1"/>
  <c r="BG137" i="2"/>
  <c r="BH137" i="2" s="1"/>
  <c r="BI137" i="2" s="1"/>
  <c r="BG136" i="2"/>
  <c r="BH136" i="2" s="1"/>
  <c r="BI136" i="2" s="1"/>
  <c r="BG135" i="2"/>
  <c r="BH135" i="2" s="1"/>
  <c r="BI135" i="2" s="1"/>
  <c r="BG134" i="2"/>
  <c r="BH134" i="2" s="1"/>
  <c r="BI134" i="2" s="1"/>
  <c r="BG133" i="2"/>
  <c r="BH133" i="2" s="1"/>
  <c r="BI133" i="2" s="1"/>
  <c r="BG132" i="2"/>
  <c r="BH132" i="2" s="1"/>
  <c r="BI132" i="2" s="1"/>
  <c r="BG131" i="2"/>
  <c r="BH131" i="2" s="1"/>
  <c r="BI131" i="2" s="1"/>
  <c r="BG130" i="2"/>
  <c r="BH130" i="2" s="1"/>
  <c r="BI130" i="2" s="1"/>
  <c r="BG129" i="2"/>
  <c r="BH129" i="2" s="1"/>
  <c r="BI129" i="2" s="1"/>
  <c r="BG128" i="2"/>
  <c r="BH128" i="2" s="1"/>
  <c r="BI128" i="2" s="1"/>
  <c r="BG127" i="2"/>
  <c r="BH127" i="2" s="1"/>
  <c r="BI127" i="2" s="1"/>
  <c r="BG126" i="2"/>
  <c r="BH126" i="2" s="1"/>
  <c r="BI126" i="2" s="1"/>
  <c r="BG125" i="2"/>
  <c r="BH125" i="2" s="1"/>
  <c r="BI125" i="2" s="1"/>
  <c r="BG124" i="2"/>
  <c r="BH124" i="2" s="1"/>
  <c r="BI124" i="2" s="1"/>
  <c r="BG123" i="2"/>
  <c r="BH123" i="2" s="1"/>
  <c r="BI123" i="2" s="1"/>
  <c r="BG122" i="2"/>
  <c r="BH122" i="2" s="1"/>
  <c r="BI122" i="2" s="1"/>
  <c r="BG121" i="2"/>
  <c r="BH121" i="2" s="1"/>
  <c r="BI121" i="2" s="1"/>
  <c r="BG120" i="2"/>
  <c r="BH120" i="2" s="1"/>
  <c r="BI120" i="2" s="1"/>
  <c r="BG119" i="2"/>
  <c r="BH119" i="2" s="1"/>
  <c r="BI119" i="2" s="1"/>
  <c r="BG118" i="2"/>
  <c r="BH118" i="2" s="1"/>
  <c r="BI118" i="2" s="1"/>
  <c r="BG117" i="2"/>
  <c r="BH117" i="2" s="1"/>
  <c r="BI117" i="2" s="1"/>
  <c r="BG116" i="2"/>
  <c r="BH116" i="2" s="1"/>
  <c r="BI116" i="2" s="1"/>
  <c r="BG115" i="2"/>
  <c r="BH115" i="2" s="1"/>
  <c r="BI115" i="2" s="1"/>
  <c r="BG114" i="2"/>
  <c r="BH114" i="2" s="1"/>
  <c r="BI114" i="2" s="1"/>
  <c r="BG113" i="2"/>
  <c r="BH113" i="2" s="1"/>
  <c r="BI113" i="2" s="1"/>
  <c r="BG112" i="2"/>
  <c r="BH112" i="2" s="1"/>
  <c r="BI112" i="2" s="1"/>
  <c r="BG111" i="2"/>
  <c r="BH111" i="2" s="1"/>
  <c r="BI111" i="2" s="1"/>
  <c r="BG110" i="2"/>
  <c r="BH110" i="2" s="1"/>
  <c r="BI110" i="2" s="1"/>
  <c r="BG109" i="2"/>
  <c r="BH109" i="2" s="1"/>
  <c r="BI109" i="2" s="1"/>
  <c r="BG108" i="2"/>
  <c r="BH108" i="2" s="1"/>
  <c r="BI108" i="2" s="1"/>
  <c r="BG107" i="2"/>
  <c r="BH107" i="2" s="1"/>
  <c r="BI107" i="2" s="1"/>
  <c r="BG106" i="2"/>
  <c r="BH106" i="2" s="1"/>
  <c r="BI106" i="2" s="1"/>
  <c r="BG105" i="2"/>
  <c r="BH105" i="2" s="1"/>
  <c r="BI105" i="2" s="1"/>
  <c r="BG104" i="2"/>
  <c r="BH104" i="2" s="1"/>
  <c r="BI104" i="2" s="1"/>
  <c r="BG103" i="2"/>
  <c r="BH103" i="2" s="1"/>
  <c r="BI103" i="2" s="1"/>
  <c r="BG102" i="2"/>
  <c r="BH102" i="2" s="1"/>
  <c r="BI102" i="2" s="1"/>
  <c r="BG101" i="2"/>
  <c r="BH101" i="2" s="1"/>
  <c r="BI101" i="2" s="1"/>
  <c r="BG100" i="2"/>
  <c r="BH100" i="2" s="1"/>
  <c r="BI100" i="2" s="1"/>
  <c r="BG99" i="2"/>
  <c r="BH99" i="2" s="1"/>
  <c r="BI99" i="2" s="1"/>
  <c r="BG98" i="2"/>
  <c r="BH98" i="2" s="1"/>
  <c r="BI98" i="2" s="1"/>
  <c r="BG97" i="2"/>
  <c r="BH97" i="2" s="1"/>
  <c r="BI97" i="2" s="1"/>
  <c r="BG96" i="2"/>
  <c r="BH96" i="2" s="1"/>
  <c r="BI96" i="2" s="1"/>
  <c r="BG95" i="2"/>
  <c r="BH95" i="2" s="1"/>
  <c r="BI95" i="2" s="1"/>
  <c r="BG94" i="2"/>
  <c r="BH94" i="2" s="1"/>
  <c r="BI94" i="2" s="1"/>
  <c r="BG93" i="2"/>
  <c r="BH93" i="2" s="1"/>
  <c r="BI93" i="2" s="1"/>
  <c r="BG92" i="2"/>
  <c r="BH92" i="2" s="1"/>
  <c r="BI92" i="2" s="1"/>
  <c r="BG91" i="2"/>
  <c r="BH91" i="2" s="1"/>
  <c r="BI91" i="2" s="1"/>
  <c r="BG90" i="2"/>
  <c r="BH90" i="2" s="1"/>
  <c r="BI90" i="2" s="1"/>
  <c r="BG89" i="2"/>
  <c r="BH89" i="2" s="1"/>
  <c r="BI89" i="2" s="1"/>
  <c r="BG88" i="2"/>
  <c r="BH88" i="2" s="1"/>
  <c r="BI88" i="2" s="1"/>
  <c r="BG87" i="2"/>
  <c r="BH87" i="2" s="1"/>
  <c r="BI87" i="2" s="1"/>
  <c r="BG86" i="2"/>
  <c r="BH86" i="2" s="1"/>
  <c r="BI86" i="2" s="1"/>
  <c r="BG85" i="2"/>
  <c r="BH85" i="2" s="1"/>
  <c r="BI85" i="2" s="1"/>
  <c r="BG84" i="2"/>
  <c r="BH84" i="2" s="1"/>
  <c r="BI84" i="2" s="1"/>
  <c r="BG83" i="2"/>
  <c r="BH83" i="2" s="1"/>
  <c r="BI83" i="2" s="1"/>
  <c r="BG82" i="2"/>
  <c r="BH82" i="2" s="1"/>
  <c r="BI82" i="2" s="1"/>
  <c r="BG81" i="2"/>
  <c r="BH81" i="2" s="1"/>
  <c r="BI81" i="2" s="1"/>
  <c r="BG80" i="2"/>
  <c r="BH80" i="2" s="1"/>
  <c r="BI80" i="2" s="1"/>
  <c r="BG79" i="2"/>
  <c r="BH79" i="2" s="1"/>
  <c r="BI79" i="2" s="1"/>
  <c r="BG78" i="2"/>
  <c r="BH78" i="2" s="1"/>
  <c r="BI78" i="2" s="1"/>
  <c r="BG77" i="2"/>
  <c r="BH77" i="2" s="1"/>
  <c r="BI77" i="2" s="1"/>
  <c r="BG76" i="2"/>
  <c r="BH76" i="2" s="1"/>
  <c r="BI76" i="2" s="1"/>
  <c r="BG75" i="2"/>
  <c r="BH75" i="2" s="1"/>
  <c r="BI75" i="2" s="1"/>
  <c r="BG74" i="2"/>
  <c r="BH74" i="2" s="1"/>
  <c r="BI74" i="2" s="1"/>
  <c r="BG73" i="2"/>
  <c r="BH73" i="2" s="1"/>
  <c r="BI73" i="2" s="1"/>
  <c r="BG72" i="2"/>
  <c r="BH72" i="2" s="1"/>
  <c r="BI72" i="2" s="1"/>
  <c r="BG71" i="2"/>
  <c r="BH71" i="2" s="1"/>
  <c r="BI71" i="2" s="1"/>
  <c r="BG70" i="2"/>
  <c r="BH70" i="2" s="1"/>
  <c r="BI70" i="2" s="1"/>
  <c r="BG69" i="2"/>
  <c r="BH69" i="2" s="1"/>
  <c r="BI69" i="2" s="1"/>
  <c r="BG68" i="2"/>
  <c r="BH68" i="2" s="1"/>
  <c r="BI68" i="2" s="1"/>
  <c r="BG67" i="2"/>
  <c r="BH67" i="2" s="1"/>
  <c r="BI67" i="2" s="1"/>
  <c r="BG66" i="2"/>
  <c r="BH66" i="2" s="1"/>
  <c r="BI66" i="2" s="1"/>
  <c r="BG65" i="2"/>
  <c r="BH65" i="2" s="1"/>
  <c r="BI65" i="2" s="1"/>
  <c r="BG64" i="2"/>
  <c r="BH64" i="2" s="1"/>
  <c r="BI64" i="2" s="1"/>
  <c r="BG63" i="2"/>
  <c r="BH63" i="2" s="1"/>
  <c r="BI63" i="2" s="1"/>
  <c r="BG62" i="2"/>
  <c r="BH62" i="2" s="1"/>
  <c r="BI62" i="2" s="1"/>
  <c r="BG61" i="2"/>
  <c r="BH61" i="2" s="1"/>
  <c r="BI61" i="2" s="1"/>
  <c r="BG60" i="2"/>
  <c r="BH60" i="2" s="1"/>
  <c r="BI60" i="2" s="1"/>
  <c r="BG59" i="2"/>
  <c r="BH59" i="2" s="1"/>
  <c r="BI59" i="2" s="1"/>
  <c r="BG58" i="2"/>
  <c r="BH58" i="2" s="1"/>
  <c r="BI58" i="2" s="1"/>
  <c r="BG57" i="2"/>
  <c r="BH57" i="2" s="1"/>
  <c r="BI57" i="2" s="1"/>
  <c r="BG56" i="2"/>
  <c r="BH56" i="2" s="1"/>
  <c r="BI56" i="2" s="1"/>
  <c r="BG55" i="2"/>
  <c r="BH55" i="2" s="1"/>
  <c r="BI55" i="2" s="1"/>
  <c r="BG54" i="2"/>
  <c r="BH54" i="2" s="1"/>
  <c r="BI54" i="2" s="1"/>
  <c r="BG53" i="2"/>
  <c r="BH53" i="2" s="1"/>
  <c r="BI53" i="2" s="1"/>
  <c r="BG52" i="2"/>
  <c r="BH52" i="2" s="1"/>
  <c r="BI52" i="2" s="1"/>
  <c r="BG51" i="2"/>
  <c r="BH51" i="2" s="1"/>
  <c r="BI51" i="2" s="1"/>
  <c r="BG50" i="2"/>
  <c r="BH50" i="2" s="1"/>
  <c r="BI50" i="2" s="1"/>
  <c r="BG49" i="2"/>
  <c r="BH49" i="2" s="1"/>
  <c r="BI49" i="2" s="1"/>
  <c r="BG48" i="2"/>
  <c r="BH48" i="2" s="1"/>
  <c r="BI48" i="2" s="1"/>
  <c r="BG47" i="2"/>
  <c r="BH47" i="2" s="1"/>
  <c r="BI47" i="2" s="1"/>
  <c r="BG46" i="2"/>
  <c r="BH46" i="2" s="1"/>
  <c r="BI46" i="2" s="1"/>
  <c r="BG45" i="2"/>
  <c r="BH45" i="2" s="1"/>
  <c r="BI45" i="2" s="1"/>
  <c r="BG44" i="2"/>
  <c r="BH44" i="2" s="1"/>
  <c r="BI44" i="2" s="1"/>
  <c r="BG43" i="2"/>
  <c r="BH43" i="2" s="1"/>
  <c r="BI43" i="2" s="1"/>
  <c r="BG42" i="2"/>
  <c r="BH42" i="2" s="1"/>
  <c r="BI42" i="2" s="1"/>
  <c r="BG41" i="2"/>
  <c r="BH41" i="2" s="1"/>
  <c r="BI41" i="2" s="1"/>
  <c r="BG40" i="2"/>
  <c r="BH40" i="2" s="1"/>
  <c r="BI40" i="2" s="1"/>
  <c r="BG39" i="2"/>
  <c r="BH39" i="2" s="1"/>
  <c r="BI39" i="2" s="1"/>
  <c r="BG38" i="2"/>
  <c r="BH38" i="2" s="1"/>
  <c r="BI38" i="2" s="1"/>
  <c r="BG37" i="2"/>
  <c r="BH37" i="2" s="1"/>
  <c r="BI37" i="2" s="1"/>
  <c r="BG36" i="2"/>
  <c r="BH36" i="2" s="1"/>
  <c r="BI36" i="2" s="1"/>
  <c r="BG35" i="2"/>
  <c r="BH35" i="2" s="1"/>
  <c r="BI35" i="2" s="1"/>
  <c r="BG34" i="2"/>
  <c r="BH34" i="2" s="1"/>
  <c r="BI34" i="2" s="1"/>
  <c r="BG33" i="2"/>
  <c r="BH33" i="2" s="1"/>
  <c r="BI33" i="2" s="1"/>
  <c r="BG32" i="2"/>
  <c r="BH32" i="2" s="1"/>
  <c r="BI32" i="2" s="1"/>
  <c r="BG31" i="2"/>
  <c r="BH31" i="2" s="1"/>
  <c r="BI31" i="2" s="1"/>
  <c r="BG30" i="2"/>
  <c r="BH30" i="2" s="1"/>
  <c r="BI30" i="2" s="1"/>
  <c r="BG29" i="2"/>
  <c r="BH29" i="2" s="1"/>
  <c r="BI29" i="2" s="1"/>
  <c r="BG28" i="2"/>
  <c r="BH28" i="2" s="1"/>
  <c r="BI28" i="2" s="1"/>
  <c r="BG27" i="2"/>
  <c r="BH27" i="2" s="1"/>
  <c r="BI27" i="2" s="1"/>
  <c r="BG26" i="2"/>
  <c r="BH26" i="2" s="1"/>
  <c r="BI26" i="2" s="1"/>
  <c r="BG25" i="2"/>
  <c r="BH25" i="2" s="1"/>
  <c r="BI25" i="2" s="1"/>
  <c r="BG24" i="2"/>
  <c r="BH24" i="2" s="1"/>
  <c r="BI24" i="2" s="1"/>
  <c r="BG23" i="2"/>
  <c r="BH23" i="2" s="1"/>
  <c r="BI23" i="2" s="1"/>
  <c r="BG22" i="2"/>
  <c r="BH22" i="2" s="1"/>
  <c r="BI22" i="2" s="1"/>
  <c r="BG21" i="2"/>
  <c r="BH21" i="2" s="1"/>
  <c r="BI21" i="2" s="1"/>
  <c r="BG20" i="2"/>
  <c r="BH20" i="2" s="1"/>
  <c r="BI20" i="2" s="1"/>
  <c r="BG19" i="2"/>
  <c r="BH19" i="2" s="1"/>
  <c r="BI19" i="2" s="1"/>
  <c r="BG18" i="2"/>
  <c r="BH18" i="2" s="1"/>
  <c r="BI18" i="2" s="1"/>
  <c r="BG17" i="2"/>
  <c r="BH17" i="2" s="1"/>
  <c r="BI17" i="2" s="1"/>
  <c r="BG16" i="2"/>
  <c r="BH16" i="2" s="1"/>
  <c r="BI16" i="2" s="1"/>
  <c r="BG15" i="2"/>
  <c r="BH15" i="2" s="1"/>
  <c r="BI15" i="2" s="1"/>
  <c r="BG14" i="2"/>
  <c r="BH14" i="2" s="1"/>
  <c r="BI14" i="2" s="1"/>
  <c r="BG13" i="2"/>
  <c r="BH13" i="2" s="1"/>
  <c r="BI13" i="2" s="1"/>
  <c r="BG12" i="2"/>
  <c r="BH12" i="2" s="1"/>
  <c r="BI12" i="2" s="1"/>
  <c r="BG11" i="2"/>
  <c r="BH11" i="2" s="1"/>
  <c r="BI11" i="2" s="1"/>
  <c r="BG10" i="2"/>
  <c r="BH10" i="2" s="1"/>
  <c r="BI10" i="2" s="1"/>
  <c r="BG9" i="2"/>
  <c r="BH9" i="2" s="1"/>
  <c r="BI9" i="2" s="1"/>
  <c r="BG8" i="2"/>
  <c r="BH8" i="2" s="1"/>
  <c r="BI8" i="2" s="1"/>
  <c r="BG7" i="2"/>
  <c r="BH7" i="2" s="1"/>
  <c r="BI7" i="2" s="1"/>
  <c r="BG6" i="2"/>
  <c r="BH6" i="2" s="1"/>
  <c r="BI6" i="2" s="1"/>
  <c r="BG5" i="2"/>
  <c r="BH5" i="2" s="1"/>
  <c r="BI5" i="2" s="1"/>
  <c r="BG4" i="2"/>
  <c r="BH4" i="2" s="1"/>
  <c r="BI4" i="2" s="1"/>
  <c r="BG3" i="2"/>
  <c r="BH3" i="2" s="1"/>
  <c r="BI3" i="2" s="1"/>
  <c r="BG2" i="2"/>
  <c r="BH2" i="2" s="1"/>
  <c r="BI2" i="2" s="1"/>
  <c r="BB323" i="2"/>
  <c r="BC323" i="2" s="1"/>
  <c r="BB322" i="2"/>
  <c r="BC322" i="2" s="1"/>
  <c r="BB321" i="2"/>
  <c r="BC321" i="2" s="1"/>
  <c r="BB320" i="2"/>
  <c r="BC320" i="2" s="1"/>
  <c r="BB319" i="2"/>
  <c r="BC319" i="2" s="1"/>
  <c r="BB318" i="2"/>
  <c r="BC318" i="2" s="1"/>
  <c r="BB317" i="2"/>
  <c r="BC317" i="2" s="1"/>
  <c r="BB316" i="2"/>
  <c r="BC316" i="2" s="1"/>
  <c r="BB315" i="2"/>
  <c r="BC315" i="2" s="1"/>
  <c r="BB314" i="2"/>
  <c r="BC314" i="2" s="1"/>
  <c r="BB313" i="2"/>
  <c r="BC313" i="2" s="1"/>
  <c r="BB312" i="2"/>
  <c r="BC312" i="2" s="1"/>
  <c r="BB311" i="2"/>
  <c r="BC311" i="2" s="1"/>
  <c r="BB310" i="2"/>
  <c r="BC310" i="2" s="1"/>
  <c r="BB309" i="2"/>
  <c r="BC309" i="2" s="1"/>
  <c r="BB308" i="2"/>
  <c r="BC308" i="2" s="1"/>
  <c r="BB307" i="2"/>
  <c r="BC307" i="2" s="1"/>
  <c r="BB306" i="2"/>
  <c r="BC306" i="2" s="1"/>
  <c r="BB305" i="2"/>
  <c r="BC305" i="2" s="1"/>
  <c r="BB304" i="2"/>
  <c r="BC304" i="2" s="1"/>
  <c r="BB303" i="2"/>
  <c r="BC303" i="2" s="1"/>
  <c r="BB302" i="2"/>
  <c r="BC302" i="2" s="1"/>
  <c r="BB301" i="2"/>
  <c r="BC301" i="2" s="1"/>
  <c r="BB300" i="2"/>
  <c r="BC300" i="2" s="1"/>
  <c r="BB299" i="2"/>
  <c r="BC299" i="2" s="1"/>
  <c r="BB298" i="2"/>
  <c r="BC298" i="2" s="1"/>
  <c r="BB297" i="2"/>
  <c r="BC297" i="2" s="1"/>
  <c r="BB296" i="2"/>
  <c r="BC296" i="2" s="1"/>
  <c r="BB295" i="2"/>
  <c r="BC295" i="2" s="1"/>
  <c r="BB294" i="2"/>
  <c r="BC294" i="2" s="1"/>
  <c r="BB293" i="2"/>
  <c r="BC293" i="2" s="1"/>
  <c r="BB292" i="2"/>
  <c r="BC292" i="2" s="1"/>
  <c r="BB291" i="2"/>
  <c r="BC291" i="2" s="1"/>
  <c r="BB290" i="2"/>
  <c r="BC290" i="2" s="1"/>
  <c r="BB289" i="2"/>
  <c r="BC289" i="2" s="1"/>
  <c r="BB288" i="2"/>
  <c r="BC288" i="2" s="1"/>
  <c r="BB287" i="2"/>
  <c r="BC287" i="2" s="1"/>
  <c r="BB286" i="2"/>
  <c r="BC286" i="2" s="1"/>
  <c r="BB285" i="2"/>
  <c r="BC285" i="2" s="1"/>
  <c r="BB284" i="2"/>
  <c r="BC284" i="2" s="1"/>
  <c r="BB283" i="2"/>
  <c r="BC283" i="2" s="1"/>
  <c r="BB282" i="2"/>
  <c r="BC282" i="2" s="1"/>
  <c r="BB281" i="2"/>
  <c r="BC281" i="2" s="1"/>
  <c r="BB280" i="2"/>
  <c r="BC280" i="2" s="1"/>
  <c r="BB279" i="2"/>
  <c r="BC279" i="2" s="1"/>
  <c r="BB278" i="2"/>
  <c r="BC278" i="2" s="1"/>
  <c r="BB277" i="2"/>
  <c r="BC277" i="2" s="1"/>
  <c r="BB276" i="2"/>
  <c r="BC276" i="2" s="1"/>
  <c r="BB275" i="2"/>
  <c r="BC275" i="2" s="1"/>
  <c r="BB274" i="2"/>
  <c r="BC274" i="2" s="1"/>
  <c r="BB273" i="2"/>
  <c r="BC273" i="2" s="1"/>
  <c r="BB272" i="2"/>
  <c r="BC272" i="2" s="1"/>
  <c r="BB271" i="2"/>
  <c r="BC271" i="2" s="1"/>
  <c r="BB270" i="2"/>
  <c r="BC270" i="2" s="1"/>
  <c r="BB269" i="2"/>
  <c r="BC269" i="2" s="1"/>
  <c r="BB268" i="2"/>
  <c r="BC268" i="2" s="1"/>
  <c r="BB267" i="2"/>
  <c r="BC267" i="2" s="1"/>
  <c r="BB266" i="2"/>
  <c r="BC266" i="2" s="1"/>
  <c r="BB265" i="2"/>
  <c r="BC265" i="2" s="1"/>
  <c r="BB264" i="2"/>
  <c r="BC264" i="2" s="1"/>
  <c r="BB263" i="2"/>
  <c r="BC263" i="2" s="1"/>
  <c r="BB262" i="2"/>
  <c r="BC262" i="2" s="1"/>
  <c r="BB261" i="2"/>
  <c r="BC261" i="2" s="1"/>
  <c r="BB260" i="2"/>
  <c r="BC260" i="2" s="1"/>
  <c r="BB259" i="2"/>
  <c r="BC259" i="2" s="1"/>
  <c r="BB258" i="2"/>
  <c r="BC258" i="2" s="1"/>
  <c r="BB257" i="2"/>
  <c r="BC257" i="2" s="1"/>
  <c r="BB256" i="2"/>
  <c r="BC256" i="2" s="1"/>
  <c r="BB255" i="2"/>
  <c r="BC255" i="2" s="1"/>
  <c r="BB254" i="2"/>
  <c r="BC254" i="2" s="1"/>
  <c r="BB253" i="2"/>
  <c r="BC253" i="2" s="1"/>
  <c r="BB252" i="2"/>
  <c r="BC252" i="2" s="1"/>
  <c r="BB251" i="2"/>
  <c r="BC251" i="2" s="1"/>
  <c r="BB250" i="2"/>
  <c r="BC250" i="2" s="1"/>
  <c r="BB249" i="2"/>
  <c r="BC249" i="2" s="1"/>
  <c r="BB248" i="2"/>
  <c r="BC248" i="2" s="1"/>
  <c r="BB247" i="2"/>
  <c r="BC247" i="2" s="1"/>
  <c r="BB246" i="2"/>
  <c r="BC246" i="2" s="1"/>
  <c r="BB245" i="2"/>
  <c r="BC245" i="2" s="1"/>
  <c r="BB244" i="2"/>
  <c r="BC244" i="2" s="1"/>
  <c r="BB243" i="2"/>
  <c r="BC243" i="2" s="1"/>
  <c r="BB242" i="2"/>
  <c r="BC242" i="2" s="1"/>
  <c r="BB241" i="2"/>
  <c r="BC241" i="2" s="1"/>
  <c r="BB240" i="2"/>
  <c r="BC240" i="2" s="1"/>
  <c r="BB239" i="2"/>
  <c r="BC239" i="2" s="1"/>
  <c r="BB238" i="2"/>
  <c r="BC238" i="2" s="1"/>
  <c r="BB237" i="2"/>
  <c r="BC237" i="2" s="1"/>
  <c r="BB236" i="2"/>
  <c r="BC236" i="2" s="1"/>
  <c r="BB235" i="2"/>
  <c r="BC235" i="2" s="1"/>
  <c r="BB234" i="2"/>
  <c r="BC234" i="2" s="1"/>
  <c r="BB233" i="2"/>
  <c r="BC233" i="2" s="1"/>
  <c r="BB232" i="2"/>
  <c r="BC232" i="2" s="1"/>
  <c r="BB231" i="2"/>
  <c r="BC231" i="2" s="1"/>
  <c r="BB230" i="2"/>
  <c r="BC230" i="2" s="1"/>
  <c r="BB229" i="2"/>
  <c r="BC229" i="2" s="1"/>
  <c r="BB228" i="2"/>
  <c r="BC228" i="2" s="1"/>
  <c r="BB227" i="2"/>
  <c r="BC227" i="2" s="1"/>
  <c r="BB226" i="2"/>
  <c r="BC226" i="2" s="1"/>
  <c r="BB225" i="2"/>
  <c r="BC225" i="2" s="1"/>
  <c r="BB224" i="2"/>
  <c r="BC224" i="2" s="1"/>
  <c r="BB223" i="2"/>
  <c r="BC223" i="2" s="1"/>
  <c r="BB222" i="2"/>
  <c r="BC222" i="2" s="1"/>
  <c r="BB221" i="2"/>
  <c r="BC221" i="2" s="1"/>
  <c r="BB220" i="2"/>
  <c r="BC220" i="2" s="1"/>
  <c r="BB219" i="2"/>
  <c r="BC219" i="2" s="1"/>
  <c r="BB218" i="2"/>
  <c r="BC218" i="2" s="1"/>
  <c r="BB217" i="2"/>
  <c r="BC217" i="2" s="1"/>
  <c r="BB216" i="2"/>
  <c r="BC216" i="2" s="1"/>
  <c r="BB215" i="2"/>
  <c r="BC215" i="2" s="1"/>
  <c r="BB214" i="2"/>
  <c r="BC214" i="2" s="1"/>
  <c r="BB213" i="2"/>
  <c r="BC213" i="2" s="1"/>
  <c r="BB212" i="2"/>
  <c r="BC212" i="2" s="1"/>
  <c r="BB211" i="2"/>
  <c r="BC211" i="2" s="1"/>
  <c r="BB210" i="2"/>
  <c r="BC210" i="2" s="1"/>
  <c r="BB209" i="2"/>
  <c r="BC209" i="2" s="1"/>
  <c r="BB208" i="2"/>
  <c r="BC208" i="2" s="1"/>
  <c r="BB207" i="2"/>
  <c r="BC207" i="2" s="1"/>
  <c r="BB206" i="2"/>
  <c r="BC206" i="2" s="1"/>
  <c r="BB205" i="2"/>
  <c r="BC205" i="2" s="1"/>
  <c r="BB204" i="2"/>
  <c r="BC204" i="2" s="1"/>
  <c r="BB203" i="2"/>
  <c r="BC203" i="2" s="1"/>
  <c r="BB202" i="2"/>
  <c r="BC202" i="2" s="1"/>
  <c r="BB201" i="2"/>
  <c r="BC201" i="2" s="1"/>
  <c r="BB200" i="2"/>
  <c r="BC200" i="2" s="1"/>
  <c r="BB199" i="2"/>
  <c r="BC199" i="2" s="1"/>
  <c r="BB198" i="2"/>
  <c r="BC198" i="2" s="1"/>
  <c r="BB197" i="2"/>
  <c r="BC197" i="2" s="1"/>
  <c r="BB196" i="2"/>
  <c r="BC196" i="2" s="1"/>
  <c r="BB195" i="2"/>
  <c r="BC195" i="2" s="1"/>
  <c r="BB194" i="2"/>
  <c r="BC194" i="2" s="1"/>
  <c r="BB193" i="2"/>
  <c r="BC193" i="2" s="1"/>
  <c r="BB192" i="2"/>
  <c r="BC192" i="2" s="1"/>
  <c r="BB191" i="2"/>
  <c r="BC191" i="2" s="1"/>
  <c r="BB190" i="2"/>
  <c r="BC190" i="2" s="1"/>
  <c r="BB189" i="2"/>
  <c r="BC189" i="2" s="1"/>
  <c r="BB188" i="2"/>
  <c r="BC188" i="2" s="1"/>
  <c r="BB187" i="2"/>
  <c r="BC187" i="2" s="1"/>
  <c r="BB186" i="2"/>
  <c r="BC186" i="2" s="1"/>
  <c r="BB185" i="2"/>
  <c r="BC185" i="2" s="1"/>
  <c r="BB184" i="2"/>
  <c r="BC184" i="2" s="1"/>
  <c r="BB183" i="2"/>
  <c r="BC183" i="2" s="1"/>
  <c r="BB182" i="2"/>
  <c r="BC182" i="2" s="1"/>
  <c r="BB181" i="2"/>
  <c r="BC181" i="2" s="1"/>
  <c r="BB180" i="2"/>
  <c r="BC180" i="2" s="1"/>
  <c r="BB179" i="2"/>
  <c r="BC179" i="2" s="1"/>
  <c r="BB178" i="2"/>
  <c r="BC178" i="2" s="1"/>
  <c r="BB177" i="2"/>
  <c r="BC177" i="2" s="1"/>
  <c r="BB176" i="2"/>
  <c r="BC176" i="2" s="1"/>
  <c r="BB175" i="2"/>
  <c r="BC175" i="2" s="1"/>
  <c r="BB174" i="2"/>
  <c r="BC174" i="2" s="1"/>
  <c r="BB173" i="2"/>
  <c r="BC173" i="2" s="1"/>
  <c r="BB172" i="2"/>
  <c r="BC172" i="2" s="1"/>
  <c r="BB171" i="2"/>
  <c r="BC171" i="2" s="1"/>
  <c r="BB170" i="2"/>
  <c r="BC170" i="2" s="1"/>
  <c r="BB169" i="2"/>
  <c r="BC169" i="2" s="1"/>
  <c r="BB168" i="2"/>
  <c r="BC168" i="2" s="1"/>
  <c r="BB167" i="2"/>
  <c r="BC167" i="2" s="1"/>
  <c r="BB166" i="2"/>
  <c r="BC166" i="2" s="1"/>
  <c r="BB165" i="2"/>
  <c r="BC165" i="2" s="1"/>
  <c r="BB164" i="2"/>
  <c r="BC164" i="2" s="1"/>
  <c r="BB163" i="2"/>
  <c r="BC163" i="2" s="1"/>
  <c r="BB162" i="2"/>
  <c r="BC162" i="2" s="1"/>
  <c r="BB161" i="2"/>
  <c r="BC161" i="2" s="1"/>
  <c r="BB160" i="2"/>
  <c r="BC160" i="2" s="1"/>
  <c r="BB159" i="2"/>
  <c r="BC159" i="2" s="1"/>
  <c r="BB158" i="2"/>
  <c r="BC158" i="2" s="1"/>
  <c r="BB157" i="2"/>
  <c r="BC157" i="2" s="1"/>
  <c r="BB156" i="2"/>
  <c r="BC156" i="2" s="1"/>
  <c r="BB155" i="2"/>
  <c r="BC155" i="2" s="1"/>
  <c r="BB154" i="2"/>
  <c r="BC154" i="2" s="1"/>
  <c r="BB153" i="2"/>
  <c r="BC153" i="2" s="1"/>
  <c r="BB152" i="2"/>
  <c r="BC152" i="2" s="1"/>
  <c r="BB151" i="2"/>
  <c r="BC151" i="2" s="1"/>
  <c r="BB150" i="2"/>
  <c r="BC150" i="2" s="1"/>
  <c r="BB149" i="2"/>
  <c r="BC149" i="2" s="1"/>
  <c r="BB148" i="2"/>
  <c r="BC148" i="2" s="1"/>
  <c r="BB147" i="2"/>
  <c r="BC147" i="2" s="1"/>
  <c r="BB146" i="2"/>
  <c r="BC146" i="2" s="1"/>
  <c r="BB145" i="2"/>
  <c r="BC145" i="2" s="1"/>
  <c r="BB144" i="2"/>
  <c r="BC144" i="2" s="1"/>
  <c r="BB143" i="2"/>
  <c r="BC143" i="2" s="1"/>
  <c r="BB142" i="2"/>
  <c r="BC142" i="2" s="1"/>
  <c r="BB141" i="2"/>
  <c r="BC141" i="2" s="1"/>
  <c r="BB140" i="2"/>
  <c r="BC140" i="2" s="1"/>
  <c r="BB139" i="2"/>
  <c r="BC139" i="2" s="1"/>
  <c r="BB138" i="2"/>
  <c r="BC138" i="2" s="1"/>
  <c r="BB137" i="2"/>
  <c r="BC137" i="2" s="1"/>
  <c r="BB136" i="2"/>
  <c r="BC136" i="2" s="1"/>
  <c r="BB135" i="2"/>
  <c r="BC135" i="2" s="1"/>
  <c r="BB134" i="2"/>
  <c r="BC134" i="2" s="1"/>
  <c r="BB133" i="2"/>
  <c r="BC133" i="2" s="1"/>
  <c r="BB132" i="2"/>
  <c r="BC132" i="2" s="1"/>
  <c r="BB131" i="2"/>
  <c r="BC131" i="2" s="1"/>
  <c r="BB130" i="2"/>
  <c r="BC130" i="2" s="1"/>
  <c r="BB129" i="2"/>
  <c r="BC129" i="2" s="1"/>
  <c r="BB128" i="2"/>
  <c r="BC128" i="2" s="1"/>
  <c r="BB127" i="2"/>
  <c r="BC127" i="2" s="1"/>
  <c r="BB126" i="2"/>
  <c r="BC126" i="2" s="1"/>
  <c r="BB125" i="2"/>
  <c r="BC125" i="2" s="1"/>
  <c r="BB124" i="2"/>
  <c r="BC124" i="2" s="1"/>
  <c r="BB123" i="2"/>
  <c r="BC123" i="2" s="1"/>
  <c r="BB122" i="2"/>
  <c r="BC122" i="2" s="1"/>
  <c r="BB121" i="2"/>
  <c r="BC121" i="2" s="1"/>
  <c r="BB120" i="2"/>
  <c r="BC120" i="2" s="1"/>
  <c r="BB119" i="2"/>
  <c r="BC119" i="2" s="1"/>
  <c r="BB118" i="2"/>
  <c r="BC118" i="2" s="1"/>
  <c r="BB117" i="2"/>
  <c r="BC117" i="2" s="1"/>
  <c r="BB116" i="2"/>
  <c r="BC116" i="2" s="1"/>
  <c r="BB115" i="2"/>
  <c r="BC115" i="2" s="1"/>
  <c r="BB114" i="2"/>
  <c r="BC114" i="2" s="1"/>
  <c r="BB113" i="2"/>
  <c r="BC113" i="2" s="1"/>
  <c r="BB112" i="2"/>
  <c r="BC112" i="2" s="1"/>
  <c r="BB111" i="2"/>
  <c r="BC111" i="2" s="1"/>
  <c r="BB110" i="2"/>
  <c r="BC110" i="2" s="1"/>
  <c r="BB109" i="2"/>
  <c r="BC109" i="2" s="1"/>
  <c r="BB108" i="2"/>
  <c r="BC108" i="2" s="1"/>
  <c r="BB107" i="2"/>
  <c r="BC107" i="2" s="1"/>
  <c r="BB106" i="2"/>
  <c r="BC106" i="2" s="1"/>
  <c r="BB105" i="2"/>
  <c r="BC105" i="2" s="1"/>
  <c r="BB104" i="2"/>
  <c r="BC104" i="2" s="1"/>
  <c r="BB103" i="2"/>
  <c r="BC103" i="2" s="1"/>
  <c r="BB102" i="2"/>
  <c r="BC102" i="2" s="1"/>
  <c r="BB101" i="2"/>
  <c r="BC101" i="2" s="1"/>
  <c r="BB100" i="2"/>
  <c r="BC100" i="2" s="1"/>
  <c r="BB99" i="2"/>
  <c r="BC99" i="2" s="1"/>
  <c r="BB98" i="2"/>
  <c r="BC98" i="2" s="1"/>
  <c r="BB97" i="2"/>
  <c r="BC97" i="2" s="1"/>
  <c r="BB96" i="2"/>
  <c r="BC96" i="2" s="1"/>
  <c r="BB95" i="2"/>
  <c r="BC95" i="2" s="1"/>
  <c r="BB94" i="2"/>
  <c r="BC94" i="2" s="1"/>
  <c r="BB93" i="2"/>
  <c r="BC93" i="2" s="1"/>
  <c r="BB92" i="2"/>
  <c r="BC92" i="2" s="1"/>
  <c r="BB91" i="2"/>
  <c r="BC91" i="2" s="1"/>
  <c r="BB90" i="2"/>
  <c r="BC90" i="2" s="1"/>
  <c r="BB89" i="2"/>
  <c r="BC89" i="2" s="1"/>
  <c r="BB88" i="2"/>
  <c r="BC88" i="2" s="1"/>
  <c r="BB87" i="2"/>
  <c r="BC87" i="2" s="1"/>
  <c r="BB86" i="2"/>
  <c r="BC86" i="2" s="1"/>
  <c r="BB85" i="2"/>
  <c r="BC85" i="2" s="1"/>
  <c r="BB84" i="2"/>
  <c r="BC84" i="2" s="1"/>
  <c r="BB83" i="2"/>
  <c r="BC83" i="2" s="1"/>
  <c r="BB82" i="2"/>
  <c r="BC82" i="2" s="1"/>
  <c r="BB81" i="2"/>
  <c r="BC81" i="2" s="1"/>
  <c r="BB80" i="2"/>
  <c r="BC80" i="2" s="1"/>
  <c r="BB79" i="2"/>
  <c r="BC79" i="2" s="1"/>
  <c r="BB78" i="2"/>
  <c r="BC78" i="2" s="1"/>
  <c r="BB77" i="2"/>
  <c r="BC77" i="2" s="1"/>
  <c r="BB76" i="2"/>
  <c r="BC76" i="2" s="1"/>
  <c r="BB75" i="2"/>
  <c r="BC75" i="2" s="1"/>
  <c r="BB74" i="2"/>
  <c r="BC74" i="2" s="1"/>
  <c r="BB73" i="2"/>
  <c r="BC73" i="2" s="1"/>
  <c r="BB72" i="2"/>
  <c r="BC72" i="2" s="1"/>
  <c r="BB71" i="2"/>
  <c r="BC71" i="2" s="1"/>
  <c r="BB70" i="2"/>
  <c r="BC70" i="2" s="1"/>
  <c r="BB69" i="2"/>
  <c r="BC69" i="2" s="1"/>
  <c r="BB68" i="2"/>
  <c r="BC68" i="2" s="1"/>
  <c r="BB67" i="2"/>
  <c r="BC67" i="2" s="1"/>
  <c r="BB66" i="2"/>
  <c r="BC66" i="2" s="1"/>
  <c r="BB65" i="2"/>
  <c r="BC65" i="2" s="1"/>
  <c r="BB64" i="2"/>
  <c r="BC64" i="2" s="1"/>
  <c r="BB63" i="2"/>
  <c r="BC63" i="2" s="1"/>
  <c r="BB62" i="2"/>
  <c r="BC62" i="2" s="1"/>
  <c r="BB61" i="2"/>
  <c r="BC61" i="2" s="1"/>
  <c r="BB60" i="2"/>
  <c r="BC60" i="2" s="1"/>
  <c r="BB59" i="2"/>
  <c r="BC59" i="2" s="1"/>
  <c r="BB58" i="2"/>
  <c r="BC58" i="2" s="1"/>
  <c r="BB57" i="2"/>
  <c r="BC57" i="2" s="1"/>
  <c r="BB56" i="2"/>
  <c r="BC56" i="2" s="1"/>
  <c r="BB55" i="2"/>
  <c r="BC55" i="2" s="1"/>
  <c r="BB54" i="2"/>
  <c r="BC54" i="2" s="1"/>
  <c r="BB53" i="2"/>
  <c r="BC53" i="2" s="1"/>
  <c r="BB52" i="2"/>
  <c r="BC52" i="2" s="1"/>
  <c r="BB51" i="2"/>
  <c r="BC51" i="2" s="1"/>
  <c r="BB50" i="2"/>
  <c r="BC50" i="2" s="1"/>
  <c r="BB49" i="2"/>
  <c r="BC49" i="2" s="1"/>
  <c r="BB48" i="2"/>
  <c r="BC48" i="2" s="1"/>
  <c r="BB47" i="2"/>
  <c r="BC47" i="2" s="1"/>
  <c r="BB46" i="2"/>
  <c r="BC46" i="2" s="1"/>
  <c r="BB45" i="2"/>
  <c r="BC45" i="2" s="1"/>
  <c r="BB44" i="2"/>
  <c r="BC44" i="2" s="1"/>
  <c r="BB43" i="2"/>
  <c r="BC43" i="2" s="1"/>
  <c r="BB42" i="2"/>
  <c r="BC42" i="2" s="1"/>
  <c r="BB41" i="2"/>
  <c r="BC41" i="2" s="1"/>
  <c r="BB40" i="2"/>
  <c r="BC40" i="2" s="1"/>
  <c r="BB39" i="2"/>
  <c r="BC39" i="2" s="1"/>
  <c r="BB38" i="2"/>
  <c r="BC38" i="2" s="1"/>
  <c r="BB37" i="2"/>
  <c r="BC37" i="2" s="1"/>
  <c r="BB36" i="2"/>
  <c r="BC36" i="2" s="1"/>
  <c r="BB35" i="2"/>
  <c r="BC35" i="2" s="1"/>
  <c r="BB34" i="2"/>
  <c r="BC34" i="2" s="1"/>
  <c r="BB33" i="2"/>
  <c r="BC33" i="2" s="1"/>
  <c r="BB32" i="2"/>
  <c r="BC32" i="2" s="1"/>
  <c r="BB31" i="2"/>
  <c r="BC31" i="2" s="1"/>
  <c r="BB30" i="2"/>
  <c r="BC30" i="2" s="1"/>
  <c r="BB29" i="2"/>
  <c r="BC29" i="2" s="1"/>
  <c r="BB28" i="2"/>
  <c r="BC28" i="2" s="1"/>
  <c r="BB27" i="2"/>
  <c r="BC27" i="2" s="1"/>
  <c r="BB26" i="2"/>
  <c r="BC26" i="2" s="1"/>
  <c r="BB25" i="2"/>
  <c r="BC25" i="2" s="1"/>
  <c r="BB24" i="2"/>
  <c r="BC24" i="2" s="1"/>
  <c r="BB23" i="2"/>
  <c r="BC23" i="2" s="1"/>
  <c r="BB22" i="2"/>
  <c r="BC22" i="2" s="1"/>
  <c r="BB21" i="2"/>
  <c r="BC21" i="2" s="1"/>
  <c r="BB20" i="2"/>
  <c r="BC20" i="2" s="1"/>
  <c r="BB19" i="2"/>
  <c r="BC19" i="2" s="1"/>
  <c r="BB18" i="2"/>
  <c r="BC18" i="2" s="1"/>
  <c r="BB17" i="2"/>
  <c r="BC17" i="2" s="1"/>
  <c r="BB16" i="2"/>
  <c r="BC16" i="2" s="1"/>
  <c r="BB15" i="2"/>
  <c r="BC15" i="2" s="1"/>
  <c r="BB14" i="2"/>
  <c r="BC14" i="2" s="1"/>
  <c r="BB13" i="2"/>
  <c r="BC13" i="2" s="1"/>
  <c r="BB12" i="2"/>
  <c r="BC12" i="2" s="1"/>
  <c r="BB11" i="2"/>
  <c r="BC11" i="2" s="1"/>
  <c r="BB10" i="2"/>
  <c r="BC10" i="2" s="1"/>
  <c r="BB9" i="2"/>
  <c r="BC9" i="2" s="1"/>
  <c r="BB8" i="2"/>
  <c r="BC8" i="2" s="1"/>
  <c r="BB7" i="2"/>
  <c r="BC7" i="2" s="1"/>
  <c r="BB6" i="2"/>
  <c r="BC6" i="2" s="1"/>
  <c r="BB5" i="2"/>
  <c r="BC5" i="2" s="1"/>
  <c r="BB4" i="2"/>
  <c r="BC4" i="2" s="1"/>
  <c r="BB3" i="2"/>
  <c r="BC3" i="2" s="1"/>
  <c r="BB2" i="2"/>
  <c r="BC2" i="2" s="1"/>
  <c r="AX323" i="2"/>
  <c r="AY323" i="2" s="1"/>
  <c r="AX322" i="2"/>
  <c r="AY322" i="2" s="1"/>
  <c r="AX321" i="2"/>
  <c r="AY321" i="2" s="1"/>
  <c r="AX320" i="2"/>
  <c r="AY320" i="2" s="1"/>
  <c r="AX319" i="2"/>
  <c r="AY319" i="2" s="1"/>
  <c r="AX318" i="2"/>
  <c r="AY318" i="2" s="1"/>
  <c r="AX317" i="2"/>
  <c r="AY317" i="2" s="1"/>
  <c r="AX316" i="2"/>
  <c r="AY316" i="2" s="1"/>
  <c r="AX315" i="2"/>
  <c r="AY315" i="2" s="1"/>
  <c r="AX314" i="2"/>
  <c r="AY314" i="2" s="1"/>
  <c r="AX313" i="2"/>
  <c r="AY313" i="2" s="1"/>
  <c r="AX312" i="2"/>
  <c r="AY312" i="2" s="1"/>
  <c r="AX311" i="2"/>
  <c r="AY311" i="2" s="1"/>
  <c r="AX310" i="2"/>
  <c r="AY310" i="2" s="1"/>
  <c r="AX309" i="2"/>
  <c r="AY309" i="2" s="1"/>
  <c r="AX308" i="2"/>
  <c r="AY308" i="2" s="1"/>
  <c r="AX307" i="2"/>
  <c r="AY307" i="2" s="1"/>
  <c r="AX306" i="2"/>
  <c r="AY306" i="2" s="1"/>
  <c r="AX305" i="2"/>
  <c r="AY305" i="2" s="1"/>
  <c r="AX304" i="2"/>
  <c r="AY304" i="2" s="1"/>
  <c r="AX303" i="2"/>
  <c r="AY303" i="2" s="1"/>
  <c r="AX302" i="2"/>
  <c r="AY302" i="2" s="1"/>
  <c r="AX301" i="2"/>
  <c r="AY301" i="2" s="1"/>
  <c r="AX300" i="2"/>
  <c r="AY300" i="2" s="1"/>
  <c r="AX299" i="2"/>
  <c r="AY299" i="2" s="1"/>
  <c r="AX298" i="2"/>
  <c r="AY298" i="2" s="1"/>
  <c r="AX297" i="2"/>
  <c r="AY297" i="2" s="1"/>
  <c r="AX296" i="2"/>
  <c r="AY296" i="2" s="1"/>
  <c r="AX295" i="2"/>
  <c r="AY295" i="2" s="1"/>
  <c r="AX294" i="2"/>
  <c r="AY294" i="2" s="1"/>
  <c r="AX293" i="2"/>
  <c r="AY293" i="2" s="1"/>
  <c r="AX292" i="2"/>
  <c r="AY292" i="2" s="1"/>
  <c r="AX291" i="2"/>
  <c r="AY291" i="2" s="1"/>
  <c r="AX290" i="2"/>
  <c r="AY290" i="2" s="1"/>
  <c r="AX289" i="2"/>
  <c r="AY289" i="2" s="1"/>
  <c r="AX288" i="2"/>
  <c r="AY288" i="2" s="1"/>
  <c r="AX287" i="2"/>
  <c r="AY287" i="2" s="1"/>
  <c r="AX286" i="2"/>
  <c r="AY286" i="2" s="1"/>
  <c r="AX285" i="2"/>
  <c r="AY285" i="2" s="1"/>
  <c r="AX284" i="2"/>
  <c r="AY284" i="2" s="1"/>
  <c r="AX283" i="2"/>
  <c r="AY283" i="2" s="1"/>
  <c r="AX282" i="2"/>
  <c r="AY282" i="2" s="1"/>
  <c r="AX281" i="2"/>
  <c r="AY281" i="2" s="1"/>
  <c r="AX280" i="2"/>
  <c r="AY280" i="2" s="1"/>
  <c r="AX279" i="2"/>
  <c r="AY279" i="2" s="1"/>
  <c r="AX278" i="2"/>
  <c r="AY278" i="2" s="1"/>
  <c r="AX277" i="2"/>
  <c r="AY277" i="2" s="1"/>
  <c r="AX276" i="2"/>
  <c r="AY276" i="2" s="1"/>
  <c r="AX275" i="2"/>
  <c r="AY275" i="2" s="1"/>
  <c r="AX274" i="2"/>
  <c r="AY274" i="2" s="1"/>
  <c r="AX273" i="2"/>
  <c r="AY273" i="2" s="1"/>
  <c r="AX272" i="2"/>
  <c r="AY272" i="2" s="1"/>
  <c r="AX271" i="2"/>
  <c r="AY271" i="2" s="1"/>
  <c r="AX270" i="2"/>
  <c r="AY270" i="2" s="1"/>
  <c r="AX269" i="2"/>
  <c r="AY269" i="2" s="1"/>
  <c r="AX268" i="2"/>
  <c r="AY268" i="2" s="1"/>
  <c r="AX267" i="2"/>
  <c r="AY267" i="2" s="1"/>
  <c r="AX266" i="2"/>
  <c r="AY266" i="2" s="1"/>
  <c r="AX265" i="2"/>
  <c r="AY265" i="2" s="1"/>
  <c r="AX264" i="2"/>
  <c r="AY264" i="2" s="1"/>
  <c r="AX263" i="2"/>
  <c r="AY263" i="2" s="1"/>
  <c r="AX262" i="2"/>
  <c r="AY262" i="2" s="1"/>
  <c r="AX261" i="2"/>
  <c r="AY261" i="2" s="1"/>
  <c r="AX260" i="2"/>
  <c r="AY260" i="2" s="1"/>
  <c r="AX259" i="2"/>
  <c r="AY259" i="2" s="1"/>
  <c r="AX258" i="2"/>
  <c r="AY258" i="2" s="1"/>
  <c r="AX257" i="2"/>
  <c r="AY257" i="2" s="1"/>
  <c r="AX256" i="2"/>
  <c r="AY256" i="2" s="1"/>
  <c r="AX255" i="2"/>
  <c r="AY255" i="2" s="1"/>
  <c r="AX254" i="2"/>
  <c r="AY254" i="2" s="1"/>
  <c r="AX253" i="2"/>
  <c r="AY253" i="2" s="1"/>
  <c r="AX252" i="2"/>
  <c r="AY252" i="2" s="1"/>
  <c r="AX251" i="2"/>
  <c r="AY251" i="2" s="1"/>
  <c r="AX250" i="2"/>
  <c r="AY250" i="2" s="1"/>
  <c r="AX249" i="2"/>
  <c r="AY249" i="2" s="1"/>
  <c r="AX248" i="2"/>
  <c r="AY248" i="2" s="1"/>
  <c r="AX247" i="2"/>
  <c r="AY247" i="2" s="1"/>
  <c r="AX246" i="2"/>
  <c r="AY246" i="2" s="1"/>
  <c r="AX245" i="2"/>
  <c r="AY245" i="2" s="1"/>
  <c r="AX244" i="2"/>
  <c r="AY244" i="2" s="1"/>
  <c r="AX243" i="2"/>
  <c r="AY243" i="2" s="1"/>
  <c r="AX242" i="2"/>
  <c r="AY242" i="2" s="1"/>
  <c r="AX241" i="2"/>
  <c r="AY241" i="2" s="1"/>
  <c r="AX240" i="2"/>
  <c r="AY240" i="2" s="1"/>
  <c r="AX239" i="2"/>
  <c r="AY239" i="2" s="1"/>
  <c r="AX238" i="2"/>
  <c r="AY238" i="2" s="1"/>
  <c r="AX237" i="2"/>
  <c r="AY237" i="2" s="1"/>
  <c r="AX236" i="2"/>
  <c r="AY236" i="2" s="1"/>
  <c r="AX235" i="2"/>
  <c r="AY235" i="2" s="1"/>
  <c r="AX234" i="2"/>
  <c r="AY234" i="2" s="1"/>
  <c r="AX233" i="2"/>
  <c r="AY233" i="2" s="1"/>
  <c r="AX232" i="2"/>
  <c r="AY232" i="2" s="1"/>
  <c r="AX231" i="2"/>
  <c r="AY231" i="2" s="1"/>
  <c r="AX230" i="2"/>
  <c r="AY230" i="2" s="1"/>
  <c r="AX229" i="2"/>
  <c r="AY229" i="2" s="1"/>
  <c r="AX228" i="2"/>
  <c r="AY228" i="2" s="1"/>
  <c r="AX227" i="2"/>
  <c r="AY227" i="2" s="1"/>
  <c r="AX226" i="2"/>
  <c r="AY226" i="2" s="1"/>
  <c r="AX225" i="2"/>
  <c r="AY225" i="2" s="1"/>
  <c r="AX224" i="2"/>
  <c r="AY224" i="2" s="1"/>
  <c r="AX223" i="2"/>
  <c r="AY223" i="2" s="1"/>
  <c r="AX222" i="2"/>
  <c r="AY222" i="2" s="1"/>
  <c r="AX221" i="2"/>
  <c r="AY221" i="2" s="1"/>
  <c r="AX220" i="2"/>
  <c r="AY220" i="2" s="1"/>
  <c r="AX219" i="2"/>
  <c r="AY219" i="2" s="1"/>
  <c r="AX218" i="2"/>
  <c r="AY218" i="2" s="1"/>
  <c r="AX217" i="2"/>
  <c r="AY217" i="2" s="1"/>
  <c r="AX216" i="2"/>
  <c r="AY216" i="2" s="1"/>
  <c r="AX215" i="2"/>
  <c r="AY215" i="2" s="1"/>
  <c r="AX214" i="2"/>
  <c r="AY214" i="2" s="1"/>
  <c r="AX213" i="2"/>
  <c r="AY213" i="2" s="1"/>
  <c r="AX212" i="2"/>
  <c r="AY212" i="2" s="1"/>
  <c r="AX211" i="2"/>
  <c r="AY211" i="2" s="1"/>
  <c r="AX210" i="2"/>
  <c r="AY210" i="2" s="1"/>
  <c r="AX209" i="2"/>
  <c r="AY209" i="2" s="1"/>
  <c r="AX208" i="2"/>
  <c r="AY208" i="2" s="1"/>
  <c r="AX207" i="2"/>
  <c r="AY207" i="2" s="1"/>
  <c r="AX206" i="2"/>
  <c r="AY206" i="2" s="1"/>
  <c r="AX205" i="2"/>
  <c r="AY205" i="2" s="1"/>
  <c r="AX204" i="2"/>
  <c r="AY204" i="2" s="1"/>
  <c r="AX203" i="2"/>
  <c r="AY203" i="2" s="1"/>
  <c r="AX202" i="2"/>
  <c r="AY202" i="2" s="1"/>
  <c r="AX201" i="2"/>
  <c r="AY201" i="2" s="1"/>
  <c r="AX200" i="2"/>
  <c r="AY200" i="2" s="1"/>
  <c r="AX199" i="2"/>
  <c r="AY199" i="2" s="1"/>
  <c r="AX198" i="2"/>
  <c r="AY198" i="2" s="1"/>
  <c r="AX197" i="2"/>
  <c r="AY197" i="2" s="1"/>
  <c r="AX196" i="2"/>
  <c r="AY196" i="2" s="1"/>
  <c r="AX195" i="2"/>
  <c r="AY195" i="2" s="1"/>
  <c r="AX194" i="2"/>
  <c r="AY194" i="2" s="1"/>
  <c r="AX193" i="2"/>
  <c r="AY193" i="2" s="1"/>
  <c r="AX192" i="2"/>
  <c r="AY192" i="2" s="1"/>
  <c r="AX191" i="2"/>
  <c r="AY191" i="2" s="1"/>
  <c r="AX190" i="2"/>
  <c r="AY190" i="2" s="1"/>
  <c r="AX189" i="2"/>
  <c r="AY189" i="2" s="1"/>
  <c r="AX188" i="2"/>
  <c r="AY188" i="2" s="1"/>
  <c r="AX187" i="2"/>
  <c r="AY187" i="2" s="1"/>
  <c r="AX186" i="2"/>
  <c r="AY186" i="2" s="1"/>
  <c r="AX185" i="2"/>
  <c r="AY185" i="2" s="1"/>
  <c r="AX184" i="2"/>
  <c r="AY184" i="2" s="1"/>
  <c r="AX183" i="2"/>
  <c r="AY183" i="2" s="1"/>
  <c r="AX182" i="2"/>
  <c r="AY182" i="2" s="1"/>
  <c r="AX181" i="2"/>
  <c r="AY181" i="2" s="1"/>
  <c r="AX180" i="2"/>
  <c r="AY180" i="2" s="1"/>
  <c r="AX179" i="2"/>
  <c r="AY179" i="2" s="1"/>
  <c r="AX178" i="2"/>
  <c r="AY178" i="2" s="1"/>
  <c r="AX177" i="2"/>
  <c r="AY177" i="2" s="1"/>
  <c r="AX176" i="2"/>
  <c r="AY176" i="2" s="1"/>
  <c r="AX175" i="2"/>
  <c r="AY175" i="2" s="1"/>
  <c r="AX174" i="2"/>
  <c r="AY174" i="2" s="1"/>
  <c r="AX173" i="2"/>
  <c r="AY173" i="2" s="1"/>
  <c r="AX172" i="2"/>
  <c r="AY172" i="2" s="1"/>
  <c r="AX171" i="2"/>
  <c r="AY171" i="2" s="1"/>
  <c r="AX170" i="2"/>
  <c r="AY170" i="2" s="1"/>
  <c r="AX169" i="2"/>
  <c r="AY169" i="2" s="1"/>
  <c r="AX168" i="2"/>
  <c r="AY168" i="2" s="1"/>
  <c r="AX167" i="2"/>
  <c r="AY167" i="2" s="1"/>
  <c r="AX166" i="2"/>
  <c r="AY166" i="2" s="1"/>
  <c r="AX165" i="2"/>
  <c r="AY165" i="2" s="1"/>
  <c r="AX164" i="2"/>
  <c r="AY164" i="2" s="1"/>
  <c r="AX163" i="2"/>
  <c r="AY163" i="2" s="1"/>
  <c r="AX162" i="2"/>
  <c r="AY162" i="2" s="1"/>
  <c r="AX161" i="2"/>
  <c r="AY161" i="2" s="1"/>
  <c r="AX160" i="2"/>
  <c r="AY160" i="2" s="1"/>
  <c r="AX159" i="2"/>
  <c r="AY159" i="2" s="1"/>
  <c r="AX158" i="2"/>
  <c r="AY158" i="2" s="1"/>
  <c r="AX157" i="2"/>
  <c r="AY157" i="2" s="1"/>
  <c r="AX156" i="2"/>
  <c r="AY156" i="2" s="1"/>
  <c r="AX155" i="2"/>
  <c r="AY155" i="2" s="1"/>
  <c r="AX154" i="2"/>
  <c r="AY154" i="2" s="1"/>
  <c r="AX153" i="2"/>
  <c r="AY153" i="2" s="1"/>
  <c r="AX152" i="2"/>
  <c r="AY152" i="2" s="1"/>
  <c r="AX151" i="2"/>
  <c r="AY151" i="2" s="1"/>
  <c r="AX150" i="2"/>
  <c r="AY150" i="2" s="1"/>
  <c r="AX149" i="2"/>
  <c r="AY149" i="2" s="1"/>
  <c r="AX148" i="2"/>
  <c r="AY148" i="2" s="1"/>
  <c r="AX147" i="2"/>
  <c r="AY147" i="2" s="1"/>
  <c r="AX146" i="2"/>
  <c r="AY146" i="2" s="1"/>
  <c r="AX145" i="2"/>
  <c r="AY145" i="2" s="1"/>
  <c r="AX144" i="2"/>
  <c r="AY144" i="2" s="1"/>
  <c r="AX143" i="2"/>
  <c r="AY143" i="2" s="1"/>
  <c r="AX142" i="2"/>
  <c r="AY142" i="2" s="1"/>
  <c r="AX141" i="2"/>
  <c r="AY141" i="2" s="1"/>
  <c r="AX140" i="2"/>
  <c r="AY140" i="2" s="1"/>
  <c r="AX139" i="2"/>
  <c r="AY139" i="2" s="1"/>
  <c r="AX138" i="2"/>
  <c r="AY138" i="2" s="1"/>
  <c r="AX137" i="2"/>
  <c r="AY137" i="2" s="1"/>
  <c r="AX136" i="2"/>
  <c r="AY136" i="2" s="1"/>
  <c r="AX135" i="2"/>
  <c r="AY135" i="2" s="1"/>
  <c r="AX134" i="2"/>
  <c r="AY134" i="2" s="1"/>
  <c r="AX133" i="2"/>
  <c r="AY133" i="2" s="1"/>
  <c r="AX132" i="2"/>
  <c r="AY132" i="2" s="1"/>
  <c r="AX131" i="2"/>
  <c r="AY131" i="2" s="1"/>
  <c r="AX130" i="2"/>
  <c r="AY130" i="2" s="1"/>
  <c r="AX129" i="2"/>
  <c r="AY129" i="2" s="1"/>
  <c r="AX128" i="2"/>
  <c r="AY128" i="2" s="1"/>
  <c r="AX127" i="2"/>
  <c r="AY127" i="2" s="1"/>
  <c r="AX126" i="2"/>
  <c r="AY126" i="2" s="1"/>
  <c r="AX125" i="2"/>
  <c r="AY125" i="2" s="1"/>
  <c r="AX124" i="2"/>
  <c r="AY124" i="2" s="1"/>
  <c r="AX123" i="2"/>
  <c r="AY123" i="2" s="1"/>
  <c r="AX122" i="2"/>
  <c r="AY122" i="2" s="1"/>
  <c r="AX121" i="2"/>
  <c r="AY121" i="2" s="1"/>
  <c r="AX120" i="2"/>
  <c r="AY120" i="2" s="1"/>
  <c r="AX119" i="2"/>
  <c r="AY119" i="2" s="1"/>
  <c r="AX118" i="2"/>
  <c r="AY118" i="2" s="1"/>
  <c r="AX117" i="2"/>
  <c r="AY117" i="2" s="1"/>
  <c r="AX116" i="2"/>
  <c r="AY116" i="2" s="1"/>
  <c r="AX115" i="2"/>
  <c r="AY115" i="2" s="1"/>
  <c r="AX114" i="2"/>
  <c r="AY114" i="2" s="1"/>
  <c r="AX113" i="2"/>
  <c r="AY113" i="2" s="1"/>
  <c r="AX112" i="2"/>
  <c r="AY112" i="2" s="1"/>
  <c r="AX111" i="2"/>
  <c r="AY111" i="2" s="1"/>
  <c r="AX110" i="2"/>
  <c r="AY110" i="2" s="1"/>
  <c r="AX109" i="2"/>
  <c r="AY109" i="2" s="1"/>
  <c r="AX108" i="2"/>
  <c r="AY108" i="2" s="1"/>
  <c r="AX107" i="2"/>
  <c r="AY107" i="2" s="1"/>
  <c r="AX106" i="2"/>
  <c r="AY106" i="2" s="1"/>
  <c r="AX105" i="2"/>
  <c r="AY105" i="2" s="1"/>
  <c r="AX104" i="2"/>
  <c r="AY104" i="2" s="1"/>
  <c r="AX103" i="2"/>
  <c r="AY103" i="2" s="1"/>
  <c r="AX102" i="2"/>
  <c r="AY102" i="2" s="1"/>
  <c r="AX101" i="2"/>
  <c r="AY101" i="2" s="1"/>
  <c r="AX100" i="2"/>
  <c r="AY100" i="2" s="1"/>
  <c r="AX99" i="2"/>
  <c r="AY99" i="2" s="1"/>
  <c r="AX98" i="2"/>
  <c r="AY98" i="2" s="1"/>
  <c r="AX97" i="2"/>
  <c r="AY97" i="2" s="1"/>
  <c r="AX96" i="2"/>
  <c r="AY96" i="2" s="1"/>
  <c r="AX95" i="2"/>
  <c r="AY95" i="2" s="1"/>
  <c r="AX94" i="2"/>
  <c r="AY94" i="2" s="1"/>
  <c r="AX93" i="2"/>
  <c r="AY93" i="2" s="1"/>
  <c r="AX92" i="2"/>
  <c r="AY92" i="2" s="1"/>
  <c r="AX91" i="2"/>
  <c r="AY91" i="2" s="1"/>
  <c r="AX90" i="2"/>
  <c r="AY90" i="2" s="1"/>
  <c r="AX89" i="2"/>
  <c r="AY89" i="2" s="1"/>
  <c r="AX88" i="2"/>
  <c r="AY88" i="2" s="1"/>
  <c r="AX87" i="2"/>
  <c r="AY87" i="2" s="1"/>
  <c r="AX86" i="2"/>
  <c r="AY86" i="2" s="1"/>
  <c r="AX85" i="2"/>
  <c r="AY85" i="2" s="1"/>
  <c r="AX84" i="2"/>
  <c r="AY84" i="2" s="1"/>
  <c r="AX83" i="2"/>
  <c r="AY83" i="2" s="1"/>
  <c r="AX82" i="2"/>
  <c r="AY82" i="2" s="1"/>
  <c r="AX81" i="2"/>
  <c r="AY81" i="2" s="1"/>
  <c r="AX80" i="2"/>
  <c r="AY80" i="2" s="1"/>
  <c r="AX79" i="2"/>
  <c r="AY79" i="2" s="1"/>
  <c r="AX78" i="2"/>
  <c r="AY78" i="2" s="1"/>
  <c r="AX77" i="2"/>
  <c r="AY77" i="2" s="1"/>
  <c r="AX76" i="2"/>
  <c r="AY76" i="2" s="1"/>
  <c r="AX75" i="2"/>
  <c r="AY75" i="2" s="1"/>
  <c r="AX74" i="2"/>
  <c r="AY74" i="2" s="1"/>
  <c r="AX73" i="2"/>
  <c r="AY73" i="2" s="1"/>
  <c r="AX72" i="2"/>
  <c r="AY72" i="2" s="1"/>
  <c r="AX71" i="2"/>
  <c r="AY71" i="2" s="1"/>
  <c r="AX70" i="2"/>
  <c r="AY70" i="2" s="1"/>
  <c r="AX69" i="2"/>
  <c r="AY69" i="2" s="1"/>
  <c r="AX68" i="2"/>
  <c r="AY68" i="2" s="1"/>
  <c r="AX67" i="2"/>
  <c r="AY67" i="2" s="1"/>
  <c r="AX66" i="2"/>
  <c r="AY66" i="2" s="1"/>
  <c r="AX65" i="2"/>
  <c r="AY65" i="2" s="1"/>
  <c r="AX64" i="2"/>
  <c r="AY64" i="2" s="1"/>
  <c r="AX63" i="2"/>
  <c r="AY63" i="2" s="1"/>
  <c r="AX62" i="2"/>
  <c r="AY62" i="2" s="1"/>
  <c r="AX61" i="2"/>
  <c r="AY61" i="2" s="1"/>
  <c r="AX60" i="2"/>
  <c r="AY60" i="2" s="1"/>
  <c r="AX59" i="2"/>
  <c r="AY59" i="2" s="1"/>
  <c r="AX58" i="2"/>
  <c r="AY58" i="2" s="1"/>
  <c r="AX57" i="2"/>
  <c r="AY57" i="2" s="1"/>
  <c r="AX56" i="2"/>
  <c r="AY56" i="2" s="1"/>
  <c r="AX55" i="2"/>
  <c r="AY55" i="2" s="1"/>
  <c r="AX54" i="2"/>
  <c r="AY54" i="2" s="1"/>
  <c r="AX53" i="2"/>
  <c r="AY53" i="2" s="1"/>
  <c r="AX52" i="2"/>
  <c r="AY52" i="2" s="1"/>
  <c r="AX51" i="2"/>
  <c r="AY51" i="2" s="1"/>
  <c r="AX50" i="2"/>
  <c r="AY50" i="2" s="1"/>
  <c r="AX49" i="2"/>
  <c r="AY49" i="2" s="1"/>
  <c r="AX48" i="2"/>
  <c r="AY48" i="2" s="1"/>
  <c r="AX47" i="2"/>
  <c r="AY47" i="2" s="1"/>
  <c r="AX46" i="2"/>
  <c r="AY46" i="2" s="1"/>
  <c r="AX45" i="2"/>
  <c r="AY45" i="2" s="1"/>
  <c r="AX44" i="2"/>
  <c r="AY44" i="2" s="1"/>
  <c r="AX43" i="2"/>
  <c r="AY43" i="2" s="1"/>
  <c r="AX42" i="2"/>
  <c r="AY42" i="2" s="1"/>
  <c r="AX41" i="2"/>
  <c r="AY41" i="2" s="1"/>
  <c r="AX40" i="2"/>
  <c r="AY40" i="2" s="1"/>
  <c r="AX39" i="2"/>
  <c r="AY39" i="2" s="1"/>
  <c r="AX38" i="2"/>
  <c r="AY38" i="2" s="1"/>
  <c r="AX37" i="2"/>
  <c r="AY37" i="2" s="1"/>
  <c r="AX36" i="2"/>
  <c r="AY36" i="2" s="1"/>
  <c r="AX35" i="2"/>
  <c r="AY35" i="2" s="1"/>
  <c r="AX34" i="2"/>
  <c r="AY34" i="2" s="1"/>
  <c r="AX33" i="2"/>
  <c r="AY33" i="2" s="1"/>
  <c r="AX32" i="2"/>
  <c r="AY32" i="2" s="1"/>
  <c r="AX31" i="2"/>
  <c r="AY31" i="2" s="1"/>
  <c r="AX30" i="2"/>
  <c r="AY30" i="2" s="1"/>
  <c r="AX29" i="2"/>
  <c r="AY29" i="2" s="1"/>
  <c r="AX28" i="2"/>
  <c r="AY28" i="2" s="1"/>
  <c r="AX27" i="2"/>
  <c r="AY27" i="2" s="1"/>
  <c r="AX26" i="2"/>
  <c r="AY26" i="2" s="1"/>
  <c r="AX25" i="2"/>
  <c r="AY25" i="2" s="1"/>
  <c r="AX24" i="2"/>
  <c r="AY24" i="2" s="1"/>
  <c r="AX23" i="2"/>
  <c r="AY23" i="2" s="1"/>
  <c r="AX22" i="2"/>
  <c r="AY22" i="2" s="1"/>
  <c r="AX21" i="2"/>
  <c r="AY21" i="2" s="1"/>
  <c r="AX20" i="2"/>
  <c r="AY20" i="2" s="1"/>
  <c r="AX19" i="2"/>
  <c r="AY19" i="2" s="1"/>
  <c r="AX18" i="2"/>
  <c r="AY18" i="2" s="1"/>
  <c r="AX17" i="2"/>
  <c r="AY17" i="2" s="1"/>
  <c r="AX16" i="2"/>
  <c r="AY16" i="2" s="1"/>
  <c r="AX15" i="2"/>
  <c r="AY15" i="2" s="1"/>
  <c r="AX14" i="2"/>
  <c r="AY14" i="2" s="1"/>
  <c r="AX13" i="2"/>
  <c r="AY13" i="2" s="1"/>
  <c r="AX12" i="2"/>
  <c r="AY12" i="2" s="1"/>
  <c r="AX11" i="2"/>
  <c r="AY11" i="2" s="1"/>
  <c r="AX10" i="2"/>
  <c r="AY10" i="2" s="1"/>
  <c r="AX9" i="2"/>
  <c r="AY9" i="2" s="1"/>
  <c r="AX8" i="2"/>
  <c r="AY8" i="2" s="1"/>
  <c r="AX7" i="2"/>
  <c r="AY7" i="2" s="1"/>
  <c r="AX6" i="2"/>
  <c r="AY6" i="2" s="1"/>
  <c r="AX5" i="2"/>
  <c r="AY5" i="2" s="1"/>
  <c r="AX4" i="2"/>
  <c r="AY4" i="2" s="1"/>
  <c r="AX3" i="2"/>
  <c r="AY3" i="2" s="1"/>
  <c r="AX2" i="2"/>
  <c r="AY2" i="2" s="1"/>
  <c r="AU323" i="2"/>
  <c r="AV323" i="2" s="1"/>
  <c r="AU311" i="2"/>
  <c r="AV311" i="2" s="1"/>
  <c r="AU309" i="2"/>
  <c r="AV309" i="2" s="1"/>
  <c r="AU299" i="2"/>
  <c r="AV299" i="2" s="1"/>
  <c r="AU298" i="2"/>
  <c r="AV298" i="2" s="1"/>
  <c r="AU291" i="2"/>
  <c r="AV291" i="2" s="1"/>
  <c r="AU253" i="2"/>
  <c r="AV253" i="2" s="1"/>
  <c r="AU247" i="2"/>
  <c r="AV247" i="2" s="1"/>
  <c r="AU237" i="2"/>
  <c r="AV237" i="2" s="1"/>
  <c r="AU227" i="2"/>
  <c r="AV227" i="2" s="1"/>
  <c r="AU209" i="2"/>
  <c r="AV209" i="2" s="1"/>
  <c r="AU208" i="2"/>
  <c r="AV208" i="2" s="1"/>
  <c r="AU195" i="2"/>
  <c r="AV195" i="2" s="1"/>
  <c r="AU180" i="2"/>
  <c r="AV180" i="2" s="1"/>
  <c r="AU144" i="2"/>
  <c r="AV144" i="2" s="1"/>
  <c r="AU143" i="2"/>
  <c r="AV143" i="2" s="1"/>
  <c r="AU142" i="2"/>
  <c r="AV142" i="2" s="1"/>
  <c r="AU137" i="2"/>
  <c r="AV137" i="2" s="1"/>
  <c r="AU131" i="2"/>
  <c r="AV131" i="2" s="1"/>
  <c r="AU123" i="2"/>
  <c r="AV123" i="2" s="1"/>
  <c r="AU122" i="2"/>
  <c r="AV122" i="2" s="1"/>
  <c r="AU102" i="2"/>
  <c r="AV102" i="2" s="1"/>
  <c r="AU76" i="2"/>
  <c r="AV76" i="2" s="1"/>
  <c r="AU63" i="2"/>
  <c r="AV63" i="2" s="1"/>
  <c r="AU46" i="2"/>
  <c r="AV46" i="2" s="1"/>
  <c r="AU36" i="2"/>
  <c r="AV36" i="2" s="1"/>
  <c r="AU8" i="2"/>
  <c r="AV8" i="2" s="1"/>
  <c r="AP323" i="2"/>
  <c r="AQ323" i="2" s="1"/>
  <c r="AR323" i="2" s="1"/>
  <c r="AP311" i="2"/>
  <c r="AQ311" i="2" s="1"/>
  <c r="AR311" i="2" s="1"/>
  <c r="AP309" i="2"/>
  <c r="AQ309" i="2" s="1"/>
  <c r="AR309" i="2" s="1"/>
  <c r="AP299" i="2"/>
  <c r="AQ299" i="2" s="1"/>
  <c r="AR299" i="2" s="1"/>
  <c r="AP298" i="2"/>
  <c r="AQ298" i="2" s="1"/>
  <c r="AR298" i="2" s="1"/>
  <c r="AP291" i="2"/>
  <c r="AQ291" i="2" s="1"/>
  <c r="AR291" i="2" s="1"/>
  <c r="AP253" i="2"/>
  <c r="AQ253" i="2" s="1"/>
  <c r="AR253" i="2" s="1"/>
  <c r="AP247" i="2"/>
  <c r="AQ247" i="2" s="1"/>
  <c r="AR247" i="2" s="1"/>
  <c r="AP237" i="2"/>
  <c r="AQ237" i="2" s="1"/>
  <c r="AR237" i="2" s="1"/>
  <c r="AP227" i="2"/>
  <c r="AQ227" i="2" s="1"/>
  <c r="AR227" i="2" s="1"/>
  <c r="AP209" i="2"/>
  <c r="AQ209" i="2" s="1"/>
  <c r="AR209" i="2" s="1"/>
  <c r="AP208" i="2"/>
  <c r="AQ208" i="2" s="1"/>
  <c r="AR208" i="2" s="1"/>
  <c r="AP195" i="2"/>
  <c r="AQ195" i="2" s="1"/>
  <c r="AR195" i="2" s="1"/>
  <c r="AP180" i="2"/>
  <c r="AQ180" i="2" s="1"/>
  <c r="AR180" i="2" s="1"/>
  <c r="AP144" i="2"/>
  <c r="AQ144" i="2" s="1"/>
  <c r="AR144" i="2" s="1"/>
  <c r="AP143" i="2"/>
  <c r="AQ143" i="2" s="1"/>
  <c r="AR143" i="2" s="1"/>
  <c r="AP142" i="2"/>
  <c r="AQ142" i="2" s="1"/>
  <c r="AR142" i="2" s="1"/>
  <c r="AP137" i="2"/>
  <c r="AQ137" i="2" s="1"/>
  <c r="AR137" i="2" s="1"/>
  <c r="AP131" i="2"/>
  <c r="AQ131" i="2" s="1"/>
  <c r="AR131" i="2" s="1"/>
  <c r="AP123" i="2"/>
  <c r="AQ123" i="2" s="1"/>
  <c r="AR123" i="2" s="1"/>
  <c r="AP122" i="2"/>
  <c r="AQ122" i="2" s="1"/>
  <c r="AR122" i="2" s="1"/>
  <c r="AP102" i="2"/>
  <c r="AQ102" i="2" s="1"/>
  <c r="AR102" i="2" s="1"/>
  <c r="AP76" i="2"/>
  <c r="AQ76" i="2" s="1"/>
  <c r="AR76" i="2" s="1"/>
  <c r="AP63" i="2"/>
  <c r="AQ63" i="2" s="1"/>
  <c r="AR63" i="2" s="1"/>
  <c r="AP46" i="2"/>
  <c r="AQ46" i="2" s="1"/>
  <c r="AR46" i="2" s="1"/>
  <c r="AP36" i="2"/>
  <c r="AQ36" i="2" s="1"/>
  <c r="AR36" i="2" s="1"/>
  <c r="AQ8" i="2"/>
  <c r="AR8" i="2" s="1"/>
  <c r="AH322" i="2"/>
  <c r="AI322" i="2" s="1"/>
  <c r="AJ322" i="2" s="1"/>
  <c r="AH321" i="2"/>
  <c r="AI321" i="2" s="1"/>
  <c r="AJ321" i="2" s="1"/>
  <c r="AH320" i="2"/>
  <c r="AI320" i="2" s="1"/>
  <c r="AJ320" i="2" s="1"/>
  <c r="AH319" i="2"/>
  <c r="AI319" i="2" s="1"/>
  <c r="AJ319" i="2" s="1"/>
  <c r="AH318" i="2"/>
  <c r="AI318" i="2" s="1"/>
  <c r="AJ318" i="2" s="1"/>
  <c r="AH317" i="2"/>
  <c r="AI317" i="2" s="1"/>
  <c r="AJ317" i="2" s="1"/>
  <c r="AH316" i="2"/>
  <c r="AI316" i="2" s="1"/>
  <c r="AJ316" i="2" s="1"/>
  <c r="AH315" i="2"/>
  <c r="AI315" i="2" s="1"/>
  <c r="AJ315" i="2" s="1"/>
  <c r="AH314" i="2"/>
  <c r="AI314" i="2" s="1"/>
  <c r="AJ314" i="2" s="1"/>
  <c r="AH313" i="2"/>
  <c r="AI313" i="2" s="1"/>
  <c r="AJ313" i="2" s="1"/>
  <c r="AH312" i="2"/>
  <c r="AI312" i="2" s="1"/>
  <c r="AJ312" i="2" s="1"/>
  <c r="AH310" i="2"/>
  <c r="AI310" i="2" s="1"/>
  <c r="AJ310" i="2" s="1"/>
  <c r="AH308" i="2"/>
  <c r="AI308" i="2" s="1"/>
  <c r="AJ308" i="2" s="1"/>
  <c r="AH307" i="2"/>
  <c r="AI307" i="2" s="1"/>
  <c r="AJ307" i="2" s="1"/>
  <c r="AH306" i="2"/>
  <c r="AI306" i="2" s="1"/>
  <c r="AJ306" i="2" s="1"/>
  <c r="AH305" i="2"/>
  <c r="AI305" i="2" s="1"/>
  <c r="AJ305" i="2" s="1"/>
  <c r="AH304" i="2"/>
  <c r="AI304" i="2" s="1"/>
  <c r="AJ304" i="2" s="1"/>
  <c r="AH303" i="2"/>
  <c r="AI303" i="2" s="1"/>
  <c r="AJ303" i="2" s="1"/>
  <c r="AH302" i="2"/>
  <c r="AI302" i="2" s="1"/>
  <c r="AJ302" i="2" s="1"/>
  <c r="AH301" i="2"/>
  <c r="AI301" i="2" s="1"/>
  <c r="AJ301" i="2" s="1"/>
  <c r="AH300" i="2"/>
  <c r="AI300" i="2" s="1"/>
  <c r="AJ300" i="2" s="1"/>
  <c r="AH297" i="2"/>
  <c r="AI297" i="2" s="1"/>
  <c r="AJ297" i="2" s="1"/>
  <c r="AH296" i="2"/>
  <c r="AI296" i="2" s="1"/>
  <c r="AJ296" i="2" s="1"/>
  <c r="AH295" i="2"/>
  <c r="AI295" i="2" s="1"/>
  <c r="AJ295" i="2" s="1"/>
  <c r="AH294" i="2"/>
  <c r="AI294" i="2" s="1"/>
  <c r="AJ294" i="2" s="1"/>
  <c r="AH293" i="2"/>
  <c r="AI293" i="2" s="1"/>
  <c r="AJ293" i="2" s="1"/>
  <c r="AH292" i="2"/>
  <c r="AI292" i="2" s="1"/>
  <c r="AJ292" i="2" s="1"/>
  <c r="AH290" i="2"/>
  <c r="AI290" i="2" s="1"/>
  <c r="AJ290" i="2" s="1"/>
  <c r="AH289" i="2"/>
  <c r="AI289" i="2" s="1"/>
  <c r="AJ289" i="2" s="1"/>
  <c r="AH288" i="2"/>
  <c r="AI288" i="2" s="1"/>
  <c r="AJ288" i="2" s="1"/>
  <c r="AH287" i="2"/>
  <c r="AI287" i="2" s="1"/>
  <c r="AJ287" i="2" s="1"/>
  <c r="AH286" i="2"/>
  <c r="AI286" i="2" s="1"/>
  <c r="AJ286" i="2" s="1"/>
  <c r="AH285" i="2"/>
  <c r="AI285" i="2" s="1"/>
  <c r="AJ285" i="2" s="1"/>
  <c r="AH284" i="2"/>
  <c r="AI284" i="2" s="1"/>
  <c r="AJ284" i="2" s="1"/>
  <c r="AH283" i="2"/>
  <c r="AI283" i="2" s="1"/>
  <c r="AJ283" i="2" s="1"/>
  <c r="AH282" i="2"/>
  <c r="AI282" i="2" s="1"/>
  <c r="AJ282" i="2" s="1"/>
  <c r="AH281" i="2"/>
  <c r="AI281" i="2" s="1"/>
  <c r="AJ281" i="2" s="1"/>
  <c r="AH280" i="2"/>
  <c r="AI280" i="2" s="1"/>
  <c r="AJ280" i="2" s="1"/>
  <c r="AH279" i="2"/>
  <c r="AI279" i="2" s="1"/>
  <c r="AJ279" i="2" s="1"/>
  <c r="AH278" i="2"/>
  <c r="AI278" i="2" s="1"/>
  <c r="AJ278" i="2" s="1"/>
  <c r="AH277" i="2"/>
  <c r="AI277" i="2" s="1"/>
  <c r="AJ277" i="2" s="1"/>
  <c r="AH276" i="2"/>
  <c r="AI276" i="2" s="1"/>
  <c r="AJ276" i="2" s="1"/>
  <c r="AH275" i="2"/>
  <c r="AI275" i="2" s="1"/>
  <c r="AJ275" i="2" s="1"/>
  <c r="AH274" i="2"/>
  <c r="AI274" i="2" s="1"/>
  <c r="AJ274" i="2" s="1"/>
  <c r="AH273" i="2"/>
  <c r="AI273" i="2" s="1"/>
  <c r="AJ273" i="2" s="1"/>
  <c r="AH272" i="2"/>
  <c r="AI272" i="2" s="1"/>
  <c r="AJ272" i="2" s="1"/>
  <c r="AH271" i="2"/>
  <c r="AI271" i="2" s="1"/>
  <c r="AJ271" i="2" s="1"/>
  <c r="AH270" i="2"/>
  <c r="AI270" i="2" s="1"/>
  <c r="AJ270" i="2" s="1"/>
  <c r="AH269" i="2"/>
  <c r="AI269" i="2" s="1"/>
  <c r="AJ269" i="2" s="1"/>
  <c r="AH268" i="2"/>
  <c r="AI268" i="2" s="1"/>
  <c r="AJ268" i="2" s="1"/>
  <c r="AH267" i="2"/>
  <c r="AI267" i="2" s="1"/>
  <c r="AJ267" i="2" s="1"/>
  <c r="AH266" i="2"/>
  <c r="AI266" i="2" s="1"/>
  <c r="AJ266" i="2" s="1"/>
  <c r="AH265" i="2"/>
  <c r="AI265" i="2" s="1"/>
  <c r="AJ265" i="2" s="1"/>
  <c r="AH264" i="2"/>
  <c r="AI264" i="2" s="1"/>
  <c r="AJ264" i="2" s="1"/>
  <c r="AH263" i="2"/>
  <c r="AI263" i="2" s="1"/>
  <c r="AJ263" i="2" s="1"/>
  <c r="AH262" i="2"/>
  <c r="AI262" i="2" s="1"/>
  <c r="AJ262" i="2" s="1"/>
  <c r="AH261" i="2"/>
  <c r="AI261" i="2" s="1"/>
  <c r="AJ261" i="2" s="1"/>
  <c r="AH260" i="2"/>
  <c r="AI260" i="2" s="1"/>
  <c r="AJ260" i="2" s="1"/>
  <c r="AH259" i="2"/>
  <c r="AI259" i="2" s="1"/>
  <c r="AJ259" i="2" s="1"/>
  <c r="AH258" i="2"/>
  <c r="AI258" i="2" s="1"/>
  <c r="AJ258" i="2" s="1"/>
  <c r="AH257" i="2"/>
  <c r="AI257" i="2" s="1"/>
  <c r="AJ257" i="2" s="1"/>
  <c r="AH256" i="2"/>
  <c r="AI256" i="2" s="1"/>
  <c r="AJ256" i="2" s="1"/>
  <c r="AH255" i="2"/>
  <c r="AI255" i="2" s="1"/>
  <c r="AJ255" i="2" s="1"/>
  <c r="AH254" i="2"/>
  <c r="AI254" i="2" s="1"/>
  <c r="AJ254" i="2" s="1"/>
  <c r="AH252" i="2"/>
  <c r="AI252" i="2" s="1"/>
  <c r="AJ252" i="2" s="1"/>
  <c r="AH251" i="2"/>
  <c r="AI251" i="2" s="1"/>
  <c r="AJ251" i="2" s="1"/>
  <c r="AH250" i="2"/>
  <c r="AI250" i="2" s="1"/>
  <c r="AJ250" i="2" s="1"/>
  <c r="AH249" i="2"/>
  <c r="AI249" i="2" s="1"/>
  <c r="AJ249" i="2" s="1"/>
  <c r="AH248" i="2"/>
  <c r="AI248" i="2" s="1"/>
  <c r="AJ248" i="2" s="1"/>
  <c r="AH246" i="2"/>
  <c r="AI246" i="2" s="1"/>
  <c r="AJ246" i="2" s="1"/>
  <c r="AH245" i="2"/>
  <c r="AI245" i="2" s="1"/>
  <c r="AJ245" i="2" s="1"/>
  <c r="AH244" i="2"/>
  <c r="AI244" i="2" s="1"/>
  <c r="AJ244" i="2" s="1"/>
  <c r="AH243" i="2"/>
  <c r="AI243" i="2" s="1"/>
  <c r="AJ243" i="2" s="1"/>
  <c r="AH242" i="2"/>
  <c r="AI242" i="2" s="1"/>
  <c r="AJ242" i="2" s="1"/>
  <c r="AH241" i="2"/>
  <c r="AI241" i="2" s="1"/>
  <c r="AJ241" i="2" s="1"/>
  <c r="AH240" i="2"/>
  <c r="AI240" i="2" s="1"/>
  <c r="AJ240" i="2" s="1"/>
  <c r="AH239" i="2"/>
  <c r="AI239" i="2" s="1"/>
  <c r="AJ239" i="2" s="1"/>
  <c r="AH238" i="2"/>
  <c r="AI238" i="2" s="1"/>
  <c r="AJ238" i="2" s="1"/>
  <c r="AH236" i="2"/>
  <c r="AI236" i="2" s="1"/>
  <c r="AJ236" i="2" s="1"/>
  <c r="AH235" i="2"/>
  <c r="AI235" i="2" s="1"/>
  <c r="AJ235" i="2" s="1"/>
  <c r="AH234" i="2"/>
  <c r="AI234" i="2" s="1"/>
  <c r="AJ234" i="2" s="1"/>
  <c r="AH233" i="2"/>
  <c r="AI233" i="2" s="1"/>
  <c r="AJ233" i="2" s="1"/>
  <c r="AH232" i="2"/>
  <c r="AI232" i="2" s="1"/>
  <c r="AJ232" i="2" s="1"/>
  <c r="AH231" i="2"/>
  <c r="AI231" i="2" s="1"/>
  <c r="AJ231" i="2" s="1"/>
  <c r="AH230" i="2"/>
  <c r="AI230" i="2" s="1"/>
  <c r="AJ230" i="2" s="1"/>
  <c r="AH229" i="2"/>
  <c r="AI229" i="2" s="1"/>
  <c r="AJ229" i="2" s="1"/>
  <c r="AH228" i="2"/>
  <c r="AI228" i="2" s="1"/>
  <c r="AJ228" i="2" s="1"/>
  <c r="AH226" i="2"/>
  <c r="AI226" i="2" s="1"/>
  <c r="AJ226" i="2" s="1"/>
  <c r="AH225" i="2"/>
  <c r="AI225" i="2" s="1"/>
  <c r="AJ225" i="2" s="1"/>
  <c r="AH224" i="2"/>
  <c r="AI224" i="2" s="1"/>
  <c r="AJ224" i="2" s="1"/>
  <c r="AH223" i="2"/>
  <c r="AI223" i="2" s="1"/>
  <c r="AJ223" i="2" s="1"/>
  <c r="AH222" i="2"/>
  <c r="AI222" i="2" s="1"/>
  <c r="AJ222" i="2" s="1"/>
  <c r="AH221" i="2"/>
  <c r="AI221" i="2" s="1"/>
  <c r="AJ221" i="2" s="1"/>
  <c r="AH220" i="2"/>
  <c r="AI220" i="2" s="1"/>
  <c r="AJ220" i="2" s="1"/>
  <c r="AH219" i="2"/>
  <c r="AI219" i="2" s="1"/>
  <c r="AJ219" i="2" s="1"/>
  <c r="AH218" i="2"/>
  <c r="AI218" i="2" s="1"/>
  <c r="AJ218" i="2" s="1"/>
  <c r="AH217" i="2"/>
  <c r="AI217" i="2" s="1"/>
  <c r="AJ217" i="2" s="1"/>
  <c r="AH216" i="2"/>
  <c r="AI216" i="2" s="1"/>
  <c r="AJ216" i="2" s="1"/>
  <c r="AH215" i="2"/>
  <c r="AI215" i="2" s="1"/>
  <c r="AJ215" i="2" s="1"/>
  <c r="AH214" i="2"/>
  <c r="AI214" i="2" s="1"/>
  <c r="AJ214" i="2" s="1"/>
  <c r="AH213" i="2"/>
  <c r="AI213" i="2" s="1"/>
  <c r="AJ213" i="2" s="1"/>
  <c r="AH212" i="2"/>
  <c r="AI212" i="2" s="1"/>
  <c r="AJ212" i="2" s="1"/>
  <c r="AH211" i="2"/>
  <c r="AI211" i="2" s="1"/>
  <c r="AJ211" i="2" s="1"/>
  <c r="AH210" i="2"/>
  <c r="AI210" i="2" s="1"/>
  <c r="AJ210" i="2" s="1"/>
  <c r="AH207" i="2"/>
  <c r="AI207" i="2" s="1"/>
  <c r="AJ207" i="2" s="1"/>
  <c r="AH206" i="2"/>
  <c r="AI206" i="2" s="1"/>
  <c r="AJ206" i="2" s="1"/>
  <c r="AH205" i="2"/>
  <c r="AI205" i="2" s="1"/>
  <c r="AJ205" i="2" s="1"/>
  <c r="AH204" i="2"/>
  <c r="AI204" i="2" s="1"/>
  <c r="AJ204" i="2" s="1"/>
  <c r="AH203" i="2"/>
  <c r="AI203" i="2" s="1"/>
  <c r="AJ203" i="2" s="1"/>
  <c r="AH202" i="2"/>
  <c r="AI202" i="2" s="1"/>
  <c r="AJ202" i="2" s="1"/>
  <c r="AH201" i="2"/>
  <c r="AI201" i="2" s="1"/>
  <c r="AJ201" i="2" s="1"/>
  <c r="AH200" i="2"/>
  <c r="AI200" i="2" s="1"/>
  <c r="AJ200" i="2" s="1"/>
  <c r="AH199" i="2"/>
  <c r="AI199" i="2" s="1"/>
  <c r="AJ199" i="2" s="1"/>
  <c r="AH198" i="2"/>
  <c r="AI198" i="2" s="1"/>
  <c r="AJ198" i="2" s="1"/>
  <c r="AH197" i="2"/>
  <c r="AI197" i="2" s="1"/>
  <c r="AJ197" i="2" s="1"/>
  <c r="AH196" i="2"/>
  <c r="AI196" i="2" s="1"/>
  <c r="AJ196" i="2" s="1"/>
  <c r="AH194" i="2"/>
  <c r="AI194" i="2" s="1"/>
  <c r="AJ194" i="2" s="1"/>
  <c r="AH193" i="2"/>
  <c r="AI193" i="2" s="1"/>
  <c r="AJ193" i="2" s="1"/>
  <c r="AH192" i="2"/>
  <c r="AI192" i="2" s="1"/>
  <c r="AJ192" i="2" s="1"/>
  <c r="AH191" i="2"/>
  <c r="AI191" i="2" s="1"/>
  <c r="AJ191" i="2" s="1"/>
  <c r="AH190" i="2"/>
  <c r="AI190" i="2" s="1"/>
  <c r="AJ190" i="2" s="1"/>
  <c r="AH189" i="2"/>
  <c r="AI189" i="2" s="1"/>
  <c r="AJ189" i="2" s="1"/>
  <c r="AH188" i="2"/>
  <c r="AI188" i="2" s="1"/>
  <c r="AJ188" i="2" s="1"/>
  <c r="AH187" i="2"/>
  <c r="AI187" i="2" s="1"/>
  <c r="AJ187" i="2" s="1"/>
  <c r="AH186" i="2"/>
  <c r="AI186" i="2" s="1"/>
  <c r="AJ186" i="2" s="1"/>
  <c r="AH185" i="2"/>
  <c r="AI185" i="2" s="1"/>
  <c r="AJ185" i="2" s="1"/>
  <c r="AH184" i="2"/>
  <c r="AI184" i="2" s="1"/>
  <c r="AJ184" i="2" s="1"/>
  <c r="AH183" i="2"/>
  <c r="AI183" i="2" s="1"/>
  <c r="AJ183" i="2" s="1"/>
  <c r="AH182" i="2"/>
  <c r="AI182" i="2" s="1"/>
  <c r="AJ182" i="2" s="1"/>
  <c r="AH181" i="2"/>
  <c r="AI181" i="2" s="1"/>
  <c r="AJ181" i="2" s="1"/>
  <c r="AH179" i="2"/>
  <c r="AI179" i="2" s="1"/>
  <c r="AJ179" i="2" s="1"/>
  <c r="AH178" i="2"/>
  <c r="AI178" i="2" s="1"/>
  <c r="AJ178" i="2" s="1"/>
  <c r="AH177" i="2"/>
  <c r="AI177" i="2" s="1"/>
  <c r="AJ177" i="2" s="1"/>
  <c r="AH176" i="2"/>
  <c r="AI176" i="2" s="1"/>
  <c r="AJ176" i="2" s="1"/>
  <c r="AH175" i="2"/>
  <c r="AI175" i="2" s="1"/>
  <c r="AJ175" i="2" s="1"/>
  <c r="AH174" i="2"/>
  <c r="AI174" i="2" s="1"/>
  <c r="AJ174" i="2" s="1"/>
  <c r="AH173" i="2"/>
  <c r="AI173" i="2" s="1"/>
  <c r="AJ173" i="2" s="1"/>
  <c r="AH172" i="2"/>
  <c r="AI172" i="2" s="1"/>
  <c r="AJ172" i="2" s="1"/>
  <c r="AH171" i="2"/>
  <c r="AI171" i="2" s="1"/>
  <c r="AJ171" i="2" s="1"/>
  <c r="AH170" i="2"/>
  <c r="AI170" i="2" s="1"/>
  <c r="AJ170" i="2" s="1"/>
  <c r="AH169" i="2"/>
  <c r="AI169" i="2" s="1"/>
  <c r="AJ169" i="2" s="1"/>
  <c r="AH168" i="2"/>
  <c r="AI168" i="2" s="1"/>
  <c r="AJ168" i="2" s="1"/>
  <c r="AH167" i="2"/>
  <c r="AI167" i="2" s="1"/>
  <c r="AJ167" i="2" s="1"/>
  <c r="AH166" i="2"/>
  <c r="AI166" i="2" s="1"/>
  <c r="AJ166" i="2" s="1"/>
  <c r="AH165" i="2"/>
  <c r="AI165" i="2" s="1"/>
  <c r="AJ165" i="2" s="1"/>
  <c r="AH164" i="2"/>
  <c r="AI164" i="2" s="1"/>
  <c r="AJ164" i="2" s="1"/>
  <c r="AH163" i="2"/>
  <c r="AI163" i="2" s="1"/>
  <c r="AJ163" i="2" s="1"/>
  <c r="AH162" i="2"/>
  <c r="AI162" i="2" s="1"/>
  <c r="AJ162" i="2" s="1"/>
  <c r="AH161" i="2"/>
  <c r="AI161" i="2" s="1"/>
  <c r="AJ161" i="2" s="1"/>
  <c r="AH160" i="2"/>
  <c r="AI160" i="2" s="1"/>
  <c r="AJ160" i="2" s="1"/>
  <c r="AH159" i="2"/>
  <c r="AI159" i="2" s="1"/>
  <c r="AJ159" i="2" s="1"/>
  <c r="AH158" i="2"/>
  <c r="AI158" i="2" s="1"/>
  <c r="AJ158" i="2" s="1"/>
  <c r="AH157" i="2"/>
  <c r="AI157" i="2" s="1"/>
  <c r="AJ157" i="2" s="1"/>
  <c r="AH156" i="2"/>
  <c r="AI156" i="2" s="1"/>
  <c r="AJ156" i="2" s="1"/>
  <c r="AH155" i="2"/>
  <c r="AI155" i="2" s="1"/>
  <c r="AJ155" i="2" s="1"/>
  <c r="AH154" i="2"/>
  <c r="AI154" i="2" s="1"/>
  <c r="AJ154" i="2" s="1"/>
  <c r="AH153" i="2"/>
  <c r="AI153" i="2" s="1"/>
  <c r="AJ153" i="2" s="1"/>
  <c r="AH152" i="2"/>
  <c r="AI152" i="2" s="1"/>
  <c r="AJ152" i="2" s="1"/>
  <c r="AH151" i="2"/>
  <c r="AI151" i="2" s="1"/>
  <c r="AJ151" i="2" s="1"/>
  <c r="AH150" i="2"/>
  <c r="AI150" i="2" s="1"/>
  <c r="AJ150" i="2" s="1"/>
  <c r="AH149" i="2"/>
  <c r="AI149" i="2" s="1"/>
  <c r="AJ149" i="2" s="1"/>
  <c r="AH148" i="2"/>
  <c r="AI148" i="2" s="1"/>
  <c r="AJ148" i="2" s="1"/>
  <c r="AH147" i="2"/>
  <c r="AI147" i="2" s="1"/>
  <c r="AJ147" i="2" s="1"/>
  <c r="AH146" i="2"/>
  <c r="AI146" i="2" s="1"/>
  <c r="AJ146" i="2" s="1"/>
  <c r="AH145" i="2"/>
  <c r="AI145" i="2" s="1"/>
  <c r="AJ145" i="2" s="1"/>
  <c r="AH141" i="2"/>
  <c r="AI141" i="2" s="1"/>
  <c r="AJ141" i="2" s="1"/>
  <c r="AH140" i="2"/>
  <c r="AI140" i="2" s="1"/>
  <c r="AJ140" i="2" s="1"/>
  <c r="AH139" i="2"/>
  <c r="AI139" i="2" s="1"/>
  <c r="AJ139" i="2" s="1"/>
  <c r="AH138" i="2"/>
  <c r="AI138" i="2" s="1"/>
  <c r="AJ138" i="2" s="1"/>
  <c r="AH136" i="2"/>
  <c r="AI136" i="2" s="1"/>
  <c r="AJ136" i="2" s="1"/>
  <c r="AH135" i="2"/>
  <c r="AI135" i="2" s="1"/>
  <c r="AJ135" i="2" s="1"/>
  <c r="AH134" i="2"/>
  <c r="AI134" i="2" s="1"/>
  <c r="AJ134" i="2" s="1"/>
  <c r="AH133" i="2"/>
  <c r="AI133" i="2" s="1"/>
  <c r="AJ133" i="2" s="1"/>
  <c r="AH132" i="2"/>
  <c r="AI132" i="2" s="1"/>
  <c r="AJ132" i="2" s="1"/>
  <c r="AH130" i="2"/>
  <c r="AI130" i="2" s="1"/>
  <c r="AJ130" i="2" s="1"/>
  <c r="AH129" i="2"/>
  <c r="AI129" i="2" s="1"/>
  <c r="AJ129" i="2" s="1"/>
  <c r="AH128" i="2"/>
  <c r="AI128" i="2" s="1"/>
  <c r="AJ128" i="2" s="1"/>
  <c r="AH127" i="2"/>
  <c r="AI127" i="2" s="1"/>
  <c r="AJ127" i="2" s="1"/>
  <c r="AH126" i="2"/>
  <c r="AI126" i="2" s="1"/>
  <c r="AJ126" i="2" s="1"/>
  <c r="AH125" i="2"/>
  <c r="AI125" i="2" s="1"/>
  <c r="AJ125" i="2" s="1"/>
  <c r="AH124" i="2"/>
  <c r="AI124" i="2" s="1"/>
  <c r="AJ124" i="2" s="1"/>
  <c r="AH121" i="2"/>
  <c r="AI121" i="2" s="1"/>
  <c r="AJ121" i="2" s="1"/>
  <c r="AH120" i="2"/>
  <c r="AI120" i="2" s="1"/>
  <c r="AJ120" i="2" s="1"/>
  <c r="AH119" i="2"/>
  <c r="AI119" i="2" s="1"/>
  <c r="AJ119" i="2" s="1"/>
  <c r="AH118" i="2"/>
  <c r="AI118" i="2" s="1"/>
  <c r="AJ118" i="2" s="1"/>
  <c r="AH117" i="2"/>
  <c r="AI117" i="2" s="1"/>
  <c r="AJ117" i="2" s="1"/>
  <c r="AH116" i="2"/>
  <c r="AI116" i="2" s="1"/>
  <c r="AJ116" i="2" s="1"/>
  <c r="AH115" i="2"/>
  <c r="AI115" i="2" s="1"/>
  <c r="AJ115" i="2" s="1"/>
  <c r="AH114" i="2"/>
  <c r="AI114" i="2" s="1"/>
  <c r="AJ114" i="2" s="1"/>
  <c r="AH113" i="2"/>
  <c r="AI113" i="2" s="1"/>
  <c r="AJ113" i="2" s="1"/>
  <c r="AH112" i="2"/>
  <c r="AI112" i="2" s="1"/>
  <c r="AJ112" i="2" s="1"/>
  <c r="AH111" i="2"/>
  <c r="AI111" i="2" s="1"/>
  <c r="AJ111" i="2" s="1"/>
  <c r="AH110" i="2"/>
  <c r="AI110" i="2" s="1"/>
  <c r="AJ110" i="2" s="1"/>
  <c r="AH109" i="2"/>
  <c r="AI109" i="2" s="1"/>
  <c r="AJ109" i="2" s="1"/>
  <c r="AH108" i="2"/>
  <c r="AI108" i="2" s="1"/>
  <c r="AJ108" i="2" s="1"/>
  <c r="AH107" i="2"/>
  <c r="AI107" i="2" s="1"/>
  <c r="AJ107" i="2" s="1"/>
  <c r="AH106" i="2"/>
  <c r="AI106" i="2" s="1"/>
  <c r="AJ106" i="2" s="1"/>
  <c r="AH105" i="2"/>
  <c r="AI105" i="2" s="1"/>
  <c r="AJ105" i="2" s="1"/>
  <c r="AH104" i="2"/>
  <c r="AI104" i="2" s="1"/>
  <c r="AJ104" i="2" s="1"/>
  <c r="AH103" i="2"/>
  <c r="AI103" i="2" s="1"/>
  <c r="AJ103" i="2" s="1"/>
  <c r="AH101" i="2"/>
  <c r="AI101" i="2" s="1"/>
  <c r="AJ101" i="2" s="1"/>
  <c r="AH100" i="2"/>
  <c r="AI100" i="2" s="1"/>
  <c r="AJ100" i="2" s="1"/>
  <c r="AH99" i="2"/>
  <c r="AI99" i="2" s="1"/>
  <c r="AJ99" i="2" s="1"/>
  <c r="AH98" i="2"/>
  <c r="AI98" i="2" s="1"/>
  <c r="AJ98" i="2" s="1"/>
  <c r="AH97" i="2"/>
  <c r="AI97" i="2" s="1"/>
  <c r="AJ97" i="2" s="1"/>
  <c r="AH96" i="2"/>
  <c r="AI96" i="2" s="1"/>
  <c r="AJ96" i="2" s="1"/>
  <c r="AH95" i="2"/>
  <c r="AI95" i="2" s="1"/>
  <c r="AJ95" i="2" s="1"/>
  <c r="AH94" i="2"/>
  <c r="AI94" i="2" s="1"/>
  <c r="AJ94" i="2" s="1"/>
  <c r="AH93" i="2"/>
  <c r="AI93" i="2" s="1"/>
  <c r="AJ93" i="2" s="1"/>
  <c r="AH92" i="2"/>
  <c r="AI92" i="2" s="1"/>
  <c r="AJ92" i="2" s="1"/>
  <c r="AH91" i="2"/>
  <c r="AI91" i="2" s="1"/>
  <c r="AJ91" i="2" s="1"/>
  <c r="AH90" i="2"/>
  <c r="AI90" i="2" s="1"/>
  <c r="AJ90" i="2" s="1"/>
  <c r="AH89" i="2"/>
  <c r="AI89" i="2" s="1"/>
  <c r="AJ89" i="2" s="1"/>
  <c r="AH88" i="2"/>
  <c r="AI88" i="2" s="1"/>
  <c r="AJ88" i="2" s="1"/>
  <c r="AH87" i="2"/>
  <c r="AI87" i="2" s="1"/>
  <c r="AJ87" i="2" s="1"/>
  <c r="AH86" i="2"/>
  <c r="AI86" i="2" s="1"/>
  <c r="AJ86" i="2" s="1"/>
  <c r="AH85" i="2"/>
  <c r="AI85" i="2" s="1"/>
  <c r="AJ85" i="2" s="1"/>
  <c r="AH84" i="2"/>
  <c r="AI84" i="2" s="1"/>
  <c r="AJ84" i="2" s="1"/>
  <c r="AH83" i="2"/>
  <c r="AI83" i="2" s="1"/>
  <c r="AJ83" i="2" s="1"/>
  <c r="AH82" i="2"/>
  <c r="AI82" i="2" s="1"/>
  <c r="AJ82" i="2" s="1"/>
  <c r="AH81" i="2"/>
  <c r="AI81" i="2" s="1"/>
  <c r="AJ81" i="2" s="1"/>
  <c r="AH80" i="2"/>
  <c r="AI80" i="2" s="1"/>
  <c r="AJ80" i="2" s="1"/>
  <c r="AH79" i="2"/>
  <c r="AI79" i="2" s="1"/>
  <c r="AJ79" i="2" s="1"/>
  <c r="AH78" i="2"/>
  <c r="AI78" i="2" s="1"/>
  <c r="AJ78" i="2" s="1"/>
  <c r="AH77" i="2"/>
  <c r="AI77" i="2" s="1"/>
  <c r="AJ77" i="2" s="1"/>
  <c r="AH75" i="2"/>
  <c r="AI75" i="2" s="1"/>
  <c r="AJ75" i="2" s="1"/>
  <c r="AH74" i="2"/>
  <c r="AI74" i="2" s="1"/>
  <c r="AJ74" i="2" s="1"/>
  <c r="AH73" i="2"/>
  <c r="AI73" i="2" s="1"/>
  <c r="AJ73" i="2" s="1"/>
  <c r="AH72" i="2"/>
  <c r="AI72" i="2" s="1"/>
  <c r="AJ72" i="2" s="1"/>
  <c r="AH71" i="2"/>
  <c r="AI71" i="2" s="1"/>
  <c r="AJ71" i="2" s="1"/>
  <c r="AH70" i="2"/>
  <c r="AI70" i="2" s="1"/>
  <c r="AJ70" i="2" s="1"/>
  <c r="AH69" i="2"/>
  <c r="AI69" i="2" s="1"/>
  <c r="AJ69" i="2" s="1"/>
  <c r="AH68" i="2"/>
  <c r="AI68" i="2" s="1"/>
  <c r="AJ68" i="2" s="1"/>
  <c r="AH67" i="2"/>
  <c r="AI67" i="2" s="1"/>
  <c r="AJ67" i="2" s="1"/>
  <c r="AH66" i="2"/>
  <c r="AI66" i="2" s="1"/>
  <c r="AJ66" i="2" s="1"/>
  <c r="AH65" i="2"/>
  <c r="AI65" i="2" s="1"/>
  <c r="AJ65" i="2" s="1"/>
  <c r="AH64" i="2"/>
  <c r="AI64" i="2" s="1"/>
  <c r="AJ64" i="2" s="1"/>
  <c r="AH62" i="2"/>
  <c r="AI62" i="2" s="1"/>
  <c r="AJ62" i="2" s="1"/>
  <c r="AH61" i="2"/>
  <c r="AI61" i="2" s="1"/>
  <c r="AJ61" i="2" s="1"/>
  <c r="AH60" i="2"/>
  <c r="AI60" i="2" s="1"/>
  <c r="AJ60" i="2" s="1"/>
  <c r="AH59" i="2"/>
  <c r="AI59" i="2" s="1"/>
  <c r="AJ59" i="2" s="1"/>
  <c r="AH58" i="2"/>
  <c r="AI58" i="2" s="1"/>
  <c r="AJ58" i="2" s="1"/>
  <c r="AH57" i="2"/>
  <c r="AI57" i="2" s="1"/>
  <c r="AJ57" i="2" s="1"/>
  <c r="AH56" i="2"/>
  <c r="AI56" i="2" s="1"/>
  <c r="AJ56" i="2" s="1"/>
  <c r="AH55" i="2"/>
  <c r="AI55" i="2" s="1"/>
  <c r="AJ55" i="2" s="1"/>
  <c r="AH54" i="2"/>
  <c r="AI54" i="2" s="1"/>
  <c r="AJ54" i="2" s="1"/>
  <c r="AH53" i="2"/>
  <c r="AI53" i="2" s="1"/>
  <c r="AJ53" i="2" s="1"/>
  <c r="AH52" i="2"/>
  <c r="AI52" i="2" s="1"/>
  <c r="AJ52" i="2" s="1"/>
  <c r="AH51" i="2"/>
  <c r="AI51" i="2" s="1"/>
  <c r="AJ51" i="2" s="1"/>
  <c r="AH50" i="2"/>
  <c r="AI50" i="2" s="1"/>
  <c r="AJ50" i="2" s="1"/>
  <c r="AH49" i="2"/>
  <c r="AI49" i="2" s="1"/>
  <c r="AJ49" i="2" s="1"/>
  <c r="AH48" i="2"/>
  <c r="AI48" i="2" s="1"/>
  <c r="AJ48" i="2" s="1"/>
  <c r="AH47" i="2"/>
  <c r="AI47" i="2" s="1"/>
  <c r="AJ47" i="2" s="1"/>
  <c r="AH45" i="2"/>
  <c r="AI45" i="2" s="1"/>
  <c r="AJ45" i="2" s="1"/>
  <c r="AH44" i="2"/>
  <c r="AI44" i="2" s="1"/>
  <c r="AJ44" i="2" s="1"/>
  <c r="AH43" i="2"/>
  <c r="AI43" i="2" s="1"/>
  <c r="AJ43" i="2" s="1"/>
  <c r="AH42" i="2"/>
  <c r="AI42" i="2" s="1"/>
  <c r="AJ42" i="2" s="1"/>
  <c r="AH41" i="2"/>
  <c r="AI41" i="2" s="1"/>
  <c r="AJ41" i="2" s="1"/>
  <c r="AH40" i="2"/>
  <c r="AI40" i="2" s="1"/>
  <c r="AJ40" i="2" s="1"/>
  <c r="AH39" i="2"/>
  <c r="AI39" i="2" s="1"/>
  <c r="AJ39" i="2" s="1"/>
  <c r="AH38" i="2"/>
  <c r="AI38" i="2" s="1"/>
  <c r="AJ38" i="2" s="1"/>
  <c r="AH37" i="2"/>
  <c r="AI37" i="2" s="1"/>
  <c r="AJ37" i="2" s="1"/>
  <c r="AH35" i="2"/>
  <c r="AI35" i="2" s="1"/>
  <c r="AJ35" i="2" s="1"/>
  <c r="AH34" i="2"/>
  <c r="AI34" i="2" s="1"/>
  <c r="AJ34" i="2" s="1"/>
  <c r="AH33" i="2"/>
  <c r="AI33" i="2" s="1"/>
  <c r="AJ33" i="2" s="1"/>
  <c r="AH32" i="2"/>
  <c r="AI32" i="2" s="1"/>
  <c r="AJ32" i="2" s="1"/>
  <c r="AH31" i="2"/>
  <c r="AI31" i="2" s="1"/>
  <c r="AJ31" i="2" s="1"/>
  <c r="AH30" i="2"/>
  <c r="AI30" i="2" s="1"/>
  <c r="AJ30" i="2" s="1"/>
  <c r="AH29" i="2"/>
  <c r="AI29" i="2" s="1"/>
  <c r="AJ29" i="2" s="1"/>
  <c r="AH28" i="2"/>
  <c r="AI28" i="2" s="1"/>
  <c r="AJ28" i="2" s="1"/>
  <c r="AH27" i="2"/>
  <c r="AI27" i="2" s="1"/>
  <c r="AJ27" i="2" s="1"/>
  <c r="AH26" i="2"/>
  <c r="AI26" i="2" s="1"/>
  <c r="AJ26" i="2" s="1"/>
  <c r="AH25" i="2"/>
  <c r="AI25" i="2" s="1"/>
  <c r="AJ25" i="2" s="1"/>
  <c r="AH24" i="2"/>
  <c r="AI24" i="2" s="1"/>
  <c r="AJ24" i="2" s="1"/>
  <c r="AH23" i="2"/>
  <c r="AI23" i="2" s="1"/>
  <c r="AJ23" i="2" s="1"/>
  <c r="AH22" i="2"/>
  <c r="AI22" i="2" s="1"/>
  <c r="AJ22" i="2" s="1"/>
  <c r="AH21" i="2"/>
  <c r="AI21" i="2" s="1"/>
  <c r="AJ21" i="2" s="1"/>
  <c r="AH20" i="2"/>
  <c r="AI20" i="2" s="1"/>
  <c r="AJ20" i="2" s="1"/>
  <c r="AH19" i="2"/>
  <c r="AI19" i="2" s="1"/>
  <c r="AJ19" i="2" s="1"/>
  <c r="AH18" i="2"/>
  <c r="AI18" i="2" s="1"/>
  <c r="AJ18" i="2" s="1"/>
  <c r="AH17" i="2"/>
  <c r="AI17" i="2" s="1"/>
  <c r="AJ17" i="2" s="1"/>
  <c r="AH16" i="2"/>
  <c r="AI16" i="2" s="1"/>
  <c r="AJ16" i="2" s="1"/>
  <c r="AH15" i="2"/>
  <c r="AI15" i="2" s="1"/>
  <c r="AJ15" i="2" s="1"/>
  <c r="AH14" i="2"/>
  <c r="AI14" i="2" s="1"/>
  <c r="AJ14" i="2" s="1"/>
  <c r="AH13" i="2"/>
  <c r="AI13" i="2" s="1"/>
  <c r="AJ13" i="2" s="1"/>
  <c r="AH12" i="2"/>
  <c r="AI12" i="2" s="1"/>
  <c r="AJ12" i="2" s="1"/>
  <c r="AH11" i="2"/>
  <c r="AI11" i="2" s="1"/>
  <c r="AJ11" i="2" s="1"/>
  <c r="AH10" i="2"/>
  <c r="AI10" i="2" s="1"/>
  <c r="AJ10" i="2" s="1"/>
  <c r="AH9" i="2"/>
  <c r="AI9" i="2" s="1"/>
  <c r="AJ9" i="2" s="1"/>
  <c r="AH7" i="2"/>
  <c r="AI7" i="2" s="1"/>
  <c r="AJ7" i="2" s="1"/>
  <c r="AH6" i="2"/>
  <c r="AI6" i="2" s="1"/>
  <c r="AJ6" i="2" s="1"/>
  <c r="AH5" i="2"/>
  <c r="AI5" i="2" s="1"/>
  <c r="AJ5" i="2" s="1"/>
  <c r="AH4" i="2"/>
  <c r="AI4" i="2" s="1"/>
  <c r="AJ4" i="2" s="1"/>
  <c r="AH3" i="2"/>
  <c r="AI3" i="2" s="1"/>
  <c r="AJ3" i="2" s="1"/>
  <c r="AH2" i="2"/>
  <c r="AI2" i="2" s="1"/>
  <c r="AJ2" i="2" s="1"/>
  <c r="AC323" i="2"/>
  <c r="AD323" i="2" s="1"/>
  <c r="AE323" i="2" s="1"/>
  <c r="AC322" i="2"/>
  <c r="AD322" i="2" s="1"/>
  <c r="AE322" i="2" s="1"/>
  <c r="AC321" i="2"/>
  <c r="AD321" i="2" s="1"/>
  <c r="AE321" i="2" s="1"/>
  <c r="AC320" i="2"/>
  <c r="AD320" i="2" s="1"/>
  <c r="AE320" i="2" s="1"/>
  <c r="AC319" i="2"/>
  <c r="AD319" i="2" s="1"/>
  <c r="AE319" i="2" s="1"/>
  <c r="AC318" i="2"/>
  <c r="AD318" i="2" s="1"/>
  <c r="AE318" i="2" s="1"/>
  <c r="AC317" i="2"/>
  <c r="AD317" i="2" s="1"/>
  <c r="AE317" i="2" s="1"/>
  <c r="AC316" i="2"/>
  <c r="AD316" i="2" s="1"/>
  <c r="AE316" i="2" s="1"/>
  <c r="AC315" i="2"/>
  <c r="AD315" i="2" s="1"/>
  <c r="AE315" i="2" s="1"/>
  <c r="AC314" i="2"/>
  <c r="AD314" i="2" s="1"/>
  <c r="AE314" i="2" s="1"/>
  <c r="AC313" i="2"/>
  <c r="AD313" i="2" s="1"/>
  <c r="AE313" i="2" s="1"/>
  <c r="AC312" i="2"/>
  <c r="AD312" i="2" s="1"/>
  <c r="AE312" i="2" s="1"/>
  <c r="AC311" i="2"/>
  <c r="AD311" i="2" s="1"/>
  <c r="AE311" i="2" s="1"/>
  <c r="AC310" i="2"/>
  <c r="AD310" i="2" s="1"/>
  <c r="AE310" i="2" s="1"/>
  <c r="AC309" i="2"/>
  <c r="AD309" i="2" s="1"/>
  <c r="AE309" i="2" s="1"/>
  <c r="AC308" i="2"/>
  <c r="AD308" i="2" s="1"/>
  <c r="AE308" i="2" s="1"/>
  <c r="AC307" i="2"/>
  <c r="AD307" i="2" s="1"/>
  <c r="AE307" i="2" s="1"/>
  <c r="AC306" i="2"/>
  <c r="AD306" i="2" s="1"/>
  <c r="AE306" i="2" s="1"/>
  <c r="AC305" i="2"/>
  <c r="AD305" i="2" s="1"/>
  <c r="AE305" i="2" s="1"/>
  <c r="AC304" i="2"/>
  <c r="AD304" i="2" s="1"/>
  <c r="AE304" i="2" s="1"/>
  <c r="AC303" i="2"/>
  <c r="AD303" i="2" s="1"/>
  <c r="AE303" i="2" s="1"/>
  <c r="AC302" i="2"/>
  <c r="AD302" i="2" s="1"/>
  <c r="AE302" i="2" s="1"/>
  <c r="AC301" i="2"/>
  <c r="AD301" i="2" s="1"/>
  <c r="AE301" i="2" s="1"/>
  <c r="AC300" i="2"/>
  <c r="AD300" i="2" s="1"/>
  <c r="AE300" i="2" s="1"/>
  <c r="AC299" i="2"/>
  <c r="AD299" i="2" s="1"/>
  <c r="AE299" i="2" s="1"/>
  <c r="AC298" i="2"/>
  <c r="AD298" i="2" s="1"/>
  <c r="AE298" i="2" s="1"/>
  <c r="AC297" i="2"/>
  <c r="AD297" i="2" s="1"/>
  <c r="AE297" i="2" s="1"/>
  <c r="AC296" i="2"/>
  <c r="AD296" i="2" s="1"/>
  <c r="AE296" i="2" s="1"/>
  <c r="AC295" i="2"/>
  <c r="AD295" i="2" s="1"/>
  <c r="AE295" i="2" s="1"/>
  <c r="AC294" i="2"/>
  <c r="AD294" i="2" s="1"/>
  <c r="AE294" i="2" s="1"/>
  <c r="AC293" i="2"/>
  <c r="AD293" i="2" s="1"/>
  <c r="AE293" i="2" s="1"/>
  <c r="AC292" i="2"/>
  <c r="AD292" i="2" s="1"/>
  <c r="AE292" i="2" s="1"/>
  <c r="AC291" i="2"/>
  <c r="AD291" i="2" s="1"/>
  <c r="AE291" i="2" s="1"/>
  <c r="AC290" i="2"/>
  <c r="AD290" i="2" s="1"/>
  <c r="AE290" i="2" s="1"/>
  <c r="AC289" i="2"/>
  <c r="AD289" i="2" s="1"/>
  <c r="AE289" i="2" s="1"/>
  <c r="AC288" i="2"/>
  <c r="AD288" i="2" s="1"/>
  <c r="AE288" i="2" s="1"/>
  <c r="AC287" i="2"/>
  <c r="AD287" i="2" s="1"/>
  <c r="AE287" i="2" s="1"/>
  <c r="AC286" i="2"/>
  <c r="AD286" i="2" s="1"/>
  <c r="AE286" i="2" s="1"/>
  <c r="AC285" i="2"/>
  <c r="AD285" i="2" s="1"/>
  <c r="AE285" i="2" s="1"/>
  <c r="AC284" i="2"/>
  <c r="AD284" i="2" s="1"/>
  <c r="AE284" i="2" s="1"/>
  <c r="AC283" i="2"/>
  <c r="AD283" i="2" s="1"/>
  <c r="AE283" i="2" s="1"/>
  <c r="AC282" i="2"/>
  <c r="AD282" i="2" s="1"/>
  <c r="AE282" i="2" s="1"/>
  <c r="AC281" i="2"/>
  <c r="AD281" i="2" s="1"/>
  <c r="AE281" i="2" s="1"/>
  <c r="AC280" i="2"/>
  <c r="AD280" i="2" s="1"/>
  <c r="AE280" i="2" s="1"/>
  <c r="AC279" i="2"/>
  <c r="AD279" i="2" s="1"/>
  <c r="AE279" i="2" s="1"/>
  <c r="AC278" i="2"/>
  <c r="AD278" i="2" s="1"/>
  <c r="AE278" i="2" s="1"/>
  <c r="AC277" i="2"/>
  <c r="AD277" i="2" s="1"/>
  <c r="AE277" i="2" s="1"/>
  <c r="AC276" i="2"/>
  <c r="AD276" i="2" s="1"/>
  <c r="AE276" i="2" s="1"/>
  <c r="AC275" i="2"/>
  <c r="AD275" i="2" s="1"/>
  <c r="AE275" i="2" s="1"/>
  <c r="AC274" i="2"/>
  <c r="AD274" i="2" s="1"/>
  <c r="AE274" i="2" s="1"/>
  <c r="AC273" i="2"/>
  <c r="AD273" i="2" s="1"/>
  <c r="AE273" i="2" s="1"/>
  <c r="AC272" i="2"/>
  <c r="AD272" i="2" s="1"/>
  <c r="AE272" i="2" s="1"/>
  <c r="AC271" i="2"/>
  <c r="AD271" i="2" s="1"/>
  <c r="AE271" i="2" s="1"/>
  <c r="AC270" i="2"/>
  <c r="AD270" i="2" s="1"/>
  <c r="AE270" i="2" s="1"/>
  <c r="AC269" i="2"/>
  <c r="AD269" i="2" s="1"/>
  <c r="AE269" i="2" s="1"/>
  <c r="AC268" i="2"/>
  <c r="AD268" i="2" s="1"/>
  <c r="AE268" i="2" s="1"/>
  <c r="AC267" i="2"/>
  <c r="AD267" i="2" s="1"/>
  <c r="AE267" i="2" s="1"/>
  <c r="AC266" i="2"/>
  <c r="AD266" i="2" s="1"/>
  <c r="AE266" i="2" s="1"/>
  <c r="AC265" i="2"/>
  <c r="AD265" i="2" s="1"/>
  <c r="AE265" i="2" s="1"/>
  <c r="AC264" i="2"/>
  <c r="AD264" i="2" s="1"/>
  <c r="AE264" i="2" s="1"/>
  <c r="AC263" i="2"/>
  <c r="AD263" i="2" s="1"/>
  <c r="AE263" i="2" s="1"/>
  <c r="AC262" i="2"/>
  <c r="AD262" i="2" s="1"/>
  <c r="AE262" i="2" s="1"/>
  <c r="AC261" i="2"/>
  <c r="AD261" i="2" s="1"/>
  <c r="AE261" i="2" s="1"/>
  <c r="AC260" i="2"/>
  <c r="AD260" i="2" s="1"/>
  <c r="AE260" i="2" s="1"/>
  <c r="AC259" i="2"/>
  <c r="AD259" i="2" s="1"/>
  <c r="AE259" i="2" s="1"/>
  <c r="AC258" i="2"/>
  <c r="AD258" i="2" s="1"/>
  <c r="AE258" i="2" s="1"/>
  <c r="AC257" i="2"/>
  <c r="AD257" i="2" s="1"/>
  <c r="AE257" i="2" s="1"/>
  <c r="AC256" i="2"/>
  <c r="AD256" i="2" s="1"/>
  <c r="AE256" i="2" s="1"/>
  <c r="AC255" i="2"/>
  <c r="AD255" i="2" s="1"/>
  <c r="AE255" i="2" s="1"/>
  <c r="AC254" i="2"/>
  <c r="AD254" i="2" s="1"/>
  <c r="AE254" i="2" s="1"/>
  <c r="AC253" i="2"/>
  <c r="AD253" i="2" s="1"/>
  <c r="AE253" i="2" s="1"/>
  <c r="AC252" i="2"/>
  <c r="AD252" i="2" s="1"/>
  <c r="AE252" i="2" s="1"/>
  <c r="AC251" i="2"/>
  <c r="AD251" i="2" s="1"/>
  <c r="AE251" i="2" s="1"/>
  <c r="AC250" i="2"/>
  <c r="AD250" i="2" s="1"/>
  <c r="AE250" i="2" s="1"/>
  <c r="AC249" i="2"/>
  <c r="AD249" i="2" s="1"/>
  <c r="AE249" i="2" s="1"/>
  <c r="AC248" i="2"/>
  <c r="AD248" i="2" s="1"/>
  <c r="AE248" i="2" s="1"/>
  <c r="AC247" i="2"/>
  <c r="AD247" i="2" s="1"/>
  <c r="AE247" i="2" s="1"/>
  <c r="AC246" i="2"/>
  <c r="AD246" i="2" s="1"/>
  <c r="AE246" i="2" s="1"/>
  <c r="AC245" i="2"/>
  <c r="AD245" i="2" s="1"/>
  <c r="AE245" i="2" s="1"/>
  <c r="AC244" i="2"/>
  <c r="AD244" i="2" s="1"/>
  <c r="AE244" i="2" s="1"/>
  <c r="AC243" i="2"/>
  <c r="AD243" i="2" s="1"/>
  <c r="AE243" i="2" s="1"/>
  <c r="AC242" i="2"/>
  <c r="AD242" i="2" s="1"/>
  <c r="AE242" i="2" s="1"/>
  <c r="AC241" i="2"/>
  <c r="AD241" i="2" s="1"/>
  <c r="AE241" i="2" s="1"/>
  <c r="AC240" i="2"/>
  <c r="AD240" i="2" s="1"/>
  <c r="AE240" i="2" s="1"/>
  <c r="AC239" i="2"/>
  <c r="AD239" i="2" s="1"/>
  <c r="AE239" i="2" s="1"/>
  <c r="AC238" i="2"/>
  <c r="AD238" i="2" s="1"/>
  <c r="AE238" i="2" s="1"/>
  <c r="AC237" i="2"/>
  <c r="AD237" i="2" s="1"/>
  <c r="AE237" i="2" s="1"/>
  <c r="AC236" i="2"/>
  <c r="AD236" i="2" s="1"/>
  <c r="AE236" i="2" s="1"/>
  <c r="AC235" i="2"/>
  <c r="AD235" i="2" s="1"/>
  <c r="AE235" i="2" s="1"/>
  <c r="AC234" i="2"/>
  <c r="AD234" i="2" s="1"/>
  <c r="AE234" i="2" s="1"/>
  <c r="AC233" i="2"/>
  <c r="AD233" i="2" s="1"/>
  <c r="AE233" i="2" s="1"/>
  <c r="AC232" i="2"/>
  <c r="AD232" i="2" s="1"/>
  <c r="AE232" i="2" s="1"/>
  <c r="AC231" i="2"/>
  <c r="AD231" i="2" s="1"/>
  <c r="AE231" i="2" s="1"/>
  <c r="AC230" i="2"/>
  <c r="AD230" i="2" s="1"/>
  <c r="AE230" i="2" s="1"/>
  <c r="AC229" i="2"/>
  <c r="AD229" i="2" s="1"/>
  <c r="AE229" i="2" s="1"/>
  <c r="AC228" i="2"/>
  <c r="AD228" i="2" s="1"/>
  <c r="AE228" i="2" s="1"/>
  <c r="AC227" i="2"/>
  <c r="AD227" i="2" s="1"/>
  <c r="AE227" i="2" s="1"/>
  <c r="AC226" i="2"/>
  <c r="AD226" i="2" s="1"/>
  <c r="AE226" i="2" s="1"/>
  <c r="AC225" i="2"/>
  <c r="AD225" i="2" s="1"/>
  <c r="AE225" i="2" s="1"/>
  <c r="AC224" i="2"/>
  <c r="AD224" i="2" s="1"/>
  <c r="AE224" i="2" s="1"/>
  <c r="AC223" i="2"/>
  <c r="AD223" i="2" s="1"/>
  <c r="AE223" i="2" s="1"/>
  <c r="AC222" i="2"/>
  <c r="AD222" i="2" s="1"/>
  <c r="AE222" i="2" s="1"/>
  <c r="AC221" i="2"/>
  <c r="AD221" i="2" s="1"/>
  <c r="AE221" i="2" s="1"/>
  <c r="AC220" i="2"/>
  <c r="AD220" i="2" s="1"/>
  <c r="AE220" i="2" s="1"/>
  <c r="AC219" i="2"/>
  <c r="AD219" i="2" s="1"/>
  <c r="AE219" i="2" s="1"/>
  <c r="AC218" i="2"/>
  <c r="AD218" i="2" s="1"/>
  <c r="AE218" i="2" s="1"/>
  <c r="AC217" i="2"/>
  <c r="AD217" i="2" s="1"/>
  <c r="AE217" i="2" s="1"/>
  <c r="AC216" i="2"/>
  <c r="AD216" i="2" s="1"/>
  <c r="AE216" i="2" s="1"/>
  <c r="AC215" i="2"/>
  <c r="AD215" i="2" s="1"/>
  <c r="AE215" i="2" s="1"/>
  <c r="AC214" i="2"/>
  <c r="AD214" i="2" s="1"/>
  <c r="AE214" i="2" s="1"/>
  <c r="AC213" i="2"/>
  <c r="AD213" i="2" s="1"/>
  <c r="AE213" i="2" s="1"/>
  <c r="AC212" i="2"/>
  <c r="AD212" i="2" s="1"/>
  <c r="AE212" i="2" s="1"/>
  <c r="AC211" i="2"/>
  <c r="AD211" i="2" s="1"/>
  <c r="AE211" i="2" s="1"/>
  <c r="AC210" i="2"/>
  <c r="AD210" i="2" s="1"/>
  <c r="AE210" i="2" s="1"/>
  <c r="AC209" i="2"/>
  <c r="AD209" i="2" s="1"/>
  <c r="AE209" i="2" s="1"/>
  <c r="AC208" i="2"/>
  <c r="AD208" i="2" s="1"/>
  <c r="AE208" i="2" s="1"/>
  <c r="AC207" i="2"/>
  <c r="AD207" i="2" s="1"/>
  <c r="AE207" i="2" s="1"/>
  <c r="AC206" i="2"/>
  <c r="AD206" i="2" s="1"/>
  <c r="AE206" i="2" s="1"/>
  <c r="AC205" i="2"/>
  <c r="AD205" i="2" s="1"/>
  <c r="AE205" i="2" s="1"/>
  <c r="AC204" i="2"/>
  <c r="AD204" i="2" s="1"/>
  <c r="AE204" i="2" s="1"/>
  <c r="AC203" i="2"/>
  <c r="AD203" i="2" s="1"/>
  <c r="AE203" i="2" s="1"/>
  <c r="AC202" i="2"/>
  <c r="AD202" i="2" s="1"/>
  <c r="AE202" i="2" s="1"/>
  <c r="AC201" i="2"/>
  <c r="AD201" i="2" s="1"/>
  <c r="AE201" i="2" s="1"/>
  <c r="AC200" i="2"/>
  <c r="AD200" i="2" s="1"/>
  <c r="AE200" i="2" s="1"/>
  <c r="AC199" i="2"/>
  <c r="AD199" i="2" s="1"/>
  <c r="AE199" i="2" s="1"/>
  <c r="AC198" i="2"/>
  <c r="AD198" i="2" s="1"/>
  <c r="AE198" i="2" s="1"/>
  <c r="AC197" i="2"/>
  <c r="AD197" i="2" s="1"/>
  <c r="AE197" i="2" s="1"/>
  <c r="AC196" i="2"/>
  <c r="AD196" i="2" s="1"/>
  <c r="AE196" i="2" s="1"/>
  <c r="AC195" i="2"/>
  <c r="AD195" i="2" s="1"/>
  <c r="AE195" i="2" s="1"/>
  <c r="AC194" i="2"/>
  <c r="AD194" i="2" s="1"/>
  <c r="AE194" i="2" s="1"/>
  <c r="AC193" i="2"/>
  <c r="AD193" i="2" s="1"/>
  <c r="AE193" i="2" s="1"/>
  <c r="AC192" i="2"/>
  <c r="AD192" i="2" s="1"/>
  <c r="AE192" i="2" s="1"/>
  <c r="AC191" i="2"/>
  <c r="AD191" i="2" s="1"/>
  <c r="AE191" i="2" s="1"/>
  <c r="AC190" i="2"/>
  <c r="AD190" i="2" s="1"/>
  <c r="AE190" i="2" s="1"/>
  <c r="AC189" i="2"/>
  <c r="AD189" i="2" s="1"/>
  <c r="AE189" i="2" s="1"/>
  <c r="AC188" i="2"/>
  <c r="AD188" i="2" s="1"/>
  <c r="AE188" i="2" s="1"/>
  <c r="AC187" i="2"/>
  <c r="AD187" i="2" s="1"/>
  <c r="AE187" i="2" s="1"/>
  <c r="AC186" i="2"/>
  <c r="AD186" i="2" s="1"/>
  <c r="AE186" i="2" s="1"/>
  <c r="AC185" i="2"/>
  <c r="AD185" i="2" s="1"/>
  <c r="AE185" i="2" s="1"/>
  <c r="AC184" i="2"/>
  <c r="AD184" i="2" s="1"/>
  <c r="AE184" i="2" s="1"/>
  <c r="AC183" i="2"/>
  <c r="AD183" i="2" s="1"/>
  <c r="AE183" i="2" s="1"/>
  <c r="AC182" i="2"/>
  <c r="AD182" i="2" s="1"/>
  <c r="AE182" i="2" s="1"/>
  <c r="AC181" i="2"/>
  <c r="AD181" i="2" s="1"/>
  <c r="AE181" i="2" s="1"/>
  <c r="AC180" i="2"/>
  <c r="AD180" i="2" s="1"/>
  <c r="AE180" i="2" s="1"/>
  <c r="AC179" i="2"/>
  <c r="AD179" i="2" s="1"/>
  <c r="AE179" i="2" s="1"/>
  <c r="AC178" i="2"/>
  <c r="AD178" i="2" s="1"/>
  <c r="AE178" i="2" s="1"/>
  <c r="AC177" i="2"/>
  <c r="AD177" i="2" s="1"/>
  <c r="AE177" i="2" s="1"/>
  <c r="AC176" i="2"/>
  <c r="AD176" i="2" s="1"/>
  <c r="AE176" i="2" s="1"/>
  <c r="AC175" i="2"/>
  <c r="AD175" i="2" s="1"/>
  <c r="AE175" i="2" s="1"/>
  <c r="AC174" i="2"/>
  <c r="AD174" i="2" s="1"/>
  <c r="AE174" i="2" s="1"/>
  <c r="AC173" i="2"/>
  <c r="AD173" i="2" s="1"/>
  <c r="AE173" i="2" s="1"/>
  <c r="AC172" i="2"/>
  <c r="AD172" i="2" s="1"/>
  <c r="AE172" i="2" s="1"/>
  <c r="AC171" i="2"/>
  <c r="AD171" i="2" s="1"/>
  <c r="AE171" i="2" s="1"/>
  <c r="AC170" i="2"/>
  <c r="AD170" i="2" s="1"/>
  <c r="AE170" i="2" s="1"/>
  <c r="AC169" i="2"/>
  <c r="AD169" i="2" s="1"/>
  <c r="AE169" i="2" s="1"/>
  <c r="AC168" i="2"/>
  <c r="AD168" i="2" s="1"/>
  <c r="AE168" i="2" s="1"/>
  <c r="AC167" i="2"/>
  <c r="AD167" i="2" s="1"/>
  <c r="AE167" i="2" s="1"/>
  <c r="AC166" i="2"/>
  <c r="AD166" i="2" s="1"/>
  <c r="AE166" i="2" s="1"/>
  <c r="AC165" i="2"/>
  <c r="AD165" i="2" s="1"/>
  <c r="AE165" i="2" s="1"/>
  <c r="AC164" i="2"/>
  <c r="AD164" i="2" s="1"/>
  <c r="AE164" i="2" s="1"/>
  <c r="AC163" i="2"/>
  <c r="AD163" i="2" s="1"/>
  <c r="AE163" i="2" s="1"/>
  <c r="AC162" i="2"/>
  <c r="AD162" i="2" s="1"/>
  <c r="AE162" i="2" s="1"/>
  <c r="AC161" i="2"/>
  <c r="AD161" i="2" s="1"/>
  <c r="AE161" i="2" s="1"/>
  <c r="AC160" i="2"/>
  <c r="AD160" i="2" s="1"/>
  <c r="AE160" i="2" s="1"/>
  <c r="AC159" i="2"/>
  <c r="AD159" i="2" s="1"/>
  <c r="AE159" i="2" s="1"/>
  <c r="AC158" i="2"/>
  <c r="AD158" i="2" s="1"/>
  <c r="AE158" i="2" s="1"/>
  <c r="AC157" i="2"/>
  <c r="AD157" i="2" s="1"/>
  <c r="AE157" i="2" s="1"/>
  <c r="AC156" i="2"/>
  <c r="AD156" i="2" s="1"/>
  <c r="AE156" i="2" s="1"/>
  <c r="AC155" i="2"/>
  <c r="AD155" i="2" s="1"/>
  <c r="AE155" i="2" s="1"/>
  <c r="AC154" i="2"/>
  <c r="AD154" i="2" s="1"/>
  <c r="AE154" i="2" s="1"/>
  <c r="AC153" i="2"/>
  <c r="AD153" i="2" s="1"/>
  <c r="AE153" i="2" s="1"/>
  <c r="AC152" i="2"/>
  <c r="AD152" i="2" s="1"/>
  <c r="AE152" i="2" s="1"/>
  <c r="AC151" i="2"/>
  <c r="AD151" i="2" s="1"/>
  <c r="AE151" i="2" s="1"/>
  <c r="AC150" i="2"/>
  <c r="AD150" i="2" s="1"/>
  <c r="AE150" i="2" s="1"/>
  <c r="AC149" i="2"/>
  <c r="AD149" i="2" s="1"/>
  <c r="AE149" i="2" s="1"/>
  <c r="AC148" i="2"/>
  <c r="AD148" i="2" s="1"/>
  <c r="AE148" i="2" s="1"/>
  <c r="AC147" i="2"/>
  <c r="AD147" i="2" s="1"/>
  <c r="AE147" i="2" s="1"/>
  <c r="AC146" i="2"/>
  <c r="AD146" i="2" s="1"/>
  <c r="AE146" i="2" s="1"/>
  <c r="AC145" i="2"/>
  <c r="AD145" i="2" s="1"/>
  <c r="AE145" i="2" s="1"/>
  <c r="AC144" i="2"/>
  <c r="AD144" i="2" s="1"/>
  <c r="AE144" i="2" s="1"/>
  <c r="AC143" i="2"/>
  <c r="AD143" i="2" s="1"/>
  <c r="AE143" i="2" s="1"/>
  <c r="AC142" i="2"/>
  <c r="AD142" i="2" s="1"/>
  <c r="AE142" i="2" s="1"/>
  <c r="AC141" i="2"/>
  <c r="AD141" i="2" s="1"/>
  <c r="AE141" i="2" s="1"/>
  <c r="AC140" i="2"/>
  <c r="AD140" i="2" s="1"/>
  <c r="AE140" i="2" s="1"/>
  <c r="AC139" i="2"/>
  <c r="AD139" i="2" s="1"/>
  <c r="AE139" i="2" s="1"/>
  <c r="AC138" i="2"/>
  <c r="AD138" i="2" s="1"/>
  <c r="AE138" i="2" s="1"/>
  <c r="AC137" i="2"/>
  <c r="AD137" i="2" s="1"/>
  <c r="AE137" i="2" s="1"/>
  <c r="AC136" i="2"/>
  <c r="AD136" i="2" s="1"/>
  <c r="AE136" i="2" s="1"/>
  <c r="AC135" i="2"/>
  <c r="AD135" i="2" s="1"/>
  <c r="AE135" i="2" s="1"/>
  <c r="AC134" i="2"/>
  <c r="AD134" i="2" s="1"/>
  <c r="AE134" i="2" s="1"/>
  <c r="AC133" i="2"/>
  <c r="AD133" i="2" s="1"/>
  <c r="AE133" i="2" s="1"/>
  <c r="AC132" i="2"/>
  <c r="AD132" i="2" s="1"/>
  <c r="AE132" i="2" s="1"/>
  <c r="AC131" i="2"/>
  <c r="AD131" i="2" s="1"/>
  <c r="AE131" i="2" s="1"/>
  <c r="AC130" i="2"/>
  <c r="AD130" i="2" s="1"/>
  <c r="AE130" i="2" s="1"/>
  <c r="AC129" i="2"/>
  <c r="AD129" i="2" s="1"/>
  <c r="AE129" i="2" s="1"/>
  <c r="AC128" i="2"/>
  <c r="AD128" i="2" s="1"/>
  <c r="AE128" i="2" s="1"/>
  <c r="AC127" i="2"/>
  <c r="AD127" i="2" s="1"/>
  <c r="AE127" i="2" s="1"/>
  <c r="AC126" i="2"/>
  <c r="AD126" i="2" s="1"/>
  <c r="AE126" i="2" s="1"/>
  <c r="AC125" i="2"/>
  <c r="AD125" i="2" s="1"/>
  <c r="AE125" i="2" s="1"/>
  <c r="AC124" i="2"/>
  <c r="AD124" i="2" s="1"/>
  <c r="AE124" i="2" s="1"/>
  <c r="AC123" i="2"/>
  <c r="AD123" i="2" s="1"/>
  <c r="AE123" i="2" s="1"/>
  <c r="AC122" i="2"/>
  <c r="AD122" i="2" s="1"/>
  <c r="AE122" i="2" s="1"/>
  <c r="AC121" i="2"/>
  <c r="AD121" i="2" s="1"/>
  <c r="AE121" i="2" s="1"/>
  <c r="AC120" i="2"/>
  <c r="AD120" i="2" s="1"/>
  <c r="AE120" i="2" s="1"/>
  <c r="AC119" i="2"/>
  <c r="AD119" i="2" s="1"/>
  <c r="AE119" i="2" s="1"/>
  <c r="AC118" i="2"/>
  <c r="AD118" i="2" s="1"/>
  <c r="AE118" i="2" s="1"/>
  <c r="AC117" i="2"/>
  <c r="AD117" i="2" s="1"/>
  <c r="AE117" i="2" s="1"/>
  <c r="AC116" i="2"/>
  <c r="AD116" i="2" s="1"/>
  <c r="AE116" i="2" s="1"/>
  <c r="AC115" i="2"/>
  <c r="AD115" i="2" s="1"/>
  <c r="AE115" i="2" s="1"/>
  <c r="AC114" i="2"/>
  <c r="AD114" i="2" s="1"/>
  <c r="AE114" i="2" s="1"/>
  <c r="AC113" i="2"/>
  <c r="AD113" i="2" s="1"/>
  <c r="AE113" i="2" s="1"/>
  <c r="AC112" i="2"/>
  <c r="AD112" i="2" s="1"/>
  <c r="AE112" i="2" s="1"/>
  <c r="AC111" i="2"/>
  <c r="AD111" i="2" s="1"/>
  <c r="AE111" i="2" s="1"/>
  <c r="AC110" i="2"/>
  <c r="AD110" i="2" s="1"/>
  <c r="AE110" i="2" s="1"/>
  <c r="AC109" i="2"/>
  <c r="AD109" i="2" s="1"/>
  <c r="AE109" i="2" s="1"/>
  <c r="AC108" i="2"/>
  <c r="AD108" i="2" s="1"/>
  <c r="AE108" i="2" s="1"/>
  <c r="AC107" i="2"/>
  <c r="AD107" i="2" s="1"/>
  <c r="AE107" i="2" s="1"/>
  <c r="AC106" i="2"/>
  <c r="AD106" i="2" s="1"/>
  <c r="AE106" i="2" s="1"/>
  <c r="AC105" i="2"/>
  <c r="AD105" i="2" s="1"/>
  <c r="AE105" i="2" s="1"/>
  <c r="AC104" i="2"/>
  <c r="AD104" i="2" s="1"/>
  <c r="AE104" i="2" s="1"/>
  <c r="AC103" i="2"/>
  <c r="AD103" i="2" s="1"/>
  <c r="AE103" i="2" s="1"/>
  <c r="AC102" i="2"/>
  <c r="AD102" i="2" s="1"/>
  <c r="AE102" i="2" s="1"/>
  <c r="AC101" i="2"/>
  <c r="AD101" i="2" s="1"/>
  <c r="AE101" i="2" s="1"/>
  <c r="AC100" i="2"/>
  <c r="AD100" i="2" s="1"/>
  <c r="AE100" i="2" s="1"/>
  <c r="AC99" i="2"/>
  <c r="AD99" i="2" s="1"/>
  <c r="AE99" i="2" s="1"/>
  <c r="AC98" i="2"/>
  <c r="AD98" i="2" s="1"/>
  <c r="AE98" i="2" s="1"/>
  <c r="AC97" i="2"/>
  <c r="AD97" i="2" s="1"/>
  <c r="AE97" i="2" s="1"/>
  <c r="AC96" i="2"/>
  <c r="AD96" i="2" s="1"/>
  <c r="AE96" i="2" s="1"/>
  <c r="AC95" i="2"/>
  <c r="AD95" i="2" s="1"/>
  <c r="AE95" i="2" s="1"/>
  <c r="AC94" i="2"/>
  <c r="AD94" i="2" s="1"/>
  <c r="AE94" i="2" s="1"/>
  <c r="AC93" i="2"/>
  <c r="AD93" i="2" s="1"/>
  <c r="AE93" i="2" s="1"/>
  <c r="AC92" i="2"/>
  <c r="AD92" i="2" s="1"/>
  <c r="AE92" i="2" s="1"/>
  <c r="AC91" i="2"/>
  <c r="AD91" i="2" s="1"/>
  <c r="AE91" i="2" s="1"/>
  <c r="AC90" i="2"/>
  <c r="AD90" i="2" s="1"/>
  <c r="AE90" i="2" s="1"/>
  <c r="AC89" i="2"/>
  <c r="AD89" i="2" s="1"/>
  <c r="AE89" i="2" s="1"/>
  <c r="AC88" i="2"/>
  <c r="AD88" i="2" s="1"/>
  <c r="AE88" i="2" s="1"/>
  <c r="AC87" i="2"/>
  <c r="AD87" i="2" s="1"/>
  <c r="AE87" i="2" s="1"/>
  <c r="AC86" i="2"/>
  <c r="AD86" i="2" s="1"/>
  <c r="AE86" i="2" s="1"/>
  <c r="AC85" i="2"/>
  <c r="AD85" i="2" s="1"/>
  <c r="AE85" i="2" s="1"/>
  <c r="AC84" i="2"/>
  <c r="AD84" i="2" s="1"/>
  <c r="AE84" i="2" s="1"/>
  <c r="AC83" i="2"/>
  <c r="AD83" i="2" s="1"/>
  <c r="AE83" i="2" s="1"/>
  <c r="AC82" i="2"/>
  <c r="AD82" i="2" s="1"/>
  <c r="AE82" i="2" s="1"/>
  <c r="AC81" i="2"/>
  <c r="AD81" i="2" s="1"/>
  <c r="AE81" i="2" s="1"/>
  <c r="AC80" i="2"/>
  <c r="AD80" i="2" s="1"/>
  <c r="AE80" i="2" s="1"/>
  <c r="AC79" i="2"/>
  <c r="AD79" i="2" s="1"/>
  <c r="AE79" i="2" s="1"/>
  <c r="AC78" i="2"/>
  <c r="AD78" i="2" s="1"/>
  <c r="AE78" i="2" s="1"/>
  <c r="AC77" i="2"/>
  <c r="AD77" i="2" s="1"/>
  <c r="AE77" i="2" s="1"/>
  <c r="AC76" i="2"/>
  <c r="AD76" i="2" s="1"/>
  <c r="AE76" i="2" s="1"/>
  <c r="AC75" i="2"/>
  <c r="AD75" i="2" s="1"/>
  <c r="AE75" i="2" s="1"/>
  <c r="AC74" i="2"/>
  <c r="AD74" i="2" s="1"/>
  <c r="AE74" i="2" s="1"/>
  <c r="AC73" i="2"/>
  <c r="AD73" i="2" s="1"/>
  <c r="AE73" i="2" s="1"/>
  <c r="AC72" i="2"/>
  <c r="AD72" i="2" s="1"/>
  <c r="AE72" i="2" s="1"/>
  <c r="AC71" i="2"/>
  <c r="AD71" i="2" s="1"/>
  <c r="AE71" i="2" s="1"/>
  <c r="AC70" i="2"/>
  <c r="AD70" i="2" s="1"/>
  <c r="AE70" i="2" s="1"/>
  <c r="AC69" i="2"/>
  <c r="AD69" i="2" s="1"/>
  <c r="AE69" i="2" s="1"/>
  <c r="AC68" i="2"/>
  <c r="AD68" i="2" s="1"/>
  <c r="AE68" i="2" s="1"/>
  <c r="AC67" i="2"/>
  <c r="AD67" i="2" s="1"/>
  <c r="AE67" i="2" s="1"/>
  <c r="AC66" i="2"/>
  <c r="AD66" i="2" s="1"/>
  <c r="AE66" i="2" s="1"/>
  <c r="AC65" i="2"/>
  <c r="AD65" i="2" s="1"/>
  <c r="AE65" i="2" s="1"/>
  <c r="AC64" i="2"/>
  <c r="AD64" i="2" s="1"/>
  <c r="AE64" i="2" s="1"/>
  <c r="AC63" i="2"/>
  <c r="AD63" i="2" s="1"/>
  <c r="AE63" i="2" s="1"/>
  <c r="AC62" i="2"/>
  <c r="AD62" i="2" s="1"/>
  <c r="AE62" i="2" s="1"/>
  <c r="AC61" i="2"/>
  <c r="AD61" i="2" s="1"/>
  <c r="AE61" i="2" s="1"/>
  <c r="AC60" i="2"/>
  <c r="AD60" i="2" s="1"/>
  <c r="AE60" i="2" s="1"/>
  <c r="AC59" i="2"/>
  <c r="AD59" i="2" s="1"/>
  <c r="AE59" i="2" s="1"/>
  <c r="AC58" i="2"/>
  <c r="AD58" i="2" s="1"/>
  <c r="AE58" i="2" s="1"/>
  <c r="AC57" i="2"/>
  <c r="AD57" i="2" s="1"/>
  <c r="AE57" i="2" s="1"/>
  <c r="AC56" i="2"/>
  <c r="AD56" i="2" s="1"/>
  <c r="AE56" i="2" s="1"/>
  <c r="AC55" i="2"/>
  <c r="AD55" i="2" s="1"/>
  <c r="AE55" i="2" s="1"/>
  <c r="AC54" i="2"/>
  <c r="AD54" i="2" s="1"/>
  <c r="AE54" i="2" s="1"/>
  <c r="AC53" i="2"/>
  <c r="AD53" i="2" s="1"/>
  <c r="AE53" i="2" s="1"/>
  <c r="AC52" i="2"/>
  <c r="AD52" i="2" s="1"/>
  <c r="AE52" i="2" s="1"/>
  <c r="AC51" i="2"/>
  <c r="AD51" i="2" s="1"/>
  <c r="AE51" i="2" s="1"/>
  <c r="AC50" i="2"/>
  <c r="AD50" i="2" s="1"/>
  <c r="AE50" i="2" s="1"/>
  <c r="AC49" i="2"/>
  <c r="AD49" i="2" s="1"/>
  <c r="AE49" i="2" s="1"/>
  <c r="AC48" i="2"/>
  <c r="AD48" i="2" s="1"/>
  <c r="AE48" i="2" s="1"/>
  <c r="AC47" i="2"/>
  <c r="AD47" i="2" s="1"/>
  <c r="AE47" i="2" s="1"/>
  <c r="AC46" i="2"/>
  <c r="AD46" i="2" s="1"/>
  <c r="AE46" i="2" s="1"/>
  <c r="AC45" i="2"/>
  <c r="AD45" i="2" s="1"/>
  <c r="AE45" i="2" s="1"/>
  <c r="AC44" i="2"/>
  <c r="AD44" i="2" s="1"/>
  <c r="AE44" i="2" s="1"/>
  <c r="AC43" i="2"/>
  <c r="AD43" i="2" s="1"/>
  <c r="AE43" i="2" s="1"/>
  <c r="AC42" i="2"/>
  <c r="AD42" i="2" s="1"/>
  <c r="AE42" i="2" s="1"/>
  <c r="AC41" i="2"/>
  <c r="AD41" i="2" s="1"/>
  <c r="AE41" i="2" s="1"/>
  <c r="AC40" i="2"/>
  <c r="AD40" i="2" s="1"/>
  <c r="AE40" i="2" s="1"/>
  <c r="AC39" i="2"/>
  <c r="AD39" i="2" s="1"/>
  <c r="AE39" i="2" s="1"/>
  <c r="AC38" i="2"/>
  <c r="AD38" i="2" s="1"/>
  <c r="AE38" i="2" s="1"/>
  <c r="AC37" i="2"/>
  <c r="AD37" i="2" s="1"/>
  <c r="AE37" i="2" s="1"/>
  <c r="AC36" i="2"/>
  <c r="AD36" i="2" s="1"/>
  <c r="AE36" i="2" s="1"/>
  <c r="AC35" i="2"/>
  <c r="AD35" i="2" s="1"/>
  <c r="AE35" i="2" s="1"/>
  <c r="AC34" i="2"/>
  <c r="AD34" i="2" s="1"/>
  <c r="AE34" i="2" s="1"/>
  <c r="AC33" i="2"/>
  <c r="AD33" i="2" s="1"/>
  <c r="AE33" i="2" s="1"/>
  <c r="AC32" i="2"/>
  <c r="AD32" i="2" s="1"/>
  <c r="AE32" i="2" s="1"/>
  <c r="AC31" i="2"/>
  <c r="AD31" i="2" s="1"/>
  <c r="AE31" i="2" s="1"/>
  <c r="AC30" i="2"/>
  <c r="AD30" i="2" s="1"/>
  <c r="AE30" i="2" s="1"/>
  <c r="AC29" i="2"/>
  <c r="AD29" i="2" s="1"/>
  <c r="AE29" i="2" s="1"/>
  <c r="AC28" i="2"/>
  <c r="AD28" i="2" s="1"/>
  <c r="AE28" i="2" s="1"/>
  <c r="AC27" i="2"/>
  <c r="AD27" i="2" s="1"/>
  <c r="AE27" i="2" s="1"/>
  <c r="AC26" i="2"/>
  <c r="AD26" i="2" s="1"/>
  <c r="AE26" i="2" s="1"/>
  <c r="AC25" i="2"/>
  <c r="AD25" i="2" s="1"/>
  <c r="AE25" i="2" s="1"/>
  <c r="AC24" i="2"/>
  <c r="AD24" i="2" s="1"/>
  <c r="AE24" i="2" s="1"/>
  <c r="AC23" i="2"/>
  <c r="AD23" i="2" s="1"/>
  <c r="AE23" i="2" s="1"/>
  <c r="AC22" i="2"/>
  <c r="AD22" i="2" s="1"/>
  <c r="AE22" i="2" s="1"/>
  <c r="AC21" i="2"/>
  <c r="AD21" i="2" s="1"/>
  <c r="AE21" i="2" s="1"/>
  <c r="AC20" i="2"/>
  <c r="AD20" i="2" s="1"/>
  <c r="AE20" i="2" s="1"/>
  <c r="AC19" i="2"/>
  <c r="AD19" i="2" s="1"/>
  <c r="AE19" i="2" s="1"/>
  <c r="AC18" i="2"/>
  <c r="AD18" i="2" s="1"/>
  <c r="AE18" i="2" s="1"/>
  <c r="AC17" i="2"/>
  <c r="AD17" i="2" s="1"/>
  <c r="AE17" i="2" s="1"/>
  <c r="AC16" i="2"/>
  <c r="AD16" i="2" s="1"/>
  <c r="AE16" i="2" s="1"/>
  <c r="AC15" i="2"/>
  <c r="AD15" i="2" s="1"/>
  <c r="AE15" i="2" s="1"/>
  <c r="AC14" i="2"/>
  <c r="AD14" i="2" s="1"/>
  <c r="AE14" i="2" s="1"/>
  <c r="AC13" i="2"/>
  <c r="AD13" i="2" s="1"/>
  <c r="AE13" i="2" s="1"/>
  <c r="AC12" i="2"/>
  <c r="AD12" i="2" s="1"/>
  <c r="AE12" i="2" s="1"/>
  <c r="AC11" i="2"/>
  <c r="AD11" i="2" s="1"/>
  <c r="AE11" i="2" s="1"/>
  <c r="AC10" i="2"/>
  <c r="AD10" i="2" s="1"/>
  <c r="AE10" i="2" s="1"/>
  <c r="AC9" i="2"/>
  <c r="AD9" i="2" s="1"/>
  <c r="AE9" i="2" s="1"/>
  <c r="AC8" i="2"/>
  <c r="AD8" i="2" s="1"/>
  <c r="AE8" i="2" s="1"/>
  <c r="AC7" i="2"/>
  <c r="AD7" i="2" s="1"/>
  <c r="AE7" i="2" s="1"/>
  <c r="AC6" i="2"/>
  <c r="AD6" i="2" s="1"/>
  <c r="AE6" i="2" s="1"/>
  <c r="AC5" i="2"/>
  <c r="AD5" i="2" s="1"/>
  <c r="AE5" i="2" s="1"/>
  <c r="AC4" i="2"/>
  <c r="AD4" i="2" s="1"/>
  <c r="AE4" i="2" s="1"/>
  <c r="AC3" i="2"/>
  <c r="AD3" i="2" s="1"/>
  <c r="AE3" i="2" s="1"/>
  <c r="AE2" i="2"/>
  <c r="T3" i="2"/>
  <c r="U3" i="2" s="1"/>
  <c r="T4" i="2"/>
  <c r="U4" i="2" s="1"/>
  <c r="T5" i="2"/>
  <c r="U5" i="2" s="1"/>
  <c r="T6" i="2"/>
  <c r="U6" i="2" s="1"/>
  <c r="T7" i="2"/>
  <c r="U7" i="2" s="1"/>
  <c r="T8" i="2"/>
  <c r="U8" i="2" s="1"/>
  <c r="T9" i="2"/>
  <c r="U9" i="2" s="1"/>
  <c r="T10" i="2"/>
  <c r="U10" i="2" s="1"/>
  <c r="T11" i="2"/>
  <c r="U11" i="2" s="1"/>
  <c r="T12" i="2"/>
  <c r="U12" i="2" s="1"/>
  <c r="T13" i="2"/>
  <c r="U13" i="2" s="1"/>
  <c r="T14" i="2"/>
  <c r="U14" i="2" s="1"/>
  <c r="T15" i="2"/>
  <c r="U15" i="2" s="1"/>
  <c r="T16" i="2"/>
  <c r="U16" i="2" s="1"/>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2" i="2"/>
  <c r="U32" i="2" s="1"/>
  <c r="T33" i="2"/>
  <c r="U33" i="2" s="1"/>
  <c r="T34" i="2"/>
  <c r="U34" i="2" s="1"/>
  <c r="T35" i="2"/>
  <c r="U35" i="2" s="1"/>
  <c r="T36" i="2"/>
  <c r="U36" i="2" s="1"/>
  <c r="T37" i="2"/>
  <c r="U37" i="2" s="1"/>
  <c r="T38" i="2"/>
  <c r="U38" i="2" s="1"/>
  <c r="T39" i="2"/>
  <c r="U39" i="2" s="1"/>
  <c r="T40" i="2"/>
  <c r="U40" i="2" s="1"/>
  <c r="T41" i="2"/>
  <c r="U41" i="2" s="1"/>
  <c r="T42" i="2"/>
  <c r="U42" i="2" s="1"/>
  <c r="T43" i="2"/>
  <c r="U43" i="2" s="1"/>
  <c r="T44" i="2"/>
  <c r="U44" i="2" s="1"/>
  <c r="T45" i="2"/>
  <c r="U45" i="2" s="1"/>
  <c r="T46" i="2"/>
  <c r="U46" i="2" s="1"/>
  <c r="T47" i="2"/>
  <c r="U47" i="2" s="1"/>
  <c r="T48" i="2"/>
  <c r="U48" i="2" s="1"/>
  <c r="T49" i="2"/>
  <c r="U49" i="2" s="1"/>
  <c r="T50" i="2"/>
  <c r="U50" i="2" s="1"/>
  <c r="T51" i="2"/>
  <c r="U51" i="2" s="1"/>
  <c r="T52" i="2"/>
  <c r="U52" i="2" s="1"/>
  <c r="T53" i="2"/>
  <c r="U53" i="2" s="1"/>
  <c r="T54" i="2"/>
  <c r="U54" i="2" s="1"/>
  <c r="T55" i="2"/>
  <c r="U55" i="2" s="1"/>
  <c r="T56" i="2"/>
  <c r="U56" i="2" s="1"/>
  <c r="T57" i="2"/>
  <c r="U57" i="2" s="1"/>
  <c r="T58" i="2"/>
  <c r="U58" i="2" s="1"/>
  <c r="T59" i="2"/>
  <c r="U59" i="2" s="1"/>
  <c r="T60" i="2"/>
  <c r="U60" i="2" s="1"/>
  <c r="T61" i="2"/>
  <c r="U61" i="2" s="1"/>
  <c r="T62" i="2"/>
  <c r="U62" i="2" s="1"/>
  <c r="T63" i="2"/>
  <c r="U63" i="2" s="1"/>
  <c r="T64" i="2"/>
  <c r="U64" i="2" s="1"/>
  <c r="T65" i="2"/>
  <c r="U65" i="2" s="1"/>
  <c r="T66" i="2"/>
  <c r="U66" i="2" s="1"/>
  <c r="T67" i="2"/>
  <c r="U67" i="2" s="1"/>
  <c r="T68" i="2"/>
  <c r="U68" i="2" s="1"/>
  <c r="T69" i="2"/>
  <c r="U69" i="2" s="1"/>
  <c r="T70" i="2"/>
  <c r="U70" i="2" s="1"/>
  <c r="T71" i="2"/>
  <c r="U71" i="2" s="1"/>
  <c r="T72" i="2"/>
  <c r="U72" i="2" s="1"/>
  <c r="T73" i="2"/>
  <c r="U73" i="2" s="1"/>
  <c r="T74" i="2"/>
  <c r="U74" i="2" s="1"/>
  <c r="T75" i="2"/>
  <c r="U75" i="2" s="1"/>
  <c r="T76" i="2"/>
  <c r="U76" i="2" s="1"/>
  <c r="T77" i="2"/>
  <c r="U77" i="2" s="1"/>
  <c r="T78" i="2"/>
  <c r="U78" i="2" s="1"/>
  <c r="T79" i="2"/>
  <c r="U79" i="2" s="1"/>
  <c r="T80" i="2"/>
  <c r="U80" i="2" s="1"/>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U96" i="2" s="1"/>
  <c r="T97" i="2"/>
  <c r="U97" i="2" s="1"/>
  <c r="T98" i="2"/>
  <c r="U98" i="2" s="1"/>
  <c r="T99" i="2"/>
  <c r="U99" i="2" s="1"/>
  <c r="T100" i="2"/>
  <c r="U100" i="2" s="1"/>
  <c r="T101" i="2"/>
  <c r="U101" i="2" s="1"/>
  <c r="T102" i="2"/>
  <c r="U102" i="2" s="1"/>
  <c r="T103" i="2"/>
  <c r="U103" i="2" s="1"/>
  <c r="T104" i="2"/>
  <c r="U104" i="2" s="1"/>
  <c r="T105" i="2"/>
  <c r="U105" i="2" s="1"/>
  <c r="T106" i="2"/>
  <c r="U106" i="2" s="1"/>
  <c r="T107" i="2"/>
  <c r="U107" i="2" s="1"/>
  <c r="T108" i="2"/>
  <c r="U108" i="2" s="1"/>
  <c r="T109" i="2"/>
  <c r="U109" i="2" s="1"/>
  <c r="T110" i="2"/>
  <c r="U110" i="2" s="1"/>
  <c r="T111" i="2"/>
  <c r="U111" i="2" s="1"/>
  <c r="T112" i="2"/>
  <c r="U112" i="2" s="1"/>
  <c r="T113" i="2"/>
  <c r="U113" i="2" s="1"/>
  <c r="T114" i="2"/>
  <c r="U114" i="2" s="1"/>
  <c r="T115" i="2"/>
  <c r="U115" i="2" s="1"/>
  <c r="T116" i="2"/>
  <c r="U116" i="2" s="1"/>
  <c r="T117" i="2"/>
  <c r="U117" i="2" s="1"/>
  <c r="T118" i="2"/>
  <c r="U118" i="2" s="1"/>
  <c r="T119" i="2"/>
  <c r="U119" i="2" s="1"/>
  <c r="T120" i="2"/>
  <c r="U120" i="2" s="1"/>
  <c r="T121" i="2"/>
  <c r="U121" i="2" s="1"/>
  <c r="T122" i="2"/>
  <c r="U122" i="2" s="1"/>
  <c r="T123" i="2"/>
  <c r="U123" i="2" s="1"/>
  <c r="T124" i="2"/>
  <c r="U124" i="2" s="1"/>
  <c r="T125" i="2"/>
  <c r="U125" i="2" s="1"/>
  <c r="T126" i="2"/>
  <c r="U126" i="2" s="1"/>
  <c r="T127" i="2"/>
  <c r="U127" i="2" s="1"/>
  <c r="T128" i="2"/>
  <c r="U128" i="2" s="1"/>
  <c r="T129" i="2"/>
  <c r="U129" i="2" s="1"/>
  <c r="T130" i="2"/>
  <c r="U130" i="2" s="1"/>
  <c r="T131" i="2"/>
  <c r="U131" i="2" s="1"/>
  <c r="T132" i="2"/>
  <c r="U132" i="2" s="1"/>
  <c r="T133" i="2"/>
  <c r="U133" i="2" s="1"/>
  <c r="T134" i="2"/>
  <c r="U134" i="2" s="1"/>
  <c r="T135" i="2"/>
  <c r="U135" i="2" s="1"/>
  <c r="T136" i="2"/>
  <c r="U136" i="2" s="1"/>
  <c r="T137" i="2"/>
  <c r="U137" i="2" s="1"/>
  <c r="T138" i="2"/>
  <c r="U138" i="2" s="1"/>
  <c r="T139" i="2"/>
  <c r="U139" i="2" s="1"/>
  <c r="T140" i="2"/>
  <c r="U140" i="2" s="1"/>
  <c r="T141" i="2"/>
  <c r="U141" i="2" s="1"/>
  <c r="T142" i="2"/>
  <c r="U142" i="2" s="1"/>
  <c r="T143" i="2"/>
  <c r="U143" i="2" s="1"/>
  <c r="T144" i="2"/>
  <c r="U144" i="2" s="1"/>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U160" i="2" s="1"/>
  <c r="T161" i="2"/>
  <c r="U161" i="2" s="1"/>
  <c r="T162" i="2"/>
  <c r="U162" i="2" s="1"/>
  <c r="T163" i="2"/>
  <c r="U163" i="2" s="1"/>
  <c r="T164" i="2"/>
  <c r="U164" i="2" s="1"/>
  <c r="T165" i="2"/>
  <c r="U165" i="2" s="1"/>
  <c r="T166" i="2"/>
  <c r="U166" i="2" s="1"/>
  <c r="T167" i="2"/>
  <c r="U167" i="2" s="1"/>
  <c r="T168" i="2"/>
  <c r="U168" i="2" s="1"/>
  <c r="T169" i="2"/>
  <c r="U169" i="2" s="1"/>
  <c r="T170" i="2"/>
  <c r="U170" i="2" s="1"/>
  <c r="T171" i="2"/>
  <c r="U171" i="2" s="1"/>
  <c r="T172" i="2"/>
  <c r="U172" i="2" s="1"/>
  <c r="T173" i="2"/>
  <c r="U173" i="2" s="1"/>
  <c r="T174" i="2"/>
  <c r="U174" i="2" s="1"/>
  <c r="T175" i="2"/>
  <c r="U175" i="2" s="1"/>
  <c r="T176" i="2"/>
  <c r="U176" i="2" s="1"/>
  <c r="T177" i="2"/>
  <c r="U177" i="2" s="1"/>
  <c r="T178" i="2"/>
  <c r="U178" i="2" s="1"/>
  <c r="T179" i="2"/>
  <c r="U179" i="2" s="1"/>
  <c r="T180" i="2"/>
  <c r="U180" i="2" s="1"/>
  <c r="T181" i="2"/>
  <c r="U181" i="2" s="1"/>
  <c r="T182" i="2"/>
  <c r="U182" i="2" s="1"/>
  <c r="T183" i="2"/>
  <c r="U183" i="2" s="1"/>
  <c r="T184" i="2"/>
  <c r="U184" i="2" s="1"/>
  <c r="T185" i="2"/>
  <c r="U185" i="2" s="1"/>
  <c r="T186" i="2"/>
  <c r="U186" i="2" s="1"/>
  <c r="T187" i="2"/>
  <c r="U187" i="2" s="1"/>
  <c r="T188" i="2"/>
  <c r="U188" i="2" s="1"/>
  <c r="T189" i="2"/>
  <c r="U189" i="2" s="1"/>
  <c r="T190" i="2"/>
  <c r="U190" i="2" s="1"/>
  <c r="T191" i="2"/>
  <c r="U191" i="2" s="1"/>
  <c r="T192" i="2"/>
  <c r="U192" i="2" s="1"/>
  <c r="T193" i="2"/>
  <c r="U193" i="2" s="1"/>
  <c r="T194" i="2"/>
  <c r="U194" i="2" s="1"/>
  <c r="T195" i="2"/>
  <c r="U195" i="2" s="1"/>
  <c r="T196" i="2"/>
  <c r="U196" i="2" s="1"/>
  <c r="T197" i="2"/>
  <c r="U197" i="2" s="1"/>
  <c r="T198" i="2"/>
  <c r="U198" i="2" s="1"/>
  <c r="T199" i="2"/>
  <c r="U199" i="2" s="1"/>
  <c r="T200" i="2"/>
  <c r="U200" i="2" s="1"/>
  <c r="T201" i="2"/>
  <c r="U201" i="2" s="1"/>
  <c r="T202" i="2"/>
  <c r="U202" i="2" s="1"/>
  <c r="T203" i="2"/>
  <c r="U203" i="2" s="1"/>
  <c r="T204" i="2"/>
  <c r="U204" i="2" s="1"/>
  <c r="T205" i="2"/>
  <c r="U205" i="2" s="1"/>
  <c r="T206" i="2"/>
  <c r="U206" i="2" s="1"/>
  <c r="T207" i="2"/>
  <c r="U207" i="2" s="1"/>
  <c r="T208" i="2"/>
  <c r="U208" i="2" s="1"/>
  <c r="T209" i="2"/>
  <c r="U209" i="2" s="1"/>
  <c r="T210" i="2"/>
  <c r="U210" i="2" s="1"/>
  <c r="T211" i="2"/>
  <c r="U211" i="2" s="1"/>
  <c r="T212" i="2"/>
  <c r="U212" i="2" s="1"/>
  <c r="T213" i="2"/>
  <c r="U213" i="2" s="1"/>
  <c r="T214" i="2"/>
  <c r="U214" i="2" s="1"/>
  <c r="T215" i="2"/>
  <c r="U215" i="2" s="1"/>
  <c r="T216" i="2"/>
  <c r="U216" i="2" s="1"/>
  <c r="T217" i="2"/>
  <c r="U217" i="2" s="1"/>
  <c r="T218" i="2"/>
  <c r="U218" i="2" s="1"/>
  <c r="T219" i="2"/>
  <c r="U219" i="2" s="1"/>
  <c r="T220" i="2"/>
  <c r="U220" i="2" s="1"/>
  <c r="T221" i="2"/>
  <c r="U221" i="2" s="1"/>
  <c r="T222" i="2"/>
  <c r="U222" i="2" s="1"/>
  <c r="T223" i="2"/>
  <c r="U223" i="2" s="1"/>
  <c r="T224" i="2"/>
  <c r="U224" i="2" s="1"/>
  <c r="T225" i="2"/>
  <c r="U225" i="2" s="1"/>
  <c r="T226" i="2"/>
  <c r="U226" i="2" s="1"/>
  <c r="T227" i="2"/>
  <c r="U227" i="2" s="1"/>
  <c r="T228" i="2"/>
  <c r="U228" i="2" s="1"/>
  <c r="T229" i="2"/>
  <c r="U229" i="2" s="1"/>
  <c r="T230" i="2"/>
  <c r="U230" i="2" s="1"/>
  <c r="T231" i="2"/>
  <c r="U231" i="2" s="1"/>
  <c r="T232" i="2"/>
  <c r="U232" i="2" s="1"/>
  <c r="T233" i="2"/>
  <c r="U233" i="2" s="1"/>
  <c r="T234" i="2"/>
  <c r="U234" i="2" s="1"/>
  <c r="T235" i="2"/>
  <c r="U235" i="2" s="1"/>
  <c r="T236" i="2"/>
  <c r="U236" i="2" s="1"/>
  <c r="T237" i="2"/>
  <c r="U237" i="2" s="1"/>
  <c r="T238" i="2"/>
  <c r="U238" i="2" s="1"/>
  <c r="T239" i="2"/>
  <c r="U239" i="2" s="1"/>
  <c r="T240" i="2"/>
  <c r="U240" i="2" s="1"/>
  <c r="T241" i="2"/>
  <c r="U241" i="2" s="1"/>
  <c r="T242" i="2"/>
  <c r="U242" i="2" s="1"/>
  <c r="T243" i="2"/>
  <c r="U243" i="2" s="1"/>
  <c r="T244" i="2"/>
  <c r="U244" i="2" s="1"/>
  <c r="T245" i="2"/>
  <c r="U245" i="2" s="1"/>
  <c r="T246" i="2"/>
  <c r="U246" i="2" s="1"/>
  <c r="T247" i="2"/>
  <c r="U247" i="2" s="1"/>
  <c r="T248" i="2"/>
  <c r="U248" i="2" s="1"/>
  <c r="T249" i="2"/>
  <c r="U249" i="2" s="1"/>
  <c r="T250" i="2"/>
  <c r="U250" i="2" s="1"/>
  <c r="T251" i="2"/>
  <c r="U251" i="2" s="1"/>
  <c r="T252" i="2"/>
  <c r="U252" i="2" s="1"/>
  <c r="T253" i="2"/>
  <c r="U253" i="2" s="1"/>
  <c r="T254" i="2"/>
  <c r="U254" i="2" s="1"/>
  <c r="T255" i="2"/>
  <c r="U255" i="2" s="1"/>
  <c r="T256" i="2"/>
  <c r="U256" i="2" s="1"/>
  <c r="T257" i="2"/>
  <c r="U257" i="2" s="1"/>
  <c r="T258" i="2"/>
  <c r="U258" i="2" s="1"/>
  <c r="T259" i="2"/>
  <c r="U259" i="2" s="1"/>
  <c r="T260" i="2"/>
  <c r="U260" i="2" s="1"/>
  <c r="T261" i="2"/>
  <c r="U261" i="2" s="1"/>
  <c r="T262" i="2"/>
  <c r="U262" i="2" s="1"/>
  <c r="T263" i="2"/>
  <c r="U263" i="2" s="1"/>
  <c r="T264" i="2"/>
  <c r="U264" i="2" s="1"/>
  <c r="T265" i="2"/>
  <c r="U265" i="2" s="1"/>
  <c r="T266" i="2"/>
  <c r="U266" i="2" s="1"/>
  <c r="T267" i="2"/>
  <c r="U267" i="2" s="1"/>
  <c r="T268" i="2"/>
  <c r="U268" i="2" s="1"/>
  <c r="T269" i="2"/>
  <c r="U269" i="2" s="1"/>
  <c r="T270" i="2"/>
  <c r="U270" i="2" s="1"/>
  <c r="T271" i="2"/>
  <c r="U271" i="2" s="1"/>
  <c r="T272" i="2"/>
  <c r="U272" i="2" s="1"/>
  <c r="T273" i="2"/>
  <c r="U273" i="2" s="1"/>
  <c r="T274" i="2"/>
  <c r="U274" i="2" s="1"/>
  <c r="T275" i="2"/>
  <c r="U275" i="2" s="1"/>
  <c r="T276" i="2"/>
  <c r="U276" i="2" s="1"/>
  <c r="T277" i="2"/>
  <c r="U277" i="2" s="1"/>
  <c r="T278" i="2"/>
  <c r="U278" i="2"/>
  <c r="T279" i="2"/>
  <c r="U279" i="2" s="1"/>
  <c r="T280" i="2"/>
  <c r="U280" i="2" s="1"/>
  <c r="T281" i="2"/>
  <c r="U281" i="2" s="1"/>
  <c r="T282" i="2"/>
  <c r="U282" i="2" s="1"/>
  <c r="T283" i="2"/>
  <c r="U283" i="2" s="1"/>
  <c r="T284" i="2"/>
  <c r="U284" i="2" s="1"/>
  <c r="T285" i="2"/>
  <c r="U285" i="2" s="1"/>
  <c r="T286" i="2"/>
  <c r="U286" i="2" s="1"/>
  <c r="T287" i="2"/>
  <c r="U287" i="2" s="1"/>
  <c r="T288" i="2"/>
  <c r="U288" i="2" s="1"/>
  <c r="T289" i="2"/>
  <c r="U289" i="2" s="1"/>
  <c r="T290" i="2"/>
  <c r="U290" i="2" s="1"/>
  <c r="T291" i="2"/>
  <c r="U291" i="2" s="1"/>
  <c r="T292" i="2"/>
  <c r="U292" i="2" s="1"/>
  <c r="T293" i="2"/>
  <c r="U293" i="2" s="1"/>
  <c r="T294" i="2"/>
  <c r="U294" i="2" s="1"/>
  <c r="T295" i="2"/>
  <c r="U295" i="2" s="1"/>
  <c r="T296" i="2"/>
  <c r="U296" i="2" s="1"/>
  <c r="T297" i="2"/>
  <c r="U297" i="2" s="1"/>
  <c r="T298" i="2"/>
  <c r="U298" i="2" s="1"/>
  <c r="T299" i="2"/>
  <c r="U299" i="2" s="1"/>
  <c r="T300" i="2"/>
  <c r="U300" i="2" s="1"/>
  <c r="T301" i="2"/>
  <c r="U301" i="2" s="1"/>
  <c r="T302" i="2"/>
  <c r="U302" i="2" s="1"/>
  <c r="T303" i="2"/>
  <c r="U303" i="2" s="1"/>
  <c r="T304" i="2"/>
  <c r="U304" i="2" s="1"/>
  <c r="T305" i="2"/>
  <c r="U305" i="2" s="1"/>
  <c r="T306" i="2"/>
  <c r="U306" i="2" s="1"/>
  <c r="T307" i="2"/>
  <c r="U307" i="2" s="1"/>
  <c r="T308" i="2"/>
  <c r="U308" i="2" s="1"/>
  <c r="T309" i="2"/>
  <c r="U309" i="2" s="1"/>
  <c r="T310" i="2"/>
  <c r="U310" i="2" s="1"/>
  <c r="T311" i="2"/>
  <c r="U311" i="2" s="1"/>
  <c r="T312" i="2"/>
  <c r="U312" i="2" s="1"/>
  <c r="T313" i="2"/>
  <c r="U313" i="2" s="1"/>
  <c r="T314" i="2"/>
  <c r="U314" i="2" s="1"/>
  <c r="T315" i="2"/>
  <c r="U315" i="2" s="1"/>
  <c r="T316" i="2"/>
  <c r="U316" i="2" s="1"/>
  <c r="T317" i="2"/>
  <c r="U317" i="2" s="1"/>
  <c r="T318" i="2"/>
  <c r="U318" i="2" s="1"/>
  <c r="T319" i="2"/>
  <c r="U319" i="2" s="1"/>
  <c r="T320" i="2"/>
  <c r="U320" i="2" s="1"/>
  <c r="T321" i="2"/>
  <c r="U321" i="2" s="1"/>
  <c r="T322" i="2"/>
  <c r="U322" i="2" s="1"/>
  <c r="T323" i="2"/>
  <c r="U323" i="2" s="1"/>
  <c r="T2" i="2"/>
  <c r="U2" i="2" s="1"/>
  <c r="BS285" i="2" l="1"/>
  <c r="E29" i="8" s="1"/>
  <c r="BS269" i="2"/>
  <c r="E73" i="8" s="1"/>
  <c r="BS218" i="2"/>
  <c r="E66" i="8" s="1"/>
  <c r="BS315" i="2"/>
  <c r="E216" i="8" s="1"/>
  <c r="BS270" i="2"/>
  <c r="E37" i="8" s="1"/>
  <c r="BS209" i="2"/>
  <c r="E94" i="8" s="1"/>
  <c r="BS261" i="2"/>
  <c r="E59" i="8" s="1"/>
  <c r="BS295" i="2"/>
  <c r="E102" i="8" s="1"/>
  <c r="BS186" i="2"/>
  <c r="E13" i="8" s="1"/>
  <c r="BS292" i="2"/>
  <c r="E35" i="8" s="1"/>
  <c r="BS313" i="2"/>
  <c r="E72" i="8" s="1"/>
  <c r="BS214" i="2"/>
  <c r="E284" i="8" s="1"/>
  <c r="BS92" i="2"/>
  <c r="E6" i="8" s="1"/>
  <c r="BS289" i="2"/>
  <c r="E91" i="8" s="1"/>
  <c r="BS266" i="2"/>
  <c r="E56" i="8" s="1"/>
  <c r="BS99" i="2"/>
  <c r="E126" i="8" s="1"/>
  <c r="BS54" i="2"/>
  <c r="E245" i="8" s="1"/>
  <c r="BS273" i="2"/>
  <c r="E48" i="8" s="1"/>
  <c r="BS258" i="2"/>
  <c r="E190" i="8" s="1"/>
  <c r="BS245" i="2"/>
  <c r="E14" i="8" s="1"/>
  <c r="BS231" i="2"/>
  <c r="E25" i="8" s="1"/>
  <c r="BS196" i="2"/>
  <c r="E247" i="8" s="1"/>
  <c r="BS157" i="2"/>
  <c r="E146" i="8" s="1"/>
  <c r="BS314" i="2"/>
  <c r="E308" i="8" s="1"/>
  <c r="BS293" i="2"/>
  <c r="E179" i="8" s="1"/>
  <c r="BS286" i="2"/>
  <c r="E270" i="8" s="1"/>
  <c r="BS167" i="2"/>
  <c r="E110" i="8" s="1"/>
  <c r="BS118" i="2"/>
  <c r="E89" i="8" s="1"/>
  <c r="BS305" i="2"/>
  <c r="E26" i="8" s="1"/>
  <c r="BS221" i="2"/>
  <c r="E33" i="8" s="1"/>
  <c r="BS145" i="2"/>
  <c r="E52" i="8" s="1"/>
  <c r="BS302" i="2"/>
  <c r="E90" i="8" s="1"/>
  <c r="BS303" i="2"/>
  <c r="E127" i="8" s="1"/>
  <c r="BS158" i="2"/>
  <c r="E92" i="8" s="1"/>
  <c r="BS151" i="2"/>
  <c r="E212" i="8" s="1"/>
  <c r="BS284" i="2"/>
  <c r="E2" i="8" s="1"/>
  <c r="BS250" i="2"/>
  <c r="E301" i="8" s="1"/>
  <c r="BS197" i="2"/>
  <c r="E162" i="8" s="1"/>
  <c r="BS190" i="2"/>
  <c r="E43" i="8" s="1"/>
  <c r="BS183" i="2"/>
  <c r="E54" i="8" s="1"/>
  <c r="BS123" i="2"/>
  <c r="E279" i="8" s="1"/>
  <c r="BS17" i="2"/>
  <c r="E321" i="8" s="1"/>
  <c r="BS189" i="2"/>
  <c r="E223" i="8" s="1"/>
  <c r="BS142" i="2"/>
  <c r="E293" i="8" s="1"/>
  <c r="BS93" i="2"/>
  <c r="E227" i="8" s="1"/>
  <c r="BS85" i="2"/>
  <c r="E114" i="8" s="1"/>
  <c r="BS78" i="2"/>
  <c r="E183" i="8" s="1"/>
  <c r="BS70" i="2"/>
  <c r="E258" i="8" s="1"/>
  <c r="BS47" i="2"/>
  <c r="E147" i="8" s="1"/>
  <c r="BS39" i="2"/>
  <c r="E303" i="8" s="1"/>
  <c r="BS279" i="2"/>
  <c r="E49" i="8" s="1"/>
  <c r="BS46" i="2"/>
  <c r="E213" i="8" s="1"/>
  <c r="BS309" i="2"/>
  <c r="E268" i="8" s="1"/>
  <c r="BS181" i="2"/>
  <c r="E87" i="8" s="1"/>
  <c r="BS174" i="2"/>
  <c r="E97" i="8" s="1"/>
  <c r="BS105" i="2"/>
  <c r="E142" i="8" s="1"/>
  <c r="BS241" i="2"/>
  <c r="E187" i="8" s="1"/>
  <c r="BS301" i="2"/>
  <c r="E99" i="8" s="1"/>
  <c r="BS126" i="2"/>
  <c r="E96" i="8" s="1"/>
  <c r="BS119" i="2"/>
  <c r="BS112" i="2"/>
  <c r="E248" i="8" s="1"/>
  <c r="BS298" i="2"/>
  <c r="E309" i="8" s="1"/>
  <c r="BS177" i="2"/>
  <c r="E81" i="8" s="1"/>
  <c r="BS310" i="2"/>
  <c r="E267" i="8" s="1"/>
  <c r="BS222" i="2"/>
  <c r="E109" i="8" s="1"/>
  <c r="BS215" i="2"/>
  <c r="E172" i="8" s="1"/>
  <c r="BS106" i="2"/>
  <c r="E144" i="8" s="1"/>
  <c r="BS234" i="2"/>
  <c r="E133" i="8" s="1"/>
  <c r="BS320" i="2"/>
  <c r="E281" i="8" s="1"/>
  <c r="BS308" i="2"/>
  <c r="E300" i="8" s="1"/>
  <c r="BS254" i="2"/>
  <c r="E189" i="8" s="1"/>
  <c r="BS247" i="2"/>
  <c r="E18" i="8" s="1"/>
  <c r="BS307" i="2"/>
  <c r="E50" i="8" s="1"/>
  <c r="BS260" i="2"/>
  <c r="E19" i="8" s="1"/>
  <c r="BS253" i="2"/>
  <c r="E313" i="8" s="1"/>
  <c r="BS246" i="2"/>
  <c r="E108" i="8" s="1"/>
  <c r="BS206" i="2"/>
  <c r="E121" i="8" s="1"/>
  <c r="BS89" i="2"/>
  <c r="E251" i="8" s="1"/>
  <c r="BS51" i="2"/>
  <c r="E151" i="8" s="1"/>
  <c r="BS272" i="2"/>
  <c r="E182" i="8" s="1"/>
  <c r="BS265" i="2"/>
  <c r="E79" i="8" s="1"/>
  <c r="BS259" i="2"/>
  <c r="E28" i="8" s="1"/>
  <c r="BS252" i="2"/>
  <c r="E36" i="8" s="1"/>
  <c r="BS240" i="2"/>
  <c r="E23" i="8" s="1"/>
  <c r="BS233" i="2"/>
  <c r="E130" i="8" s="1"/>
  <c r="BS227" i="2"/>
  <c r="E39" i="8" s="1"/>
  <c r="BS220" i="2"/>
  <c r="E168" i="8" s="1"/>
  <c r="BS208" i="2"/>
  <c r="E312" i="8" s="1"/>
  <c r="BS201" i="2"/>
  <c r="E103" i="8" s="1"/>
  <c r="BS195" i="2"/>
  <c r="E290" i="8" s="1"/>
  <c r="BS176" i="2"/>
  <c r="E297" i="8" s="1"/>
  <c r="BS169" i="2"/>
  <c r="E78" i="8" s="1"/>
  <c r="BS156" i="2"/>
  <c r="E124" i="8" s="1"/>
  <c r="BS144" i="2"/>
  <c r="E278" i="8" s="1"/>
  <c r="BS137" i="2"/>
  <c r="E311" i="8" s="1"/>
  <c r="BS131" i="2"/>
  <c r="E105" i="8" s="1"/>
  <c r="BS91" i="2"/>
  <c r="E277" i="8" s="1"/>
  <c r="BS53" i="2"/>
  <c r="E204" i="8" s="1"/>
  <c r="BS22" i="2"/>
  <c r="E266" i="8" s="1"/>
  <c r="BS15" i="2"/>
  <c r="E178" i="8" s="1"/>
  <c r="BS296" i="2"/>
  <c r="E8" i="8" s="1"/>
  <c r="BS290" i="2"/>
  <c r="E291" i="8" s="1"/>
  <c r="BS283" i="2"/>
  <c r="E77" i="8" s="1"/>
  <c r="BS271" i="2"/>
  <c r="E221" i="8" s="1"/>
  <c r="BS264" i="2"/>
  <c r="E176" i="8" s="1"/>
  <c r="BS251" i="2"/>
  <c r="E76" i="8" s="1"/>
  <c r="BS239" i="2"/>
  <c r="E159" i="8" s="1"/>
  <c r="BS232" i="2"/>
  <c r="E98" i="8" s="1"/>
  <c r="BS226" i="2"/>
  <c r="E67" i="8" s="1"/>
  <c r="BS207" i="2"/>
  <c r="E101" i="8" s="1"/>
  <c r="BS200" i="2"/>
  <c r="E214" i="8" s="1"/>
  <c r="BS194" i="2"/>
  <c r="E253" i="8" s="1"/>
  <c r="BS187" i="2"/>
  <c r="E93" i="8" s="1"/>
  <c r="BS175" i="2"/>
  <c r="E246" i="8" s="1"/>
  <c r="BS168" i="2"/>
  <c r="E296" i="8" s="1"/>
  <c r="BS162" i="2"/>
  <c r="E203" i="8" s="1"/>
  <c r="BS136" i="2"/>
  <c r="E259" i="8" s="1"/>
  <c r="BS130" i="2"/>
  <c r="E71" i="8" s="1"/>
  <c r="BS124" i="2"/>
  <c r="E16" i="8" s="1"/>
  <c r="BS82" i="2"/>
  <c r="E136" i="8" s="1"/>
  <c r="BS75" i="2"/>
  <c r="E30" i="8" s="1"/>
  <c r="BS67" i="2"/>
  <c r="E282" i="8" s="1"/>
  <c r="BS60" i="2"/>
  <c r="E132" i="8" s="1"/>
  <c r="BS44" i="2"/>
  <c r="E10" i="8" s="1"/>
  <c r="BS37" i="2"/>
  <c r="E84" i="8" s="1"/>
  <c r="BS29" i="2"/>
  <c r="E207" i="8" s="1"/>
  <c r="BS6" i="2"/>
  <c r="E65" i="8" s="1"/>
  <c r="E175" i="8"/>
  <c r="BS306" i="2"/>
  <c r="E292" i="8" s="1"/>
  <c r="BS300" i="2"/>
  <c r="E22" i="8" s="1"/>
  <c r="BS294" i="2"/>
  <c r="E24" i="8" s="1"/>
  <c r="BS276" i="2"/>
  <c r="E40" i="8" s="1"/>
  <c r="BS262" i="2"/>
  <c r="E4" i="8" s="1"/>
  <c r="BS244" i="2"/>
  <c r="E196" i="8" s="1"/>
  <c r="BS212" i="2"/>
  <c r="E145" i="8" s="1"/>
  <c r="BS173" i="2"/>
  <c r="E86" i="8" s="1"/>
  <c r="BS148" i="2"/>
  <c r="E239" i="8" s="1"/>
  <c r="BS122" i="2"/>
  <c r="E304" i="8" s="1"/>
  <c r="BS108" i="2"/>
  <c r="E12" i="8" s="1"/>
  <c r="BS88" i="2"/>
  <c r="E298" i="8" s="1"/>
  <c r="BS58" i="2"/>
  <c r="E38" i="8" s="1"/>
  <c r="BS42" i="2"/>
  <c r="E210" i="8" s="1"/>
  <c r="BS27" i="2"/>
  <c r="E11" i="8" s="1"/>
  <c r="BS237" i="2"/>
  <c r="E171" i="8" s="1"/>
  <c r="BS205" i="2"/>
  <c r="E134" i="8" s="1"/>
  <c r="BS141" i="2"/>
  <c r="E100" i="8" s="1"/>
  <c r="BS115" i="2"/>
  <c r="E256" i="8" s="1"/>
  <c r="BS96" i="2"/>
  <c r="E192" i="8" s="1"/>
  <c r="BS35" i="2"/>
  <c r="E231" i="8" s="1"/>
  <c r="BS317" i="2"/>
  <c r="E161" i="8" s="1"/>
  <c r="BS311" i="2"/>
  <c r="E261" i="8" s="1"/>
  <c r="BS299" i="2"/>
  <c r="E315" i="8" s="1"/>
  <c r="BS288" i="2"/>
  <c r="E63" i="8" s="1"/>
  <c r="BS281" i="2"/>
  <c r="E20" i="8" s="1"/>
  <c r="BS275" i="2"/>
  <c r="E85" i="8" s="1"/>
  <c r="BS256" i="2"/>
  <c r="E265" i="8" s="1"/>
  <c r="BS249" i="2"/>
  <c r="E229" i="8" s="1"/>
  <c r="BS243" i="2"/>
  <c r="E285" i="8" s="1"/>
  <c r="BS236" i="2"/>
  <c r="E205" i="8" s="1"/>
  <c r="BS224" i="2"/>
  <c r="E271" i="8" s="1"/>
  <c r="BS217" i="2"/>
  <c r="E249" i="8" s="1"/>
  <c r="BS204" i="2"/>
  <c r="E5" i="8" s="1"/>
  <c r="BS192" i="2"/>
  <c r="E131" i="8" s="1"/>
  <c r="BS185" i="2"/>
  <c r="E254" i="8" s="1"/>
  <c r="BS160" i="2"/>
  <c r="E173" i="8" s="1"/>
  <c r="BS153" i="2"/>
  <c r="E41" i="8" s="1"/>
  <c r="BS147" i="2"/>
  <c r="E160" i="8" s="1"/>
  <c r="BS140" i="2"/>
  <c r="E170" i="8" s="1"/>
  <c r="BS128" i="2"/>
  <c r="E157" i="8" s="1"/>
  <c r="BS121" i="2"/>
  <c r="E228" i="8" s="1"/>
  <c r="BS114" i="2"/>
  <c r="E289" i="8" s="1"/>
  <c r="BS107" i="2"/>
  <c r="E74" i="8" s="1"/>
  <c r="BS101" i="2"/>
  <c r="E262" i="8" s="1"/>
  <c r="BS95" i="2"/>
  <c r="E64" i="8" s="1"/>
  <c r="BS87" i="2"/>
  <c r="E75" i="8" s="1"/>
  <c r="BS72" i="2"/>
  <c r="E123" i="8" s="1"/>
  <c r="BS49" i="2"/>
  <c r="E27" i="8" s="1"/>
  <c r="BS41" i="2"/>
  <c r="E113" i="8" s="1"/>
  <c r="BS18" i="2"/>
  <c r="E306" i="8" s="1"/>
  <c r="BS322" i="2"/>
  <c r="E169" i="8" s="1"/>
  <c r="BS316" i="2"/>
  <c r="E208" i="8" s="1"/>
  <c r="BS287" i="2"/>
  <c r="E275" i="8" s="1"/>
  <c r="BS280" i="2"/>
  <c r="E166" i="8" s="1"/>
  <c r="BS274" i="2"/>
  <c r="E236" i="8" s="1"/>
  <c r="BS267" i="2"/>
  <c r="E135" i="8" s="1"/>
  <c r="BS255" i="2"/>
  <c r="E233" i="8" s="1"/>
  <c r="BS248" i="2"/>
  <c r="E125" i="8" s="1"/>
  <c r="BS242" i="2"/>
  <c r="E165" i="8" s="1"/>
  <c r="BS235" i="2"/>
  <c r="E70" i="8" s="1"/>
  <c r="BS223" i="2"/>
  <c r="E244" i="8" s="1"/>
  <c r="BS216" i="2"/>
  <c r="E143" i="8" s="1"/>
  <c r="BS210" i="2"/>
  <c r="E3" i="8" s="1"/>
  <c r="BS203" i="2"/>
  <c r="E57" i="8" s="1"/>
  <c r="BS184" i="2"/>
  <c r="E51" i="8" s="1"/>
  <c r="BS178" i="2"/>
  <c r="E185" i="8" s="1"/>
  <c r="BS171" i="2"/>
  <c r="E232" i="8" s="1"/>
  <c r="BS159" i="2"/>
  <c r="E287" i="8" s="1"/>
  <c r="BS152" i="2"/>
  <c r="E201" i="8" s="1"/>
  <c r="BS146" i="2"/>
  <c r="E174" i="8" s="1"/>
  <c r="BS139" i="2"/>
  <c r="E198" i="8" s="1"/>
  <c r="BS120" i="2"/>
  <c r="E107" i="8" s="1"/>
  <c r="BS113" i="2"/>
  <c r="E276" i="8" s="1"/>
  <c r="BS100" i="2"/>
  <c r="E9" i="8" s="1"/>
  <c r="BS94" i="2"/>
  <c r="E83" i="8" s="1"/>
  <c r="BS64" i="2"/>
  <c r="E197" i="8" s="1"/>
  <c r="BS40" i="2"/>
  <c r="E299" i="8" s="1"/>
  <c r="BS33" i="2"/>
  <c r="E163" i="8" s="1"/>
  <c r="BS25" i="2"/>
  <c r="E305" i="8" s="1"/>
  <c r="BS180" i="2"/>
  <c r="E191" i="8" s="1"/>
  <c r="BS86" i="2"/>
  <c r="E242" i="8" s="1"/>
  <c r="BS278" i="2"/>
  <c r="E104" i="8" s="1"/>
  <c r="BS150" i="2"/>
  <c r="E199" i="8" s="1"/>
  <c r="BS238" i="2"/>
  <c r="E17" i="8" s="1"/>
  <c r="BS135" i="2"/>
  <c r="E152" i="8" s="1"/>
  <c r="BS268" i="2"/>
  <c r="E31" i="8" s="1"/>
  <c r="BS230" i="2"/>
  <c r="E139" i="8" s="1"/>
  <c r="BS225" i="2"/>
  <c r="E220" i="8" s="1"/>
  <c r="BS198" i="2"/>
  <c r="E45" i="8" s="1"/>
  <c r="BS193" i="2"/>
  <c r="E209" i="8" s="1"/>
  <c r="BS188" i="2"/>
  <c r="E243" i="8" s="1"/>
  <c r="BS182" i="2"/>
  <c r="E310" i="8" s="1"/>
  <c r="BS172" i="2"/>
  <c r="E120" i="8" s="1"/>
  <c r="BS166" i="2"/>
  <c r="E193" i="8" s="1"/>
  <c r="BS161" i="2"/>
  <c r="E116" i="8" s="1"/>
  <c r="BS134" i="2"/>
  <c r="E215" i="8" s="1"/>
  <c r="BS129" i="2"/>
  <c r="E137" i="8" s="1"/>
  <c r="BS117" i="2"/>
  <c r="E34" i="8" s="1"/>
  <c r="BS81" i="2"/>
  <c r="E322" i="8" s="1"/>
  <c r="BS74" i="2"/>
  <c r="E60" i="8" s="1"/>
  <c r="BS38" i="2"/>
  <c r="E7" i="8" s="1"/>
  <c r="BS10" i="2"/>
  <c r="E186" i="8" s="1"/>
  <c r="BS257" i="2"/>
  <c r="E274" i="8" s="1"/>
  <c r="BS219" i="2"/>
  <c r="E211" i="8" s="1"/>
  <c r="BS155" i="2"/>
  <c r="E88" i="8" s="1"/>
  <c r="BS111" i="2"/>
  <c r="E156" i="8" s="1"/>
  <c r="BS73" i="2"/>
  <c r="E150" i="8" s="1"/>
  <c r="BS66" i="2"/>
  <c r="E206" i="8" s="1"/>
  <c r="BS59" i="2"/>
  <c r="E260" i="8" s="1"/>
  <c r="BS45" i="2"/>
  <c r="E202" i="8" s="1"/>
  <c r="BS31" i="2"/>
  <c r="E154" i="8" s="1"/>
  <c r="BS23" i="2"/>
  <c r="E195" i="8" s="1"/>
  <c r="BS9" i="2"/>
  <c r="E273" i="8" s="1"/>
  <c r="BS199" i="2"/>
  <c r="E112" i="8" s="1"/>
  <c r="BS61" i="2"/>
  <c r="E141" i="8" s="1"/>
  <c r="BS304" i="2"/>
  <c r="E111" i="8" s="1"/>
  <c r="BS229" i="2"/>
  <c r="E238" i="8" s="1"/>
  <c r="BS213" i="2"/>
  <c r="E320" i="8" s="1"/>
  <c r="BS202" i="2"/>
  <c r="E62" i="8" s="1"/>
  <c r="BS170" i="2"/>
  <c r="E257" i="8" s="1"/>
  <c r="BS165" i="2"/>
  <c r="E200" i="8" s="1"/>
  <c r="BS154" i="2"/>
  <c r="E269" i="8" s="1"/>
  <c r="BS149" i="2"/>
  <c r="E155" i="8" s="1"/>
  <c r="BS138" i="2"/>
  <c r="E106" i="8" s="1"/>
  <c r="BS133" i="2"/>
  <c r="E224" i="8" s="1"/>
  <c r="BS110" i="2"/>
  <c r="E158" i="8" s="1"/>
  <c r="BS104" i="2"/>
  <c r="E295" i="8" s="1"/>
  <c r="BS98" i="2"/>
  <c r="E286" i="8" s="1"/>
  <c r="BS65" i="2"/>
  <c r="E117" i="8" s="1"/>
  <c r="BS30" i="2"/>
  <c r="E272" i="8" s="1"/>
  <c r="BS321" i="2"/>
  <c r="E118" i="8" s="1"/>
  <c r="BS282" i="2"/>
  <c r="E15" i="8" s="1"/>
  <c r="BS277" i="2"/>
  <c r="E255" i="8" s="1"/>
  <c r="BS191" i="2"/>
  <c r="E148" i="8" s="1"/>
  <c r="BS143" i="2"/>
  <c r="E82" i="8" s="1"/>
  <c r="BS127" i="2"/>
  <c r="E80" i="8" s="1"/>
  <c r="BS109" i="2"/>
  <c r="E61" i="8" s="1"/>
  <c r="BS103" i="2"/>
  <c r="E140" i="8" s="1"/>
  <c r="BS79" i="2"/>
  <c r="E188" i="8" s="1"/>
  <c r="BS71" i="2"/>
  <c r="E288" i="8" s="1"/>
  <c r="BS57" i="2"/>
  <c r="E222" i="8" s="1"/>
  <c r="BS50" i="2"/>
  <c r="E69" i="8" s="1"/>
  <c r="BS43" i="2"/>
  <c r="E164" i="8" s="1"/>
  <c r="BS7" i="2"/>
  <c r="E264" i="8" s="1"/>
  <c r="BS11" i="2"/>
  <c r="E180" i="8" s="1"/>
  <c r="BS319" i="2"/>
  <c r="E177" i="8" s="1"/>
  <c r="BS318" i="2"/>
  <c r="E237" i="8" s="1"/>
  <c r="BS297" i="2"/>
  <c r="E226" i="8" s="1"/>
  <c r="BS228" i="2"/>
  <c r="E46" i="8" s="1"/>
  <c r="BS164" i="2"/>
  <c r="E184" i="8" s="1"/>
  <c r="BS102" i="2"/>
  <c r="E225" i="8" s="1"/>
  <c r="BS97" i="2"/>
  <c r="E44" i="8" s="1"/>
  <c r="BS28" i="2"/>
  <c r="E167" i="8" s="1"/>
  <c r="BS21" i="2"/>
  <c r="E129" i="8" s="1"/>
  <c r="BS14" i="2"/>
  <c r="E217" i="8" s="1"/>
  <c r="BS263" i="2"/>
  <c r="E302" i="8" s="1"/>
  <c r="BS323" i="2"/>
  <c r="E318" i="8" s="1"/>
  <c r="BS211" i="2"/>
  <c r="E149" i="8" s="1"/>
  <c r="BS179" i="2"/>
  <c r="E153" i="8" s="1"/>
  <c r="BS163" i="2"/>
  <c r="E250" i="8" s="1"/>
  <c r="BS125" i="2"/>
  <c r="E53" i="8" s="1"/>
  <c r="BS90" i="2"/>
  <c r="E317" i="8" s="1"/>
  <c r="BS83" i="2"/>
  <c r="E32" i="8" s="1"/>
  <c r="BS77" i="2"/>
  <c r="E58" i="8" s="1"/>
  <c r="BS63" i="2"/>
  <c r="E314" i="8" s="1"/>
  <c r="BS55" i="2"/>
  <c r="E234" i="8" s="1"/>
  <c r="BS34" i="2"/>
  <c r="E55" i="8" s="1"/>
  <c r="BS13" i="2"/>
  <c r="E122" i="8" s="1"/>
  <c r="BS291" i="2"/>
  <c r="E21" i="8" s="1"/>
  <c r="BS312" i="2"/>
  <c r="E47" i="8" s="1"/>
  <c r="BS76" i="2"/>
  <c r="E218" i="8" s="1"/>
  <c r="BS69" i="2"/>
  <c r="E235" i="8" s="1"/>
  <c r="BS62" i="2"/>
  <c r="E42" i="8" s="1"/>
  <c r="BS26" i="2"/>
  <c r="E115" i="8" s="1"/>
  <c r="BS12" i="2"/>
  <c r="E263" i="8" s="1"/>
  <c r="BS5" i="2"/>
  <c r="E283" i="8" s="1"/>
  <c r="BS80" i="2"/>
  <c r="E68" i="8" s="1"/>
  <c r="BS48" i="2"/>
  <c r="E241" i="8" s="1"/>
  <c r="BS32" i="2"/>
  <c r="E128" i="8" s="1"/>
  <c r="BS16" i="2"/>
  <c r="E307" i="8" s="1"/>
  <c r="BS132" i="2"/>
  <c r="E181" i="8" s="1"/>
  <c r="BS116" i="2"/>
  <c r="E194" i="8" s="1"/>
  <c r="BS84" i="2"/>
  <c r="E280" i="8" s="1"/>
  <c r="BS68" i="2"/>
  <c r="E119" i="8" s="1"/>
  <c r="BS52" i="2"/>
  <c r="E138" i="8" s="1"/>
  <c r="BS36" i="2"/>
  <c r="E319" i="8" s="1"/>
  <c r="BS20" i="2"/>
  <c r="E219" i="8" s="1"/>
  <c r="BS4" i="2"/>
  <c r="E240" i="8" s="1"/>
  <c r="BS19" i="2"/>
  <c r="E294" i="8" s="1"/>
  <c r="BS3" i="2"/>
  <c r="E230" i="8" s="1"/>
  <c r="BS56" i="2"/>
  <c r="E95" i="8" s="1"/>
  <c r="BS24" i="2"/>
  <c r="E252" i="8" s="1"/>
  <c r="BS8" i="2"/>
  <c r="E316" i="8" s="1"/>
  <c r="CS2" i="1"/>
  <c r="CS3" i="1"/>
  <c r="CS4" i="1"/>
  <c r="CS5" i="1"/>
  <c r="CS6" i="1"/>
  <c r="CS7" i="1"/>
  <c r="CS8" i="1"/>
  <c r="CS9" i="1"/>
  <c r="CS10" i="1"/>
  <c r="CS11" i="1"/>
  <c r="CS12" i="1"/>
  <c r="CS13" i="1"/>
  <c r="CS14" i="1"/>
  <c r="CS15" i="1"/>
  <c r="CS16" i="1"/>
  <c r="CS17" i="1"/>
  <c r="CS18" i="1"/>
  <c r="CS19" i="1"/>
  <c r="CS20" i="1"/>
  <c r="CS21" i="1"/>
  <c r="CS22" i="1"/>
  <c r="CS23" i="1"/>
  <c r="CS24" i="1"/>
  <c r="CS25" i="1"/>
  <c r="CS26" i="1"/>
  <c r="CS27" i="1"/>
  <c r="CS28" i="1"/>
  <c r="CS29" i="1"/>
  <c r="CS30" i="1"/>
  <c r="CS31" i="1"/>
  <c r="CS32" i="1"/>
  <c r="CS33" i="1"/>
  <c r="CS34" i="1"/>
  <c r="CS35" i="1"/>
  <c r="CS36" i="1"/>
  <c r="CS37" i="1"/>
  <c r="CS38" i="1"/>
  <c r="CS39" i="1"/>
  <c r="CS40" i="1"/>
  <c r="CS41" i="1"/>
  <c r="CS42" i="1"/>
  <c r="CS43" i="1"/>
  <c r="CS44" i="1"/>
  <c r="CS45" i="1"/>
  <c r="CS46" i="1"/>
  <c r="CS47" i="1"/>
  <c r="CS48" i="1"/>
  <c r="CS49" i="1"/>
  <c r="CS50" i="1"/>
  <c r="CS51" i="1"/>
  <c r="CS52" i="1"/>
  <c r="CS53" i="1"/>
  <c r="CS54" i="1"/>
  <c r="CS55" i="1"/>
  <c r="CS56" i="1"/>
  <c r="CS57" i="1"/>
  <c r="CS58" i="1"/>
  <c r="CS59" i="1"/>
  <c r="CS60" i="1"/>
  <c r="CS61" i="1"/>
  <c r="CS62" i="1"/>
  <c r="CS63" i="1"/>
  <c r="CS64" i="1"/>
  <c r="CS65" i="1"/>
  <c r="CS66" i="1"/>
  <c r="CS67" i="1"/>
  <c r="CS68" i="1"/>
  <c r="CS69" i="1"/>
  <c r="CS70" i="1"/>
  <c r="CS71" i="1"/>
  <c r="CS72" i="1"/>
  <c r="CS73" i="1"/>
  <c r="CS74" i="1"/>
  <c r="CS75" i="1"/>
  <c r="CS76" i="1"/>
  <c r="CS77" i="1"/>
  <c r="CS78" i="1"/>
  <c r="CS79" i="1"/>
  <c r="CS80" i="1"/>
  <c r="CS81" i="1"/>
  <c r="CS82" i="1"/>
  <c r="CS83" i="1"/>
  <c r="CS84" i="1"/>
  <c r="CS85" i="1"/>
  <c r="CS86" i="1"/>
  <c r="CS87" i="1"/>
  <c r="CS88" i="1"/>
  <c r="CS89" i="1"/>
  <c r="CS90" i="1"/>
  <c r="CS91" i="1"/>
  <c r="CS92" i="1"/>
  <c r="CS93" i="1"/>
  <c r="CS94" i="1"/>
  <c r="CS95" i="1"/>
  <c r="CS96" i="1"/>
  <c r="CS97" i="1"/>
  <c r="CS98" i="1"/>
  <c r="CS99" i="1"/>
  <c r="CS100" i="1"/>
  <c r="CS101" i="1"/>
  <c r="CS102" i="1"/>
  <c r="CS103" i="1"/>
  <c r="CS104" i="1"/>
  <c r="CS105" i="1"/>
  <c r="CS106" i="1"/>
  <c r="CS107" i="1"/>
  <c r="CS108" i="1"/>
  <c r="CS109" i="1"/>
  <c r="CS110" i="1"/>
  <c r="CS111" i="1"/>
  <c r="CS112" i="1"/>
  <c r="CS113" i="1"/>
  <c r="CS114" i="1"/>
  <c r="CS115" i="1"/>
  <c r="CS116" i="1"/>
  <c r="CS117" i="1"/>
  <c r="CS118" i="1"/>
  <c r="CS119" i="1"/>
  <c r="CS120" i="1"/>
  <c r="CS121" i="1"/>
  <c r="CS122" i="1"/>
  <c r="CS123" i="1"/>
  <c r="CS124" i="1"/>
  <c r="CS125" i="1"/>
  <c r="CS126" i="1"/>
  <c r="CS127" i="1"/>
  <c r="CS128" i="1"/>
  <c r="CS129" i="1"/>
  <c r="CS130" i="1"/>
  <c r="CS131" i="1"/>
  <c r="CS132" i="1"/>
  <c r="CS133" i="1"/>
  <c r="CS134" i="1"/>
  <c r="CS135" i="1"/>
  <c r="CS136" i="1"/>
  <c r="CS137" i="1"/>
  <c r="CS138" i="1"/>
  <c r="CS139" i="1"/>
  <c r="CS140" i="1"/>
  <c r="CS141" i="1"/>
  <c r="CS142" i="1"/>
  <c r="CS143" i="1"/>
  <c r="CS144" i="1"/>
  <c r="CS145" i="1"/>
  <c r="CS146" i="1"/>
  <c r="CS147" i="1"/>
  <c r="CS148" i="1"/>
  <c r="CS149" i="1"/>
  <c r="CS150" i="1"/>
  <c r="CS151" i="1"/>
  <c r="CS152" i="1"/>
  <c r="CS153" i="1"/>
  <c r="CS154" i="1"/>
  <c r="CS155" i="1"/>
  <c r="CS156" i="1"/>
  <c r="CS157" i="1"/>
  <c r="CS158" i="1"/>
  <c r="CS159" i="1"/>
  <c r="CS160" i="1"/>
  <c r="CS161" i="1"/>
  <c r="CS162" i="1"/>
  <c r="CS163" i="1"/>
  <c r="CS164" i="1"/>
  <c r="CS165" i="1"/>
  <c r="CS166" i="1"/>
  <c r="CS167" i="1"/>
  <c r="CS168" i="1"/>
  <c r="CS169" i="1"/>
  <c r="CS170" i="1"/>
  <c r="CS171" i="1"/>
  <c r="CS172" i="1"/>
  <c r="CS173" i="1"/>
  <c r="CS174" i="1"/>
  <c r="CS175" i="1"/>
  <c r="CS176" i="1"/>
  <c r="CS177" i="1"/>
  <c r="CS178" i="1"/>
  <c r="CS179" i="1"/>
  <c r="CS180" i="1"/>
  <c r="CS181" i="1"/>
  <c r="CS182" i="1"/>
  <c r="CS183" i="1"/>
  <c r="CS184" i="1"/>
  <c r="CS185" i="1"/>
  <c r="CS186" i="1"/>
  <c r="CS187" i="1"/>
  <c r="CS188" i="1"/>
  <c r="CS189" i="1"/>
  <c r="CS190" i="1"/>
  <c r="CS191" i="1"/>
  <c r="CS192" i="1"/>
  <c r="CS193" i="1"/>
  <c r="CS194" i="1"/>
  <c r="CS195" i="1"/>
  <c r="CS196" i="1"/>
  <c r="CS197" i="1"/>
  <c r="CS198" i="1"/>
  <c r="CS199" i="1"/>
  <c r="CS200" i="1"/>
  <c r="CS201" i="1"/>
  <c r="CS202" i="1"/>
  <c r="CS203" i="1"/>
  <c r="CS204" i="1"/>
  <c r="CS205" i="1"/>
  <c r="CS206" i="1"/>
  <c r="CS207" i="1"/>
  <c r="CS208" i="1"/>
  <c r="CS209" i="1"/>
  <c r="CS210" i="1"/>
  <c r="CS211" i="1"/>
  <c r="CS212" i="1"/>
  <c r="CS213" i="1"/>
  <c r="CS214" i="1"/>
  <c r="CS215" i="1"/>
  <c r="CS216" i="1"/>
  <c r="CS217" i="1"/>
  <c r="CS218" i="1"/>
  <c r="CS219" i="1"/>
  <c r="CS220" i="1"/>
  <c r="CS221" i="1"/>
  <c r="CS222" i="1"/>
  <c r="CS223" i="1"/>
  <c r="CS224" i="1"/>
  <c r="CS225" i="1"/>
  <c r="CS226" i="1"/>
  <c r="CS227" i="1"/>
  <c r="CS228" i="1"/>
  <c r="CS229" i="1"/>
  <c r="CS230" i="1"/>
  <c r="CS231" i="1"/>
  <c r="CS232" i="1"/>
  <c r="CS233" i="1"/>
  <c r="CS234" i="1"/>
  <c r="CS235" i="1"/>
  <c r="CS236" i="1"/>
  <c r="CS237" i="1"/>
  <c r="CS238" i="1"/>
  <c r="CS239" i="1"/>
  <c r="CS240" i="1"/>
  <c r="CS241" i="1"/>
  <c r="CS242" i="1"/>
  <c r="CS243" i="1"/>
  <c r="CS244" i="1"/>
  <c r="CS245" i="1"/>
  <c r="CS246" i="1"/>
  <c r="CS247" i="1"/>
  <c r="CS248" i="1"/>
  <c r="CS249" i="1"/>
  <c r="CS250" i="1"/>
  <c r="CS251" i="1"/>
  <c r="CS252" i="1"/>
  <c r="CS253" i="1"/>
  <c r="CS254" i="1"/>
  <c r="CS255" i="1"/>
  <c r="CS256" i="1"/>
  <c r="CS257" i="1"/>
  <c r="CS258" i="1"/>
  <c r="CS259" i="1"/>
  <c r="CS260" i="1"/>
  <c r="CS261" i="1"/>
  <c r="CS262" i="1"/>
  <c r="CS263" i="1"/>
  <c r="CS264" i="1"/>
  <c r="CS265" i="1"/>
  <c r="CS266" i="1"/>
  <c r="CS267" i="1"/>
  <c r="CS268" i="1"/>
  <c r="CS269" i="1"/>
  <c r="CS270" i="1"/>
  <c r="CS271" i="1"/>
  <c r="CS272" i="1"/>
  <c r="CS273" i="1"/>
  <c r="CS274" i="1"/>
  <c r="CS275" i="1"/>
  <c r="CS276" i="1"/>
  <c r="CS277" i="1"/>
  <c r="CS278" i="1"/>
  <c r="CS279" i="1"/>
  <c r="CS280" i="1"/>
  <c r="CS281" i="1"/>
  <c r="CS282" i="1"/>
  <c r="CS283" i="1"/>
  <c r="CS284" i="1"/>
  <c r="CS285" i="1"/>
  <c r="CS286" i="1"/>
  <c r="CS287" i="1"/>
  <c r="CS288" i="1"/>
  <c r="CS289" i="1"/>
  <c r="CS290" i="1"/>
  <c r="CS291" i="1"/>
  <c r="CS292" i="1"/>
  <c r="CS293" i="1"/>
  <c r="CS294" i="1"/>
  <c r="CS295" i="1"/>
  <c r="CS296" i="1"/>
  <c r="CS297" i="1"/>
  <c r="CS298" i="1"/>
  <c r="CS299" i="1"/>
  <c r="CS300" i="1"/>
  <c r="CS301" i="1"/>
  <c r="CS302" i="1"/>
  <c r="CS303" i="1"/>
  <c r="CS304" i="1"/>
  <c r="CS305" i="1"/>
  <c r="CS306" i="1"/>
  <c r="CS307" i="1"/>
  <c r="CS308" i="1"/>
  <c r="CS309" i="1"/>
  <c r="CS310" i="1"/>
  <c r="CS311" i="1"/>
  <c r="CS312" i="1"/>
  <c r="CS313" i="1"/>
  <c r="CS314" i="1"/>
  <c r="CS315" i="1"/>
  <c r="CS316" i="1"/>
  <c r="CS317" i="1"/>
  <c r="CS318" i="1"/>
  <c r="CS319" i="1"/>
  <c r="CS320" i="1"/>
  <c r="CS321" i="1"/>
  <c r="CS322" i="1"/>
  <c r="LL33" i="7"/>
  <c r="LM33" i="7"/>
  <c r="LK33" i="7"/>
  <c r="LK5" i="7"/>
  <c r="LK4" i="7"/>
  <c r="LJ33" i="7"/>
  <c r="LF33" i="7"/>
  <c r="LG33" i="7"/>
  <c r="LH33" i="7"/>
  <c r="LI33" i="7"/>
  <c r="LE33" i="7"/>
  <c r="LE4" i="7"/>
  <c r="LC33" i="7"/>
  <c r="LD33" i="7"/>
  <c r="LD31" i="7"/>
  <c r="LD6" i="7"/>
  <c r="LD4" i="7"/>
  <c r="LA33" i="7"/>
  <c r="LB33" i="7"/>
  <c r="LB14" i="7"/>
  <c r="KY33" i="7"/>
  <c r="KZ33" i="7"/>
  <c r="KZ4" i="7"/>
  <c r="KW33" i="7"/>
  <c r="KX33" i="7"/>
  <c r="KU33" i="7"/>
  <c r="KV33" i="7"/>
  <c r="KV31" i="7"/>
  <c r="KV4" i="7"/>
  <c r="KT33" i="7"/>
  <c r="KS33" i="7"/>
  <c r="KR33" i="7"/>
  <c r="KR15" i="7"/>
  <c r="KR5" i="7"/>
  <c r="KR4" i="7"/>
  <c r="KN33" i="7"/>
  <c r="KO33" i="7"/>
  <c r="KP33" i="7"/>
  <c r="KQ33" i="7"/>
  <c r="KQ4" i="7"/>
  <c r="KM33" i="7"/>
  <c r="KJ33" i="7"/>
  <c r="KK33" i="7"/>
  <c r="KL33" i="7"/>
  <c r="KL31" i="7"/>
  <c r="KD33" i="7"/>
  <c r="KE33" i="7"/>
  <c r="KF33" i="7"/>
  <c r="KG33" i="7"/>
  <c r="KH33" i="7"/>
  <c r="KI33" i="7"/>
  <c r="KI5" i="7"/>
  <c r="KC33" i="7"/>
  <c r="KC31" i="7"/>
  <c r="JY33" i="7"/>
  <c r="JZ33" i="7"/>
  <c r="KA33" i="7"/>
  <c r="KB33" i="7"/>
  <c r="JV33" i="7"/>
  <c r="JW33" i="7"/>
  <c r="JX33" i="7"/>
  <c r="JX31" i="7"/>
  <c r="JX4" i="7"/>
  <c r="JQ33" i="7"/>
  <c r="JR33" i="7"/>
  <c r="JS33" i="7"/>
  <c r="JT33" i="7"/>
  <c r="JU33" i="7"/>
  <c r="JN33" i="7"/>
  <c r="JO33" i="7"/>
  <c r="JP33" i="7"/>
  <c r="JP31" i="7"/>
  <c r="JP5" i="7"/>
  <c r="JL33" i="7"/>
  <c r="JM33" i="7"/>
  <c r="JK33" i="7"/>
  <c r="JF33" i="7"/>
  <c r="JG33" i="7"/>
  <c r="JH33" i="7"/>
  <c r="JI33" i="7"/>
  <c r="JJ33" i="7"/>
  <c r="JJ4" i="7"/>
  <c r="JJ8" i="7"/>
  <c r="JD33" i="7"/>
  <c r="JE33" i="7"/>
  <c r="JE4" i="7"/>
  <c r="IZ33" i="7"/>
  <c r="JA33" i="7"/>
  <c r="JB33" i="7"/>
  <c r="JC33" i="7"/>
  <c r="IU33" i="7"/>
  <c r="IV33" i="7"/>
  <c r="IW33" i="7"/>
  <c r="IX33" i="7"/>
  <c r="IY33" i="7"/>
  <c r="IR33" i="7"/>
  <c r="IS33" i="7"/>
  <c r="IT33" i="7"/>
  <c r="IT4" i="7"/>
  <c r="IH33" i="7"/>
  <c r="II33" i="7"/>
  <c r="IJ33" i="7"/>
  <c r="IK33" i="7"/>
  <c r="IL33" i="7"/>
  <c r="IM33" i="7"/>
  <c r="IN33" i="7"/>
  <c r="IO33" i="7"/>
  <c r="IP33" i="7"/>
  <c r="IQ33" i="7"/>
  <c r="IA33" i="7"/>
  <c r="IB33" i="7"/>
  <c r="IC33" i="7"/>
  <c r="ID33" i="7"/>
  <c r="IE33" i="7"/>
  <c r="IF33" i="7"/>
  <c r="IG33" i="7"/>
  <c r="HT33" i="7"/>
  <c r="HU33" i="7"/>
  <c r="HV33" i="7"/>
  <c r="HW33" i="7"/>
  <c r="HX33" i="7"/>
  <c r="HY33" i="7"/>
  <c r="HZ33" i="7"/>
  <c r="HS33" i="7"/>
  <c r="HR33" i="7"/>
  <c r="HM33" i="7"/>
  <c r="HN33" i="7"/>
  <c r="HO33" i="7"/>
  <c r="HP33" i="7"/>
  <c r="HQ33" i="7"/>
  <c r="HL33" i="7"/>
  <c r="HL5" i="7"/>
  <c r="HL4" i="7"/>
  <c r="HI33" i="7"/>
  <c r="HJ33" i="7"/>
  <c r="HK33" i="7"/>
  <c r="HH33" i="7"/>
  <c r="HA33" i="7"/>
  <c r="HB33" i="7"/>
  <c r="HC33" i="7"/>
  <c r="HD33" i="7"/>
  <c r="HE33" i="7"/>
  <c r="HF33" i="7"/>
  <c r="HG33" i="7"/>
  <c r="HG4" i="7"/>
  <c r="GZ33" i="7"/>
  <c r="GY33" i="7"/>
  <c r="GY6" i="7"/>
  <c r="GQ33" i="7"/>
  <c r="GR33" i="7"/>
  <c r="GS33" i="7"/>
  <c r="GT33" i="7"/>
  <c r="GU33" i="7"/>
  <c r="GV33" i="7"/>
  <c r="GW33" i="7"/>
  <c r="GX33" i="7"/>
  <c r="GN33" i="7"/>
  <c r="GO33" i="7"/>
  <c r="GP33" i="7"/>
  <c r="GP4" i="7"/>
  <c r="GL33" i="7"/>
  <c r="GM33" i="7"/>
  <c r="GM5" i="7"/>
  <c r="GM6" i="7"/>
  <c r="GM4" i="7"/>
  <c r="GJ33" i="7"/>
  <c r="GK33" i="7"/>
  <c r="GK4" i="7"/>
  <c r="GI33" i="7"/>
  <c r="GI31" i="7"/>
  <c r="GG33" i="7"/>
  <c r="GH33" i="7"/>
  <c r="GH31" i="7"/>
  <c r="GH4" i="7"/>
  <c r="GF33" i="7"/>
  <c r="GC33" i="7"/>
  <c r="GD33" i="7"/>
  <c r="GE33" i="7"/>
  <c r="FX33" i="7"/>
  <c r="FY33" i="7"/>
  <c r="FZ33" i="7"/>
  <c r="GA33" i="7"/>
  <c r="GB33" i="7"/>
  <c r="FW33" i="7"/>
  <c r="FV33" i="7"/>
  <c r="FS33" i="7"/>
  <c r="FT33" i="7"/>
  <c r="FU33" i="7"/>
  <c r="FU4" i="7"/>
  <c r="FQ33" i="7"/>
  <c r="FR33" i="7"/>
  <c r="FP33" i="7"/>
  <c r="FP5" i="7"/>
  <c r="FP4" i="7"/>
  <c r="FO33" i="7"/>
  <c r="FO4" i="7"/>
  <c r="FN33" i="7"/>
  <c r="FN31" i="7"/>
  <c r="FK33" i="7"/>
  <c r="FL33" i="7"/>
  <c r="FM33" i="7"/>
  <c r="FM6" i="7"/>
  <c r="FM4" i="7"/>
  <c r="FJ33" i="7"/>
  <c r="FI33" i="7"/>
  <c r="FH33" i="7"/>
  <c r="FG33" i="7"/>
  <c r="FF33" i="7"/>
  <c r="FE33" i="7"/>
  <c r="FD33" i="7"/>
  <c r="FA33" i="7"/>
  <c r="FB33" i="7"/>
  <c r="FC33" i="7"/>
  <c r="ET33" i="7"/>
  <c r="EU33" i="7"/>
  <c r="EV33" i="7"/>
  <c r="EW33" i="7"/>
  <c r="EX33" i="7"/>
  <c r="EY33" i="7"/>
  <c r="EZ33" i="7"/>
  <c r="EZ4" i="7"/>
  <c r="ES33" i="7"/>
  <c r="EN33" i="7"/>
  <c r="EO33" i="7"/>
  <c r="EP33" i="7"/>
  <c r="EQ33" i="7"/>
  <c r="ER33" i="7"/>
  <c r="ER4" i="7"/>
  <c r="ER5" i="7"/>
  <c r="EL33" i="7"/>
  <c r="EM33" i="7"/>
  <c r="EM4" i="7"/>
  <c r="EK33" i="7"/>
  <c r="EI33" i="7"/>
  <c r="EJ33" i="7"/>
  <c r="EH33" i="7"/>
  <c r="EF33" i="7"/>
  <c r="EG33" i="7"/>
  <c r="EA33" i="7"/>
  <c r="EB33" i="7"/>
  <c r="EC33" i="7"/>
  <c r="ED33" i="7"/>
  <c r="EE33" i="7"/>
  <c r="DX33" i="7"/>
  <c r="DY33" i="7"/>
  <c r="DZ33" i="7"/>
  <c r="DQ33" i="7"/>
  <c r="DR33" i="7"/>
  <c r="DS33" i="7"/>
  <c r="DT33" i="7"/>
  <c r="DU33" i="7"/>
  <c r="DV33" i="7"/>
  <c r="DW33" i="7"/>
  <c r="DP33" i="7"/>
  <c r="DN33" i="7"/>
  <c r="DO33" i="7"/>
  <c r="DO4" i="7"/>
  <c r="DM33" i="7"/>
  <c r="DM4" i="7"/>
  <c r="DJ33" i="7"/>
  <c r="DK33" i="7"/>
  <c r="DL33" i="7"/>
  <c r="DH33" i="7"/>
  <c r="DI33" i="7"/>
  <c r="DI6" i="7"/>
  <c r="DE33" i="7"/>
  <c r="DF33" i="7"/>
  <c r="DG33" i="7"/>
  <c r="DC33" i="7"/>
  <c r="DD33" i="7"/>
  <c r="CX33" i="7"/>
  <c r="CY33" i="7"/>
  <c r="CZ33" i="7"/>
  <c r="DA33" i="7"/>
  <c r="DB33" i="7"/>
  <c r="CU33" i="7"/>
  <c r="CV33" i="7"/>
  <c r="CW33" i="7"/>
  <c r="CT33" i="7"/>
  <c r="CT4" i="7"/>
  <c r="CS33" i="7"/>
  <c r="CL33" i="7"/>
  <c r="CM33" i="7"/>
  <c r="CN33" i="7"/>
  <c r="CO33" i="7"/>
  <c r="CP33" i="7"/>
  <c r="CQ33" i="7"/>
  <c r="CR33" i="7"/>
  <c r="CJ33" i="7"/>
  <c r="CK33" i="7"/>
  <c r="CE33" i="7"/>
  <c r="CF33" i="7"/>
  <c r="CG33" i="7"/>
  <c r="CH33" i="7"/>
  <c r="CI33" i="7"/>
  <c r="CD33" i="7"/>
  <c r="CC33" i="7"/>
  <c r="CB33" i="7"/>
  <c r="CA33" i="7"/>
  <c r="BZ33" i="7"/>
  <c r="BY33" i="7"/>
  <c r="BU33" i="7"/>
  <c r="BV33" i="7"/>
  <c r="BW33" i="7"/>
  <c r="BX33" i="7"/>
  <c r="BT33" i="7"/>
  <c r="BP33" i="7"/>
  <c r="BQ33" i="7"/>
  <c r="BR33" i="7"/>
  <c r="BS33" i="7"/>
  <c r="BO33" i="7"/>
  <c r="BM33" i="7"/>
  <c r="BN33" i="7"/>
  <c r="BK33" i="7"/>
  <c r="BL33" i="7"/>
  <c r="BH33" i="7"/>
  <c r="BI33" i="7"/>
  <c r="BJ33" i="7"/>
  <c r="BJ5" i="7"/>
  <c r="BG31" i="7"/>
  <c r="BG33" i="7"/>
  <c r="BC33" i="7"/>
  <c r="BD33" i="7"/>
  <c r="BE33" i="7"/>
  <c r="BF33" i="7"/>
  <c r="BB33" i="7"/>
  <c r="BA33" i="7"/>
  <c r="BA31" i="7"/>
  <c r="BA4" i="7"/>
  <c r="AZ33" i="7"/>
  <c r="AY33" i="7"/>
  <c r="AY31" i="7"/>
  <c r="AW33" i="7"/>
  <c r="AX33" i="7"/>
  <c r="AX6" i="7"/>
  <c r="AX4" i="7"/>
  <c r="AT33" i="7"/>
  <c r="AU33" i="7"/>
  <c r="AV33" i="7"/>
  <c r="AV31" i="7"/>
  <c r="AQ33" i="7"/>
  <c r="AR33" i="7"/>
  <c r="AS33" i="7"/>
  <c r="AS31" i="7"/>
  <c r="AN33" i="7"/>
  <c r="AO33" i="7"/>
  <c r="AP33" i="7"/>
  <c r="AP31" i="7"/>
  <c r="AM33" i="7"/>
  <c r="AK33" i="7"/>
  <c r="AL33" i="7"/>
  <c r="AH33" i="7"/>
  <c r="AI33" i="7"/>
  <c r="AJ33" i="7"/>
  <c r="AD33" i="7"/>
  <c r="AE33" i="7"/>
  <c r="AF33" i="7"/>
  <c r="AG33" i="7"/>
  <c r="AG31" i="7"/>
  <c r="AG4" i="7"/>
  <c r="AG5" i="7"/>
  <c r="AC33" i="7"/>
  <c r="AB33" i="7"/>
  <c r="AA33" i="7"/>
  <c r="Z33" i="7"/>
  <c r="Z31" i="7"/>
  <c r="X33" i="7"/>
  <c r="Y33" i="7"/>
  <c r="W33" i="7"/>
  <c r="V33" i="7"/>
  <c r="V31" i="7"/>
  <c r="U33" i="7"/>
  <c r="T33" i="7"/>
  <c r="T31" i="7"/>
  <c r="S33" i="7"/>
  <c r="R33" i="7"/>
  <c r="Q33" i="7"/>
  <c r="P33" i="7"/>
  <c r="O33" i="7"/>
  <c r="O31" i="7"/>
  <c r="O5" i="7"/>
  <c r="O4" i="7"/>
  <c r="J33" i="7"/>
  <c r="K33" i="7"/>
  <c r="L33" i="7"/>
  <c r="M33" i="7"/>
  <c r="N33" i="7"/>
  <c r="N4" i="7"/>
  <c r="N31" i="7"/>
  <c r="I8" i="7"/>
  <c r="I10" i="7"/>
  <c r="I26" i="7"/>
  <c r="I6" i="7"/>
  <c r="CO17" i="1"/>
  <c r="CO12" i="1"/>
  <c r="CO320" i="1"/>
  <c r="CO319" i="1"/>
  <c r="CO318" i="1"/>
  <c r="CO315" i="1"/>
  <c r="CO314" i="1"/>
  <c r="CO295" i="1"/>
  <c r="CO294" i="1"/>
  <c r="CO288" i="1"/>
  <c r="CO287" i="1"/>
  <c r="CO286" i="1"/>
  <c r="CO284" i="1"/>
  <c r="CO283" i="1"/>
  <c r="CO282" i="1"/>
  <c r="CO277" i="1"/>
  <c r="CO267" i="1"/>
  <c r="CO264" i="1"/>
  <c r="CO263" i="1"/>
  <c r="CO260" i="1"/>
  <c r="CO259" i="1"/>
  <c r="CO254" i="1"/>
  <c r="CO253" i="1"/>
  <c r="CO214" i="1"/>
  <c r="CO213" i="1"/>
  <c r="CO203" i="1"/>
  <c r="CO202" i="1"/>
  <c r="CO197" i="1"/>
  <c r="CO196" i="1"/>
  <c r="CO190" i="1"/>
  <c r="CO185" i="1"/>
  <c r="CO184" i="1"/>
  <c r="CO182" i="1"/>
  <c r="CO181" i="1"/>
  <c r="CO174" i="1"/>
  <c r="CO166" i="1"/>
  <c r="CO157" i="1"/>
  <c r="CO156" i="1"/>
  <c r="CO154" i="1"/>
  <c r="CO147" i="1"/>
  <c r="CO133" i="1"/>
  <c r="CO132" i="1"/>
  <c r="CO127" i="1"/>
  <c r="CO123" i="1"/>
  <c r="CO122" i="1"/>
  <c r="CO110" i="1"/>
  <c r="CO108" i="1"/>
  <c r="CO103" i="1"/>
  <c r="CO101" i="1"/>
  <c r="CO95" i="1"/>
  <c r="CO93" i="1"/>
  <c r="CO90" i="1"/>
  <c r="CO87" i="1"/>
  <c r="CO85" i="1"/>
  <c r="CO84" i="1"/>
  <c r="CO73" i="1"/>
  <c r="CO69" i="1"/>
  <c r="CO68" i="1"/>
  <c r="CO67" i="1"/>
  <c r="CO66" i="1"/>
  <c r="CO64" i="1"/>
  <c r="CO58" i="1"/>
  <c r="CO57" i="1"/>
  <c r="CO56" i="1"/>
  <c r="CO55" i="1"/>
  <c r="CO54" i="1"/>
  <c r="CO52" i="1"/>
  <c r="CO51" i="1"/>
  <c r="CO50" i="1"/>
  <c r="CO47" i="1"/>
  <c r="CO41" i="1"/>
  <c r="CO35" i="1"/>
  <c r="CO34" i="1"/>
  <c r="CO33" i="1"/>
  <c r="CO32" i="1"/>
  <c r="CO31" i="1"/>
  <c r="CO30" i="1"/>
  <c r="CO29" i="1"/>
  <c r="CO28" i="1"/>
  <c r="CO27" i="1"/>
  <c r="CO26" i="1"/>
  <c r="CO25" i="1"/>
  <c r="CO23" i="1"/>
  <c r="CO22" i="1"/>
  <c r="CO20" i="1"/>
  <c r="CO19" i="1"/>
  <c r="CO18" i="1"/>
  <c r="CO16" i="1"/>
  <c r="CO15" i="1"/>
  <c r="CO14" i="1"/>
  <c r="CO13" i="1"/>
  <c r="CO11" i="1"/>
  <c r="CO9" i="1"/>
  <c r="CO8" i="1"/>
  <c r="CO6" i="1"/>
  <c r="CO4" i="1"/>
  <c r="CO2" i="1"/>
  <c r="CH194" i="1"/>
  <c r="CI308" i="1"/>
  <c r="CI290" i="1"/>
  <c r="CI252" i="1"/>
  <c r="CI208" i="1"/>
  <c r="CI207" i="1"/>
  <c r="CI179" i="1"/>
  <c r="CI141" i="1"/>
  <c r="CI130" i="1"/>
  <c r="CI122" i="1"/>
  <c r="CI76" i="1"/>
  <c r="CI63" i="1"/>
  <c r="CI46" i="1"/>
  <c r="CI36" i="1"/>
  <c r="CI142" i="1"/>
  <c r="CI236" i="1"/>
  <c r="CI226" i="1"/>
  <c r="BO267" i="1"/>
  <c r="BF322" i="1"/>
  <c r="BE322" i="1"/>
  <c r="BO321" i="1"/>
  <c r="BO320" i="1"/>
  <c r="BE319" i="1"/>
  <c r="BE313" i="1"/>
  <c r="BO313" i="1"/>
  <c r="BF310" i="1"/>
  <c r="BE310" i="1"/>
  <c r="BE308" i="1"/>
  <c r="BO307" i="1"/>
  <c r="BO305" i="1"/>
  <c r="BE304" i="1"/>
  <c r="BO303" i="1"/>
  <c r="BO300" i="1"/>
  <c r="BO299" i="1"/>
  <c r="BF298" i="1"/>
  <c r="BE298" i="1"/>
  <c r="H175" i="8" l="1"/>
  <c r="G175" i="8"/>
  <c r="BI322" i="3"/>
  <c r="BE322" i="3"/>
  <c r="BF322" i="3" s="1"/>
  <c r="BG322" i="3" s="1"/>
  <c r="AY322" i="3"/>
  <c r="AV322" i="3"/>
  <c r="AR322" i="3"/>
  <c r="AS322" i="3" s="1"/>
  <c r="BL322" i="3" s="1"/>
  <c r="F318" i="8" s="1"/>
  <c r="AM322" i="3"/>
  <c r="AN322" i="3" s="1"/>
  <c r="AO322" i="3" s="1"/>
  <c r="AE322" i="3"/>
  <c r="AF322" i="3" s="1"/>
  <c r="AG322" i="3" s="1"/>
  <c r="AH322" i="3" s="1"/>
  <c r="Y322" i="3"/>
  <c r="X322" i="3"/>
  <c r="U322" i="3"/>
  <c r="BI321" i="3"/>
  <c r="BE321" i="3"/>
  <c r="BF321" i="3" s="1"/>
  <c r="BG321" i="3" s="1"/>
  <c r="AY321" i="3"/>
  <c r="AV321" i="3"/>
  <c r="AR321" i="3"/>
  <c r="AS321" i="3" s="1"/>
  <c r="BL321" i="3" s="1"/>
  <c r="F169" i="8" s="1"/>
  <c r="AM321" i="3"/>
  <c r="AN321" i="3" s="1"/>
  <c r="AO321" i="3" s="1"/>
  <c r="AE321" i="3"/>
  <c r="AF321" i="3" s="1"/>
  <c r="AG321" i="3" s="1"/>
  <c r="AH321" i="3" s="1"/>
  <c r="Y321" i="3"/>
  <c r="X321" i="3"/>
  <c r="U321" i="3"/>
  <c r="BI320" i="3"/>
  <c r="BE320" i="3"/>
  <c r="BF320" i="3" s="1"/>
  <c r="BG320" i="3" s="1"/>
  <c r="AY320" i="3"/>
  <c r="AV320" i="3"/>
  <c r="AR320" i="3"/>
  <c r="AS320" i="3" s="1"/>
  <c r="BL320" i="3" s="1"/>
  <c r="F118" i="8" s="1"/>
  <c r="AM320" i="3"/>
  <c r="AN320" i="3" s="1"/>
  <c r="AO320" i="3" s="1"/>
  <c r="AE320" i="3"/>
  <c r="AF320" i="3" s="1"/>
  <c r="AG320" i="3" s="1"/>
  <c r="AH320" i="3" s="1"/>
  <c r="Y320" i="3"/>
  <c r="X320" i="3"/>
  <c r="U320" i="3"/>
  <c r="BI319" i="3"/>
  <c r="BE319" i="3"/>
  <c r="BF319" i="3" s="1"/>
  <c r="BG319" i="3" s="1"/>
  <c r="AY319" i="3"/>
  <c r="AV319" i="3"/>
  <c r="AR319" i="3"/>
  <c r="AS319" i="3" s="1"/>
  <c r="BL319" i="3" s="1"/>
  <c r="F281" i="8" s="1"/>
  <c r="AM319" i="3"/>
  <c r="AN319" i="3" s="1"/>
  <c r="AO319" i="3" s="1"/>
  <c r="AE319" i="3"/>
  <c r="AF319" i="3" s="1"/>
  <c r="AG319" i="3" s="1"/>
  <c r="AH319" i="3" s="1"/>
  <c r="Y319" i="3"/>
  <c r="X319" i="3"/>
  <c r="U319" i="3"/>
  <c r="BI318" i="3"/>
  <c r="BE318" i="3"/>
  <c r="BF318" i="3" s="1"/>
  <c r="BG318" i="3" s="1"/>
  <c r="AY318" i="3"/>
  <c r="AV318" i="3"/>
  <c r="AR318" i="3"/>
  <c r="AS318" i="3" s="1"/>
  <c r="BL318" i="3" s="1"/>
  <c r="F177" i="8" s="1"/>
  <c r="AM318" i="3"/>
  <c r="AN318" i="3" s="1"/>
  <c r="AO318" i="3" s="1"/>
  <c r="AE318" i="3"/>
  <c r="AF318" i="3" s="1"/>
  <c r="AG318" i="3" s="1"/>
  <c r="AH318" i="3" s="1"/>
  <c r="Y318" i="3"/>
  <c r="X318" i="3"/>
  <c r="U318" i="3"/>
  <c r="BI317" i="3"/>
  <c r="BE317" i="3"/>
  <c r="BF317" i="3" s="1"/>
  <c r="BG317" i="3" s="1"/>
  <c r="AY317" i="3"/>
  <c r="AV317" i="3"/>
  <c r="AR317" i="3"/>
  <c r="AS317" i="3" s="1"/>
  <c r="BL317" i="3" s="1"/>
  <c r="F237" i="8" s="1"/>
  <c r="AM317" i="3"/>
  <c r="AN317" i="3" s="1"/>
  <c r="AO317" i="3" s="1"/>
  <c r="AE317" i="3"/>
  <c r="AF317" i="3" s="1"/>
  <c r="AG317" i="3" s="1"/>
  <c r="AH317" i="3" s="1"/>
  <c r="Y317" i="3"/>
  <c r="X317" i="3"/>
  <c r="U317" i="3"/>
  <c r="BI316" i="3"/>
  <c r="BE316" i="3"/>
  <c r="BF316" i="3" s="1"/>
  <c r="BG316" i="3" s="1"/>
  <c r="AY316" i="3"/>
  <c r="AV316" i="3"/>
  <c r="AR316" i="3"/>
  <c r="AS316" i="3" s="1"/>
  <c r="BL316" i="3" s="1"/>
  <c r="F161" i="8" s="1"/>
  <c r="AM316" i="3"/>
  <c r="AN316" i="3" s="1"/>
  <c r="AO316" i="3" s="1"/>
  <c r="AE316" i="3"/>
  <c r="AF316" i="3" s="1"/>
  <c r="AG316" i="3" s="1"/>
  <c r="AH316" i="3" s="1"/>
  <c r="Y316" i="3"/>
  <c r="X316" i="3"/>
  <c r="U316" i="3"/>
  <c r="BI315" i="3"/>
  <c r="BE315" i="3"/>
  <c r="BF315" i="3" s="1"/>
  <c r="BG315" i="3" s="1"/>
  <c r="AY315" i="3"/>
  <c r="AV315" i="3"/>
  <c r="AR315" i="3"/>
  <c r="AS315" i="3" s="1"/>
  <c r="BL315" i="3" s="1"/>
  <c r="F208" i="8" s="1"/>
  <c r="AM315" i="3"/>
  <c r="AN315" i="3" s="1"/>
  <c r="AO315" i="3" s="1"/>
  <c r="AE315" i="3"/>
  <c r="AF315" i="3" s="1"/>
  <c r="AG315" i="3" s="1"/>
  <c r="AH315" i="3" s="1"/>
  <c r="Y315" i="3"/>
  <c r="X315" i="3"/>
  <c r="U315" i="3"/>
  <c r="BI314" i="3"/>
  <c r="BE314" i="3"/>
  <c r="BF314" i="3" s="1"/>
  <c r="BG314" i="3" s="1"/>
  <c r="AY314" i="3"/>
  <c r="AV314" i="3"/>
  <c r="AR314" i="3"/>
  <c r="AS314" i="3" s="1"/>
  <c r="BL314" i="3" s="1"/>
  <c r="F216" i="8" s="1"/>
  <c r="AM314" i="3"/>
  <c r="AN314" i="3" s="1"/>
  <c r="AO314" i="3" s="1"/>
  <c r="AE314" i="3"/>
  <c r="AF314" i="3" s="1"/>
  <c r="AG314" i="3" s="1"/>
  <c r="AH314" i="3" s="1"/>
  <c r="Y314" i="3"/>
  <c r="X314" i="3"/>
  <c r="U314" i="3"/>
  <c r="BI313" i="3"/>
  <c r="BE313" i="3"/>
  <c r="BF313" i="3" s="1"/>
  <c r="BG313" i="3" s="1"/>
  <c r="AY313" i="3"/>
  <c r="AV313" i="3"/>
  <c r="AR313" i="3"/>
  <c r="AS313" i="3" s="1"/>
  <c r="BL313" i="3" s="1"/>
  <c r="F308" i="8" s="1"/>
  <c r="AM313" i="3"/>
  <c r="AN313" i="3" s="1"/>
  <c r="AO313" i="3" s="1"/>
  <c r="AE313" i="3"/>
  <c r="AF313" i="3" s="1"/>
  <c r="AG313" i="3" s="1"/>
  <c r="AH313" i="3" s="1"/>
  <c r="Y313" i="3"/>
  <c r="X313" i="3"/>
  <c r="U313" i="3"/>
  <c r="BI312" i="3"/>
  <c r="BE312" i="3"/>
  <c r="BF312" i="3" s="1"/>
  <c r="BG312" i="3" s="1"/>
  <c r="AY312" i="3"/>
  <c r="AV312" i="3"/>
  <c r="AR312" i="3"/>
  <c r="AS312" i="3" s="1"/>
  <c r="BL312" i="3" s="1"/>
  <c r="F72" i="8" s="1"/>
  <c r="AM312" i="3"/>
  <c r="AN312" i="3" s="1"/>
  <c r="AO312" i="3" s="1"/>
  <c r="AE312" i="3"/>
  <c r="AF312" i="3" s="1"/>
  <c r="AG312" i="3" s="1"/>
  <c r="AH312" i="3" s="1"/>
  <c r="Y312" i="3"/>
  <c r="X312" i="3"/>
  <c r="U312" i="3"/>
  <c r="BI311" i="3"/>
  <c r="BE311" i="3"/>
  <c r="BF311" i="3" s="1"/>
  <c r="BG311" i="3" s="1"/>
  <c r="AY311" i="3"/>
  <c r="AV311" i="3"/>
  <c r="AR311" i="3"/>
  <c r="AS311" i="3" s="1"/>
  <c r="BL311" i="3" s="1"/>
  <c r="F47" i="8" s="1"/>
  <c r="AM311" i="3"/>
  <c r="AN311" i="3" s="1"/>
  <c r="AO311" i="3" s="1"/>
  <c r="AE311" i="3"/>
  <c r="AF311" i="3" s="1"/>
  <c r="AG311" i="3" s="1"/>
  <c r="AH311" i="3" s="1"/>
  <c r="Y311" i="3"/>
  <c r="X311" i="3"/>
  <c r="U311" i="3"/>
  <c r="BI310" i="3"/>
  <c r="BE310" i="3"/>
  <c r="BF310" i="3" s="1"/>
  <c r="BG310" i="3" s="1"/>
  <c r="AY310" i="3"/>
  <c r="AV310" i="3"/>
  <c r="AR310" i="3"/>
  <c r="AS310" i="3" s="1"/>
  <c r="BL310" i="3" s="1"/>
  <c r="F261" i="8" s="1"/>
  <c r="AM310" i="3"/>
  <c r="AN310" i="3" s="1"/>
  <c r="AO310" i="3" s="1"/>
  <c r="AE310" i="3"/>
  <c r="AF310" i="3" s="1"/>
  <c r="AG310" i="3" s="1"/>
  <c r="AH310" i="3" s="1"/>
  <c r="Y310" i="3"/>
  <c r="X310" i="3"/>
  <c r="U310" i="3"/>
  <c r="BI309" i="3"/>
  <c r="BE309" i="3"/>
  <c r="BF309" i="3" s="1"/>
  <c r="BG309" i="3" s="1"/>
  <c r="AY309" i="3"/>
  <c r="AV309" i="3"/>
  <c r="AR309" i="3"/>
  <c r="AS309" i="3" s="1"/>
  <c r="BL309" i="3" s="1"/>
  <c r="F267" i="8" s="1"/>
  <c r="AM309" i="3"/>
  <c r="AN309" i="3" s="1"/>
  <c r="AO309" i="3" s="1"/>
  <c r="AE309" i="3"/>
  <c r="AF309" i="3" s="1"/>
  <c r="AG309" i="3" s="1"/>
  <c r="AH309" i="3" s="1"/>
  <c r="Y309" i="3"/>
  <c r="X309" i="3"/>
  <c r="U309" i="3"/>
  <c r="BI308" i="3"/>
  <c r="BE308" i="3"/>
  <c r="BF308" i="3" s="1"/>
  <c r="BG308" i="3" s="1"/>
  <c r="AY308" i="3"/>
  <c r="AV308" i="3"/>
  <c r="AR308" i="3"/>
  <c r="AS308" i="3" s="1"/>
  <c r="BL308" i="3" s="1"/>
  <c r="F268" i="8" s="1"/>
  <c r="AM308" i="3"/>
  <c r="AN308" i="3" s="1"/>
  <c r="AO308" i="3" s="1"/>
  <c r="AE308" i="3"/>
  <c r="AF308" i="3" s="1"/>
  <c r="AG308" i="3" s="1"/>
  <c r="AH308" i="3" s="1"/>
  <c r="Y308" i="3"/>
  <c r="X308" i="3"/>
  <c r="U308" i="3"/>
  <c r="BI307" i="3"/>
  <c r="BE307" i="3"/>
  <c r="BF307" i="3" s="1"/>
  <c r="BG307" i="3" s="1"/>
  <c r="AY307" i="3"/>
  <c r="AV307" i="3"/>
  <c r="AR307" i="3"/>
  <c r="AS307" i="3" s="1"/>
  <c r="BL307" i="3" s="1"/>
  <c r="F300" i="8" s="1"/>
  <c r="AM307" i="3"/>
  <c r="AN307" i="3" s="1"/>
  <c r="AO307" i="3" s="1"/>
  <c r="AE307" i="3"/>
  <c r="AF307" i="3" s="1"/>
  <c r="AG307" i="3" s="1"/>
  <c r="AH307" i="3" s="1"/>
  <c r="Y307" i="3"/>
  <c r="X307" i="3"/>
  <c r="U307" i="3"/>
  <c r="BI306" i="3"/>
  <c r="BE306" i="3"/>
  <c r="BF306" i="3" s="1"/>
  <c r="BG306" i="3" s="1"/>
  <c r="AY306" i="3"/>
  <c r="AV306" i="3"/>
  <c r="AR306" i="3"/>
  <c r="AS306" i="3" s="1"/>
  <c r="BL306" i="3" s="1"/>
  <c r="F50" i="8" s="1"/>
  <c r="AM306" i="3"/>
  <c r="AN306" i="3" s="1"/>
  <c r="AO306" i="3" s="1"/>
  <c r="AE306" i="3"/>
  <c r="AF306" i="3" s="1"/>
  <c r="AG306" i="3" s="1"/>
  <c r="AH306" i="3" s="1"/>
  <c r="Y306" i="3"/>
  <c r="X306" i="3"/>
  <c r="U306" i="3"/>
  <c r="BI305" i="3"/>
  <c r="BE305" i="3"/>
  <c r="BF305" i="3" s="1"/>
  <c r="BG305" i="3" s="1"/>
  <c r="AY305" i="3"/>
  <c r="AV305" i="3"/>
  <c r="AR305" i="3"/>
  <c r="AS305" i="3" s="1"/>
  <c r="BL305" i="3" s="1"/>
  <c r="F292" i="8" s="1"/>
  <c r="AM305" i="3"/>
  <c r="AN305" i="3" s="1"/>
  <c r="AO305" i="3" s="1"/>
  <c r="AE305" i="3"/>
  <c r="AF305" i="3" s="1"/>
  <c r="AG305" i="3" s="1"/>
  <c r="AH305" i="3" s="1"/>
  <c r="Y305" i="3"/>
  <c r="X305" i="3"/>
  <c r="U305" i="3"/>
  <c r="BI304" i="3"/>
  <c r="BE304" i="3"/>
  <c r="BF304" i="3" s="1"/>
  <c r="BG304" i="3" s="1"/>
  <c r="AY304" i="3"/>
  <c r="AV304" i="3"/>
  <c r="AR304" i="3"/>
  <c r="AS304" i="3" s="1"/>
  <c r="BL304" i="3" s="1"/>
  <c r="F26" i="8" s="1"/>
  <c r="AM304" i="3"/>
  <c r="AN304" i="3" s="1"/>
  <c r="AO304" i="3" s="1"/>
  <c r="AE304" i="3"/>
  <c r="AF304" i="3" s="1"/>
  <c r="AG304" i="3" s="1"/>
  <c r="AH304" i="3" s="1"/>
  <c r="Y304" i="3"/>
  <c r="X304" i="3"/>
  <c r="U304" i="3"/>
  <c r="BI303" i="3"/>
  <c r="BE303" i="3"/>
  <c r="BF303" i="3" s="1"/>
  <c r="BG303" i="3" s="1"/>
  <c r="AY303" i="3"/>
  <c r="AV303" i="3"/>
  <c r="AR303" i="3"/>
  <c r="AS303" i="3" s="1"/>
  <c r="BL303" i="3" s="1"/>
  <c r="F111" i="8" s="1"/>
  <c r="AM303" i="3"/>
  <c r="AN303" i="3" s="1"/>
  <c r="AO303" i="3" s="1"/>
  <c r="AE303" i="3"/>
  <c r="AF303" i="3" s="1"/>
  <c r="AG303" i="3" s="1"/>
  <c r="AH303" i="3" s="1"/>
  <c r="Y303" i="3"/>
  <c r="X303" i="3"/>
  <c r="U303" i="3"/>
  <c r="BI302" i="3"/>
  <c r="BE302" i="3"/>
  <c r="BF302" i="3" s="1"/>
  <c r="BG302" i="3" s="1"/>
  <c r="AY302" i="3"/>
  <c r="AV302" i="3"/>
  <c r="AR302" i="3"/>
  <c r="AS302" i="3" s="1"/>
  <c r="BL302" i="3" s="1"/>
  <c r="F127" i="8" s="1"/>
  <c r="AM302" i="3"/>
  <c r="AN302" i="3" s="1"/>
  <c r="AO302" i="3" s="1"/>
  <c r="AE302" i="3"/>
  <c r="AF302" i="3" s="1"/>
  <c r="AG302" i="3" s="1"/>
  <c r="AH302" i="3" s="1"/>
  <c r="Y302" i="3"/>
  <c r="X302" i="3"/>
  <c r="U302" i="3"/>
  <c r="BI301" i="3"/>
  <c r="BE301" i="3"/>
  <c r="BF301" i="3" s="1"/>
  <c r="BG301" i="3" s="1"/>
  <c r="AY301" i="3"/>
  <c r="AV301" i="3"/>
  <c r="AR301" i="3"/>
  <c r="AS301" i="3" s="1"/>
  <c r="BL301" i="3" s="1"/>
  <c r="F90" i="8" s="1"/>
  <c r="AM301" i="3"/>
  <c r="AN301" i="3" s="1"/>
  <c r="AO301" i="3" s="1"/>
  <c r="AE301" i="3"/>
  <c r="AF301" i="3" s="1"/>
  <c r="AG301" i="3" s="1"/>
  <c r="AH301" i="3" s="1"/>
  <c r="Y301" i="3"/>
  <c r="X301" i="3"/>
  <c r="U301" i="3"/>
  <c r="BI300" i="3"/>
  <c r="BE300" i="3"/>
  <c r="BF300" i="3" s="1"/>
  <c r="BG300" i="3" s="1"/>
  <c r="AY300" i="3"/>
  <c r="AV300" i="3"/>
  <c r="AR300" i="3"/>
  <c r="AS300" i="3" s="1"/>
  <c r="BL300" i="3" s="1"/>
  <c r="F99" i="8" s="1"/>
  <c r="AM300" i="3"/>
  <c r="AN300" i="3" s="1"/>
  <c r="AO300" i="3" s="1"/>
  <c r="AE300" i="3"/>
  <c r="AF300" i="3" s="1"/>
  <c r="AG300" i="3" s="1"/>
  <c r="AH300" i="3" s="1"/>
  <c r="Y300" i="3"/>
  <c r="X300" i="3"/>
  <c r="U300" i="3"/>
  <c r="BI299" i="3"/>
  <c r="BE299" i="3"/>
  <c r="BF299" i="3" s="1"/>
  <c r="BG299" i="3" s="1"/>
  <c r="AY299" i="3"/>
  <c r="AV299" i="3"/>
  <c r="AR299" i="3"/>
  <c r="AS299" i="3" s="1"/>
  <c r="BL299" i="3" s="1"/>
  <c r="F22" i="8" s="1"/>
  <c r="AM299" i="3"/>
  <c r="AN299" i="3" s="1"/>
  <c r="AO299" i="3" s="1"/>
  <c r="AE299" i="3"/>
  <c r="AF299" i="3" s="1"/>
  <c r="AG299" i="3" s="1"/>
  <c r="AH299" i="3" s="1"/>
  <c r="Y299" i="3"/>
  <c r="X299" i="3"/>
  <c r="U299" i="3"/>
  <c r="BI298" i="3"/>
  <c r="BE298" i="3"/>
  <c r="BF298" i="3" s="1"/>
  <c r="BG298" i="3" s="1"/>
  <c r="AY298" i="3"/>
  <c r="AV298" i="3"/>
  <c r="AR298" i="3"/>
  <c r="AS298" i="3" s="1"/>
  <c r="BL298" i="3" s="1"/>
  <c r="F315" i="8" s="1"/>
  <c r="AM298" i="3"/>
  <c r="AN298" i="3" s="1"/>
  <c r="AO298" i="3" s="1"/>
  <c r="AE298" i="3"/>
  <c r="AF298" i="3" s="1"/>
  <c r="AG298" i="3" s="1"/>
  <c r="AH298" i="3" s="1"/>
  <c r="Y298" i="3"/>
  <c r="X298" i="3"/>
  <c r="U298" i="3"/>
  <c r="BI297" i="3"/>
  <c r="BE297" i="3"/>
  <c r="BF297" i="3" s="1"/>
  <c r="BG297" i="3" s="1"/>
  <c r="AY297" i="3"/>
  <c r="AV297" i="3"/>
  <c r="AR297" i="3"/>
  <c r="AS297" i="3" s="1"/>
  <c r="BL297" i="3" s="1"/>
  <c r="F309" i="8" s="1"/>
  <c r="AM297" i="3"/>
  <c r="AN297" i="3" s="1"/>
  <c r="AO297" i="3" s="1"/>
  <c r="AE297" i="3"/>
  <c r="AF297" i="3" s="1"/>
  <c r="AG297" i="3" s="1"/>
  <c r="AH297" i="3" s="1"/>
  <c r="Y297" i="3"/>
  <c r="X297" i="3"/>
  <c r="U297" i="3"/>
  <c r="BI296" i="3"/>
  <c r="BE296" i="3"/>
  <c r="BF296" i="3" s="1"/>
  <c r="BG296" i="3" s="1"/>
  <c r="AY296" i="3"/>
  <c r="AV296" i="3"/>
  <c r="AR296" i="3"/>
  <c r="AS296" i="3" s="1"/>
  <c r="BL296" i="3" s="1"/>
  <c r="F226" i="8" s="1"/>
  <c r="AM296" i="3"/>
  <c r="AN296" i="3" s="1"/>
  <c r="AO296" i="3" s="1"/>
  <c r="AE296" i="3"/>
  <c r="AF296" i="3" s="1"/>
  <c r="AG296" i="3" s="1"/>
  <c r="AH296" i="3" s="1"/>
  <c r="Y296" i="3"/>
  <c r="X296" i="3"/>
  <c r="U296" i="3"/>
  <c r="BI295" i="3"/>
  <c r="BE295" i="3"/>
  <c r="BF295" i="3" s="1"/>
  <c r="BG295" i="3" s="1"/>
  <c r="AY295" i="3"/>
  <c r="AV295" i="3"/>
  <c r="AR295" i="3"/>
  <c r="AS295" i="3" s="1"/>
  <c r="BL295" i="3" s="1"/>
  <c r="F8" i="8" s="1"/>
  <c r="AM295" i="3"/>
  <c r="AN295" i="3" s="1"/>
  <c r="AO295" i="3" s="1"/>
  <c r="AE295" i="3"/>
  <c r="AF295" i="3" s="1"/>
  <c r="AG295" i="3" s="1"/>
  <c r="AH295" i="3" s="1"/>
  <c r="Y295" i="3"/>
  <c r="X295" i="3"/>
  <c r="U295" i="3"/>
  <c r="BI294" i="3"/>
  <c r="BE294" i="3"/>
  <c r="BF294" i="3" s="1"/>
  <c r="BG294" i="3" s="1"/>
  <c r="AY294" i="3"/>
  <c r="AV294" i="3"/>
  <c r="AR294" i="3"/>
  <c r="AS294" i="3" s="1"/>
  <c r="BL294" i="3" s="1"/>
  <c r="F102" i="8" s="1"/>
  <c r="AM294" i="3"/>
  <c r="AN294" i="3" s="1"/>
  <c r="AO294" i="3" s="1"/>
  <c r="AE294" i="3"/>
  <c r="AF294" i="3" s="1"/>
  <c r="AG294" i="3" s="1"/>
  <c r="AH294" i="3" s="1"/>
  <c r="Y294" i="3"/>
  <c r="X294" i="3"/>
  <c r="U294" i="3"/>
  <c r="BI293" i="3"/>
  <c r="BE293" i="3"/>
  <c r="BF293" i="3" s="1"/>
  <c r="BG293" i="3" s="1"/>
  <c r="AY293" i="3"/>
  <c r="AV293" i="3"/>
  <c r="AR293" i="3"/>
  <c r="AS293" i="3" s="1"/>
  <c r="BL293" i="3" s="1"/>
  <c r="F24" i="8" s="1"/>
  <c r="AM293" i="3"/>
  <c r="AN293" i="3" s="1"/>
  <c r="AO293" i="3" s="1"/>
  <c r="AE293" i="3"/>
  <c r="AF293" i="3" s="1"/>
  <c r="AG293" i="3" s="1"/>
  <c r="AH293" i="3" s="1"/>
  <c r="Y293" i="3"/>
  <c r="X293" i="3"/>
  <c r="U293" i="3"/>
  <c r="BI292" i="3"/>
  <c r="BE292" i="3"/>
  <c r="BF292" i="3" s="1"/>
  <c r="BG292" i="3" s="1"/>
  <c r="AY292" i="3"/>
  <c r="AV292" i="3"/>
  <c r="AR292" i="3"/>
  <c r="AS292" i="3" s="1"/>
  <c r="BL292" i="3" s="1"/>
  <c r="F179" i="8" s="1"/>
  <c r="AM292" i="3"/>
  <c r="AN292" i="3" s="1"/>
  <c r="AO292" i="3" s="1"/>
  <c r="AE292" i="3"/>
  <c r="AF292" i="3" s="1"/>
  <c r="AG292" i="3" s="1"/>
  <c r="AH292" i="3" s="1"/>
  <c r="Y292" i="3"/>
  <c r="X292" i="3"/>
  <c r="U292" i="3"/>
  <c r="BI291" i="3"/>
  <c r="BE291" i="3"/>
  <c r="BF291" i="3" s="1"/>
  <c r="BG291" i="3" s="1"/>
  <c r="AY291" i="3"/>
  <c r="AV291" i="3"/>
  <c r="AR291" i="3"/>
  <c r="AS291" i="3" s="1"/>
  <c r="BL291" i="3" s="1"/>
  <c r="F35" i="8" s="1"/>
  <c r="AM291" i="3"/>
  <c r="AN291" i="3" s="1"/>
  <c r="AO291" i="3" s="1"/>
  <c r="AE291" i="3"/>
  <c r="AF291" i="3" s="1"/>
  <c r="AG291" i="3" s="1"/>
  <c r="AH291" i="3" s="1"/>
  <c r="Y291" i="3"/>
  <c r="X291" i="3"/>
  <c r="U291" i="3"/>
  <c r="BI290" i="3"/>
  <c r="BE290" i="3"/>
  <c r="BF290" i="3" s="1"/>
  <c r="BG290" i="3" s="1"/>
  <c r="AY290" i="3"/>
  <c r="AV290" i="3"/>
  <c r="AR290" i="3"/>
  <c r="AS290" i="3" s="1"/>
  <c r="BL290" i="3" s="1"/>
  <c r="F21" i="8" s="1"/>
  <c r="AM290" i="3"/>
  <c r="AN290" i="3" s="1"/>
  <c r="AO290" i="3" s="1"/>
  <c r="AE290" i="3"/>
  <c r="AF290" i="3" s="1"/>
  <c r="AG290" i="3" s="1"/>
  <c r="AH290" i="3" s="1"/>
  <c r="Y290" i="3"/>
  <c r="X290" i="3"/>
  <c r="U290" i="3"/>
  <c r="BI289" i="3"/>
  <c r="BE289" i="3"/>
  <c r="BF289" i="3" s="1"/>
  <c r="BG289" i="3" s="1"/>
  <c r="AY289" i="3"/>
  <c r="AV289" i="3"/>
  <c r="AR289" i="3"/>
  <c r="AS289" i="3" s="1"/>
  <c r="BL289" i="3" s="1"/>
  <c r="F291" i="8" s="1"/>
  <c r="AM289" i="3"/>
  <c r="AN289" i="3" s="1"/>
  <c r="AO289" i="3" s="1"/>
  <c r="AE289" i="3"/>
  <c r="AF289" i="3" s="1"/>
  <c r="AG289" i="3" s="1"/>
  <c r="AH289" i="3" s="1"/>
  <c r="Y289" i="3"/>
  <c r="X289" i="3"/>
  <c r="U289" i="3"/>
  <c r="BI288" i="3"/>
  <c r="BE288" i="3"/>
  <c r="BF288" i="3" s="1"/>
  <c r="BG288" i="3" s="1"/>
  <c r="AY288" i="3"/>
  <c r="AV288" i="3"/>
  <c r="AR288" i="3"/>
  <c r="AS288" i="3" s="1"/>
  <c r="BL288" i="3" s="1"/>
  <c r="F91" i="8" s="1"/>
  <c r="AM288" i="3"/>
  <c r="AN288" i="3" s="1"/>
  <c r="AO288" i="3" s="1"/>
  <c r="AE288" i="3"/>
  <c r="AF288" i="3" s="1"/>
  <c r="AG288" i="3" s="1"/>
  <c r="AH288" i="3" s="1"/>
  <c r="Y288" i="3"/>
  <c r="X288" i="3"/>
  <c r="U288" i="3"/>
  <c r="BI287" i="3"/>
  <c r="BE287" i="3"/>
  <c r="BF287" i="3" s="1"/>
  <c r="BG287" i="3" s="1"/>
  <c r="AY287" i="3"/>
  <c r="AV287" i="3"/>
  <c r="AR287" i="3"/>
  <c r="AS287" i="3" s="1"/>
  <c r="BL287" i="3" s="1"/>
  <c r="F63" i="8" s="1"/>
  <c r="AM287" i="3"/>
  <c r="AN287" i="3" s="1"/>
  <c r="AO287" i="3" s="1"/>
  <c r="AE287" i="3"/>
  <c r="AF287" i="3" s="1"/>
  <c r="AG287" i="3" s="1"/>
  <c r="AH287" i="3" s="1"/>
  <c r="Y287" i="3"/>
  <c r="X287" i="3"/>
  <c r="U287" i="3"/>
  <c r="BI286" i="3"/>
  <c r="BE286" i="3"/>
  <c r="BF286" i="3" s="1"/>
  <c r="BG286" i="3" s="1"/>
  <c r="AY286" i="3"/>
  <c r="AV286" i="3"/>
  <c r="AR286" i="3"/>
  <c r="AS286" i="3" s="1"/>
  <c r="BL286" i="3" s="1"/>
  <c r="F275" i="8" s="1"/>
  <c r="AM286" i="3"/>
  <c r="AN286" i="3" s="1"/>
  <c r="AO286" i="3" s="1"/>
  <c r="AE286" i="3"/>
  <c r="AF286" i="3" s="1"/>
  <c r="AG286" i="3" s="1"/>
  <c r="AH286" i="3" s="1"/>
  <c r="Y286" i="3"/>
  <c r="X286" i="3"/>
  <c r="U286" i="3"/>
  <c r="BI285" i="3"/>
  <c r="BE285" i="3"/>
  <c r="BF285" i="3" s="1"/>
  <c r="BG285" i="3" s="1"/>
  <c r="AY285" i="3"/>
  <c r="AV285" i="3"/>
  <c r="AR285" i="3"/>
  <c r="AS285" i="3" s="1"/>
  <c r="BL285" i="3" s="1"/>
  <c r="F270" i="8" s="1"/>
  <c r="AM285" i="3"/>
  <c r="AN285" i="3" s="1"/>
  <c r="AO285" i="3" s="1"/>
  <c r="AE285" i="3"/>
  <c r="AF285" i="3" s="1"/>
  <c r="AG285" i="3" s="1"/>
  <c r="AH285" i="3" s="1"/>
  <c r="Y285" i="3"/>
  <c r="X285" i="3"/>
  <c r="U285" i="3"/>
  <c r="BI284" i="3"/>
  <c r="BE284" i="3"/>
  <c r="BF284" i="3" s="1"/>
  <c r="BG284" i="3" s="1"/>
  <c r="AY284" i="3"/>
  <c r="AV284" i="3"/>
  <c r="AR284" i="3"/>
  <c r="AS284" i="3" s="1"/>
  <c r="BL284" i="3" s="1"/>
  <c r="F29" i="8" s="1"/>
  <c r="AM284" i="3"/>
  <c r="AN284" i="3" s="1"/>
  <c r="AO284" i="3" s="1"/>
  <c r="AE284" i="3"/>
  <c r="AF284" i="3" s="1"/>
  <c r="AG284" i="3" s="1"/>
  <c r="AH284" i="3" s="1"/>
  <c r="Y284" i="3"/>
  <c r="X284" i="3"/>
  <c r="U284" i="3"/>
  <c r="BI283" i="3"/>
  <c r="BE283" i="3"/>
  <c r="BF283" i="3" s="1"/>
  <c r="BG283" i="3" s="1"/>
  <c r="AY283" i="3"/>
  <c r="AV283" i="3"/>
  <c r="AR283" i="3"/>
  <c r="AS283" i="3" s="1"/>
  <c r="BL283" i="3" s="1"/>
  <c r="F2" i="8" s="1"/>
  <c r="AM283" i="3"/>
  <c r="AN283" i="3" s="1"/>
  <c r="AO283" i="3" s="1"/>
  <c r="AE283" i="3"/>
  <c r="AF283" i="3" s="1"/>
  <c r="AG283" i="3" s="1"/>
  <c r="AH283" i="3" s="1"/>
  <c r="Y283" i="3"/>
  <c r="X283" i="3"/>
  <c r="U283" i="3"/>
  <c r="BI282" i="3"/>
  <c r="BE282" i="3"/>
  <c r="BF282" i="3" s="1"/>
  <c r="BG282" i="3" s="1"/>
  <c r="AY282" i="3"/>
  <c r="AV282" i="3"/>
  <c r="AR282" i="3"/>
  <c r="AS282" i="3" s="1"/>
  <c r="BL282" i="3" s="1"/>
  <c r="F77" i="8" s="1"/>
  <c r="AM282" i="3"/>
  <c r="AN282" i="3" s="1"/>
  <c r="AO282" i="3" s="1"/>
  <c r="AE282" i="3"/>
  <c r="AF282" i="3" s="1"/>
  <c r="AG282" i="3" s="1"/>
  <c r="AH282" i="3" s="1"/>
  <c r="Y282" i="3"/>
  <c r="X282" i="3"/>
  <c r="U282" i="3"/>
  <c r="BI281" i="3"/>
  <c r="BE281" i="3"/>
  <c r="BF281" i="3" s="1"/>
  <c r="BG281" i="3" s="1"/>
  <c r="AY281" i="3"/>
  <c r="AZ281" i="3" s="1"/>
  <c r="BA281" i="3" s="1"/>
  <c r="AV281" i="3"/>
  <c r="AR281" i="3"/>
  <c r="AS281" i="3" s="1"/>
  <c r="BL281" i="3" s="1"/>
  <c r="F15" i="8" s="1"/>
  <c r="AM281" i="3"/>
  <c r="AN281" i="3" s="1"/>
  <c r="AO281" i="3" s="1"/>
  <c r="AE281" i="3"/>
  <c r="AF281" i="3" s="1"/>
  <c r="AG281" i="3" s="1"/>
  <c r="AH281" i="3" s="1"/>
  <c r="Y281" i="3"/>
  <c r="X281" i="3"/>
  <c r="U281" i="3"/>
  <c r="BI280" i="3"/>
  <c r="BE280" i="3"/>
  <c r="BF280" i="3" s="1"/>
  <c r="BG280" i="3" s="1"/>
  <c r="AY280" i="3"/>
  <c r="AV280" i="3"/>
  <c r="AR280" i="3"/>
  <c r="AS280" i="3" s="1"/>
  <c r="BL280" i="3" s="1"/>
  <c r="F20" i="8" s="1"/>
  <c r="AM280" i="3"/>
  <c r="AN280" i="3" s="1"/>
  <c r="AO280" i="3" s="1"/>
  <c r="AE280" i="3"/>
  <c r="AF280" i="3" s="1"/>
  <c r="AG280" i="3" s="1"/>
  <c r="AH280" i="3" s="1"/>
  <c r="Y280" i="3"/>
  <c r="X280" i="3"/>
  <c r="U280" i="3"/>
  <c r="BI279" i="3"/>
  <c r="BE279" i="3"/>
  <c r="BF279" i="3" s="1"/>
  <c r="BG279" i="3" s="1"/>
  <c r="AY279" i="3"/>
  <c r="AV279" i="3"/>
  <c r="AR279" i="3"/>
  <c r="AS279" i="3" s="1"/>
  <c r="BL279" i="3" s="1"/>
  <c r="F166" i="8" s="1"/>
  <c r="AM279" i="3"/>
  <c r="AN279" i="3" s="1"/>
  <c r="AO279" i="3" s="1"/>
  <c r="AE279" i="3"/>
  <c r="AF279" i="3" s="1"/>
  <c r="AG279" i="3" s="1"/>
  <c r="AH279" i="3" s="1"/>
  <c r="Y279" i="3"/>
  <c r="X279" i="3"/>
  <c r="U279" i="3"/>
  <c r="BI278" i="3"/>
  <c r="BE278" i="3"/>
  <c r="BF278" i="3" s="1"/>
  <c r="BG278" i="3" s="1"/>
  <c r="AY278" i="3"/>
  <c r="AV278" i="3"/>
  <c r="AR278" i="3"/>
  <c r="AS278" i="3" s="1"/>
  <c r="BL278" i="3" s="1"/>
  <c r="F49" i="8" s="1"/>
  <c r="AM278" i="3"/>
  <c r="AN278" i="3" s="1"/>
  <c r="AO278" i="3" s="1"/>
  <c r="AE278" i="3"/>
  <c r="AF278" i="3" s="1"/>
  <c r="AG278" i="3" s="1"/>
  <c r="AH278" i="3" s="1"/>
  <c r="Y278" i="3"/>
  <c r="X278" i="3"/>
  <c r="U278" i="3"/>
  <c r="BI277" i="3"/>
  <c r="BE277" i="3"/>
  <c r="BF277" i="3" s="1"/>
  <c r="BG277" i="3" s="1"/>
  <c r="AY277" i="3"/>
  <c r="AV277" i="3"/>
  <c r="AR277" i="3"/>
  <c r="AS277" i="3" s="1"/>
  <c r="BL277" i="3" s="1"/>
  <c r="F104" i="8" s="1"/>
  <c r="AM277" i="3"/>
  <c r="AN277" i="3" s="1"/>
  <c r="AO277" i="3" s="1"/>
  <c r="AE277" i="3"/>
  <c r="AF277" i="3" s="1"/>
  <c r="AG277" i="3" s="1"/>
  <c r="AH277" i="3" s="1"/>
  <c r="Y277" i="3"/>
  <c r="X277" i="3"/>
  <c r="U277" i="3"/>
  <c r="BI276" i="3"/>
  <c r="BE276" i="3"/>
  <c r="BF276" i="3" s="1"/>
  <c r="BG276" i="3" s="1"/>
  <c r="AY276" i="3"/>
  <c r="AV276" i="3"/>
  <c r="AR276" i="3"/>
  <c r="AS276" i="3" s="1"/>
  <c r="BL276" i="3" s="1"/>
  <c r="F255" i="8" s="1"/>
  <c r="AM276" i="3"/>
  <c r="AN276" i="3" s="1"/>
  <c r="AO276" i="3" s="1"/>
  <c r="AE276" i="3"/>
  <c r="AF276" i="3" s="1"/>
  <c r="AG276" i="3" s="1"/>
  <c r="AH276" i="3" s="1"/>
  <c r="Y276" i="3"/>
  <c r="X276" i="3"/>
  <c r="U276" i="3"/>
  <c r="BI275" i="3"/>
  <c r="BE275" i="3"/>
  <c r="BF275" i="3" s="1"/>
  <c r="BG275" i="3" s="1"/>
  <c r="AY275" i="3"/>
  <c r="AV275" i="3"/>
  <c r="AR275" i="3"/>
  <c r="AS275" i="3" s="1"/>
  <c r="BL275" i="3" s="1"/>
  <c r="F40" i="8" s="1"/>
  <c r="AM275" i="3"/>
  <c r="AN275" i="3" s="1"/>
  <c r="AO275" i="3" s="1"/>
  <c r="AE275" i="3"/>
  <c r="AF275" i="3" s="1"/>
  <c r="AG275" i="3" s="1"/>
  <c r="AH275" i="3" s="1"/>
  <c r="Y275" i="3"/>
  <c r="X275" i="3"/>
  <c r="U275" i="3"/>
  <c r="BI274" i="3"/>
  <c r="BE274" i="3"/>
  <c r="BF274" i="3" s="1"/>
  <c r="BG274" i="3" s="1"/>
  <c r="AY274" i="3"/>
  <c r="AV274" i="3"/>
  <c r="AR274" i="3"/>
  <c r="AS274" i="3" s="1"/>
  <c r="BL274" i="3" s="1"/>
  <c r="F85" i="8" s="1"/>
  <c r="AM274" i="3"/>
  <c r="AN274" i="3" s="1"/>
  <c r="AO274" i="3" s="1"/>
  <c r="AE274" i="3"/>
  <c r="AF274" i="3" s="1"/>
  <c r="AG274" i="3" s="1"/>
  <c r="AH274" i="3" s="1"/>
  <c r="Y274" i="3"/>
  <c r="X274" i="3"/>
  <c r="U274" i="3"/>
  <c r="BI273" i="3"/>
  <c r="BE273" i="3"/>
  <c r="BF273" i="3" s="1"/>
  <c r="BG273" i="3" s="1"/>
  <c r="AY273" i="3"/>
  <c r="AV273" i="3"/>
  <c r="AR273" i="3"/>
  <c r="AS273" i="3" s="1"/>
  <c r="BL273" i="3" s="1"/>
  <c r="F236" i="8" s="1"/>
  <c r="AM273" i="3"/>
  <c r="AN273" i="3" s="1"/>
  <c r="AO273" i="3" s="1"/>
  <c r="AE273" i="3"/>
  <c r="AF273" i="3" s="1"/>
  <c r="AG273" i="3" s="1"/>
  <c r="AH273" i="3" s="1"/>
  <c r="Y273" i="3"/>
  <c r="X273" i="3"/>
  <c r="U273" i="3"/>
  <c r="BI272" i="3"/>
  <c r="BE272" i="3"/>
  <c r="BF272" i="3" s="1"/>
  <c r="BG272" i="3" s="1"/>
  <c r="AY272" i="3"/>
  <c r="AV272" i="3"/>
  <c r="AR272" i="3"/>
  <c r="AS272" i="3" s="1"/>
  <c r="BL272" i="3" s="1"/>
  <c r="F48" i="8" s="1"/>
  <c r="AM272" i="3"/>
  <c r="AN272" i="3" s="1"/>
  <c r="AO272" i="3" s="1"/>
  <c r="AE272" i="3"/>
  <c r="AF272" i="3" s="1"/>
  <c r="AG272" i="3" s="1"/>
  <c r="AH272" i="3" s="1"/>
  <c r="Y272" i="3"/>
  <c r="X272" i="3"/>
  <c r="U272" i="3"/>
  <c r="BI271" i="3"/>
  <c r="BE271" i="3"/>
  <c r="BF271" i="3" s="1"/>
  <c r="BG271" i="3" s="1"/>
  <c r="AY271" i="3"/>
  <c r="AV271" i="3"/>
  <c r="AR271" i="3"/>
  <c r="AS271" i="3" s="1"/>
  <c r="BL271" i="3" s="1"/>
  <c r="F182" i="8" s="1"/>
  <c r="AM271" i="3"/>
  <c r="AN271" i="3" s="1"/>
  <c r="AO271" i="3" s="1"/>
  <c r="AE271" i="3"/>
  <c r="AF271" i="3" s="1"/>
  <c r="AG271" i="3" s="1"/>
  <c r="AH271" i="3" s="1"/>
  <c r="Y271" i="3"/>
  <c r="X271" i="3"/>
  <c r="U271" i="3"/>
  <c r="BI270" i="3"/>
  <c r="BE270" i="3"/>
  <c r="BF270" i="3" s="1"/>
  <c r="BG270" i="3" s="1"/>
  <c r="AY270" i="3"/>
  <c r="AV270" i="3"/>
  <c r="AR270" i="3"/>
  <c r="AS270" i="3" s="1"/>
  <c r="BL270" i="3" s="1"/>
  <c r="F221" i="8" s="1"/>
  <c r="AM270" i="3"/>
  <c r="AN270" i="3" s="1"/>
  <c r="AO270" i="3" s="1"/>
  <c r="AE270" i="3"/>
  <c r="AF270" i="3" s="1"/>
  <c r="AG270" i="3" s="1"/>
  <c r="AH270" i="3" s="1"/>
  <c r="Y270" i="3"/>
  <c r="X270" i="3"/>
  <c r="U270" i="3"/>
  <c r="BI269" i="3"/>
  <c r="BE269" i="3"/>
  <c r="BF269" i="3" s="1"/>
  <c r="BG269" i="3" s="1"/>
  <c r="AY269" i="3"/>
  <c r="AV269" i="3"/>
  <c r="AR269" i="3"/>
  <c r="AS269" i="3" s="1"/>
  <c r="BL269" i="3" s="1"/>
  <c r="F37" i="8" s="1"/>
  <c r="AM269" i="3"/>
  <c r="AN269" i="3" s="1"/>
  <c r="AO269" i="3" s="1"/>
  <c r="AE269" i="3"/>
  <c r="AF269" i="3" s="1"/>
  <c r="AG269" i="3" s="1"/>
  <c r="AH269" i="3" s="1"/>
  <c r="Y269" i="3"/>
  <c r="X269" i="3"/>
  <c r="U269" i="3"/>
  <c r="BI268" i="3"/>
  <c r="BE268" i="3"/>
  <c r="BF268" i="3" s="1"/>
  <c r="BG268" i="3" s="1"/>
  <c r="AY268" i="3"/>
  <c r="AV268" i="3"/>
  <c r="AR268" i="3"/>
  <c r="AS268" i="3" s="1"/>
  <c r="BL268" i="3" s="1"/>
  <c r="F73" i="8" s="1"/>
  <c r="AM268" i="3"/>
  <c r="AN268" i="3" s="1"/>
  <c r="AO268" i="3" s="1"/>
  <c r="AE268" i="3"/>
  <c r="AF268" i="3" s="1"/>
  <c r="AG268" i="3" s="1"/>
  <c r="AH268" i="3" s="1"/>
  <c r="Y268" i="3"/>
  <c r="X268" i="3"/>
  <c r="U268" i="3"/>
  <c r="BI267" i="3"/>
  <c r="BE267" i="3"/>
  <c r="BF267" i="3" s="1"/>
  <c r="BG267" i="3" s="1"/>
  <c r="AY267" i="3"/>
  <c r="AV267" i="3"/>
  <c r="AR267" i="3"/>
  <c r="AS267" i="3" s="1"/>
  <c r="BL267" i="3" s="1"/>
  <c r="F31" i="8" s="1"/>
  <c r="AM267" i="3"/>
  <c r="AN267" i="3" s="1"/>
  <c r="AO267" i="3" s="1"/>
  <c r="AE267" i="3"/>
  <c r="AF267" i="3" s="1"/>
  <c r="AG267" i="3" s="1"/>
  <c r="AH267" i="3" s="1"/>
  <c r="Y267" i="3"/>
  <c r="X267" i="3"/>
  <c r="U267" i="3"/>
  <c r="BI266" i="3"/>
  <c r="BE266" i="3"/>
  <c r="BF266" i="3" s="1"/>
  <c r="BG266" i="3" s="1"/>
  <c r="AY266" i="3"/>
  <c r="AV266" i="3"/>
  <c r="AR266" i="3"/>
  <c r="AS266" i="3" s="1"/>
  <c r="BL266" i="3" s="1"/>
  <c r="F135" i="8" s="1"/>
  <c r="AM266" i="3"/>
  <c r="AN266" i="3" s="1"/>
  <c r="AO266" i="3" s="1"/>
  <c r="AE266" i="3"/>
  <c r="AF266" i="3" s="1"/>
  <c r="AG266" i="3" s="1"/>
  <c r="AH266" i="3" s="1"/>
  <c r="Y266" i="3"/>
  <c r="X266" i="3"/>
  <c r="U266" i="3"/>
  <c r="BI265" i="3"/>
  <c r="BE265" i="3"/>
  <c r="BF265" i="3" s="1"/>
  <c r="BG265" i="3" s="1"/>
  <c r="AY265" i="3"/>
  <c r="AV265" i="3"/>
  <c r="AR265" i="3"/>
  <c r="AS265" i="3" s="1"/>
  <c r="BL265" i="3" s="1"/>
  <c r="F56" i="8" s="1"/>
  <c r="AM265" i="3"/>
  <c r="AN265" i="3" s="1"/>
  <c r="AO265" i="3" s="1"/>
  <c r="AE265" i="3"/>
  <c r="AF265" i="3" s="1"/>
  <c r="AG265" i="3" s="1"/>
  <c r="AH265" i="3" s="1"/>
  <c r="Y265" i="3"/>
  <c r="X265" i="3"/>
  <c r="U265" i="3"/>
  <c r="BI264" i="3"/>
  <c r="BE264" i="3"/>
  <c r="BF264" i="3" s="1"/>
  <c r="BG264" i="3" s="1"/>
  <c r="AY264" i="3"/>
  <c r="AV264" i="3"/>
  <c r="AR264" i="3"/>
  <c r="AS264" i="3" s="1"/>
  <c r="BL264" i="3" s="1"/>
  <c r="F79" i="8" s="1"/>
  <c r="AM264" i="3"/>
  <c r="AN264" i="3" s="1"/>
  <c r="AO264" i="3" s="1"/>
  <c r="AE264" i="3"/>
  <c r="AF264" i="3" s="1"/>
  <c r="AG264" i="3" s="1"/>
  <c r="AH264" i="3" s="1"/>
  <c r="Y264" i="3"/>
  <c r="X264" i="3"/>
  <c r="U264" i="3"/>
  <c r="BI263" i="3"/>
  <c r="BE263" i="3"/>
  <c r="BF263" i="3" s="1"/>
  <c r="BG263" i="3" s="1"/>
  <c r="AY263" i="3"/>
  <c r="AV263" i="3"/>
  <c r="AR263" i="3"/>
  <c r="AS263" i="3" s="1"/>
  <c r="BL263" i="3" s="1"/>
  <c r="F176" i="8" s="1"/>
  <c r="AM263" i="3"/>
  <c r="AN263" i="3" s="1"/>
  <c r="AO263" i="3" s="1"/>
  <c r="AE263" i="3"/>
  <c r="AF263" i="3" s="1"/>
  <c r="AG263" i="3" s="1"/>
  <c r="AH263" i="3" s="1"/>
  <c r="Y263" i="3"/>
  <c r="X263" i="3"/>
  <c r="U263" i="3"/>
  <c r="BI262" i="3"/>
  <c r="BE262" i="3"/>
  <c r="BF262" i="3" s="1"/>
  <c r="BG262" i="3" s="1"/>
  <c r="AY262" i="3"/>
  <c r="AV262" i="3"/>
  <c r="AR262" i="3"/>
  <c r="AS262" i="3" s="1"/>
  <c r="BL262" i="3" s="1"/>
  <c r="F302" i="8" s="1"/>
  <c r="AM262" i="3"/>
  <c r="AN262" i="3" s="1"/>
  <c r="AO262" i="3" s="1"/>
  <c r="AE262" i="3"/>
  <c r="AF262" i="3" s="1"/>
  <c r="AG262" i="3" s="1"/>
  <c r="AH262" i="3" s="1"/>
  <c r="Y262" i="3"/>
  <c r="X262" i="3"/>
  <c r="U262" i="3"/>
  <c r="BI261" i="3"/>
  <c r="BE261" i="3"/>
  <c r="BF261" i="3" s="1"/>
  <c r="BG261" i="3" s="1"/>
  <c r="AY261" i="3"/>
  <c r="AV261" i="3"/>
  <c r="AR261" i="3"/>
  <c r="AS261" i="3" s="1"/>
  <c r="BL261" i="3" s="1"/>
  <c r="F4" i="8" s="1"/>
  <c r="AM261" i="3"/>
  <c r="AN261" i="3" s="1"/>
  <c r="AO261" i="3" s="1"/>
  <c r="AE261" i="3"/>
  <c r="AF261" i="3" s="1"/>
  <c r="AG261" i="3" s="1"/>
  <c r="AH261" i="3" s="1"/>
  <c r="Y261" i="3"/>
  <c r="X261" i="3"/>
  <c r="U261" i="3"/>
  <c r="BI260" i="3"/>
  <c r="BE260" i="3"/>
  <c r="BF260" i="3" s="1"/>
  <c r="BG260" i="3" s="1"/>
  <c r="AY260" i="3"/>
  <c r="AV260" i="3"/>
  <c r="AR260" i="3"/>
  <c r="AS260" i="3" s="1"/>
  <c r="BL260" i="3" s="1"/>
  <c r="F59" i="8" s="1"/>
  <c r="AM260" i="3"/>
  <c r="AN260" i="3" s="1"/>
  <c r="AO260" i="3" s="1"/>
  <c r="AE260" i="3"/>
  <c r="AF260" i="3" s="1"/>
  <c r="AG260" i="3" s="1"/>
  <c r="AH260" i="3" s="1"/>
  <c r="Y260" i="3"/>
  <c r="X260" i="3"/>
  <c r="U260" i="3"/>
  <c r="BI259" i="3"/>
  <c r="BE259" i="3"/>
  <c r="BF259" i="3" s="1"/>
  <c r="BG259" i="3" s="1"/>
  <c r="AY259" i="3"/>
  <c r="AV259" i="3"/>
  <c r="AR259" i="3"/>
  <c r="AS259" i="3" s="1"/>
  <c r="BL259" i="3" s="1"/>
  <c r="F19" i="8" s="1"/>
  <c r="AM259" i="3"/>
  <c r="AN259" i="3" s="1"/>
  <c r="AO259" i="3" s="1"/>
  <c r="AE259" i="3"/>
  <c r="AF259" i="3" s="1"/>
  <c r="AG259" i="3" s="1"/>
  <c r="AH259" i="3" s="1"/>
  <c r="Y259" i="3"/>
  <c r="X259" i="3"/>
  <c r="U259" i="3"/>
  <c r="BI258" i="3"/>
  <c r="BE258" i="3"/>
  <c r="BF258" i="3" s="1"/>
  <c r="BG258" i="3" s="1"/>
  <c r="AY258" i="3"/>
  <c r="AV258" i="3"/>
  <c r="AR258" i="3"/>
  <c r="AS258" i="3" s="1"/>
  <c r="BL258" i="3" s="1"/>
  <c r="F28" i="8" s="1"/>
  <c r="AM258" i="3"/>
  <c r="AN258" i="3" s="1"/>
  <c r="AO258" i="3" s="1"/>
  <c r="AE258" i="3"/>
  <c r="AF258" i="3" s="1"/>
  <c r="AG258" i="3" s="1"/>
  <c r="AH258" i="3" s="1"/>
  <c r="Y258" i="3"/>
  <c r="X258" i="3"/>
  <c r="U258" i="3"/>
  <c r="BI257" i="3"/>
  <c r="BE257" i="3"/>
  <c r="BF257" i="3" s="1"/>
  <c r="BG257" i="3" s="1"/>
  <c r="AY257" i="3"/>
  <c r="AV257" i="3"/>
  <c r="AR257" i="3"/>
  <c r="AS257" i="3" s="1"/>
  <c r="BL257" i="3" s="1"/>
  <c r="F190" i="8" s="1"/>
  <c r="AM257" i="3"/>
  <c r="AN257" i="3" s="1"/>
  <c r="AO257" i="3" s="1"/>
  <c r="AE257" i="3"/>
  <c r="AF257" i="3" s="1"/>
  <c r="AG257" i="3" s="1"/>
  <c r="AH257" i="3" s="1"/>
  <c r="Y257" i="3"/>
  <c r="X257" i="3"/>
  <c r="U257" i="3"/>
  <c r="BI256" i="3"/>
  <c r="BE256" i="3"/>
  <c r="BF256" i="3" s="1"/>
  <c r="BG256" i="3" s="1"/>
  <c r="AY256" i="3"/>
  <c r="AV256" i="3"/>
  <c r="AR256" i="3"/>
  <c r="AS256" i="3" s="1"/>
  <c r="BL256" i="3" s="1"/>
  <c r="F274" i="8" s="1"/>
  <c r="AM256" i="3"/>
  <c r="AN256" i="3" s="1"/>
  <c r="AO256" i="3" s="1"/>
  <c r="AE256" i="3"/>
  <c r="AF256" i="3" s="1"/>
  <c r="AG256" i="3" s="1"/>
  <c r="AH256" i="3" s="1"/>
  <c r="Y256" i="3"/>
  <c r="X256" i="3"/>
  <c r="U256" i="3"/>
  <c r="BI255" i="3"/>
  <c r="BE255" i="3"/>
  <c r="BF255" i="3" s="1"/>
  <c r="BG255" i="3" s="1"/>
  <c r="AY255" i="3"/>
  <c r="AV255" i="3"/>
  <c r="AR255" i="3"/>
  <c r="AS255" i="3" s="1"/>
  <c r="BL255" i="3" s="1"/>
  <c r="F265" i="8" s="1"/>
  <c r="AM255" i="3"/>
  <c r="AN255" i="3" s="1"/>
  <c r="AO255" i="3" s="1"/>
  <c r="AE255" i="3"/>
  <c r="AF255" i="3" s="1"/>
  <c r="AG255" i="3" s="1"/>
  <c r="AH255" i="3" s="1"/>
  <c r="Y255" i="3"/>
  <c r="X255" i="3"/>
  <c r="U255" i="3"/>
  <c r="BI254" i="3"/>
  <c r="BE254" i="3"/>
  <c r="BF254" i="3" s="1"/>
  <c r="BG254" i="3" s="1"/>
  <c r="AY254" i="3"/>
  <c r="AV254" i="3"/>
  <c r="AR254" i="3"/>
  <c r="AS254" i="3" s="1"/>
  <c r="BL254" i="3" s="1"/>
  <c r="F233" i="8" s="1"/>
  <c r="AM254" i="3"/>
  <c r="AN254" i="3" s="1"/>
  <c r="AO254" i="3" s="1"/>
  <c r="AE254" i="3"/>
  <c r="AF254" i="3" s="1"/>
  <c r="AG254" i="3" s="1"/>
  <c r="AH254" i="3" s="1"/>
  <c r="Y254" i="3"/>
  <c r="X254" i="3"/>
  <c r="U254" i="3"/>
  <c r="BI253" i="3"/>
  <c r="BE253" i="3"/>
  <c r="BF253" i="3" s="1"/>
  <c r="BG253" i="3" s="1"/>
  <c r="AY253" i="3"/>
  <c r="AV253" i="3"/>
  <c r="AR253" i="3"/>
  <c r="AS253" i="3" s="1"/>
  <c r="BL253" i="3" s="1"/>
  <c r="F189" i="8" s="1"/>
  <c r="AM253" i="3"/>
  <c r="AN253" i="3" s="1"/>
  <c r="AO253" i="3" s="1"/>
  <c r="AE253" i="3"/>
  <c r="AF253" i="3" s="1"/>
  <c r="AG253" i="3" s="1"/>
  <c r="AH253" i="3" s="1"/>
  <c r="Y253" i="3"/>
  <c r="X253" i="3"/>
  <c r="U253" i="3"/>
  <c r="BI252" i="3"/>
  <c r="BE252" i="3"/>
  <c r="BF252" i="3" s="1"/>
  <c r="BG252" i="3" s="1"/>
  <c r="AY252" i="3"/>
  <c r="AV252" i="3"/>
  <c r="AR252" i="3"/>
  <c r="AS252" i="3" s="1"/>
  <c r="BL252" i="3" s="1"/>
  <c r="F313" i="8" s="1"/>
  <c r="AM252" i="3"/>
  <c r="AN252" i="3" s="1"/>
  <c r="AO252" i="3" s="1"/>
  <c r="AE252" i="3"/>
  <c r="AF252" i="3" s="1"/>
  <c r="AG252" i="3" s="1"/>
  <c r="AH252" i="3" s="1"/>
  <c r="Y252" i="3"/>
  <c r="X252" i="3"/>
  <c r="U252" i="3"/>
  <c r="BI251" i="3"/>
  <c r="BE251" i="3"/>
  <c r="BF251" i="3" s="1"/>
  <c r="BG251" i="3" s="1"/>
  <c r="AY251" i="3"/>
  <c r="AV251" i="3"/>
  <c r="AR251" i="3"/>
  <c r="AS251" i="3" s="1"/>
  <c r="BL251" i="3" s="1"/>
  <c r="F36" i="8" s="1"/>
  <c r="AM251" i="3"/>
  <c r="AN251" i="3" s="1"/>
  <c r="AO251" i="3" s="1"/>
  <c r="AE251" i="3"/>
  <c r="AF251" i="3" s="1"/>
  <c r="AG251" i="3" s="1"/>
  <c r="AH251" i="3" s="1"/>
  <c r="Y251" i="3"/>
  <c r="X251" i="3"/>
  <c r="U251" i="3"/>
  <c r="BI250" i="3"/>
  <c r="BE250" i="3"/>
  <c r="BF250" i="3" s="1"/>
  <c r="BG250" i="3" s="1"/>
  <c r="AY250" i="3"/>
  <c r="AV250" i="3"/>
  <c r="AR250" i="3"/>
  <c r="AS250" i="3" s="1"/>
  <c r="BL250" i="3" s="1"/>
  <c r="F76" i="8" s="1"/>
  <c r="AM250" i="3"/>
  <c r="AN250" i="3" s="1"/>
  <c r="AO250" i="3" s="1"/>
  <c r="AE250" i="3"/>
  <c r="AF250" i="3" s="1"/>
  <c r="AG250" i="3" s="1"/>
  <c r="AH250" i="3" s="1"/>
  <c r="Y250" i="3"/>
  <c r="X250" i="3"/>
  <c r="U250" i="3"/>
  <c r="BI249" i="3"/>
  <c r="BE249" i="3"/>
  <c r="BF249" i="3" s="1"/>
  <c r="BG249" i="3" s="1"/>
  <c r="AY249" i="3"/>
  <c r="AV249" i="3"/>
  <c r="AR249" i="3"/>
  <c r="AS249" i="3" s="1"/>
  <c r="BL249" i="3" s="1"/>
  <c r="F301" i="8" s="1"/>
  <c r="AM249" i="3"/>
  <c r="AN249" i="3" s="1"/>
  <c r="AO249" i="3" s="1"/>
  <c r="AE249" i="3"/>
  <c r="AF249" i="3" s="1"/>
  <c r="AG249" i="3" s="1"/>
  <c r="AH249" i="3" s="1"/>
  <c r="Y249" i="3"/>
  <c r="X249" i="3"/>
  <c r="U249" i="3"/>
  <c r="BI248" i="3"/>
  <c r="BE248" i="3"/>
  <c r="BF248" i="3" s="1"/>
  <c r="BG248" i="3" s="1"/>
  <c r="AY248" i="3"/>
  <c r="AV248" i="3"/>
  <c r="AR248" i="3"/>
  <c r="AS248" i="3" s="1"/>
  <c r="BL248" i="3" s="1"/>
  <c r="F229" i="8" s="1"/>
  <c r="AM248" i="3"/>
  <c r="AN248" i="3" s="1"/>
  <c r="AO248" i="3" s="1"/>
  <c r="AE248" i="3"/>
  <c r="AF248" i="3" s="1"/>
  <c r="AG248" i="3" s="1"/>
  <c r="AH248" i="3" s="1"/>
  <c r="Y248" i="3"/>
  <c r="X248" i="3"/>
  <c r="U248" i="3"/>
  <c r="BI247" i="3"/>
  <c r="BE247" i="3"/>
  <c r="BF247" i="3" s="1"/>
  <c r="BG247" i="3" s="1"/>
  <c r="AY247" i="3"/>
  <c r="AV247" i="3"/>
  <c r="AR247" i="3"/>
  <c r="AS247" i="3" s="1"/>
  <c r="BL247" i="3" s="1"/>
  <c r="F125" i="8" s="1"/>
  <c r="AM247" i="3"/>
  <c r="AN247" i="3" s="1"/>
  <c r="AO247" i="3" s="1"/>
  <c r="AE247" i="3"/>
  <c r="AF247" i="3" s="1"/>
  <c r="AG247" i="3" s="1"/>
  <c r="AH247" i="3" s="1"/>
  <c r="Y247" i="3"/>
  <c r="X247" i="3"/>
  <c r="U247" i="3"/>
  <c r="BI246" i="3"/>
  <c r="BE246" i="3"/>
  <c r="BF246" i="3" s="1"/>
  <c r="BG246" i="3" s="1"/>
  <c r="AY246" i="3"/>
  <c r="AV246" i="3"/>
  <c r="AR246" i="3"/>
  <c r="AS246" i="3" s="1"/>
  <c r="BL246" i="3" s="1"/>
  <c r="F18" i="8" s="1"/>
  <c r="AM246" i="3"/>
  <c r="AN246" i="3" s="1"/>
  <c r="AO246" i="3" s="1"/>
  <c r="AE246" i="3"/>
  <c r="AF246" i="3" s="1"/>
  <c r="AG246" i="3" s="1"/>
  <c r="AH246" i="3" s="1"/>
  <c r="Y246" i="3"/>
  <c r="X246" i="3"/>
  <c r="U246" i="3"/>
  <c r="BI245" i="3"/>
  <c r="BE245" i="3"/>
  <c r="BF245" i="3" s="1"/>
  <c r="BG245" i="3" s="1"/>
  <c r="AY245" i="3"/>
  <c r="AV245" i="3"/>
  <c r="AR245" i="3"/>
  <c r="AS245" i="3" s="1"/>
  <c r="BL245" i="3" s="1"/>
  <c r="F108" i="8" s="1"/>
  <c r="AM245" i="3"/>
  <c r="AN245" i="3" s="1"/>
  <c r="AO245" i="3" s="1"/>
  <c r="AE245" i="3"/>
  <c r="AF245" i="3" s="1"/>
  <c r="AG245" i="3" s="1"/>
  <c r="AH245" i="3" s="1"/>
  <c r="Y245" i="3"/>
  <c r="X245" i="3"/>
  <c r="U245" i="3"/>
  <c r="BI244" i="3"/>
  <c r="BE244" i="3"/>
  <c r="BF244" i="3" s="1"/>
  <c r="BG244" i="3" s="1"/>
  <c r="AY244" i="3"/>
  <c r="AV244" i="3"/>
  <c r="AR244" i="3"/>
  <c r="AS244" i="3" s="1"/>
  <c r="BL244" i="3" s="1"/>
  <c r="F14" i="8" s="1"/>
  <c r="AM244" i="3"/>
  <c r="AN244" i="3" s="1"/>
  <c r="AO244" i="3" s="1"/>
  <c r="AE244" i="3"/>
  <c r="AF244" i="3" s="1"/>
  <c r="AG244" i="3" s="1"/>
  <c r="AH244" i="3" s="1"/>
  <c r="Y244" i="3"/>
  <c r="X244" i="3"/>
  <c r="U244" i="3"/>
  <c r="BI243" i="3"/>
  <c r="BE243" i="3"/>
  <c r="BF243" i="3" s="1"/>
  <c r="BG243" i="3" s="1"/>
  <c r="AY243" i="3"/>
  <c r="AV243" i="3"/>
  <c r="AR243" i="3"/>
  <c r="AS243" i="3" s="1"/>
  <c r="BL243" i="3" s="1"/>
  <c r="F196" i="8" s="1"/>
  <c r="AM243" i="3"/>
  <c r="AN243" i="3" s="1"/>
  <c r="AO243" i="3" s="1"/>
  <c r="AE243" i="3"/>
  <c r="AF243" i="3" s="1"/>
  <c r="AG243" i="3" s="1"/>
  <c r="AH243" i="3" s="1"/>
  <c r="Y243" i="3"/>
  <c r="X243" i="3"/>
  <c r="U243" i="3"/>
  <c r="BI242" i="3"/>
  <c r="BE242" i="3"/>
  <c r="BF242" i="3" s="1"/>
  <c r="BG242" i="3" s="1"/>
  <c r="AY242" i="3"/>
  <c r="AV242" i="3"/>
  <c r="AR242" i="3"/>
  <c r="AS242" i="3" s="1"/>
  <c r="BL242" i="3" s="1"/>
  <c r="F285" i="8" s="1"/>
  <c r="AM242" i="3"/>
  <c r="AN242" i="3" s="1"/>
  <c r="AO242" i="3" s="1"/>
  <c r="AE242" i="3"/>
  <c r="AF242" i="3" s="1"/>
  <c r="AG242" i="3" s="1"/>
  <c r="AH242" i="3" s="1"/>
  <c r="Y242" i="3"/>
  <c r="X242" i="3"/>
  <c r="U242" i="3"/>
  <c r="BI241" i="3"/>
  <c r="BE241" i="3"/>
  <c r="BF241" i="3" s="1"/>
  <c r="BG241" i="3" s="1"/>
  <c r="AY241" i="3"/>
  <c r="AV241" i="3"/>
  <c r="AR241" i="3"/>
  <c r="AS241" i="3" s="1"/>
  <c r="BL241" i="3" s="1"/>
  <c r="F165" i="8" s="1"/>
  <c r="AM241" i="3"/>
  <c r="AN241" i="3" s="1"/>
  <c r="AO241" i="3" s="1"/>
  <c r="AE241" i="3"/>
  <c r="AF241" i="3" s="1"/>
  <c r="AG241" i="3" s="1"/>
  <c r="AH241" i="3" s="1"/>
  <c r="Y241" i="3"/>
  <c r="X241" i="3"/>
  <c r="U241" i="3"/>
  <c r="BI240" i="3"/>
  <c r="BE240" i="3"/>
  <c r="BF240" i="3" s="1"/>
  <c r="BG240" i="3" s="1"/>
  <c r="AY240" i="3"/>
  <c r="AV240" i="3"/>
  <c r="AR240" i="3"/>
  <c r="AS240" i="3" s="1"/>
  <c r="BL240" i="3" s="1"/>
  <c r="F187" i="8" s="1"/>
  <c r="AM240" i="3"/>
  <c r="AN240" i="3" s="1"/>
  <c r="AO240" i="3" s="1"/>
  <c r="AE240" i="3"/>
  <c r="AF240" i="3" s="1"/>
  <c r="AG240" i="3" s="1"/>
  <c r="AH240" i="3" s="1"/>
  <c r="Y240" i="3"/>
  <c r="X240" i="3"/>
  <c r="U240" i="3"/>
  <c r="BI239" i="3"/>
  <c r="BE239" i="3"/>
  <c r="BF239" i="3" s="1"/>
  <c r="BG239" i="3" s="1"/>
  <c r="AY239" i="3"/>
  <c r="AV239" i="3"/>
  <c r="AR239" i="3"/>
  <c r="AS239" i="3" s="1"/>
  <c r="BL239" i="3" s="1"/>
  <c r="F23" i="8" s="1"/>
  <c r="AM239" i="3"/>
  <c r="AN239" i="3" s="1"/>
  <c r="AO239" i="3" s="1"/>
  <c r="AE239" i="3"/>
  <c r="AF239" i="3" s="1"/>
  <c r="AG239" i="3" s="1"/>
  <c r="AH239" i="3" s="1"/>
  <c r="Y239" i="3"/>
  <c r="X239" i="3"/>
  <c r="U239" i="3"/>
  <c r="BI238" i="3"/>
  <c r="BE238" i="3"/>
  <c r="BF238" i="3" s="1"/>
  <c r="BG238" i="3" s="1"/>
  <c r="AY238" i="3"/>
  <c r="AV238" i="3"/>
  <c r="AR238" i="3"/>
  <c r="AS238" i="3" s="1"/>
  <c r="BL238" i="3" s="1"/>
  <c r="F159" i="8" s="1"/>
  <c r="AM238" i="3"/>
  <c r="AN238" i="3" s="1"/>
  <c r="AO238" i="3" s="1"/>
  <c r="AE238" i="3"/>
  <c r="AF238" i="3" s="1"/>
  <c r="AG238" i="3" s="1"/>
  <c r="AH238" i="3" s="1"/>
  <c r="Y238" i="3"/>
  <c r="X238" i="3"/>
  <c r="U238" i="3"/>
  <c r="BI237" i="3"/>
  <c r="BE237" i="3"/>
  <c r="BF237" i="3" s="1"/>
  <c r="BG237" i="3" s="1"/>
  <c r="AY237" i="3"/>
  <c r="AV237" i="3"/>
  <c r="AR237" i="3"/>
  <c r="AS237" i="3" s="1"/>
  <c r="BL237" i="3" s="1"/>
  <c r="F17" i="8" s="1"/>
  <c r="AM237" i="3"/>
  <c r="AN237" i="3" s="1"/>
  <c r="AO237" i="3" s="1"/>
  <c r="AE237" i="3"/>
  <c r="AF237" i="3" s="1"/>
  <c r="AG237" i="3" s="1"/>
  <c r="AH237" i="3" s="1"/>
  <c r="Y237" i="3"/>
  <c r="X237" i="3"/>
  <c r="U237" i="3"/>
  <c r="BI236" i="3"/>
  <c r="BE236" i="3"/>
  <c r="BF236" i="3" s="1"/>
  <c r="BG236" i="3" s="1"/>
  <c r="AY236" i="3"/>
  <c r="AV236" i="3"/>
  <c r="AR236" i="3"/>
  <c r="AS236" i="3" s="1"/>
  <c r="BL236" i="3" s="1"/>
  <c r="F171" i="8" s="1"/>
  <c r="AM236" i="3"/>
  <c r="AN236" i="3" s="1"/>
  <c r="AO236" i="3" s="1"/>
  <c r="AE236" i="3"/>
  <c r="AF236" i="3" s="1"/>
  <c r="AG236" i="3" s="1"/>
  <c r="AH236" i="3" s="1"/>
  <c r="Y236" i="3"/>
  <c r="X236" i="3"/>
  <c r="U236" i="3"/>
  <c r="BI235" i="3"/>
  <c r="BE235" i="3"/>
  <c r="BF235" i="3" s="1"/>
  <c r="BG235" i="3" s="1"/>
  <c r="AY235" i="3"/>
  <c r="AV235" i="3"/>
  <c r="AR235" i="3"/>
  <c r="AS235" i="3" s="1"/>
  <c r="BL235" i="3" s="1"/>
  <c r="F205" i="8" s="1"/>
  <c r="AM235" i="3"/>
  <c r="AN235" i="3" s="1"/>
  <c r="AO235" i="3" s="1"/>
  <c r="AE235" i="3"/>
  <c r="AF235" i="3" s="1"/>
  <c r="AG235" i="3" s="1"/>
  <c r="AH235" i="3" s="1"/>
  <c r="Y235" i="3"/>
  <c r="X235" i="3"/>
  <c r="U235" i="3"/>
  <c r="BI234" i="3"/>
  <c r="BE234" i="3"/>
  <c r="BF234" i="3" s="1"/>
  <c r="BG234" i="3" s="1"/>
  <c r="AY234" i="3"/>
  <c r="AV234" i="3"/>
  <c r="AR234" i="3"/>
  <c r="AS234" i="3" s="1"/>
  <c r="BL234" i="3" s="1"/>
  <c r="F70" i="8" s="1"/>
  <c r="AM234" i="3"/>
  <c r="AN234" i="3" s="1"/>
  <c r="AO234" i="3" s="1"/>
  <c r="AE234" i="3"/>
  <c r="AF234" i="3" s="1"/>
  <c r="AG234" i="3" s="1"/>
  <c r="AH234" i="3" s="1"/>
  <c r="Y234" i="3"/>
  <c r="X234" i="3"/>
  <c r="U234" i="3"/>
  <c r="BI233" i="3"/>
  <c r="BE233" i="3"/>
  <c r="BF233" i="3" s="1"/>
  <c r="BG233" i="3" s="1"/>
  <c r="AY233" i="3"/>
  <c r="AV233" i="3"/>
  <c r="AR233" i="3"/>
  <c r="AS233" i="3" s="1"/>
  <c r="BL233" i="3" s="1"/>
  <c r="F133" i="8" s="1"/>
  <c r="AM233" i="3"/>
  <c r="AN233" i="3" s="1"/>
  <c r="AO233" i="3" s="1"/>
  <c r="AE233" i="3"/>
  <c r="AF233" i="3" s="1"/>
  <c r="AG233" i="3" s="1"/>
  <c r="AH233" i="3" s="1"/>
  <c r="Y233" i="3"/>
  <c r="X233" i="3"/>
  <c r="U233" i="3"/>
  <c r="BI232" i="3"/>
  <c r="BE232" i="3"/>
  <c r="BF232" i="3" s="1"/>
  <c r="BG232" i="3" s="1"/>
  <c r="AY232" i="3"/>
  <c r="AV232" i="3"/>
  <c r="AR232" i="3"/>
  <c r="AS232" i="3" s="1"/>
  <c r="BL232" i="3" s="1"/>
  <c r="F130" i="8" s="1"/>
  <c r="AM232" i="3"/>
  <c r="AN232" i="3" s="1"/>
  <c r="AO232" i="3" s="1"/>
  <c r="AE232" i="3"/>
  <c r="AF232" i="3" s="1"/>
  <c r="AG232" i="3" s="1"/>
  <c r="AH232" i="3" s="1"/>
  <c r="Y232" i="3"/>
  <c r="X232" i="3"/>
  <c r="U232" i="3"/>
  <c r="BI231" i="3"/>
  <c r="BE231" i="3"/>
  <c r="BF231" i="3" s="1"/>
  <c r="BG231" i="3" s="1"/>
  <c r="AY231" i="3"/>
  <c r="AV231" i="3"/>
  <c r="AR231" i="3"/>
  <c r="AS231" i="3" s="1"/>
  <c r="BL231" i="3" s="1"/>
  <c r="F98" i="8" s="1"/>
  <c r="AM231" i="3"/>
  <c r="AN231" i="3" s="1"/>
  <c r="AO231" i="3" s="1"/>
  <c r="AE231" i="3"/>
  <c r="AF231" i="3" s="1"/>
  <c r="AG231" i="3" s="1"/>
  <c r="AH231" i="3" s="1"/>
  <c r="Y231" i="3"/>
  <c r="X231" i="3"/>
  <c r="U231" i="3"/>
  <c r="BI230" i="3"/>
  <c r="BE230" i="3"/>
  <c r="BF230" i="3" s="1"/>
  <c r="BG230" i="3" s="1"/>
  <c r="AY230" i="3"/>
  <c r="AV230" i="3"/>
  <c r="AR230" i="3"/>
  <c r="AS230" i="3" s="1"/>
  <c r="BL230" i="3" s="1"/>
  <c r="F25" i="8" s="1"/>
  <c r="AM230" i="3"/>
  <c r="AN230" i="3" s="1"/>
  <c r="AO230" i="3" s="1"/>
  <c r="AE230" i="3"/>
  <c r="AF230" i="3" s="1"/>
  <c r="AG230" i="3" s="1"/>
  <c r="AH230" i="3" s="1"/>
  <c r="Y230" i="3"/>
  <c r="X230" i="3"/>
  <c r="U230" i="3"/>
  <c r="BI229" i="3"/>
  <c r="BE229" i="3"/>
  <c r="BF229" i="3" s="1"/>
  <c r="BG229" i="3" s="1"/>
  <c r="AY229" i="3"/>
  <c r="AV229" i="3"/>
  <c r="AR229" i="3"/>
  <c r="AS229" i="3" s="1"/>
  <c r="BL229" i="3" s="1"/>
  <c r="F139" i="8" s="1"/>
  <c r="AM229" i="3"/>
  <c r="AN229" i="3" s="1"/>
  <c r="AO229" i="3" s="1"/>
  <c r="AE229" i="3"/>
  <c r="AF229" i="3" s="1"/>
  <c r="AG229" i="3" s="1"/>
  <c r="AH229" i="3" s="1"/>
  <c r="Y229" i="3"/>
  <c r="X229" i="3"/>
  <c r="U229" i="3"/>
  <c r="BI228" i="3"/>
  <c r="BE228" i="3"/>
  <c r="BF228" i="3" s="1"/>
  <c r="BG228" i="3" s="1"/>
  <c r="AY228" i="3"/>
  <c r="AV228" i="3"/>
  <c r="AR228" i="3"/>
  <c r="AS228" i="3" s="1"/>
  <c r="BL228" i="3" s="1"/>
  <c r="F238" i="8" s="1"/>
  <c r="AM228" i="3"/>
  <c r="AN228" i="3" s="1"/>
  <c r="AO228" i="3" s="1"/>
  <c r="AE228" i="3"/>
  <c r="AF228" i="3" s="1"/>
  <c r="AG228" i="3" s="1"/>
  <c r="AH228" i="3" s="1"/>
  <c r="Y228" i="3"/>
  <c r="X228" i="3"/>
  <c r="U228" i="3"/>
  <c r="BI227" i="3"/>
  <c r="BE227" i="3"/>
  <c r="BF227" i="3" s="1"/>
  <c r="BG227" i="3" s="1"/>
  <c r="AY227" i="3"/>
  <c r="AV227" i="3"/>
  <c r="AR227" i="3"/>
  <c r="AS227" i="3" s="1"/>
  <c r="BL227" i="3" s="1"/>
  <c r="F46" i="8" s="1"/>
  <c r="AM227" i="3"/>
  <c r="AN227" i="3" s="1"/>
  <c r="AO227" i="3" s="1"/>
  <c r="AE227" i="3"/>
  <c r="AF227" i="3" s="1"/>
  <c r="AG227" i="3" s="1"/>
  <c r="AH227" i="3" s="1"/>
  <c r="Y227" i="3"/>
  <c r="X227" i="3"/>
  <c r="U227" i="3"/>
  <c r="BI226" i="3"/>
  <c r="BE226" i="3"/>
  <c r="BF226" i="3" s="1"/>
  <c r="BG226" i="3" s="1"/>
  <c r="AY226" i="3"/>
  <c r="AV226" i="3"/>
  <c r="AR226" i="3"/>
  <c r="AS226" i="3" s="1"/>
  <c r="BL226" i="3" s="1"/>
  <c r="F39" i="8" s="1"/>
  <c r="AM226" i="3"/>
  <c r="AN226" i="3" s="1"/>
  <c r="AO226" i="3" s="1"/>
  <c r="AE226" i="3"/>
  <c r="AF226" i="3" s="1"/>
  <c r="AG226" i="3" s="1"/>
  <c r="AH226" i="3" s="1"/>
  <c r="Y226" i="3"/>
  <c r="X226" i="3"/>
  <c r="U226" i="3"/>
  <c r="BI225" i="3"/>
  <c r="BE225" i="3"/>
  <c r="BF225" i="3" s="1"/>
  <c r="BG225" i="3" s="1"/>
  <c r="AY225" i="3"/>
  <c r="AV225" i="3"/>
  <c r="AR225" i="3"/>
  <c r="AS225" i="3" s="1"/>
  <c r="BL225" i="3" s="1"/>
  <c r="F67" i="8" s="1"/>
  <c r="AM225" i="3"/>
  <c r="AN225" i="3" s="1"/>
  <c r="AO225" i="3" s="1"/>
  <c r="AE225" i="3"/>
  <c r="AF225" i="3" s="1"/>
  <c r="AG225" i="3" s="1"/>
  <c r="AH225" i="3" s="1"/>
  <c r="Y225" i="3"/>
  <c r="X225" i="3"/>
  <c r="U225" i="3"/>
  <c r="BI224" i="3"/>
  <c r="BE224" i="3"/>
  <c r="BF224" i="3" s="1"/>
  <c r="BG224" i="3" s="1"/>
  <c r="AY224" i="3"/>
  <c r="AV224" i="3"/>
  <c r="AR224" i="3"/>
  <c r="AS224" i="3" s="1"/>
  <c r="BL224" i="3" s="1"/>
  <c r="F220" i="8" s="1"/>
  <c r="AM224" i="3"/>
  <c r="AN224" i="3" s="1"/>
  <c r="AO224" i="3" s="1"/>
  <c r="AE224" i="3"/>
  <c r="AF224" i="3" s="1"/>
  <c r="AG224" i="3" s="1"/>
  <c r="AH224" i="3" s="1"/>
  <c r="Y224" i="3"/>
  <c r="X224" i="3"/>
  <c r="U224" i="3"/>
  <c r="BI223" i="3"/>
  <c r="BE223" i="3"/>
  <c r="BF223" i="3" s="1"/>
  <c r="BG223" i="3" s="1"/>
  <c r="AY223" i="3"/>
  <c r="AV223" i="3"/>
  <c r="AR223" i="3"/>
  <c r="AS223" i="3" s="1"/>
  <c r="BL223" i="3" s="1"/>
  <c r="F271" i="8" s="1"/>
  <c r="AM223" i="3"/>
  <c r="AN223" i="3" s="1"/>
  <c r="AO223" i="3" s="1"/>
  <c r="AE223" i="3"/>
  <c r="AF223" i="3" s="1"/>
  <c r="AG223" i="3" s="1"/>
  <c r="AH223" i="3" s="1"/>
  <c r="Y223" i="3"/>
  <c r="X223" i="3"/>
  <c r="U223" i="3"/>
  <c r="BI222" i="3"/>
  <c r="BE222" i="3"/>
  <c r="BF222" i="3" s="1"/>
  <c r="BG222" i="3" s="1"/>
  <c r="AY222" i="3"/>
  <c r="AV222" i="3"/>
  <c r="AR222" i="3"/>
  <c r="AS222" i="3" s="1"/>
  <c r="BL222" i="3" s="1"/>
  <c r="F244" i="8" s="1"/>
  <c r="AM222" i="3"/>
  <c r="AN222" i="3" s="1"/>
  <c r="AO222" i="3" s="1"/>
  <c r="AE222" i="3"/>
  <c r="AF222" i="3" s="1"/>
  <c r="AG222" i="3" s="1"/>
  <c r="AH222" i="3" s="1"/>
  <c r="Y222" i="3"/>
  <c r="X222" i="3"/>
  <c r="U222" i="3"/>
  <c r="BI221" i="3"/>
  <c r="BE221" i="3"/>
  <c r="BF221" i="3" s="1"/>
  <c r="BG221" i="3" s="1"/>
  <c r="AY221" i="3"/>
  <c r="AV221" i="3"/>
  <c r="AR221" i="3"/>
  <c r="AS221" i="3" s="1"/>
  <c r="BL221" i="3" s="1"/>
  <c r="F109" i="8" s="1"/>
  <c r="AM221" i="3"/>
  <c r="AN221" i="3" s="1"/>
  <c r="AO221" i="3" s="1"/>
  <c r="AE221" i="3"/>
  <c r="AF221" i="3" s="1"/>
  <c r="AG221" i="3" s="1"/>
  <c r="AH221" i="3" s="1"/>
  <c r="Y221" i="3"/>
  <c r="X221" i="3"/>
  <c r="U221" i="3"/>
  <c r="BI220" i="3"/>
  <c r="BE220" i="3"/>
  <c r="BF220" i="3" s="1"/>
  <c r="BG220" i="3" s="1"/>
  <c r="AY220" i="3"/>
  <c r="AV220" i="3"/>
  <c r="AR220" i="3"/>
  <c r="AS220" i="3" s="1"/>
  <c r="BL220" i="3" s="1"/>
  <c r="F33" i="8" s="1"/>
  <c r="AM220" i="3"/>
  <c r="AN220" i="3" s="1"/>
  <c r="AO220" i="3" s="1"/>
  <c r="AE220" i="3"/>
  <c r="AF220" i="3" s="1"/>
  <c r="AG220" i="3" s="1"/>
  <c r="AH220" i="3" s="1"/>
  <c r="Y220" i="3"/>
  <c r="X220" i="3"/>
  <c r="U220" i="3"/>
  <c r="BI219" i="3"/>
  <c r="BE219" i="3"/>
  <c r="BF219" i="3" s="1"/>
  <c r="BG219" i="3" s="1"/>
  <c r="AY219" i="3"/>
  <c r="AV219" i="3"/>
  <c r="AR219" i="3"/>
  <c r="AS219" i="3" s="1"/>
  <c r="BL219" i="3" s="1"/>
  <c r="F168" i="8" s="1"/>
  <c r="AM219" i="3"/>
  <c r="AN219" i="3" s="1"/>
  <c r="AO219" i="3" s="1"/>
  <c r="AE219" i="3"/>
  <c r="AF219" i="3" s="1"/>
  <c r="AG219" i="3" s="1"/>
  <c r="AH219" i="3" s="1"/>
  <c r="Y219" i="3"/>
  <c r="X219" i="3"/>
  <c r="U219" i="3"/>
  <c r="BI218" i="3"/>
  <c r="BE218" i="3"/>
  <c r="BF218" i="3" s="1"/>
  <c r="BG218" i="3" s="1"/>
  <c r="AY218" i="3"/>
  <c r="AV218" i="3"/>
  <c r="AR218" i="3"/>
  <c r="AS218" i="3" s="1"/>
  <c r="BL218" i="3" s="1"/>
  <c r="F211" i="8" s="1"/>
  <c r="AM218" i="3"/>
  <c r="AN218" i="3" s="1"/>
  <c r="AO218" i="3" s="1"/>
  <c r="AE218" i="3"/>
  <c r="AF218" i="3" s="1"/>
  <c r="AG218" i="3" s="1"/>
  <c r="AH218" i="3" s="1"/>
  <c r="Y218" i="3"/>
  <c r="X218" i="3"/>
  <c r="U218" i="3"/>
  <c r="BI217" i="3"/>
  <c r="BE217" i="3"/>
  <c r="BF217" i="3" s="1"/>
  <c r="BG217" i="3" s="1"/>
  <c r="AY217" i="3"/>
  <c r="AV217" i="3"/>
  <c r="AR217" i="3"/>
  <c r="AS217" i="3" s="1"/>
  <c r="BL217" i="3" s="1"/>
  <c r="F66" i="8" s="1"/>
  <c r="AM217" i="3"/>
  <c r="AN217" i="3" s="1"/>
  <c r="AO217" i="3" s="1"/>
  <c r="AE217" i="3"/>
  <c r="AF217" i="3" s="1"/>
  <c r="AG217" i="3" s="1"/>
  <c r="AH217" i="3" s="1"/>
  <c r="Y217" i="3"/>
  <c r="X217" i="3"/>
  <c r="U217" i="3"/>
  <c r="BI216" i="3"/>
  <c r="BE216" i="3"/>
  <c r="BF216" i="3" s="1"/>
  <c r="BG216" i="3" s="1"/>
  <c r="AY216" i="3"/>
  <c r="AV216" i="3"/>
  <c r="AR216" i="3"/>
  <c r="AS216" i="3" s="1"/>
  <c r="BL216" i="3" s="1"/>
  <c r="F249" i="8" s="1"/>
  <c r="AM216" i="3"/>
  <c r="AN216" i="3" s="1"/>
  <c r="AO216" i="3" s="1"/>
  <c r="AE216" i="3"/>
  <c r="AF216" i="3" s="1"/>
  <c r="AG216" i="3" s="1"/>
  <c r="AH216" i="3" s="1"/>
  <c r="Y216" i="3"/>
  <c r="X216" i="3"/>
  <c r="U216" i="3"/>
  <c r="BI215" i="3"/>
  <c r="BE215" i="3"/>
  <c r="BF215" i="3" s="1"/>
  <c r="BG215" i="3" s="1"/>
  <c r="AY215" i="3"/>
  <c r="AV215" i="3"/>
  <c r="AR215" i="3"/>
  <c r="AS215" i="3" s="1"/>
  <c r="BL215" i="3" s="1"/>
  <c r="F143" i="8" s="1"/>
  <c r="AM215" i="3"/>
  <c r="AN215" i="3" s="1"/>
  <c r="AO215" i="3" s="1"/>
  <c r="AE215" i="3"/>
  <c r="AF215" i="3" s="1"/>
  <c r="AG215" i="3" s="1"/>
  <c r="AH215" i="3" s="1"/>
  <c r="Y215" i="3"/>
  <c r="X215" i="3"/>
  <c r="U215" i="3"/>
  <c r="BI214" i="3"/>
  <c r="BE214" i="3"/>
  <c r="BF214" i="3" s="1"/>
  <c r="BG214" i="3" s="1"/>
  <c r="AY214" i="3"/>
  <c r="AV214" i="3"/>
  <c r="AR214" i="3"/>
  <c r="AS214" i="3" s="1"/>
  <c r="BL214" i="3" s="1"/>
  <c r="F172" i="8" s="1"/>
  <c r="AM214" i="3"/>
  <c r="AN214" i="3" s="1"/>
  <c r="AO214" i="3" s="1"/>
  <c r="AE214" i="3"/>
  <c r="AF214" i="3" s="1"/>
  <c r="AG214" i="3" s="1"/>
  <c r="AH214" i="3" s="1"/>
  <c r="Y214" i="3"/>
  <c r="X214" i="3"/>
  <c r="U214" i="3"/>
  <c r="BI213" i="3"/>
  <c r="BE213" i="3"/>
  <c r="BF213" i="3" s="1"/>
  <c r="BG213" i="3" s="1"/>
  <c r="AY213" i="3"/>
  <c r="AV213" i="3"/>
  <c r="AR213" i="3"/>
  <c r="AS213" i="3" s="1"/>
  <c r="BL213" i="3" s="1"/>
  <c r="F284" i="8" s="1"/>
  <c r="AM213" i="3"/>
  <c r="AN213" i="3" s="1"/>
  <c r="AO213" i="3" s="1"/>
  <c r="AE213" i="3"/>
  <c r="AF213" i="3" s="1"/>
  <c r="AG213" i="3" s="1"/>
  <c r="AH213" i="3" s="1"/>
  <c r="Y213" i="3"/>
  <c r="X213" i="3"/>
  <c r="U213" i="3"/>
  <c r="BI212" i="3"/>
  <c r="BE212" i="3"/>
  <c r="BF212" i="3" s="1"/>
  <c r="BG212" i="3" s="1"/>
  <c r="AY212" i="3"/>
  <c r="AV212" i="3"/>
  <c r="AR212" i="3"/>
  <c r="AS212" i="3" s="1"/>
  <c r="BL212" i="3" s="1"/>
  <c r="F320" i="8" s="1"/>
  <c r="AM212" i="3"/>
  <c r="AN212" i="3" s="1"/>
  <c r="AO212" i="3" s="1"/>
  <c r="AE212" i="3"/>
  <c r="AF212" i="3" s="1"/>
  <c r="AG212" i="3" s="1"/>
  <c r="AH212" i="3" s="1"/>
  <c r="Y212" i="3"/>
  <c r="X212" i="3"/>
  <c r="U212" i="3"/>
  <c r="BI211" i="3"/>
  <c r="BE211" i="3"/>
  <c r="BF211" i="3" s="1"/>
  <c r="BG211" i="3" s="1"/>
  <c r="AY211" i="3"/>
  <c r="AV211" i="3"/>
  <c r="AR211" i="3"/>
  <c r="AS211" i="3" s="1"/>
  <c r="BL211" i="3" s="1"/>
  <c r="F145" i="8" s="1"/>
  <c r="AM211" i="3"/>
  <c r="AN211" i="3" s="1"/>
  <c r="AO211" i="3" s="1"/>
  <c r="AE211" i="3"/>
  <c r="AF211" i="3" s="1"/>
  <c r="AG211" i="3" s="1"/>
  <c r="AH211" i="3" s="1"/>
  <c r="Y211" i="3"/>
  <c r="X211" i="3"/>
  <c r="U211" i="3"/>
  <c r="BI210" i="3"/>
  <c r="BE210" i="3"/>
  <c r="BF210" i="3" s="1"/>
  <c r="BG210" i="3" s="1"/>
  <c r="AY210" i="3"/>
  <c r="AV210" i="3"/>
  <c r="AR210" i="3"/>
  <c r="AS210" i="3" s="1"/>
  <c r="BL210" i="3" s="1"/>
  <c r="F149" i="8" s="1"/>
  <c r="AM210" i="3"/>
  <c r="AN210" i="3" s="1"/>
  <c r="AO210" i="3" s="1"/>
  <c r="AE210" i="3"/>
  <c r="AF210" i="3" s="1"/>
  <c r="AG210" i="3" s="1"/>
  <c r="AH210" i="3" s="1"/>
  <c r="Y210" i="3"/>
  <c r="X210" i="3"/>
  <c r="U210" i="3"/>
  <c r="BI209" i="3"/>
  <c r="BE209" i="3"/>
  <c r="BF209" i="3" s="1"/>
  <c r="BG209" i="3" s="1"/>
  <c r="AY209" i="3"/>
  <c r="AV209" i="3"/>
  <c r="AR209" i="3"/>
  <c r="AS209" i="3" s="1"/>
  <c r="BL209" i="3" s="1"/>
  <c r="F3" i="8" s="1"/>
  <c r="AM209" i="3"/>
  <c r="AN209" i="3" s="1"/>
  <c r="AO209" i="3" s="1"/>
  <c r="AE209" i="3"/>
  <c r="AF209" i="3" s="1"/>
  <c r="AG209" i="3" s="1"/>
  <c r="AH209" i="3" s="1"/>
  <c r="Y209" i="3"/>
  <c r="X209" i="3"/>
  <c r="U209" i="3"/>
  <c r="BI208" i="3"/>
  <c r="BE208" i="3"/>
  <c r="BF208" i="3" s="1"/>
  <c r="BG208" i="3" s="1"/>
  <c r="AY208" i="3"/>
  <c r="AV208" i="3"/>
  <c r="AR208" i="3"/>
  <c r="AS208" i="3" s="1"/>
  <c r="BL208" i="3" s="1"/>
  <c r="F94" i="8" s="1"/>
  <c r="AM208" i="3"/>
  <c r="AN208" i="3" s="1"/>
  <c r="AO208" i="3" s="1"/>
  <c r="AE208" i="3"/>
  <c r="AF208" i="3" s="1"/>
  <c r="AG208" i="3" s="1"/>
  <c r="AH208" i="3" s="1"/>
  <c r="Y208" i="3"/>
  <c r="X208" i="3"/>
  <c r="U208" i="3"/>
  <c r="BI207" i="3"/>
  <c r="BE207" i="3"/>
  <c r="BF207" i="3" s="1"/>
  <c r="BG207" i="3" s="1"/>
  <c r="AY207" i="3"/>
  <c r="AV207" i="3"/>
  <c r="AR207" i="3"/>
  <c r="AS207" i="3" s="1"/>
  <c r="BL207" i="3" s="1"/>
  <c r="F312" i="8" s="1"/>
  <c r="AM207" i="3"/>
  <c r="AN207" i="3" s="1"/>
  <c r="AO207" i="3" s="1"/>
  <c r="AE207" i="3"/>
  <c r="AF207" i="3" s="1"/>
  <c r="AG207" i="3" s="1"/>
  <c r="AH207" i="3" s="1"/>
  <c r="Y207" i="3"/>
  <c r="X207" i="3"/>
  <c r="U207" i="3"/>
  <c r="BI206" i="3"/>
  <c r="BE206" i="3"/>
  <c r="BF206" i="3" s="1"/>
  <c r="BG206" i="3" s="1"/>
  <c r="AY206" i="3"/>
  <c r="AV206" i="3"/>
  <c r="AR206" i="3"/>
  <c r="AS206" i="3" s="1"/>
  <c r="BL206" i="3" s="1"/>
  <c r="F101" i="8" s="1"/>
  <c r="AM206" i="3"/>
  <c r="AN206" i="3" s="1"/>
  <c r="AO206" i="3" s="1"/>
  <c r="AE206" i="3"/>
  <c r="AF206" i="3" s="1"/>
  <c r="AG206" i="3" s="1"/>
  <c r="AH206" i="3" s="1"/>
  <c r="Y206" i="3"/>
  <c r="X206" i="3"/>
  <c r="U206" i="3"/>
  <c r="BI205" i="3"/>
  <c r="BE205" i="3"/>
  <c r="BF205" i="3" s="1"/>
  <c r="BG205" i="3" s="1"/>
  <c r="AY205" i="3"/>
  <c r="AV205" i="3"/>
  <c r="AR205" i="3"/>
  <c r="AS205" i="3" s="1"/>
  <c r="BL205" i="3" s="1"/>
  <c r="F121" i="8" s="1"/>
  <c r="AM205" i="3"/>
  <c r="AN205" i="3" s="1"/>
  <c r="AO205" i="3" s="1"/>
  <c r="AE205" i="3"/>
  <c r="AF205" i="3" s="1"/>
  <c r="AG205" i="3" s="1"/>
  <c r="AH205" i="3" s="1"/>
  <c r="Y205" i="3"/>
  <c r="X205" i="3"/>
  <c r="U205" i="3"/>
  <c r="BI204" i="3"/>
  <c r="BE204" i="3"/>
  <c r="BF204" i="3" s="1"/>
  <c r="BG204" i="3" s="1"/>
  <c r="AY204" i="3"/>
  <c r="AV204" i="3"/>
  <c r="AR204" i="3"/>
  <c r="AS204" i="3" s="1"/>
  <c r="BL204" i="3" s="1"/>
  <c r="F134" i="8" s="1"/>
  <c r="AM204" i="3"/>
  <c r="AN204" i="3" s="1"/>
  <c r="AO204" i="3" s="1"/>
  <c r="AE204" i="3"/>
  <c r="AF204" i="3" s="1"/>
  <c r="AG204" i="3" s="1"/>
  <c r="AH204" i="3" s="1"/>
  <c r="Y204" i="3"/>
  <c r="X204" i="3"/>
  <c r="U204" i="3"/>
  <c r="BI203" i="3"/>
  <c r="BE203" i="3"/>
  <c r="BF203" i="3" s="1"/>
  <c r="BG203" i="3" s="1"/>
  <c r="AY203" i="3"/>
  <c r="AV203" i="3"/>
  <c r="AR203" i="3"/>
  <c r="AS203" i="3" s="1"/>
  <c r="BL203" i="3" s="1"/>
  <c r="F5" i="8" s="1"/>
  <c r="AM203" i="3"/>
  <c r="AN203" i="3" s="1"/>
  <c r="AO203" i="3" s="1"/>
  <c r="AE203" i="3"/>
  <c r="AF203" i="3" s="1"/>
  <c r="AG203" i="3" s="1"/>
  <c r="AH203" i="3" s="1"/>
  <c r="Y203" i="3"/>
  <c r="X203" i="3"/>
  <c r="U203" i="3"/>
  <c r="BI202" i="3"/>
  <c r="BE202" i="3"/>
  <c r="BF202" i="3" s="1"/>
  <c r="BG202" i="3" s="1"/>
  <c r="AY202" i="3"/>
  <c r="AV202" i="3"/>
  <c r="AR202" i="3"/>
  <c r="AS202" i="3" s="1"/>
  <c r="BL202" i="3" s="1"/>
  <c r="F57" i="8" s="1"/>
  <c r="AM202" i="3"/>
  <c r="AN202" i="3" s="1"/>
  <c r="AO202" i="3" s="1"/>
  <c r="AE202" i="3"/>
  <c r="AF202" i="3" s="1"/>
  <c r="AG202" i="3" s="1"/>
  <c r="AH202" i="3" s="1"/>
  <c r="Y202" i="3"/>
  <c r="X202" i="3"/>
  <c r="U202" i="3"/>
  <c r="BI201" i="3"/>
  <c r="BE201" i="3"/>
  <c r="BF201" i="3" s="1"/>
  <c r="BG201" i="3" s="1"/>
  <c r="AY201" i="3"/>
  <c r="AV201" i="3"/>
  <c r="AR201" i="3"/>
  <c r="AS201" i="3" s="1"/>
  <c r="BL201" i="3" s="1"/>
  <c r="F62" i="8" s="1"/>
  <c r="AM201" i="3"/>
  <c r="AN201" i="3" s="1"/>
  <c r="AO201" i="3" s="1"/>
  <c r="AE201" i="3"/>
  <c r="AF201" i="3" s="1"/>
  <c r="AG201" i="3" s="1"/>
  <c r="AH201" i="3" s="1"/>
  <c r="Y201" i="3"/>
  <c r="X201" i="3"/>
  <c r="U201" i="3"/>
  <c r="BI200" i="3"/>
  <c r="BE200" i="3"/>
  <c r="BF200" i="3" s="1"/>
  <c r="BG200" i="3" s="1"/>
  <c r="AY200" i="3"/>
  <c r="AV200" i="3"/>
  <c r="AR200" i="3"/>
  <c r="AS200" i="3" s="1"/>
  <c r="BL200" i="3" s="1"/>
  <c r="F103" i="8" s="1"/>
  <c r="AM200" i="3"/>
  <c r="AN200" i="3" s="1"/>
  <c r="AO200" i="3" s="1"/>
  <c r="AE200" i="3"/>
  <c r="AF200" i="3" s="1"/>
  <c r="AG200" i="3" s="1"/>
  <c r="AH200" i="3" s="1"/>
  <c r="Y200" i="3"/>
  <c r="X200" i="3"/>
  <c r="U200" i="3"/>
  <c r="BI199" i="3"/>
  <c r="BE199" i="3"/>
  <c r="BF199" i="3" s="1"/>
  <c r="BG199" i="3" s="1"/>
  <c r="AY199" i="3"/>
  <c r="AV199" i="3"/>
  <c r="AR199" i="3"/>
  <c r="AS199" i="3" s="1"/>
  <c r="BL199" i="3" s="1"/>
  <c r="F214" i="8" s="1"/>
  <c r="AM199" i="3"/>
  <c r="AN199" i="3" s="1"/>
  <c r="AO199" i="3" s="1"/>
  <c r="AE199" i="3"/>
  <c r="AF199" i="3" s="1"/>
  <c r="AG199" i="3" s="1"/>
  <c r="AH199" i="3" s="1"/>
  <c r="Y199" i="3"/>
  <c r="X199" i="3"/>
  <c r="U199" i="3"/>
  <c r="BI198" i="3"/>
  <c r="BE198" i="3"/>
  <c r="BF198" i="3" s="1"/>
  <c r="BG198" i="3" s="1"/>
  <c r="AY198" i="3"/>
  <c r="AV198" i="3"/>
  <c r="AR198" i="3"/>
  <c r="AS198" i="3" s="1"/>
  <c r="BL198" i="3" s="1"/>
  <c r="F112" i="8" s="1"/>
  <c r="AM198" i="3"/>
  <c r="AN198" i="3" s="1"/>
  <c r="AO198" i="3" s="1"/>
  <c r="AE198" i="3"/>
  <c r="AF198" i="3" s="1"/>
  <c r="AG198" i="3" s="1"/>
  <c r="AH198" i="3" s="1"/>
  <c r="Y198" i="3"/>
  <c r="X198" i="3"/>
  <c r="U198" i="3"/>
  <c r="BI197" i="3"/>
  <c r="BE197" i="3"/>
  <c r="BF197" i="3" s="1"/>
  <c r="BG197" i="3" s="1"/>
  <c r="AY197" i="3"/>
  <c r="AV197" i="3"/>
  <c r="AR197" i="3"/>
  <c r="AS197" i="3" s="1"/>
  <c r="BL197" i="3" s="1"/>
  <c r="F45" i="8" s="1"/>
  <c r="AM197" i="3"/>
  <c r="AN197" i="3" s="1"/>
  <c r="AO197" i="3" s="1"/>
  <c r="AE197" i="3"/>
  <c r="AF197" i="3" s="1"/>
  <c r="AG197" i="3" s="1"/>
  <c r="AH197" i="3" s="1"/>
  <c r="Y197" i="3"/>
  <c r="X197" i="3"/>
  <c r="U197" i="3"/>
  <c r="BI196" i="3"/>
  <c r="BE196" i="3"/>
  <c r="BF196" i="3" s="1"/>
  <c r="BG196" i="3" s="1"/>
  <c r="AY196" i="3"/>
  <c r="AV196" i="3"/>
  <c r="AR196" i="3"/>
  <c r="AS196" i="3" s="1"/>
  <c r="BL196" i="3" s="1"/>
  <c r="F162" i="8" s="1"/>
  <c r="AM196" i="3"/>
  <c r="AN196" i="3" s="1"/>
  <c r="AO196" i="3" s="1"/>
  <c r="AE196" i="3"/>
  <c r="AF196" i="3" s="1"/>
  <c r="AG196" i="3" s="1"/>
  <c r="AH196" i="3" s="1"/>
  <c r="Y196" i="3"/>
  <c r="X196" i="3"/>
  <c r="U196" i="3"/>
  <c r="BI195" i="3"/>
  <c r="BE195" i="3"/>
  <c r="BF195" i="3" s="1"/>
  <c r="BG195" i="3" s="1"/>
  <c r="AY195" i="3"/>
  <c r="AV195" i="3"/>
  <c r="AR195" i="3"/>
  <c r="AS195" i="3" s="1"/>
  <c r="BL195" i="3" s="1"/>
  <c r="F247" i="8" s="1"/>
  <c r="AM195" i="3"/>
  <c r="AN195" i="3" s="1"/>
  <c r="AO195" i="3" s="1"/>
  <c r="AE195" i="3"/>
  <c r="AF195" i="3" s="1"/>
  <c r="AG195" i="3" s="1"/>
  <c r="AH195" i="3" s="1"/>
  <c r="Y195" i="3"/>
  <c r="X195" i="3"/>
  <c r="U195" i="3"/>
  <c r="BI194" i="3"/>
  <c r="BE194" i="3"/>
  <c r="BF194" i="3" s="1"/>
  <c r="BG194" i="3" s="1"/>
  <c r="AY194" i="3"/>
  <c r="AV194" i="3"/>
  <c r="AR194" i="3"/>
  <c r="AS194" i="3" s="1"/>
  <c r="BL194" i="3" s="1"/>
  <c r="F290" i="8" s="1"/>
  <c r="AM194" i="3"/>
  <c r="AN194" i="3" s="1"/>
  <c r="AO194" i="3" s="1"/>
  <c r="AE194" i="3"/>
  <c r="AF194" i="3" s="1"/>
  <c r="AG194" i="3" s="1"/>
  <c r="AH194" i="3" s="1"/>
  <c r="Y194" i="3"/>
  <c r="X194" i="3"/>
  <c r="U194" i="3"/>
  <c r="BI193" i="3"/>
  <c r="BE193" i="3"/>
  <c r="BF193" i="3" s="1"/>
  <c r="BG193" i="3" s="1"/>
  <c r="AY193" i="3"/>
  <c r="AV193" i="3"/>
  <c r="AR193" i="3"/>
  <c r="AS193" i="3" s="1"/>
  <c r="BL193" i="3" s="1"/>
  <c r="F253" i="8" s="1"/>
  <c r="AM193" i="3"/>
  <c r="AN193" i="3" s="1"/>
  <c r="AO193" i="3" s="1"/>
  <c r="AE193" i="3"/>
  <c r="AF193" i="3" s="1"/>
  <c r="AG193" i="3" s="1"/>
  <c r="AH193" i="3" s="1"/>
  <c r="Y193" i="3"/>
  <c r="X193" i="3"/>
  <c r="U193" i="3"/>
  <c r="BI192" i="3"/>
  <c r="BE192" i="3"/>
  <c r="BF192" i="3" s="1"/>
  <c r="BG192" i="3" s="1"/>
  <c r="AY192" i="3"/>
  <c r="AV192" i="3"/>
  <c r="AR192" i="3"/>
  <c r="AS192" i="3" s="1"/>
  <c r="BL192" i="3" s="1"/>
  <c r="F209" i="8" s="1"/>
  <c r="AM192" i="3"/>
  <c r="AN192" i="3" s="1"/>
  <c r="AO192" i="3" s="1"/>
  <c r="AE192" i="3"/>
  <c r="AF192" i="3" s="1"/>
  <c r="AG192" i="3" s="1"/>
  <c r="AH192" i="3" s="1"/>
  <c r="Y192" i="3"/>
  <c r="X192" i="3"/>
  <c r="U192" i="3"/>
  <c r="BI191" i="3"/>
  <c r="BE191" i="3"/>
  <c r="BF191" i="3" s="1"/>
  <c r="BG191" i="3" s="1"/>
  <c r="AY191" i="3"/>
  <c r="AV191" i="3"/>
  <c r="AR191" i="3"/>
  <c r="AS191" i="3" s="1"/>
  <c r="BL191" i="3" s="1"/>
  <c r="F131" i="8" s="1"/>
  <c r="AM191" i="3"/>
  <c r="AN191" i="3" s="1"/>
  <c r="AO191" i="3" s="1"/>
  <c r="AE191" i="3"/>
  <c r="AF191" i="3" s="1"/>
  <c r="AG191" i="3" s="1"/>
  <c r="AH191" i="3" s="1"/>
  <c r="Y191" i="3"/>
  <c r="X191" i="3"/>
  <c r="U191" i="3"/>
  <c r="BI190" i="3"/>
  <c r="BE190" i="3"/>
  <c r="BF190" i="3" s="1"/>
  <c r="BG190" i="3" s="1"/>
  <c r="AY190" i="3"/>
  <c r="AV190" i="3"/>
  <c r="AR190" i="3"/>
  <c r="AS190" i="3" s="1"/>
  <c r="BL190" i="3" s="1"/>
  <c r="F148" i="8" s="1"/>
  <c r="AM190" i="3"/>
  <c r="AN190" i="3" s="1"/>
  <c r="AO190" i="3" s="1"/>
  <c r="AE190" i="3"/>
  <c r="AF190" i="3" s="1"/>
  <c r="AG190" i="3" s="1"/>
  <c r="AH190" i="3" s="1"/>
  <c r="Y190" i="3"/>
  <c r="X190" i="3"/>
  <c r="U190" i="3"/>
  <c r="BI189" i="3"/>
  <c r="BE189" i="3"/>
  <c r="BF189" i="3" s="1"/>
  <c r="BG189" i="3" s="1"/>
  <c r="AY189" i="3"/>
  <c r="AV189" i="3"/>
  <c r="AR189" i="3"/>
  <c r="AS189" i="3" s="1"/>
  <c r="BL189" i="3" s="1"/>
  <c r="F43" i="8" s="1"/>
  <c r="AM189" i="3"/>
  <c r="AN189" i="3" s="1"/>
  <c r="AO189" i="3" s="1"/>
  <c r="AE189" i="3"/>
  <c r="AF189" i="3" s="1"/>
  <c r="AG189" i="3" s="1"/>
  <c r="AH189" i="3" s="1"/>
  <c r="Y189" i="3"/>
  <c r="X189" i="3"/>
  <c r="U189" i="3"/>
  <c r="BI188" i="3"/>
  <c r="BE188" i="3"/>
  <c r="BF188" i="3" s="1"/>
  <c r="BG188" i="3" s="1"/>
  <c r="AY188" i="3"/>
  <c r="AV188" i="3"/>
  <c r="AR188" i="3"/>
  <c r="AS188" i="3" s="1"/>
  <c r="BL188" i="3" s="1"/>
  <c r="F223" i="8" s="1"/>
  <c r="AM188" i="3"/>
  <c r="AN188" i="3" s="1"/>
  <c r="AO188" i="3" s="1"/>
  <c r="AE188" i="3"/>
  <c r="AF188" i="3" s="1"/>
  <c r="AG188" i="3" s="1"/>
  <c r="AH188" i="3" s="1"/>
  <c r="Y188" i="3"/>
  <c r="X188" i="3"/>
  <c r="U188" i="3"/>
  <c r="BI187" i="3"/>
  <c r="BE187" i="3"/>
  <c r="BF187" i="3" s="1"/>
  <c r="BG187" i="3" s="1"/>
  <c r="AY187" i="3"/>
  <c r="AV187" i="3"/>
  <c r="AR187" i="3"/>
  <c r="AS187" i="3" s="1"/>
  <c r="BL187" i="3" s="1"/>
  <c r="F243" i="8" s="1"/>
  <c r="AM187" i="3"/>
  <c r="AN187" i="3" s="1"/>
  <c r="AO187" i="3" s="1"/>
  <c r="AE187" i="3"/>
  <c r="AF187" i="3" s="1"/>
  <c r="AG187" i="3" s="1"/>
  <c r="AH187" i="3" s="1"/>
  <c r="Y187" i="3"/>
  <c r="X187" i="3"/>
  <c r="U187" i="3"/>
  <c r="BI186" i="3"/>
  <c r="BE186" i="3"/>
  <c r="BF186" i="3" s="1"/>
  <c r="BG186" i="3" s="1"/>
  <c r="AY186" i="3"/>
  <c r="AV186" i="3"/>
  <c r="AR186" i="3"/>
  <c r="AS186" i="3" s="1"/>
  <c r="BL186" i="3" s="1"/>
  <c r="F93" i="8" s="1"/>
  <c r="AM186" i="3"/>
  <c r="AN186" i="3" s="1"/>
  <c r="AO186" i="3" s="1"/>
  <c r="AE186" i="3"/>
  <c r="AF186" i="3" s="1"/>
  <c r="AG186" i="3" s="1"/>
  <c r="AH186" i="3" s="1"/>
  <c r="Y186" i="3"/>
  <c r="X186" i="3"/>
  <c r="U186" i="3"/>
  <c r="BI185" i="3"/>
  <c r="BE185" i="3"/>
  <c r="BF185" i="3" s="1"/>
  <c r="BG185" i="3" s="1"/>
  <c r="AY185" i="3"/>
  <c r="AV185" i="3"/>
  <c r="AR185" i="3"/>
  <c r="AS185" i="3" s="1"/>
  <c r="BL185" i="3" s="1"/>
  <c r="F13" i="8" s="1"/>
  <c r="AM185" i="3"/>
  <c r="AN185" i="3" s="1"/>
  <c r="AO185" i="3" s="1"/>
  <c r="AE185" i="3"/>
  <c r="AF185" i="3" s="1"/>
  <c r="AG185" i="3" s="1"/>
  <c r="AH185" i="3" s="1"/>
  <c r="Y185" i="3"/>
  <c r="X185" i="3"/>
  <c r="U185" i="3"/>
  <c r="BI184" i="3"/>
  <c r="BE184" i="3"/>
  <c r="BF184" i="3" s="1"/>
  <c r="BG184" i="3" s="1"/>
  <c r="AY184" i="3"/>
  <c r="AV184" i="3"/>
  <c r="AR184" i="3"/>
  <c r="AS184" i="3" s="1"/>
  <c r="BL184" i="3" s="1"/>
  <c r="F254" i="8" s="1"/>
  <c r="AM184" i="3"/>
  <c r="AN184" i="3" s="1"/>
  <c r="AO184" i="3" s="1"/>
  <c r="AE184" i="3"/>
  <c r="AF184" i="3" s="1"/>
  <c r="AG184" i="3" s="1"/>
  <c r="AH184" i="3" s="1"/>
  <c r="Y184" i="3"/>
  <c r="X184" i="3"/>
  <c r="U184" i="3"/>
  <c r="BI183" i="3"/>
  <c r="BE183" i="3"/>
  <c r="BF183" i="3" s="1"/>
  <c r="BG183" i="3" s="1"/>
  <c r="AY183" i="3"/>
  <c r="AV183" i="3"/>
  <c r="AR183" i="3"/>
  <c r="AS183" i="3" s="1"/>
  <c r="BL183" i="3" s="1"/>
  <c r="F51" i="8" s="1"/>
  <c r="AM183" i="3"/>
  <c r="AN183" i="3" s="1"/>
  <c r="AO183" i="3" s="1"/>
  <c r="AE183" i="3"/>
  <c r="AF183" i="3" s="1"/>
  <c r="AG183" i="3" s="1"/>
  <c r="AH183" i="3" s="1"/>
  <c r="Y183" i="3"/>
  <c r="X183" i="3"/>
  <c r="U183" i="3"/>
  <c r="BI182" i="3"/>
  <c r="BE182" i="3"/>
  <c r="BF182" i="3" s="1"/>
  <c r="BG182" i="3" s="1"/>
  <c r="AY182" i="3"/>
  <c r="AV182" i="3"/>
  <c r="AR182" i="3"/>
  <c r="AS182" i="3" s="1"/>
  <c r="BL182" i="3" s="1"/>
  <c r="F54" i="8" s="1"/>
  <c r="AM182" i="3"/>
  <c r="AN182" i="3" s="1"/>
  <c r="AO182" i="3" s="1"/>
  <c r="AE182" i="3"/>
  <c r="AF182" i="3" s="1"/>
  <c r="AG182" i="3" s="1"/>
  <c r="AH182" i="3" s="1"/>
  <c r="Y182" i="3"/>
  <c r="X182" i="3"/>
  <c r="U182" i="3"/>
  <c r="BI181" i="3"/>
  <c r="BE181" i="3"/>
  <c r="BF181" i="3" s="1"/>
  <c r="BG181" i="3" s="1"/>
  <c r="AY181" i="3"/>
  <c r="AV181" i="3"/>
  <c r="AR181" i="3"/>
  <c r="AS181" i="3" s="1"/>
  <c r="BL181" i="3" s="1"/>
  <c r="F310" i="8" s="1"/>
  <c r="AM181" i="3"/>
  <c r="AN181" i="3" s="1"/>
  <c r="AO181" i="3" s="1"/>
  <c r="AE181" i="3"/>
  <c r="AF181" i="3" s="1"/>
  <c r="AG181" i="3" s="1"/>
  <c r="AH181" i="3" s="1"/>
  <c r="Y181" i="3"/>
  <c r="X181" i="3"/>
  <c r="U181" i="3"/>
  <c r="BI180" i="3"/>
  <c r="BE180" i="3"/>
  <c r="BF180" i="3" s="1"/>
  <c r="BG180" i="3" s="1"/>
  <c r="AY180" i="3"/>
  <c r="AV180" i="3"/>
  <c r="AR180" i="3"/>
  <c r="AS180" i="3" s="1"/>
  <c r="BL180" i="3" s="1"/>
  <c r="F87" i="8" s="1"/>
  <c r="AM180" i="3"/>
  <c r="AN180" i="3" s="1"/>
  <c r="AO180" i="3" s="1"/>
  <c r="AE180" i="3"/>
  <c r="AF180" i="3" s="1"/>
  <c r="AG180" i="3" s="1"/>
  <c r="AH180" i="3" s="1"/>
  <c r="Y180" i="3"/>
  <c r="X180" i="3"/>
  <c r="U180" i="3"/>
  <c r="BI179" i="3"/>
  <c r="BE179" i="3"/>
  <c r="BF179" i="3" s="1"/>
  <c r="BG179" i="3" s="1"/>
  <c r="AY179" i="3"/>
  <c r="AV179" i="3"/>
  <c r="AR179" i="3"/>
  <c r="AS179" i="3" s="1"/>
  <c r="BL179" i="3" s="1"/>
  <c r="F191" i="8" s="1"/>
  <c r="AM179" i="3"/>
  <c r="AN179" i="3" s="1"/>
  <c r="AO179" i="3" s="1"/>
  <c r="AE179" i="3"/>
  <c r="AF179" i="3" s="1"/>
  <c r="AG179" i="3" s="1"/>
  <c r="AH179" i="3" s="1"/>
  <c r="Y179" i="3"/>
  <c r="X179" i="3"/>
  <c r="U179" i="3"/>
  <c r="BI178" i="3"/>
  <c r="BE178" i="3"/>
  <c r="BF178" i="3" s="1"/>
  <c r="BG178" i="3" s="1"/>
  <c r="AY178" i="3"/>
  <c r="AV178" i="3"/>
  <c r="AR178" i="3"/>
  <c r="AS178" i="3" s="1"/>
  <c r="BL178" i="3" s="1"/>
  <c r="F153" i="8" s="1"/>
  <c r="AM178" i="3"/>
  <c r="AN178" i="3" s="1"/>
  <c r="AO178" i="3" s="1"/>
  <c r="AE178" i="3"/>
  <c r="AF178" i="3" s="1"/>
  <c r="AG178" i="3" s="1"/>
  <c r="AH178" i="3" s="1"/>
  <c r="Y178" i="3"/>
  <c r="X178" i="3"/>
  <c r="U178" i="3"/>
  <c r="BI177" i="3"/>
  <c r="BE177" i="3"/>
  <c r="BF177" i="3" s="1"/>
  <c r="BG177" i="3" s="1"/>
  <c r="AY177" i="3"/>
  <c r="AV177" i="3"/>
  <c r="AR177" i="3"/>
  <c r="AS177" i="3" s="1"/>
  <c r="BL177" i="3" s="1"/>
  <c r="F185" i="8" s="1"/>
  <c r="AM177" i="3"/>
  <c r="AN177" i="3" s="1"/>
  <c r="AO177" i="3" s="1"/>
  <c r="AE177" i="3"/>
  <c r="AF177" i="3" s="1"/>
  <c r="AG177" i="3" s="1"/>
  <c r="AH177" i="3" s="1"/>
  <c r="Y177" i="3"/>
  <c r="X177" i="3"/>
  <c r="U177" i="3"/>
  <c r="BI176" i="3"/>
  <c r="BE176" i="3"/>
  <c r="BF176" i="3" s="1"/>
  <c r="BG176" i="3" s="1"/>
  <c r="AY176" i="3"/>
  <c r="AV176" i="3"/>
  <c r="AR176" i="3"/>
  <c r="AS176" i="3" s="1"/>
  <c r="BL176" i="3" s="1"/>
  <c r="F81" i="8" s="1"/>
  <c r="AM176" i="3"/>
  <c r="AN176" i="3" s="1"/>
  <c r="AO176" i="3" s="1"/>
  <c r="AE176" i="3"/>
  <c r="AF176" i="3" s="1"/>
  <c r="AG176" i="3" s="1"/>
  <c r="AH176" i="3" s="1"/>
  <c r="Y176" i="3"/>
  <c r="X176" i="3"/>
  <c r="U176" i="3"/>
  <c r="BI175" i="3"/>
  <c r="BE175" i="3"/>
  <c r="BF175" i="3" s="1"/>
  <c r="BG175" i="3" s="1"/>
  <c r="AY175" i="3"/>
  <c r="AV175" i="3"/>
  <c r="AR175" i="3"/>
  <c r="AS175" i="3" s="1"/>
  <c r="BL175" i="3" s="1"/>
  <c r="F297" i="8" s="1"/>
  <c r="AM175" i="3"/>
  <c r="AN175" i="3" s="1"/>
  <c r="AO175" i="3" s="1"/>
  <c r="AE175" i="3"/>
  <c r="AF175" i="3" s="1"/>
  <c r="AG175" i="3" s="1"/>
  <c r="AH175" i="3" s="1"/>
  <c r="Y175" i="3"/>
  <c r="X175" i="3"/>
  <c r="U175" i="3"/>
  <c r="BI174" i="3"/>
  <c r="BE174" i="3"/>
  <c r="BF174" i="3" s="1"/>
  <c r="BG174" i="3" s="1"/>
  <c r="AY174" i="3"/>
  <c r="AV174" i="3"/>
  <c r="AR174" i="3"/>
  <c r="AS174" i="3" s="1"/>
  <c r="BL174" i="3" s="1"/>
  <c r="F246" i="8" s="1"/>
  <c r="AM174" i="3"/>
  <c r="AN174" i="3" s="1"/>
  <c r="AO174" i="3" s="1"/>
  <c r="AE174" i="3"/>
  <c r="AF174" i="3" s="1"/>
  <c r="AG174" i="3" s="1"/>
  <c r="AH174" i="3" s="1"/>
  <c r="Y174" i="3"/>
  <c r="X174" i="3"/>
  <c r="U174" i="3"/>
  <c r="BI173" i="3"/>
  <c r="BE173" i="3"/>
  <c r="BF173" i="3" s="1"/>
  <c r="BG173" i="3" s="1"/>
  <c r="AY173" i="3"/>
  <c r="AV173" i="3"/>
  <c r="AR173" i="3"/>
  <c r="AS173" i="3" s="1"/>
  <c r="BL173" i="3" s="1"/>
  <c r="F97" i="8" s="1"/>
  <c r="AM173" i="3"/>
  <c r="AN173" i="3" s="1"/>
  <c r="AO173" i="3" s="1"/>
  <c r="AE173" i="3"/>
  <c r="AF173" i="3" s="1"/>
  <c r="AG173" i="3" s="1"/>
  <c r="AH173" i="3" s="1"/>
  <c r="Y173" i="3"/>
  <c r="X173" i="3"/>
  <c r="U173" i="3"/>
  <c r="BI172" i="3"/>
  <c r="BE172" i="3"/>
  <c r="BF172" i="3" s="1"/>
  <c r="BG172" i="3" s="1"/>
  <c r="AY172" i="3"/>
  <c r="AV172" i="3"/>
  <c r="AR172" i="3"/>
  <c r="AS172" i="3" s="1"/>
  <c r="BL172" i="3" s="1"/>
  <c r="F86" i="8" s="1"/>
  <c r="AM172" i="3"/>
  <c r="AN172" i="3" s="1"/>
  <c r="AO172" i="3" s="1"/>
  <c r="AE172" i="3"/>
  <c r="AF172" i="3" s="1"/>
  <c r="AG172" i="3" s="1"/>
  <c r="AH172" i="3" s="1"/>
  <c r="Y172" i="3"/>
  <c r="X172" i="3"/>
  <c r="U172" i="3"/>
  <c r="BI171" i="3"/>
  <c r="BE171" i="3"/>
  <c r="BF171" i="3" s="1"/>
  <c r="BG171" i="3" s="1"/>
  <c r="AY171" i="3"/>
  <c r="AV171" i="3"/>
  <c r="AR171" i="3"/>
  <c r="AS171" i="3" s="1"/>
  <c r="BL171" i="3" s="1"/>
  <c r="F120" i="8" s="1"/>
  <c r="AM171" i="3"/>
  <c r="AN171" i="3" s="1"/>
  <c r="AO171" i="3" s="1"/>
  <c r="AE171" i="3"/>
  <c r="AF171" i="3" s="1"/>
  <c r="AG171" i="3" s="1"/>
  <c r="AH171" i="3" s="1"/>
  <c r="Y171" i="3"/>
  <c r="X171" i="3"/>
  <c r="U171" i="3"/>
  <c r="BI170" i="3"/>
  <c r="BE170" i="3"/>
  <c r="BF170" i="3" s="1"/>
  <c r="BG170" i="3" s="1"/>
  <c r="AY170" i="3"/>
  <c r="AV170" i="3"/>
  <c r="AR170" i="3"/>
  <c r="AS170" i="3" s="1"/>
  <c r="BL170" i="3" s="1"/>
  <c r="F232" i="8" s="1"/>
  <c r="AM170" i="3"/>
  <c r="AN170" i="3" s="1"/>
  <c r="AO170" i="3" s="1"/>
  <c r="AE170" i="3"/>
  <c r="AF170" i="3" s="1"/>
  <c r="AG170" i="3" s="1"/>
  <c r="AH170" i="3" s="1"/>
  <c r="Y170" i="3"/>
  <c r="X170" i="3"/>
  <c r="U170" i="3"/>
  <c r="BI169" i="3"/>
  <c r="BE169" i="3"/>
  <c r="BF169" i="3" s="1"/>
  <c r="BG169" i="3" s="1"/>
  <c r="AY169" i="3"/>
  <c r="AV169" i="3"/>
  <c r="AR169" i="3"/>
  <c r="AS169" i="3" s="1"/>
  <c r="BL169" i="3" s="1"/>
  <c r="F257" i="8" s="1"/>
  <c r="AM169" i="3"/>
  <c r="AN169" i="3" s="1"/>
  <c r="AO169" i="3" s="1"/>
  <c r="AE169" i="3"/>
  <c r="AF169" i="3" s="1"/>
  <c r="AG169" i="3" s="1"/>
  <c r="AH169" i="3" s="1"/>
  <c r="Y169" i="3"/>
  <c r="X169" i="3"/>
  <c r="U169" i="3"/>
  <c r="BI168" i="3"/>
  <c r="BE168" i="3"/>
  <c r="BF168" i="3" s="1"/>
  <c r="BG168" i="3" s="1"/>
  <c r="AY168" i="3"/>
  <c r="AV168" i="3"/>
  <c r="AR168" i="3"/>
  <c r="AS168" i="3" s="1"/>
  <c r="BL168" i="3" s="1"/>
  <c r="F78" i="8" s="1"/>
  <c r="AM168" i="3"/>
  <c r="AN168" i="3" s="1"/>
  <c r="AO168" i="3" s="1"/>
  <c r="AE168" i="3"/>
  <c r="AF168" i="3" s="1"/>
  <c r="AG168" i="3" s="1"/>
  <c r="AH168" i="3" s="1"/>
  <c r="Y168" i="3"/>
  <c r="X168" i="3"/>
  <c r="U168" i="3"/>
  <c r="BI167" i="3"/>
  <c r="BE167" i="3"/>
  <c r="BF167" i="3" s="1"/>
  <c r="BG167" i="3" s="1"/>
  <c r="AY167" i="3"/>
  <c r="AV167" i="3"/>
  <c r="AR167" i="3"/>
  <c r="AS167" i="3" s="1"/>
  <c r="BL167" i="3" s="1"/>
  <c r="F296" i="8" s="1"/>
  <c r="AM167" i="3"/>
  <c r="AN167" i="3" s="1"/>
  <c r="AO167" i="3" s="1"/>
  <c r="AE167" i="3"/>
  <c r="AF167" i="3" s="1"/>
  <c r="AG167" i="3" s="1"/>
  <c r="AH167" i="3" s="1"/>
  <c r="Y167" i="3"/>
  <c r="X167" i="3"/>
  <c r="U167" i="3"/>
  <c r="BI166" i="3"/>
  <c r="BE166" i="3"/>
  <c r="BF166" i="3" s="1"/>
  <c r="BG166" i="3" s="1"/>
  <c r="AY166" i="3"/>
  <c r="AV166" i="3"/>
  <c r="AR166" i="3"/>
  <c r="AS166" i="3" s="1"/>
  <c r="BL166" i="3" s="1"/>
  <c r="F110" i="8" s="1"/>
  <c r="AM166" i="3"/>
  <c r="AN166" i="3" s="1"/>
  <c r="AO166" i="3" s="1"/>
  <c r="AE166" i="3"/>
  <c r="AF166" i="3" s="1"/>
  <c r="AG166" i="3" s="1"/>
  <c r="AH166" i="3" s="1"/>
  <c r="Y166" i="3"/>
  <c r="X166" i="3"/>
  <c r="U166" i="3"/>
  <c r="BI165" i="3"/>
  <c r="BE165" i="3"/>
  <c r="BF165" i="3" s="1"/>
  <c r="BG165" i="3" s="1"/>
  <c r="AY165" i="3"/>
  <c r="AV165" i="3"/>
  <c r="AR165" i="3"/>
  <c r="AS165" i="3" s="1"/>
  <c r="BL165" i="3" s="1"/>
  <c r="F193" i="8" s="1"/>
  <c r="AM165" i="3"/>
  <c r="AN165" i="3" s="1"/>
  <c r="AO165" i="3" s="1"/>
  <c r="AE165" i="3"/>
  <c r="AF165" i="3" s="1"/>
  <c r="AG165" i="3" s="1"/>
  <c r="AH165" i="3" s="1"/>
  <c r="Y165" i="3"/>
  <c r="X165" i="3"/>
  <c r="U165" i="3"/>
  <c r="BI164" i="3"/>
  <c r="BE164" i="3"/>
  <c r="BF164" i="3" s="1"/>
  <c r="BG164" i="3" s="1"/>
  <c r="AY164" i="3"/>
  <c r="AV164" i="3"/>
  <c r="AR164" i="3"/>
  <c r="AS164" i="3" s="1"/>
  <c r="BL164" i="3" s="1"/>
  <c r="F200" i="8" s="1"/>
  <c r="AM164" i="3"/>
  <c r="AN164" i="3" s="1"/>
  <c r="AO164" i="3" s="1"/>
  <c r="AE164" i="3"/>
  <c r="AF164" i="3" s="1"/>
  <c r="AG164" i="3" s="1"/>
  <c r="AH164" i="3" s="1"/>
  <c r="Y164" i="3"/>
  <c r="X164" i="3"/>
  <c r="U164" i="3"/>
  <c r="BI163" i="3"/>
  <c r="BE163" i="3"/>
  <c r="BF163" i="3" s="1"/>
  <c r="BG163" i="3" s="1"/>
  <c r="AY163" i="3"/>
  <c r="AV163" i="3"/>
  <c r="AR163" i="3"/>
  <c r="AS163" i="3" s="1"/>
  <c r="BL163" i="3" s="1"/>
  <c r="F184" i="8" s="1"/>
  <c r="AM163" i="3"/>
  <c r="AN163" i="3" s="1"/>
  <c r="AO163" i="3" s="1"/>
  <c r="AE163" i="3"/>
  <c r="AF163" i="3" s="1"/>
  <c r="AG163" i="3" s="1"/>
  <c r="AH163" i="3" s="1"/>
  <c r="Y163" i="3"/>
  <c r="X163" i="3"/>
  <c r="U163" i="3"/>
  <c r="BI162" i="3"/>
  <c r="BE162" i="3"/>
  <c r="BF162" i="3" s="1"/>
  <c r="BG162" i="3" s="1"/>
  <c r="AY162" i="3"/>
  <c r="AV162" i="3"/>
  <c r="AR162" i="3"/>
  <c r="AS162" i="3" s="1"/>
  <c r="BL162" i="3" s="1"/>
  <c r="F250" i="8" s="1"/>
  <c r="AM162" i="3"/>
  <c r="AN162" i="3" s="1"/>
  <c r="AO162" i="3" s="1"/>
  <c r="AE162" i="3"/>
  <c r="AF162" i="3" s="1"/>
  <c r="AG162" i="3" s="1"/>
  <c r="AH162" i="3" s="1"/>
  <c r="Y162" i="3"/>
  <c r="X162" i="3"/>
  <c r="U162" i="3"/>
  <c r="BI161" i="3"/>
  <c r="BE161" i="3"/>
  <c r="BF161" i="3" s="1"/>
  <c r="BG161" i="3" s="1"/>
  <c r="AY161" i="3"/>
  <c r="AV161" i="3"/>
  <c r="AR161" i="3"/>
  <c r="AS161" i="3" s="1"/>
  <c r="BL161" i="3" s="1"/>
  <c r="F203" i="8" s="1"/>
  <c r="AM161" i="3"/>
  <c r="AN161" i="3" s="1"/>
  <c r="AO161" i="3" s="1"/>
  <c r="AE161" i="3"/>
  <c r="AF161" i="3" s="1"/>
  <c r="AG161" i="3" s="1"/>
  <c r="AH161" i="3" s="1"/>
  <c r="Y161" i="3"/>
  <c r="X161" i="3"/>
  <c r="U161" i="3"/>
  <c r="BI160" i="3"/>
  <c r="BE160" i="3"/>
  <c r="BF160" i="3" s="1"/>
  <c r="BG160" i="3" s="1"/>
  <c r="AY160" i="3"/>
  <c r="AV160" i="3"/>
  <c r="AR160" i="3"/>
  <c r="AS160" i="3" s="1"/>
  <c r="BL160" i="3" s="1"/>
  <c r="F116" i="8" s="1"/>
  <c r="AM160" i="3"/>
  <c r="AN160" i="3" s="1"/>
  <c r="AO160" i="3" s="1"/>
  <c r="AE160" i="3"/>
  <c r="AF160" i="3" s="1"/>
  <c r="AG160" i="3" s="1"/>
  <c r="AH160" i="3" s="1"/>
  <c r="Y160" i="3"/>
  <c r="X160" i="3"/>
  <c r="U160" i="3"/>
  <c r="BI159" i="3"/>
  <c r="BE159" i="3"/>
  <c r="BF159" i="3" s="1"/>
  <c r="BG159" i="3" s="1"/>
  <c r="AY159" i="3"/>
  <c r="AV159" i="3"/>
  <c r="AR159" i="3"/>
  <c r="AS159" i="3" s="1"/>
  <c r="BL159" i="3" s="1"/>
  <c r="F173" i="8" s="1"/>
  <c r="AM159" i="3"/>
  <c r="AN159" i="3" s="1"/>
  <c r="AO159" i="3" s="1"/>
  <c r="AE159" i="3"/>
  <c r="AF159" i="3" s="1"/>
  <c r="AG159" i="3" s="1"/>
  <c r="AH159" i="3" s="1"/>
  <c r="Y159" i="3"/>
  <c r="X159" i="3"/>
  <c r="U159" i="3"/>
  <c r="BI158" i="3"/>
  <c r="BE158" i="3"/>
  <c r="BF158" i="3" s="1"/>
  <c r="BG158" i="3" s="1"/>
  <c r="AY158" i="3"/>
  <c r="AV158" i="3"/>
  <c r="AR158" i="3"/>
  <c r="AS158" i="3" s="1"/>
  <c r="BL158" i="3" s="1"/>
  <c r="F287" i="8" s="1"/>
  <c r="AM158" i="3"/>
  <c r="AN158" i="3" s="1"/>
  <c r="AO158" i="3" s="1"/>
  <c r="AE158" i="3"/>
  <c r="AF158" i="3" s="1"/>
  <c r="AG158" i="3" s="1"/>
  <c r="AH158" i="3" s="1"/>
  <c r="Y158" i="3"/>
  <c r="X158" i="3"/>
  <c r="U158" i="3"/>
  <c r="BI157" i="3"/>
  <c r="BE157" i="3"/>
  <c r="BF157" i="3" s="1"/>
  <c r="BG157" i="3" s="1"/>
  <c r="AY157" i="3"/>
  <c r="AV157" i="3"/>
  <c r="AR157" i="3"/>
  <c r="AS157" i="3" s="1"/>
  <c r="BL157" i="3" s="1"/>
  <c r="F92" i="8" s="1"/>
  <c r="AM157" i="3"/>
  <c r="AN157" i="3" s="1"/>
  <c r="AO157" i="3" s="1"/>
  <c r="AE157" i="3"/>
  <c r="AF157" i="3" s="1"/>
  <c r="AG157" i="3" s="1"/>
  <c r="AH157" i="3" s="1"/>
  <c r="Y157" i="3"/>
  <c r="X157" i="3"/>
  <c r="U157" i="3"/>
  <c r="BI156" i="3"/>
  <c r="BE156" i="3"/>
  <c r="BF156" i="3" s="1"/>
  <c r="BG156" i="3" s="1"/>
  <c r="AY156" i="3"/>
  <c r="AV156" i="3"/>
  <c r="AR156" i="3"/>
  <c r="AS156" i="3" s="1"/>
  <c r="BL156" i="3" s="1"/>
  <c r="F146" i="8" s="1"/>
  <c r="AM156" i="3"/>
  <c r="AN156" i="3" s="1"/>
  <c r="AO156" i="3" s="1"/>
  <c r="AE156" i="3"/>
  <c r="AF156" i="3" s="1"/>
  <c r="AG156" i="3" s="1"/>
  <c r="AH156" i="3" s="1"/>
  <c r="Y156" i="3"/>
  <c r="X156" i="3"/>
  <c r="U156" i="3"/>
  <c r="BI155" i="3"/>
  <c r="BE155" i="3"/>
  <c r="BF155" i="3" s="1"/>
  <c r="BG155" i="3" s="1"/>
  <c r="AY155" i="3"/>
  <c r="AV155" i="3"/>
  <c r="AR155" i="3"/>
  <c r="AS155" i="3" s="1"/>
  <c r="BL155" i="3" s="1"/>
  <c r="F124" i="8" s="1"/>
  <c r="AM155" i="3"/>
  <c r="AN155" i="3" s="1"/>
  <c r="AO155" i="3" s="1"/>
  <c r="AE155" i="3"/>
  <c r="AF155" i="3" s="1"/>
  <c r="AG155" i="3" s="1"/>
  <c r="AH155" i="3" s="1"/>
  <c r="Y155" i="3"/>
  <c r="X155" i="3"/>
  <c r="U155" i="3"/>
  <c r="BI154" i="3"/>
  <c r="BE154" i="3"/>
  <c r="BF154" i="3" s="1"/>
  <c r="BG154" i="3" s="1"/>
  <c r="AY154" i="3"/>
  <c r="AV154" i="3"/>
  <c r="AR154" i="3"/>
  <c r="AS154" i="3" s="1"/>
  <c r="BL154" i="3" s="1"/>
  <c r="F88" i="8" s="1"/>
  <c r="AM154" i="3"/>
  <c r="AN154" i="3" s="1"/>
  <c r="AO154" i="3" s="1"/>
  <c r="AE154" i="3"/>
  <c r="AF154" i="3" s="1"/>
  <c r="AG154" i="3" s="1"/>
  <c r="AH154" i="3" s="1"/>
  <c r="Y154" i="3"/>
  <c r="X154" i="3"/>
  <c r="U154" i="3"/>
  <c r="BI153" i="3"/>
  <c r="BE153" i="3"/>
  <c r="BF153" i="3" s="1"/>
  <c r="BG153" i="3" s="1"/>
  <c r="AY153" i="3"/>
  <c r="AV153" i="3"/>
  <c r="AR153" i="3"/>
  <c r="AS153" i="3" s="1"/>
  <c r="BL153" i="3" s="1"/>
  <c r="F269" i="8" s="1"/>
  <c r="AM153" i="3"/>
  <c r="AN153" i="3" s="1"/>
  <c r="AO153" i="3" s="1"/>
  <c r="AE153" i="3"/>
  <c r="AF153" i="3" s="1"/>
  <c r="AG153" i="3" s="1"/>
  <c r="AH153" i="3" s="1"/>
  <c r="Y153" i="3"/>
  <c r="X153" i="3"/>
  <c r="U153" i="3"/>
  <c r="BI152" i="3"/>
  <c r="BE152" i="3"/>
  <c r="BF152" i="3" s="1"/>
  <c r="BG152" i="3" s="1"/>
  <c r="AY152" i="3"/>
  <c r="AV152" i="3"/>
  <c r="AR152" i="3"/>
  <c r="AS152" i="3" s="1"/>
  <c r="BL152" i="3" s="1"/>
  <c r="F41" i="8" s="1"/>
  <c r="AM152" i="3"/>
  <c r="AN152" i="3" s="1"/>
  <c r="AO152" i="3" s="1"/>
  <c r="AE152" i="3"/>
  <c r="AF152" i="3" s="1"/>
  <c r="AG152" i="3" s="1"/>
  <c r="AH152" i="3" s="1"/>
  <c r="Y152" i="3"/>
  <c r="X152" i="3"/>
  <c r="U152" i="3"/>
  <c r="BI151" i="3"/>
  <c r="BE151" i="3"/>
  <c r="BF151" i="3" s="1"/>
  <c r="BG151" i="3" s="1"/>
  <c r="AY151" i="3"/>
  <c r="AV151" i="3"/>
  <c r="AR151" i="3"/>
  <c r="AS151" i="3" s="1"/>
  <c r="BL151" i="3" s="1"/>
  <c r="F201" i="8" s="1"/>
  <c r="AM151" i="3"/>
  <c r="AN151" i="3" s="1"/>
  <c r="AO151" i="3" s="1"/>
  <c r="AE151" i="3"/>
  <c r="AF151" i="3" s="1"/>
  <c r="AG151" i="3" s="1"/>
  <c r="AH151" i="3" s="1"/>
  <c r="Y151" i="3"/>
  <c r="X151" i="3"/>
  <c r="U151" i="3"/>
  <c r="BI150" i="3"/>
  <c r="BE150" i="3"/>
  <c r="BF150" i="3" s="1"/>
  <c r="BG150" i="3" s="1"/>
  <c r="AY150" i="3"/>
  <c r="AV150" i="3"/>
  <c r="AR150" i="3"/>
  <c r="AS150" i="3" s="1"/>
  <c r="BL150" i="3" s="1"/>
  <c r="F212" i="8" s="1"/>
  <c r="AM150" i="3"/>
  <c r="AN150" i="3" s="1"/>
  <c r="AO150" i="3" s="1"/>
  <c r="AE150" i="3"/>
  <c r="AF150" i="3" s="1"/>
  <c r="AG150" i="3" s="1"/>
  <c r="AH150" i="3" s="1"/>
  <c r="Y150" i="3"/>
  <c r="X150" i="3"/>
  <c r="U150" i="3"/>
  <c r="BI149" i="3"/>
  <c r="BE149" i="3"/>
  <c r="BF149" i="3" s="1"/>
  <c r="BG149" i="3" s="1"/>
  <c r="AY149" i="3"/>
  <c r="AV149" i="3"/>
  <c r="AR149" i="3"/>
  <c r="AS149" i="3" s="1"/>
  <c r="BL149" i="3" s="1"/>
  <c r="F199" i="8" s="1"/>
  <c r="AM149" i="3"/>
  <c r="AN149" i="3" s="1"/>
  <c r="AO149" i="3" s="1"/>
  <c r="AE149" i="3"/>
  <c r="AF149" i="3" s="1"/>
  <c r="AG149" i="3" s="1"/>
  <c r="AH149" i="3" s="1"/>
  <c r="Y149" i="3"/>
  <c r="X149" i="3"/>
  <c r="U149" i="3"/>
  <c r="BI148" i="3"/>
  <c r="BE148" i="3"/>
  <c r="BF148" i="3" s="1"/>
  <c r="BG148" i="3" s="1"/>
  <c r="AY148" i="3"/>
  <c r="AV148" i="3"/>
  <c r="AR148" i="3"/>
  <c r="AS148" i="3" s="1"/>
  <c r="BL148" i="3" s="1"/>
  <c r="F155" i="8" s="1"/>
  <c r="AM148" i="3"/>
  <c r="AN148" i="3" s="1"/>
  <c r="AO148" i="3" s="1"/>
  <c r="AE148" i="3"/>
  <c r="AF148" i="3" s="1"/>
  <c r="AG148" i="3" s="1"/>
  <c r="AH148" i="3" s="1"/>
  <c r="Y148" i="3"/>
  <c r="X148" i="3"/>
  <c r="U148" i="3"/>
  <c r="BI147" i="3"/>
  <c r="BE147" i="3"/>
  <c r="BF147" i="3" s="1"/>
  <c r="BG147" i="3" s="1"/>
  <c r="AY147" i="3"/>
  <c r="AV147" i="3"/>
  <c r="AR147" i="3"/>
  <c r="AS147" i="3" s="1"/>
  <c r="BL147" i="3" s="1"/>
  <c r="F239" i="8" s="1"/>
  <c r="AM147" i="3"/>
  <c r="AN147" i="3" s="1"/>
  <c r="AO147" i="3" s="1"/>
  <c r="AE147" i="3"/>
  <c r="AF147" i="3" s="1"/>
  <c r="AG147" i="3" s="1"/>
  <c r="AH147" i="3" s="1"/>
  <c r="Y147" i="3"/>
  <c r="X147" i="3"/>
  <c r="U147" i="3"/>
  <c r="BI146" i="3"/>
  <c r="BE146" i="3"/>
  <c r="BF146" i="3" s="1"/>
  <c r="BG146" i="3" s="1"/>
  <c r="AY146" i="3"/>
  <c r="AV146" i="3"/>
  <c r="AR146" i="3"/>
  <c r="AS146" i="3" s="1"/>
  <c r="BL146" i="3" s="1"/>
  <c r="F160" i="8" s="1"/>
  <c r="AM146" i="3"/>
  <c r="AN146" i="3" s="1"/>
  <c r="AO146" i="3" s="1"/>
  <c r="AE146" i="3"/>
  <c r="AF146" i="3" s="1"/>
  <c r="AG146" i="3" s="1"/>
  <c r="AH146" i="3" s="1"/>
  <c r="Y146" i="3"/>
  <c r="X146" i="3"/>
  <c r="U146" i="3"/>
  <c r="BI145" i="3"/>
  <c r="BE145" i="3"/>
  <c r="BF145" i="3" s="1"/>
  <c r="BG145" i="3" s="1"/>
  <c r="AY145" i="3"/>
  <c r="AV145" i="3"/>
  <c r="AR145" i="3"/>
  <c r="AS145" i="3" s="1"/>
  <c r="BL145" i="3" s="1"/>
  <c r="F174" i="8" s="1"/>
  <c r="AM145" i="3"/>
  <c r="AN145" i="3" s="1"/>
  <c r="AO145" i="3" s="1"/>
  <c r="AE145" i="3"/>
  <c r="AF145" i="3" s="1"/>
  <c r="AG145" i="3" s="1"/>
  <c r="AH145" i="3" s="1"/>
  <c r="Y145" i="3"/>
  <c r="X145" i="3"/>
  <c r="U145" i="3"/>
  <c r="BI144" i="3"/>
  <c r="BE144" i="3"/>
  <c r="BF144" i="3" s="1"/>
  <c r="BG144" i="3" s="1"/>
  <c r="AY144" i="3"/>
  <c r="AV144" i="3"/>
  <c r="AR144" i="3"/>
  <c r="AS144" i="3" s="1"/>
  <c r="BL144" i="3" s="1"/>
  <c r="F52" i="8" s="1"/>
  <c r="AM144" i="3"/>
  <c r="AN144" i="3" s="1"/>
  <c r="AO144" i="3" s="1"/>
  <c r="AE144" i="3"/>
  <c r="AF144" i="3" s="1"/>
  <c r="AG144" i="3" s="1"/>
  <c r="AH144" i="3" s="1"/>
  <c r="Y144" i="3"/>
  <c r="X144" i="3"/>
  <c r="U144" i="3"/>
  <c r="BI143" i="3"/>
  <c r="BE143" i="3"/>
  <c r="BF143" i="3" s="1"/>
  <c r="BG143" i="3" s="1"/>
  <c r="AY143" i="3"/>
  <c r="AV143" i="3"/>
  <c r="AR143" i="3"/>
  <c r="AS143" i="3" s="1"/>
  <c r="BL143" i="3" s="1"/>
  <c r="F278" i="8" s="1"/>
  <c r="AM143" i="3"/>
  <c r="AN143" i="3" s="1"/>
  <c r="AO143" i="3" s="1"/>
  <c r="AE143" i="3"/>
  <c r="AF143" i="3" s="1"/>
  <c r="AG143" i="3" s="1"/>
  <c r="AH143" i="3" s="1"/>
  <c r="Y143" i="3"/>
  <c r="X143" i="3"/>
  <c r="U143" i="3"/>
  <c r="BI142" i="3"/>
  <c r="BE142" i="3"/>
  <c r="BF142" i="3" s="1"/>
  <c r="BG142" i="3" s="1"/>
  <c r="AY142" i="3"/>
  <c r="AV142" i="3"/>
  <c r="AR142" i="3"/>
  <c r="AS142" i="3" s="1"/>
  <c r="BL142" i="3" s="1"/>
  <c r="F82" i="8" s="1"/>
  <c r="AM142" i="3"/>
  <c r="AN142" i="3" s="1"/>
  <c r="AO142" i="3" s="1"/>
  <c r="AE142" i="3"/>
  <c r="AF142" i="3" s="1"/>
  <c r="AG142" i="3" s="1"/>
  <c r="AH142" i="3" s="1"/>
  <c r="Y142" i="3"/>
  <c r="X142" i="3"/>
  <c r="U142" i="3"/>
  <c r="BI141" i="3"/>
  <c r="BE141" i="3"/>
  <c r="BF141" i="3" s="1"/>
  <c r="BG141" i="3" s="1"/>
  <c r="AY141" i="3"/>
  <c r="AV141" i="3"/>
  <c r="AR141" i="3"/>
  <c r="AS141" i="3" s="1"/>
  <c r="BL141" i="3" s="1"/>
  <c r="F293" i="8" s="1"/>
  <c r="AM141" i="3"/>
  <c r="AN141" i="3" s="1"/>
  <c r="AO141" i="3" s="1"/>
  <c r="AE141" i="3"/>
  <c r="AF141" i="3" s="1"/>
  <c r="AG141" i="3" s="1"/>
  <c r="AH141" i="3" s="1"/>
  <c r="Y141" i="3"/>
  <c r="X141" i="3"/>
  <c r="U141" i="3"/>
  <c r="BI140" i="3"/>
  <c r="BE140" i="3"/>
  <c r="BF140" i="3" s="1"/>
  <c r="BG140" i="3" s="1"/>
  <c r="AY140" i="3"/>
  <c r="AV140" i="3"/>
  <c r="AR140" i="3"/>
  <c r="AS140" i="3" s="1"/>
  <c r="BL140" i="3" s="1"/>
  <c r="F100" i="8" s="1"/>
  <c r="AM140" i="3"/>
  <c r="AN140" i="3" s="1"/>
  <c r="AO140" i="3" s="1"/>
  <c r="AE140" i="3"/>
  <c r="AF140" i="3" s="1"/>
  <c r="AG140" i="3" s="1"/>
  <c r="AH140" i="3" s="1"/>
  <c r="Y140" i="3"/>
  <c r="X140" i="3"/>
  <c r="U140" i="3"/>
  <c r="BI139" i="3"/>
  <c r="BE139" i="3"/>
  <c r="BF139" i="3" s="1"/>
  <c r="BG139" i="3" s="1"/>
  <c r="AY139" i="3"/>
  <c r="AV139" i="3"/>
  <c r="AR139" i="3"/>
  <c r="AS139" i="3" s="1"/>
  <c r="BL139" i="3" s="1"/>
  <c r="F170" i="8" s="1"/>
  <c r="AM139" i="3"/>
  <c r="AN139" i="3" s="1"/>
  <c r="AO139" i="3" s="1"/>
  <c r="AE139" i="3"/>
  <c r="AF139" i="3" s="1"/>
  <c r="AG139" i="3" s="1"/>
  <c r="AH139" i="3" s="1"/>
  <c r="Y139" i="3"/>
  <c r="X139" i="3"/>
  <c r="U139" i="3"/>
  <c r="BI138" i="3"/>
  <c r="BE138" i="3"/>
  <c r="BF138" i="3" s="1"/>
  <c r="BG138" i="3" s="1"/>
  <c r="AY138" i="3"/>
  <c r="AV138" i="3"/>
  <c r="AR138" i="3"/>
  <c r="AS138" i="3" s="1"/>
  <c r="BL138" i="3" s="1"/>
  <c r="F198" i="8" s="1"/>
  <c r="AM138" i="3"/>
  <c r="AN138" i="3" s="1"/>
  <c r="AO138" i="3" s="1"/>
  <c r="AE138" i="3"/>
  <c r="AF138" i="3" s="1"/>
  <c r="AG138" i="3" s="1"/>
  <c r="AH138" i="3" s="1"/>
  <c r="Y138" i="3"/>
  <c r="X138" i="3"/>
  <c r="U138" i="3"/>
  <c r="BI137" i="3"/>
  <c r="BE137" i="3"/>
  <c r="BF137" i="3" s="1"/>
  <c r="BG137" i="3" s="1"/>
  <c r="AY137" i="3"/>
  <c r="AV137" i="3"/>
  <c r="AR137" i="3"/>
  <c r="AS137" i="3" s="1"/>
  <c r="BL137" i="3" s="1"/>
  <c r="F106" i="8" s="1"/>
  <c r="AM137" i="3"/>
  <c r="AN137" i="3" s="1"/>
  <c r="AO137" i="3" s="1"/>
  <c r="AE137" i="3"/>
  <c r="AF137" i="3" s="1"/>
  <c r="AG137" i="3" s="1"/>
  <c r="AH137" i="3" s="1"/>
  <c r="Y137" i="3"/>
  <c r="X137" i="3"/>
  <c r="U137" i="3"/>
  <c r="BI136" i="3"/>
  <c r="BE136" i="3"/>
  <c r="BF136" i="3" s="1"/>
  <c r="BG136" i="3" s="1"/>
  <c r="AY136" i="3"/>
  <c r="AV136" i="3"/>
  <c r="AR136" i="3"/>
  <c r="AS136" i="3" s="1"/>
  <c r="BL136" i="3" s="1"/>
  <c r="F311" i="8" s="1"/>
  <c r="AM136" i="3"/>
  <c r="AN136" i="3" s="1"/>
  <c r="AO136" i="3" s="1"/>
  <c r="AE136" i="3"/>
  <c r="AF136" i="3" s="1"/>
  <c r="AG136" i="3" s="1"/>
  <c r="AH136" i="3" s="1"/>
  <c r="Y136" i="3"/>
  <c r="X136" i="3"/>
  <c r="U136" i="3"/>
  <c r="BI135" i="3"/>
  <c r="BE135" i="3"/>
  <c r="BF135" i="3" s="1"/>
  <c r="BG135" i="3" s="1"/>
  <c r="AY135" i="3"/>
  <c r="AV135" i="3"/>
  <c r="AR135" i="3"/>
  <c r="AS135" i="3" s="1"/>
  <c r="BL135" i="3" s="1"/>
  <c r="F259" i="8" s="1"/>
  <c r="AM135" i="3"/>
  <c r="AN135" i="3" s="1"/>
  <c r="AO135" i="3" s="1"/>
  <c r="AE135" i="3"/>
  <c r="AF135" i="3" s="1"/>
  <c r="AG135" i="3" s="1"/>
  <c r="AH135" i="3" s="1"/>
  <c r="Y135" i="3"/>
  <c r="X135" i="3"/>
  <c r="U135" i="3"/>
  <c r="BI134" i="3"/>
  <c r="BE134" i="3"/>
  <c r="BF134" i="3" s="1"/>
  <c r="BG134" i="3" s="1"/>
  <c r="AY134" i="3"/>
  <c r="AV134" i="3"/>
  <c r="AR134" i="3"/>
  <c r="AS134" i="3" s="1"/>
  <c r="BL134" i="3" s="1"/>
  <c r="F152" i="8" s="1"/>
  <c r="AM134" i="3"/>
  <c r="AN134" i="3" s="1"/>
  <c r="AO134" i="3" s="1"/>
  <c r="AE134" i="3"/>
  <c r="AF134" i="3" s="1"/>
  <c r="AG134" i="3" s="1"/>
  <c r="AH134" i="3" s="1"/>
  <c r="Y134" i="3"/>
  <c r="X134" i="3"/>
  <c r="U134" i="3"/>
  <c r="BI133" i="3"/>
  <c r="BE133" i="3"/>
  <c r="BF133" i="3" s="1"/>
  <c r="BG133" i="3" s="1"/>
  <c r="AY133" i="3"/>
  <c r="AV133" i="3"/>
  <c r="AR133" i="3"/>
  <c r="AS133" i="3" s="1"/>
  <c r="BL133" i="3" s="1"/>
  <c r="F215" i="8" s="1"/>
  <c r="AM133" i="3"/>
  <c r="AN133" i="3" s="1"/>
  <c r="AO133" i="3" s="1"/>
  <c r="AE133" i="3"/>
  <c r="AF133" i="3" s="1"/>
  <c r="AG133" i="3" s="1"/>
  <c r="AH133" i="3" s="1"/>
  <c r="Y133" i="3"/>
  <c r="X133" i="3"/>
  <c r="U133" i="3"/>
  <c r="BI132" i="3"/>
  <c r="BE132" i="3"/>
  <c r="BF132" i="3" s="1"/>
  <c r="BG132" i="3" s="1"/>
  <c r="AY132" i="3"/>
  <c r="AV132" i="3"/>
  <c r="AR132" i="3"/>
  <c r="AS132" i="3" s="1"/>
  <c r="BL132" i="3" s="1"/>
  <c r="F224" i="8" s="1"/>
  <c r="AM132" i="3"/>
  <c r="AN132" i="3" s="1"/>
  <c r="AO132" i="3" s="1"/>
  <c r="AE132" i="3"/>
  <c r="AF132" i="3" s="1"/>
  <c r="AG132" i="3" s="1"/>
  <c r="AH132" i="3" s="1"/>
  <c r="Y132" i="3"/>
  <c r="X132" i="3"/>
  <c r="U132" i="3"/>
  <c r="BI131" i="3"/>
  <c r="BE131" i="3"/>
  <c r="BF131" i="3" s="1"/>
  <c r="BG131" i="3" s="1"/>
  <c r="AY131" i="3"/>
  <c r="AV131" i="3"/>
  <c r="AR131" i="3"/>
  <c r="AS131" i="3" s="1"/>
  <c r="BL131" i="3" s="1"/>
  <c r="F181" i="8" s="1"/>
  <c r="AM131" i="3"/>
  <c r="AN131" i="3" s="1"/>
  <c r="AO131" i="3" s="1"/>
  <c r="AE131" i="3"/>
  <c r="AF131" i="3" s="1"/>
  <c r="AG131" i="3" s="1"/>
  <c r="AH131" i="3" s="1"/>
  <c r="Y131" i="3"/>
  <c r="X131" i="3"/>
  <c r="U131" i="3"/>
  <c r="BI130" i="3"/>
  <c r="BE130" i="3"/>
  <c r="BF130" i="3" s="1"/>
  <c r="BG130" i="3" s="1"/>
  <c r="AY130" i="3"/>
  <c r="AV130" i="3"/>
  <c r="AR130" i="3"/>
  <c r="AS130" i="3" s="1"/>
  <c r="BL130" i="3" s="1"/>
  <c r="F105" i="8" s="1"/>
  <c r="AM130" i="3"/>
  <c r="AN130" i="3" s="1"/>
  <c r="AO130" i="3" s="1"/>
  <c r="AE130" i="3"/>
  <c r="AF130" i="3" s="1"/>
  <c r="AG130" i="3" s="1"/>
  <c r="AH130" i="3" s="1"/>
  <c r="Y130" i="3"/>
  <c r="X130" i="3"/>
  <c r="U130" i="3"/>
  <c r="BI129" i="3"/>
  <c r="BE129" i="3"/>
  <c r="BF129" i="3" s="1"/>
  <c r="BG129" i="3" s="1"/>
  <c r="AY129" i="3"/>
  <c r="AV129" i="3"/>
  <c r="AR129" i="3"/>
  <c r="AS129" i="3" s="1"/>
  <c r="BL129" i="3" s="1"/>
  <c r="F71" i="8" s="1"/>
  <c r="AM129" i="3"/>
  <c r="AN129" i="3" s="1"/>
  <c r="AO129" i="3" s="1"/>
  <c r="AE129" i="3"/>
  <c r="AF129" i="3" s="1"/>
  <c r="AG129" i="3" s="1"/>
  <c r="AH129" i="3" s="1"/>
  <c r="Y129" i="3"/>
  <c r="X129" i="3"/>
  <c r="U129" i="3"/>
  <c r="BI128" i="3"/>
  <c r="BE128" i="3"/>
  <c r="BF128" i="3" s="1"/>
  <c r="BG128" i="3" s="1"/>
  <c r="AY128" i="3"/>
  <c r="AV128" i="3"/>
  <c r="AR128" i="3"/>
  <c r="AS128" i="3" s="1"/>
  <c r="BL128" i="3" s="1"/>
  <c r="F137" i="8" s="1"/>
  <c r="AM128" i="3"/>
  <c r="AN128" i="3" s="1"/>
  <c r="AO128" i="3" s="1"/>
  <c r="AE128" i="3"/>
  <c r="AF128" i="3" s="1"/>
  <c r="AG128" i="3" s="1"/>
  <c r="AH128" i="3" s="1"/>
  <c r="Y128" i="3"/>
  <c r="X128" i="3"/>
  <c r="U128" i="3"/>
  <c r="BI127" i="3"/>
  <c r="BE127" i="3"/>
  <c r="BF127" i="3" s="1"/>
  <c r="BG127" i="3" s="1"/>
  <c r="AY127" i="3"/>
  <c r="AV127" i="3"/>
  <c r="AR127" i="3"/>
  <c r="AS127" i="3" s="1"/>
  <c r="BL127" i="3" s="1"/>
  <c r="F157" i="8" s="1"/>
  <c r="AM127" i="3"/>
  <c r="AN127" i="3" s="1"/>
  <c r="AO127" i="3" s="1"/>
  <c r="AE127" i="3"/>
  <c r="AF127" i="3" s="1"/>
  <c r="AG127" i="3" s="1"/>
  <c r="AH127" i="3" s="1"/>
  <c r="Y127" i="3"/>
  <c r="X127" i="3"/>
  <c r="U127" i="3"/>
  <c r="BI126" i="3"/>
  <c r="BE126" i="3"/>
  <c r="BF126" i="3" s="1"/>
  <c r="BG126" i="3" s="1"/>
  <c r="AY126" i="3"/>
  <c r="AV126" i="3"/>
  <c r="AR126" i="3"/>
  <c r="AS126" i="3" s="1"/>
  <c r="BL126" i="3" s="1"/>
  <c r="F80" i="8" s="1"/>
  <c r="AM126" i="3"/>
  <c r="AN126" i="3" s="1"/>
  <c r="AO126" i="3" s="1"/>
  <c r="AE126" i="3"/>
  <c r="AF126" i="3" s="1"/>
  <c r="AG126" i="3" s="1"/>
  <c r="AH126" i="3" s="1"/>
  <c r="Y126" i="3"/>
  <c r="X126" i="3"/>
  <c r="U126" i="3"/>
  <c r="BI125" i="3"/>
  <c r="BE125" i="3"/>
  <c r="BF125" i="3" s="1"/>
  <c r="BG125" i="3" s="1"/>
  <c r="AY125" i="3"/>
  <c r="AV125" i="3"/>
  <c r="AR125" i="3"/>
  <c r="AS125" i="3" s="1"/>
  <c r="BL125" i="3" s="1"/>
  <c r="F96" i="8" s="1"/>
  <c r="AM125" i="3"/>
  <c r="AN125" i="3" s="1"/>
  <c r="AO125" i="3" s="1"/>
  <c r="AE125" i="3"/>
  <c r="AF125" i="3" s="1"/>
  <c r="AG125" i="3" s="1"/>
  <c r="AH125" i="3" s="1"/>
  <c r="Y125" i="3"/>
  <c r="X125" i="3"/>
  <c r="U125" i="3"/>
  <c r="BI124" i="3"/>
  <c r="BE124" i="3"/>
  <c r="BF124" i="3" s="1"/>
  <c r="BG124" i="3" s="1"/>
  <c r="AY124" i="3"/>
  <c r="AV124" i="3"/>
  <c r="AR124" i="3"/>
  <c r="AS124" i="3" s="1"/>
  <c r="BL124" i="3" s="1"/>
  <c r="F53" i="8" s="1"/>
  <c r="AM124" i="3"/>
  <c r="AN124" i="3" s="1"/>
  <c r="AO124" i="3" s="1"/>
  <c r="AE124" i="3"/>
  <c r="AF124" i="3" s="1"/>
  <c r="AG124" i="3" s="1"/>
  <c r="AH124" i="3" s="1"/>
  <c r="Y124" i="3"/>
  <c r="X124" i="3"/>
  <c r="U124" i="3"/>
  <c r="BI123" i="3"/>
  <c r="BE123" i="3"/>
  <c r="BF123" i="3" s="1"/>
  <c r="BG123" i="3" s="1"/>
  <c r="AY123" i="3"/>
  <c r="AV123" i="3"/>
  <c r="AR123" i="3"/>
  <c r="AS123" i="3" s="1"/>
  <c r="BL123" i="3" s="1"/>
  <c r="F16" i="8" s="1"/>
  <c r="AM123" i="3"/>
  <c r="AN123" i="3" s="1"/>
  <c r="AO123" i="3" s="1"/>
  <c r="AE123" i="3"/>
  <c r="AF123" i="3" s="1"/>
  <c r="AG123" i="3" s="1"/>
  <c r="AH123" i="3" s="1"/>
  <c r="Y123" i="3"/>
  <c r="X123" i="3"/>
  <c r="U123" i="3"/>
  <c r="BI122" i="3"/>
  <c r="BE122" i="3"/>
  <c r="BF122" i="3" s="1"/>
  <c r="BG122" i="3" s="1"/>
  <c r="AY122" i="3"/>
  <c r="AV122" i="3"/>
  <c r="AR122" i="3"/>
  <c r="AS122" i="3" s="1"/>
  <c r="BL122" i="3" s="1"/>
  <c r="F279" i="8" s="1"/>
  <c r="AM122" i="3"/>
  <c r="AN122" i="3" s="1"/>
  <c r="AO122" i="3" s="1"/>
  <c r="AE122" i="3"/>
  <c r="AF122" i="3" s="1"/>
  <c r="AG122" i="3" s="1"/>
  <c r="AH122" i="3" s="1"/>
  <c r="Y122" i="3"/>
  <c r="X122" i="3"/>
  <c r="U122" i="3"/>
  <c r="BI121" i="3"/>
  <c r="BE121" i="3"/>
  <c r="BF121" i="3" s="1"/>
  <c r="BG121" i="3" s="1"/>
  <c r="AY121" i="3"/>
  <c r="AV121" i="3"/>
  <c r="AR121" i="3"/>
  <c r="AS121" i="3" s="1"/>
  <c r="BL121" i="3" s="1"/>
  <c r="F304" i="8" s="1"/>
  <c r="AM121" i="3"/>
  <c r="AN121" i="3" s="1"/>
  <c r="AO121" i="3" s="1"/>
  <c r="AE121" i="3"/>
  <c r="AF121" i="3" s="1"/>
  <c r="AG121" i="3" s="1"/>
  <c r="AH121" i="3" s="1"/>
  <c r="Y121" i="3"/>
  <c r="X121" i="3"/>
  <c r="U121" i="3"/>
  <c r="BI120" i="3"/>
  <c r="BE120" i="3"/>
  <c r="BF120" i="3" s="1"/>
  <c r="BG120" i="3" s="1"/>
  <c r="AY120" i="3"/>
  <c r="AV120" i="3"/>
  <c r="AR120" i="3"/>
  <c r="AS120" i="3" s="1"/>
  <c r="BL120" i="3" s="1"/>
  <c r="F228" i="8" s="1"/>
  <c r="AM120" i="3"/>
  <c r="AN120" i="3" s="1"/>
  <c r="AO120" i="3" s="1"/>
  <c r="AE120" i="3"/>
  <c r="AF120" i="3" s="1"/>
  <c r="AG120" i="3" s="1"/>
  <c r="AH120" i="3" s="1"/>
  <c r="Y120" i="3"/>
  <c r="X120" i="3"/>
  <c r="U120" i="3"/>
  <c r="BI119" i="3"/>
  <c r="BE119" i="3"/>
  <c r="BF119" i="3" s="1"/>
  <c r="BG119" i="3" s="1"/>
  <c r="AY119" i="3"/>
  <c r="AV119" i="3"/>
  <c r="AR119" i="3"/>
  <c r="AS119" i="3" s="1"/>
  <c r="BL119" i="3" s="1"/>
  <c r="F107" i="8" s="1"/>
  <c r="AM119" i="3"/>
  <c r="AN119" i="3" s="1"/>
  <c r="AO119" i="3" s="1"/>
  <c r="AE119" i="3"/>
  <c r="AF119" i="3" s="1"/>
  <c r="AG119" i="3" s="1"/>
  <c r="AH119" i="3" s="1"/>
  <c r="Y119" i="3"/>
  <c r="X119" i="3"/>
  <c r="U119" i="3"/>
  <c r="BI118" i="3"/>
  <c r="BE118" i="3"/>
  <c r="BF118" i="3" s="1"/>
  <c r="BG118" i="3" s="1"/>
  <c r="AY118" i="3"/>
  <c r="AV118" i="3"/>
  <c r="AR118" i="3"/>
  <c r="AS118" i="3" s="1"/>
  <c r="BL118" i="3" s="1"/>
  <c r="F89" i="8" s="1"/>
  <c r="AM118" i="3"/>
  <c r="AN118" i="3" s="1"/>
  <c r="AO118" i="3" s="1"/>
  <c r="AE118" i="3"/>
  <c r="AF118" i="3" s="1"/>
  <c r="AG118" i="3" s="1"/>
  <c r="AH118" i="3" s="1"/>
  <c r="Y118" i="3"/>
  <c r="X118" i="3"/>
  <c r="U118" i="3"/>
  <c r="BI117" i="3"/>
  <c r="BE117" i="3"/>
  <c r="BF117" i="3" s="1"/>
  <c r="BG117" i="3" s="1"/>
  <c r="AY117" i="3"/>
  <c r="AV117" i="3"/>
  <c r="AR117" i="3"/>
  <c r="AS117" i="3" s="1"/>
  <c r="BL117" i="3" s="1"/>
  <c r="F34" i="8" s="1"/>
  <c r="AM117" i="3"/>
  <c r="AN117" i="3" s="1"/>
  <c r="AO117" i="3" s="1"/>
  <c r="AE117" i="3"/>
  <c r="AF117" i="3" s="1"/>
  <c r="AG117" i="3" s="1"/>
  <c r="AH117" i="3" s="1"/>
  <c r="Y117" i="3"/>
  <c r="X117" i="3"/>
  <c r="U117" i="3"/>
  <c r="BI116" i="3"/>
  <c r="BE116" i="3"/>
  <c r="BF116" i="3" s="1"/>
  <c r="BG116" i="3" s="1"/>
  <c r="AY116" i="3"/>
  <c r="AV116" i="3"/>
  <c r="AR116" i="3"/>
  <c r="AS116" i="3" s="1"/>
  <c r="BL116" i="3" s="1"/>
  <c r="F194" i="8" s="1"/>
  <c r="AM116" i="3"/>
  <c r="AN116" i="3" s="1"/>
  <c r="AO116" i="3" s="1"/>
  <c r="AE116" i="3"/>
  <c r="AF116" i="3" s="1"/>
  <c r="AG116" i="3" s="1"/>
  <c r="AH116" i="3" s="1"/>
  <c r="Y116" i="3"/>
  <c r="X116" i="3"/>
  <c r="U116" i="3"/>
  <c r="BI115" i="3"/>
  <c r="BE115" i="3"/>
  <c r="BF115" i="3" s="1"/>
  <c r="BG115" i="3" s="1"/>
  <c r="AY115" i="3"/>
  <c r="AV115" i="3"/>
  <c r="AR115" i="3"/>
  <c r="AS115" i="3" s="1"/>
  <c r="BL115" i="3" s="1"/>
  <c r="F256" i="8" s="1"/>
  <c r="AM115" i="3"/>
  <c r="AN115" i="3" s="1"/>
  <c r="AO115" i="3" s="1"/>
  <c r="AE115" i="3"/>
  <c r="AF115" i="3" s="1"/>
  <c r="AG115" i="3" s="1"/>
  <c r="AH115" i="3" s="1"/>
  <c r="Y115" i="3"/>
  <c r="X115" i="3"/>
  <c r="U115" i="3"/>
  <c r="BI114" i="3"/>
  <c r="BE114" i="3"/>
  <c r="BF114" i="3" s="1"/>
  <c r="BG114" i="3" s="1"/>
  <c r="AY114" i="3"/>
  <c r="AV114" i="3"/>
  <c r="AR114" i="3"/>
  <c r="AS114" i="3" s="1"/>
  <c r="BL114" i="3" s="1"/>
  <c r="F289" i="8" s="1"/>
  <c r="AM114" i="3"/>
  <c r="AN114" i="3" s="1"/>
  <c r="AO114" i="3" s="1"/>
  <c r="AE114" i="3"/>
  <c r="AF114" i="3" s="1"/>
  <c r="AG114" i="3" s="1"/>
  <c r="AH114" i="3" s="1"/>
  <c r="Y114" i="3"/>
  <c r="X114" i="3"/>
  <c r="U114" i="3"/>
  <c r="BI113" i="3"/>
  <c r="BE113" i="3"/>
  <c r="BF113" i="3" s="1"/>
  <c r="BG113" i="3" s="1"/>
  <c r="AY113" i="3"/>
  <c r="AV113" i="3"/>
  <c r="AR113" i="3"/>
  <c r="AS113" i="3" s="1"/>
  <c r="BL113" i="3" s="1"/>
  <c r="F276" i="8" s="1"/>
  <c r="AM113" i="3"/>
  <c r="AN113" i="3" s="1"/>
  <c r="AO113" i="3" s="1"/>
  <c r="AE113" i="3"/>
  <c r="AF113" i="3" s="1"/>
  <c r="AG113" i="3" s="1"/>
  <c r="AH113" i="3" s="1"/>
  <c r="Y113" i="3"/>
  <c r="X113" i="3"/>
  <c r="U113" i="3"/>
  <c r="BI112" i="3"/>
  <c r="BE112" i="3"/>
  <c r="BF112" i="3" s="1"/>
  <c r="BG112" i="3" s="1"/>
  <c r="AY112" i="3"/>
  <c r="AV112" i="3"/>
  <c r="AR112" i="3"/>
  <c r="AS112" i="3" s="1"/>
  <c r="BL112" i="3" s="1"/>
  <c r="F248" i="8" s="1"/>
  <c r="AM112" i="3"/>
  <c r="AN112" i="3" s="1"/>
  <c r="AO112" i="3" s="1"/>
  <c r="AE112" i="3"/>
  <c r="AF112" i="3" s="1"/>
  <c r="AG112" i="3" s="1"/>
  <c r="AH112" i="3" s="1"/>
  <c r="Y112" i="3"/>
  <c r="X112" i="3"/>
  <c r="U112" i="3"/>
  <c r="BI111" i="3"/>
  <c r="BE111" i="3"/>
  <c r="BF111" i="3" s="1"/>
  <c r="BG111" i="3" s="1"/>
  <c r="AY111" i="3"/>
  <c r="AV111" i="3"/>
  <c r="AR111" i="3"/>
  <c r="AS111" i="3" s="1"/>
  <c r="BL111" i="3" s="1"/>
  <c r="F156" i="8" s="1"/>
  <c r="AM111" i="3"/>
  <c r="AN111" i="3" s="1"/>
  <c r="AO111" i="3" s="1"/>
  <c r="AE111" i="3"/>
  <c r="AF111" i="3" s="1"/>
  <c r="AG111" i="3" s="1"/>
  <c r="AH111" i="3" s="1"/>
  <c r="Y111" i="3"/>
  <c r="X111" i="3"/>
  <c r="U111" i="3"/>
  <c r="BI110" i="3"/>
  <c r="BE110" i="3"/>
  <c r="BF110" i="3" s="1"/>
  <c r="BG110" i="3" s="1"/>
  <c r="AY110" i="3"/>
  <c r="AV110" i="3"/>
  <c r="AR110" i="3"/>
  <c r="AS110" i="3" s="1"/>
  <c r="BL110" i="3" s="1"/>
  <c r="F158" i="8" s="1"/>
  <c r="AM110" i="3"/>
  <c r="AN110" i="3" s="1"/>
  <c r="AO110" i="3" s="1"/>
  <c r="AE110" i="3"/>
  <c r="AF110" i="3" s="1"/>
  <c r="AG110" i="3" s="1"/>
  <c r="AH110" i="3" s="1"/>
  <c r="Y110" i="3"/>
  <c r="X110" i="3"/>
  <c r="U110" i="3"/>
  <c r="BI109" i="3"/>
  <c r="BE109" i="3"/>
  <c r="BF109" i="3" s="1"/>
  <c r="BG109" i="3" s="1"/>
  <c r="AY109" i="3"/>
  <c r="AV109" i="3"/>
  <c r="AR109" i="3"/>
  <c r="AS109" i="3" s="1"/>
  <c r="BL109" i="3" s="1"/>
  <c r="F61" i="8" s="1"/>
  <c r="AM109" i="3"/>
  <c r="AN109" i="3" s="1"/>
  <c r="AO109" i="3" s="1"/>
  <c r="AE109" i="3"/>
  <c r="AF109" i="3" s="1"/>
  <c r="AG109" i="3" s="1"/>
  <c r="AH109" i="3" s="1"/>
  <c r="Y109" i="3"/>
  <c r="X109" i="3"/>
  <c r="U109" i="3"/>
  <c r="BI108" i="3"/>
  <c r="BE108" i="3"/>
  <c r="BF108" i="3" s="1"/>
  <c r="BG108" i="3" s="1"/>
  <c r="AY108" i="3"/>
  <c r="AV108" i="3"/>
  <c r="AR108" i="3"/>
  <c r="AS108" i="3" s="1"/>
  <c r="BL108" i="3" s="1"/>
  <c r="F12" i="8" s="1"/>
  <c r="AM108" i="3"/>
  <c r="AN108" i="3" s="1"/>
  <c r="AO108" i="3" s="1"/>
  <c r="AE108" i="3"/>
  <c r="AF108" i="3" s="1"/>
  <c r="AG108" i="3" s="1"/>
  <c r="AH108" i="3" s="1"/>
  <c r="Y108" i="3"/>
  <c r="X108" i="3"/>
  <c r="U108" i="3"/>
  <c r="BI107" i="3"/>
  <c r="BE107" i="3"/>
  <c r="BF107" i="3" s="1"/>
  <c r="BG107" i="3" s="1"/>
  <c r="AY107" i="3"/>
  <c r="AV107" i="3"/>
  <c r="AR107" i="3"/>
  <c r="AS107" i="3" s="1"/>
  <c r="BL107" i="3" s="1"/>
  <c r="F74" i="8" s="1"/>
  <c r="AM107" i="3"/>
  <c r="AN107" i="3" s="1"/>
  <c r="AO107" i="3" s="1"/>
  <c r="AE107" i="3"/>
  <c r="AF107" i="3" s="1"/>
  <c r="AG107" i="3" s="1"/>
  <c r="AH107" i="3" s="1"/>
  <c r="Y107" i="3"/>
  <c r="X107" i="3"/>
  <c r="U107" i="3"/>
  <c r="BI106" i="3"/>
  <c r="BE106" i="3"/>
  <c r="BF106" i="3" s="1"/>
  <c r="BG106" i="3" s="1"/>
  <c r="AY106" i="3"/>
  <c r="AV106" i="3"/>
  <c r="AR106" i="3"/>
  <c r="AS106" i="3" s="1"/>
  <c r="BL106" i="3" s="1"/>
  <c r="F144" i="8" s="1"/>
  <c r="AM106" i="3"/>
  <c r="AN106" i="3" s="1"/>
  <c r="AO106" i="3" s="1"/>
  <c r="AE106" i="3"/>
  <c r="AF106" i="3" s="1"/>
  <c r="AG106" i="3" s="1"/>
  <c r="AH106" i="3" s="1"/>
  <c r="Y106" i="3"/>
  <c r="X106" i="3"/>
  <c r="U106" i="3"/>
  <c r="BI105" i="3"/>
  <c r="BE105" i="3"/>
  <c r="BF105" i="3" s="1"/>
  <c r="BG105" i="3" s="1"/>
  <c r="AY105" i="3"/>
  <c r="AV105" i="3"/>
  <c r="AR105" i="3"/>
  <c r="AS105" i="3" s="1"/>
  <c r="BL105" i="3" s="1"/>
  <c r="F142" i="8" s="1"/>
  <c r="AM105" i="3"/>
  <c r="AN105" i="3" s="1"/>
  <c r="AO105" i="3" s="1"/>
  <c r="AE105" i="3"/>
  <c r="AF105" i="3" s="1"/>
  <c r="AG105" i="3" s="1"/>
  <c r="AH105" i="3" s="1"/>
  <c r="Y105" i="3"/>
  <c r="X105" i="3"/>
  <c r="U105" i="3"/>
  <c r="BI104" i="3"/>
  <c r="BE104" i="3"/>
  <c r="BF104" i="3" s="1"/>
  <c r="BG104" i="3" s="1"/>
  <c r="AY104" i="3"/>
  <c r="AV104" i="3"/>
  <c r="AR104" i="3"/>
  <c r="AS104" i="3" s="1"/>
  <c r="BL104" i="3" s="1"/>
  <c r="F295" i="8" s="1"/>
  <c r="AM104" i="3"/>
  <c r="AN104" i="3" s="1"/>
  <c r="AO104" i="3" s="1"/>
  <c r="AE104" i="3"/>
  <c r="AF104" i="3" s="1"/>
  <c r="AG104" i="3" s="1"/>
  <c r="AH104" i="3" s="1"/>
  <c r="Y104" i="3"/>
  <c r="X104" i="3"/>
  <c r="U104" i="3"/>
  <c r="BI103" i="3"/>
  <c r="BE103" i="3"/>
  <c r="BF103" i="3" s="1"/>
  <c r="BG103" i="3" s="1"/>
  <c r="AY103" i="3"/>
  <c r="AV103" i="3"/>
  <c r="AR103" i="3"/>
  <c r="AS103" i="3" s="1"/>
  <c r="BL103" i="3" s="1"/>
  <c r="F140" i="8" s="1"/>
  <c r="AM103" i="3"/>
  <c r="AN103" i="3" s="1"/>
  <c r="AO103" i="3" s="1"/>
  <c r="AE103" i="3"/>
  <c r="AF103" i="3" s="1"/>
  <c r="AG103" i="3" s="1"/>
  <c r="AH103" i="3" s="1"/>
  <c r="Y103" i="3"/>
  <c r="X103" i="3"/>
  <c r="U103" i="3"/>
  <c r="BI102" i="3"/>
  <c r="BE102" i="3"/>
  <c r="BF102" i="3" s="1"/>
  <c r="BG102" i="3" s="1"/>
  <c r="AY102" i="3"/>
  <c r="AV102" i="3"/>
  <c r="AR102" i="3"/>
  <c r="AS102" i="3" s="1"/>
  <c r="BL102" i="3" s="1"/>
  <c r="F225" i="8" s="1"/>
  <c r="AM102" i="3"/>
  <c r="AN102" i="3" s="1"/>
  <c r="AO102" i="3" s="1"/>
  <c r="AE102" i="3"/>
  <c r="AF102" i="3" s="1"/>
  <c r="AG102" i="3" s="1"/>
  <c r="AH102" i="3" s="1"/>
  <c r="Y102" i="3"/>
  <c r="X102" i="3"/>
  <c r="U102" i="3"/>
  <c r="BI101" i="3"/>
  <c r="BE101" i="3"/>
  <c r="BF101" i="3" s="1"/>
  <c r="BG101" i="3" s="1"/>
  <c r="AY101" i="3"/>
  <c r="AV101" i="3"/>
  <c r="AR101" i="3"/>
  <c r="AS101" i="3" s="1"/>
  <c r="BL101" i="3" s="1"/>
  <c r="F262" i="8" s="1"/>
  <c r="AM101" i="3"/>
  <c r="AN101" i="3" s="1"/>
  <c r="AO101" i="3" s="1"/>
  <c r="AE101" i="3"/>
  <c r="AF101" i="3" s="1"/>
  <c r="AG101" i="3" s="1"/>
  <c r="AH101" i="3" s="1"/>
  <c r="Y101" i="3"/>
  <c r="X101" i="3"/>
  <c r="U101" i="3"/>
  <c r="BI100" i="3"/>
  <c r="BE100" i="3"/>
  <c r="BF100" i="3" s="1"/>
  <c r="BG100" i="3" s="1"/>
  <c r="AY100" i="3"/>
  <c r="AV100" i="3"/>
  <c r="AR100" i="3"/>
  <c r="AS100" i="3" s="1"/>
  <c r="BL100" i="3" s="1"/>
  <c r="F9" i="8" s="1"/>
  <c r="AM100" i="3"/>
  <c r="AN100" i="3" s="1"/>
  <c r="AO100" i="3" s="1"/>
  <c r="AE100" i="3"/>
  <c r="AF100" i="3" s="1"/>
  <c r="AG100" i="3" s="1"/>
  <c r="AH100" i="3" s="1"/>
  <c r="Y100" i="3"/>
  <c r="X100" i="3"/>
  <c r="U100" i="3"/>
  <c r="BI99" i="3"/>
  <c r="BE99" i="3"/>
  <c r="BF99" i="3" s="1"/>
  <c r="BG99" i="3" s="1"/>
  <c r="AY99" i="3"/>
  <c r="AV99" i="3"/>
  <c r="AR99" i="3"/>
  <c r="AS99" i="3" s="1"/>
  <c r="BL99" i="3" s="1"/>
  <c r="F126" i="8" s="1"/>
  <c r="AM99" i="3"/>
  <c r="AN99" i="3" s="1"/>
  <c r="AO99" i="3" s="1"/>
  <c r="AE99" i="3"/>
  <c r="AF99" i="3" s="1"/>
  <c r="AG99" i="3" s="1"/>
  <c r="AH99" i="3" s="1"/>
  <c r="Y99" i="3"/>
  <c r="X99" i="3"/>
  <c r="U99" i="3"/>
  <c r="BI98" i="3"/>
  <c r="BE98" i="3"/>
  <c r="BF98" i="3" s="1"/>
  <c r="BG98" i="3" s="1"/>
  <c r="AY98" i="3"/>
  <c r="AV98" i="3"/>
  <c r="AR98" i="3"/>
  <c r="AS98" i="3" s="1"/>
  <c r="BL98" i="3" s="1"/>
  <c r="F286" i="8" s="1"/>
  <c r="AM98" i="3"/>
  <c r="AN98" i="3" s="1"/>
  <c r="AO98" i="3" s="1"/>
  <c r="AE98" i="3"/>
  <c r="AF98" i="3" s="1"/>
  <c r="AG98" i="3" s="1"/>
  <c r="AH98" i="3" s="1"/>
  <c r="Y98" i="3"/>
  <c r="X98" i="3"/>
  <c r="U98" i="3"/>
  <c r="BI97" i="3"/>
  <c r="BE97" i="3"/>
  <c r="BF97" i="3" s="1"/>
  <c r="BG97" i="3" s="1"/>
  <c r="AY97" i="3"/>
  <c r="AV97" i="3"/>
  <c r="AR97" i="3"/>
  <c r="AS97" i="3" s="1"/>
  <c r="BL97" i="3" s="1"/>
  <c r="F44" i="8" s="1"/>
  <c r="AM97" i="3"/>
  <c r="AN97" i="3" s="1"/>
  <c r="AO97" i="3" s="1"/>
  <c r="AE97" i="3"/>
  <c r="AF97" i="3" s="1"/>
  <c r="AG97" i="3" s="1"/>
  <c r="AH97" i="3" s="1"/>
  <c r="Y97" i="3"/>
  <c r="X97" i="3"/>
  <c r="U97" i="3"/>
  <c r="BI96" i="3"/>
  <c r="BE96" i="3"/>
  <c r="BF96" i="3" s="1"/>
  <c r="BG96" i="3" s="1"/>
  <c r="AY96" i="3"/>
  <c r="AV96" i="3"/>
  <c r="AR96" i="3"/>
  <c r="AS96" i="3" s="1"/>
  <c r="BL96" i="3" s="1"/>
  <c r="F192" i="8" s="1"/>
  <c r="AM96" i="3"/>
  <c r="AN96" i="3" s="1"/>
  <c r="AO96" i="3" s="1"/>
  <c r="AE96" i="3"/>
  <c r="AF96" i="3" s="1"/>
  <c r="AG96" i="3" s="1"/>
  <c r="AH96" i="3" s="1"/>
  <c r="Y96" i="3"/>
  <c r="X96" i="3"/>
  <c r="U96" i="3"/>
  <c r="BI95" i="3"/>
  <c r="BE95" i="3"/>
  <c r="BF95" i="3" s="1"/>
  <c r="BG95" i="3" s="1"/>
  <c r="AY95" i="3"/>
  <c r="AV95" i="3"/>
  <c r="AR95" i="3"/>
  <c r="AS95" i="3" s="1"/>
  <c r="BL95" i="3" s="1"/>
  <c r="F64" i="8" s="1"/>
  <c r="AM95" i="3"/>
  <c r="AN95" i="3" s="1"/>
  <c r="AO95" i="3" s="1"/>
  <c r="AE95" i="3"/>
  <c r="AF95" i="3" s="1"/>
  <c r="AG95" i="3" s="1"/>
  <c r="AH95" i="3" s="1"/>
  <c r="Y95" i="3"/>
  <c r="X95" i="3"/>
  <c r="U95" i="3"/>
  <c r="BI94" i="3"/>
  <c r="BE94" i="3"/>
  <c r="BF94" i="3" s="1"/>
  <c r="BG94" i="3" s="1"/>
  <c r="AY94" i="3"/>
  <c r="AV94" i="3"/>
  <c r="AR94" i="3"/>
  <c r="AS94" i="3" s="1"/>
  <c r="BL94" i="3" s="1"/>
  <c r="F83" i="8" s="1"/>
  <c r="AM94" i="3"/>
  <c r="AN94" i="3" s="1"/>
  <c r="AO94" i="3" s="1"/>
  <c r="AE94" i="3"/>
  <c r="AF94" i="3" s="1"/>
  <c r="AG94" i="3" s="1"/>
  <c r="AH94" i="3" s="1"/>
  <c r="Y94" i="3"/>
  <c r="X94" i="3"/>
  <c r="U94" i="3"/>
  <c r="BI93" i="3"/>
  <c r="BE93" i="3"/>
  <c r="BF93" i="3" s="1"/>
  <c r="BG93" i="3" s="1"/>
  <c r="AY93" i="3"/>
  <c r="AV93" i="3"/>
  <c r="AR93" i="3"/>
  <c r="AS93" i="3" s="1"/>
  <c r="BL93" i="3" s="1"/>
  <c r="F227" i="8" s="1"/>
  <c r="AM93" i="3"/>
  <c r="AN93" i="3" s="1"/>
  <c r="AO93" i="3" s="1"/>
  <c r="AE93" i="3"/>
  <c r="AF93" i="3" s="1"/>
  <c r="AG93" i="3" s="1"/>
  <c r="AH93" i="3" s="1"/>
  <c r="Y93" i="3"/>
  <c r="X93" i="3"/>
  <c r="U93" i="3"/>
  <c r="BI92" i="3"/>
  <c r="BE92" i="3"/>
  <c r="BF92" i="3" s="1"/>
  <c r="BG92" i="3" s="1"/>
  <c r="AY92" i="3"/>
  <c r="AV92" i="3"/>
  <c r="AR92" i="3"/>
  <c r="AS92" i="3" s="1"/>
  <c r="BL92" i="3" s="1"/>
  <c r="F6" i="8" s="1"/>
  <c r="AM92" i="3"/>
  <c r="AN92" i="3" s="1"/>
  <c r="AO92" i="3" s="1"/>
  <c r="AE92" i="3"/>
  <c r="AF92" i="3" s="1"/>
  <c r="AG92" i="3" s="1"/>
  <c r="AH92" i="3" s="1"/>
  <c r="Y92" i="3"/>
  <c r="X92" i="3"/>
  <c r="U92" i="3"/>
  <c r="BI91" i="3"/>
  <c r="BE91" i="3"/>
  <c r="BF91" i="3" s="1"/>
  <c r="BG91" i="3" s="1"/>
  <c r="AY91" i="3"/>
  <c r="AV91" i="3"/>
  <c r="AR91" i="3"/>
  <c r="AS91" i="3" s="1"/>
  <c r="BL91" i="3" s="1"/>
  <c r="F277" i="8" s="1"/>
  <c r="AM91" i="3"/>
  <c r="AN91" i="3" s="1"/>
  <c r="AO91" i="3" s="1"/>
  <c r="AE91" i="3"/>
  <c r="AF91" i="3" s="1"/>
  <c r="AG91" i="3" s="1"/>
  <c r="AH91" i="3" s="1"/>
  <c r="Y91" i="3"/>
  <c r="X91" i="3"/>
  <c r="U91" i="3"/>
  <c r="BI90" i="3"/>
  <c r="BE90" i="3"/>
  <c r="BF90" i="3" s="1"/>
  <c r="BG90" i="3" s="1"/>
  <c r="AY90" i="3"/>
  <c r="AV90" i="3"/>
  <c r="AR90" i="3"/>
  <c r="AS90" i="3" s="1"/>
  <c r="BL90" i="3" s="1"/>
  <c r="F317" i="8" s="1"/>
  <c r="AM90" i="3"/>
  <c r="AN90" i="3" s="1"/>
  <c r="AO90" i="3" s="1"/>
  <c r="AE90" i="3"/>
  <c r="AF90" i="3" s="1"/>
  <c r="AG90" i="3" s="1"/>
  <c r="AH90" i="3" s="1"/>
  <c r="Y90" i="3"/>
  <c r="X90" i="3"/>
  <c r="U90" i="3"/>
  <c r="BI89" i="3"/>
  <c r="BE89" i="3"/>
  <c r="BF89" i="3" s="1"/>
  <c r="BG89" i="3" s="1"/>
  <c r="AY89" i="3"/>
  <c r="AV89" i="3"/>
  <c r="AR89" i="3"/>
  <c r="AS89" i="3" s="1"/>
  <c r="BL89" i="3" s="1"/>
  <c r="F251" i="8" s="1"/>
  <c r="AM89" i="3"/>
  <c r="AN89" i="3" s="1"/>
  <c r="AO89" i="3" s="1"/>
  <c r="AE89" i="3"/>
  <c r="AF89" i="3" s="1"/>
  <c r="AG89" i="3" s="1"/>
  <c r="AH89" i="3" s="1"/>
  <c r="Y89" i="3"/>
  <c r="X89" i="3"/>
  <c r="U89" i="3"/>
  <c r="BI88" i="3"/>
  <c r="BE88" i="3"/>
  <c r="BF88" i="3" s="1"/>
  <c r="BG88" i="3" s="1"/>
  <c r="AY88" i="3"/>
  <c r="AV88" i="3"/>
  <c r="AR88" i="3"/>
  <c r="AS88" i="3" s="1"/>
  <c r="BL88" i="3" s="1"/>
  <c r="F298" i="8" s="1"/>
  <c r="AM88" i="3"/>
  <c r="AN88" i="3" s="1"/>
  <c r="AO88" i="3" s="1"/>
  <c r="AE88" i="3"/>
  <c r="AF88" i="3" s="1"/>
  <c r="AG88" i="3" s="1"/>
  <c r="AH88" i="3" s="1"/>
  <c r="Y88" i="3"/>
  <c r="X88" i="3"/>
  <c r="U88" i="3"/>
  <c r="BI87" i="3"/>
  <c r="BE87" i="3"/>
  <c r="BF87" i="3" s="1"/>
  <c r="BG87" i="3" s="1"/>
  <c r="AY87" i="3"/>
  <c r="AV87" i="3"/>
  <c r="AR87" i="3"/>
  <c r="AS87" i="3" s="1"/>
  <c r="BL87" i="3" s="1"/>
  <c r="F75" i="8" s="1"/>
  <c r="AM87" i="3"/>
  <c r="AN87" i="3" s="1"/>
  <c r="AO87" i="3" s="1"/>
  <c r="AE87" i="3"/>
  <c r="AF87" i="3" s="1"/>
  <c r="AG87" i="3" s="1"/>
  <c r="AH87" i="3" s="1"/>
  <c r="Y87" i="3"/>
  <c r="X87" i="3"/>
  <c r="U87" i="3"/>
  <c r="BI86" i="3"/>
  <c r="BE86" i="3"/>
  <c r="BF86" i="3" s="1"/>
  <c r="BG86" i="3" s="1"/>
  <c r="AY86" i="3"/>
  <c r="AV86" i="3"/>
  <c r="AR86" i="3"/>
  <c r="AS86" i="3" s="1"/>
  <c r="BL86" i="3" s="1"/>
  <c r="F242" i="8" s="1"/>
  <c r="AM86" i="3"/>
  <c r="AN86" i="3" s="1"/>
  <c r="AO86" i="3" s="1"/>
  <c r="AE86" i="3"/>
  <c r="AF86" i="3" s="1"/>
  <c r="AG86" i="3" s="1"/>
  <c r="AH86" i="3" s="1"/>
  <c r="Y86" i="3"/>
  <c r="X86" i="3"/>
  <c r="U86" i="3"/>
  <c r="BI85" i="3"/>
  <c r="BE85" i="3"/>
  <c r="BF85" i="3" s="1"/>
  <c r="BG85" i="3" s="1"/>
  <c r="AY85" i="3"/>
  <c r="AV85" i="3"/>
  <c r="AR85" i="3"/>
  <c r="AS85" i="3" s="1"/>
  <c r="BL85" i="3" s="1"/>
  <c r="F114" i="8" s="1"/>
  <c r="AM85" i="3"/>
  <c r="AN85" i="3" s="1"/>
  <c r="AO85" i="3" s="1"/>
  <c r="AE85" i="3"/>
  <c r="AF85" i="3" s="1"/>
  <c r="AG85" i="3" s="1"/>
  <c r="AH85" i="3" s="1"/>
  <c r="Y85" i="3"/>
  <c r="X85" i="3"/>
  <c r="U85" i="3"/>
  <c r="BI84" i="3"/>
  <c r="BE84" i="3"/>
  <c r="BF84" i="3" s="1"/>
  <c r="BG84" i="3" s="1"/>
  <c r="AY84" i="3"/>
  <c r="AV84" i="3"/>
  <c r="AR84" i="3"/>
  <c r="AS84" i="3" s="1"/>
  <c r="BL84" i="3" s="1"/>
  <c r="F280" i="8" s="1"/>
  <c r="AM84" i="3"/>
  <c r="AN84" i="3" s="1"/>
  <c r="AO84" i="3" s="1"/>
  <c r="AE84" i="3"/>
  <c r="AF84" i="3" s="1"/>
  <c r="AG84" i="3" s="1"/>
  <c r="AH84" i="3" s="1"/>
  <c r="Y84" i="3"/>
  <c r="X84" i="3"/>
  <c r="U84" i="3"/>
  <c r="BI83" i="3"/>
  <c r="BE83" i="3"/>
  <c r="BF83" i="3" s="1"/>
  <c r="BG83" i="3" s="1"/>
  <c r="AY83" i="3"/>
  <c r="AV83" i="3"/>
  <c r="AR83" i="3"/>
  <c r="AS83" i="3" s="1"/>
  <c r="BL83" i="3" s="1"/>
  <c r="F32" i="8" s="1"/>
  <c r="AM83" i="3"/>
  <c r="AN83" i="3" s="1"/>
  <c r="AO83" i="3" s="1"/>
  <c r="AE83" i="3"/>
  <c r="AF83" i="3" s="1"/>
  <c r="AG83" i="3" s="1"/>
  <c r="AH83" i="3" s="1"/>
  <c r="Y83" i="3"/>
  <c r="X83" i="3"/>
  <c r="U83" i="3"/>
  <c r="BI82" i="3"/>
  <c r="BE82" i="3"/>
  <c r="BF82" i="3" s="1"/>
  <c r="BG82" i="3" s="1"/>
  <c r="AY82" i="3"/>
  <c r="AV82" i="3"/>
  <c r="AR82" i="3"/>
  <c r="AS82" i="3" s="1"/>
  <c r="BL82" i="3" s="1"/>
  <c r="F136" i="8" s="1"/>
  <c r="AM82" i="3"/>
  <c r="AN82" i="3" s="1"/>
  <c r="AO82" i="3" s="1"/>
  <c r="AE82" i="3"/>
  <c r="AF82" i="3" s="1"/>
  <c r="AG82" i="3" s="1"/>
  <c r="AH82" i="3" s="1"/>
  <c r="Y82" i="3"/>
  <c r="X82" i="3"/>
  <c r="U82" i="3"/>
  <c r="BI81" i="3"/>
  <c r="BE81" i="3"/>
  <c r="BF81" i="3" s="1"/>
  <c r="BG81" i="3" s="1"/>
  <c r="AY81" i="3"/>
  <c r="AV81" i="3"/>
  <c r="AR81" i="3"/>
  <c r="AS81" i="3" s="1"/>
  <c r="BL81" i="3" s="1"/>
  <c r="F322" i="8" s="1"/>
  <c r="AM81" i="3"/>
  <c r="AN81" i="3" s="1"/>
  <c r="AO81" i="3" s="1"/>
  <c r="AE81" i="3"/>
  <c r="AF81" i="3" s="1"/>
  <c r="AG81" i="3" s="1"/>
  <c r="AH81" i="3" s="1"/>
  <c r="Y81" i="3"/>
  <c r="X81" i="3"/>
  <c r="U81" i="3"/>
  <c r="BI80" i="3"/>
  <c r="BE80" i="3"/>
  <c r="BF80" i="3" s="1"/>
  <c r="BG80" i="3" s="1"/>
  <c r="AY80" i="3"/>
  <c r="AV80" i="3"/>
  <c r="AR80" i="3"/>
  <c r="AS80" i="3" s="1"/>
  <c r="BL80" i="3" s="1"/>
  <c r="F68" i="8" s="1"/>
  <c r="AM80" i="3"/>
  <c r="AN80" i="3" s="1"/>
  <c r="AO80" i="3" s="1"/>
  <c r="AE80" i="3"/>
  <c r="AF80" i="3" s="1"/>
  <c r="AG80" i="3" s="1"/>
  <c r="AH80" i="3" s="1"/>
  <c r="Y80" i="3"/>
  <c r="X80" i="3"/>
  <c r="U80" i="3"/>
  <c r="BI79" i="3"/>
  <c r="BE79" i="3"/>
  <c r="BF79" i="3" s="1"/>
  <c r="BG79" i="3" s="1"/>
  <c r="AY79" i="3"/>
  <c r="AV79" i="3"/>
  <c r="AR79" i="3"/>
  <c r="AS79" i="3" s="1"/>
  <c r="BL79" i="3" s="1"/>
  <c r="F188" i="8" s="1"/>
  <c r="AM79" i="3"/>
  <c r="AN79" i="3" s="1"/>
  <c r="AO79" i="3" s="1"/>
  <c r="AE79" i="3"/>
  <c r="AF79" i="3" s="1"/>
  <c r="AG79" i="3" s="1"/>
  <c r="AH79" i="3" s="1"/>
  <c r="Y79" i="3"/>
  <c r="X79" i="3"/>
  <c r="U79" i="3"/>
  <c r="BI78" i="3"/>
  <c r="BE78" i="3"/>
  <c r="BF78" i="3" s="1"/>
  <c r="BG78" i="3" s="1"/>
  <c r="AY78" i="3"/>
  <c r="AV78" i="3"/>
  <c r="AR78" i="3"/>
  <c r="AS78" i="3" s="1"/>
  <c r="BL78" i="3" s="1"/>
  <c r="F183" i="8" s="1"/>
  <c r="AM78" i="3"/>
  <c r="AN78" i="3" s="1"/>
  <c r="AO78" i="3" s="1"/>
  <c r="AE78" i="3"/>
  <c r="AF78" i="3" s="1"/>
  <c r="AG78" i="3" s="1"/>
  <c r="AH78" i="3" s="1"/>
  <c r="Y78" i="3"/>
  <c r="X78" i="3"/>
  <c r="U78" i="3"/>
  <c r="BI77" i="3"/>
  <c r="BE77" i="3"/>
  <c r="BF77" i="3" s="1"/>
  <c r="BG77" i="3" s="1"/>
  <c r="AY77" i="3"/>
  <c r="AV77" i="3"/>
  <c r="AR77" i="3"/>
  <c r="AS77" i="3" s="1"/>
  <c r="BL77" i="3" s="1"/>
  <c r="F58" i="8" s="1"/>
  <c r="AM77" i="3"/>
  <c r="AN77" i="3" s="1"/>
  <c r="AO77" i="3" s="1"/>
  <c r="AE77" i="3"/>
  <c r="AF77" i="3" s="1"/>
  <c r="AG77" i="3" s="1"/>
  <c r="AH77" i="3" s="1"/>
  <c r="Y77" i="3"/>
  <c r="X77" i="3"/>
  <c r="U77" i="3"/>
  <c r="BI76" i="3"/>
  <c r="BE76" i="3"/>
  <c r="BF76" i="3" s="1"/>
  <c r="BG76" i="3" s="1"/>
  <c r="AY76" i="3"/>
  <c r="AV76" i="3"/>
  <c r="AR76" i="3"/>
  <c r="AS76" i="3" s="1"/>
  <c r="BL76" i="3" s="1"/>
  <c r="F218" i="8" s="1"/>
  <c r="AM76" i="3"/>
  <c r="AN76" i="3" s="1"/>
  <c r="AO76" i="3" s="1"/>
  <c r="AE76" i="3"/>
  <c r="AF76" i="3" s="1"/>
  <c r="AG76" i="3" s="1"/>
  <c r="AH76" i="3" s="1"/>
  <c r="Y76" i="3"/>
  <c r="X76" i="3"/>
  <c r="U76" i="3"/>
  <c r="BI75" i="3"/>
  <c r="BE75" i="3"/>
  <c r="BF75" i="3" s="1"/>
  <c r="BG75" i="3" s="1"/>
  <c r="AY75" i="3"/>
  <c r="AV75" i="3"/>
  <c r="AR75" i="3"/>
  <c r="AS75" i="3" s="1"/>
  <c r="BL75" i="3" s="1"/>
  <c r="F30" i="8" s="1"/>
  <c r="AM75" i="3"/>
  <c r="AN75" i="3" s="1"/>
  <c r="AO75" i="3" s="1"/>
  <c r="AE75" i="3"/>
  <c r="AF75" i="3" s="1"/>
  <c r="AG75" i="3" s="1"/>
  <c r="AH75" i="3" s="1"/>
  <c r="Y75" i="3"/>
  <c r="X75" i="3"/>
  <c r="U75" i="3"/>
  <c r="BI74" i="3"/>
  <c r="BE74" i="3"/>
  <c r="BF74" i="3" s="1"/>
  <c r="BG74" i="3" s="1"/>
  <c r="AY74" i="3"/>
  <c r="AV74" i="3"/>
  <c r="AR74" i="3"/>
  <c r="AS74" i="3" s="1"/>
  <c r="BL74" i="3" s="1"/>
  <c r="F60" i="8" s="1"/>
  <c r="AM74" i="3"/>
  <c r="AN74" i="3" s="1"/>
  <c r="AO74" i="3" s="1"/>
  <c r="AE74" i="3"/>
  <c r="AF74" i="3" s="1"/>
  <c r="AG74" i="3" s="1"/>
  <c r="AH74" i="3" s="1"/>
  <c r="Y74" i="3"/>
  <c r="X74" i="3"/>
  <c r="U74" i="3"/>
  <c r="BI73" i="3"/>
  <c r="BE73" i="3"/>
  <c r="BF73" i="3" s="1"/>
  <c r="BG73" i="3" s="1"/>
  <c r="AY73" i="3"/>
  <c r="AV73" i="3"/>
  <c r="AR73" i="3"/>
  <c r="AS73" i="3" s="1"/>
  <c r="BL73" i="3" s="1"/>
  <c r="F150" i="8" s="1"/>
  <c r="AM73" i="3"/>
  <c r="AN73" i="3" s="1"/>
  <c r="AO73" i="3" s="1"/>
  <c r="AE73" i="3"/>
  <c r="AF73" i="3" s="1"/>
  <c r="AG73" i="3" s="1"/>
  <c r="AH73" i="3" s="1"/>
  <c r="Y73" i="3"/>
  <c r="X73" i="3"/>
  <c r="U73" i="3"/>
  <c r="BI72" i="3"/>
  <c r="BE72" i="3"/>
  <c r="BF72" i="3" s="1"/>
  <c r="BG72" i="3" s="1"/>
  <c r="AY72" i="3"/>
  <c r="AV72" i="3"/>
  <c r="AR72" i="3"/>
  <c r="AS72" i="3" s="1"/>
  <c r="BL72" i="3" s="1"/>
  <c r="F123" i="8" s="1"/>
  <c r="AM72" i="3"/>
  <c r="AN72" i="3" s="1"/>
  <c r="AO72" i="3" s="1"/>
  <c r="AE72" i="3"/>
  <c r="AF72" i="3" s="1"/>
  <c r="AG72" i="3" s="1"/>
  <c r="AH72" i="3" s="1"/>
  <c r="Y72" i="3"/>
  <c r="X72" i="3"/>
  <c r="U72" i="3"/>
  <c r="BI71" i="3"/>
  <c r="BE71" i="3"/>
  <c r="BF71" i="3" s="1"/>
  <c r="BG71" i="3" s="1"/>
  <c r="AY71" i="3"/>
  <c r="AV71" i="3"/>
  <c r="AR71" i="3"/>
  <c r="AS71" i="3" s="1"/>
  <c r="BL71" i="3" s="1"/>
  <c r="F288" i="8" s="1"/>
  <c r="AM71" i="3"/>
  <c r="AN71" i="3" s="1"/>
  <c r="AO71" i="3" s="1"/>
  <c r="AE71" i="3"/>
  <c r="AF71" i="3" s="1"/>
  <c r="AG71" i="3" s="1"/>
  <c r="AH71" i="3" s="1"/>
  <c r="Y71" i="3"/>
  <c r="X71" i="3"/>
  <c r="U71" i="3"/>
  <c r="BI70" i="3"/>
  <c r="BE70" i="3"/>
  <c r="BF70" i="3" s="1"/>
  <c r="BG70" i="3" s="1"/>
  <c r="AY70" i="3"/>
  <c r="AV70" i="3"/>
  <c r="AR70" i="3"/>
  <c r="AS70" i="3" s="1"/>
  <c r="BL70" i="3" s="1"/>
  <c r="F258" i="8" s="1"/>
  <c r="AM70" i="3"/>
  <c r="AN70" i="3" s="1"/>
  <c r="AO70" i="3" s="1"/>
  <c r="AE70" i="3"/>
  <c r="AF70" i="3" s="1"/>
  <c r="AG70" i="3" s="1"/>
  <c r="AH70" i="3" s="1"/>
  <c r="Y70" i="3"/>
  <c r="X70" i="3"/>
  <c r="U70" i="3"/>
  <c r="BI69" i="3"/>
  <c r="BE69" i="3"/>
  <c r="BF69" i="3" s="1"/>
  <c r="BG69" i="3" s="1"/>
  <c r="AY69" i="3"/>
  <c r="AV69" i="3"/>
  <c r="AR69" i="3"/>
  <c r="AS69" i="3" s="1"/>
  <c r="BL69" i="3" s="1"/>
  <c r="F235" i="8" s="1"/>
  <c r="AM69" i="3"/>
  <c r="AN69" i="3" s="1"/>
  <c r="AO69" i="3" s="1"/>
  <c r="AE69" i="3"/>
  <c r="AF69" i="3" s="1"/>
  <c r="AG69" i="3" s="1"/>
  <c r="AH69" i="3" s="1"/>
  <c r="Y69" i="3"/>
  <c r="X69" i="3"/>
  <c r="U69" i="3"/>
  <c r="BI68" i="3"/>
  <c r="BE68" i="3"/>
  <c r="BF68" i="3" s="1"/>
  <c r="BG68" i="3" s="1"/>
  <c r="AY68" i="3"/>
  <c r="AV68" i="3"/>
  <c r="AR68" i="3"/>
  <c r="AS68" i="3" s="1"/>
  <c r="BL68" i="3" s="1"/>
  <c r="F119" i="8" s="1"/>
  <c r="AM68" i="3"/>
  <c r="AN68" i="3" s="1"/>
  <c r="AO68" i="3" s="1"/>
  <c r="AE68" i="3"/>
  <c r="AF68" i="3" s="1"/>
  <c r="AG68" i="3" s="1"/>
  <c r="AH68" i="3" s="1"/>
  <c r="Y68" i="3"/>
  <c r="X68" i="3"/>
  <c r="U68" i="3"/>
  <c r="BI67" i="3"/>
  <c r="BE67" i="3"/>
  <c r="BF67" i="3" s="1"/>
  <c r="BG67" i="3" s="1"/>
  <c r="AY67" i="3"/>
  <c r="AV67" i="3"/>
  <c r="AR67" i="3"/>
  <c r="AS67" i="3" s="1"/>
  <c r="BL67" i="3" s="1"/>
  <c r="F282" i="8" s="1"/>
  <c r="AM67" i="3"/>
  <c r="AN67" i="3" s="1"/>
  <c r="AO67" i="3" s="1"/>
  <c r="AE67" i="3"/>
  <c r="AF67" i="3" s="1"/>
  <c r="AG67" i="3" s="1"/>
  <c r="AH67" i="3" s="1"/>
  <c r="Y67" i="3"/>
  <c r="X67" i="3"/>
  <c r="U67" i="3"/>
  <c r="BI66" i="3"/>
  <c r="BE66" i="3"/>
  <c r="BF66" i="3" s="1"/>
  <c r="BG66" i="3" s="1"/>
  <c r="AY66" i="3"/>
  <c r="AV66" i="3"/>
  <c r="AR66" i="3"/>
  <c r="AS66" i="3" s="1"/>
  <c r="BL66" i="3" s="1"/>
  <c r="F206" i="8" s="1"/>
  <c r="AM66" i="3"/>
  <c r="AN66" i="3" s="1"/>
  <c r="AO66" i="3" s="1"/>
  <c r="AE66" i="3"/>
  <c r="AF66" i="3" s="1"/>
  <c r="AG66" i="3" s="1"/>
  <c r="AH66" i="3" s="1"/>
  <c r="Y66" i="3"/>
  <c r="X66" i="3"/>
  <c r="U66" i="3"/>
  <c r="BI65" i="3"/>
  <c r="BE65" i="3"/>
  <c r="BF65" i="3" s="1"/>
  <c r="BG65" i="3" s="1"/>
  <c r="AY65" i="3"/>
  <c r="AV65" i="3"/>
  <c r="AR65" i="3"/>
  <c r="AS65" i="3" s="1"/>
  <c r="BL65" i="3" s="1"/>
  <c r="F117" i="8" s="1"/>
  <c r="AM65" i="3"/>
  <c r="AN65" i="3" s="1"/>
  <c r="AO65" i="3" s="1"/>
  <c r="AE65" i="3"/>
  <c r="AF65" i="3" s="1"/>
  <c r="AG65" i="3" s="1"/>
  <c r="AH65" i="3" s="1"/>
  <c r="Y65" i="3"/>
  <c r="X65" i="3"/>
  <c r="U65" i="3"/>
  <c r="BI64" i="3"/>
  <c r="BE64" i="3"/>
  <c r="BF64" i="3" s="1"/>
  <c r="BG64" i="3" s="1"/>
  <c r="AY64" i="3"/>
  <c r="AV64" i="3"/>
  <c r="AR64" i="3"/>
  <c r="AS64" i="3" s="1"/>
  <c r="BL64" i="3" s="1"/>
  <c r="F197" i="8" s="1"/>
  <c r="AM64" i="3"/>
  <c r="AN64" i="3" s="1"/>
  <c r="AO64" i="3" s="1"/>
  <c r="AE64" i="3"/>
  <c r="AF64" i="3" s="1"/>
  <c r="AG64" i="3" s="1"/>
  <c r="AH64" i="3" s="1"/>
  <c r="Y64" i="3"/>
  <c r="X64" i="3"/>
  <c r="U64" i="3"/>
  <c r="BI63" i="3"/>
  <c r="BE63" i="3"/>
  <c r="BF63" i="3" s="1"/>
  <c r="BG63" i="3" s="1"/>
  <c r="AY63" i="3"/>
  <c r="AV63" i="3"/>
  <c r="AR63" i="3"/>
  <c r="AS63" i="3" s="1"/>
  <c r="BL63" i="3" s="1"/>
  <c r="F314" i="8" s="1"/>
  <c r="AM63" i="3"/>
  <c r="AN63" i="3" s="1"/>
  <c r="AO63" i="3" s="1"/>
  <c r="AE63" i="3"/>
  <c r="AF63" i="3" s="1"/>
  <c r="AG63" i="3" s="1"/>
  <c r="AH63" i="3" s="1"/>
  <c r="Y63" i="3"/>
  <c r="X63" i="3"/>
  <c r="U63" i="3"/>
  <c r="BI62" i="3"/>
  <c r="BE62" i="3"/>
  <c r="BF62" i="3" s="1"/>
  <c r="BG62" i="3" s="1"/>
  <c r="AY62" i="3"/>
  <c r="AV62" i="3"/>
  <c r="AR62" i="3"/>
  <c r="AS62" i="3" s="1"/>
  <c r="BL62" i="3" s="1"/>
  <c r="F42" i="8" s="1"/>
  <c r="AM62" i="3"/>
  <c r="AN62" i="3" s="1"/>
  <c r="AO62" i="3" s="1"/>
  <c r="AE62" i="3"/>
  <c r="AF62" i="3" s="1"/>
  <c r="AG62" i="3" s="1"/>
  <c r="AH62" i="3" s="1"/>
  <c r="Y62" i="3"/>
  <c r="X62" i="3"/>
  <c r="U62" i="3"/>
  <c r="BI61" i="3"/>
  <c r="BE61" i="3"/>
  <c r="BF61" i="3" s="1"/>
  <c r="BG61" i="3" s="1"/>
  <c r="AY61" i="3"/>
  <c r="AV61" i="3"/>
  <c r="AR61" i="3"/>
  <c r="AS61" i="3" s="1"/>
  <c r="BL61" i="3" s="1"/>
  <c r="F141" i="8" s="1"/>
  <c r="AM61" i="3"/>
  <c r="AN61" i="3" s="1"/>
  <c r="AO61" i="3" s="1"/>
  <c r="AE61" i="3"/>
  <c r="AF61" i="3" s="1"/>
  <c r="AG61" i="3" s="1"/>
  <c r="AH61" i="3" s="1"/>
  <c r="Y61" i="3"/>
  <c r="X61" i="3"/>
  <c r="U61" i="3"/>
  <c r="BI60" i="3"/>
  <c r="BE60" i="3"/>
  <c r="BF60" i="3" s="1"/>
  <c r="BG60" i="3" s="1"/>
  <c r="AY60" i="3"/>
  <c r="AV60" i="3"/>
  <c r="AR60" i="3"/>
  <c r="AS60" i="3" s="1"/>
  <c r="BL60" i="3" s="1"/>
  <c r="F132" i="8" s="1"/>
  <c r="AM60" i="3"/>
  <c r="AN60" i="3" s="1"/>
  <c r="AO60" i="3" s="1"/>
  <c r="AE60" i="3"/>
  <c r="AF60" i="3" s="1"/>
  <c r="AG60" i="3" s="1"/>
  <c r="AH60" i="3" s="1"/>
  <c r="Y60" i="3"/>
  <c r="X60" i="3"/>
  <c r="U60" i="3"/>
  <c r="BI59" i="3"/>
  <c r="BE59" i="3"/>
  <c r="BF59" i="3" s="1"/>
  <c r="BG59" i="3" s="1"/>
  <c r="AY59" i="3"/>
  <c r="AV59" i="3"/>
  <c r="AR59" i="3"/>
  <c r="AS59" i="3" s="1"/>
  <c r="BL59" i="3" s="1"/>
  <c r="F260" i="8" s="1"/>
  <c r="AM59" i="3"/>
  <c r="AN59" i="3" s="1"/>
  <c r="AO59" i="3" s="1"/>
  <c r="AE59" i="3"/>
  <c r="AF59" i="3" s="1"/>
  <c r="AG59" i="3" s="1"/>
  <c r="AH59" i="3" s="1"/>
  <c r="Y59" i="3"/>
  <c r="X59" i="3"/>
  <c r="U59" i="3"/>
  <c r="BI58" i="3"/>
  <c r="BE58" i="3"/>
  <c r="BF58" i="3" s="1"/>
  <c r="BG58" i="3" s="1"/>
  <c r="AY58" i="3"/>
  <c r="AV58" i="3"/>
  <c r="AR58" i="3"/>
  <c r="AS58" i="3" s="1"/>
  <c r="BL58" i="3" s="1"/>
  <c r="F38" i="8" s="1"/>
  <c r="AM58" i="3"/>
  <c r="AN58" i="3" s="1"/>
  <c r="AO58" i="3" s="1"/>
  <c r="AE58" i="3"/>
  <c r="AF58" i="3" s="1"/>
  <c r="AG58" i="3" s="1"/>
  <c r="AH58" i="3" s="1"/>
  <c r="Y58" i="3"/>
  <c r="X58" i="3"/>
  <c r="U58" i="3"/>
  <c r="BI57" i="3"/>
  <c r="BE57" i="3"/>
  <c r="BF57" i="3" s="1"/>
  <c r="BG57" i="3" s="1"/>
  <c r="AY57" i="3"/>
  <c r="AV57" i="3"/>
  <c r="AR57" i="3"/>
  <c r="AS57" i="3" s="1"/>
  <c r="BL57" i="3" s="1"/>
  <c r="F222" i="8" s="1"/>
  <c r="AM57" i="3"/>
  <c r="AN57" i="3" s="1"/>
  <c r="AO57" i="3" s="1"/>
  <c r="AE57" i="3"/>
  <c r="AF57" i="3" s="1"/>
  <c r="AG57" i="3" s="1"/>
  <c r="AH57" i="3" s="1"/>
  <c r="Y57" i="3"/>
  <c r="X57" i="3"/>
  <c r="U57" i="3"/>
  <c r="BI56" i="3"/>
  <c r="BE56" i="3"/>
  <c r="BF56" i="3" s="1"/>
  <c r="BG56" i="3" s="1"/>
  <c r="AY56" i="3"/>
  <c r="AV56" i="3"/>
  <c r="AR56" i="3"/>
  <c r="AS56" i="3" s="1"/>
  <c r="BL56" i="3" s="1"/>
  <c r="F95" i="8" s="1"/>
  <c r="AM56" i="3"/>
  <c r="AN56" i="3" s="1"/>
  <c r="AO56" i="3" s="1"/>
  <c r="AE56" i="3"/>
  <c r="AF56" i="3" s="1"/>
  <c r="AG56" i="3" s="1"/>
  <c r="AH56" i="3" s="1"/>
  <c r="Y56" i="3"/>
  <c r="X56" i="3"/>
  <c r="U56" i="3"/>
  <c r="BI55" i="3"/>
  <c r="BE55" i="3"/>
  <c r="BF55" i="3" s="1"/>
  <c r="BG55" i="3" s="1"/>
  <c r="AY55" i="3"/>
  <c r="AV55" i="3"/>
  <c r="AR55" i="3"/>
  <c r="AS55" i="3" s="1"/>
  <c r="BL55" i="3" s="1"/>
  <c r="F234" i="8" s="1"/>
  <c r="AM55" i="3"/>
  <c r="AN55" i="3" s="1"/>
  <c r="AO55" i="3" s="1"/>
  <c r="AE55" i="3"/>
  <c r="AF55" i="3" s="1"/>
  <c r="AG55" i="3" s="1"/>
  <c r="AH55" i="3" s="1"/>
  <c r="Y55" i="3"/>
  <c r="X55" i="3"/>
  <c r="U55" i="3"/>
  <c r="BI54" i="3"/>
  <c r="BE54" i="3"/>
  <c r="BF54" i="3" s="1"/>
  <c r="BG54" i="3" s="1"/>
  <c r="AY54" i="3"/>
  <c r="AV54" i="3"/>
  <c r="AR54" i="3"/>
  <c r="AS54" i="3" s="1"/>
  <c r="BL54" i="3" s="1"/>
  <c r="F245" i="8" s="1"/>
  <c r="AM54" i="3"/>
  <c r="AN54" i="3" s="1"/>
  <c r="AO54" i="3" s="1"/>
  <c r="AE54" i="3"/>
  <c r="AF54" i="3" s="1"/>
  <c r="AG54" i="3" s="1"/>
  <c r="AH54" i="3" s="1"/>
  <c r="Y54" i="3"/>
  <c r="X54" i="3"/>
  <c r="U54" i="3"/>
  <c r="BI53" i="3"/>
  <c r="BE53" i="3"/>
  <c r="BF53" i="3" s="1"/>
  <c r="BG53" i="3" s="1"/>
  <c r="AY53" i="3"/>
  <c r="AV53" i="3"/>
  <c r="AR53" i="3"/>
  <c r="AS53" i="3" s="1"/>
  <c r="BL53" i="3" s="1"/>
  <c r="F204" i="8" s="1"/>
  <c r="AM53" i="3"/>
  <c r="AN53" i="3" s="1"/>
  <c r="AO53" i="3" s="1"/>
  <c r="AE53" i="3"/>
  <c r="AF53" i="3" s="1"/>
  <c r="AG53" i="3" s="1"/>
  <c r="AH53" i="3" s="1"/>
  <c r="Y53" i="3"/>
  <c r="X53" i="3"/>
  <c r="U53" i="3"/>
  <c r="BI52" i="3"/>
  <c r="BE52" i="3"/>
  <c r="BF52" i="3" s="1"/>
  <c r="BG52" i="3" s="1"/>
  <c r="AY52" i="3"/>
  <c r="AV52" i="3"/>
  <c r="AR52" i="3"/>
  <c r="AS52" i="3" s="1"/>
  <c r="BL52" i="3" s="1"/>
  <c r="F138" i="8" s="1"/>
  <c r="AM52" i="3"/>
  <c r="AN52" i="3" s="1"/>
  <c r="AO52" i="3" s="1"/>
  <c r="AE52" i="3"/>
  <c r="AF52" i="3" s="1"/>
  <c r="AG52" i="3" s="1"/>
  <c r="AH52" i="3" s="1"/>
  <c r="Y52" i="3"/>
  <c r="X52" i="3"/>
  <c r="U52" i="3"/>
  <c r="BI51" i="3"/>
  <c r="BE51" i="3"/>
  <c r="BF51" i="3" s="1"/>
  <c r="BG51" i="3" s="1"/>
  <c r="AY51" i="3"/>
  <c r="AV51" i="3"/>
  <c r="AR51" i="3"/>
  <c r="AS51" i="3" s="1"/>
  <c r="BL51" i="3" s="1"/>
  <c r="F151" i="8" s="1"/>
  <c r="AM51" i="3"/>
  <c r="AN51" i="3" s="1"/>
  <c r="AO51" i="3" s="1"/>
  <c r="AE51" i="3"/>
  <c r="AF51" i="3" s="1"/>
  <c r="AG51" i="3" s="1"/>
  <c r="AH51" i="3" s="1"/>
  <c r="Y51" i="3"/>
  <c r="X51" i="3"/>
  <c r="U51" i="3"/>
  <c r="BI50" i="3"/>
  <c r="BE50" i="3"/>
  <c r="BF50" i="3" s="1"/>
  <c r="BG50" i="3" s="1"/>
  <c r="AY50" i="3"/>
  <c r="AV50" i="3"/>
  <c r="AR50" i="3"/>
  <c r="AS50" i="3" s="1"/>
  <c r="BL50" i="3" s="1"/>
  <c r="F69" i="8" s="1"/>
  <c r="AM50" i="3"/>
  <c r="AN50" i="3" s="1"/>
  <c r="AO50" i="3" s="1"/>
  <c r="AE50" i="3"/>
  <c r="AF50" i="3" s="1"/>
  <c r="AG50" i="3" s="1"/>
  <c r="AH50" i="3" s="1"/>
  <c r="Y50" i="3"/>
  <c r="X50" i="3"/>
  <c r="U50" i="3"/>
  <c r="BI49" i="3"/>
  <c r="BE49" i="3"/>
  <c r="BF49" i="3" s="1"/>
  <c r="BG49" i="3" s="1"/>
  <c r="AY49" i="3"/>
  <c r="AV49" i="3"/>
  <c r="AR49" i="3"/>
  <c r="AS49" i="3" s="1"/>
  <c r="BL49" i="3" s="1"/>
  <c r="F27" i="8" s="1"/>
  <c r="AM49" i="3"/>
  <c r="AN49" i="3" s="1"/>
  <c r="AO49" i="3" s="1"/>
  <c r="AE49" i="3"/>
  <c r="AF49" i="3" s="1"/>
  <c r="AG49" i="3" s="1"/>
  <c r="AH49" i="3" s="1"/>
  <c r="Y49" i="3"/>
  <c r="X49" i="3"/>
  <c r="U49" i="3"/>
  <c r="BI48" i="3"/>
  <c r="BE48" i="3"/>
  <c r="BF48" i="3" s="1"/>
  <c r="BG48" i="3" s="1"/>
  <c r="AY48" i="3"/>
  <c r="AV48" i="3"/>
  <c r="AR48" i="3"/>
  <c r="AS48" i="3" s="1"/>
  <c r="BL48" i="3" s="1"/>
  <c r="F241" i="8" s="1"/>
  <c r="AM48" i="3"/>
  <c r="AN48" i="3" s="1"/>
  <c r="AO48" i="3" s="1"/>
  <c r="AE48" i="3"/>
  <c r="AF48" i="3" s="1"/>
  <c r="AG48" i="3" s="1"/>
  <c r="AH48" i="3" s="1"/>
  <c r="Y48" i="3"/>
  <c r="X48" i="3"/>
  <c r="U48" i="3"/>
  <c r="BI47" i="3"/>
  <c r="BE47" i="3"/>
  <c r="BF47" i="3" s="1"/>
  <c r="BG47" i="3" s="1"/>
  <c r="AY47" i="3"/>
  <c r="AV47" i="3"/>
  <c r="AR47" i="3"/>
  <c r="AS47" i="3" s="1"/>
  <c r="BL47" i="3" s="1"/>
  <c r="F147" i="8" s="1"/>
  <c r="AM47" i="3"/>
  <c r="AN47" i="3" s="1"/>
  <c r="AO47" i="3" s="1"/>
  <c r="AE47" i="3"/>
  <c r="AF47" i="3" s="1"/>
  <c r="AG47" i="3" s="1"/>
  <c r="AH47" i="3" s="1"/>
  <c r="Y47" i="3"/>
  <c r="X47" i="3"/>
  <c r="U47" i="3"/>
  <c r="BI46" i="3"/>
  <c r="BE46" i="3"/>
  <c r="BF46" i="3" s="1"/>
  <c r="BG46" i="3" s="1"/>
  <c r="AY46" i="3"/>
  <c r="AV46" i="3"/>
  <c r="AR46" i="3"/>
  <c r="AS46" i="3" s="1"/>
  <c r="BL46" i="3" s="1"/>
  <c r="F213" i="8" s="1"/>
  <c r="AM46" i="3"/>
  <c r="AN46" i="3" s="1"/>
  <c r="AO46" i="3" s="1"/>
  <c r="AE46" i="3"/>
  <c r="AF46" i="3" s="1"/>
  <c r="AG46" i="3" s="1"/>
  <c r="AH46" i="3" s="1"/>
  <c r="Y46" i="3"/>
  <c r="X46" i="3"/>
  <c r="U46" i="3"/>
  <c r="BI45" i="3"/>
  <c r="BE45" i="3"/>
  <c r="BF45" i="3" s="1"/>
  <c r="BG45" i="3" s="1"/>
  <c r="AY45" i="3"/>
  <c r="AV45" i="3"/>
  <c r="AR45" i="3"/>
  <c r="AS45" i="3" s="1"/>
  <c r="BL45" i="3" s="1"/>
  <c r="F202" i="8" s="1"/>
  <c r="AM45" i="3"/>
  <c r="AN45" i="3" s="1"/>
  <c r="AO45" i="3" s="1"/>
  <c r="AE45" i="3"/>
  <c r="AF45" i="3" s="1"/>
  <c r="AG45" i="3" s="1"/>
  <c r="AH45" i="3" s="1"/>
  <c r="Y45" i="3"/>
  <c r="X45" i="3"/>
  <c r="U45" i="3"/>
  <c r="BI44" i="3"/>
  <c r="BE44" i="3"/>
  <c r="BF44" i="3" s="1"/>
  <c r="BG44" i="3" s="1"/>
  <c r="AY44" i="3"/>
  <c r="AV44" i="3"/>
  <c r="AR44" i="3"/>
  <c r="AS44" i="3" s="1"/>
  <c r="BL44" i="3" s="1"/>
  <c r="F10" i="8" s="1"/>
  <c r="AM44" i="3"/>
  <c r="AN44" i="3" s="1"/>
  <c r="AO44" i="3" s="1"/>
  <c r="AE44" i="3"/>
  <c r="AF44" i="3" s="1"/>
  <c r="AG44" i="3" s="1"/>
  <c r="AH44" i="3" s="1"/>
  <c r="Y44" i="3"/>
  <c r="X44" i="3"/>
  <c r="U44" i="3"/>
  <c r="BI43" i="3"/>
  <c r="BE43" i="3"/>
  <c r="BF43" i="3" s="1"/>
  <c r="BG43" i="3" s="1"/>
  <c r="AY43" i="3"/>
  <c r="AV43" i="3"/>
  <c r="AR43" i="3"/>
  <c r="AS43" i="3" s="1"/>
  <c r="BL43" i="3" s="1"/>
  <c r="F164" i="8" s="1"/>
  <c r="AM43" i="3"/>
  <c r="AN43" i="3" s="1"/>
  <c r="AO43" i="3" s="1"/>
  <c r="AE43" i="3"/>
  <c r="AF43" i="3" s="1"/>
  <c r="AG43" i="3" s="1"/>
  <c r="AH43" i="3" s="1"/>
  <c r="Y43" i="3"/>
  <c r="X43" i="3"/>
  <c r="U43" i="3"/>
  <c r="BI42" i="3"/>
  <c r="BE42" i="3"/>
  <c r="BF42" i="3" s="1"/>
  <c r="BG42" i="3" s="1"/>
  <c r="AY42" i="3"/>
  <c r="AV42" i="3"/>
  <c r="AR42" i="3"/>
  <c r="AS42" i="3" s="1"/>
  <c r="BL42" i="3" s="1"/>
  <c r="F210" i="8" s="1"/>
  <c r="AM42" i="3"/>
  <c r="AN42" i="3" s="1"/>
  <c r="AO42" i="3" s="1"/>
  <c r="AE42" i="3"/>
  <c r="AF42" i="3" s="1"/>
  <c r="AG42" i="3" s="1"/>
  <c r="AH42" i="3" s="1"/>
  <c r="Y42" i="3"/>
  <c r="X42" i="3"/>
  <c r="U42" i="3"/>
  <c r="BI41" i="3"/>
  <c r="BE41" i="3"/>
  <c r="BF41" i="3" s="1"/>
  <c r="BG41" i="3" s="1"/>
  <c r="AY41" i="3"/>
  <c r="AV41" i="3"/>
  <c r="AR41" i="3"/>
  <c r="AS41" i="3" s="1"/>
  <c r="BL41" i="3" s="1"/>
  <c r="F113" i="8" s="1"/>
  <c r="AM41" i="3"/>
  <c r="AN41" i="3" s="1"/>
  <c r="AO41" i="3" s="1"/>
  <c r="AE41" i="3"/>
  <c r="AF41" i="3" s="1"/>
  <c r="AG41" i="3" s="1"/>
  <c r="AH41" i="3" s="1"/>
  <c r="Y41" i="3"/>
  <c r="X41" i="3"/>
  <c r="U41" i="3"/>
  <c r="BI40" i="3"/>
  <c r="BE40" i="3"/>
  <c r="BF40" i="3" s="1"/>
  <c r="BG40" i="3" s="1"/>
  <c r="AY40" i="3"/>
  <c r="AV40" i="3"/>
  <c r="AR40" i="3"/>
  <c r="AS40" i="3" s="1"/>
  <c r="BL40" i="3" s="1"/>
  <c r="F299" i="8" s="1"/>
  <c r="AM40" i="3"/>
  <c r="AN40" i="3" s="1"/>
  <c r="AO40" i="3" s="1"/>
  <c r="AE40" i="3"/>
  <c r="AF40" i="3" s="1"/>
  <c r="AG40" i="3" s="1"/>
  <c r="AH40" i="3" s="1"/>
  <c r="Y40" i="3"/>
  <c r="X40" i="3"/>
  <c r="U40" i="3"/>
  <c r="BI39" i="3"/>
  <c r="BE39" i="3"/>
  <c r="BF39" i="3" s="1"/>
  <c r="BG39" i="3" s="1"/>
  <c r="AY39" i="3"/>
  <c r="AV39" i="3"/>
  <c r="AR39" i="3"/>
  <c r="AS39" i="3" s="1"/>
  <c r="BL39" i="3" s="1"/>
  <c r="F303" i="8" s="1"/>
  <c r="AM39" i="3"/>
  <c r="AN39" i="3" s="1"/>
  <c r="AO39" i="3" s="1"/>
  <c r="AE39" i="3"/>
  <c r="AF39" i="3" s="1"/>
  <c r="AG39" i="3" s="1"/>
  <c r="AH39" i="3" s="1"/>
  <c r="Y39" i="3"/>
  <c r="X39" i="3"/>
  <c r="U39" i="3"/>
  <c r="BI38" i="3"/>
  <c r="BE38" i="3"/>
  <c r="BF38" i="3" s="1"/>
  <c r="BG38" i="3" s="1"/>
  <c r="AY38" i="3"/>
  <c r="AV38" i="3"/>
  <c r="AR38" i="3"/>
  <c r="AS38" i="3" s="1"/>
  <c r="BL38" i="3" s="1"/>
  <c r="F7" i="8" s="1"/>
  <c r="AM38" i="3"/>
  <c r="AN38" i="3" s="1"/>
  <c r="AO38" i="3" s="1"/>
  <c r="AE38" i="3"/>
  <c r="AF38" i="3" s="1"/>
  <c r="AG38" i="3" s="1"/>
  <c r="AH38" i="3" s="1"/>
  <c r="Y38" i="3"/>
  <c r="X38" i="3"/>
  <c r="U38" i="3"/>
  <c r="BI37" i="3"/>
  <c r="BE37" i="3"/>
  <c r="BF37" i="3" s="1"/>
  <c r="BG37" i="3" s="1"/>
  <c r="AY37" i="3"/>
  <c r="AV37" i="3"/>
  <c r="AR37" i="3"/>
  <c r="AS37" i="3" s="1"/>
  <c r="BL37" i="3" s="1"/>
  <c r="F84" i="8" s="1"/>
  <c r="AM37" i="3"/>
  <c r="AN37" i="3" s="1"/>
  <c r="AO37" i="3" s="1"/>
  <c r="AE37" i="3"/>
  <c r="AF37" i="3" s="1"/>
  <c r="AG37" i="3" s="1"/>
  <c r="AH37" i="3" s="1"/>
  <c r="Y37" i="3"/>
  <c r="X37" i="3"/>
  <c r="U37" i="3"/>
  <c r="BI36" i="3"/>
  <c r="BE36" i="3"/>
  <c r="BF36" i="3" s="1"/>
  <c r="BG36" i="3" s="1"/>
  <c r="AY36" i="3"/>
  <c r="AV36" i="3"/>
  <c r="AR36" i="3"/>
  <c r="AS36" i="3" s="1"/>
  <c r="BL36" i="3" s="1"/>
  <c r="F319" i="8" s="1"/>
  <c r="AM36" i="3"/>
  <c r="AN36" i="3" s="1"/>
  <c r="AO36" i="3" s="1"/>
  <c r="AE36" i="3"/>
  <c r="AF36" i="3" s="1"/>
  <c r="AG36" i="3" s="1"/>
  <c r="AH36" i="3" s="1"/>
  <c r="Y36" i="3"/>
  <c r="X36" i="3"/>
  <c r="U36" i="3"/>
  <c r="BI35" i="3"/>
  <c r="BE35" i="3"/>
  <c r="BF35" i="3" s="1"/>
  <c r="BG35" i="3" s="1"/>
  <c r="AY35" i="3"/>
  <c r="AV35" i="3"/>
  <c r="AR35" i="3"/>
  <c r="AS35" i="3" s="1"/>
  <c r="BL35" i="3" s="1"/>
  <c r="F231" i="8" s="1"/>
  <c r="AM35" i="3"/>
  <c r="AN35" i="3" s="1"/>
  <c r="AO35" i="3" s="1"/>
  <c r="AE35" i="3"/>
  <c r="AF35" i="3" s="1"/>
  <c r="AG35" i="3" s="1"/>
  <c r="AH35" i="3" s="1"/>
  <c r="Y35" i="3"/>
  <c r="X35" i="3"/>
  <c r="U35" i="3"/>
  <c r="BI34" i="3"/>
  <c r="BE34" i="3"/>
  <c r="BF34" i="3" s="1"/>
  <c r="BG34" i="3" s="1"/>
  <c r="AY34" i="3"/>
  <c r="AV34" i="3"/>
  <c r="AR34" i="3"/>
  <c r="AS34" i="3" s="1"/>
  <c r="BL34" i="3" s="1"/>
  <c r="F55" i="8" s="1"/>
  <c r="AM34" i="3"/>
  <c r="AN34" i="3" s="1"/>
  <c r="AO34" i="3" s="1"/>
  <c r="AE34" i="3"/>
  <c r="AF34" i="3" s="1"/>
  <c r="AG34" i="3" s="1"/>
  <c r="AH34" i="3" s="1"/>
  <c r="Y34" i="3"/>
  <c r="X34" i="3"/>
  <c r="U34" i="3"/>
  <c r="BI33" i="3"/>
  <c r="BE33" i="3"/>
  <c r="BF33" i="3" s="1"/>
  <c r="BG33" i="3" s="1"/>
  <c r="AY33" i="3"/>
  <c r="AV33" i="3"/>
  <c r="AR33" i="3"/>
  <c r="AS33" i="3" s="1"/>
  <c r="BL33" i="3" s="1"/>
  <c r="F163" i="8" s="1"/>
  <c r="AM33" i="3"/>
  <c r="AN33" i="3" s="1"/>
  <c r="AO33" i="3" s="1"/>
  <c r="AE33" i="3"/>
  <c r="AF33" i="3" s="1"/>
  <c r="AG33" i="3" s="1"/>
  <c r="AH33" i="3" s="1"/>
  <c r="Y33" i="3"/>
  <c r="X33" i="3"/>
  <c r="U33" i="3"/>
  <c r="BI32" i="3"/>
  <c r="BE32" i="3"/>
  <c r="BF32" i="3" s="1"/>
  <c r="BG32" i="3" s="1"/>
  <c r="AY32" i="3"/>
  <c r="AV32" i="3"/>
  <c r="AR32" i="3"/>
  <c r="AS32" i="3" s="1"/>
  <c r="BL32" i="3" s="1"/>
  <c r="F128" i="8" s="1"/>
  <c r="AM32" i="3"/>
  <c r="AN32" i="3" s="1"/>
  <c r="AO32" i="3" s="1"/>
  <c r="AE32" i="3"/>
  <c r="AF32" i="3" s="1"/>
  <c r="AG32" i="3" s="1"/>
  <c r="AH32" i="3" s="1"/>
  <c r="Y32" i="3"/>
  <c r="X32" i="3"/>
  <c r="U32" i="3"/>
  <c r="BI31" i="3"/>
  <c r="BE31" i="3"/>
  <c r="BF31" i="3" s="1"/>
  <c r="BG31" i="3" s="1"/>
  <c r="AY31" i="3"/>
  <c r="AV31" i="3"/>
  <c r="AR31" i="3"/>
  <c r="AS31" i="3" s="1"/>
  <c r="BL31" i="3" s="1"/>
  <c r="F154" i="8" s="1"/>
  <c r="AM31" i="3"/>
  <c r="AN31" i="3" s="1"/>
  <c r="AO31" i="3" s="1"/>
  <c r="AE31" i="3"/>
  <c r="AF31" i="3" s="1"/>
  <c r="AG31" i="3" s="1"/>
  <c r="AH31" i="3" s="1"/>
  <c r="Y31" i="3"/>
  <c r="X31" i="3"/>
  <c r="U31" i="3"/>
  <c r="BI30" i="3"/>
  <c r="BE30" i="3"/>
  <c r="BF30" i="3" s="1"/>
  <c r="BG30" i="3" s="1"/>
  <c r="AY30" i="3"/>
  <c r="AV30" i="3"/>
  <c r="AR30" i="3"/>
  <c r="AS30" i="3" s="1"/>
  <c r="BL30" i="3" s="1"/>
  <c r="F272" i="8" s="1"/>
  <c r="AM30" i="3"/>
  <c r="AN30" i="3" s="1"/>
  <c r="AO30" i="3" s="1"/>
  <c r="AE30" i="3"/>
  <c r="AF30" i="3" s="1"/>
  <c r="AG30" i="3" s="1"/>
  <c r="AH30" i="3" s="1"/>
  <c r="Y30" i="3"/>
  <c r="X30" i="3"/>
  <c r="U30" i="3"/>
  <c r="BI29" i="3"/>
  <c r="BE29" i="3"/>
  <c r="BF29" i="3" s="1"/>
  <c r="BG29" i="3" s="1"/>
  <c r="AY29" i="3"/>
  <c r="AV29" i="3"/>
  <c r="AR29" i="3"/>
  <c r="AS29" i="3" s="1"/>
  <c r="BL29" i="3" s="1"/>
  <c r="F207" i="8" s="1"/>
  <c r="AM29" i="3"/>
  <c r="AN29" i="3" s="1"/>
  <c r="AO29" i="3" s="1"/>
  <c r="AE29" i="3"/>
  <c r="AF29" i="3" s="1"/>
  <c r="AG29" i="3" s="1"/>
  <c r="AH29" i="3" s="1"/>
  <c r="Y29" i="3"/>
  <c r="X29" i="3"/>
  <c r="U29" i="3"/>
  <c r="BI28" i="3"/>
  <c r="BE28" i="3"/>
  <c r="BF28" i="3" s="1"/>
  <c r="BG28" i="3" s="1"/>
  <c r="AY28" i="3"/>
  <c r="AV28" i="3"/>
  <c r="AR28" i="3"/>
  <c r="AS28" i="3" s="1"/>
  <c r="BL28" i="3" s="1"/>
  <c r="F167" i="8" s="1"/>
  <c r="AM28" i="3"/>
  <c r="AN28" i="3" s="1"/>
  <c r="AO28" i="3" s="1"/>
  <c r="AE28" i="3"/>
  <c r="AF28" i="3" s="1"/>
  <c r="AG28" i="3" s="1"/>
  <c r="AH28" i="3" s="1"/>
  <c r="Y28" i="3"/>
  <c r="X28" i="3"/>
  <c r="U28" i="3"/>
  <c r="BI27" i="3"/>
  <c r="BE27" i="3"/>
  <c r="BF27" i="3" s="1"/>
  <c r="BG27" i="3" s="1"/>
  <c r="AY27" i="3"/>
  <c r="AV27" i="3"/>
  <c r="AR27" i="3"/>
  <c r="AS27" i="3" s="1"/>
  <c r="BL27" i="3" s="1"/>
  <c r="F11" i="8" s="1"/>
  <c r="AM27" i="3"/>
  <c r="AN27" i="3" s="1"/>
  <c r="AO27" i="3" s="1"/>
  <c r="AE27" i="3"/>
  <c r="AF27" i="3" s="1"/>
  <c r="AG27" i="3" s="1"/>
  <c r="AH27" i="3" s="1"/>
  <c r="Y27" i="3"/>
  <c r="X27" i="3"/>
  <c r="U27" i="3"/>
  <c r="BI26" i="3"/>
  <c r="BE26" i="3"/>
  <c r="BF26" i="3" s="1"/>
  <c r="BG26" i="3" s="1"/>
  <c r="AY26" i="3"/>
  <c r="AV26" i="3"/>
  <c r="AR26" i="3"/>
  <c r="AS26" i="3" s="1"/>
  <c r="BL26" i="3" s="1"/>
  <c r="F115" i="8" s="1"/>
  <c r="AM26" i="3"/>
  <c r="AN26" i="3" s="1"/>
  <c r="AO26" i="3" s="1"/>
  <c r="AE26" i="3"/>
  <c r="AF26" i="3" s="1"/>
  <c r="AG26" i="3" s="1"/>
  <c r="AH26" i="3" s="1"/>
  <c r="Y26" i="3"/>
  <c r="X26" i="3"/>
  <c r="U26" i="3"/>
  <c r="BI25" i="3"/>
  <c r="BE25" i="3"/>
  <c r="BF25" i="3" s="1"/>
  <c r="BG25" i="3" s="1"/>
  <c r="AY25" i="3"/>
  <c r="AV25" i="3"/>
  <c r="AR25" i="3"/>
  <c r="AS25" i="3" s="1"/>
  <c r="BL25" i="3" s="1"/>
  <c r="F305" i="8" s="1"/>
  <c r="AM25" i="3"/>
  <c r="AN25" i="3" s="1"/>
  <c r="AO25" i="3" s="1"/>
  <c r="AE25" i="3"/>
  <c r="AF25" i="3" s="1"/>
  <c r="AG25" i="3" s="1"/>
  <c r="AH25" i="3" s="1"/>
  <c r="Y25" i="3"/>
  <c r="X25" i="3"/>
  <c r="U25" i="3"/>
  <c r="BI24" i="3"/>
  <c r="BE24" i="3"/>
  <c r="BF24" i="3" s="1"/>
  <c r="BG24" i="3" s="1"/>
  <c r="AY24" i="3"/>
  <c r="AV24" i="3"/>
  <c r="AR24" i="3"/>
  <c r="AS24" i="3" s="1"/>
  <c r="BL24" i="3" s="1"/>
  <c r="F252" i="8" s="1"/>
  <c r="AM24" i="3"/>
  <c r="AN24" i="3" s="1"/>
  <c r="AO24" i="3" s="1"/>
  <c r="AE24" i="3"/>
  <c r="AF24" i="3" s="1"/>
  <c r="AG24" i="3" s="1"/>
  <c r="AH24" i="3" s="1"/>
  <c r="Y24" i="3"/>
  <c r="X24" i="3"/>
  <c r="U24" i="3"/>
  <c r="BI23" i="3"/>
  <c r="BE23" i="3"/>
  <c r="BF23" i="3" s="1"/>
  <c r="BG23" i="3" s="1"/>
  <c r="AY23" i="3"/>
  <c r="AV23" i="3"/>
  <c r="AR23" i="3"/>
  <c r="AS23" i="3" s="1"/>
  <c r="BL23" i="3" s="1"/>
  <c r="F195" i="8" s="1"/>
  <c r="AM23" i="3"/>
  <c r="AN23" i="3" s="1"/>
  <c r="AO23" i="3" s="1"/>
  <c r="AE23" i="3"/>
  <c r="AF23" i="3" s="1"/>
  <c r="AG23" i="3" s="1"/>
  <c r="AH23" i="3" s="1"/>
  <c r="Y23" i="3"/>
  <c r="X23" i="3"/>
  <c r="U23" i="3"/>
  <c r="BI22" i="3"/>
  <c r="BE22" i="3"/>
  <c r="BF22" i="3" s="1"/>
  <c r="BG22" i="3" s="1"/>
  <c r="AY22" i="3"/>
  <c r="AV22" i="3"/>
  <c r="AR22" i="3"/>
  <c r="AS22" i="3" s="1"/>
  <c r="BL22" i="3" s="1"/>
  <c r="F266" i="8" s="1"/>
  <c r="AM22" i="3"/>
  <c r="AN22" i="3" s="1"/>
  <c r="AO22" i="3" s="1"/>
  <c r="AE22" i="3"/>
  <c r="AF22" i="3" s="1"/>
  <c r="AG22" i="3" s="1"/>
  <c r="AH22" i="3" s="1"/>
  <c r="Y22" i="3"/>
  <c r="X22" i="3"/>
  <c r="U22" i="3"/>
  <c r="BI21" i="3"/>
  <c r="BE21" i="3"/>
  <c r="BF21" i="3" s="1"/>
  <c r="BG21" i="3" s="1"/>
  <c r="AY21" i="3"/>
  <c r="AV21" i="3"/>
  <c r="AR21" i="3"/>
  <c r="AS21" i="3" s="1"/>
  <c r="BL21" i="3" s="1"/>
  <c r="F129" i="8" s="1"/>
  <c r="AM21" i="3"/>
  <c r="AN21" i="3" s="1"/>
  <c r="AO21" i="3" s="1"/>
  <c r="AE21" i="3"/>
  <c r="AF21" i="3" s="1"/>
  <c r="AG21" i="3" s="1"/>
  <c r="AH21" i="3" s="1"/>
  <c r="Y21" i="3"/>
  <c r="X21" i="3"/>
  <c r="U21" i="3"/>
  <c r="BI20" i="3"/>
  <c r="BE20" i="3"/>
  <c r="BF20" i="3" s="1"/>
  <c r="BG20" i="3" s="1"/>
  <c r="AY20" i="3"/>
  <c r="AV20" i="3"/>
  <c r="AR20" i="3"/>
  <c r="AS20" i="3" s="1"/>
  <c r="BL20" i="3" s="1"/>
  <c r="F219" i="8" s="1"/>
  <c r="AM20" i="3"/>
  <c r="AN20" i="3" s="1"/>
  <c r="AO20" i="3" s="1"/>
  <c r="AE20" i="3"/>
  <c r="AF20" i="3" s="1"/>
  <c r="AG20" i="3" s="1"/>
  <c r="AH20" i="3" s="1"/>
  <c r="Y20" i="3"/>
  <c r="X20" i="3"/>
  <c r="U20" i="3"/>
  <c r="BI19" i="3"/>
  <c r="BE19" i="3"/>
  <c r="BF19" i="3" s="1"/>
  <c r="BG19" i="3" s="1"/>
  <c r="AY19" i="3"/>
  <c r="AV19" i="3"/>
  <c r="AR19" i="3"/>
  <c r="AS19" i="3" s="1"/>
  <c r="BL19" i="3" s="1"/>
  <c r="F294" i="8" s="1"/>
  <c r="AM19" i="3"/>
  <c r="AN19" i="3" s="1"/>
  <c r="AO19" i="3" s="1"/>
  <c r="AE19" i="3"/>
  <c r="AF19" i="3" s="1"/>
  <c r="AG19" i="3" s="1"/>
  <c r="AH19" i="3" s="1"/>
  <c r="Y19" i="3"/>
  <c r="X19" i="3"/>
  <c r="U19" i="3"/>
  <c r="BI18" i="3"/>
  <c r="BE18" i="3"/>
  <c r="BF18" i="3" s="1"/>
  <c r="BG18" i="3" s="1"/>
  <c r="AY18" i="3"/>
  <c r="AV18" i="3"/>
  <c r="AR18" i="3"/>
  <c r="AS18" i="3" s="1"/>
  <c r="BL18" i="3" s="1"/>
  <c r="F306" i="8" s="1"/>
  <c r="AM18" i="3"/>
  <c r="AN18" i="3" s="1"/>
  <c r="AO18" i="3" s="1"/>
  <c r="AE18" i="3"/>
  <c r="AF18" i="3" s="1"/>
  <c r="AG18" i="3" s="1"/>
  <c r="AH18" i="3" s="1"/>
  <c r="Y18" i="3"/>
  <c r="X18" i="3"/>
  <c r="U18" i="3"/>
  <c r="BI17" i="3"/>
  <c r="BE17" i="3"/>
  <c r="BF17" i="3" s="1"/>
  <c r="BG17" i="3" s="1"/>
  <c r="AY17" i="3"/>
  <c r="AV17" i="3"/>
  <c r="AR17" i="3"/>
  <c r="AS17" i="3" s="1"/>
  <c r="BL17" i="3" s="1"/>
  <c r="F321" i="8" s="1"/>
  <c r="AM17" i="3"/>
  <c r="AN17" i="3" s="1"/>
  <c r="AO17" i="3" s="1"/>
  <c r="AE17" i="3"/>
  <c r="AF17" i="3" s="1"/>
  <c r="AG17" i="3" s="1"/>
  <c r="AH17" i="3" s="1"/>
  <c r="Y17" i="3"/>
  <c r="X17" i="3"/>
  <c r="U17" i="3"/>
  <c r="BI16" i="3"/>
  <c r="BE16" i="3"/>
  <c r="BF16" i="3" s="1"/>
  <c r="BG16" i="3" s="1"/>
  <c r="AY16" i="3"/>
  <c r="AV16" i="3"/>
  <c r="AR16" i="3"/>
  <c r="AS16" i="3" s="1"/>
  <c r="BL16" i="3" s="1"/>
  <c r="F307" i="8" s="1"/>
  <c r="AM16" i="3"/>
  <c r="AN16" i="3" s="1"/>
  <c r="AO16" i="3" s="1"/>
  <c r="AE16" i="3"/>
  <c r="AF16" i="3" s="1"/>
  <c r="AG16" i="3" s="1"/>
  <c r="AH16" i="3" s="1"/>
  <c r="Y16" i="3"/>
  <c r="X16" i="3"/>
  <c r="U16" i="3"/>
  <c r="BI15" i="3"/>
  <c r="BE15" i="3"/>
  <c r="BF15" i="3" s="1"/>
  <c r="BG15" i="3" s="1"/>
  <c r="AY15" i="3"/>
  <c r="AV15" i="3"/>
  <c r="AR15" i="3"/>
  <c r="AS15" i="3" s="1"/>
  <c r="BL15" i="3" s="1"/>
  <c r="F178" i="8" s="1"/>
  <c r="AM15" i="3"/>
  <c r="AN15" i="3" s="1"/>
  <c r="AO15" i="3" s="1"/>
  <c r="AE15" i="3"/>
  <c r="AF15" i="3" s="1"/>
  <c r="AG15" i="3" s="1"/>
  <c r="AH15" i="3" s="1"/>
  <c r="Y15" i="3"/>
  <c r="X15" i="3"/>
  <c r="U15" i="3"/>
  <c r="BI14" i="3"/>
  <c r="BE14" i="3"/>
  <c r="BF14" i="3" s="1"/>
  <c r="BG14" i="3" s="1"/>
  <c r="AY14" i="3"/>
  <c r="AV14" i="3"/>
  <c r="AR14" i="3"/>
  <c r="AS14" i="3" s="1"/>
  <c r="BL14" i="3" s="1"/>
  <c r="F217" i="8" s="1"/>
  <c r="AM14" i="3"/>
  <c r="AN14" i="3" s="1"/>
  <c r="AO14" i="3" s="1"/>
  <c r="AE14" i="3"/>
  <c r="AF14" i="3" s="1"/>
  <c r="AG14" i="3" s="1"/>
  <c r="AH14" i="3" s="1"/>
  <c r="Y14" i="3"/>
  <c r="X14" i="3"/>
  <c r="U14" i="3"/>
  <c r="BI13" i="3"/>
  <c r="BE13" i="3"/>
  <c r="BF13" i="3" s="1"/>
  <c r="BG13" i="3" s="1"/>
  <c r="AY13" i="3"/>
  <c r="AV13" i="3"/>
  <c r="AR13" i="3"/>
  <c r="AS13" i="3" s="1"/>
  <c r="BL13" i="3" s="1"/>
  <c r="F122" i="8" s="1"/>
  <c r="AM13" i="3"/>
  <c r="AN13" i="3" s="1"/>
  <c r="AO13" i="3" s="1"/>
  <c r="AE13" i="3"/>
  <c r="AF13" i="3" s="1"/>
  <c r="AG13" i="3" s="1"/>
  <c r="AH13" i="3" s="1"/>
  <c r="Y13" i="3"/>
  <c r="X13" i="3"/>
  <c r="U13" i="3"/>
  <c r="BI12" i="3"/>
  <c r="BE12" i="3"/>
  <c r="BF12" i="3" s="1"/>
  <c r="BG12" i="3" s="1"/>
  <c r="AY12" i="3"/>
  <c r="AV12" i="3"/>
  <c r="AR12" i="3"/>
  <c r="AS12" i="3" s="1"/>
  <c r="BL12" i="3" s="1"/>
  <c r="F263" i="8" s="1"/>
  <c r="AM12" i="3"/>
  <c r="AN12" i="3" s="1"/>
  <c r="AO12" i="3" s="1"/>
  <c r="AE12" i="3"/>
  <c r="AF12" i="3" s="1"/>
  <c r="AG12" i="3" s="1"/>
  <c r="AH12" i="3" s="1"/>
  <c r="Y12" i="3"/>
  <c r="X12" i="3"/>
  <c r="U12" i="3"/>
  <c r="BI11" i="3"/>
  <c r="BE11" i="3"/>
  <c r="BF11" i="3" s="1"/>
  <c r="BG11" i="3" s="1"/>
  <c r="AY11" i="3"/>
  <c r="AV11" i="3"/>
  <c r="AR11" i="3"/>
  <c r="AS11" i="3" s="1"/>
  <c r="BL11" i="3" s="1"/>
  <c r="F180" i="8" s="1"/>
  <c r="AM11" i="3"/>
  <c r="AN11" i="3" s="1"/>
  <c r="AO11" i="3" s="1"/>
  <c r="AE11" i="3"/>
  <c r="AF11" i="3" s="1"/>
  <c r="AG11" i="3" s="1"/>
  <c r="AH11" i="3" s="1"/>
  <c r="Y11" i="3"/>
  <c r="X11" i="3"/>
  <c r="U11" i="3"/>
  <c r="BI10" i="3"/>
  <c r="BE10" i="3"/>
  <c r="BF10" i="3" s="1"/>
  <c r="BG10" i="3" s="1"/>
  <c r="AY10" i="3"/>
  <c r="AV10" i="3"/>
  <c r="AR10" i="3"/>
  <c r="AS10" i="3" s="1"/>
  <c r="BL10" i="3" s="1"/>
  <c r="F186" i="8" s="1"/>
  <c r="AM10" i="3"/>
  <c r="AN10" i="3" s="1"/>
  <c r="AO10" i="3" s="1"/>
  <c r="AE10" i="3"/>
  <c r="AF10" i="3" s="1"/>
  <c r="AG10" i="3" s="1"/>
  <c r="AH10" i="3" s="1"/>
  <c r="Y10" i="3"/>
  <c r="X10" i="3"/>
  <c r="U10" i="3"/>
  <c r="BI9" i="3"/>
  <c r="BE9" i="3"/>
  <c r="BF9" i="3" s="1"/>
  <c r="BG9" i="3" s="1"/>
  <c r="AY9" i="3"/>
  <c r="AV9" i="3"/>
  <c r="AR9" i="3"/>
  <c r="AS9" i="3" s="1"/>
  <c r="BL9" i="3" s="1"/>
  <c r="F273" i="8" s="1"/>
  <c r="AM9" i="3"/>
  <c r="AN9" i="3" s="1"/>
  <c r="AO9" i="3" s="1"/>
  <c r="AE9" i="3"/>
  <c r="AF9" i="3" s="1"/>
  <c r="AG9" i="3" s="1"/>
  <c r="AH9" i="3" s="1"/>
  <c r="Y9" i="3"/>
  <c r="X9" i="3"/>
  <c r="U9" i="3"/>
  <c r="BI8" i="3"/>
  <c r="BE8" i="3"/>
  <c r="BF8" i="3" s="1"/>
  <c r="BG8" i="3" s="1"/>
  <c r="AY8" i="3"/>
  <c r="AV8" i="3"/>
  <c r="AR8" i="3"/>
  <c r="AS8" i="3" s="1"/>
  <c r="BL8" i="3" s="1"/>
  <c r="F316" i="8" s="1"/>
  <c r="AM8" i="3"/>
  <c r="AN8" i="3" s="1"/>
  <c r="AO8" i="3" s="1"/>
  <c r="AE8" i="3"/>
  <c r="AF8" i="3" s="1"/>
  <c r="AG8" i="3" s="1"/>
  <c r="AH8" i="3" s="1"/>
  <c r="Y8" i="3"/>
  <c r="X8" i="3"/>
  <c r="U8" i="3"/>
  <c r="BI7" i="3"/>
  <c r="BE7" i="3"/>
  <c r="BF7" i="3" s="1"/>
  <c r="BG7" i="3" s="1"/>
  <c r="AY7" i="3"/>
  <c r="AV7" i="3"/>
  <c r="AR7" i="3"/>
  <c r="AS7" i="3" s="1"/>
  <c r="BL7" i="3" s="1"/>
  <c r="F264" i="8" s="1"/>
  <c r="AM7" i="3"/>
  <c r="AN7" i="3" s="1"/>
  <c r="AO7" i="3" s="1"/>
  <c r="AE7" i="3"/>
  <c r="AF7" i="3" s="1"/>
  <c r="AG7" i="3" s="1"/>
  <c r="AH7" i="3" s="1"/>
  <c r="Y7" i="3"/>
  <c r="X7" i="3"/>
  <c r="U7" i="3"/>
  <c r="BI6" i="3"/>
  <c r="BE6" i="3"/>
  <c r="BF6" i="3" s="1"/>
  <c r="BG6" i="3" s="1"/>
  <c r="AY6" i="3"/>
  <c r="AV6" i="3"/>
  <c r="AR6" i="3"/>
  <c r="AS6" i="3" s="1"/>
  <c r="BL6" i="3" s="1"/>
  <c r="F65" i="8" s="1"/>
  <c r="AM6" i="3"/>
  <c r="AN6" i="3" s="1"/>
  <c r="AO6" i="3" s="1"/>
  <c r="AE6" i="3"/>
  <c r="AF6" i="3" s="1"/>
  <c r="AG6" i="3" s="1"/>
  <c r="AH6" i="3" s="1"/>
  <c r="Y6" i="3"/>
  <c r="X6" i="3"/>
  <c r="U6" i="3"/>
  <c r="BI5" i="3"/>
  <c r="BE5" i="3"/>
  <c r="BF5" i="3" s="1"/>
  <c r="BG5" i="3" s="1"/>
  <c r="AY5" i="3"/>
  <c r="AV5" i="3"/>
  <c r="AR5" i="3"/>
  <c r="AS5" i="3" s="1"/>
  <c r="BL5" i="3" s="1"/>
  <c r="F283" i="8" s="1"/>
  <c r="AM5" i="3"/>
  <c r="AN5" i="3" s="1"/>
  <c r="AO5" i="3" s="1"/>
  <c r="AE5" i="3"/>
  <c r="AF5" i="3" s="1"/>
  <c r="AG5" i="3" s="1"/>
  <c r="AH5" i="3" s="1"/>
  <c r="Y5" i="3"/>
  <c r="X5" i="3"/>
  <c r="U5" i="3"/>
  <c r="BI4" i="3"/>
  <c r="BE4" i="3"/>
  <c r="BF4" i="3" s="1"/>
  <c r="BG4" i="3" s="1"/>
  <c r="AY4" i="3"/>
  <c r="AV4" i="3"/>
  <c r="AR4" i="3"/>
  <c r="AS4" i="3" s="1"/>
  <c r="BL4" i="3" s="1"/>
  <c r="F240" i="8" s="1"/>
  <c r="AM4" i="3"/>
  <c r="AN4" i="3" s="1"/>
  <c r="AO4" i="3" s="1"/>
  <c r="AE4" i="3"/>
  <c r="AF4" i="3" s="1"/>
  <c r="AG4" i="3" s="1"/>
  <c r="AH4" i="3" s="1"/>
  <c r="Y4" i="3"/>
  <c r="X4" i="3"/>
  <c r="U4" i="3"/>
  <c r="BI3" i="3"/>
  <c r="BE3" i="3"/>
  <c r="BF3" i="3" s="1"/>
  <c r="BG3" i="3" s="1"/>
  <c r="AY3" i="3"/>
  <c r="AV3" i="3"/>
  <c r="AR3" i="3"/>
  <c r="AS3" i="3" s="1"/>
  <c r="BL3" i="3" s="1"/>
  <c r="F230" i="8" s="1"/>
  <c r="AM3" i="3"/>
  <c r="AN3" i="3" s="1"/>
  <c r="AO3" i="3" s="1"/>
  <c r="AE3" i="3"/>
  <c r="AF3" i="3" s="1"/>
  <c r="AG3" i="3" s="1"/>
  <c r="AH3" i="3" s="1"/>
  <c r="Y3" i="3"/>
  <c r="X3" i="3"/>
  <c r="U3" i="3"/>
  <c r="BI2" i="3"/>
  <c r="BE2" i="3"/>
  <c r="BF2" i="3" s="1"/>
  <c r="BG2" i="3" s="1"/>
  <c r="AY2" i="3"/>
  <c r="AV2" i="3"/>
  <c r="AR2" i="3"/>
  <c r="AS2" i="3" s="1"/>
  <c r="AM2" i="3"/>
  <c r="AN2" i="3" s="1"/>
  <c r="AO2" i="3" s="1"/>
  <c r="AE2" i="3"/>
  <c r="AF2" i="3" s="1"/>
  <c r="AG2" i="3" s="1"/>
  <c r="AH2" i="3" s="1"/>
  <c r="Y2" i="3"/>
  <c r="X2" i="3"/>
  <c r="U2" i="3"/>
  <c r="B29" i="7"/>
  <c r="B28" i="7"/>
  <c r="B27" i="7"/>
  <c r="B26" i="7"/>
  <c r="B25" i="7"/>
  <c r="B24" i="7"/>
  <c r="B23" i="7"/>
  <c r="B22" i="7"/>
  <c r="B21" i="7"/>
  <c r="B20" i="7"/>
  <c r="B19" i="7"/>
  <c r="B18" i="7"/>
  <c r="B17" i="7"/>
  <c r="B16" i="7"/>
  <c r="B15" i="7"/>
  <c r="B14" i="7"/>
  <c r="B13" i="7"/>
  <c r="B12" i="7"/>
  <c r="B11" i="7"/>
  <c r="B10" i="7"/>
  <c r="B9" i="7"/>
  <c r="B8" i="7"/>
  <c r="B7" i="7"/>
  <c r="B6" i="7"/>
  <c r="B5" i="7"/>
  <c r="B4" i="7"/>
  <c r="CT322" i="1"/>
  <c r="CU322" i="1" s="1"/>
  <c r="CV322" i="1" s="1"/>
  <c r="CP322" i="1"/>
  <c r="CQ322" i="1" s="1"/>
  <c r="CR322" i="1" s="1"/>
  <c r="CM322" i="1"/>
  <c r="CN322" i="1" s="1"/>
  <c r="CI322" i="1"/>
  <c r="CJ322" i="1" s="1"/>
  <c r="BU322" i="1"/>
  <c r="BV322" i="1" s="1"/>
  <c r="BP322" i="1"/>
  <c r="BQ322" i="1" s="1"/>
  <c r="BR322" i="1" s="1"/>
  <c r="BJ322" i="1"/>
  <c r="BH322" i="1"/>
  <c r="BI322" i="1" s="1"/>
  <c r="BA322" i="1"/>
  <c r="BB322" i="1" s="1"/>
  <c r="BC322" i="1" s="1"/>
  <c r="BD322" i="1" s="1"/>
  <c r="AS322" i="1"/>
  <c r="AT322" i="1" s="1"/>
  <c r="AU322" i="1" s="1"/>
  <c r="AV322" i="1" s="1"/>
  <c r="AW322" i="1" s="1"/>
  <c r="AX322" i="1" s="1"/>
  <c r="AN322" i="1"/>
  <c r="AO322" i="1" s="1"/>
  <c r="AP322" i="1" s="1"/>
  <c r="AQ322" i="1" s="1"/>
  <c r="AG322" i="1"/>
  <c r="AF322" i="1"/>
  <c r="AB322" i="1"/>
  <c r="AC322" i="1" s="1"/>
  <c r="AD322" i="1" s="1"/>
  <c r="AE322" i="1" s="1"/>
  <c r="W322" i="1"/>
  <c r="CT321" i="1"/>
  <c r="CU321" i="1" s="1"/>
  <c r="CV321" i="1" s="1"/>
  <c r="CP321" i="1"/>
  <c r="CQ321" i="1" s="1"/>
  <c r="CR321" i="1" s="1"/>
  <c r="CM321" i="1"/>
  <c r="CN321" i="1" s="1"/>
  <c r="CC321" i="1"/>
  <c r="CD321" i="1" s="1"/>
  <c r="CE321" i="1" s="1"/>
  <c r="BU321" i="1"/>
  <c r="BV321" i="1" s="1"/>
  <c r="BP321" i="1"/>
  <c r="BQ321" i="1" s="1"/>
  <c r="BR321" i="1" s="1"/>
  <c r="BJ321" i="1"/>
  <c r="BH321" i="1"/>
  <c r="BI321" i="1" s="1"/>
  <c r="BA321" i="1"/>
  <c r="BB321" i="1" s="1"/>
  <c r="BC321" i="1" s="1"/>
  <c r="BD321" i="1" s="1"/>
  <c r="AS321" i="1"/>
  <c r="AT321" i="1" s="1"/>
  <c r="AU321" i="1" s="1"/>
  <c r="AV321" i="1" s="1"/>
  <c r="AW321" i="1" s="1"/>
  <c r="AX321" i="1" s="1"/>
  <c r="AN321" i="1"/>
  <c r="AO321" i="1" s="1"/>
  <c r="AP321" i="1" s="1"/>
  <c r="AQ321" i="1" s="1"/>
  <c r="AG321" i="1"/>
  <c r="AF321" i="1"/>
  <c r="AB321" i="1"/>
  <c r="AC321" i="1" s="1"/>
  <c r="AD321" i="1" s="1"/>
  <c r="AE321" i="1" s="1"/>
  <c r="V321" i="1"/>
  <c r="CT320" i="1"/>
  <c r="CU320" i="1" s="1"/>
  <c r="CV320" i="1" s="1"/>
  <c r="CP320" i="1"/>
  <c r="CQ320" i="1" s="1"/>
  <c r="CR320" i="1" s="1"/>
  <c r="CM320" i="1"/>
  <c r="CN320" i="1" s="1"/>
  <c r="CC320" i="1"/>
  <c r="CD320" i="1" s="1"/>
  <c r="CE320" i="1" s="1"/>
  <c r="BU320" i="1"/>
  <c r="BV320" i="1" s="1"/>
  <c r="BP320" i="1"/>
  <c r="BQ320" i="1" s="1"/>
  <c r="BR320" i="1" s="1"/>
  <c r="BJ320" i="1"/>
  <c r="BH320" i="1"/>
  <c r="BI320" i="1" s="1"/>
  <c r="BA320" i="1"/>
  <c r="BB320" i="1" s="1"/>
  <c r="BC320" i="1" s="1"/>
  <c r="BD320" i="1" s="1"/>
  <c r="AS320" i="1"/>
  <c r="AT320" i="1" s="1"/>
  <c r="AU320" i="1" s="1"/>
  <c r="AV320" i="1" s="1"/>
  <c r="AW320" i="1" s="1"/>
  <c r="AX320" i="1" s="1"/>
  <c r="AN320" i="1"/>
  <c r="AO320" i="1" s="1"/>
  <c r="AP320" i="1" s="1"/>
  <c r="AQ320" i="1" s="1"/>
  <c r="AG320" i="1"/>
  <c r="AF320" i="1"/>
  <c r="AB320" i="1"/>
  <c r="AC320" i="1" s="1"/>
  <c r="AD320" i="1" s="1"/>
  <c r="AE320" i="1" s="1"/>
  <c r="AA320" i="1"/>
  <c r="Z320" i="1"/>
  <c r="W320" i="1"/>
  <c r="V320" i="1"/>
  <c r="U320" i="1"/>
  <c r="CT319" i="1"/>
  <c r="CU319" i="1" s="1"/>
  <c r="CV319" i="1" s="1"/>
  <c r="CP319" i="1"/>
  <c r="CQ319" i="1" s="1"/>
  <c r="CR319" i="1" s="1"/>
  <c r="CM319" i="1"/>
  <c r="CN319" i="1" s="1"/>
  <c r="CC319" i="1"/>
  <c r="CD319" i="1" s="1"/>
  <c r="CE319" i="1" s="1"/>
  <c r="BU319" i="1"/>
  <c r="BV319" i="1" s="1"/>
  <c r="BP319" i="1"/>
  <c r="BQ319" i="1" s="1"/>
  <c r="BR319" i="1" s="1"/>
  <c r="BJ319" i="1"/>
  <c r="BH319" i="1"/>
  <c r="BI319" i="1" s="1"/>
  <c r="BA319" i="1"/>
  <c r="BB319" i="1" s="1"/>
  <c r="BC319" i="1" s="1"/>
  <c r="BD319" i="1" s="1"/>
  <c r="AS319" i="1"/>
  <c r="AT319" i="1" s="1"/>
  <c r="AU319" i="1" s="1"/>
  <c r="AV319" i="1" s="1"/>
  <c r="AW319" i="1" s="1"/>
  <c r="AX319" i="1" s="1"/>
  <c r="AN319" i="1"/>
  <c r="AO319" i="1" s="1"/>
  <c r="AP319" i="1" s="1"/>
  <c r="AQ319" i="1" s="1"/>
  <c r="W319" i="1"/>
  <c r="V319" i="1"/>
  <c r="AF319" i="1" s="1"/>
  <c r="U319" i="1"/>
  <c r="CT318" i="1"/>
  <c r="CU318" i="1" s="1"/>
  <c r="CV318" i="1" s="1"/>
  <c r="CP318" i="1"/>
  <c r="CQ318" i="1" s="1"/>
  <c r="CR318" i="1" s="1"/>
  <c r="CM318" i="1"/>
  <c r="CN318" i="1" s="1"/>
  <c r="CC318" i="1"/>
  <c r="CD318" i="1" s="1"/>
  <c r="CE318" i="1" s="1"/>
  <c r="BU318" i="1"/>
  <c r="BV318" i="1" s="1"/>
  <c r="BP318" i="1"/>
  <c r="BQ318" i="1" s="1"/>
  <c r="BR318" i="1" s="1"/>
  <c r="BJ318" i="1"/>
  <c r="BH318" i="1"/>
  <c r="BI318" i="1" s="1"/>
  <c r="BA318" i="1"/>
  <c r="BB318" i="1" s="1"/>
  <c r="BC318" i="1" s="1"/>
  <c r="BD318" i="1" s="1"/>
  <c r="AZ318" i="1"/>
  <c r="AS318" i="1"/>
  <c r="AT318" i="1" s="1"/>
  <c r="AU318" i="1" s="1"/>
  <c r="AV318" i="1" s="1"/>
  <c r="AW318" i="1" s="1"/>
  <c r="AX318" i="1" s="1"/>
  <c r="AN318" i="1"/>
  <c r="AO318" i="1" s="1"/>
  <c r="AP318" i="1" s="1"/>
  <c r="AQ318" i="1" s="1"/>
  <c r="AG318" i="1"/>
  <c r="AF318" i="1"/>
  <c r="AB318" i="1"/>
  <c r="AC318" i="1" s="1"/>
  <c r="AD318" i="1" s="1"/>
  <c r="AE318" i="1" s="1"/>
  <c r="W318" i="1"/>
  <c r="V318" i="1"/>
  <c r="CT317" i="1"/>
  <c r="CU317" i="1" s="1"/>
  <c r="CV317" i="1" s="1"/>
  <c r="CP317" i="1"/>
  <c r="CQ317" i="1" s="1"/>
  <c r="CR317" i="1" s="1"/>
  <c r="CM317" i="1"/>
  <c r="CN317" i="1" s="1"/>
  <c r="CC317" i="1"/>
  <c r="CD317" i="1" s="1"/>
  <c r="CE317" i="1" s="1"/>
  <c r="BU317" i="1"/>
  <c r="BV317" i="1" s="1"/>
  <c r="BP317" i="1"/>
  <c r="BQ317" i="1" s="1"/>
  <c r="BR317" i="1" s="1"/>
  <c r="BJ317" i="1"/>
  <c r="BH317" i="1"/>
  <c r="BI317" i="1" s="1"/>
  <c r="BA317" i="1"/>
  <c r="BB317" i="1" s="1"/>
  <c r="BC317" i="1" s="1"/>
  <c r="BD317" i="1" s="1"/>
  <c r="AZ317" i="1"/>
  <c r="AS317" i="1"/>
  <c r="AT317" i="1" s="1"/>
  <c r="AU317" i="1" s="1"/>
  <c r="AV317" i="1" s="1"/>
  <c r="AW317" i="1" s="1"/>
  <c r="AX317" i="1" s="1"/>
  <c r="AN317" i="1"/>
  <c r="AO317" i="1" s="1"/>
  <c r="AP317" i="1" s="1"/>
  <c r="AQ317" i="1" s="1"/>
  <c r="AG317" i="1"/>
  <c r="AF317" i="1"/>
  <c r="AB317" i="1"/>
  <c r="AC317" i="1" s="1"/>
  <c r="AD317" i="1" s="1"/>
  <c r="AE317" i="1" s="1"/>
  <c r="Z317" i="1"/>
  <c r="W317" i="1"/>
  <c r="CT316" i="1"/>
  <c r="CU316" i="1" s="1"/>
  <c r="CV316" i="1" s="1"/>
  <c r="CP316" i="1"/>
  <c r="CQ316" i="1" s="1"/>
  <c r="CR316" i="1" s="1"/>
  <c r="CM316" i="1"/>
  <c r="CN316" i="1" s="1"/>
  <c r="CC316" i="1"/>
  <c r="CD316" i="1" s="1"/>
  <c r="CE316" i="1" s="1"/>
  <c r="BU316" i="1"/>
  <c r="BV316" i="1" s="1"/>
  <c r="BP316" i="1"/>
  <c r="BQ316" i="1" s="1"/>
  <c r="BR316" i="1" s="1"/>
  <c r="BJ316" i="1"/>
  <c r="BH316" i="1"/>
  <c r="BI316" i="1" s="1"/>
  <c r="BA316" i="1"/>
  <c r="BB316" i="1" s="1"/>
  <c r="BC316" i="1" s="1"/>
  <c r="BD316" i="1" s="1"/>
  <c r="AS316" i="1"/>
  <c r="AT316" i="1" s="1"/>
  <c r="AU316" i="1" s="1"/>
  <c r="AV316" i="1" s="1"/>
  <c r="AW316" i="1" s="1"/>
  <c r="AX316" i="1" s="1"/>
  <c r="AN316" i="1"/>
  <c r="AO316" i="1" s="1"/>
  <c r="AP316" i="1" s="1"/>
  <c r="AQ316" i="1" s="1"/>
  <c r="AG316" i="1"/>
  <c r="AF316" i="1"/>
  <c r="AB316" i="1"/>
  <c r="AC316" i="1" s="1"/>
  <c r="AD316" i="1" s="1"/>
  <c r="AE316" i="1" s="1"/>
  <c r="V316" i="1"/>
  <c r="CT315" i="1"/>
  <c r="CU315" i="1" s="1"/>
  <c r="CV315" i="1" s="1"/>
  <c r="CP315" i="1"/>
  <c r="CQ315" i="1" s="1"/>
  <c r="CR315" i="1" s="1"/>
  <c r="CM315" i="1"/>
  <c r="CN315" i="1" s="1"/>
  <c r="CC315" i="1"/>
  <c r="CD315" i="1" s="1"/>
  <c r="CE315" i="1" s="1"/>
  <c r="BU315" i="1"/>
  <c r="BV315" i="1" s="1"/>
  <c r="BP315" i="1"/>
  <c r="BQ315" i="1" s="1"/>
  <c r="BR315" i="1" s="1"/>
  <c r="BJ315" i="1"/>
  <c r="BH315" i="1"/>
  <c r="BI315" i="1" s="1"/>
  <c r="BA315" i="1"/>
  <c r="BB315" i="1" s="1"/>
  <c r="BC315" i="1" s="1"/>
  <c r="BD315" i="1" s="1"/>
  <c r="AS315" i="1"/>
  <c r="AT315" i="1" s="1"/>
  <c r="AU315" i="1" s="1"/>
  <c r="AV315" i="1" s="1"/>
  <c r="AW315" i="1" s="1"/>
  <c r="AX315" i="1" s="1"/>
  <c r="AN315" i="1"/>
  <c r="AO315" i="1" s="1"/>
  <c r="AP315" i="1" s="1"/>
  <c r="AQ315" i="1" s="1"/>
  <c r="AG315" i="1"/>
  <c r="AF315" i="1"/>
  <c r="AB315" i="1"/>
  <c r="AC315" i="1" s="1"/>
  <c r="AD315" i="1" s="1"/>
  <c r="AE315" i="1" s="1"/>
  <c r="V315" i="1"/>
  <c r="CT314" i="1"/>
  <c r="CU314" i="1" s="1"/>
  <c r="CV314" i="1" s="1"/>
  <c r="CP314" i="1"/>
  <c r="CQ314" i="1" s="1"/>
  <c r="CR314" i="1" s="1"/>
  <c r="CM314" i="1"/>
  <c r="CN314" i="1" s="1"/>
  <c r="CC314" i="1"/>
  <c r="CD314" i="1" s="1"/>
  <c r="CE314" i="1" s="1"/>
  <c r="BU314" i="1"/>
  <c r="BV314" i="1" s="1"/>
  <c r="BP314" i="1"/>
  <c r="BQ314" i="1" s="1"/>
  <c r="BR314" i="1" s="1"/>
  <c r="BJ314" i="1"/>
  <c r="BH314" i="1"/>
  <c r="BI314" i="1" s="1"/>
  <c r="BA314" i="1"/>
  <c r="BB314" i="1" s="1"/>
  <c r="BC314" i="1" s="1"/>
  <c r="BD314" i="1" s="1"/>
  <c r="AZ314" i="1"/>
  <c r="AS314" i="1"/>
  <c r="AT314" i="1" s="1"/>
  <c r="AU314" i="1" s="1"/>
  <c r="AV314" i="1" s="1"/>
  <c r="AW314" i="1" s="1"/>
  <c r="AX314" i="1" s="1"/>
  <c r="AN314" i="1"/>
  <c r="AO314" i="1" s="1"/>
  <c r="AP314" i="1" s="1"/>
  <c r="AQ314" i="1" s="1"/>
  <c r="AG314" i="1"/>
  <c r="AF314" i="1"/>
  <c r="AB314" i="1"/>
  <c r="AC314" i="1" s="1"/>
  <c r="AD314" i="1" s="1"/>
  <c r="AE314" i="1" s="1"/>
  <c r="W314" i="1"/>
  <c r="U314" i="1"/>
  <c r="CT313" i="1"/>
  <c r="CU313" i="1" s="1"/>
  <c r="CV313" i="1" s="1"/>
  <c r="CP313" i="1"/>
  <c r="CQ313" i="1" s="1"/>
  <c r="CR313" i="1" s="1"/>
  <c r="CM313" i="1"/>
  <c r="CN313" i="1" s="1"/>
  <c r="CC313" i="1"/>
  <c r="CD313" i="1" s="1"/>
  <c r="CE313" i="1" s="1"/>
  <c r="BU313" i="1"/>
  <c r="BV313" i="1" s="1"/>
  <c r="BP313" i="1"/>
  <c r="BQ313" i="1" s="1"/>
  <c r="BR313" i="1" s="1"/>
  <c r="BJ313" i="1"/>
  <c r="BH313" i="1"/>
  <c r="BI313" i="1" s="1"/>
  <c r="BA313" i="1"/>
  <c r="BB313" i="1" s="1"/>
  <c r="BC313" i="1" s="1"/>
  <c r="BD313" i="1" s="1"/>
  <c r="AS313" i="1"/>
  <c r="AT313" i="1" s="1"/>
  <c r="AU313" i="1" s="1"/>
  <c r="AV313" i="1" s="1"/>
  <c r="AW313" i="1" s="1"/>
  <c r="AX313" i="1" s="1"/>
  <c r="AN313" i="1"/>
  <c r="AO313" i="1" s="1"/>
  <c r="AP313" i="1" s="1"/>
  <c r="AQ313" i="1" s="1"/>
  <c r="AG313" i="1"/>
  <c r="AF313" i="1"/>
  <c r="AB313" i="1"/>
  <c r="AC313" i="1" s="1"/>
  <c r="AD313" i="1" s="1"/>
  <c r="AE313" i="1" s="1"/>
  <c r="Z313" i="1"/>
  <c r="CT312" i="1"/>
  <c r="CU312" i="1" s="1"/>
  <c r="CV312" i="1" s="1"/>
  <c r="CP312" i="1"/>
  <c r="CQ312" i="1" s="1"/>
  <c r="CR312" i="1" s="1"/>
  <c r="CM312" i="1"/>
  <c r="CN312" i="1" s="1"/>
  <c r="CC312" i="1"/>
  <c r="CD312" i="1" s="1"/>
  <c r="CE312" i="1" s="1"/>
  <c r="BU312" i="1"/>
  <c r="BV312" i="1" s="1"/>
  <c r="BP312" i="1"/>
  <c r="BQ312" i="1" s="1"/>
  <c r="BR312" i="1" s="1"/>
  <c r="BJ312" i="1"/>
  <c r="BH312" i="1"/>
  <c r="BI312" i="1" s="1"/>
  <c r="BA312" i="1"/>
  <c r="BB312" i="1" s="1"/>
  <c r="BC312" i="1" s="1"/>
  <c r="BD312" i="1" s="1"/>
  <c r="AZ312" i="1"/>
  <c r="AS312" i="1"/>
  <c r="AT312" i="1" s="1"/>
  <c r="AU312" i="1" s="1"/>
  <c r="AV312" i="1" s="1"/>
  <c r="AW312" i="1" s="1"/>
  <c r="AX312" i="1" s="1"/>
  <c r="AN312" i="1"/>
  <c r="AO312" i="1" s="1"/>
  <c r="AP312" i="1" s="1"/>
  <c r="AQ312" i="1" s="1"/>
  <c r="Z312" i="1"/>
  <c r="V312" i="1"/>
  <c r="AG312" i="1" s="1"/>
  <c r="CT311" i="1"/>
  <c r="CU311" i="1" s="1"/>
  <c r="CV311" i="1" s="1"/>
  <c r="CP311" i="1"/>
  <c r="CQ311" i="1" s="1"/>
  <c r="CR311" i="1" s="1"/>
  <c r="CM311" i="1"/>
  <c r="CN311" i="1" s="1"/>
  <c r="CC311" i="1"/>
  <c r="CD311" i="1" s="1"/>
  <c r="CE311" i="1" s="1"/>
  <c r="BU311" i="1"/>
  <c r="BV311" i="1" s="1"/>
  <c r="BP311" i="1"/>
  <c r="BQ311" i="1" s="1"/>
  <c r="BR311" i="1" s="1"/>
  <c r="BJ311" i="1"/>
  <c r="BH311" i="1"/>
  <c r="BI311" i="1" s="1"/>
  <c r="BA311" i="1"/>
  <c r="BB311" i="1" s="1"/>
  <c r="BC311" i="1" s="1"/>
  <c r="BD311" i="1" s="1"/>
  <c r="AS311" i="1"/>
  <c r="AT311" i="1" s="1"/>
  <c r="AU311" i="1" s="1"/>
  <c r="AV311" i="1" s="1"/>
  <c r="AW311" i="1" s="1"/>
  <c r="AX311" i="1" s="1"/>
  <c r="AN311" i="1"/>
  <c r="AO311" i="1" s="1"/>
  <c r="AP311" i="1" s="1"/>
  <c r="AQ311" i="1" s="1"/>
  <c r="AG311" i="1"/>
  <c r="AF311" i="1"/>
  <c r="AB311" i="1"/>
  <c r="AC311" i="1" s="1"/>
  <c r="AD311" i="1" s="1"/>
  <c r="AE311" i="1" s="1"/>
  <c r="CT310" i="1"/>
  <c r="CU310" i="1" s="1"/>
  <c r="CV310" i="1" s="1"/>
  <c r="CP310" i="1"/>
  <c r="CQ310" i="1" s="1"/>
  <c r="CR310" i="1" s="1"/>
  <c r="CM310" i="1"/>
  <c r="CN310" i="1" s="1"/>
  <c r="CI310" i="1"/>
  <c r="CJ310" i="1" s="1"/>
  <c r="BU310" i="1"/>
  <c r="BV310" i="1" s="1"/>
  <c r="BP310" i="1"/>
  <c r="BQ310" i="1" s="1"/>
  <c r="BR310" i="1" s="1"/>
  <c r="BJ310" i="1"/>
  <c r="BH310" i="1"/>
  <c r="BI310" i="1" s="1"/>
  <c r="BA310" i="1"/>
  <c r="BB310" i="1" s="1"/>
  <c r="BC310" i="1" s="1"/>
  <c r="BD310" i="1" s="1"/>
  <c r="AZ310" i="1"/>
  <c r="AS310" i="1"/>
  <c r="AT310" i="1" s="1"/>
  <c r="AU310" i="1" s="1"/>
  <c r="AV310" i="1" s="1"/>
  <c r="AW310" i="1" s="1"/>
  <c r="AX310" i="1" s="1"/>
  <c r="AN310" i="1"/>
  <c r="AO310" i="1" s="1"/>
  <c r="AP310" i="1" s="1"/>
  <c r="AQ310" i="1" s="1"/>
  <c r="AG310" i="1"/>
  <c r="AF310" i="1"/>
  <c r="AB310" i="1"/>
  <c r="AC310" i="1" s="1"/>
  <c r="AD310" i="1" s="1"/>
  <c r="AE310" i="1" s="1"/>
  <c r="W310" i="1"/>
  <c r="V310" i="1"/>
  <c r="CT309" i="1"/>
  <c r="CU309" i="1" s="1"/>
  <c r="CV309" i="1" s="1"/>
  <c r="CP309" i="1"/>
  <c r="CQ309" i="1" s="1"/>
  <c r="CR309" i="1" s="1"/>
  <c r="CM309" i="1"/>
  <c r="CN309" i="1" s="1"/>
  <c r="CC309" i="1"/>
  <c r="CD309" i="1" s="1"/>
  <c r="CE309" i="1" s="1"/>
  <c r="BU309" i="1"/>
  <c r="BV309" i="1" s="1"/>
  <c r="BP309" i="1"/>
  <c r="BQ309" i="1" s="1"/>
  <c r="BR309" i="1" s="1"/>
  <c r="BJ309" i="1"/>
  <c r="BH309" i="1"/>
  <c r="BI309" i="1" s="1"/>
  <c r="BA309" i="1"/>
  <c r="BB309" i="1" s="1"/>
  <c r="BC309" i="1" s="1"/>
  <c r="BD309" i="1" s="1"/>
  <c r="AS309" i="1"/>
  <c r="AT309" i="1" s="1"/>
  <c r="AU309" i="1" s="1"/>
  <c r="AV309" i="1" s="1"/>
  <c r="AW309" i="1" s="1"/>
  <c r="AX309" i="1" s="1"/>
  <c r="AN309" i="1"/>
  <c r="AO309" i="1" s="1"/>
  <c r="AP309" i="1" s="1"/>
  <c r="AQ309" i="1" s="1"/>
  <c r="AG309" i="1"/>
  <c r="AF309" i="1"/>
  <c r="AB309" i="1"/>
  <c r="AC309" i="1" s="1"/>
  <c r="AD309" i="1" s="1"/>
  <c r="AE309" i="1" s="1"/>
  <c r="U309" i="1"/>
  <c r="CT308" i="1"/>
  <c r="CU308" i="1" s="1"/>
  <c r="CV308" i="1" s="1"/>
  <c r="CP308" i="1"/>
  <c r="CQ308" i="1" s="1"/>
  <c r="CR308" i="1" s="1"/>
  <c r="CM308" i="1"/>
  <c r="CN308" i="1" s="1"/>
  <c r="CJ308" i="1"/>
  <c r="BU308" i="1"/>
  <c r="BV308" i="1" s="1"/>
  <c r="BP308" i="1"/>
  <c r="BQ308" i="1" s="1"/>
  <c r="BR308" i="1" s="1"/>
  <c r="BJ308" i="1"/>
  <c r="BH308" i="1"/>
  <c r="BI308" i="1" s="1"/>
  <c r="BA308" i="1"/>
  <c r="BB308" i="1" s="1"/>
  <c r="BC308" i="1" s="1"/>
  <c r="BD308" i="1" s="1"/>
  <c r="AS308" i="1"/>
  <c r="AT308" i="1" s="1"/>
  <c r="AU308" i="1" s="1"/>
  <c r="AV308" i="1" s="1"/>
  <c r="AW308" i="1" s="1"/>
  <c r="AX308" i="1" s="1"/>
  <c r="AN308" i="1"/>
  <c r="AO308" i="1" s="1"/>
  <c r="AP308" i="1" s="1"/>
  <c r="AQ308" i="1" s="1"/>
  <c r="AG308" i="1"/>
  <c r="AF308" i="1"/>
  <c r="AB308" i="1"/>
  <c r="AC308" i="1" s="1"/>
  <c r="AD308" i="1" s="1"/>
  <c r="AE308" i="1" s="1"/>
  <c r="Z308" i="1"/>
  <c r="W308" i="1"/>
  <c r="CT307" i="1"/>
  <c r="CU307" i="1" s="1"/>
  <c r="CV307" i="1" s="1"/>
  <c r="CP307" i="1"/>
  <c r="CQ307" i="1" s="1"/>
  <c r="CR307" i="1" s="1"/>
  <c r="CM307" i="1"/>
  <c r="CN307" i="1" s="1"/>
  <c r="CC307" i="1"/>
  <c r="CD307" i="1" s="1"/>
  <c r="CE307" i="1" s="1"/>
  <c r="BU307" i="1"/>
  <c r="BV307" i="1" s="1"/>
  <c r="BP307" i="1"/>
  <c r="BQ307" i="1" s="1"/>
  <c r="BR307" i="1" s="1"/>
  <c r="BJ307" i="1"/>
  <c r="BH307" i="1"/>
  <c r="BI307" i="1" s="1"/>
  <c r="BA307" i="1"/>
  <c r="BB307" i="1" s="1"/>
  <c r="BC307" i="1" s="1"/>
  <c r="BD307" i="1" s="1"/>
  <c r="AS307" i="1"/>
  <c r="AT307" i="1" s="1"/>
  <c r="AU307" i="1" s="1"/>
  <c r="AV307" i="1" s="1"/>
  <c r="AW307" i="1" s="1"/>
  <c r="AX307" i="1" s="1"/>
  <c r="AN307" i="1"/>
  <c r="AO307" i="1" s="1"/>
  <c r="AP307" i="1" s="1"/>
  <c r="AQ307" i="1" s="1"/>
  <c r="AG307" i="1"/>
  <c r="AF307" i="1"/>
  <c r="AB307" i="1"/>
  <c r="AC307" i="1" s="1"/>
  <c r="AD307" i="1" s="1"/>
  <c r="AE307" i="1" s="1"/>
  <c r="W307" i="1"/>
  <c r="V307" i="1"/>
  <c r="U307" i="1"/>
  <c r="CT306" i="1"/>
  <c r="CU306" i="1" s="1"/>
  <c r="CV306" i="1" s="1"/>
  <c r="CP306" i="1"/>
  <c r="CQ306" i="1" s="1"/>
  <c r="CR306" i="1" s="1"/>
  <c r="CM306" i="1"/>
  <c r="CN306" i="1" s="1"/>
  <c r="CC306" i="1"/>
  <c r="CD306" i="1" s="1"/>
  <c r="CE306" i="1" s="1"/>
  <c r="BU306" i="1"/>
  <c r="BV306" i="1" s="1"/>
  <c r="BP306" i="1"/>
  <c r="BQ306" i="1" s="1"/>
  <c r="BR306" i="1" s="1"/>
  <c r="BJ306" i="1"/>
  <c r="BH306" i="1"/>
  <c r="BI306" i="1" s="1"/>
  <c r="BA306" i="1"/>
  <c r="BB306" i="1" s="1"/>
  <c r="BC306" i="1" s="1"/>
  <c r="BD306" i="1" s="1"/>
  <c r="AZ306" i="1"/>
  <c r="AS306" i="1"/>
  <c r="AT306" i="1" s="1"/>
  <c r="AU306" i="1" s="1"/>
  <c r="AV306" i="1" s="1"/>
  <c r="AW306" i="1" s="1"/>
  <c r="AX306" i="1" s="1"/>
  <c r="AN306" i="1"/>
  <c r="AO306" i="1" s="1"/>
  <c r="AP306" i="1" s="1"/>
  <c r="AQ306" i="1" s="1"/>
  <c r="AG306" i="1"/>
  <c r="AF306" i="1"/>
  <c r="AB306" i="1"/>
  <c r="AC306" i="1" s="1"/>
  <c r="AD306" i="1" s="1"/>
  <c r="AE306" i="1" s="1"/>
  <c r="Z306" i="1"/>
  <c r="W306" i="1"/>
  <c r="U306" i="1"/>
  <c r="CT305" i="1"/>
  <c r="CU305" i="1" s="1"/>
  <c r="CV305" i="1" s="1"/>
  <c r="CP305" i="1"/>
  <c r="CQ305" i="1" s="1"/>
  <c r="CR305" i="1" s="1"/>
  <c r="CM305" i="1"/>
  <c r="CN305" i="1" s="1"/>
  <c r="CC305" i="1"/>
  <c r="CD305" i="1" s="1"/>
  <c r="CE305" i="1" s="1"/>
  <c r="BU305" i="1"/>
  <c r="BV305" i="1" s="1"/>
  <c r="BP305" i="1"/>
  <c r="BQ305" i="1" s="1"/>
  <c r="BR305" i="1" s="1"/>
  <c r="BJ305" i="1"/>
  <c r="BH305" i="1"/>
  <c r="BI305" i="1" s="1"/>
  <c r="BA305" i="1"/>
  <c r="BB305" i="1" s="1"/>
  <c r="BC305" i="1" s="1"/>
  <c r="BD305" i="1" s="1"/>
  <c r="AZ305" i="1"/>
  <c r="AS305" i="1"/>
  <c r="AT305" i="1" s="1"/>
  <c r="AU305" i="1" s="1"/>
  <c r="AV305" i="1" s="1"/>
  <c r="AW305" i="1" s="1"/>
  <c r="AX305" i="1" s="1"/>
  <c r="AN305" i="1"/>
  <c r="AO305" i="1" s="1"/>
  <c r="AP305" i="1" s="1"/>
  <c r="AQ305" i="1" s="1"/>
  <c r="AG305" i="1"/>
  <c r="AF305" i="1"/>
  <c r="AB305" i="1"/>
  <c r="AC305" i="1" s="1"/>
  <c r="AD305" i="1" s="1"/>
  <c r="AE305" i="1" s="1"/>
  <c r="W305" i="1"/>
  <c r="V305" i="1"/>
  <c r="U305" i="1"/>
  <c r="CT304" i="1"/>
  <c r="CU304" i="1" s="1"/>
  <c r="CV304" i="1" s="1"/>
  <c r="CP304" i="1"/>
  <c r="CQ304" i="1" s="1"/>
  <c r="CR304" i="1" s="1"/>
  <c r="CM304" i="1"/>
  <c r="CN304" i="1" s="1"/>
  <c r="CC304" i="1"/>
  <c r="CD304" i="1" s="1"/>
  <c r="CE304" i="1" s="1"/>
  <c r="BU304" i="1"/>
  <c r="BV304" i="1" s="1"/>
  <c r="BP304" i="1"/>
  <c r="BQ304" i="1" s="1"/>
  <c r="BR304" i="1" s="1"/>
  <c r="BJ304" i="1"/>
  <c r="BH304" i="1"/>
  <c r="BI304" i="1" s="1"/>
  <c r="BA304" i="1"/>
  <c r="BB304" i="1" s="1"/>
  <c r="BC304" i="1" s="1"/>
  <c r="BD304" i="1" s="1"/>
  <c r="AZ304" i="1"/>
  <c r="AY304" i="1"/>
  <c r="AS304" i="1"/>
  <c r="AT304" i="1" s="1"/>
  <c r="AU304" i="1" s="1"/>
  <c r="AV304" i="1" s="1"/>
  <c r="AW304" i="1" s="1"/>
  <c r="AX304" i="1" s="1"/>
  <c r="AN304" i="1"/>
  <c r="AO304" i="1" s="1"/>
  <c r="AP304" i="1" s="1"/>
  <c r="AQ304" i="1" s="1"/>
  <c r="AG304" i="1"/>
  <c r="AF304" i="1"/>
  <c r="AB304" i="1"/>
  <c r="AC304" i="1" s="1"/>
  <c r="AD304" i="1" s="1"/>
  <c r="AE304" i="1" s="1"/>
  <c r="Z304" i="1"/>
  <c r="CT303" i="1"/>
  <c r="CU303" i="1" s="1"/>
  <c r="CV303" i="1" s="1"/>
  <c r="CP303" i="1"/>
  <c r="CQ303" i="1" s="1"/>
  <c r="CR303" i="1" s="1"/>
  <c r="CM303" i="1"/>
  <c r="CN303" i="1" s="1"/>
  <c r="CC303" i="1"/>
  <c r="CD303" i="1" s="1"/>
  <c r="CE303" i="1" s="1"/>
  <c r="BU303" i="1"/>
  <c r="BV303" i="1" s="1"/>
  <c r="BP303" i="1"/>
  <c r="BQ303" i="1" s="1"/>
  <c r="BR303" i="1" s="1"/>
  <c r="BJ303" i="1"/>
  <c r="BH303" i="1"/>
  <c r="BI303" i="1" s="1"/>
  <c r="BA303" i="1"/>
  <c r="BB303" i="1" s="1"/>
  <c r="BC303" i="1" s="1"/>
  <c r="BD303" i="1" s="1"/>
  <c r="AZ303" i="1"/>
  <c r="AS303" i="1"/>
  <c r="AT303" i="1" s="1"/>
  <c r="AU303" i="1" s="1"/>
  <c r="AV303" i="1" s="1"/>
  <c r="AW303" i="1" s="1"/>
  <c r="AX303" i="1" s="1"/>
  <c r="AN303" i="1"/>
  <c r="AO303" i="1" s="1"/>
  <c r="AP303" i="1" s="1"/>
  <c r="AQ303" i="1" s="1"/>
  <c r="AG303" i="1"/>
  <c r="AF303" i="1"/>
  <c r="AB303" i="1"/>
  <c r="AC303" i="1" s="1"/>
  <c r="AD303" i="1" s="1"/>
  <c r="AE303" i="1" s="1"/>
  <c r="Z303" i="1"/>
  <c r="W303" i="1"/>
  <c r="V303" i="1"/>
  <c r="U303" i="1"/>
  <c r="CT302" i="1"/>
  <c r="CU302" i="1" s="1"/>
  <c r="CV302" i="1" s="1"/>
  <c r="CP302" i="1"/>
  <c r="CQ302" i="1" s="1"/>
  <c r="CR302" i="1" s="1"/>
  <c r="CM302" i="1"/>
  <c r="CN302" i="1" s="1"/>
  <c r="CC302" i="1"/>
  <c r="CD302" i="1" s="1"/>
  <c r="CE302" i="1" s="1"/>
  <c r="BU302" i="1"/>
  <c r="BV302" i="1" s="1"/>
  <c r="BP302" i="1"/>
  <c r="BQ302" i="1" s="1"/>
  <c r="BR302" i="1" s="1"/>
  <c r="BJ302" i="1"/>
  <c r="BH302" i="1"/>
  <c r="BI302" i="1" s="1"/>
  <c r="BA302" i="1"/>
  <c r="BB302" i="1" s="1"/>
  <c r="BC302" i="1" s="1"/>
  <c r="BD302" i="1" s="1"/>
  <c r="AZ302" i="1"/>
  <c r="AS302" i="1"/>
  <c r="AT302" i="1" s="1"/>
  <c r="AU302" i="1" s="1"/>
  <c r="AV302" i="1" s="1"/>
  <c r="AW302" i="1" s="1"/>
  <c r="AX302" i="1" s="1"/>
  <c r="AN302" i="1"/>
  <c r="AO302" i="1" s="1"/>
  <c r="AP302" i="1" s="1"/>
  <c r="AQ302" i="1" s="1"/>
  <c r="AG302" i="1"/>
  <c r="AF302" i="1"/>
  <c r="AB302" i="1"/>
  <c r="AC302" i="1" s="1"/>
  <c r="AD302" i="1" s="1"/>
  <c r="AE302" i="1" s="1"/>
  <c r="W302" i="1"/>
  <c r="S302" i="1"/>
  <c r="CT301" i="1"/>
  <c r="CU301" i="1" s="1"/>
  <c r="CV301" i="1" s="1"/>
  <c r="CP301" i="1"/>
  <c r="CQ301" i="1" s="1"/>
  <c r="CR301" i="1" s="1"/>
  <c r="CM301" i="1"/>
  <c r="CN301" i="1" s="1"/>
  <c r="CC301" i="1"/>
  <c r="CD301" i="1" s="1"/>
  <c r="CE301" i="1" s="1"/>
  <c r="BU301" i="1"/>
  <c r="BV301" i="1" s="1"/>
  <c r="BP301" i="1"/>
  <c r="BQ301" i="1" s="1"/>
  <c r="BR301" i="1" s="1"/>
  <c r="BJ301" i="1"/>
  <c r="BH301" i="1"/>
  <c r="BI301" i="1" s="1"/>
  <c r="BA301" i="1"/>
  <c r="BB301" i="1" s="1"/>
  <c r="BC301" i="1" s="1"/>
  <c r="BD301" i="1" s="1"/>
  <c r="AS301" i="1"/>
  <c r="AT301" i="1" s="1"/>
  <c r="AU301" i="1" s="1"/>
  <c r="AV301" i="1" s="1"/>
  <c r="AW301" i="1" s="1"/>
  <c r="AX301" i="1" s="1"/>
  <c r="AN301" i="1"/>
  <c r="AO301" i="1" s="1"/>
  <c r="AP301" i="1" s="1"/>
  <c r="AQ301" i="1" s="1"/>
  <c r="AG301" i="1"/>
  <c r="AF301" i="1"/>
  <c r="AB301" i="1"/>
  <c r="AC301" i="1" s="1"/>
  <c r="AD301" i="1" s="1"/>
  <c r="AE301" i="1" s="1"/>
  <c r="W301" i="1"/>
  <c r="CT300" i="1"/>
  <c r="CU300" i="1" s="1"/>
  <c r="CV300" i="1" s="1"/>
  <c r="CP300" i="1"/>
  <c r="CQ300" i="1" s="1"/>
  <c r="CR300" i="1" s="1"/>
  <c r="CM300" i="1"/>
  <c r="CN300" i="1" s="1"/>
  <c r="CC300" i="1"/>
  <c r="CD300" i="1" s="1"/>
  <c r="CE300" i="1" s="1"/>
  <c r="BU300" i="1"/>
  <c r="BV300" i="1" s="1"/>
  <c r="BP300" i="1"/>
  <c r="BQ300" i="1" s="1"/>
  <c r="BR300" i="1" s="1"/>
  <c r="BJ300" i="1"/>
  <c r="BH300" i="1"/>
  <c r="BI300" i="1" s="1"/>
  <c r="BA300" i="1"/>
  <c r="BB300" i="1" s="1"/>
  <c r="BC300" i="1" s="1"/>
  <c r="BD300" i="1" s="1"/>
  <c r="AZ300" i="1"/>
  <c r="AS300" i="1"/>
  <c r="AT300" i="1" s="1"/>
  <c r="AU300" i="1" s="1"/>
  <c r="AV300" i="1" s="1"/>
  <c r="AW300" i="1" s="1"/>
  <c r="AX300" i="1" s="1"/>
  <c r="AN300" i="1"/>
  <c r="AO300" i="1" s="1"/>
  <c r="AP300" i="1" s="1"/>
  <c r="AQ300" i="1" s="1"/>
  <c r="AG300" i="1"/>
  <c r="AF300" i="1"/>
  <c r="AB300" i="1"/>
  <c r="AC300" i="1" s="1"/>
  <c r="AD300" i="1" s="1"/>
  <c r="AE300" i="1" s="1"/>
  <c r="Z300" i="1"/>
  <c r="W300" i="1"/>
  <c r="CT299" i="1"/>
  <c r="CU299" i="1" s="1"/>
  <c r="CV299" i="1" s="1"/>
  <c r="CP299" i="1"/>
  <c r="CQ299" i="1" s="1"/>
  <c r="CR299" i="1" s="1"/>
  <c r="CM299" i="1"/>
  <c r="CN299" i="1" s="1"/>
  <c r="CC299" i="1"/>
  <c r="CD299" i="1" s="1"/>
  <c r="CE299" i="1" s="1"/>
  <c r="BU299" i="1"/>
  <c r="BV299" i="1" s="1"/>
  <c r="BP299" i="1"/>
  <c r="BQ299" i="1" s="1"/>
  <c r="BR299" i="1" s="1"/>
  <c r="BJ299" i="1"/>
  <c r="BH299" i="1"/>
  <c r="BI299" i="1" s="1"/>
  <c r="BA299" i="1"/>
  <c r="BB299" i="1" s="1"/>
  <c r="BC299" i="1" s="1"/>
  <c r="BD299" i="1" s="1"/>
  <c r="AZ299" i="1"/>
  <c r="AS299" i="1"/>
  <c r="AT299" i="1" s="1"/>
  <c r="AU299" i="1" s="1"/>
  <c r="AV299" i="1" s="1"/>
  <c r="AW299" i="1" s="1"/>
  <c r="AX299" i="1" s="1"/>
  <c r="AN299" i="1"/>
  <c r="AO299" i="1" s="1"/>
  <c r="AP299" i="1" s="1"/>
  <c r="AQ299" i="1" s="1"/>
  <c r="AG299" i="1"/>
  <c r="AF299" i="1"/>
  <c r="AB299" i="1"/>
  <c r="AC299" i="1" s="1"/>
  <c r="AD299" i="1" s="1"/>
  <c r="AE299" i="1" s="1"/>
  <c r="W299" i="1"/>
  <c r="CT298" i="1"/>
  <c r="CU298" i="1" s="1"/>
  <c r="CV298" i="1" s="1"/>
  <c r="CP298" i="1"/>
  <c r="CQ298" i="1" s="1"/>
  <c r="CR298" i="1" s="1"/>
  <c r="CM298" i="1"/>
  <c r="CN298" i="1" s="1"/>
  <c r="CI298" i="1"/>
  <c r="CJ298" i="1" s="1"/>
  <c r="BU298" i="1"/>
  <c r="BV298" i="1" s="1"/>
  <c r="BP298" i="1"/>
  <c r="BQ298" i="1" s="1"/>
  <c r="BR298" i="1" s="1"/>
  <c r="BJ298" i="1"/>
  <c r="BH298" i="1"/>
  <c r="BI298" i="1" s="1"/>
  <c r="BA298" i="1"/>
  <c r="BB298" i="1" s="1"/>
  <c r="BC298" i="1" s="1"/>
  <c r="BD298" i="1" s="1"/>
  <c r="AZ298" i="1"/>
  <c r="AS298" i="1"/>
  <c r="AT298" i="1" s="1"/>
  <c r="AU298" i="1" s="1"/>
  <c r="AV298" i="1" s="1"/>
  <c r="AW298" i="1" s="1"/>
  <c r="AX298" i="1" s="1"/>
  <c r="AN298" i="1"/>
  <c r="AO298" i="1" s="1"/>
  <c r="AP298" i="1" s="1"/>
  <c r="AQ298" i="1" s="1"/>
  <c r="AG298" i="1"/>
  <c r="AF298" i="1"/>
  <c r="AB298" i="1"/>
  <c r="AC298" i="1" s="1"/>
  <c r="AD298" i="1" s="1"/>
  <c r="AE298" i="1" s="1"/>
  <c r="W298" i="1"/>
  <c r="CT297" i="1"/>
  <c r="CU297" i="1" s="1"/>
  <c r="CV297" i="1" s="1"/>
  <c r="CP297" i="1"/>
  <c r="CQ297" i="1" s="1"/>
  <c r="CR297" i="1" s="1"/>
  <c r="CM297" i="1"/>
  <c r="CN297" i="1" s="1"/>
  <c r="CI297" i="1"/>
  <c r="CJ297" i="1" s="1"/>
  <c r="BU297" i="1"/>
  <c r="BV297" i="1" s="1"/>
  <c r="BP297" i="1"/>
  <c r="BQ297" i="1" s="1"/>
  <c r="BR297" i="1" s="1"/>
  <c r="BJ297" i="1"/>
  <c r="BH297" i="1"/>
  <c r="BI297" i="1" s="1"/>
  <c r="BA297" i="1"/>
  <c r="BB297" i="1" s="1"/>
  <c r="BC297" i="1" s="1"/>
  <c r="BD297" i="1" s="1"/>
  <c r="AZ297" i="1"/>
  <c r="AS297" i="1"/>
  <c r="AT297" i="1" s="1"/>
  <c r="AU297" i="1" s="1"/>
  <c r="AV297" i="1" s="1"/>
  <c r="AW297" i="1" s="1"/>
  <c r="AX297" i="1" s="1"/>
  <c r="AN297" i="1"/>
  <c r="AO297" i="1" s="1"/>
  <c r="AP297" i="1" s="1"/>
  <c r="AQ297" i="1" s="1"/>
  <c r="AG297" i="1"/>
  <c r="AF297" i="1"/>
  <c r="AB297" i="1"/>
  <c r="AC297" i="1" s="1"/>
  <c r="AD297" i="1" s="1"/>
  <c r="AE297" i="1" s="1"/>
  <c r="Z297" i="1"/>
  <c r="W297" i="1"/>
  <c r="CT296" i="1"/>
  <c r="CU296" i="1" s="1"/>
  <c r="CV296" i="1" s="1"/>
  <c r="CP296" i="1"/>
  <c r="CQ296" i="1" s="1"/>
  <c r="CR296" i="1" s="1"/>
  <c r="CM296" i="1"/>
  <c r="CN296" i="1" s="1"/>
  <c r="CC296" i="1"/>
  <c r="CD296" i="1" s="1"/>
  <c r="CE296" i="1" s="1"/>
  <c r="BU296" i="1"/>
  <c r="BV296" i="1" s="1"/>
  <c r="BP296" i="1"/>
  <c r="BQ296" i="1" s="1"/>
  <c r="BR296" i="1" s="1"/>
  <c r="BJ296" i="1"/>
  <c r="BH296" i="1"/>
  <c r="BI296" i="1" s="1"/>
  <c r="BE296" i="1"/>
  <c r="BA296" i="1"/>
  <c r="BB296" i="1" s="1"/>
  <c r="BC296" i="1" s="1"/>
  <c r="BD296" i="1" s="1"/>
  <c r="AZ296" i="1"/>
  <c r="AS296" i="1"/>
  <c r="AT296" i="1" s="1"/>
  <c r="AU296" i="1" s="1"/>
  <c r="AV296" i="1" s="1"/>
  <c r="AW296" i="1" s="1"/>
  <c r="AX296" i="1" s="1"/>
  <c r="AN296" i="1"/>
  <c r="AO296" i="1" s="1"/>
  <c r="AP296" i="1" s="1"/>
  <c r="AQ296" i="1" s="1"/>
  <c r="AG296" i="1"/>
  <c r="AF296" i="1"/>
  <c r="AB296" i="1"/>
  <c r="AC296" i="1" s="1"/>
  <c r="AD296" i="1" s="1"/>
  <c r="AE296" i="1" s="1"/>
  <c r="CT295" i="1"/>
  <c r="CU295" i="1" s="1"/>
  <c r="CV295" i="1" s="1"/>
  <c r="CP295" i="1"/>
  <c r="CQ295" i="1" s="1"/>
  <c r="CR295" i="1" s="1"/>
  <c r="CM295" i="1"/>
  <c r="CN295" i="1" s="1"/>
  <c r="CC295" i="1"/>
  <c r="CD295" i="1" s="1"/>
  <c r="CE295" i="1" s="1"/>
  <c r="BU295" i="1"/>
  <c r="BV295" i="1" s="1"/>
  <c r="BP295" i="1"/>
  <c r="BQ295" i="1" s="1"/>
  <c r="BR295" i="1" s="1"/>
  <c r="BJ295" i="1"/>
  <c r="BH295" i="1"/>
  <c r="BI295" i="1" s="1"/>
  <c r="BA295" i="1"/>
  <c r="BB295" i="1" s="1"/>
  <c r="BC295" i="1" s="1"/>
  <c r="BD295" i="1" s="1"/>
  <c r="AZ295" i="1"/>
  <c r="AS295" i="1"/>
  <c r="AT295" i="1" s="1"/>
  <c r="AU295" i="1" s="1"/>
  <c r="AV295" i="1" s="1"/>
  <c r="AW295" i="1" s="1"/>
  <c r="AX295" i="1" s="1"/>
  <c r="AN295" i="1"/>
  <c r="AO295" i="1" s="1"/>
  <c r="AP295" i="1" s="1"/>
  <c r="AQ295" i="1" s="1"/>
  <c r="AG295" i="1"/>
  <c r="AF295" i="1"/>
  <c r="AB295" i="1"/>
  <c r="AC295" i="1" s="1"/>
  <c r="AD295" i="1" s="1"/>
  <c r="AE295" i="1" s="1"/>
  <c r="W295" i="1"/>
  <c r="V295" i="1"/>
  <c r="U295" i="1"/>
  <c r="CT294" i="1"/>
  <c r="CU294" i="1" s="1"/>
  <c r="CV294" i="1" s="1"/>
  <c r="CP294" i="1"/>
  <c r="CQ294" i="1" s="1"/>
  <c r="CR294" i="1" s="1"/>
  <c r="CM294" i="1"/>
  <c r="CN294" i="1" s="1"/>
  <c r="CC294" i="1"/>
  <c r="CD294" i="1" s="1"/>
  <c r="CE294" i="1" s="1"/>
  <c r="BU294" i="1"/>
  <c r="BV294" i="1" s="1"/>
  <c r="BP294" i="1"/>
  <c r="BQ294" i="1" s="1"/>
  <c r="BR294" i="1" s="1"/>
  <c r="BJ294" i="1"/>
  <c r="BH294" i="1"/>
  <c r="BI294" i="1" s="1"/>
  <c r="BF294" i="1"/>
  <c r="BA294" i="1"/>
  <c r="BB294" i="1" s="1"/>
  <c r="BC294" i="1" s="1"/>
  <c r="BD294" i="1" s="1"/>
  <c r="AZ294" i="1"/>
  <c r="AS294" i="1"/>
  <c r="AT294" i="1" s="1"/>
  <c r="AU294" i="1" s="1"/>
  <c r="AV294" i="1" s="1"/>
  <c r="AW294" i="1" s="1"/>
  <c r="AX294" i="1" s="1"/>
  <c r="AN294" i="1"/>
  <c r="AO294" i="1" s="1"/>
  <c r="AP294" i="1" s="1"/>
  <c r="AQ294" i="1" s="1"/>
  <c r="AG294" i="1"/>
  <c r="AF294" i="1"/>
  <c r="AB294" i="1"/>
  <c r="AC294" i="1" s="1"/>
  <c r="AD294" i="1" s="1"/>
  <c r="AE294" i="1" s="1"/>
  <c r="CT293" i="1"/>
  <c r="CU293" i="1" s="1"/>
  <c r="CV293" i="1" s="1"/>
  <c r="CP293" i="1"/>
  <c r="CQ293" i="1" s="1"/>
  <c r="CR293" i="1" s="1"/>
  <c r="CM293" i="1"/>
  <c r="CN293" i="1" s="1"/>
  <c r="CC293" i="1"/>
  <c r="CD293" i="1" s="1"/>
  <c r="CE293" i="1" s="1"/>
  <c r="BU293" i="1"/>
  <c r="BV293" i="1" s="1"/>
  <c r="BP293" i="1"/>
  <c r="BQ293" i="1" s="1"/>
  <c r="BR293" i="1" s="1"/>
  <c r="BJ293" i="1"/>
  <c r="BH293" i="1"/>
  <c r="BI293" i="1" s="1"/>
  <c r="BA293" i="1"/>
  <c r="BB293" i="1" s="1"/>
  <c r="BC293" i="1" s="1"/>
  <c r="BD293" i="1" s="1"/>
  <c r="AS293" i="1"/>
  <c r="AT293" i="1" s="1"/>
  <c r="AU293" i="1" s="1"/>
  <c r="AV293" i="1" s="1"/>
  <c r="AW293" i="1" s="1"/>
  <c r="AX293" i="1" s="1"/>
  <c r="AN293" i="1"/>
  <c r="AO293" i="1" s="1"/>
  <c r="AP293" i="1" s="1"/>
  <c r="AQ293" i="1" s="1"/>
  <c r="AG293" i="1"/>
  <c r="AF293" i="1"/>
  <c r="AB293" i="1"/>
  <c r="AC293" i="1" s="1"/>
  <c r="AD293" i="1" s="1"/>
  <c r="AE293" i="1" s="1"/>
  <c r="CT292" i="1"/>
  <c r="CU292" i="1" s="1"/>
  <c r="CV292" i="1" s="1"/>
  <c r="CP292" i="1"/>
  <c r="CQ292" i="1" s="1"/>
  <c r="CR292" i="1" s="1"/>
  <c r="CM292" i="1"/>
  <c r="CN292" i="1" s="1"/>
  <c r="CC292" i="1"/>
  <c r="CD292" i="1" s="1"/>
  <c r="CE292" i="1" s="1"/>
  <c r="BU292" i="1"/>
  <c r="BV292" i="1" s="1"/>
  <c r="BP292" i="1"/>
  <c r="BQ292" i="1" s="1"/>
  <c r="BR292" i="1" s="1"/>
  <c r="BO292" i="1"/>
  <c r="BJ292" i="1"/>
  <c r="BH292" i="1"/>
  <c r="BI292" i="1" s="1"/>
  <c r="BA292" i="1"/>
  <c r="BB292" i="1" s="1"/>
  <c r="BC292" i="1" s="1"/>
  <c r="BD292" i="1" s="1"/>
  <c r="AZ292" i="1"/>
  <c r="AS292" i="1"/>
  <c r="AT292" i="1" s="1"/>
  <c r="AU292" i="1" s="1"/>
  <c r="AV292" i="1" s="1"/>
  <c r="AW292" i="1" s="1"/>
  <c r="AX292" i="1" s="1"/>
  <c r="AN292" i="1"/>
  <c r="AO292" i="1" s="1"/>
  <c r="AP292" i="1" s="1"/>
  <c r="AQ292" i="1" s="1"/>
  <c r="AG292" i="1"/>
  <c r="AF292" i="1"/>
  <c r="AB292" i="1"/>
  <c r="AC292" i="1" s="1"/>
  <c r="AD292" i="1" s="1"/>
  <c r="AE292" i="1" s="1"/>
  <c r="V292" i="1"/>
  <c r="CT291" i="1"/>
  <c r="CU291" i="1" s="1"/>
  <c r="CV291" i="1" s="1"/>
  <c r="CP291" i="1"/>
  <c r="CQ291" i="1" s="1"/>
  <c r="CR291" i="1" s="1"/>
  <c r="CM291" i="1"/>
  <c r="CN291" i="1" s="1"/>
  <c r="CC291" i="1"/>
  <c r="CD291" i="1" s="1"/>
  <c r="CE291" i="1" s="1"/>
  <c r="BU291" i="1"/>
  <c r="BV291" i="1" s="1"/>
  <c r="BP291" i="1"/>
  <c r="BQ291" i="1" s="1"/>
  <c r="BR291" i="1" s="1"/>
  <c r="BO291" i="1"/>
  <c r="BJ291" i="1"/>
  <c r="BH291" i="1"/>
  <c r="BI291" i="1" s="1"/>
  <c r="BA291" i="1"/>
  <c r="BB291" i="1" s="1"/>
  <c r="BC291" i="1" s="1"/>
  <c r="BD291" i="1" s="1"/>
  <c r="AZ291" i="1"/>
  <c r="AS291" i="1"/>
  <c r="AT291" i="1" s="1"/>
  <c r="AU291" i="1" s="1"/>
  <c r="AV291" i="1" s="1"/>
  <c r="AW291" i="1" s="1"/>
  <c r="AX291" i="1" s="1"/>
  <c r="AN291" i="1"/>
  <c r="AO291" i="1" s="1"/>
  <c r="AP291" i="1" s="1"/>
  <c r="AQ291" i="1" s="1"/>
  <c r="AG291" i="1"/>
  <c r="AF291" i="1"/>
  <c r="AB291" i="1"/>
  <c r="AC291" i="1" s="1"/>
  <c r="AD291" i="1" s="1"/>
  <c r="AE291" i="1" s="1"/>
  <c r="W291" i="1"/>
  <c r="CT290" i="1"/>
  <c r="CU290" i="1" s="1"/>
  <c r="CV290" i="1" s="1"/>
  <c r="CP290" i="1"/>
  <c r="CQ290" i="1" s="1"/>
  <c r="CR290" i="1" s="1"/>
  <c r="CM290" i="1"/>
  <c r="CN290" i="1" s="1"/>
  <c r="CJ290" i="1"/>
  <c r="BU290" i="1"/>
  <c r="BV290" i="1" s="1"/>
  <c r="BP290" i="1"/>
  <c r="BQ290" i="1" s="1"/>
  <c r="BR290" i="1" s="1"/>
  <c r="BJ290" i="1"/>
  <c r="BH290" i="1"/>
  <c r="BI290" i="1" s="1"/>
  <c r="BA290" i="1"/>
  <c r="BB290" i="1" s="1"/>
  <c r="BC290" i="1" s="1"/>
  <c r="BD290" i="1" s="1"/>
  <c r="AS290" i="1"/>
  <c r="AT290" i="1" s="1"/>
  <c r="AU290" i="1" s="1"/>
  <c r="AV290" i="1" s="1"/>
  <c r="AW290" i="1" s="1"/>
  <c r="AX290" i="1" s="1"/>
  <c r="AN290" i="1"/>
  <c r="AO290" i="1" s="1"/>
  <c r="AP290" i="1" s="1"/>
  <c r="AQ290" i="1" s="1"/>
  <c r="AG290" i="1"/>
  <c r="AF290" i="1"/>
  <c r="AB290" i="1"/>
  <c r="AC290" i="1" s="1"/>
  <c r="AD290" i="1" s="1"/>
  <c r="AE290" i="1" s="1"/>
  <c r="Z290" i="1"/>
  <c r="W290" i="1"/>
  <c r="V290" i="1"/>
  <c r="U290" i="1"/>
  <c r="CT289" i="1"/>
  <c r="CU289" i="1" s="1"/>
  <c r="CV289" i="1" s="1"/>
  <c r="CP289" i="1"/>
  <c r="CQ289" i="1" s="1"/>
  <c r="CR289" i="1" s="1"/>
  <c r="CM289" i="1"/>
  <c r="CN289" i="1" s="1"/>
  <c r="CC289" i="1"/>
  <c r="CD289" i="1" s="1"/>
  <c r="CE289" i="1" s="1"/>
  <c r="BU289" i="1"/>
  <c r="BV289" i="1" s="1"/>
  <c r="BP289" i="1"/>
  <c r="BQ289" i="1" s="1"/>
  <c r="BR289" i="1" s="1"/>
  <c r="BJ289" i="1"/>
  <c r="BH289" i="1"/>
  <c r="BI289" i="1" s="1"/>
  <c r="BE289" i="1"/>
  <c r="BA289" i="1"/>
  <c r="BB289" i="1" s="1"/>
  <c r="BC289" i="1" s="1"/>
  <c r="BD289" i="1" s="1"/>
  <c r="AS289" i="1"/>
  <c r="AT289" i="1" s="1"/>
  <c r="AU289" i="1" s="1"/>
  <c r="AV289" i="1" s="1"/>
  <c r="AW289" i="1" s="1"/>
  <c r="AX289" i="1" s="1"/>
  <c r="AN289" i="1"/>
  <c r="AO289" i="1" s="1"/>
  <c r="AP289" i="1" s="1"/>
  <c r="AQ289" i="1" s="1"/>
  <c r="AG289" i="1"/>
  <c r="AF289" i="1"/>
  <c r="AB289" i="1"/>
  <c r="AC289" i="1" s="1"/>
  <c r="AD289" i="1" s="1"/>
  <c r="AE289" i="1" s="1"/>
  <c r="W289" i="1"/>
  <c r="CT288" i="1"/>
  <c r="CU288" i="1" s="1"/>
  <c r="CV288" i="1" s="1"/>
  <c r="CP288" i="1"/>
  <c r="CQ288" i="1" s="1"/>
  <c r="CR288" i="1" s="1"/>
  <c r="CM288" i="1"/>
  <c r="CN288" i="1" s="1"/>
  <c r="CC288" i="1"/>
  <c r="CD288" i="1" s="1"/>
  <c r="CE288" i="1" s="1"/>
  <c r="BU288" i="1"/>
  <c r="BV288" i="1" s="1"/>
  <c r="BP288" i="1"/>
  <c r="BQ288" i="1" s="1"/>
  <c r="BR288" i="1" s="1"/>
  <c r="BJ288" i="1"/>
  <c r="BH288" i="1"/>
  <c r="BI288" i="1" s="1"/>
  <c r="BA288" i="1"/>
  <c r="BB288" i="1" s="1"/>
  <c r="BC288" i="1" s="1"/>
  <c r="BD288" i="1" s="1"/>
  <c r="AZ288" i="1"/>
  <c r="AS288" i="1"/>
  <c r="AT288" i="1" s="1"/>
  <c r="AU288" i="1" s="1"/>
  <c r="AV288" i="1" s="1"/>
  <c r="AW288" i="1" s="1"/>
  <c r="AX288" i="1" s="1"/>
  <c r="AN288" i="1"/>
  <c r="AO288" i="1" s="1"/>
  <c r="AP288" i="1" s="1"/>
  <c r="AQ288" i="1" s="1"/>
  <c r="AG288" i="1"/>
  <c r="AF288" i="1"/>
  <c r="AB288" i="1"/>
  <c r="AC288" i="1" s="1"/>
  <c r="AD288" i="1" s="1"/>
  <c r="AE288" i="1" s="1"/>
  <c r="CT287" i="1"/>
  <c r="CU287" i="1" s="1"/>
  <c r="CV287" i="1" s="1"/>
  <c r="CP287" i="1"/>
  <c r="CQ287" i="1" s="1"/>
  <c r="CR287" i="1" s="1"/>
  <c r="CM287" i="1"/>
  <c r="CN287" i="1" s="1"/>
  <c r="CC287" i="1"/>
  <c r="CD287" i="1" s="1"/>
  <c r="CE287" i="1" s="1"/>
  <c r="BU287" i="1"/>
  <c r="BV287" i="1" s="1"/>
  <c r="BP287" i="1"/>
  <c r="BQ287" i="1" s="1"/>
  <c r="BR287" i="1" s="1"/>
  <c r="BJ287" i="1"/>
  <c r="BH287" i="1"/>
  <c r="BI287" i="1" s="1"/>
  <c r="BA287" i="1"/>
  <c r="BB287" i="1" s="1"/>
  <c r="BC287" i="1" s="1"/>
  <c r="BD287" i="1" s="1"/>
  <c r="AZ287" i="1"/>
  <c r="AS287" i="1"/>
  <c r="AT287" i="1" s="1"/>
  <c r="AU287" i="1" s="1"/>
  <c r="AV287" i="1" s="1"/>
  <c r="AW287" i="1" s="1"/>
  <c r="AX287" i="1" s="1"/>
  <c r="AN287" i="1"/>
  <c r="AO287" i="1" s="1"/>
  <c r="AP287" i="1" s="1"/>
  <c r="AQ287" i="1" s="1"/>
  <c r="AG287" i="1"/>
  <c r="AF287" i="1"/>
  <c r="AB287" i="1"/>
  <c r="AC287" i="1" s="1"/>
  <c r="AD287" i="1" s="1"/>
  <c r="AE287" i="1" s="1"/>
  <c r="W287" i="1"/>
  <c r="V287" i="1"/>
  <c r="CT286" i="1"/>
  <c r="CU286" i="1" s="1"/>
  <c r="CV286" i="1" s="1"/>
  <c r="CP286" i="1"/>
  <c r="CQ286" i="1" s="1"/>
  <c r="CR286" i="1" s="1"/>
  <c r="CM286" i="1"/>
  <c r="CN286" i="1" s="1"/>
  <c r="CC286" i="1"/>
  <c r="CD286" i="1" s="1"/>
  <c r="CE286" i="1" s="1"/>
  <c r="BU286" i="1"/>
  <c r="BV286" i="1" s="1"/>
  <c r="BP286" i="1"/>
  <c r="BQ286" i="1" s="1"/>
  <c r="BR286" i="1" s="1"/>
  <c r="BJ286" i="1"/>
  <c r="BH286" i="1"/>
  <c r="BI286" i="1" s="1"/>
  <c r="BG286" i="1"/>
  <c r="BA286" i="1"/>
  <c r="BB286" i="1" s="1"/>
  <c r="BC286" i="1" s="1"/>
  <c r="BD286" i="1" s="1"/>
  <c r="AZ286" i="1"/>
  <c r="AS286" i="1"/>
  <c r="AT286" i="1" s="1"/>
  <c r="AU286" i="1" s="1"/>
  <c r="AV286" i="1" s="1"/>
  <c r="AW286" i="1" s="1"/>
  <c r="AX286" i="1" s="1"/>
  <c r="AN286" i="1"/>
  <c r="AO286" i="1" s="1"/>
  <c r="AP286" i="1" s="1"/>
  <c r="AQ286" i="1" s="1"/>
  <c r="AG286" i="1"/>
  <c r="AF286" i="1"/>
  <c r="AB286" i="1"/>
  <c r="AC286" i="1" s="1"/>
  <c r="AD286" i="1" s="1"/>
  <c r="AE286" i="1" s="1"/>
  <c r="CT285" i="1"/>
  <c r="CU285" i="1" s="1"/>
  <c r="CV285" i="1" s="1"/>
  <c r="CP285" i="1"/>
  <c r="CQ285" i="1" s="1"/>
  <c r="CR285" i="1" s="1"/>
  <c r="CM285" i="1"/>
  <c r="CN285" i="1" s="1"/>
  <c r="CC285" i="1"/>
  <c r="CD285" i="1" s="1"/>
  <c r="CE285" i="1" s="1"/>
  <c r="BU285" i="1"/>
  <c r="BV285" i="1" s="1"/>
  <c r="BP285" i="1"/>
  <c r="BQ285" i="1" s="1"/>
  <c r="BR285" i="1" s="1"/>
  <c r="BJ285" i="1"/>
  <c r="BH285" i="1"/>
  <c r="BI285" i="1" s="1"/>
  <c r="BA285" i="1"/>
  <c r="BB285" i="1" s="1"/>
  <c r="BC285" i="1" s="1"/>
  <c r="BD285" i="1" s="1"/>
  <c r="AZ285" i="1"/>
  <c r="AS285" i="1"/>
  <c r="AT285" i="1" s="1"/>
  <c r="AU285" i="1" s="1"/>
  <c r="AV285" i="1" s="1"/>
  <c r="AW285" i="1" s="1"/>
  <c r="AX285" i="1" s="1"/>
  <c r="AN285" i="1"/>
  <c r="AO285" i="1" s="1"/>
  <c r="AP285" i="1" s="1"/>
  <c r="AQ285" i="1" s="1"/>
  <c r="AG285" i="1"/>
  <c r="AF285" i="1"/>
  <c r="AB285" i="1"/>
  <c r="AC285" i="1" s="1"/>
  <c r="AD285" i="1" s="1"/>
  <c r="AE285" i="1" s="1"/>
  <c r="W285" i="1"/>
  <c r="V285" i="1"/>
  <c r="U285" i="1"/>
  <c r="CT284" i="1"/>
  <c r="CU284" i="1" s="1"/>
  <c r="CV284" i="1" s="1"/>
  <c r="CP284" i="1"/>
  <c r="CQ284" i="1" s="1"/>
  <c r="CR284" i="1" s="1"/>
  <c r="CM284" i="1"/>
  <c r="CN284" i="1" s="1"/>
  <c r="CC284" i="1"/>
  <c r="CD284" i="1" s="1"/>
  <c r="CE284" i="1" s="1"/>
  <c r="BU284" i="1"/>
  <c r="BV284" i="1" s="1"/>
  <c r="BP284" i="1"/>
  <c r="BQ284" i="1" s="1"/>
  <c r="BR284" i="1" s="1"/>
  <c r="BJ284" i="1"/>
  <c r="BH284" i="1"/>
  <c r="BI284" i="1" s="1"/>
  <c r="BA284" i="1"/>
  <c r="BB284" i="1" s="1"/>
  <c r="BC284" i="1" s="1"/>
  <c r="BD284" i="1" s="1"/>
  <c r="AZ284" i="1"/>
  <c r="AS284" i="1"/>
  <c r="AT284" i="1" s="1"/>
  <c r="AU284" i="1" s="1"/>
  <c r="AV284" i="1" s="1"/>
  <c r="AW284" i="1" s="1"/>
  <c r="AX284" i="1" s="1"/>
  <c r="AN284" i="1"/>
  <c r="AO284" i="1" s="1"/>
  <c r="AP284" i="1" s="1"/>
  <c r="AQ284" i="1" s="1"/>
  <c r="AG284" i="1"/>
  <c r="AF284" i="1"/>
  <c r="AB284" i="1"/>
  <c r="AC284" i="1" s="1"/>
  <c r="AD284" i="1" s="1"/>
  <c r="AE284" i="1" s="1"/>
  <c r="CT283" i="1"/>
  <c r="CU283" i="1" s="1"/>
  <c r="CV283" i="1" s="1"/>
  <c r="CP283" i="1"/>
  <c r="CQ283" i="1" s="1"/>
  <c r="CR283" i="1" s="1"/>
  <c r="CM283" i="1"/>
  <c r="CN283" i="1" s="1"/>
  <c r="CC283" i="1"/>
  <c r="CD283" i="1" s="1"/>
  <c r="CE283" i="1" s="1"/>
  <c r="BU283" i="1"/>
  <c r="BV283" i="1" s="1"/>
  <c r="BP283" i="1"/>
  <c r="BQ283" i="1" s="1"/>
  <c r="BR283" i="1" s="1"/>
  <c r="BJ283" i="1"/>
  <c r="BH283" i="1"/>
  <c r="BI283" i="1" s="1"/>
  <c r="BA283" i="1"/>
  <c r="BB283" i="1" s="1"/>
  <c r="BC283" i="1" s="1"/>
  <c r="BD283" i="1" s="1"/>
  <c r="AS283" i="1"/>
  <c r="AT283" i="1" s="1"/>
  <c r="AU283" i="1" s="1"/>
  <c r="AV283" i="1" s="1"/>
  <c r="AW283" i="1" s="1"/>
  <c r="AX283" i="1" s="1"/>
  <c r="AN283" i="1"/>
  <c r="AO283" i="1" s="1"/>
  <c r="AP283" i="1" s="1"/>
  <c r="AQ283" i="1" s="1"/>
  <c r="AG283" i="1"/>
  <c r="AF283" i="1"/>
  <c r="AB283" i="1"/>
  <c r="AC283" i="1" s="1"/>
  <c r="AD283" i="1" s="1"/>
  <c r="AE283" i="1" s="1"/>
  <c r="W283" i="1"/>
  <c r="CT282" i="1"/>
  <c r="CU282" i="1" s="1"/>
  <c r="CV282" i="1" s="1"/>
  <c r="CP282" i="1"/>
  <c r="CQ282" i="1" s="1"/>
  <c r="CR282" i="1" s="1"/>
  <c r="CM282" i="1"/>
  <c r="CN282" i="1" s="1"/>
  <c r="CC282" i="1"/>
  <c r="CD282" i="1" s="1"/>
  <c r="CE282" i="1" s="1"/>
  <c r="BU282" i="1"/>
  <c r="BV282" i="1" s="1"/>
  <c r="BP282" i="1"/>
  <c r="BQ282" i="1" s="1"/>
  <c r="BR282" i="1" s="1"/>
  <c r="BJ282" i="1"/>
  <c r="BH282" i="1"/>
  <c r="BI282" i="1" s="1"/>
  <c r="BA282" i="1"/>
  <c r="BB282" i="1" s="1"/>
  <c r="BC282" i="1" s="1"/>
  <c r="BD282" i="1" s="1"/>
  <c r="AS282" i="1"/>
  <c r="AT282" i="1" s="1"/>
  <c r="AU282" i="1" s="1"/>
  <c r="AV282" i="1" s="1"/>
  <c r="AW282" i="1" s="1"/>
  <c r="AX282" i="1" s="1"/>
  <c r="AN282" i="1"/>
  <c r="AO282" i="1" s="1"/>
  <c r="AP282" i="1" s="1"/>
  <c r="AQ282" i="1" s="1"/>
  <c r="AA282" i="1"/>
  <c r="Z282" i="1"/>
  <c r="V282" i="1"/>
  <c r="CT281" i="1"/>
  <c r="CU281" i="1" s="1"/>
  <c r="CV281" i="1" s="1"/>
  <c r="CP281" i="1"/>
  <c r="CQ281" i="1" s="1"/>
  <c r="CR281" i="1" s="1"/>
  <c r="CM281" i="1"/>
  <c r="CN281" i="1" s="1"/>
  <c r="CC281" i="1"/>
  <c r="CD281" i="1" s="1"/>
  <c r="CE281" i="1" s="1"/>
  <c r="BU281" i="1"/>
  <c r="BV281" i="1" s="1"/>
  <c r="BP281" i="1"/>
  <c r="BQ281" i="1" s="1"/>
  <c r="BR281" i="1" s="1"/>
  <c r="BJ281" i="1"/>
  <c r="BH281" i="1"/>
  <c r="BI281" i="1" s="1"/>
  <c r="BF281" i="1"/>
  <c r="BE281" i="1"/>
  <c r="BA281" i="1"/>
  <c r="BB281" i="1" s="1"/>
  <c r="BC281" i="1" s="1"/>
  <c r="BD281" i="1" s="1"/>
  <c r="AZ281" i="1"/>
  <c r="AS281" i="1"/>
  <c r="AT281" i="1" s="1"/>
  <c r="AU281" i="1" s="1"/>
  <c r="AV281" i="1" s="1"/>
  <c r="AW281" i="1" s="1"/>
  <c r="AX281" i="1" s="1"/>
  <c r="AN281" i="1"/>
  <c r="AO281" i="1" s="1"/>
  <c r="AP281" i="1" s="1"/>
  <c r="AQ281" i="1" s="1"/>
  <c r="AG281" i="1"/>
  <c r="AF281" i="1"/>
  <c r="AB281" i="1"/>
  <c r="AC281" i="1" s="1"/>
  <c r="AD281" i="1" s="1"/>
  <c r="AE281" i="1" s="1"/>
  <c r="W281" i="1"/>
  <c r="CT280" i="1"/>
  <c r="CU280" i="1" s="1"/>
  <c r="CV280" i="1" s="1"/>
  <c r="CP280" i="1"/>
  <c r="CQ280" i="1" s="1"/>
  <c r="CR280" i="1" s="1"/>
  <c r="CM280" i="1"/>
  <c r="CN280" i="1" s="1"/>
  <c r="CC280" i="1"/>
  <c r="CD280" i="1" s="1"/>
  <c r="CE280" i="1" s="1"/>
  <c r="BU280" i="1"/>
  <c r="BV280" i="1" s="1"/>
  <c r="BP280" i="1"/>
  <c r="BQ280" i="1" s="1"/>
  <c r="BR280" i="1" s="1"/>
  <c r="BJ280" i="1"/>
  <c r="BH280" i="1"/>
  <c r="BI280" i="1" s="1"/>
  <c r="BA280" i="1"/>
  <c r="BB280" i="1" s="1"/>
  <c r="BC280" i="1" s="1"/>
  <c r="BD280" i="1" s="1"/>
  <c r="AS280" i="1"/>
  <c r="AT280" i="1" s="1"/>
  <c r="AU280" i="1" s="1"/>
  <c r="AV280" i="1" s="1"/>
  <c r="AW280" i="1" s="1"/>
  <c r="AX280" i="1" s="1"/>
  <c r="AN280" i="1"/>
  <c r="AO280" i="1" s="1"/>
  <c r="AP280" i="1" s="1"/>
  <c r="AQ280" i="1" s="1"/>
  <c r="Z280" i="1"/>
  <c r="W280" i="1"/>
  <c r="V280" i="1"/>
  <c r="CT279" i="1"/>
  <c r="CU279" i="1" s="1"/>
  <c r="CV279" i="1" s="1"/>
  <c r="CP279" i="1"/>
  <c r="CQ279" i="1" s="1"/>
  <c r="CR279" i="1" s="1"/>
  <c r="CM279" i="1"/>
  <c r="CN279" i="1" s="1"/>
  <c r="CC279" i="1"/>
  <c r="CD279" i="1" s="1"/>
  <c r="CE279" i="1" s="1"/>
  <c r="BU279" i="1"/>
  <c r="BV279" i="1" s="1"/>
  <c r="BP279" i="1"/>
  <c r="BQ279" i="1" s="1"/>
  <c r="BR279" i="1" s="1"/>
  <c r="BJ279" i="1"/>
  <c r="BH279" i="1"/>
  <c r="BI279" i="1" s="1"/>
  <c r="BA279" i="1"/>
  <c r="BB279" i="1" s="1"/>
  <c r="BC279" i="1" s="1"/>
  <c r="BD279" i="1" s="1"/>
  <c r="AZ279" i="1"/>
  <c r="AS279" i="1"/>
  <c r="AT279" i="1" s="1"/>
  <c r="AU279" i="1" s="1"/>
  <c r="AV279" i="1" s="1"/>
  <c r="AW279" i="1" s="1"/>
  <c r="AX279" i="1" s="1"/>
  <c r="AN279" i="1"/>
  <c r="AO279" i="1" s="1"/>
  <c r="AP279" i="1" s="1"/>
  <c r="AQ279" i="1" s="1"/>
  <c r="AG279" i="1"/>
  <c r="AF279" i="1"/>
  <c r="AB279" i="1"/>
  <c r="AC279" i="1" s="1"/>
  <c r="AD279" i="1" s="1"/>
  <c r="AE279" i="1" s="1"/>
  <c r="W279" i="1"/>
  <c r="V279" i="1"/>
  <c r="U279" i="1"/>
  <c r="CT278" i="1"/>
  <c r="CU278" i="1" s="1"/>
  <c r="CV278" i="1" s="1"/>
  <c r="CP278" i="1"/>
  <c r="CQ278" i="1" s="1"/>
  <c r="CR278" i="1" s="1"/>
  <c r="CM278" i="1"/>
  <c r="CN278" i="1" s="1"/>
  <c r="CC278" i="1"/>
  <c r="CD278" i="1" s="1"/>
  <c r="CE278" i="1" s="1"/>
  <c r="BU278" i="1"/>
  <c r="BV278" i="1" s="1"/>
  <c r="BP278" i="1"/>
  <c r="BQ278" i="1" s="1"/>
  <c r="BR278" i="1" s="1"/>
  <c r="BJ278" i="1"/>
  <c r="BH278" i="1"/>
  <c r="BI278" i="1" s="1"/>
  <c r="BA278" i="1"/>
  <c r="BB278" i="1" s="1"/>
  <c r="BC278" i="1" s="1"/>
  <c r="BD278" i="1" s="1"/>
  <c r="AZ278" i="1"/>
  <c r="AS278" i="1"/>
  <c r="AT278" i="1" s="1"/>
  <c r="AU278" i="1" s="1"/>
  <c r="AV278" i="1" s="1"/>
  <c r="AW278" i="1" s="1"/>
  <c r="AX278" i="1" s="1"/>
  <c r="AN278" i="1"/>
  <c r="AO278" i="1" s="1"/>
  <c r="AP278" i="1" s="1"/>
  <c r="AQ278" i="1" s="1"/>
  <c r="AG278" i="1"/>
  <c r="AF278" i="1"/>
  <c r="AB278" i="1"/>
  <c r="AC278" i="1" s="1"/>
  <c r="AD278" i="1" s="1"/>
  <c r="AE278" i="1" s="1"/>
  <c r="V278" i="1"/>
  <c r="CT277" i="1"/>
  <c r="CU277" i="1" s="1"/>
  <c r="CV277" i="1" s="1"/>
  <c r="CP277" i="1"/>
  <c r="CQ277" i="1" s="1"/>
  <c r="CR277" i="1" s="1"/>
  <c r="CM277" i="1"/>
  <c r="CN277" i="1" s="1"/>
  <c r="CC277" i="1"/>
  <c r="CD277" i="1" s="1"/>
  <c r="CE277" i="1" s="1"/>
  <c r="BU277" i="1"/>
  <c r="BV277" i="1" s="1"/>
  <c r="BP277" i="1"/>
  <c r="BQ277" i="1" s="1"/>
  <c r="BR277" i="1" s="1"/>
  <c r="BJ277" i="1"/>
  <c r="BH277" i="1"/>
  <c r="BI277" i="1" s="1"/>
  <c r="BA277" i="1"/>
  <c r="BB277" i="1" s="1"/>
  <c r="BC277" i="1" s="1"/>
  <c r="BD277" i="1" s="1"/>
  <c r="AZ277" i="1"/>
  <c r="AS277" i="1"/>
  <c r="AT277" i="1" s="1"/>
  <c r="AU277" i="1" s="1"/>
  <c r="AV277" i="1" s="1"/>
  <c r="AW277" i="1" s="1"/>
  <c r="AX277" i="1" s="1"/>
  <c r="AN277" i="1"/>
  <c r="AO277" i="1" s="1"/>
  <c r="AP277" i="1" s="1"/>
  <c r="AQ277" i="1" s="1"/>
  <c r="AG277" i="1"/>
  <c r="AF277" i="1"/>
  <c r="AB277" i="1"/>
  <c r="AC277" i="1" s="1"/>
  <c r="AD277" i="1" s="1"/>
  <c r="AE277" i="1" s="1"/>
  <c r="V277" i="1"/>
  <c r="CT276" i="1"/>
  <c r="CU276" i="1" s="1"/>
  <c r="CV276" i="1" s="1"/>
  <c r="CP276" i="1"/>
  <c r="CQ276" i="1" s="1"/>
  <c r="CR276" i="1" s="1"/>
  <c r="CM276" i="1"/>
  <c r="CN276" i="1" s="1"/>
  <c r="CC276" i="1"/>
  <c r="CD276" i="1" s="1"/>
  <c r="CE276" i="1" s="1"/>
  <c r="BU276" i="1"/>
  <c r="BV276" i="1" s="1"/>
  <c r="BP276" i="1"/>
  <c r="BQ276" i="1" s="1"/>
  <c r="BR276" i="1" s="1"/>
  <c r="BO276" i="1"/>
  <c r="BJ276" i="1"/>
  <c r="BH276" i="1"/>
  <c r="BI276" i="1" s="1"/>
  <c r="BA276" i="1"/>
  <c r="BB276" i="1" s="1"/>
  <c r="BC276" i="1" s="1"/>
  <c r="BD276" i="1" s="1"/>
  <c r="AS276" i="1"/>
  <c r="AT276" i="1" s="1"/>
  <c r="AU276" i="1" s="1"/>
  <c r="AV276" i="1" s="1"/>
  <c r="AW276" i="1" s="1"/>
  <c r="AX276" i="1" s="1"/>
  <c r="AN276" i="1"/>
  <c r="AO276" i="1" s="1"/>
  <c r="AP276" i="1" s="1"/>
  <c r="AQ276" i="1" s="1"/>
  <c r="AG276" i="1"/>
  <c r="AF276" i="1"/>
  <c r="AB276" i="1"/>
  <c r="AC276" i="1" s="1"/>
  <c r="AD276" i="1" s="1"/>
  <c r="AE276" i="1" s="1"/>
  <c r="W276" i="1"/>
  <c r="CT275" i="1"/>
  <c r="CU275" i="1" s="1"/>
  <c r="CV275" i="1" s="1"/>
  <c r="CP275" i="1"/>
  <c r="CQ275" i="1" s="1"/>
  <c r="CR275" i="1" s="1"/>
  <c r="CM275" i="1"/>
  <c r="CN275" i="1" s="1"/>
  <c r="CC275" i="1"/>
  <c r="CD275" i="1" s="1"/>
  <c r="CE275" i="1" s="1"/>
  <c r="BU275" i="1"/>
  <c r="BV275" i="1" s="1"/>
  <c r="BP275" i="1"/>
  <c r="BQ275" i="1" s="1"/>
  <c r="BR275" i="1" s="1"/>
  <c r="BJ275" i="1"/>
  <c r="BH275" i="1"/>
  <c r="BI275" i="1" s="1"/>
  <c r="BG275" i="1"/>
  <c r="BA275" i="1"/>
  <c r="BB275" i="1" s="1"/>
  <c r="BC275" i="1" s="1"/>
  <c r="BD275" i="1" s="1"/>
  <c r="AZ275" i="1"/>
  <c r="AS275" i="1"/>
  <c r="AT275" i="1" s="1"/>
  <c r="AU275" i="1" s="1"/>
  <c r="AV275" i="1" s="1"/>
  <c r="AW275" i="1" s="1"/>
  <c r="AX275" i="1" s="1"/>
  <c r="AN275" i="1"/>
  <c r="AO275" i="1" s="1"/>
  <c r="AP275" i="1" s="1"/>
  <c r="AQ275" i="1" s="1"/>
  <c r="AG275" i="1"/>
  <c r="AF275" i="1"/>
  <c r="AB275" i="1"/>
  <c r="AC275" i="1" s="1"/>
  <c r="AD275" i="1" s="1"/>
  <c r="AE275" i="1" s="1"/>
  <c r="CT274" i="1"/>
  <c r="CU274" i="1" s="1"/>
  <c r="CV274" i="1" s="1"/>
  <c r="CP274" i="1"/>
  <c r="CQ274" i="1" s="1"/>
  <c r="CR274" i="1" s="1"/>
  <c r="CM274" i="1"/>
  <c r="CN274" i="1" s="1"/>
  <c r="CC274" i="1"/>
  <c r="CD274" i="1" s="1"/>
  <c r="CE274" i="1" s="1"/>
  <c r="BU274" i="1"/>
  <c r="BV274" i="1" s="1"/>
  <c r="BP274" i="1"/>
  <c r="BQ274" i="1" s="1"/>
  <c r="BR274" i="1" s="1"/>
  <c r="BJ274" i="1"/>
  <c r="BH274" i="1"/>
  <c r="BI274" i="1" s="1"/>
  <c r="BA274" i="1"/>
  <c r="BB274" i="1" s="1"/>
  <c r="BC274" i="1" s="1"/>
  <c r="BD274" i="1" s="1"/>
  <c r="AS274" i="1"/>
  <c r="AT274" i="1" s="1"/>
  <c r="AU274" i="1" s="1"/>
  <c r="AV274" i="1" s="1"/>
  <c r="AW274" i="1" s="1"/>
  <c r="AX274" i="1" s="1"/>
  <c r="AN274" i="1"/>
  <c r="AO274" i="1" s="1"/>
  <c r="AP274" i="1" s="1"/>
  <c r="AQ274" i="1" s="1"/>
  <c r="AG274" i="1"/>
  <c r="AF274" i="1"/>
  <c r="AB274" i="1"/>
  <c r="AC274" i="1" s="1"/>
  <c r="AD274" i="1" s="1"/>
  <c r="AE274" i="1" s="1"/>
  <c r="CT273" i="1"/>
  <c r="CU273" i="1" s="1"/>
  <c r="CV273" i="1" s="1"/>
  <c r="CP273" i="1"/>
  <c r="CQ273" i="1" s="1"/>
  <c r="CR273" i="1" s="1"/>
  <c r="CM273" i="1"/>
  <c r="CN273" i="1" s="1"/>
  <c r="CC273" i="1"/>
  <c r="CD273" i="1" s="1"/>
  <c r="CE273" i="1" s="1"/>
  <c r="BU273" i="1"/>
  <c r="BV273" i="1" s="1"/>
  <c r="BP273" i="1"/>
  <c r="BQ273" i="1" s="1"/>
  <c r="BR273" i="1" s="1"/>
  <c r="BJ273" i="1"/>
  <c r="BH273" i="1"/>
  <c r="BI273" i="1" s="1"/>
  <c r="BA273" i="1"/>
  <c r="BB273" i="1" s="1"/>
  <c r="BC273" i="1" s="1"/>
  <c r="BD273" i="1" s="1"/>
  <c r="AS273" i="1"/>
  <c r="AT273" i="1" s="1"/>
  <c r="AU273" i="1" s="1"/>
  <c r="AV273" i="1" s="1"/>
  <c r="AW273" i="1" s="1"/>
  <c r="AX273" i="1" s="1"/>
  <c r="AN273" i="1"/>
  <c r="AO273" i="1" s="1"/>
  <c r="AP273" i="1" s="1"/>
  <c r="AQ273" i="1" s="1"/>
  <c r="AG273" i="1"/>
  <c r="AF273" i="1"/>
  <c r="AB273" i="1"/>
  <c r="AC273" i="1" s="1"/>
  <c r="AD273" i="1" s="1"/>
  <c r="AE273" i="1" s="1"/>
  <c r="V273" i="1"/>
  <c r="CT272" i="1"/>
  <c r="CU272" i="1" s="1"/>
  <c r="CV272" i="1" s="1"/>
  <c r="CP272" i="1"/>
  <c r="CQ272" i="1" s="1"/>
  <c r="CR272" i="1" s="1"/>
  <c r="CM272" i="1"/>
  <c r="CN272" i="1" s="1"/>
  <c r="CC272" i="1"/>
  <c r="CD272" i="1" s="1"/>
  <c r="CE272" i="1" s="1"/>
  <c r="BU272" i="1"/>
  <c r="BV272" i="1" s="1"/>
  <c r="BP272" i="1"/>
  <c r="BQ272" i="1" s="1"/>
  <c r="BR272" i="1" s="1"/>
  <c r="BJ272" i="1"/>
  <c r="BH272" i="1"/>
  <c r="BI272" i="1" s="1"/>
  <c r="BA272" i="1"/>
  <c r="BB272" i="1" s="1"/>
  <c r="BC272" i="1" s="1"/>
  <c r="BD272" i="1" s="1"/>
  <c r="AS272" i="1"/>
  <c r="AT272" i="1" s="1"/>
  <c r="AU272" i="1" s="1"/>
  <c r="AV272" i="1" s="1"/>
  <c r="AW272" i="1" s="1"/>
  <c r="AX272" i="1" s="1"/>
  <c r="AN272" i="1"/>
  <c r="AO272" i="1" s="1"/>
  <c r="AP272" i="1" s="1"/>
  <c r="AQ272" i="1" s="1"/>
  <c r="AG272" i="1"/>
  <c r="AF272" i="1"/>
  <c r="AB272" i="1"/>
  <c r="AC272" i="1" s="1"/>
  <c r="AD272" i="1" s="1"/>
  <c r="AE272" i="1" s="1"/>
  <c r="V272" i="1"/>
  <c r="CT271" i="1"/>
  <c r="CU271" i="1" s="1"/>
  <c r="CV271" i="1" s="1"/>
  <c r="CP271" i="1"/>
  <c r="CQ271" i="1" s="1"/>
  <c r="CR271" i="1" s="1"/>
  <c r="CM271" i="1"/>
  <c r="CN271" i="1" s="1"/>
  <c r="CC271" i="1"/>
  <c r="CD271" i="1" s="1"/>
  <c r="CE271" i="1" s="1"/>
  <c r="BU271" i="1"/>
  <c r="BV271" i="1" s="1"/>
  <c r="BP271" i="1"/>
  <c r="BQ271" i="1" s="1"/>
  <c r="BR271" i="1" s="1"/>
  <c r="BJ271" i="1"/>
  <c r="BH271" i="1"/>
  <c r="BI271" i="1" s="1"/>
  <c r="BA271" i="1"/>
  <c r="BB271" i="1" s="1"/>
  <c r="BC271" i="1" s="1"/>
  <c r="BD271" i="1" s="1"/>
  <c r="AS271" i="1"/>
  <c r="AT271" i="1" s="1"/>
  <c r="AU271" i="1" s="1"/>
  <c r="AV271" i="1" s="1"/>
  <c r="AW271" i="1" s="1"/>
  <c r="AX271" i="1" s="1"/>
  <c r="AN271" i="1"/>
  <c r="AO271" i="1" s="1"/>
  <c r="AP271" i="1" s="1"/>
  <c r="AQ271" i="1" s="1"/>
  <c r="AG271" i="1"/>
  <c r="AF271" i="1"/>
  <c r="AB271" i="1"/>
  <c r="AC271" i="1" s="1"/>
  <c r="AD271" i="1" s="1"/>
  <c r="AE271" i="1" s="1"/>
  <c r="Z271" i="1"/>
  <c r="V271" i="1"/>
  <c r="CT270" i="1"/>
  <c r="CU270" i="1" s="1"/>
  <c r="CV270" i="1" s="1"/>
  <c r="CP270" i="1"/>
  <c r="CQ270" i="1" s="1"/>
  <c r="CR270" i="1" s="1"/>
  <c r="CM270" i="1"/>
  <c r="CN270" i="1" s="1"/>
  <c r="CC270" i="1"/>
  <c r="CD270" i="1" s="1"/>
  <c r="CE270" i="1" s="1"/>
  <c r="BU270" i="1"/>
  <c r="BV270" i="1" s="1"/>
  <c r="BP270" i="1"/>
  <c r="BQ270" i="1" s="1"/>
  <c r="BR270" i="1" s="1"/>
  <c r="BJ270" i="1"/>
  <c r="BH270" i="1"/>
  <c r="BI270" i="1" s="1"/>
  <c r="BA270" i="1"/>
  <c r="BB270" i="1" s="1"/>
  <c r="BC270" i="1" s="1"/>
  <c r="BD270" i="1" s="1"/>
  <c r="AZ270" i="1"/>
  <c r="AS270" i="1"/>
  <c r="AT270" i="1" s="1"/>
  <c r="AU270" i="1" s="1"/>
  <c r="AV270" i="1" s="1"/>
  <c r="AW270" i="1" s="1"/>
  <c r="AX270" i="1" s="1"/>
  <c r="AN270" i="1"/>
  <c r="AO270" i="1" s="1"/>
  <c r="AP270" i="1" s="1"/>
  <c r="AQ270" i="1" s="1"/>
  <c r="AG270" i="1"/>
  <c r="AF270" i="1"/>
  <c r="AB270" i="1"/>
  <c r="AC270" i="1" s="1"/>
  <c r="AD270" i="1" s="1"/>
  <c r="AE270" i="1" s="1"/>
  <c r="AA270" i="1"/>
  <c r="Z270" i="1"/>
  <c r="W270" i="1"/>
  <c r="V270" i="1"/>
  <c r="U270" i="1"/>
  <c r="CT269" i="1"/>
  <c r="CU269" i="1" s="1"/>
  <c r="CV269" i="1" s="1"/>
  <c r="CP269" i="1"/>
  <c r="CQ269" i="1" s="1"/>
  <c r="CR269" i="1" s="1"/>
  <c r="CM269" i="1"/>
  <c r="CN269" i="1" s="1"/>
  <c r="CC269" i="1"/>
  <c r="CD269" i="1" s="1"/>
  <c r="CE269" i="1" s="1"/>
  <c r="BU269" i="1"/>
  <c r="BV269" i="1" s="1"/>
  <c r="BP269" i="1"/>
  <c r="BQ269" i="1" s="1"/>
  <c r="BR269" i="1" s="1"/>
  <c r="BJ269" i="1"/>
  <c r="BH269" i="1"/>
  <c r="BI269" i="1" s="1"/>
  <c r="BA269" i="1"/>
  <c r="BB269" i="1" s="1"/>
  <c r="BC269" i="1" s="1"/>
  <c r="BD269" i="1" s="1"/>
  <c r="AS269" i="1"/>
  <c r="AT269" i="1" s="1"/>
  <c r="AU269" i="1" s="1"/>
  <c r="AV269" i="1" s="1"/>
  <c r="AW269" i="1" s="1"/>
  <c r="AX269" i="1" s="1"/>
  <c r="AN269" i="1"/>
  <c r="AO269" i="1" s="1"/>
  <c r="AP269" i="1" s="1"/>
  <c r="AQ269" i="1" s="1"/>
  <c r="AG269" i="1"/>
  <c r="AF269" i="1"/>
  <c r="AB269" i="1"/>
  <c r="AC269" i="1" s="1"/>
  <c r="AD269" i="1" s="1"/>
  <c r="AE269" i="1" s="1"/>
  <c r="W269" i="1"/>
  <c r="V269" i="1"/>
  <c r="CT268" i="1"/>
  <c r="CU268" i="1" s="1"/>
  <c r="CV268" i="1" s="1"/>
  <c r="CP268" i="1"/>
  <c r="CQ268" i="1" s="1"/>
  <c r="CR268" i="1" s="1"/>
  <c r="CM268" i="1"/>
  <c r="CN268" i="1" s="1"/>
  <c r="CC268" i="1"/>
  <c r="CD268" i="1" s="1"/>
  <c r="CE268" i="1" s="1"/>
  <c r="BU268" i="1"/>
  <c r="BV268" i="1" s="1"/>
  <c r="BP268" i="1"/>
  <c r="BQ268" i="1" s="1"/>
  <c r="BR268" i="1" s="1"/>
  <c r="BO268" i="1"/>
  <c r="BJ268" i="1"/>
  <c r="BH268" i="1"/>
  <c r="BI268" i="1" s="1"/>
  <c r="BA268" i="1"/>
  <c r="BB268" i="1" s="1"/>
  <c r="BC268" i="1" s="1"/>
  <c r="BD268" i="1" s="1"/>
  <c r="AZ268" i="1"/>
  <c r="AS268" i="1"/>
  <c r="AT268" i="1" s="1"/>
  <c r="AU268" i="1" s="1"/>
  <c r="AV268" i="1" s="1"/>
  <c r="AW268" i="1" s="1"/>
  <c r="AX268" i="1" s="1"/>
  <c r="AN268" i="1"/>
  <c r="AO268" i="1" s="1"/>
  <c r="AP268" i="1" s="1"/>
  <c r="AQ268" i="1" s="1"/>
  <c r="AG268" i="1"/>
  <c r="AF268" i="1"/>
  <c r="AB268" i="1"/>
  <c r="AC268" i="1" s="1"/>
  <c r="AD268" i="1" s="1"/>
  <c r="AE268" i="1" s="1"/>
  <c r="W268" i="1"/>
  <c r="U268" i="1"/>
  <c r="CT267" i="1"/>
  <c r="CU267" i="1" s="1"/>
  <c r="CV267" i="1" s="1"/>
  <c r="CP267" i="1"/>
  <c r="CQ267" i="1" s="1"/>
  <c r="CR267" i="1" s="1"/>
  <c r="CM267" i="1"/>
  <c r="CN267" i="1" s="1"/>
  <c r="CC267" i="1"/>
  <c r="CD267" i="1" s="1"/>
  <c r="CE267" i="1" s="1"/>
  <c r="BU267" i="1"/>
  <c r="BV267" i="1" s="1"/>
  <c r="BP267" i="1"/>
  <c r="BQ267" i="1" s="1"/>
  <c r="BR267" i="1" s="1"/>
  <c r="BJ267" i="1"/>
  <c r="BH267" i="1"/>
  <c r="BI267" i="1" s="1"/>
  <c r="BA267" i="1"/>
  <c r="BB267" i="1" s="1"/>
  <c r="BC267" i="1" s="1"/>
  <c r="BD267" i="1" s="1"/>
  <c r="AZ267" i="1"/>
  <c r="AS267" i="1"/>
  <c r="AT267" i="1" s="1"/>
  <c r="AU267" i="1" s="1"/>
  <c r="AV267" i="1" s="1"/>
  <c r="AW267" i="1" s="1"/>
  <c r="AX267" i="1" s="1"/>
  <c r="AN267" i="1"/>
  <c r="AO267" i="1" s="1"/>
  <c r="AP267" i="1" s="1"/>
  <c r="AQ267" i="1" s="1"/>
  <c r="AG267" i="1"/>
  <c r="AF267" i="1"/>
  <c r="AB267" i="1"/>
  <c r="AC267" i="1" s="1"/>
  <c r="AD267" i="1" s="1"/>
  <c r="AE267" i="1" s="1"/>
  <c r="W267" i="1"/>
  <c r="V267" i="1"/>
  <c r="CT266" i="1"/>
  <c r="CU266" i="1" s="1"/>
  <c r="CV266" i="1" s="1"/>
  <c r="CP266" i="1"/>
  <c r="CQ266" i="1" s="1"/>
  <c r="CR266" i="1" s="1"/>
  <c r="CM266" i="1"/>
  <c r="CN266" i="1" s="1"/>
  <c r="CC266" i="1"/>
  <c r="CD266" i="1" s="1"/>
  <c r="CE266" i="1" s="1"/>
  <c r="BU266" i="1"/>
  <c r="BV266" i="1" s="1"/>
  <c r="BP266" i="1"/>
  <c r="BQ266" i="1" s="1"/>
  <c r="BR266" i="1" s="1"/>
  <c r="BO266" i="1"/>
  <c r="BJ266" i="1"/>
  <c r="BH266" i="1"/>
  <c r="BI266" i="1" s="1"/>
  <c r="BA266" i="1"/>
  <c r="BB266" i="1" s="1"/>
  <c r="BC266" i="1" s="1"/>
  <c r="BD266" i="1" s="1"/>
  <c r="AZ266" i="1"/>
  <c r="AS266" i="1"/>
  <c r="AT266" i="1" s="1"/>
  <c r="AU266" i="1" s="1"/>
  <c r="AV266" i="1" s="1"/>
  <c r="AW266" i="1" s="1"/>
  <c r="AX266" i="1" s="1"/>
  <c r="AN266" i="1"/>
  <c r="AO266" i="1" s="1"/>
  <c r="AP266" i="1" s="1"/>
  <c r="AQ266" i="1" s="1"/>
  <c r="AG266" i="1"/>
  <c r="AF266" i="1"/>
  <c r="AB266" i="1"/>
  <c r="AC266" i="1" s="1"/>
  <c r="AD266" i="1" s="1"/>
  <c r="AE266" i="1" s="1"/>
  <c r="W266" i="1"/>
  <c r="CT265" i="1"/>
  <c r="CU265" i="1" s="1"/>
  <c r="CV265" i="1" s="1"/>
  <c r="CP265" i="1"/>
  <c r="CQ265" i="1" s="1"/>
  <c r="CR265" i="1" s="1"/>
  <c r="CM265" i="1"/>
  <c r="CN265" i="1" s="1"/>
  <c r="CC265" i="1"/>
  <c r="CD265" i="1" s="1"/>
  <c r="CE265" i="1" s="1"/>
  <c r="BU265" i="1"/>
  <c r="BV265" i="1" s="1"/>
  <c r="BP265" i="1"/>
  <c r="BQ265" i="1" s="1"/>
  <c r="BR265" i="1" s="1"/>
  <c r="BJ265" i="1"/>
  <c r="BH265" i="1"/>
  <c r="BI265" i="1" s="1"/>
  <c r="BA265" i="1"/>
  <c r="BB265" i="1" s="1"/>
  <c r="BC265" i="1" s="1"/>
  <c r="BD265" i="1" s="1"/>
  <c r="AS265" i="1"/>
  <c r="AT265" i="1" s="1"/>
  <c r="AU265" i="1" s="1"/>
  <c r="AV265" i="1" s="1"/>
  <c r="AW265" i="1" s="1"/>
  <c r="AX265" i="1" s="1"/>
  <c r="AN265" i="1"/>
  <c r="AO265" i="1" s="1"/>
  <c r="AP265" i="1" s="1"/>
  <c r="AQ265" i="1" s="1"/>
  <c r="AG265" i="1"/>
  <c r="AF265" i="1"/>
  <c r="AB265" i="1"/>
  <c r="AC265" i="1" s="1"/>
  <c r="AD265" i="1" s="1"/>
  <c r="AE265" i="1" s="1"/>
  <c r="W265" i="1"/>
  <c r="CT264" i="1"/>
  <c r="CU264" i="1" s="1"/>
  <c r="CV264" i="1" s="1"/>
  <c r="CP264" i="1"/>
  <c r="CQ264" i="1" s="1"/>
  <c r="CR264" i="1" s="1"/>
  <c r="CM264" i="1"/>
  <c r="CN264" i="1" s="1"/>
  <c r="CC264" i="1"/>
  <c r="CD264" i="1" s="1"/>
  <c r="CE264" i="1" s="1"/>
  <c r="BU264" i="1"/>
  <c r="BV264" i="1" s="1"/>
  <c r="BP264" i="1"/>
  <c r="BQ264" i="1" s="1"/>
  <c r="BR264" i="1" s="1"/>
  <c r="BJ264" i="1"/>
  <c r="BH264" i="1"/>
  <c r="BI264" i="1" s="1"/>
  <c r="BA264" i="1"/>
  <c r="BB264" i="1" s="1"/>
  <c r="BC264" i="1" s="1"/>
  <c r="BD264" i="1" s="1"/>
  <c r="AZ264" i="1"/>
  <c r="AS264" i="1"/>
  <c r="AT264" i="1" s="1"/>
  <c r="AU264" i="1" s="1"/>
  <c r="AV264" i="1" s="1"/>
  <c r="AW264" i="1" s="1"/>
  <c r="AX264" i="1" s="1"/>
  <c r="AN264" i="1"/>
  <c r="AO264" i="1" s="1"/>
  <c r="AP264" i="1" s="1"/>
  <c r="AQ264" i="1" s="1"/>
  <c r="AG264" i="1"/>
  <c r="AF264" i="1"/>
  <c r="AB264" i="1"/>
  <c r="AC264" i="1" s="1"/>
  <c r="AD264" i="1" s="1"/>
  <c r="AE264" i="1" s="1"/>
  <c r="W264" i="1"/>
  <c r="V264" i="1"/>
  <c r="U264" i="1"/>
  <c r="CT263" i="1"/>
  <c r="CU263" i="1" s="1"/>
  <c r="CV263" i="1" s="1"/>
  <c r="CP263" i="1"/>
  <c r="CQ263" i="1" s="1"/>
  <c r="CR263" i="1" s="1"/>
  <c r="CM263" i="1"/>
  <c r="CN263" i="1" s="1"/>
  <c r="CC263" i="1"/>
  <c r="CD263" i="1" s="1"/>
  <c r="CE263" i="1" s="1"/>
  <c r="BU263" i="1"/>
  <c r="BV263" i="1" s="1"/>
  <c r="BP263" i="1"/>
  <c r="BQ263" i="1" s="1"/>
  <c r="BR263" i="1" s="1"/>
  <c r="BJ263" i="1"/>
  <c r="BH263" i="1"/>
  <c r="BI263" i="1" s="1"/>
  <c r="BA263" i="1"/>
  <c r="BB263" i="1" s="1"/>
  <c r="BC263" i="1" s="1"/>
  <c r="BD263" i="1" s="1"/>
  <c r="AS263" i="1"/>
  <c r="AT263" i="1" s="1"/>
  <c r="AU263" i="1" s="1"/>
  <c r="AV263" i="1" s="1"/>
  <c r="AW263" i="1" s="1"/>
  <c r="AX263" i="1" s="1"/>
  <c r="AN263" i="1"/>
  <c r="AO263" i="1" s="1"/>
  <c r="AP263" i="1" s="1"/>
  <c r="AQ263" i="1" s="1"/>
  <c r="AG263" i="1"/>
  <c r="AF263" i="1"/>
  <c r="AB263" i="1"/>
  <c r="AC263" i="1" s="1"/>
  <c r="AD263" i="1" s="1"/>
  <c r="AE263" i="1" s="1"/>
  <c r="V263" i="1"/>
  <c r="CT262" i="1"/>
  <c r="CU262" i="1" s="1"/>
  <c r="CV262" i="1" s="1"/>
  <c r="CP262" i="1"/>
  <c r="CQ262" i="1" s="1"/>
  <c r="CR262" i="1" s="1"/>
  <c r="CM262" i="1"/>
  <c r="CN262" i="1" s="1"/>
  <c r="CC262" i="1"/>
  <c r="CD262" i="1" s="1"/>
  <c r="CE262" i="1" s="1"/>
  <c r="BU262" i="1"/>
  <c r="BV262" i="1" s="1"/>
  <c r="BP262" i="1"/>
  <c r="BQ262" i="1" s="1"/>
  <c r="BR262" i="1" s="1"/>
  <c r="BJ262" i="1"/>
  <c r="BH262" i="1"/>
  <c r="BI262" i="1" s="1"/>
  <c r="BA262" i="1"/>
  <c r="BB262" i="1" s="1"/>
  <c r="BC262" i="1" s="1"/>
  <c r="BD262" i="1" s="1"/>
  <c r="AZ262" i="1"/>
  <c r="AS262" i="1"/>
  <c r="AT262" i="1" s="1"/>
  <c r="AU262" i="1" s="1"/>
  <c r="AV262" i="1" s="1"/>
  <c r="AW262" i="1" s="1"/>
  <c r="AX262" i="1" s="1"/>
  <c r="AN262" i="1"/>
  <c r="AO262" i="1" s="1"/>
  <c r="AP262" i="1" s="1"/>
  <c r="AQ262" i="1" s="1"/>
  <c r="AG262" i="1"/>
  <c r="AF262" i="1"/>
  <c r="AB262" i="1"/>
  <c r="AC262" i="1" s="1"/>
  <c r="AD262" i="1" s="1"/>
  <c r="AE262" i="1" s="1"/>
  <c r="W262" i="1"/>
  <c r="V262" i="1"/>
  <c r="CT261" i="1"/>
  <c r="CU261" i="1" s="1"/>
  <c r="CV261" i="1" s="1"/>
  <c r="CP261" i="1"/>
  <c r="CQ261" i="1" s="1"/>
  <c r="CR261" i="1" s="1"/>
  <c r="CM261" i="1"/>
  <c r="CN261" i="1" s="1"/>
  <c r="CC261" i="1"/>
  <c r="CD261" i="1" s="1"/>
  <c r="CE261" i="1" s="1"/>
  <c r="BU261" i="1"/>
  <c r="BV261" i="1" s="1"/>
  <c r="BP261" i="1"/>
  <c r="BQ261" i="1" s="1"/>
  <c r="BR261" i="1" s="1"/>
  <c r="BJ261" i="1"/>
  <c r="BH261" i="1"/>
  <c r="BI261" i="1" s="1"/>
  <c r="BA261" i="1"/>
  <c r="BB261" i="1" s="1"/>
  <c r="BC261" i="1" s="1"/>
  <c r="BD261" i="1" s="1"/>
  <c r="AS261" i="1"/>
  <c r="AT261" i="1" s="1"/>
  <c r="AU261" i="1" s="1"/>
  <c r="AV261" i="1" s="1"/>
  <c r="AW261" i="1" s="1"/>
  <c r="AX261" i="1" s="1"/>
  <c r="AN261" i="1"/>
  <c r="AO261" i="1" s="1"/>
  <c r="AP261" i="1" s="1"/>
  <c r="AQ261" i="1" s="1"/>
  <c r="AG261" i="1"/>
  <c r="AF261" i="1"/>
  <c r="AB261" i="1"/>
  <c r="AC261" i="1" s="1"/>
  <c r="AD261" i="1" s="1"/>
  <c r="AE261" i="1" s="1"/>
  <c r="W261" i="1"/>
  <c r="V261" i="1"/>
  <c r="CT260" i="1"/>
  <c r="CU260" i="1" s="1"/>
  <c r="CV260" i="1" s="1"/>
  <c r="CP260" i="1"/>
  <c r="CQ260" i="1" s="1"/>
  <c r="CR260" i="1" s="1"/>
  <c r="CM260" i="1"/>
  <c r="CN260" i="1" s="1"/>
  <c r="CC260" i="1"/>
  <c r="CD260" i="1" s="1"/>
  <c r="CE260" i="1" s="1"/>
  <c r="BU260" i="1"/>
  <c r="BV260" i="1" s="1"/>
  <c r="BP260" i="1"/>
  <c r="BQ260" i="1" s="1"/>
  <c r="BR260" i="1" s="1"/>
  <c r="BJ260" i="1"/>
  <c r="BH260" i="1"/>
  <c r="BI260" i="1" s="1"/>
  <c r="BA260" i="1"/>
  <c r="BB260" i="1" s="1"/>
  <c r="BC260" i="1" s="1"/>
  <c r="BD260" i="1" s="1"/>
  <c r="AS260" i="1"/>
  <c r="AT260" i="1" s="1"/>
  <c r="AU260" i="1" s="1"/>
  <c r="AV260" i="1" s="1"/>
  <c r="AW260" i="1" s="1"/>
  <c r="AX260" i="1" s="1"/>
  <c r="AN260" i="1"/>
  <c r="AO260" i="1" s="1"/>
  <c r="AP260" i="1" s="1"/>
  <c r="AQ260" i="1" s="1"/>
  <c r="AG260" i="1"/>
  <c r="AF260" i="1"/>
  <c r="AB260" i="1"/>
  <c r="AC260" i="1" s="1"/>
  <c r="AD260" i="1" s="1"/>
  <c r="AE260" i="1" s="1"/>
  <c r="V260" i="1"/>
  <c r="U260" i="1"/>
  <c r="CT259" i="1"/>
  <c r="CU259" i="1" s="1"/>
  <c r="CV259" i="1" s="1"/>
  <c r="CP259" i="1"/>
  <c r="CQ259" i="1" s="1"/>
  <c r="CR259" i="1" s="1"/>
  <c r="CM259" i="1"/>
  <c r="CN259" i="1" s="1"/>
  <c r="CC259" i="1"/>
  <c r="CD259" i="1" s="1"/>
  <c r="CE259" i="1" s="1"/>
  <c r="BU259" i="1"/>
  <c r="BV259" i="1" s="1"/>
  <c r="BP259" i="1"/>
  <c r="BQ259" i="1" s="1"/>
  <c r="BR259" i="1" s="1"/>
  <c r="BJ259" i="1"/>
  <c r="BH259" i="1"/>
  <c r="BI259" i="1" s="1"/>
  <c r="BA259" i="1"/>
  <c r="BB259" i="1" s="1"/>
  <c r="BC259" i="1" s="1"/>
  <c r="BD259" i="1" s="1"/>
  <c r="AS259" i="1"/>
  <c r="AT259" i="1" s="1"/>
  <c r="AU259" i="1" s="1"/>
  <c r="AV259" i="1" s="1"/>
  <c r="AW259" i="1" s="1"/>
  <c r="AX259" i="1" s="1"/>
  <c r="AN259" i="1"/>
  <c r="AO259" i="1" s="1"/>
  <c r="AP259" i="1" s="1"/>
  <c r="AQ259" i="1" s="1"/>
  <c r="AG259" i="1"/>
  <c r="AF259" i="1"/>
  <c r="AB259" i="1"/>
  <c r="AC259" i="1" s="1"/>
  <c r="AD259" i="1" s="1"/>
  <c r="AE259" i="1" s="1"/>
  <c r="CT258" i="1"/>
  <c r="CU258" i="1" s="1"/>
  <c r="CV258" i="1" s="1"/>
  <c r="CP258" i="1"/>
  <c r="CQ258" i="1" s="1"/>
  <c r="CR258" i="1" s="1"/>
  <c r="CM258" i="1"/>
  <c r="CN258" i="1" s="1"/>
  <c r="CC258" i="1"/>
  <c r="CD258" i="1" s="1"/>
  <c r="CE258" i="1" s="1"/>
  <c r="BU258" i="1"/>
  <c r="BV258" i="1" s="1"/>
  <c r="BP258" i="1"/>
  <c r="BQ258" i="1" s="1"/>
  <c r="BR258" i="1" s="1"/>
  <c r="BJ258" i="1"/>
  <c r="BH258" i="1"/>
  <c r="BI258" i="1" s="1"/>
  <c r="BA258" i="1"/>
  <c r="BB258" i="1" s="1"/>
  <c r="BC258" i="1" s="1"/>
  <c r="BD258" i="1" s="1"/>
  <c r="AZ258" i="1"/>
  <c r="AS258" i="1"/>
  <c r="AT258" i="1" s="1"/>
  <c r="AU258" i="1" s="1"/>
  <c r="AV258" i="1" s="1"/>
  <c r="AW258" i="1" s="1"/>
  <c r="AX258" i="1" s="1"/>
  <c r="AN258" i="1"/>
  <c r="AO258" i="1" s="1"/>
  <c r="AP258" i="1" s="1"/>
  <c r="AQ258" i="1" s="1"/>
  <c r="AG258" i="1"/>
  <c r="AF258" i="1"/>
  <c r="AB258" i="1"/>
  <c r="AC258" i="1" s="1"/>
  <c r="AD258" i="1" s="1"/>
  <c r="AE258" i="1" s="1"/>
  <c r="W258" i="1"/>
  <c r="CT257" i="1"/>
  <c r="CU257" i="1" s="1"/>
  <c r="CV257" i="1" s="1"/>
  <c r="CP257" i="1"/>
  <c r="CQ257" i="1" s="1"/>
  <c r="CR257" i="1" s="1"/>
  <c r="CM257" i="1"/>
  <c r="CN257" i="1" s="1"/>
  <c r="CC257" i="1"/>
  <c r="CD257" i="1" s="1"/>
  <c r="CE257" i="1" s="1"/>
  <c r="BU257" i="1"/>
  <c r="BV257" i="1" s="1"/>
  <c r="BP257" i="1"/>
  <c r="BQ257" i="1" s="1"/>
  <c r="BR257" i="1" s="1"/>
  <c r="BJ257" i="1"/>
  <c r="BH257" i="1"/>
  <c r="BI257" i="1" s="1"/>
  <c r="BA257" i="1"/>
  <c r="BB257" i="1" s="1"/>
  <c r="BC257" i="1" s="1"/>
  <c r="BD257" i="1" s="1"/>
  <c r="AS257" i="1"/>
  <c r="AT257" i="1" s="1"/>
  <c r="AU257" i="1" s="1"/>
  <c r="AV257" i="1" s="1"/>
  <c r="AW257" i="1" s="1"/>
  <c r="AX257" i="1" s="1"/>
  <c r="AN257" i="1"/>
  <c r="AO257" i="1" s="1"/>
  <c r="AP257" i="1" s="1"/>
  <c r="AQ257" i="1" s="1"/>
  <c r="AG257" i="1"/>
  <c r="AF257" i="1"/>
  <c r="AB257" i="1"/>
  <c r="AC257" i="1" s="1"/>
  <c r="AD257" i="1" s="1"/>
  <c r="AE257" i="1" s="1"/>
  <c r="W257" i="1"/>
  <c r="V257" i="1"/>
  <c r="CT256" i="1"/>
  <c r="CU256" i="1" s="1"/>
  <c r="CV256" i="1" s="1"/>
  <c r="CP256" i="1"/>
  <c r="CQ256" i="1" s="1"/>
  <c r="CR256" i="1" s="1"/>
  <c r="CM256" i="1"/>
  <c r="CN256" i="1" s="1"/>
  <c r="CC256" i="1"/>
  <c r="CD256" i="1" s="1"/>
  <c r="CE256" i="1" s="1"/>
  <c r="BU256" i="1"/>
  <c r="BV256" i="1" s="1"/>
  <c r="BP256" i="1"/>
  <c r="BQ256" i="1" s="1"/>
  <c r="BR256" i="1" s="1"/>
  <c r="BJ256" i="1"/>
  <c r="BH256" i="1"/>
  <c r="BI256" i="1" s="1"/>
  <c r="BA256" i="1"/>
  <c r="BB256" i="1" s="1"/>
  <c r="BC256" i="1" s="1"/>
  <c r="BD256" i="1" s="1"/>
  <c r="AZ256" i="1"/>
  <c r="AS256" i="1"/>
  <c r="AT256" i="1" s="1"/>
  <c r="AU256" i="1" s="1"/>
  <c r="AV256" i="1" s="1"/>
  <c r="AW256" i="1" s="1"/>
  <c r="AX256" i="1" s="1"/>
  <c r="AN256" i="1"/>
  <c r="AO256" i="1" s="1"/>
  <c r="AP256" i="1" s="1"/>
  <c r="AQ256" i="1" s="1"/>
  <c r="AG256" i="1"/>
  <c r="AF256" i="1"/>
  <c r="AB256" i="1"/>
  <c r="AC256" i="1" s="1"/>
  <c r="AD256" i="1" s="1"/>
  <c r="AE256" i="1" s="1"/>
  <c r="W256" i="1"/>
  <c r="V256" i="1"/>
  <c r="U256" i="1"/>
  <c r="CT255" i="1"/>
  <c r="CU255" i="1" s="1"/>
  <c r="CV255" i="1" s="1"/>
  <c r="CP255" i="1"/>
  <c r="CQ255" i="1" s="1"/>
  <c r="CR255" i="1" s="1"/>
  <c r="CM255" i="1"/>
  <c r="CN255" i="1" s="1"/>
  <c r="CC255" i="1"/>
  <c r="CD255" i="1" s="1"/>
  <c r="CE255" i="1" s="1"/>
  <c r="BU255" i="1"/>
  <c r="BV255" i="1" s="1"/>
  <c r="BP255" i="1"/>
  <c r="BQ255" i="1" s="1"/>
  <c r="BR255" i="1" s="1"/>
  <c r="BJ255" i="1"/>
  <c r="BH255" i="1"/>
  <c r="BI255" i="1" s="1"/>
  <c r="BA255" i="1"/>
  <c r="BB255" i="1" s="1"/>
  <c r="BC255" i="1" s="1"/>
  <c r="BD255" i="1" s="1"/>
  <c r="AS255" i="1"/>
  <c r="AT255" i="1" s="1"/>
  <c r="AU255" i="1" s="1"/>
  <c r="AV255" i="1" s="1"/>
  <c r="AW255" i="1" s="1"/>
  <c r="AX255" i="1" s="1"/>
  <c r="AN255" i="1"/>
  <c r="AO255" i="1" s="1"/>
  <c r="AP255" i="1" s="1"/>
  <c r="AQ255" i="1" s="1"/>
  <c r="AG255" i="1"/>
  <c r="AF255" i="1"/>
  <c r="AB255" i="1"/>
  <c r="AC255" i="1" s="1"/>
  <c r="AD255" i="1" s="1"/>
  <c r="AE255" i="1" s="1"/>
  <c r="CT254" i="1"/>
  <c r="CU254" i="1" s="1"/>
  <c r="CV254" i="1" s="1"/>
  <c r="CP254" i="1"/>
  <c r="CQ254" i="1" s="1"/>
  <c r="CR254" i="1" s="1"/>
  <c r="CM254" i="1"/>
  <c r="CN254" i="1" s="1"/>
  <c r="CC254" i="1"/>
  <c r="CD254" i="1" s="1"/>
  <c r="CE254" i="1" s="1"/>
  <c r="BU254" i="1"/>
  <c r="BV254" i="1" s="1"/>
  <c r="BP254" i="1"/>
  <c r="BQ254" i="1" s="1"/>
  <c r="BR254" i="1" s="1"/>
  <c r="BJ254" i="1"/>
  <c r="BH254" i="1"/>
  <c r="BI254" i="1" s="1"/>
  <c r="BA254" i="1"/>
  <c r="BB254" i="1" s="1"/>
  <c r="BC254" i="1" s="1"/>
  <c r="BD254" i="1" s="1"/>
  <c r="AS254" i="1"/>
  <c r="AT254" i="1" s="1"/>
  <c r="AU254" i="1" s="1"/>
  <c r="AV254" i="1" s="1"/>
  <c r="AW254" i="1" s="1"/>
  <c r="AX254" i="1" s="1"/>
  <c r="AN254" i="1"/>
  <c r="AO254" i="1" s="1"/>
  <c r="AP254" i="1" s="1"/>
  <c r="AQ254" i="1" s="1"/>
  <c r="AG254" i="1"/>
  <c r="AF254" i="1"/>
  <c r="AB254" i="1"/>
  <c r="AC254" i="1" s="1"/>
  <c r="AD254" i="1" s="1"/>
  <c r="AE254" i="1" s="1"/>
  <c r="AA254" i="1"/>
  <c r="Z254" i="1"/>
  <c r="V254" i="1"/>
  <c r="CT253" i="1"/>
  <c r="CU253" i="1" s="1"/>
  <c r="CV253" i="1" s="1"/>
  <c r="CP253" i="1"/>
  <c r="CQ253" i="1" s="1"/>
  <c r="CR253" i="1" s="1"/>
  <c r="CM253" i="1"/>
  <c r="CN253" i="1" s="1"/>
  <c r="CC253" i="1"/>
  <c r="CD253" i="1" s="1"/>
  <c r="CE253" i="1" s="1"/>
  <c r="BU253" i="1"/>
  <c r="BV253" i="1" s="1"/>
  <c r="BP253" i="1"/>
  <c r="BQ253" i="1" s="1"/>
  <c r="BR253" i="1" s="1"/>
  <c r="BJ253" i="1"/>
  <c r="BH253" i="1"/>
  <c r="BI253" i="1" s="1"/>
  <c r="BA253" i="1"/>
  <c r="BB253" i="1" s="1"/>
  <c r="BC253" i="1" s="1"/>
  <c r="BD253" i="1" s="1"/>
  <c r="AS253" i="1"/>
  <c r="AT253" i="1" s="1"/>
  <c r="AU253" i="1" s="1"/>
  <c r="AV253" i="1" s="1"/>
  <c r="AW253" i="1" s="1"/>
  <c r="AX253" i="1" s="1"/>
  <c r="AN253" i="1"/>
  <c r="AO253" i="1" s="1"/>
  <c r="AP253" i="1" s="1"/>
  <c r="AQ253" i="1" s="1"/>
  <c r="AG253" i="1"/>
  <c r="AF253" i="1"/>
  <c r="AB253" i="1"/>
  <c r="AC253" i="1" s="1"/>
  <c r="AD253" i="1" s="1"/>
  <c r="AE253" i="1" s="1"/>
  <c r="CT252" i="1"/>
  <c r="CU252" i="1" s="1"/>
  <c r="CV252" i="1" s="1"/>
  <c r="CP252" i="1"/>
  <c r="CQ252" i="1" s="1"/>
  <c r="CR252" i="1" s="1"/>
  <c r="CM252" i="1"/>
  <c r="CN252" i="1" s="1"/>
  <c r="CJ252" i="1"/>
  <c r="BU252" i="1"/>
  <c r="BV252" i="1" s="1"/>
  <c r="BP252" i="1"/>
  <c r="BQ252" i="1" s="1"/>
  <c r="BR252" i="1" s="1"/>
  <c r="BJ252" i="1"/>
  <c r="BH252" i="1"/>
  <c r="BI252" i="1" s="1"/>
  <c r="BA252" i="1"/>
  <c r="BB252" i="1" s="1"/>
  <c r="BC252" i="1" s="1"/>
  <c r="BD252" i="1" s="1"/>
  <c r="AZ252" i="1"/>
  <c r="AS252" i="1"/>
  <c r="AT252" i="1" s="1"/>
  <c r="AU252" i="1" s="1"/>
  <c r="AV252" i="1" s="1"/>
  <c r="AW252" i="1" s="1"/>
  <c r="AX252" i="1" s="1"/>
  <c r="AN252" i="1"/>
  <c r="AO252" i="1" s="1"/>
  <c r="AP252" i="1" s="1"/>
  <c r="AQ252" i="1" s="1"/>
  <c r="AG252" i="1"/>
  <c r="AF252" i="1"/>
  <c r="AB252" i="1"/>
  <c r="AC252" i="1" s="1"/>
  <c r="AD252" i="1" s="1"/>
  <c r="AE252" i="1" s="1"/>
  <c r="W252" i="1"/>
  <c r="CT251" i="1"/>
  <c r="CU251" i="1" s="1"/>
  <c r="CV251" i="1" s="1"/>
  <c r="CP251" i="1"/>
  <c r="CQ251" i="1" s="1"/>
  <c r="CR251" i="1" s="1"/>
  <c r="CM251" i="1"/>
  <c r="CN251" i="1" s="1"/>
  <c r="CC251" i="1"/>
  <c r="CD251" i="1" s="1"/>
  <c r="CE251" i="1" s="1"/>
  <c r="BU251" i="1"/>
  <c r="BV251" i="1" s="1"/>
  <c r="BP251" i="1"/>
  <c r="BQ251" i="1" s="1"/>
  <c r="BR251" i="1" s="1"/>
  <c r="BJ251" i="1"/>
  <c r="BH251" i="1"/>
  <c r="BI251" i="1" s="1"/>
  <c r="BA251" i="1"/>
  <c r="BB251" i="1" s="1"/>
  <c r="BC251" i="1" s="1"/>
  <c r="BD251" i="1" s="1"/>
  <c r="AS251" i="1"/>
  <c r="AT251" i="1" s="1"/>
  <c r="AU251" i="1" s="1"/>
  <c r="AV251" i="1" s="1"/>
  <c r="AW251" i="1" s="1"/>
  <c r="AX251" i="1" s="1"/>
  <c r="AN251" i="1"/>
  <c r="AO251" i="1" s="1"/>
  <c r="AP251" i="1" s="1"/>
  <c r="AQ251" i="1" s="1"/>
  <c r="AF251" i="1"/>
  <c r="W251" i="1"/>
  <c r="AG251" i="1" s="1"/>
  <c r="V251" i="1"/>
  <c r="CT250" i="1"/>
  <c r="CU250" i="1" s="1"/>
  <c r="CV250" i="1" s="1"/>
  <c r="CP250" i="1"/>
  <c r="CQ250" i="1" s="1"/>
  <c r="CR250" i="1" s="1"/>
  <c r="CM250" i="1"/>
  <c r="CN250" i="1" s="1"/>
  <c r="CC250" i="1"/>
  <c r="CD250" i="1" s="1"/>
  <c r="CE250" i="1" s="1"/>
  <c r="BU250" i="1"/>
  <c r="BV250" i="1" s="1"/>
  <c r="BP250" i="1"/>
  <c r="BQ250" i="1" s="1"/>
  <c r="BR250" i="1" s="1"/>
  <c r="BJ250" i="1"/>
  <c r="BH250" i="1"/>
  <c r="BI250" i="1" s="1"/>
  <c r="BA250" i="1"/>
  <c r="BB250" i="1" s="1"/>
  <c r="BC250" i="1" s="1"/>
  <c r="BD250" i="1" s="1"/>
  <c r="AS250" i="1"/>
  <c r="AT250" i="1" s="1"/>
  <c r="AU250" i="1" s="1"/>
  <c r="AV250" i="1" s="1"/>
  <c r="AW250" i="1" s="1"/>
  <c r="AX250" i="1" s="1"/>
  <c r="AN250" i="1"/>
  <c r="AO250" i="1" s="1"/>
  <c r="AP250" i="1" s="1"/>
  <c r="AQ250" i="1" s="1"/>
  <c r="AG250" i="1"/>
  <c r="AF250" i="1"/>
  <c r="AB250" i="1"/>
  <c r="AC250" i="1" s="1"/>
  <c r="AD250" i="1" s="1"/>
  <c r="AE250" i="1" s="1"/>
  <c r="V250" i="1"/>
  <c r="U250" i="1"/>
  <c r="CT249" i="1"/>
  <c r="CU249" i="1" s="1"/>
  <c r="CV249" i="1" s="1"/>
  <c r="CP249" i="1"/>
  <c r="CQ249" i="1" s="1"/>
  <c r="CR249" i="1" s="1"/>
  <c r="CM249" i="1"/>
  <c r="CN249" i="1" s="1"/>
  <c r="CC249" i="1"/>
  <c r="CD249" i="1" s="1"/>
  <c r="CE249" i="1" s="1"/>
  <c r="BU249" i="1"/>
  <c r="BV249" i="1" s="1"/>
  <c r="BP249" i="1"/>
  <c r="BQ249" i="1" s="1"/>
  <c r="BR249" i="1" s="1"/>
  <c r="BJ249" i="1"/>
  <c r="BH249" i="1"/>
  <c r="BI249" i="1" s="1"/>
  <c r="BA249" i="1"/>
  <c r="BB249" i="1" s="1"/>
  <c r="BC249" i="1" s="1"/>
  <c r="BD249" i="1" s="1"/>
  <c r="AZ249" i="1"/>
  <c r="AS249" i="1"/>
  <c r="AT249" i="1" s="1"/>
  <c r="AU249" i="1" s="1"/>
  <c r="AV249" i="1" s="1"/>
  <c r="AW249" i="1" s="1"/>
  <c r="AX249" i="1" s="1"/>
  <c r="AN249" i="1"/>
  <c r="AO249" i="1" s="1"/>
  <c r="AP249" i="1" s="1"/>
  <c r="AQ249" i="1" s="1"/>
  <c r="AG249" i="1"/>
  <c r="AF249" i="1"/>
  <c r="AB249" i="1"/>
  <c r="AC249" i="1" s="1"/>
  <c r="AD249" i="1" s="1"/>
  <c r="AE249" i="1" s="1"/>
  <c r="V249" i="1"/>
  <c r="U249" i="1"/>
  <c r="CT248" i="1"/>
  <c r="CU248" i="1" s="1"/>
  <c r="CV248" i="1" s="1"/>
  <c r="CP248" i="1"/>
  <c r="CQ248" i="1" s="1"/>
  <c r="CR248" i="1" s="1"/>
  <c r="CM248" i="1"/>
  <c r="CN248" i="1" s="1"/>
  <c r="CC248" i="1"/>
  <c r="CD248" i="1" s="1"/>
  <c r="CE248" i="1" s="1"/>
  <c r="BU248" i="1"/>
  <c r="BV248" i="1" s="1"/>
  <c r="BP248" i="1"/>
  <c r="BQ248" i="1" s="1"/>
  <c r="BR248" i="1" s="1"/>
  <c r="BJ248" i="1"/>
  <c r="BH248" i="1"/>
  <c r="BI248" i="1" s="1"/>
  <c r="BA248" i="1"/>
  <c r="BB248" i="1" s="1"/>
  <c r="BC248" i="1" s="1"/>
  <c r="BD248" i="1" s="1"/>
  <c r="AZ248" i="1"/>
  <c r="AS248" i="1"/>
  <c r="AT248" i="1" s="1"/>
  <c r="AU248" i="1" s="1"/>
  <c r="AV248" i="1" s="1"/>
  <c r="AW248" i="1" s="1"/>
  <c r="AX248" i="1" s="1"/>
  <c r="AN248" i="1"/>
  <c r="AO248" i="1" s="1"/>
  <c r="AP248" i="1" s="1"/>
  <c r="AQ248" i="1" s="1"/>
  <c r="AG248" i="1"/>
  <c r="AF248" i="1"/>
  <c r="AB248" i="1"/>
  <c r="AC248" i="1" s="1"/>
  <c r="AD248" i="1" s="1"/>
  <c r="AE248" i="1" s="1"/>
  <c r="W248" i="1"/>
  <c r="CT247" i="1"/>
  <c r="CU247" i="1" s="1"/>
  <c r="CV247" i="1" s="1"/>
  <c r="CP247" i="1"/>
  <c r="CQ247" i="1" s="1"/>
  <c r="CR247" i="1" s="1"/>
  <c r="CM247" i="1"/>
  <c r="CN247" i="1" s="1"/>
  <c r="CC247" i="1"/>
  <c r="CD247" i="1" s="1"/>
  <c r="CE247" i="1" s="1"/>
  <c r="BU247" i="1"/>
  <c r="BV247" i="1" s="1"/>
  <c r="BP247" i="1"/>
  <c r="BQ247" i="1" s="1"/>
  <c r="BR247" i="1" s="1"/>
  <c r="BJ247" i="1"/>
  <c r="BH247" i="1"/>
  <c r="BI247" i="1" s="1"/>
  <c r="BE247" i="1"/>
  <c r="BA247" i="1"/>
  <c r="BB247" i="1" s="1"/>
  <c r="BC247" i="1" s="1"/>
  <c r="BD247" i="1" s="1"/>
  <c r="AZ247" i="1"/>
  <c r="AS247" i="1"/>
  <c r="AT247" i="1" s="1"/>
  <c r="AU247" i="1" s="1"/>
  <c r="AV247" i="1" s="1"/>
  <c r="AW247" i="1" s="1"/>
  <c r="AX247" i="1" s="1"/>
  <c r="AN247" i="1"/>
  <c r="AO247" i="1" s="1"/>
  <c r="AP247" i="1" s="1"/>
  <c r="AQ247" i="1" s="1"/>
  <c r="AG247" i="1"/>
  <c r="AF247" i="1"/>
  <c r="AB247" i="1"/>
  <c r="AC247" i="1" s="1"/>
  <c r="AD247" i="1" s="1"/>
  <c r="AE247" i="1" s="1"/>
  <c r="W247" i="1"/>
  <c r="CT246" i="1"/>
  <c r="CU246" i="1" s="1"/>
  <c r="CV246" i="1" s="1"/>
  <c r="CP246" i="1"/>
  <c r="CQ246" i="1" s="1"/>
  <c r="CR246" i="1" s="1"/>
  <c r="CM246" i="1"/>
  <c r="CN246" i="1" s="1"/>
  <c r="CI246" i="1"/>
  <c r="CJ246" i="1" s="1"/>
  <c r="BU246" i="1"/>
  <c r="BV246" i="1" s="1"/>
  <c r="BP246" i="1"/>
  <c r="BQ246" i="1" s="1"/>
  <c r="BR246" i="1" s="1"/>
  <c r="BJ246" i="1"/>
  <c r="BH246" i="1"/>
  <c r="BI246" i="1" s="1"/>
  <c r="BA246" i="1"/>
  <c r="BB246" i="1" s="1"/>
  <c r="BC246" i="1" s="1"/>
  <c r="BD246" i="1" s="1"/>
  <c r="AS246" i="1"/>
  <c r="AT246" i="1" s="1"/>
  <c r="AU246" i="1" s="1"/>
  <c r="AV246" i="1" s="1"/>
  <c r="AW246" i="1" s="1"/>
  <c r="AX246" i="1" s="1"/>
  <c r="AN246" i="1"/>
  <c r="AO246" i="1" s="1"/>
  <c r="AP246" i="1" s="1"/>
  <c r="AQ246" i="1" s="1"/>
  <c r="AG246" i="1"/>
  <c r="AF246" i="1"/>
  <c r="AB246" i="1"/>
  <c r="AC246" i="1" s="1"/>
  <c r="AD246" i="1" s="1"/>
  <c r="AE246" i="1" s="1"/>
  <c r="V246" i="1"/>
  <c r="CT245" i="1"/>
  <c r="CU245" i="1" s="1"/>
  <c r="CV245" i="1" s="1"/>
  <c r="CP245" i="1"/>
  <c r="CQ245" i="1" s="1"/>
  <c r="CR245" i="1" s="1"/>
  <c r="CM245" i="1"/>
  <c r="CN245" i="1" s="1"/>
  <c r="CC245" i="1"/>
  <c r="CD245" i="1" s="1"/>
  <c r="CE245" i="1" s="1"/>
  <c r="BU245" i="1"/>
  <c r="BV245" i="1" s="1"/>
  <c r="BP245" i="1"/>
  <c r="BQ245" i="1" s="1"/>
  <c r="BR245" i="1" s="1"/>
  <c r="BJ245" i="1"/>
  <c r="BH245" i="1"/>
  <c r="BI245" i="1" s="1"/>
  <c r="BA245" i="1"/>
  <c r="BB245" i="1" s="1"/>
  <c r="BC245" i="1" s="1"/>
  <c r="BD245" i="1" s="1"/>
  <c r="AS245" i="1"/>
  <c r="AT245" i="1" s="1"/>
  <c r="AU245" i="1" s="1"/>
  <c r="AV245" i="1" s="1"/>
  <c r="AW245" i="1" s="1"/>
  <c r="AX245" i="1" s="1"/>
  <c r="AN245" i="1"/>
  <c r="AO245" i="1" s="1"/>
  <c r="AP245" i="1" s="1"/>
  <c r="AQ245" i="1" s="1"/>
  <c r="AG245" i="1"/>
  <c r="AF245" i="1"/>
  <c r="AB245" i="1"/>
  <c r="AC245" i="1" s="1"/>
  <c r="AD245" i="1" s="1"/>
  <c r="AE245" i="1" s="1"/>
  <c r="W245" i="1"/>
  <c r="V245" i="1"/>
  <c r="U245" i="1"/>
  <c r="CT244" i="1"/>
  <c r="CU244" i="1" s="1"/>
  <c r="CV244" i="1" s="1"/>
  <c r="CP244" i="1"/>
  <c r="CQ244" i="1" s="1"/>
  <c r="CR244" i="1" s="1"/>
  <c r="CM244" i="1"/>
  <c r="CN244" i="1" s="1"/>
  <c r="CC244" i="1"/>
  <c r="CD244" i="1" s="1"/>
  <c r="CE244" i="1" s="1"/>
  <c r="BU244" i="1"/>
  <c r="BV244" i="1" s="1"/>
  <c r="BP244" i="1"/>
  <c r="BQ244" i="1" s="1"/>
  <c r="BR244" i="1" s="1"/>
  <c r="BJ244" i="1"/>
  <c r="BH244" i="1"/>
  <c r="BI244" i="1" s="1"/>
  <c r="BA244" i="1"/>
  <c r="BB244" i="1" s="1"/>
  <c r="BC244" i="1" s="1"/>
  <c r="BD244" i="1" s="1"/>
  <c r="AZ244" i="1"/>
  <c r="AS244" i="1"/>
  <c r="AT244" i="1" s="1"/>
  <c r="AU244" i="1" s="1"/>
  <c r="AV244" i="1" s="1"/>
  <c r="AW244" i="1" s="1"/>
  <c r="AX244" i="1" s="1"/>
  <c r="AN244" i="1"/>
  <c r="AO244" i="1" s="1"/>
  <c r="AP244" i="1" s="1"/>
  <c r="AQ244" i="1" s="1"/>
  <c r="AG244" i="1"/>
  <c r="AF244" i="1"/>
  <c r="AB244" i="1"/>
  <c r="AC244" i="1" s="1"/>
  <c r="AD244" i="1" s="1"/>
  <c r="AE244" i="1" s="1"/>
  <c r="W244" i="1"/>
  <c r="CT243" i="1"/>
  <c r="CU243" i="1" s="1"/>
  <c r="CV243" i="1" s="1"/>
  <c r="CP243" i="1"/>
  <c r="CQ243" i="1" s="1"/>
  <c r="CR243" i="1" s="1"/>
  <c r="CM243" i="1"/>
  <c r="CN243" i="1" s="1"/>
  <c r="CC243" i="1"/>
  <c r="CD243" i="1" s="1"/>
  <c r="CE243" i="1" s="1"/>
  <c r="BU243" i="1"/>
  <c r="BV243" i="1" s="1"/>
  <c r="BP243" i="1"/>
  <c r="BQ243" i="1" s="1"/>
  <c r="BR243" i="1" s="1"/>
  <c r="BJ243" i="1"/>
  <c r="BH243" i="1"/>
  <c r="BI243" i="1" s="1"/>
  <c r="BA243" i="1"/>
  <c r="BB243" i="1" s="1"/>
  <c r="BC243" i="1" s="1"/>
  <c r="BD243" i="1" s="1"/>
  <c r="AS243" i="1"/>
  <c r="AT243" i="1" s="1"/>
  <c r="AU243" i="1" s="1"/>
  <c r="AV243" i="1" s="1"/>
  <c r="AW243" i="1" s="1"/>
  <c r="AX243" i="1" s="1"/>
  <c r="AN243" i="1"/>
  <c r="AO243" i="1" s="1"/>
  <c r="AP243" i="1" s="1"/>
  <c r="AQ243" i="1" s="1"/>
  <c r="AG243" i="1"/>
  <c r="AF243" i="1"/>
  <c r="AB243" i="1"/>
  <c r="AC243" i="1" s="1"/>
  <c r="AD243" i="1" s="1"/>
  <c r="AE243" i="1" s="1"/>
  <c r="W243" i="1"/>
  <c r="CT242" i="1"/>
  <c r="CU242" i="1" s="1"/>
  <c r="CV242" i="1" s="1"/>
  <c r="CP242" i="1"/>
  <c r="CQ242" i="1" s="1"/>
  <c r="CR242" i="1" s="1"/>
  <c r="CM242" i="1"/>
  <c r="CN242" i="1" s="1"/>
  <c r="CC242" i="1"/>
  <c r="CD242" i="1" s="1"/>
  <c r="CE242" i="1" s="1"/>
  <c r="BU242" i="1"/>
  <c r="BV242" i="1" s="1"/>
  <c r="BP242" i="1"/>
  <c r="BQ242" i="1" s="1"/>
  <c r="BR242" i="1" s="1"/>
  <c r="BO242" i="1"/>
  <c r="BJ242" i="1"/>
  <c r="BH242" i="1"/>
  <c r="BI242" i="1" s="1"/>
  <c r="BF242" i="1"/>
  <c r="BA242" i="1"/>
  <c r="BB242" i="1" s="1"/>
  <c r="BC242" i="1" s="1"/>
  <c r="BD242" i="1" s="1"/>
  <c r="AZ242" i="1"/>
  <c r="AS242" i="1"/>
  <c r="AT242" i="1" s="1"/>
  <c r="AU242" i="1" s="1"/>
  <c r="AV242" i="1" s="1"/>
  <c r="AW242" i="1" s="1"/>
  <c r="AX242" i="1" s="1"/>
  <c r="AN242" i="1"/>
  <c r="AO242" i="1" s="1"/>
  <c r="AP242" i="1" s="1"/>
  <c r="AQ242" i="1" s="1"/>
  <c r="AG242" i="1"/>
  <c r="AF242" i="1"/>
  <c r="AB242" i="1"/>
  <c r="AC242" i="1" s="1"/>
  <c r="AD242" i="1" s="1"/>
  <c r="AE242" i="1" s="1"/>
  <c r="W242" i="1"/>
  <c r="CT241" i="1"/>
  <c r="CU241" i="1" s="1"/>
  <c r="CV241" i="1" s="1"/>
  <c r="CP241" i="1"/>
  <c r="CQ241" i="1" s="1"/>
  <c r="CR241" i="1" s="1"/>
  <c r="CM241" i="1"/>
  <c r="CN241" i="1" s="1"/>
  <c r="CC241" i="1"/>
  <c r="CD241" i="1" s="1"/>
  <c r="CE241" i="1" s="1"/>
  <c r="BU241" i="1"/>
  <c r="BV241" i="1" s="1"/>
  <c r="BP241" i="1"/>
  <c r="BQ241" i="1" s="1"/>
  <c r="BR241" i="1" s="1"/>
  <c r="BJ241" i="1"/>
  <c r="BH241" i="1"/>
  <c r="BI241" i="1" s="1"/>
  <c r="BA241" i="1"/>
  <c r="BB241" i="1" s="1"/>
  <c r="BC241" i="1" s="1"/>
  <c r="BD241" i="1" s="1"/>
  <c r="AS241" i="1"/>
  <c r="AT241" i="1" s="1"/>
  <c r="AU241" i="1" s="1"/>
  <c r="AV241" i="1" s="1"/>
  <c r="AW241" i="1" s="1"/>
  <c r="AX241" i="1" s="1"/>
  <c r="AN241" i="1"/>
  <c r="AO241" i="1" s="1"/>
  <c r="AP241" i="1" s="1"/>
  <c r="AQ241" i="1" s="1"/>
  <c r="AG241" i="1"/>
  <c r="AF241" i="1"/>
  <c r="AB241" i="1"/>
  <c r="AC241" i="1" s="1"/>
  <c r="AD241" i="1" s="1"/>
  <c r="AE241" i="1" s="1"/>
  <c r="W241" i="1"/>
  <c r="CT240" i="1"/>
  <c r="CU240" i="1" s="1"/>
  <c r="CV240" i="1" s="1"/>
  <c r="CP240" i="1"/>
  <c r="CQ240" i="1" s="1"/>
  <c r="CR240" i="1" s="1"/>
  <c r="CM240" i="1"/>
  <c r="CN240" i="1" s="1"/>
  <c r="CC240" i="1"/>
  <c r="CD240" i="1" s="1"/>
  <c r="CE240" i="1" s="1"/>
  <c r="BU240" i="1"/>
  <c r="BV240" i="1" s="1"/>
  <c r="BP240" i="1"/>
  <c r="BQ240" i="1" s="1"/>
  <c r="BR240" i="1" s="1"/>
  <c r="BJ240" i="1"/>
  <c r="BH240" i="1"/>
  <c r="BI240" i="1" s="1"/>
  <c r="BA240" i="1"/>
  <c r="BB240" i="1" s="1"/>
  <c r="BC240" i="1" s="1"/>
  <c r="BD240" i="1" s="1"/>
  <c r="AS240" i="1"/>
  <c r="AT240" i="1" s="1"/>
  <c r="AU240" i="1" s="1"/>
  <c r="AV240" i="1" s="1"/>
  <c r="AW240" i="1" s="1"/>
  <c r="AX240" i="1" s="1"/>
  <c r="AN240" i="1"/>
  <c r="AO240" i="1" s="1"/>
  <c r="AP240" i="1" s="1"/>
  <c r="AQ240" i="1" s="1"/>
  <c r="AG240" i="1"/>
  <c r="AF240" i="1"/>
  <c r="AB240" i="1"/>
  <c r="AC240" i="1" s="1"/>
  <c r="AD240" i="1" s="1"/>
  <c r="AE240" i="1" s="1"/>
  <c r="W240" i="1"/>
  <c r="V240" i="1"/>
  <c r="CT239" i="1"/>
  <c r="CU239" i="1" s="1"/>
  <c r="CV239" i="1" s="1"/>
  <c r="CP239" i="1"/>
  <c r="CQ239" i="1" s="1"/>
  <c r="CR239" i="1" s="1"/>
  <c r="CM239" i="1"/>
  <c r="CN239" i="1" s="1"/>
  <c r="CC239" i="1"/>
  <c r="CD239" i="1" s="1"/>
  <c r="CE239" i="1" s="1"/>
  <c r="BU239" i="1"/>
  <c r="BV239" i="1" s="1"/>
  <c r="BP239" i="1"/>
  <c r="BQ239" i="1" s="1"/>
  <c r="BR239" i="1" s="1"/>
  <c r="BJ239" i="1"/>
  <c r="BH239" i="1"/>
  <c r="BI239" i="1" s="1"/>
  <c r="BA239" i="1"/>
  <c r="BB239" i="1" s="1"/>
  <c r="BC239" i="1" s="1"/>
  <c r="BD239" i="1" s="1"/>
  <c r="AS239" i="1"/>
  <c r="AT239" i="1" s="1"/>
  <c r="AU239" i="1" s="1"/>
  <c r="AV239" i="1" s="1"/>
  <c r="AW239" i="1" s="1"/>
  <c r="AX239" i="1" s="1"/>
  <c r="AN239" i="1"/>
  <c r="AO239" i="1" s="1"/>
  <c r="AP239" i="1" s="1"/>
  <c r="AQ239" i="1" s="1"/>
  <c r="AG239" i="1"/>
  <c r="AF239" i="1"/>
  <c r="AB239" i="1"/>
  <c r="AC239" i="1" s="1"/>
  <c r="AD239" i="1" s="1"/>
  <c r="AE239" i="1" s="1"/>
  <c r="W239" i="1"/>
  <c r="V239" i="1"/>
  <c r="U239" i="1"/>
  <c r="CT238" i="1"/>
  <c r="CU238" i="1" s="1"/>
  <c r="CV238" i="1" s="1"/>
  <c r="CP238" i="1"/>
  <c r="CQ238" i="1" s="1"/>
  <c r="CR238" i="1" s="1"/>
  <c r="CM238" i="1"/>
  <c r="CN238" i="1" s="1"/>
  <c r="CC238" i="1"/>
  <c r="CD238" i="1" s="1"/>
  <c r="CE238" i="1" s="1"/>
  <c r="BU238" i="1"/>
  <c r="BV238" i="1" s="1"/>
  <c r="BP238" i="1"/>
  <c r="BQ238" i="1" s="1"/>
  <c r="BR238" i="1" s="1"/>
  <c r="BO238" i="1"/>
  <c r="BJ238" i="1"/>
  <c r="BH238" i="1"/>
  <c r="BI238" i="1" s="1"/>
  <c r="BA238" i="1"/>
  <c r="BB238" i="1" s="1"/>
  <c r="BC238" i="1" s="1"/>
  <c r="BD238" i="1" s="1"/>
  <c r="AZ238" i="1"/>
  <c r="AS238" i="1"/>
  <c r="AT238" i="1" s="1"/>
  <c r="AU238" i="1" s="1"/>
  <c r="AV238" i="1" s="1"/>
  <c r="AW238" i="1" s="1"/>
  <c r="AX238" i="1" s="1"/>
  <c r="AN238" i="1"/>
  <c r="AO238" i="1" s="1"/>
  <c r="AP238" i="1" s="1"/>
  <c r="AQ238" i="1" s="1"/>
  <c r="AG238" i="1"/>
  <c r="AF238" i="1"/>
  <c r="AB238" i="1"/>
  <c r="AC238" i="1" s="1"/>
  <c r="AD238" i="1" s="1"/>
  <c r="AE238" i="1" s="1"/>
  <c r="V238" i="1"/>
  <c r="CT237" i="1"/>
  <c r="CU237" i="1" s="1"/>
  <c r="CV237" i="1" s="1"/>
  <c r="CP237" i="1"/>
  <c r="CQ237" i="1" s="1"/>
  <c r="CR237" i="1" s="1"/>
  <c r="CM237" i="1"/>
  <c r="CN237" i="1" s="1"/>
  <c r="CC237" i="1"/>
  <c r="CD237" i="1" s="1"/>
  <c r="CE237" i="1" s="1"/>
  <c r="BU237" i="1"/>
  <c r="BV237" i="1" s="1"/>
  <c r="BP237" i="1"/>
  <c r="BQ237" i="1" s="1"/>
  <c r="BR237" i="1" s="1"/>
  <c r="BJ237" i="1"/>
  <c r="BH237" i="1"/>
  <c r="BI237" i="1" s="1"/>
  <c r="BA237" i="1"/>
  <c r="BB237" i="1" s="1"/>
  <c r="BC237" i="1" s="1"/>
  <c r="BD237" i="1" s="1"/>
  <c r="AS237" i="1"/>
  <c r="AT237" i="1" s="1"/>
  <c r="AU237" i="1" s="1"/>
  <c r="AV237" i="1" s="1"/>
  <c r="AW237" i="1" s="1"/>
  <c r="AX237" i="1" s="1"/>
  <c r="AN237" i="1"/>
  <c r="AO237" i="1" s="1"/>
  <c r="AP237" i="1" s="1"/>
  <c r="AQ237" i="1" s="1"/>
  <c r="AG237" i="1"/>
  <c r="AF237" i="1"/>
  <c r="AB237" i="1"/>
  <c r="AC237" i="1" s="1"/>
  <c r="AD237" i="1" s="1"/>
  <c r="AE237" i="1" s="1"/>
  <c r="W237" i="1"/>
  <c r="V237" i="1"/>
  <c r="CT236" i="1"/>
  <c r="CU236" i="1" s="1"/>
  <c r="CV236" i="1" s="1"/>
  <c r="CP236" i="1"/>
  <c r="CQ236" i="1" s="1"/>
  <c r="CR236" i="1" s="1"/>
  <c r="CM236" i="1"/>
  <c r="CN236" i="1" s="1"/>
  <c r="CJ236" i="1"/>
  <c r="BU236" i="1"/>
  <c r="BV236" i="1" s="1"/>
  <c r="BP236" i="1"/>
  <c r="BQ236" i="1" s="1"/>
  <c r="BR236" i="1" s="1"/>
  <c r="BJ236" i="1"/>
  <c r="BH236" i="1"/>
  <c r="BI236" i="1" s="1"/>
  <c r="BF236" i="1"/>
  <c r="BE236" i="1"/>
  <c r="BA236" i="1"/>
  <c r="BB236" i="1" s="1"/>
  <c r="BC236" i="1" s="1"/>
  <c r="BD236" i="1" s="1"/>
  <c r="AZ236" i="1"/>
  <c r="AS236" i="1"/>
  <c r="AT236" i="1" s="1"/>
  <c r="AU236" i="1" s="1"/>
  <c r="AV236" i="1" s="1"/>
  <c r="AW236" i="1" s="1"/>
  <c r="AX236" i="1" s="1"/>
  <c r="AN236" i="1"/>
  <c r="AO236" i="1" s="1"/>
  <c r="AP236" i="1" s="1"/>
  <c r="AQ236" i="1" s="1"/>
  <c r="AG236" i="1"/>
  <c r="AF236" i="1"/>
  <c r="AB236" i="1"/>
  <c r="AC236" i="1" s="1"/>
  <c r="AD236" i="1" s="1"/>
  <c r="AE236" i="1" s="1"/>
  <c r="W236" i="1"/>
  <c r="CT235" i="1"/>
  <c r="CU235" i="1" s="1"/>
  <c r="CV235" i="1" s="1"/>
  <c r="CP235" i="1"/>
  <c r="CQ235" i="1" s="1"/>
  <c r="CR235" i="1" s="1"/>
  <c r="CM235" i="1"/>
  <c r="CN235" i="1" s="1"/>
  <c r="CC235" i="1"/>
  <c r="CD235" i="1" s="1"/>
  <c r="CE235" i="1" s="1"/>
  <c r="BU235" i="1"/>
  <c r="BV235" i="1" s="1"/>
  <c r="BP235" i="1"/>
  <c r="BQ235" i="1" s="1"/>
  <c r="BR235" i="1" s="1"/>
  <c r="BJ235" i="1"/>
  <c r="BH235" i="1"/>
  <c r="BI235" i="1" s="1"/>
  <c r="BA235" i="1"/>
  <c r="BB235" i="1" s="1"/>
  <c r="BC235" i="1" s="1"/>
  <c r="BD235" i="1" s="1"/>
  <c r="AS235" i="1"/>
  <c r="AT235" i="1" s="1"/>
  <c r="AU235" i="1" s="1"/>
  <c r="AV235" i="1" s="1"/>
  <c r="AW235" i="1" s="1"/>
  <c r="AX235" i="1" s="1"/>
  <c r="AN235" i="1"/>
  <c r="AO235" i="1" s="1"/>
  <c r="AP235" i="1" s="1"/>
  <c r="AQ235" i="1" s="1"/>
  <c r="AG235" i="1"/>
  <c r="AF235" i="1"/>
  <c r="AB235" i="1"/>
  <c r="AC235" i="1" s="1"/>
  <c r="AD235" i="1" s="1"/>
  <c r="AE235" i="1" s="1"/>
  <c r="CT234" i="1"/>
  <c r="CU234" i="1" s="1"/>
  <c r="CV234" i="1" s="1"/>
  <c r="CP234" i="1"/>
  <c r="CQ234" i="1" s="1"/>
  <c r="CR234" i="1" s="1"/>
  <c r="CM234" i="1"/>
  <c r="CN234" i="1" s="1"/>
  <c r="CC234" i="1"/>
  <c r="CD234" i="1" s="1"/>
  <c r="CE234" i="1" s="1"/>
  <c r="BU234" i="1"/>
  <c r="BV234" i="1" s="1"/>
  <c r="BP234" i="1"/>
  <c r="BQ234" i="1" s="1"/>
  <c r="BR234" i="1" s="1"/>
  <c r="BJ234" i="1"/>
  <c r="BH234" i="1"/>
  <c r="BI234" i="1" s="1"/>
  <c r="BA234" i="1"/>
  <c r="BB234" i="1" s="1"/>
  <c r="BC234" i="1" s="1"/>
  <c r="BD234" i="1" s="1"/>
  <c r="AS234" i="1"/>
  <c r="AT234" i="1" s="1"/>
  <c r="AU234" i="1" s="1"/>
  <c r="AV234" i="1" s="1"/>
  <c r="AW234" i="1" s="1"/>
  <c r="AX234" i="1" s="1"/>
  <c r="AN234" i="1"/>
  <c r="AO234" i="1" s="1"/>
  <c r="AP234" i="1" s="1"/>
  <c r="AQ234" i="1" s="1"/>
  <c r="AG234" i="1"/>
  <c r="AF234" i="1"/>
  <c r="AB234" i="1"/>
  <c r="AC234" i="1" s="1"/>
  <c r="AD234" i="1" s="1"/>
  <c r="AE234" i="1" s="1"/>
  <c r="CT233" i="1"/>
  <c r="CU233" i="1" s="1"/>
  <c r="CV233" i="1" s="1"/>
  <c r="CP233" i="1"/>
  <c r="CQ233" i="1" s="1"/>
  <c r="CR233" i="1" s="1"/>
  <c r="CM233" i="1"/>
  <c r="CN233" i="1" s="1"/>
  <c r="CC233" i="1"/>
  <c r="CD233" i="1" s="1"/>
  <c r="CE233" i="1" s="1"/>
  <c r="BU233" i="1"/>
  <c r="BV233" i="1" s="1"/>
  <c r="BP233" i="1"/>
  <c r="BQ233" i="1" s="1"/>
  <c r="BR233" i="1" s="1"/>
  <c r="BJ233" i="1"/>
  <c r="BH233" i="1"/>
  <c r="BI233" i="1" s="1"/>
  <c r="BA233" i="1"/>
  <c r="BB233" i="1" s="1"/>
  <c r="BC233" i="1" s="1"/>
  <c r="BD233" i="1" s="1"/>
  <c r="AS233" i="1"/>
  <c r="AT233" i="1" s="1"/>
  <c r="AU233" i="1" s="1"/>
  <c r="AV233" i="1" s="1"/>
  <c r="AW233" i="1" s="1"/>
  <c r="AX233" i="1" s="1"/>
  <c r="AN233" i="1"/>
  <c r="AO233" i="1" s="1"/>
  <c r="AP233" i="1" s="1"/>
  <c r="AQ233" i="1" s="1"/>
  <c r="AG233" i="1"/>
  <c r="AF233" i="1"/>
  <c r="AB233" i="1"/>
  <c r="AC233" i="1" s="1"/>
  <c r="AD233" i="1" s="1"/>
  <c r="AE233" i="1" s="1"/>
  <c r="CT232" i="1"/>
  <c r="CU232" i="1" s="1"/>
  <c r="CV232" i="1" s="1"/>
  <c r="CP232" i="1"/>
  <c r="CQ232" i="1" s="1"/>
  <c r="CR232" i="1" s="1"/>
  <c r="CM232" i="1"/>
  <c r="CN232" i="1" s="1"/>
  <c r="CC232" i="1"/>
  <c r="CD232" i="1" s="1"/>
  <c r="CE232" i="1" s="1"/>
  <c r="BU232" i="1"/>
  <c r="BV232" i="1" s="1"/>
  <c r="BP232" i="1"/>
  <c r="BQ232" i="1" s="1"/>
  <c r="BR232" i="1" s="1"/>
  <c r="BJ232" i="1"/>
  <c r="BH232" i="1"/>
  <c r="BI232" i="1" s="1"/>
  <c r="BA232" i="1"/>
  <c r="BB232" i="1" s="1"/>
  <c r="BC232" i="1" s="1"/>
  <c r="BD232" i="1" s="1"/>
  <c r="AZ232" i="1"/>
  <c r="AS232" i="1"/>
  <c r="AT232" i="1" s="1"/>
  <c r="AU232" i="1" s="1"/>
  <c r="AV232" i="1" s="1"/>
  <c r="AW232" i="1" s="1"/>
  <c r="AX232" i="1" s="1"/>
  <c r="AN232" i="1"/>
  <c r="AO232" i="1" s="1"/>
  <c r="AP232" i="1" s="1"/>
  <c r="AQ232" i="1" s="1"/>
  <c r="AG232" i="1"/>
  <c r="AF232" i="1"/>
  <c r="AB232" i="1"/>
  <c r="AC232" i="1" s="1"/>
  <c r="AD232" i="1" s="1"/>
  <c r="AE232" i="1" s="1"/>
  <c r="W232" i="1"/>
  <c r="CT231" i="1"/>
  <c r="CU231" i="1" s="1"/>
  <c r="CV231" i="1" s="1"/>
  <c r="CP231" i="1"/>
  <c r="CQ231" i="1" s="1"/>
  <c r="CR231" i="1" s="1"/>
  <c r="CM231" i="1"/>
  <c r="CN231" i="1" s="1"/>
  <c r="CC231" i="1"/>
  <c r="CD231" i="1" s="1"/>
  <c r="CE231" i="1" s="1"/>
  <c r="BU231" i="1"/>
  <c r="BV231" i="1" s="1"/>
  <c r="BP231" i="1"/>
  <c r="BQ231" i="1" s="1"/>
  <c r="BR231" i="1" s="1"/>
  <c r="BO231" i="1"/>
  <c r="BJ231" i="1"/>
  <c r="BH231" i="1"/>
  <c r="BI231" i="1" s="1"/>
  <c r="BA231" i="1"/>
  <c r="BB231" i="1" s="1"/>
  <c r="BC231" i="1" s="1"/>
  <c r="BD231" i="1" s="1"/>
  <c r="AZ231" i="1"/>
  <c r="AS231" i="1"/>
  <c r="AT231" i="1" s="1"/>
  <c r="AU231" i="1" s="1"/>
  <c r="AV231" i="1" s="1"/>
  <c r="AW231" i="1" s="1"/>
  <c r="AX231" i="1" s="1"/>
  <c r="AN231" i="1"/>
  <c r="AO231" i="1" s="1"/>
  <c r="AP231" i="1" s="1"/>
  <c r="AQ231" i="1" s="1"/>
  <c r="AG231" i="1"/>
  <c r="AF231" i="1"/>
  <c r="AB231" i="1"/>
  <c r="AC231" i="1" s="1"/>
  <c r="AD231" i="1" s="1"/>
  <c r="AE231" i="1" s="1"/>
  <c r="V231" i="1"/>
  <c r="U231" i="1"/>
  <c r="CT230" i="1"/>
  <c r="CU230" i="1" s="1"/>
  <c r="CV230" i="1" s="1"/>
  <c r="CP230" i="1"/>
  <c r="CQ230" i="1" s="1"/>
  <c r="CR230" i="1" s="1"/>
  <c r="CM230" i="1"/>
  <c r="CN230" i="1" s="1"/>
  <c r="CC230" i="1"/>
  <c r="CD230" i="1" s="1"/>
  <c r="CE230" i="1" s="1"/>
  <c r="BU230" i="1"/>
  <c r="BV230" i="1" s="1"/>
  <c r="BP230" i="1"/>
  <c r="BQ230" i="1" s="1"/>
  <c r="BR230" i="1" s="1"/>
  <c r="BJ230" i="1"/>
  <c r="BH230" i="1"/>
  <c r="BI230" i="1" s="1"/>
  <c r="BA230" i="1"/>
  <c r="BB230" i="1" s="1"/>
  <c r="BC230" i="1" s="1"/>
  <c r="BD230" i="1" s="1"/>
  <c r="AS230" i="1"/>
  <c r="AT230" i="1" s="1"/>
  <c r="AU230" i="1" s="1"/>
  <c r="AV230" i="1" s="1"/>
  <c r="AW230" i="1" s="1"/>
  <c r="AX230" i="1" s="1"/>
  <c r="AN230" i="1"/>
  <c r="AO230" i="1" s="1"/>
  <c r="AP230" i="1" s="1"/>
  <c r="AQ230" i="1" s="1"/>
  <c r="AG230" i="1"/>
  <c r="AF230" i="1"/>
  <c r="AB230" i="1"/>
  <c r="AC230" i="1" s="1"/>
  <c r="AD230" i="1" s="1"/>
  <c r="AE230" i="1" s="1"/>
  <c r="Z230" i="1"/>
  <c r="V230" i="1"/>
  <c r="U230" i="1"/>
  <c r="CT229" i="1"/>
  <c r="CU229" i="1" s="1"/>
  <c r="CV229" i="1" s="1"/>
  <c r="CP229" i="1"/>
  <c r="CQ229" i="1" s="1"/>
  <c r="CR229" i="1" s="1"/>
  <c r="CM229" i="1"/>
  <c r="CN229" i="1" s="1"/>
  <c r="CC229" i="1"/>
  <c r="CD229" i="1" s="1"/>
  <c r="CE229" i="1" s="1"/>
  <c r="BU229" i="1"/>
  <c r="BV229" i="1" s="1"/>
  <c r="BP229" i="1"/>
  <c r="BQ229" i="1" s="1"/>
  <c r="BR229" i="1" s="1"/>
  <c r="BJ229" i="1"/>
  <c r="BH229" i="1"/>
  <c r="BI229" i="1" s="1"/>
  <c r="BA229" i="1"/>
  <c r="BB229" i="1" s="1"/>
  <c r="BC229" i="1" s="1"/>
  <c r="BD229" i="1" s="1"/>
  <c r="AS229" i="1"/>
  <c r="AT229" i="1" s="1"/>
  <c r="AU229" i="1" s="1"/>
  <c r="AV229" i="1" s="1"/>
  <c r="AW229" i="1" s="1"/>
  <c r="AX229" i="1" s="1"/>
  <c r="AN229" i="1"/>
  <c r="AO229" i="1" s="1"/>
  <c r="AP229" i="1" s="1"/>
  <c r="AQ229" i="1" s="1"/>
  <c r="AG229" i="1"/>
  <c r="AF229" i="1"/>
  <c r="AB229" i="1"/>
  <c r="AC229" i="1" s="1"/>
  <c r="AD229" i="1" s="1"/>
  <c r="AE229" i="1" s="1"/>
  <c r="U229" i="1"/>
  <c r="CT228" i="1"/>
  <c r="CU228" i="1" s="1"/>
  <c r="CV228" i="1" s="1"/>
  <c r="CP228" i="1"/>
  <c r="CQ228" i="1" s="1"/>
  <c r="CR228" i="1" s="1"/>
  <c r="CM228" i="1"/>
  <c r="CN228" i="1" s="1"/>
  <c r="CC228" i="1"/>
  <c r="CD228" i="1" s="1"/>
  <c r="CE228" i="1" s="1"/>
  <c r="BU228" i="1"/>
  <c r="BV228" i="1" s="1"/>
  <c r="BP228" i="1"/>
  <c r="BQ228" i="1" s="1"/>
  <c r="BR228" i="1" s="1"/>
  <c r="BO228" i="1"/>
  <c r="BJ228" i="1"/>
  <c r="BH228" i="1"/>
  <c r="BI228" i="1" s="1"/>
  <c r="BA228" i="1"/>
  <c r="BB228" i="1" s="1"/>
  <c r="BC228" i="1" s="1"/>
  <c r="BD228" i="1" s="1"/>
  <c r="AS228" i="1"/>
  <c r="AT228" i="1" s="1"/>
  <c r="AU228" i="1" s="1"/>
  <c r="AV228" i="1" s="1"/>
  <c r="AW228" i="1" s="1"/>
  <c r="AX228" i="1" s="1"/>
  <c r="AN228" i="1"/>
  <c r="AO228" i="1" s="1"/>
  <c r="AP228" i="1" s="1"/>
  <c r="AQ228" i="1" s="1"/>
  <c r="AG228" i="1"/>
  <c r="AF228" i="1"/>
  <c r="AB228" i="1"/>
  <c r="AC228" i="1" s="1"/>
  <c r="AD228" i="1" s="1"/>
  <c r="AE228" i="1" s="1"/>
  <c r="CT227" i="1"/>
  <c r="CU227" i="1" s="1"/>
  <c r="CV227" i="1" s="1"/>
  <c r="CP227" i="1"/>
  <c r="CQ227" i="1" s="1"/>
  <c r="CR227" i="1" s="1"/>
  <c r="CM227" i="1"/>
  <c r="CN227" i="1" s="1"/>
  <c r="CC227" i="1"/>
  <c r="CD227" i="1" s="1"/>
  <c r="CE227" i="1" s="1"/>
  <c r="BU227" i="1"/>
  <c r="BV227" i="1" s="1"/>
  <c r="BP227" i="1"/>
  <c r="BQ227" i="1" s="1"/>
  <c r="BR227" i="1" s="1"/>
  <c r="BJ227" i="1"/>
  <c r="BH227" i="1"/>
  <c r="BI227" i="1" s="1"/>
  <c r="BA227" i="1"/>
  <c r="BB227" i="1" s="1"/>
  <c r="BC227" i="1" s="1"/>
  <c r="BD227" i="1" s="1"/>
  <c r="AS227" i="1"/>
  <c r="AT227" i="1" s="1"/>
  <c r="AU227" i="1" s="1"/>
  <c r="AV227" i="1" s="1"/>
  <c r="AW227" i="1" s="1"/>
  <c r="AX227" i="1" s="1"/>
  <c r="AN227" i="1"/>
  <c r="AO227" i="1" s="1"/>
  <c r="AP227" i="1" s="1"/>
  <c r="AQ227" i="1" s="1"/>
  <c r="AG227" i="1"/>
  <c r="AF227" i="1"/>
  <c r="AB227" i="1"/>
  <c r="AC227" i="1" s="1"/>
  <c r="AD227" i="1" s="1"/>
  <c r="AE227" i="1" s="1"/>
  <c r="V227" i="1"/>
  <c r="CT226" i="1"/>
  <c r="CU226" i="1" s="1"/>
  <c r="CV226" i="1" s="1"/>
  <c r="CP226" i="1"/>
  <c r="CQ226" i="1" s="1"/>
  <c r="CR226" i="1" s="1"/>
  <c r="CM226" i="1"/>
  <c r="CN226" i="1" s="1"/>
  <c r="CJ226" i="1"/>
  <c r="BU226" i="1"/>
  <c r="BV226" i="1" s="1"/>
  <c r="BP226" i="1"/>
  <c r="BQ226" i="1" s="1"/>
  <c r="BR226" i="1" s="1"/>
  <c r="BJ226" i="1"/>
  <c r="BH226" i="1"/>
  <c r="BI226" i="1" s="1"/>
  <c r="BF226" i="1"/>
  <c r="BA226" i="1"/>
  <c r="BB226" i="1" s="1"/>
  <c r="BC226" i="1" s="1"/>
  <c r="BD226" i="1" s="1"/>
  <c r="AS226" i="1"/>
  <c r="AT226" i="1" s="1"/>
  <c r="AU226" i="1" s="1"/>
  <c r="AV226" i="1" s="1"/>
  <c r="AW226" i="1" s="1"/>
  <c r="AX226" i="1" s="1"/>
  <c r="AN226" i="1"/>
  <c r="AO226" i="1" s="1"/>
  <c r="AP226" i="1" s="1"/>
  <c r="AQ226" i="1" s="1"/>
  <c r="AG226" i="1"/>
  <c r="AF226" i="1"/>
  <c r="AB226" i="1"/>
  <c r="AC226" i="1" s="1"/>
  <c r="AD226" i="1" s="1"/>
  <c r="AE226" i="1" s="1"/>
  <c r="W226" i="1"/>
  <c r="CT225" i="1"/>
  <c r="CU225" i="1" s="1"/>
  <c r="CV225" i="1" s="1"/>
  <c r="CP225" i="1"/>
  <c r="CQ225" i="1" s="1"/>
  <c r="CR225" i="1" s="1"/>
  <c r="CM225" i="1"/>
  <c r="CN225" i="1" s="1"/>
  <c r="CC225" i="1"/>
  <c r="CD225" i="1" s="1"/>
  <c r="CE225" i="1" s="1"/>
  <c r="BU225" i="1"/>
  <c r="BV225" i="1" s="1"/>
  <c r="BP225" i="1"/>
  <c r="BQ225" i="1" s="1"/>
  <c r="BR225" i="1" s="1"/>
  <c r="BJ225" i="1"/>
  <c r="BH225" i="1"/>
  <c r="BI225" i="1" s="1"/>
  <c r="BA225" i="1"/>
  <c r="BB225" i="1" s="1"/>
  <c r="BC225" i="1" s="1"/>
  <c r="BD225" i="1" s="1"/>
  <c r="AZ225" i="1"/>
  <c r="AS225" i="1"/>
  <c r="AT225" i="1" s="1"/>
  <c r="AU225" i="1" s="1"/>
  <c r="AV225" i="1" s="1"/>
  <c r="AW225" i="1" s="1"/>
  <c r="AX225" i="1" s="1"/>
  <c r="AN225" i="1"/>
  <c r="AO225" i="1" s="1"/>
  <c r="AP225" i="1" s="1"/>
  <c r="AQ225" i="1" s="1"/>
  <c r="AG225" i="1"/>
  <c r="AF225" i="1"/>
  <c r="AB225" i="1"/>
  <c r="AC225" i="1" s="1"/>
  <c r="AD225" i="1" s="1"/>
  <c r="AE225" i="1" s="1"/>
  <c r="W225" i="1"/>
  <c r="V225" i="1"/>
  <c r="CT224" i="1"/>
  <c r="CU224" i="1" s="1"/>
  <c r="CV224" i="1" s="1"/>
  <c r="CP224" i="1"/>
  <c r="CQ224" i="1" s="1"/>
  <c r="CR224" i="1" s="1"/>
  <c r="CM224" i="1"/>
  <c r="CN224" i="1" s="1"/>
  <c r="CC224" i="1"/>
  <c r="CD224" i="1" s="1"/>
  <c r="CE224" i="1" s="1"/>
  <c r="BU224" i="1"/>
  <c r="BV224" i="1" s="1"/>
  <c r="BP224" i="1"/>
  <c r="BQ224" i="1" s="1"/>
  <c r="BR224" i="1" s="1"/>
  <c r="BJ224" i="1"/>
  <c r="BH224" i="1"/>
  <c r="BI224" i="1" s="1"/>
  <c r="BA224" i="1"/>
  <c r="BB224" i="1" s="1"/>
  <c r="BC224" i="1" s="1"/>
  <c r="BD224" i="1" s="1"/>
  <c r="AS224" i="1"/>
  <c r="AT224" i="1" s="1"/>
  <c r="AU224" i="1" s="1"/>
  <c r="AV224" i="1" s="1"/>
  <c r="AW224" i="1" s="1"/>
  <c r="AX224" i="1" s="1"/>
  <c r="AN224" i="1"/>
  <c r="AO224" i="1" s="1"/>
  <c r="AP224" i="1" s="1"/>
  <c r="AQ224" i="1" s="1"/>
  <c r="AG224" i="1"/>
  <c r="AF224" i="1"/>
  <c r="AB224" i="1"/>
  <c r="AC224" i="1" s="1"/>
  <c r="AD224" i="1" s="1"/>
  <c r="AE224" i="1" s="1"/>
  <c r="Z224" i="1"/>
  <c r="W224" i="1"/>
  <c r="CT223" i="1"/>
  <c r="CU223" i="1" s="1"/>
  <c r="CV223" i="1" s="1"/>
  <c r="CP223" i="1"/>
  <c r="CQ223" i="1" s="1"/>
  <c r="CR223" i="1" s="1"/>
  <c r="CM223" i="1"/>
  <c r="CN223" i="1" s="1"/>
  <c r="CC223" i="1"/>
  <c r="CD223" i="1" s="1"/>
  <c r="CE223" i="1" s="1"/>
  <c r="BU223" i="1"/>
  <c r="BV223" i="1" s="1"/>
  <c r="BP223" i="1"/>
  <c r="BQ223" i="1" s="1"/>
  <c r="BR223" i="1" s="1"/>
  <c r="BJ223" i="1"/>
  <c r="BH223" i="1"/>
  <c r="BI223" i="1" s="1"/>
  <c r="BA223" i="1"/>
  <c r="BB223" i="1" s="1"/>
  <c r="BC223" i="1" s="1"/>
  <c r="BD223" i="1" s="1"/>
  <c r="AS223" i="1"/>
  <c r="AT223" i="1" s="1"/>
  <c r="AU223" i="1" s="1"/>
  <c r="AV223" i="1" s="1"/>
  <c r="AW223" i="1" s="1"/>
  <c r="AX223" i="1" s="1"/>
  <c r="AN223" i="1"/>
  <c r="AO223" i="1" s="1"/>
  <c r="AP223" i="1" s="1"/>
  <c r="AQ223" i="1" s="1"/>
  <c r="AG223" i="1"/>
  <c r="AF223" i="1"/>
  <c r="AB223" i="1"/>
  <c r="AC223" i="1" s="1"/>
  <c r="AD223" i="1" s="1"/>
  <c r="AE223" i="1" s="1"/>
  <c r="W223" i="1"/>
  <c r="CT222" i="1"/>
  <c r="CU222" i="1" s="1"/>
  <c r="CV222" i="1" s="1"/>
  <c r="CP222" i="1"/>
  <c r="CQ222" i="1" s="1"/>
  <c r="CR222" i="1" s="1"/>
  <c r="CM222" i="1"/>
  <c r="CN222" i="1" s="1"/>
  <c r="CC222" i="1"/>
  <c r="CD222" i="1" s="1"/>
  <c r="CE222" i="1" s="1"/>
  <c r="BU222" i="1"/>
  <c r="BV222" i="1" s="1"/>
  <c r="BP222" i="1"/>
  <c r="BQ222" i="1" s="1"/>
  <c r="BR222" i="1" s="1"/>
  <c r="BO222" i="1"/>
  <c r="BJ222" i="1"/>
  <c r="BH222" i="1"/>
  <c r="BI222" i="1" s="1"/>
  <c r="BA222" i="1"/>
  <c r="BB222" i="1" s="1"/>
  <c r="BC222" i="1" s="1"/>
  <c r="BD222" i="1" s="1"/>
  <c r="AS222" i="1"/>
  <c r="AT222" i="1" s="1"/>
  <c r="AU222" i="1" s="1"/>
  <c r="AV222" i="1" s="1"/>
  <c r="AW222" i="1" s="1"/>
  <c r="AX222" i="1" s="1"/>
  <c r="AN222" i="1"/>
  <c r="AO222" i="1" s="1"/>
  <c r="AP222" i="1" s="1"/>
  <c r="AQ222" i="1" s="1"/>
  <c r="AG222" i="1"/>
  <c r="AF222" i="1"/>
  <c r="AB222" i="1"/>
  <c r="AC222" i="1" s="1"/>
  <c r="AD222" i="1" s="1"/>
  <c r="AE222" i="1" s="1"/>
  <c r="CT221" i="1"/>
  <c r="CU221" i="1" s="1"/>
  <c r="CV221" i="1" s="1"/>
  <c r="CP221" i="1"/>
  <c r="CQ221" i="1" s="1"/>
  <c r="CR221" i="1" s="1"/>
  <c r="CM221" i="1"/>
  <c r="CN221" i="1" s="1"/>
  <c r="CC221" i="1"/>
  <c r="CD221" i="1" s="1"/>
  <c r="CE221" i="1" s="1"/>
  <c r="BU221" i="1"/>
  <c r="BV221" i="1" s="1"/>
  <c r="BP221" i="1"/>
  <c r="BQ221" i="1" s="1"/>
  <c r="BR221" i="1" s="1"/>
  <c r="BJ221" i="1"/>
  <c r="BH221" i="1"/>
  <c r="BI221" i="1" s="1"/>
  <c r="BA221" i="1"/>
  <c r="BB221" i="1" s="1"/>
  <c r="BC221" i="1" s="1"/>
  <c r="BD221" i="1" s="1"/>
  <c r="AS221" i="1"/>
  <c r="AT221" i="1" s="1"/>
  <c r="AU221" i="1" s="1"/>
  <c r="AV221" i="1" s="1"/>
  <c r="AW221" i="1" s="1"/>
  <c r="AX221" i="1" s="1"/>
  <c r="AN221" i="1"/>
  <c r="AO221" i="1" s="1"/>
  <c r="AP221" i="1" s="1"/>
  <c r="AQ221" i="1" s="1"/>
  <c r="AG221" i="1"/>
  <c r="AF221" i="1"/>
  <c r="AB221" i="1"/>
  <c r="AC221" i="1" s="1"/>
  <c r="AD221" i="1" s="1"/>
  <c r="AE221" i="1" s="1"/>
  <c r="W221" i="1"/>
  <c r="U221" i="1"/>
  <c r="CT220" i="1"/>
  <c r="CU220" i="1" s="1"/>
  <c r="CV220" i="1" s="1"/>
  <c r="CP220" i="1"/>
  <c r="CQ220" i="1" s="1"/>
  <c r="CR220" i="1" s="1"/>
  <c r="CM220" i="1"/>
  <c r="CN220" i="1" s="1"/>
  <c r="CC220" i="1"/>
  <c r="CD220" i="1" s="1"/>
  <c r="CE220" i="1" s="1"/>
  <c r="BU220" i="1"/>
  <c r="BV220" i="1" s="1"/>
  <c r="BP220" i="1"/>
  <c r="BQ220" i="1" s="1"/>
  <c r="BR220" i="1" s="1"/>
  <c r="BO220" i="1"/>
  <c r="BJ220" i="1"/>
  <c r="BH220" i="1"/>
  <c r="BI220" i="1" s="1"/>
  <c r="BA220" i="1"/>
  <c r="BB220" i="1" s="1"/>
  <c r="BC220" i="1" s="1"/>
  <c r="BD220" i="1" s="1"/>
  <c r="AZ220" i="1"/>
  <c r="AS220" i="1"/>
  <c r="AT220" i="1" s="1"/>
  <c r="AU220" i="1" s="1"/>
  <c r="AV220" i="1" s="1"/>
  <c r="AW220" i="1" s="1"/>
  <c r="AX220" i="1" s="1"/>
  <c r="AN220" i="1"/>
  <c r="AO220" i="1" s="1"/>
  <c r="AP220" i="1" s="1"/>
  <c r="AQ220" i="1" s="1"/>
  <c r="AG220" i="1"/>
  <c r="AF220" i="1"/>
  <c r="AB220" i="1"/>
  <c r="AC220" i="1" s="1"/>
  <c r="AD220" i="1" s="1"/>
  <c r="AE220" i="1" s="1"/>
  <c r="W220" i="1"/>
  <c r="V220" i="1"/>
  <c r="CT219" i="1"/>
  <c r="CU219" i="1" s="1"/>
  <c r="CV219" i="1" s="1"/>
  <c r="CP219" i="1"/>
  <c r="CQ219" i="1" s="1"/>
  <c r="CR219" i="1" s="1"/>
  <c r="CM219" i="1"/>
  <c r="CN219" i="1" s="1"/>
  <c r="CC219" i="1"/>
  <c r="CD219" i="1" s="1"/>
  <c r="CE219" i="1" s="1"/>
  <c r="BU219" i="1"/>
  <c r="BV219" i="1" s="1"/>
  <c r="BP219" i="1"/>
  <c r="BQ219" i="1" s="1"/>
  <c r="BR219" i="1" s="1"/>
  <c r="BJ219" i="1"/>
  <c r="BH219" i="1"/>
  <c r="BI219" i="1" s="1"/>
  <c r="BA219" i="1"/>
  <c r="BB219" i="1" s="1"/>
  <c r="BC219" i="1" s="1"/>
  <c r="BD219" i="1" s="1"/>
  <c r="AS219" i="1"/>
  <c r="AT219" i="1" s="1"/>
  <c r="AU219" i="1" s="1"/>
  <c r="AV219" i="1" s="1"/>
  <c r="AW219" i="1" s="1"/>
  <c r="AX219" i="1" s="1"/>
  <c r="AN219" i="1"/>
  <c r="AO219" i="1" s="1"/>
  <c r="AP219" i="1" s="1"/>
  <c r="AQ219" i="1" s="1"/>
  <c r="AG219" i="1"/>
  <c r="AF219" i="1"/>
  <c r="AB219" i="1"/>
  <c r="AC219" i="1" s="1"/>
  <c r="AD219" i="1" s="1"/>
  <c r="AE219" i="1" s="1"/>
  <c r="CT218" i="1"/>
  <c r="CU218" i="1" s="1"/>
  <c r="CV218" i="1" s="1"/>
  <c r="CP218" i="1"/>
  <c r="CQ218" i="1" s="1"/>
  <c r="CR218" i="1" s="1"/>
  <c r="CM218" i="1"/>
  <c r="CN218" i="1" s="1"/>
  <c r="CC218" i="1"/>
  <c r="CD218" i="1" s="1"/>
  <c r="CE218" i="1" s="1"/>
  <c r="BU218" i="1"/>
  <c r="BV218" i="1" s="1"/>
  <c r="BP218" i="1"/>
  <c r="BQ218" i="1" s="1"/>
  <c r="BR218" i="1" s="1"/>
  <c r="BJ218" i="1"/>
  <c r="BH218" i="1"/>
  <c r="BI218" i="1" s="1"/>
  <c r="BA218" i="1"/>
  <c r="BB218" i="1" s="1"/>
  <c r="BC218" i="1" s="1"/>
  <c r="BD218" i="1" s="1"/>
  <c r="AS218" i="1"/>
  <c r="AT218" i="1" s="1"/>
  <c r="AU218" i="1" s="1"/>
  <c r="AV218" i="1" s="1"/>
  <c r="AW218" i="1" s="1"/>
  <c r="AX218" i="1" s="1"/>
  <c r="AN218" i="1"/>
  <c r="AO218" i="1" s="1"/>
  <c r="AP218" i="1" s="1"/>
  <c r="AQ218" i="1" s="1"/>
  <c r="AG218" i="1"/>
  <c r="AF218" i="1"/>
  <c r="AB218" i="1"/>
  <c r="AC218" i="1" s="1"/>
  <c r="AD218" i="1" s="1"/>
  <c r="AE218" i="1" s="1"/>
  <c r="W218" i="1"/>
  <c r="CT217" i="1"/>
  <c r="CU217" i="1" s="1"/>
  <c r="CV217" i="1" s="1"/>
  <c r="CP217" i="1"/>
  <c r="CQ217" i="1" s="1"/>
  <c r="CR217" i="1" s="1"/>
  <c r="CM217" i="1"/>
  <c r="CN217" i="1" s="1"/>
  <c r="CC217" i="1"/>
  <c r="CD217" i="1" s="1"/>
  <c r="CE217" i="1" s="1"/>
  <c r="BU217" i="1"/>
  <c r="BV217" i="1" s="1"/>
  <c r="BP217" i="1"/>
  <c r="BQ217" i="1" s="1"/>
  <c r="BR217" i="1" s="1"/>
  <c r="BJ217" i="1"/>
  <c r="BH217" i="1"/>
  <c r="BI217" i="1" s="1"/>
  <c r="BA217" i="1"/>
  <c r="BB217" i="1" s="1"/>
  <c r="BC217" i="1" s="1"/>
  <c r="BD217" i="1" s="1"/>
  <c r="AZ217" i="1"/>
  <c r="AS217" i="1"/>
  <c r="AT217" i="1" s="1"/>
  <c r="AU217" i="1" s="1"/>
  <c r="AV217" i="1" s="1"/>
  <c r="AW217" i="1" s="1"/>
  <c r="AX217" i="1" s="1"/>
  <c r="AN217" i="1"/>
  <c r="AO217" i="1" s="1"/>
  <c r="AP217" i="1" s="1"/>
  <c r="AQ217" i="1" s="1"/>
  <c r="AG217" i="1"/>
  <c r="AF217" i="1"/>
  <c r="AC217" i="1"/>
  <c r="AD217" i="1" s="1"/>
  <c r="AE217" i="1" s="1"/>
  <c r="Z217" i="1"/>
  <c r="W217" i="1"/>
  <c r="V217" i="1"/>
  <c r="U217" i="1"/>
  <c r="CT216" i="1"/>
  <c r="CU216" i="1" s="1"/>
  <c r="CV216" i="1" s="1"/>
  <c r="CP216" i="1"/>
  <c r="CQ216" i="1" s="1"/>
  <c r="CR216" i="1" s="1"/>
  <c r="CM216" i="1"/>
  <c r="CN216" i="1" s="1"/>
  <c r="CC216" i="1"/>
  <c r="CD216" i="1" s="1"/>
  <c r="CE216" i="1" s="1"/>
  <c r="BU216" i="1"/>
  <c r="BV216" i="1" s="1"/>
  <c r="BP216" i="1"/>
  <c r="BQ216" i="1" s="1"/>
  <c r="BR216" i="1" s="1"/>
  <c r="BJ216" i="1"/>
  <c r="BH216" i="1"/>
  <c r="BI216" i="1" s="1"/>
  <c r="BA216" i="1"/>
  <c r="BB216" i="1" s="1"/>
  <c r="BC216" i="1" s="1"/>
  <c r="BD216" i="1" s="1"/>
  <c r="AZ216" i="1"/>
  <c r="AS216" i="1"/>
  <c r="AT216" i="1" s="1"/>
  <c r="AU216" i="1" s="1"/>
  <c r="AV216" i="1" s="1"/>
  <c r="AW216" i="1" s="1"/>
  <c r="AX216" i="1" s="1"/>
  <c r="AN216" i="1"/>
  <c r="AO216" i="1" s="1"/>
  <c r="AP216" i="1" s="1"/>
  <c r="AQ216" i="1" s="1"/>
  <c r="AG216" i="1"/>
  <c r="AF216" i="1"/>
  <c r="AB216" i="1"/>
  <c r="AC216" i="1" s="1"/>
  <c r="AD216" i="1" s="1"/>
  <c r="AE216" i="1" s="1"/>
  <c r="W216" i="1"/>
  <c r="V216" i="1"/>
  <c r="CT215" i="1"/>
  <c r="CU215" i="1" s="1"/>
  <c r="CV215" i="1" s="1"/>
  <c r="CP215" i="1"/>
  <c r="CQ215" i="1" s="1"/>
  <c r="CR215" i="1" s="1"/>
  <c r="CM215" i="1"/>
  <c r="CN215" i="1" s="1"/>
  <c r="CC215" i="1"/>
  <c r="CD215" i="1" s="1"/>
  <c r="CE215" i="1" s="1"/>
  <c r="BU215" i="1"/>
  <c r="BV215" i="1" s="1"/>
  <c r="BT215" i="1"/>
  <c r="BP215" i="1"/>
  <c r="BQ215" i="1" s="1"/>
  <c r="BR215" i="1" s="1"/>
  <c r="BJ215" i="1"/>
  <c r="BH215" i="1"/>
  <c r="BI215" i="1" s="1"/>
  <c r="BA215" i="1"/>
  <c r="BB215" i="1" s="1"/>
  <c r="BC215" i="1" s="1"/>
  <c r="BD215" i="1" s="1"/>
  <c r="AS215" i="1"/>
  <c r="AT215" i="1" s="1"/>
  <c r="AU215" i="1" s="1"/>
  <c r="AV215" i="1" s="1"/>
  <c r="AW215" i="1" s="1"/>
  <c r="AX215" i="1" s="1"/>
  <c r="AN215" i="1"/>
  <c r="AO215" i="1" s="1"/>
  <c r="AP215" i="1" s="1"/>
  <c r="AQ215" i="1" s="1"/>
  <c r="AG215" i="1"/>
  <c r="AF215" i="1"/>
  <c r="AB215" i="1"/>
  <c r="AC215" i="1" s="1"/>
  <c r="AD215" i="1" s="1"/>
  <c r="AE215" i="1" s="1"/>
  <c r="W215" i="1"/>
  <c r="V215" i="1"/>
  <c r="CT214" i="1"/>
  <c r="CU214" i="1" s="1"/>
  <c r="CV214" i="1" s="1"/>
  <c r="CP214" i="1"/>
  <c r="CQ214" i="1" s="1"/>
  <c r="CR214" i="1" s="1"/>
  <c r="CM214" i="1"/>
  <c r="CN214" i="1" s="1"/>
  <c r="CC214" i="1"/>
  <c r="CD214" i="1" s="1"/>
  <c r="CE214" i="1" s="1"/>
  <c r="BU214" i="1"/>
  <c r="BV214" i="1" s="1"/>
  <c r="BP214" i="1"/>
  <c r="BQ214" i="1" s="1"/>
  <c r="BR214" i="1" s="1"/>
  <c r="BJ214" i="1"/>
  <c r="BH214" i="1"/>
  <c r="BI214" i="1" s="1"/>
  <c r="BA214" i="1"/>
  <c r="BB214" i="1" s="1"/>
  <c r="BC214" i="1" s="1"/>
  <c r="BD214" i="1" s="1"/>
  <c r="AS214" i="1"/>
  <c r="AT214" i="1" s="1"/>
  <c r="AU214" i="1" s="1"/>
  <c r="AV214" i="1" s="1"/>
  <c r="AW214" i="1" s="1"/>
  <c r="AX214" i="1" s="1"/>
  <c r="AN214" i="1"/>
  <c r="AO214" i="1" s="1"/>
  <c r="AP214" i="1" s="1"/>
  <c r="AQ214" i="1" s="1"/>
  <c r="AG214" i="1"/>
  <c r="AF214" i="1"/>
  <c r="AB214" i="1"/>
  <c r="AC214" i="1" s="1"/>
  <c r="AD214" i="1" s="1"/>
  <c r="AE214" i="1" s="1"/>
  <c r="W214" i="1"/>
  <c r="V214" i="1"/>
  <c r="CT213" i="1"/>
  <c r="CU213" i="1" s="1"/>
  <c r="CV213" i="1" s="1"/>
  <c r="CP213" i="1"/>
  <c r="CQ213" i="1" s="1"/>
  <c r="CR213" i="1" s="1"/>
  <c r="CM213" i="1"/>
  <c r="CN213" i="1" s="1"/>
  <c r="CC213" i="1"/>
  <c r="CD213" i="1" s="1"/>
  <c r="CE213" i="1" s="1"/>
  <c r="BU213" i="1"/>
  <c r="BV213" i="1" s="1"/>
  <c r="BP213" i="1"/>
  <c r="BQ213" i="1" s="1"/>
  <c r="BR213" i="1" s="1"/>
  <c r="BJ213" i="1"/>
  <c r="BH213" i="1"/>
  <c r="BI213" i="1" s="1"/>
  <c r="BA213" i="1"/>
  <c r="BB213" i="1" s="1"/>
  <c r="BC213" i="1" s="1"/>
  <c r="BD213" i="1" s="1"/>
  <c r="AS213" i="1"/>
  <c r="AT213" i="1" s="1"/>
  <c r="AU213" i="1" s="1"/>
  <c r="AV213" i="1" s="1"/>
  <c r="AW213" i="1" s="1"/>
  <c r="AX213" i="1" s="1"/>
  <c r="AN213" i="1"/>
  <c r="AO213" i="1" s="1"/>
  <c r="AP213" i="1" s="1"/>
  <c r="AQ213" i="1" s="1"/>
  <c r="AG213" i="1"/>
  <c r="AF213" i="1"/>
  <c r="AB213" i="1"/>
  <c r="AC213" i="1" s="1"/>
  <c r="AD213" i="1" s="1"/>
  <c r="AE213" i="1" s="1"/>
  <c r="V213" i="1"/>
  <c r="U213" i="1"/>
  <c r="CT212" i="1"/>
  <c r="CU212" i="1" s="1"/>
  <c r="CV212" i="1" s="1"/>
  <c r="CP212" i="1"/>
  <c r="CQ212" i="1" s="1"/>
  <c r="CR212" i="1" s="1"/>
  <c r="CM212" i="1"/>
  <c r="CN212" i="1" s="1"/>
  <c r="CC212" i="1"/>
  <c r="CD212" i="1" s="1"/>
  <c r="CE212" i="1" s="1"/>
  <c r="BU212" i="1"/>
  <c r="BV212" i="1" s="1"/>
  <c r="BP212" i="1"/>
  <c r="BQ212" i="1" s="1"/>
  <c r="BR212" i="1" s="1"/>
  <c r="BJ212" i="1"/>
  <c r="BH212" i="1"/>
  <c r="BI212" i="1" s="1"/>
  <c r="BA212" i="1"/>
  <c r="BB212" i="1" s="1"/>
  <c r="BC212" i="1" s="1"/>
  <c r="BD212" i="1" s="1"/>
  <c r="AZ212" i="1"/>
  <c r="AS212" i="1"/>
  <c r="AT212" i="1" s="1"/>
  <c r="AU212" i="1" s="1"/>
  <c r="AV212" i="1" s="1"/>
  <c r="AW212" i="1" s="1"/>
  <c r="AX212" i="1" s="1"/>
  <c r="AN212" i="1"/>
  <c r="AO212" i="1" s="1"/>
  <c r="AP212" i="1" s="1"/>
  <c r="AQ212" i="1" s="1"/>
  <c r="AG212" i="1"/>
  <c r="AF212" i="1"/>
  <c r="AB212" i="1"/>
  <c r="AC212" i="1" s="1"/>
  <c r="AD212" i="1" s="1"/>
  <c r="AE212" i="1" s="1"/>
  <c r="CT211" i="1"/>
  <c r="CU211" i="1" s="1"/>
  <c r="CV211" i="1" s="1"/>
  <c r="CP211" i="1"/>
  <c r="CQ211" i="1" s="1"/>
  <c r="CR211" i="1" s="1"/>
  <c r="CM211" i="1"/>
  <c r="CN211" i="1" s="1"/>
  <c r="CC211" i="1"/>
  <c r="CD211" i="1" s="1"/>
  <c r="CE211" i="1" s="1"/>
  <c r="BU211" i="1"/>
  <c r="BV211" i="1" s="1"/>
  <c r="BP211" i="1"/>
  <c r="BQ211" i="1" s="1"/>
  <c r="BR211" i="1" s="1"/>
  <c r="BJ211" i="1"/>
  <c r="BH211" i="1"/>
  <c r="BI211" i="1" s="1"/>
  <c r="BA211" i="1"/>
  <c r="BB211" i="1" s="1"/>
  <c r="BC211" i="1" s="1"/>
  <c r="BD211" i="1" s="1"/>
  <c r="AZ211" i="1"/>
  <c r="AS211" i="1"/>
  <c r="AT211" i="1" s="1"/>
  <c r="AU211" i="1" s="1"/>
  <c r="AV211" i="1" s="1"/>
  <c r="AW211" i="1" s="1"/>
  <c r="AX211" i="1" s="1"/>
  <c r="AN211" i="1"/>
  <c r="AO211" i="1" s="1"/>
  <c r="AP211" i="1" s="1"/>
  <c r="AQ211" i="1" s="1"/>
  <c r="AG211" i="1"/>
  <c r="AF211" i="1"/>
  <c r="AB211" i="1"/>
  <c r="AC211" i="1" s="1"/>
  <c r="AD211" i="1" s="1"/>
  <c r="AE211" i="1" s="1"/>
  <c r="W211" i="1"/>
  <c r="CT210" i="1"/>
  <c r="CU210" i="1" s="1"/>
  <c r="CV210" i="1" s="1"/>
  <c r="CP210" i="1"/>
  <c r="CQ210" i="1" s="1"/>
  <c r="CR210" i="1" s="1"/>
  <c r="CM210" i="1"/>
  <c r="CN210" i="1" s="1"/>
  <c r="CC210" i="1"/>
  <c r="CD210" i="1" s="1"/>
  <c r="CE210" i="1" s="1"/>
  <c r="BU210" i="1"/>
  <c r="BV210" i="1" s="1"/>
  <c r="BP210" i="1"/>
  <c r="BQ210" i="1" s="1"/>
  <c r="BR210" i="1" s="1"/>
  <c r="BJ210" i="1"/>
  <c r="BH210" i="1"/>
  <c r="BI210" i="1" s="1"/>
  <c r="BA210" i="1"/>
  <c r="BB210" i="1" s="1"/>
  <c r="BC210" i="1" s="1"/>
  <c r="BD210" i="1" s="1"/>
  <c r="AZ210" i="1"/>
  <c r="AS210" i="1"/>
  <c r="AT210" i="1" s="1"/>
  <c r="AU210" i="1" s="1"/>
  <c r="AV210" i="1" s="1"/>
  <c r="AW210" i="1" s="1"/>
  <c r="AX210" i="1" s="1"/>
  <c r="AN210" i="1"/>
  <c r="AO210" i="1" s="1"/>
  <c r="AP210" i="1" s="1"/>
  <c r="AQ210" i="1" s="1"/>
  <c r="AG210" i="1"/>
  <c r="AF210" i="1"/>
  <c r="AB210" i="1"/>
  <c r="AC210" i="1" s="1"/>
  <c r="AD210" i="1" s="1"/>
  <c r="AE210" i="1" s="1"/>
  <c r="W210" i="1"/>
  <c r="V210" i="1"/>
  <c r="CT209" i="1"/>
  <c r="CU209" i="1" s="1"/>
  <c r="CV209" i="1" s="1"/>
  <c r="CP209" i="1"/>
  <c r="CQ209" i="1" s="1"/>
  <c r="CR209" i="1" s="1"/>
  <c r="CM209" i="1"/>
  <c r="CN209" i="1" s="1"/>
  <c r="CC209" i="1"/>
  <c r="CD209" i="1" s="1"/>
  <c r="CE209" i="1" s="1"/>
  <c r="BU209" i="1"/>
  <c r="BV209" i="1" s="1"/>
  <c r="BP209" i="1"/>
  <c r="BQ209" i="1" s="1"/>
  <c r="BR209" i="1" s="1"/>
  <c r="BJ209" i="1"/>
  <c r="BH209" i="1"/>
  <c r="BI209" i="1" s="1"/>
  <c r="BE209" i="1"/>
  <c r="BA209" i="1"/>
  <c r="BB209" i="1" s="1"/>
  <c r="BC209" i="1" s="1"/>
  <c r="BD209" i="1" s="1"/>
  <c r="AS209" i="1"/>
  <c r="AT209" i="1" s="1"/>
  <c r="AU209" i="1" s="1"/>
  <c r="AV209" i="1" s="1"/>
  <c r="AW209" i="1" s="1"/>
  <c r="AX209" i="1" s="1"/>
  <c r="AN209" i="1"/>
  <c r="AO209" i="1" s="1"/>
  <c r="AP209" i="1" s="1"/>
  <c r="AQ209" i="1" s="1"/>
  <c r="AG209" i="1"/>
  <c r="AF209" i="1"/>
  <c r="AB209" i="1"/>
  <c r="AC209" i="1" s="1"/>
  <c r="AD209" i="1" s="1"/>
  <c r="AE209" i="1" s="1"/>
  <c r="W209" i="1"/>
  <c r="CT208" i="1"/>
  <c r="CU208" i="1" s="1"/>
  <c r="CV208" i="1" s="1"/>
  <c r="CP208" i="1"/>
  <c r="CQ208" i="1" s="1"/>
  <c r="CR208" i="1" s="1"/>
  <c r="CM208" i="1"/>
  <c r="CN208" i="1" s="1"/>
  <c r="CJ208" i="1"/>
  <c r="BU208" i="1"/>
  <c r="BV208" i="1" s="1"/>
  <c r="BP208" i="1"/>
  <c r="BQ208" i="1" s="1"/>
  <c r="BR208" i="1" s="1"/>
  <c r="BJ208" i="1"/>
  <c r="BH208" i="1"/>
  <c r="BI208" i="1" s="1"/>
  <c r="BA208" i="1"/>
  <c r="BB208" i="1" s="1"/>
  <c r="BC208" i="1" s="1"/>
  <c r="BD208" i="1" s="1"/>
  <c r="AZ208" i="1"/>
  <c r="AS208" i="1"/>
  <c r="AT208" i="1" s="1"/>
  <c r="AU208" i="1" s="1"/>
  <c r="AV208" i="1" s="1"/>
  <c r="AW208" i="1" s="1"/>
  <c r="AX208" i="1" s="1"/>
  <c r="AN208" i="1"/>
  <c r="AO208" i="1" s="1"/>
  <c r="AP208" i="1" s="1"/>
  <c r="AQ208" i="1" s="1"/>
  <c r="AG208" i="1"/>
  <c r="AF208" i="1"/>
  <c r="AB208" i="1"/>
  <c r="AC208" i="1" s="1"/>
  <c r="AD208" i="1" s="1"/>
  <c r="AE208" i="1" s="1"/>
  <c r="Z208" i="1"/>
  <c r="W208" i="1"/>
  <c r="V208" i="1"/>
  <c r="CT207" i="1"/>
  <c r="CU207" i="1" s="1"/>
  <c r="CV207" i="1" s="1"/>
  <c r="CP207" i="1"/>
  <c r="CQ207" i="1" s="1"/>
  <c r="CR207" i="1" s="1"/>
  <c r="CM207" i="1"/>
  <c r="CN207" i="1" s="1"/>
  <c r="CJ207" i="1"/>
  <c r="BU207" i="1"/>
  <c r="BV207" i="1" s="1"/>
  <c r="BP207" i="1"/>
  <c r="BQ207" i="1" s="1"/>
  <c r="BR207" i="1" s="1"/>
  <c r="BJ207" i="1"/>
  <c r="BH207" i="1"/>
  <c r="BI207" i="1" s="1"/>
  <c r="BA207" i="1"/>
  <c r="BB207" i="1" s="1"/>
  <c r="BC207" i="1" s="1"/>
  <c r="BD207" i="1" s="1"/>
  <c r="AZ207" i="1"/>
  <c r="AS207" i="1"/>
  <c r="AT207" i="1" s="1"/>
  <c r="AU207" i="1" s="1"/>
  <c r="AV207" i="1" s="1"/>
  <c r="AW207" i="1" s="1"/>
  <c r="AX207" i="1" s="1"/>
  <c r="AN207" i="1"/>
  <c r="AO207" i="1" s="1"/>
  <c r="AP207" i="1" s="1"/>
  <c r="AQ207" i="1" s="1"/>
  <c r="AG207" i="1"/>
  <c r="AF207" i="1"/>
  <c r="AB207" i="1"/>
  <c r="AC207" i="1" s="1"/>
  <c r="AD207" i="1" s="1"/>
  <c r="AE207" i="1" s="1"/>
  <c r="W207" i="1"/>
  <c r="U207" i="1"/>
  <c r="CT206" i="1"/>
  <c r="CU206" i="1" s="1"/>
  <c r="CV206" i="1" s="1"/>
  <c r="CP206" i="1"/>
  <c r="CQ206" i="1" s="1"/>
  <c r="CR206" i="1" s="1"/>
  <c r="CM206" i="1"/>
  <c r="CN206" i="1" s="1"/>
  <c r="CC206" i="1"/>
  <c r="CD206" i="1" s="1"/>
  <c r="CE206" i="1" s="1"/>
  <c r="BU206" i="1"/>
  <c r="BV206" i="1" s="1"/>
  <c r="BP206" i="1"/>
  <c r="BQ206" i="1" s="1"/>
  <c r="BR206" i="1" s="1"/>
  <c r="BJ206" i="1"/>
  <c r="BH206" i="1"/>
  <c r="BI206" i="1" s="1"/>
  <c r="BA206" i="1"/>
  <c r="BB206" i="1" s="1"/>
  <c r="BC206" i="1" s="1"/>
  <c r="BD206" i="1" s="1"/>
  <c r="AZ206" i="1"/>
  <c r="AS206" i="1"/>
  <c r="AT206" i="1" s="1"/>
  <c r="AU206" i="1" s="1"/>
  <c r="AV206" i="1" s="1"/>
  <c r="AW206" i="1" s="1"/>
  <c r="AX206" i="1" s="1"/>
  <c r="AN206" i="1"/>
  <c r="AO206" i="1" s="1"/>
  <c r="AP206" i="1" s="1"/>
  <c r="AQ206" i="1" s="1"/>
  <c r="AG206" i="1"/>
  <c r="AF206" i="1"/>
  <c r="AB206" i="1"/>
  <c r="AC206" i="1" s="1"/>
  <c r="AD206" i="1" s="1"/>
  <c r="AE206" i="1" s="1"/>
  <c r="W206" i="1"/>
  <c r="V206" i="1"/>
  <c r="CT205" i="1"/>
  <c r="CU205" i="1" s="1"/>
  <c r="CV205" i="1" s="1"/>
  <c r="CP205" i="1"/>
  <c r="CQ205" i="1" s="1"/>
  <c r="CR205" i="1" s="1"/>
  <c r="CM205" i="1"/>
  <c r="CN205" i="1" s="1"/>
  <c r="CC205" i="1"/>
  <c r="CD205" i="1" s="1"/>
  <c r="CE205" i="1" s="1"/>
  <c r="BU205" i="1"/>
  <c r="BV205" i="1" s="1"/>
  <c r="BP205" i="1"/>
  <c r="BQ205" i="1" s="1"/>
  <c r="BR205" i="1" s="1"/>
  <c r="BJ205" i="1"/>
  <c r="BH205" i="1"/>
  <c r="BI205" i="1" s="1"/>
  <c r="BA205" i="1"/>
  <c r="BB205" i="1" s="1"/>
  <c r="BC205" i="1" s="1"/>
  <c r="BD205" i="1" s="1"/>
  <c r="AS205" i="1"/>
  <c r="AT205" i="1" s="1"/>
  <c r="AU205" i="1" s="1"/>
  <c r="AV205" i="1" s="1"/>
  <c r="AW205" i="1" s="1"/>
  <c r="AX205" i="1" s="1"/>
  <c r="AN205" i="1"/>
  <c r="AO205" i="1" s="1"/>
  <c r="AP205" i="1" s="1"/>
  <c r="AQ205" i="1" s="1"/>
  <c r="AG205" i="1"/>
  <c r="AF205" i="1"/>
  <c r="AB205" i="1"/>
  <c r="AC205" i="1" s="1"/>
  <c r="AD205" i="1" s="1"/>
  <c r="AE205" i="1" s="1"/>
  <c r="W205" i="1"/>
  <c r="V205" i="1"/>
  <c r="U205" i="1"/>
  <c r="CT204" i="1"/>
  <c r="CU204" i="1" s="1"/>
  <c r="CV204" i="1" s="1"/>
  <c r="CP204" i="1"/>
  <c r="CQ204" i="1" s="1"/>
  <c r="CR204" i="1" s="1"/>
  <c r="CM204" i="1"/>
  <c r="CN204" i="1" s="1"/>
  <c r="CC204" i="1"/>
  <c r="CD204" i="1" s="1"/>
  <c r="CE204" i="1" s="1"/>
  <c r="BU204" i="1"/>
  <c r="BV204" i="1" s="1"/>
  <c r="BP204" i="1"/>
  <c r="BQ204" i="1" s="1"/>
  <c r="BR204" i="1" s="1"/>
  <c r="BJ204" i="1"/>
  <c r="BH204" i="1"/>
  <c r="BI204" i="1" s="1"/>
  <c r="BE204" i="1"/>
  <c r="BA204" i="1"/>
  <c r="BB204" i="1" s="1"/>
  <c r="BC204" i="1" s="1"/>
  <c r="BD204" i="1" s="1"/>
  <c r="AS204" i="1"/>
  <c r="AT204" i="1" s="1"/>
  <c r="AU204" i="1" s="1"/>
  <c r="AV204" i="1" s="1"/>
  <c r="AW204" i="1" s="1"/>
  <c r="AX204" i="1" s="1"/>
  <c r="AN204" i="1"/>
  <c r="AO204" i="1" s="1"/>
  <c r="AP204" i="1" s="1"/>
  <c r="AQ204" i="1" s="1"/>
  <c r="AG204" i="1"/>
  <c r="AF204" i="1"/>
  <c r="AB204" i="1"/>
  <c r="AC204" i="1" s="1"/>
  <c r="AD204" i="1" s="1"/>
  <c r="AE204" i="1" s="1"/>
  <c r="W204" i="1"/>
  <c r="V204" i="1"/>
  <c r="U204" i="1"/>
  <c r="CT203" i="1"/>
  <c r="CU203" i="1" s="1"/>
  <c r="CV203" i="1" s="1"/>
  <c r="CP203" i="1"/>
  <c r="CQ203" i="1" s="1"/>
  <c r="CR203" i="1" s="1"/>
  <c r="CM203" i="1"/>
  <c r="CN203" i="1" s="1"/>
  <c r="CC203" i="1"/>
  <c r="CD203" i="1" s="1"/>
  <c r="CE203" i="1" s="1"/>
  <c r="BU203" i="1"/>
  <c r="BV203" i="1" s="1"/>
  <c r="BP203" i="1"/>
  <c r="BQ203" i="1" s="1"/>
  <c r="BR203" i="1" s="1"/>
  <c r="BJ203" i="1"/>
  <c r="BH203" i="1"/>
  <c r="BI203" i="1" s="1"/>
  <c r="BA203" i="1"/>
  <c r="BB203" i="1" s="1"/>
  <c r="BC203" i="1" s="1"/>
  <c r="BD203" i="1" s="1"/>
  <c r="AS203" i="1"/>
  <c r="AT203" i="1" s="1"/>
  <c r="AU203" i="1" s="1"/>
  <c r="AV203" i="1" s="1"/>
  <c r="AW203" i="1" s="1"/>
  <c r="AX203" i="1" s="1"/>
  <c r="AN203" i="1"/>
  <c r="AO203" i="1" s="1"/>
  <c r="AP203" i="1" s="1"/>
  <c r="AQ203" i="1" s="1"/>
  <c r="AG203" i="1"/>
  <c r="AF203" i="1"/>
  <c r="AB203" i="1"/>
  <c r="AC203" i="1" s="1"/>
  <c r="AD203" i="1" s="1"/>
  <c r="AE203" i="1" s="1"/>
  <c r="Z203" i="1"/>
  <c r="W203" i="1"/>
  <c r="V203" i="1"/>
  <c r="CT202" i="1"/>
  <c r="CU202" i="1" s="1"/>
  <c r="CV202" i="1" s="1"/>
  <c r="CP202" i="1"/>
  <c r="CQ202" i="1" s="1"/>
  <c r="CR202" i="1" s="1"/>
  <c r="CM202" i="1"/>
  <c r="CN202" i="1" s="1"/>
  <c r="CC202" i="1"/>
  <c r="CD202" i="1" s="1"/>
  <c r="CE202" i="1" s="1"/>
  <c r="BU202" i="1"/>
  <c r="BV202" i="1" s="1"/>
  <c r="BP202" i="1"/>
  <c r="BQ202" i="1" s="1"/>
  <c r="BR202" i="1" s="1"/>
  <c r="BJ202" i="1"/>
  <c r="BH202" i="1"/>
  <c r="BI202" i="1" s="1"/>
  <c r="BA202" i="1"/>
  <c r="BB202" i="1" s="1"/>
  <c r="BC202" i="1" s="1"/>
  <c r="BD202" i="1" s="1"/>
  <c r="AS202" i="1"/>
  <c r="AT202" i="1" s="1"/>
  <c r="AU202" i="1" s="1"/>
  <c r="AV202" i="1" s="1"/>
  <c r="AW202" i="1" s="1"/>
  <c r="AX202" i="1" s="1"/>
  <c r="AN202" i="1"/>
  <c r="AO202" i="1" s="1"/>
  <c r="AP202" i="1" s="1"/>
  <c r="AQ202" i="1" s="1"/>
  <c r="AG202" i="1"/>
  <c r="AF202" i="1"/>
  <c r="AB202" i="1"/>
  <c r="AC202" i="1" s="1"/>
  <c r="AD202" i="1" s="1"/>
  <c r="AE202" i="1" s="1"/>
  <c r="W202" i="1"/>
  <c r="V202" i="1"/>
  <c r="U202" i="1"/>
  <c r="CT201" i="1"/>
  <c r="CU201" i="1" s="1"/>
  <c r="CV201" i="1" s="1"/>
  <c r="CP201" i="1"/>
  <c r="CQ201" i="1" s="1"/>
  <c r="CR201" i="1" s="1"/>
  <c r="CM201" i="1"/>
  <c r="CN201" i="1" s="1"/>
  <c r="CC201" i="1"/>
  <c r="CD201" i="1" s="1"/>
  <c r="CE201" i="1" s="1"/>
  <c r="BU201" i="1"/>
  <c r="BV201" i="1" s="1"/>
  <c r="BP201" i="1"/>
  <c r="BQ201" i="1" s="1"/>
  <c r="BR201" i="1" s="1"/>
  <c r="BJ201" i="1"/>
  <c r="BH201" i="1"/>
  <c r="BI201" i="1" s="1"/>
  <c r="BA201" i="1"/>
  <c r="BB201" i="1" s="1"/>
  <c r="BC201" i="1" s="1"/>
  <c r="BD201" i="1" s="1"/>
  <c r="AS201" i="1"/>
  <c r="AT201" i="1" s="1"/>
  <c r="AU201" i="1" s="1"/>
  <c r="AV201" i="1" s="1"/>
  <c r="AW201" i="1" s="1"/>
  <c r="AX201" i="1" s="1"/>
  <c r="AN201" i="1"/>
  <c r="AO201" i="1" s="1"/>
  <c r="AP201" i="1" s="1"/>
  <c r="AQ201" i="1" s="1"/>
  <c r="AG201" i="1"/>
  <c r="AF201" i="1"/>
  <c r="AB201" i="1"/>
  <c r="AC201" i="1" s="1"/>
  <c r="AD201" i="1" s="1"/>
  <c r="AE201" i="1" s="1"/>
  <c r="V201" i="1"/>
  <c r="CT200" i="1"/>
  <c r="CU200" i="1" s="1"/>
  <c r="CV200" i="1" s="1"/>
  <c r="CP200" i="1"/>
  <c r="CQ200" i="1" s="1"/>
  <c r="CR200" i="1" s="1"/>
  <c r="CM200" i="1"/>
  <c r="CN200" i="1" s="1"/>
  <c r="CC200" i="1"/>
  <c r="CD200" i="1" s="1"/>
  <c r="CE200" i="1" s="1"/>
  <c r="BU200" i="1"/>
  <c r="BV200" i="1" s="1"/>
  <c r="BP200" i="1"/>
  <c r="BQ200" i="1" s="1"/>
  <c r="BR200" i="1" s="1"/>
  <c r="BJ200" i="1"/>
  <c r="BH200" i="1"/>
  <c r="BI200" i="1" s="1"/>
  <c r="BA200" i="1"/>
  <c r="BB200" i="1" s="1"/>
  <c r="BC200" i="1" s="1"/>
  <c r="BD200" i="1" s="1"/>
  <c r="AZ200" i="1"/>
  <c r="AS200" i="1"/>
  <c r="AT200" i="1" s="1"/>
  <c r="AU200" i="1" s="1"/>
  <c r="AV200" i="1" s="1"/>
  <c r="AW200" i="1" s="1"/>
  <c r="AX200" i="1" s="1"/>
  <c r="AN200" i="1"/>
  <c r="AO200" i="1" s="1"/>
  <c r="AP200" i="1" s="1"/>
  <c r="AQ200" i="1" s="1"/>
  <c r="AG200" i="1"/>
  <c r="AF200" i="1"/>
  <c r="AB200" i="1"/>
  <c r="AC200" i="1" s="1"/>
  <c r="AD200" i="1" s="1"/>
  <c r="AE200" i="1" s="1"/>
  <c r="W200" i="1"/>
  <c r="V200" i="1"/>
  <c r="U200" i="1"/>
  <c r="CT199" i="1"/>
  <c r="CU199" i="1" s="1"/>
  <c r="CV199" i="1" s="1"/>
  <c r="CP199" i="1"/>
  <c r="CQ199" i="1" s="1"/>
  <c r="CR199" i="1" s="1"/>
  <c r="CM199" i="1"/>
  <c r="CN199" i="1" s="1"/>
  <c r="CC199" i="1"/>
  <c r="CD199" i="1" s="1"/>
  <c r="CE199" i="1" s="1"/>
  <c r="BU199" i="1"/>
  <c r="BV199" i="1" s="1"/>
  <c r="BP199" i="1"/>
  <c r="BQ199" i="1" s="1"/>
  <c r="BR199" i="1" s="1"/>
  <c r="BJ199" i="1"/>
  <c r="BH199" i="1"/>
  <c r="BI199" i="1" s="1"/>
  <c r="BA199" i="1"/>
  <c r="BB199" i="1" s="1"/>
  <c r="BC199" i="1" s="1"/>
  <c r="BD199" i="1" s="1"/>
  <c r="AZ199" i="1"/>
  <c r="AS199" i="1"/>
  <c r="AT199" i="1" s="1"/>
  <c r="AU199" i="1" s="1"/>
  <c r="AV199" i="1" s="1"/>
  <c r="AW199" i="1" s="1"/>
  <c r="AX199" i="1" s="1"/>
  <c r="AN199" i="1"/>
  <c r="AO199" i="1" s="1"/>
  <c r="AP199" i="1" s="1"/>
  <c r="AQ199" i="1" s="1"/>
  <c r="AG199" i="1"/>
  <c r="AF199" i="1"/>
  <c r="AB199" i="1"/>
  <c r="AC199" i="1" s="1"/>
  <c r="AD199" i="1" s="1"/>
  <c r="AE199" i="1" s="1"/>
  <c r="CT198" i="1"/>
  <c r="CU198" i="1" s="1"/>
  <c r="CV198" i="1" s="1"/>
  <c r="CP198" i="1"/>
  <c r="CQ198" i="1" s="1"/>
  <c r="CR198" i="1" s="1"/>
  <c r="CM198" i="1"/>
  <c r="CN198" i="1" s="1"/>
  <c r="CC198" i="1"/>
  <c r="CD198" i="1" s="1"/>
  <c r="CE198" i="1" s="1"/>
  <c r="BU198" i="1"/>
  <c r="BV198" i="1" s="1"/>
  <c r="BP198" i="1"/>
  <c r="BQ198" i="1" s="1"/>
  <c r="BR198" i="1" s="1"/>
  <c r="BJ198" i="1"/>
  <c r="BH198" i="1"/>
  <c r="BI198" i="1" s="1"/>
  <c r="BA198" i="1"/>
  <c r="BB198" i="1" s="1"/>
  <c r="BC198" i="1" s="1"/>
  <c r="BD198" i="1" s="1"/>
  <c r="AS198" i="1"/>
  <c r="AT198" i="1" s="1"/>
  <c r="AU198" i="1" s="1"/>
  <c r="AV198" i="1" s="1"/>
  <c r="AW198" i="1" s="1"/>
  <c r="AX198" i="1" s="1"/>
  <c r="AN198" i="1"/>
  <c r="AO198" i="1" s="1"/>
  <c r="AP198" i="1" s="1"/>
  <c r="AQ198" i="1" s="1"/>
  <c r="AG198" i="1"/>
  <c r="AF198" i="1"/>
  <c r="AB198" i="1"/>
  <c r="AC198" i="1" s="1"/>
  <c r="AD198" i="1" s="1"/>
  <c r="AE198" i="1" s="1"/>
  <c r="W198" i="1"/>
  <c r="V198" i="1"/>
  <c r="CT197" i="1"/>
  <c r="CU197" i="1" s="1"/>
  <c r="CV197" i="1" s="1"/>
  <c r="CP197" i="1"/>
  <c r="CQ197" i="1" s="1"/>
  <c r="CR197" i="1" s="1"/>
  <c r="CM197" i="1"/>
  <c r="CN197" i="1" s="1"/>
  <c r="CC197" i="1"/>
  <c r="CD197" i="1" s="1"/>
  <c r="CE197" i="1" s="1"/>
  <c r="BU197" i="1"/>
  <c r="BV197" i="1" s="1"/>
  <c r="BP197" i="1"/>
  <c r="BQ197" i="1" s="1"/>
  <c r="BR197" i="1" s="1"/>
  <c r="BJ197" i="1"/>
  <c r="BH197" i="1"/>
  <c r="BI197" i="1" s="1"/>
  <c r="BA197" i="1"/>
  <c r="BB197" i="1" s="1"/>
  <c r="BC197" i="1" s="1"/>
  <c r="BD197" i="1" s="1"/>
  <c r="AS197" i="1"/>
  <c r="AT197" i="1" s="1"/>
  <c r="AU197" i="1" s="1"/>
  <c r="AV197" i="1" s="1"/>
  <c r="AW197" i="1" s="1"/>
  <c r="AX197" i="1" s="1"/>
  <c r="AN197" i="1"/>
  <c r="AO197" i="1" s="1"/>
  <c r="AP197" i="1" s="1"/>
  <c r="AQ197" i="1" s="1"/>
  <c r="AG197" i="1"/>
  <c r="AF197" i="1"/>
  <c r="AB197" i="1"/>
  <c r="AC197" i="1" s="1"/>
  <c r="AD197" i="1" s="1"/>
  <c r="AE197" i="1" s="1"/>
  <c r="CT196" i="1"/>
  <c r="CU196" i="1" s="1"/>
  <c r="CV196" i="1" s="1"/>
  <c r="CP196" i="1"/>
  <c r="CQ196" i="1" s="1"/>
  <c r="CR196" i="1" s="1"/>
  <c r="CM196" i="1"/>
  <c r="CN196" i="1" s="1"/>
  <c r="CC196" i="1"/>
  <c r="CD196" i="1" s="1"/>
  <c r="CE196" i="1" s="1"/>
  <c r="BU196" i="1"/>
  <c r="BV196" i="1" s="1"/>
  <c r="BP196" i="1"/>
  <c r="BQ196" i="1" s="1"/>
  <c r="BR196" i="1" s="1"/>
  <c r="BJ196" i="1"/>
  <c r="BH196" i="1"/>
  <c r="BI196" i="1" s="1"/>
  <c r="BA196" i="1"/>
  <c r="BB196" i="1" s="1"/>
  <c r="BC196" i="1" s="1"/>
  <c r="BD196" i="1" s="1"/>
  <c r="AZ196" i="1"/>
  <c r="AS196" i="1"/>
  <c r="AT196" i="1" s="1"/>
  <c r="AU196" i="1" s="1"/>
  <c r="AV196" i="1" s="1"/>
  <c r="AW196" i="1" s="1"/>
  <c r="AX196" i="1" s="1"/>
  <c r="AN196" i="1"/>
  <c r="AO196" i="1" s="1"/>
  <c r="AP196" i="1" s="1"/>
  <c r="AQ196" i="1" s="1"/>
  <c r="AG196" i="1"/>
  <c r="AF196" i="1"/>
  <c r="AB196" i="1"/>
  <c r="AC196" i="1" s="1"/>
  <c r="AD196" i="1" s="1"/>
  <c r="AE196" i="1" s="1"/>
  <c r="W196" i="1"/>
  <c r="V196" i="1"/>
  <c r="CT195" i="1"/>
  <c r="CU195" i="1" s="1"/>
  <c r="CV195" i="1" s="1"/>
  <c r="CP195" i="1"/>
  <c r="CQ195" i="1" s="1"/>
  <c r="CR195" i="1" s="1"/>
  <c r="CM195" i="1"/>
  <c r="CN195" i="1" s="1"/>
  <c r="CC195" i="1"/>
  <c r="CD195" i="1" s="1"/>
  <c r="CE195" i="1" s="1"/>
  <c r="BU195" i="1"/>
  <c r="BV195" i="1" s="1"/>
  <c r="BP195" i="1"/>
  <c r="BQ195" i="1" s="1"/>
  <c r="BR195" i="1" s="1"/>
  <c r="BJ195" i="1"/>
  <c r="BH195" i="1"/>
  <c r="BI195" i="1" s="1"/>
  <c r="BA195" i="1"/>
  <c r="BB195" i="1" s="1"/>
  <c r="BC195" i="1" s="1"/>
  <c r="BD195" i="1" s="1"/>
  <c r="AS195" i="1"/>
  <c r="AT195" i="1" s="1"/>
  <c r="AU195" i="1" s="1"/>
  <c r="AV195" i="1" s="1"/>
  <c r="AW195" i="1" s="1"/>
  <c r="AX195" i="1" s="1"/>
  <c r="AN195" i="1"/>
  <c r="AO195" i="1" s="1"/>
  <c r="AP195" i="1" s="1"/>
  <c r="AQ195" i="1" s="1"/>
  <c r="AG195" i="1"/>
  <c r="AF195" i="1"/>
  <c r="AB195" i="1"/>
  <c r="AC195" i="1" s="1"/>
  <c r="AD195" i="1" s="1"/>
  <c r="AE195" i="1" s="1"/>
  <c r="AA195" i="1"/>
  <c r="Z195" i="1"/>
  <c r="V195" i="1"/>
  <c r="CT194" i="1"/>
  <c r="CU194" i="1" s="1"/>
  <c r="CV194" i="1" s="1"/>
  <c r="CP194" i="1"/>
  <c r="CQ194" i="1" s="1"/>
  <c r="CR194" i="1" s="1"/>
  <c r="CM194" i="1"/>
  <c r="CN194" i="1" s="1"/>
  <c r="CI194" i="1"/>
  <c r="CJ194" i="1" s="1"/>
  <c r="BU194" i="1"/>
  <c r="BV194" i="1" s="1"/>
  <c r="BP194" i="1"/>
  <c r="BQ194" i="1" s="1"/>
  <c r="BR194" i="1" s="1"/>
  <c r="BJ194" i="1"/>
  <c r="BH194" i="1"/>
  <c r="BI194" i="1" s="1"/>
  <c r="BE194" i="1"/>
  <c r="BA194" i="1"/>
  <c r="BB194" i="1" s="1"/>
  <c r="BC194" i="1" s="1"/>
  <c r="BD194" i="1" s="1"/>
  <c r="AZ194" i="1"/>
  <c r="AS194" i="1"/>
  <c r="AT194" i="1" s="1"/>
  <c r="AU194" i="1" s="1"/>
  <c r="AV194" i="1" s="1"/>
  <c r="AW194" i="1" s="1"/>
  <c r="AX194" i="1" s="1"/>
  <c r="AN194" i="1"/>
  <c r="AO194" i="1" s="1"/>
  <c r="AP194" i="1" s="1"/>
  <c r="AQ194" i="1" s="1"/>
  <c r="AG194" i="1"/>
  <c r="AF194" i="1"/>
  <c r="AB194" i="1"/>
  <c r="AC194" i="1" s="1"/>
  <c r="AD194" i="1" s="1"/>
  <c r="AE194" i="1" s="1"/>
  <c r="W194" i="1"/>
  <c r="V194" i="1"/>
  <c r="CT193" i="1"/>
  <c r="CU193" i="1" s="1"/>
  <c r="CV193" i="1" s="1"/>
  <c r="CP193" i="1"/>
  <c r="CQ193" i="1" s="1"/>
  <c r="CR193" i="1" s="1"/>
  <c r="CM193" i="1"/>
  <c r="CN193" i="1" s="1"/>
  <c r="CC193" i="1"/>
  <c r="CD193" i="1" s="1"/>
  <c r="CE193" i="1" s="1"/>
  <c r="BU193" i="1"/>
  <c r="BV193" i="1" s="1"/>
  <c r="BP193" i="1"/>
  <c r="BQ193" i="1" s="1"/>
  <c r="BR193" i="1" s="1"/>
  <c r="BJ193" i="1"/>
  <c r="BH193" i="1"/>
  <c r="BI193" i="1" s="1"/>
  <c r="BA193" i="1"/>
  <c r="BB193" i="1" s="1"/>
  <c r="BC193" i="1" s="1"/>
  <c r="BD193" i="1" s="1"/>
  <c r="AS193" i="1"/>
  <c r="AT193" i="1" s="1"/>
  <c r="AU193" i="1" s="1"/>
  <c r="AV193" i="1" s="1"/>
  <c r="AW193" i="1" s="1"/>
  <c r="AX193" i="1" s="1"/>
  <c r="AN193" i="1"/>
  <c r="AO193" i="1" s="1"/>
  <c r="AP193" i="1" s="1"/>
  <c r="AQ193" i="1" s="1"/>
  <c r="AG193" i="1"/>
  <c r="AF193" i="1"/>
  <c r="AB193" i="1"/>
  <c r="AC193" i="1" s="1"/>
  <c r="AD193" i="1" s="1"/>
  <c r="AE193" i="1" s="1"/>
  <c r="W193" i="1"/>
  <c r="CT192" i="1"/>
  <c r="CU192" i="1" s="1"/>
  <c r="CV192" i="1" s="1"/>
  <c r="CP192" i="1"/>
  <c r="CQ192" i="1" s="1"/>
  <c r="CR192" i="1" s="1"/>
  <c r="CM192" i="1"/>
  <c r="CN192" i="1" s="1"/>
  <c r="CC192" i="1"/>
  <c r="CD192" i="1" s="1"/>
  <c r="CE192" i="1" s="1"/>
  <c r="BU192" i="1"/>
  <c r="BV192" i="1" s="1"/>
  <c r="BP192" i="1"/>
  <c r="BQ192" i="1" s="1"/>
  <c r="BR192" i="1" s="1"/>
  <c r="BJ192" i="1"/>
  <c r="BH192" i="1"/>
  <c r="BI192" i="1" s="1"/>
  <c r="BA192" i="1"/>
  <c r="BB192" i="1" s="1"/>
  <c r="BC192" i="1" s="1"/>
  <c r="BD192" i="1" s="1"/>
  <c r="AZ192" i="1"/>
  <c r="AS192" i="1"/>
  <c r="AT192" i="1" s="1"/>
  <c r="AU192" i="1" s="1"/>
  <c r="AV192" i="1" s="1"/>
  <c r="AW192" i="1" s="1"/>
  <c r="AX192" i="1" s="1"/>
  <c r="AN192" i="1"/>
  <c r="AO192" i="1" s="1"/>
  <c r="AP192" i="1" s="1"/>
  <c r="AQ192" i="1" s="1"/>
  <c r="AG192" i="1"/>
  <c r="AF192" i="1"/>
  <c r="AB192" i="1"/>
  <c r="AC192" i="1" s="1"/>
  <c r="AD192" i="1" s="1"/>
  <c r="AE192" i="1" s="1"/>
  <c r="V192" i="1"/>
  <c r="CT191" i="1"/>
  <c r="CU191" i="1" s="1"/>
  <c r="CV191" i="1" s="1"/>
  <c r="CP191" i="1"/>
  <c r="CQ191" i="1" s="1"/>
  <c r="CR191" i="1" s="1"/>
  <c r="CM191" i="1"/>
  <c r="CN191" i="1" s="1"/>
  <c r="CC191" i="1"/>
  <c r="CD191" i="1" s="1"/>
  <c r="CE191" i="1" s="1"/>
  <c r="BU191" i="1"/>
  <c r="BV191" i="1" s="1"/>
  <c r="BP191" i="1"/>
  <c r="BQ191" i="1" s="1"/>
  <c r="BR191" i="1" s="1"/>
  <c r="BJ191" i="1"/>
  <c r="BH191" i="1"/>
  <c r="BI191" i="1" s="1"/>
  <c r="BA191" i="1"/>
  <c r="BB191" i="1" s="1"/>
  <c r="BC191" i="1" s="1"/>
  <c r="BD191" i="1" s="1"/>
  <c r="AZ191" i="1"/>
  <c r="AS191" i="1"/>
  <c r="AT191" i="1" s="1"/>
  <c r="AU191" i="1" s="1"/>
  <c r="AV191" i="1" s="1"/>
  <c r="AW191" i="1" s="1"/>
  <c r="AX191" i="1" s="1"/>
  <c r="AN191" i="1"/>
  <c r="AO191" i="1" s="1"/>
  <c r="AP191" i="1" s="1"/>
  <c r="AQ191" i="1" s="1"/>
  <c r="AG191" i="1"/>
  <c r="AF191" i="1"/>
  <c r="AB191" i="1"/>
  <c r="AC191" i="1" s="1"/>
  <c r="AD191" i="1" s="1"/>
  <c r="AE191" i="1" s="1"/>
  <c r="Z191" i="1"/>
  <c r="W191" i="1"/>
  <c r="V191" i="1"/>
  <c r="CT190" i="1"/>
  <c r="CU190" i="1" s="1"/>
  <c r="CV190" i="1" s="1"/>
  <c r="CP190" i="1"/>
  <c r="CQ190" i="1" s="1"/>
  <c r="CR190" i="1" s="1"/>
  <c r="CM190" i="1"/>
  <c r="CN190" i="1" s="1"/>
  <c r="CC190" i="1"/>
  <c r="CD190" i="1" s="1"/>
  <c r="CE190" i="1" s="1"/>
  <c r="BU190" i="1"/>
  <c r="BV190" i="1" s="1"/>
  <c r="BP190" i="1"/>
  <c r="BQ190" i="1" s="1"/>
  <c r="BR190" i="1" s="1"/>
  <c r="BJ190" i="1"/>
  <c r="BH190" i="1"/>
  <c r="BI190" i="1" s="1"/>
  <c r="BA190" i="1"/>
  <c r="BB190" i="1" s="1"/>
  <c r="BC190" i="1" s="1"/>
  <c r="BD190" i="1" s="1"/>
  <c r="AZ190" i="1"/>
  <c r="AS190" i="1"/>
  <c r="AT190" i="1" s="1"/>
  <c r="AU190" i="1" s="1"/>
  <c r="AV190" i="1" s="1"/>
  <c r="AW190" i="1" s="1"/>
  <c r="AX190" i="1" s="1"/>
  <c r="AN190" i="1"/>
  <c r="AO190" i="1" s="1"/>
  <c r="AP190" i="1" s="1"/>
  <c r="AQ190" i="1" s="1"/>
  <c r="AG190" i="1"/>
  <c r="AF190" i="1"/>
  <c r="AB190" i="1"/>
  <c r="AC190" i="1" s="1"/>
  <c r="AD190" i="1" s="1"/>
  <c r="AE190" i="1" s="1"/>
  <c r="V190" i="1"/>
  <c r="U190" i="1"/>
  <c r="CT189" i="1"/>
  <c r="CU189" i="1" s="1"/>
  <c r="CV189" i="1" s="1"/>
  <c r="CP189" i="1"/>
  <c r="CQ189" i="1" s="1"/>
  <c r="CR189" i="1" s="1"/>
  <c r="CM189" i="1"/>
  <c r="CN189" i="1" s="1"/>
  <c r="CC189" i="1"/>
  <c r="CD189" i="1" s="1"/>
  <c r="CE189" i="1" s="1"/>
  <c r="BU189" i="1"/>
  <c r="BV189" i="1" s="1"/>
  <c r="BP189" i="1"/>
  <c r="BQ189" i="1" s="1"/>
  <c r="BR189" i="1" s="1"/>
  <c r="BO189" i="1"/>
  <c r="BJ189" i="1"/>
  <c r="BH189" i="1"/>
  <c r="BI189" i="1" s="1"/>
  <c r="BA189" i="1"/>
  <c r="BB189" i="1" s="1"/>
  <c r="BC189" i="1" s="1"/>
  <c r="BD189" i="1" s="1"/>
  <c r="AS189" i="1"/>
  <c r="AT189" i="1" s="1"/>
  <c r="AU189" i="1" s="1"/>
  <c r="AV189" i="1" s="1"/>
  <c r="AW189" i="1" s="1"/>
  <c r="AX189" i="1" s="1"/>
  <c r="AN189" i="1"/>
  <c r="AO189" i="1" s="1"/>
  <c r="AP189" i="1" s="1"/>
  <c r="AQ189" i="1" s="1"/>
  <c r="AG189" i="1"/>
  <c r="AF189" i="1"/>
  <c r="AB189" i="1"/>
  <c r="AC189" i="1" s="1"/>
  <c r="AD189" i="1" s="1"/>
  <c r="AE189" i="1" s="1"/>
  <c r="W189" i="1"/>
  <c r="V189" i="1"/>
  <c r="CT188" i="1"/>
  <c r="CU188" i="1" s="1"/>
  <c r="CV188" i="1" s="1"/>
  <c r="CP188" i="1"/>
  <c r="CQ188" i="1" s="1"/>
  <c r="CR188" i="1" s="1"/>
  <c r="CM188" i="1"/>
  <c r="CN188" i="1" s="1"/>
  <c r="CC188" i="1"/>
  <c r="CD188" i="1" s="1"/>
  <c r="CE188" i="1" s="1"/>
  <c r="BU188" i="1"/>
  <c r="BV188" i="1" s="1"/>
  <c r="BP188" i="1"/>
  <c r="BQ188" i="1" s="1"/>
  <c r="BR188" i="1" s="1"/>
  <c r="BJ188" i="1"/>
  <c r="BH188" i="1"/>
  <c r="BI188" i="1" s="1"/>
  <c r="BA188" i="1"/>
  <c r="BB188" i="1" s="1"/>
  <c r="BC188" i="1" s="1"/>
  <c r="BD188" i="1" s="1"/>
  <c r="AZ188" i="1"/>
  <c r="AS188" i="1"/>
  <c r="AT188" i="1" s="1"/>
  <c r="AU188" i="1" s="1"/>
  <c r="AV188" i="1" s="1"/>
  <c r="AW188" i="1" s="1"/>
  <c r="AX188" i="1" s="1"/>
  <c r="AN188" i="1"/>
  <c r="AO188" i="1" s="1"/>
  <c r="AP188" i="1" s="1"/>
  <c r="AQ188" i="1" s="1"/>
  <c r="AG188" i="1"/>
  <c r="AF188" i="1"/>
  <c r="AB188" i="1"/>
  <c r="AC188" i="1" s="1"/>
  <c r="AD188" i="1" s="1"/>
  <c r="AE188" i="1" s="1"/>
  <c r="W188" i="1"/>
  <c r="V188" i="1"/>
  <c r="U188" i="1"/>
  <c r="CT187" i="1"/>
  <c r="CU187" i="1" s="1"/>
  <c r="CV187" i="1" s="1"/>
  <c r="CP187" i="1"/>
  <c r="CQ187" i="1" s="1"/>
  <c r="CR187" i="1" s="1"/>
  <c r="CM187" i="1"/>
  <c r="CN187" i="1" s="1"/>
  <c r="CC187" i="1"/>
  <c r="CD187" i="1" s="1"/>
  <c r="CE187" i="1" s="1"/>
  <c r="BU187" i="1"/>
  <c r="BV187" i="1" s="1"/>
  <c r="BP187" i="1"/>
  <c r="BQ187" i="1" s="1"/>
  <c r="BR187" i="1" s="1"/>
  <c r="BJ187" i="1"/>
  <c r="BH187" i="1"/>
  <c r="BI187" i="1" s="1"/>
  <c r="BA187" i="1"/>
  <c r="BB187" i="1" s="1"/>
  <c r="BC187" i="1" s="1"/>
  <c r="BD187" i="1" s="1"/>
  <c r="AZ187" i="1"/>
  <c r="AS187" i="1"/>
  <c r="AT187" i="1" s="1"/>
  <c r="AU187" i="1" s="1"/>
  <c r="AV187" i="1" s="1"/>
  <c r="AW187" i="1" s="1"/>
  <c r="AX187" i="1" s="1"/>
  <c r="AN187" i="1"/>
  <c r="AO187" i="1" s="1"/>
  <c r="AP187" i="1" s="1"/>
  <c r="AQ187" i="1" s="1"/>
  <c r="AG187" i="1"/>
  <c r="AF187" i="1"/>
  <c r="AB187" i="1"/>
  <c r="AC187" i="1" s="1"/>
  <c r="AD187" i="1" s="1"/>
  <c r="AE187" i="1" s="1"/>
  <c r="W187" i="1"/>
  <c r="CT186" i="1"/>
  <c r="CU186" i="1" s="1"/>
  <c r="CV186" i="1" s="1"/>
  <c r="CP186" i="1"/>
  <c r="CQ186" i="1" s="1"/>
  <c r="CR186" i="1" s="1"/>
  <c r="CM186" i="1"/>
  <c r="CN186" i="1" s="1"/>
  <c r="CC186" i="1"/>
  <c r="CD186" i="1" s="1"/>
  <c r="CE186" i="1" s="1"/>
  <c r="BU186" i="1"/>
  <c r="BV186" i="1" s="1"/>
  <c r="BT186" i="1"/>
  <c r="BP186" i="1"/>
  <c r="BQ186" i="1" s="1"/>
  <c r="BR186" i="1" s="1"/>
  <c r="BJ186" i="1"/>
  <c r="BH186" i="1"/>
  <c r="BI186" i="1" s="1"/>
  <c r="BA186" i="1"/>
  <c r="BB186" i="1" s="1"/>
  <c r="BC186" i="1" s="1"/>
  <c r="BD186" i="1" s="1"/>
  <c r="AS186" i="1"/>
  <c r="AT186" i="1" s="1"/>
  <c r="AU186" i="1" s="1"/>
  <c r="AV186" i="1" s="1"/>
  <c r="AW186" i="1" s="1"/>
  <c r="AX186" i="1" s="1"/>
  <c r="AN186" i="1"/>
  <c r="AO186" i="1" s="1"/>
  <c r="AP186" i="1" s="1"/>
  <c r="AQ186" i="1" s="1"/>
  <c r="AG186" i="1"/>
  <c r="AF186" i="1"/>
  <c r="AB186" i="1"/>
  <c r="AC186" i="1" s="1"/>
  <c r="AD186" i="1" s="1"/>
  <c r="AE186" i="1" s="1"/>
  <c r="V186" i="1"/>
  <c r="CT185" i="1"/>
  <c r="CU185" i="1" s="1"/>
  <c r="CV185" i="1" s="1"/>
  <c r="CP185" i="1"/>
  <c r="CQ185" i="1" s="1"/>
  <c r="CR185" i="1" s="1"/>
  <c r="CM185" i="1"/>
  <c r="CN185" i="1" s="1"/>
  <c r="CC185" i="1"/>
  <c r="CD185" i="1" s="1"/>
  <c r="CE185" i="1" s="1"/>
  <c r="BU185" i="1"/>
  <c r="BV185" i="1" s="1"/>
  <c r="BP185" i="1"/>
  <c r="BQ185" i="1" s="1"/>
  <c r="BR185" i="1" s="1"/>
  <c r="BJ185" i="1"/>
  <c r="BH185" i="1"/>
  <c r="BI185" i="1" s="1"/>
  <c r="BA185" i="1"/>
  <c r="BB185" i="1" s="1"/>
  <c r="BC185" i="1" s="1"/>
  <c r="BD185" i="1" s="1"/>
  <c r="AS185" i="1"/>
  <c r="AT185" i="1" s="1"/>
  <c r="AU185" i="1" s="1"/>
  <c r="AV185" i="1" s="1"/>
  <c r="AW185" i="1" s="1"/>
  <c r="AX185" i="1" s="1"/>
  <c r="AN185" i="1"/>
  <c r="AO185" i="1" s="1"/>
  <c r="AP185" i="1" s="1"/>
  <c r="AQ185" i="1" s="1"/>
  <c r="AG185" i="1"/>
  <c r="AF185" i="1"/>
  <c r="AB185" i="1"/>
  <c r="AC185" i="1" s="1"/>
  <c r="AD185" i="1" s="1"/>
  <c r="AE185" i="1" s="1"/>
  <c r="W185" i="1"/>
  <c r="V185" i="1"/>
  <c r="U185" i="1"/>
  <c r="CT184" i="1"/>
  <c r="CU184" i="1" s="1"/>
  <c r="CV184" i="1" s="1"/>
  <c r="CP184" i="1"/>
  <c r="CQ184" i="1" s="1"/>
  <c r="CR184" i="1" s="1"/>
  <c r="CM184" i="1"/>
  <c r="CN184" i="1" s="1"/>
  <c r="CC184" i="1"/>
  <c r="CD184" i="1" s="1"/>
  <c r="CE184" i="1" s="1"/>
  <c r="BO184" i="1"/>
  <c r="BP184" i="1" s="1"/>
  <c r="BQ184" i="1" s="1"/>
  <c r="BR184" i="1" s="1"/>
  <c r="BJ184" i="1"/>
  <c r="BG184" i="1"/>
  <c r="BA184" i="1"/>
  <c r="BB184" i="1" s="1"/>
  <c r="BC184" i="1" s="1"/>
  <c r="BD184" i="1" s="1"/>
  <c r="AS184" i="1"/>
  <c r="AT184" i="1" s="1"/>
  <c r="AU184" i="1" s="1"/>
  <c r="AV184" i="1" s="1"/>
  <c r="AW184" i="1" s="1"/>
  <c r="AX184" i="1" s="1"/>
  <c r="AN184" i="1"/>
  <c r="AO184" i="1" s="1"/>
  <c r="AP184" i="1" s="1"/>
  <c r="AQ184" i="1" s="1"/>
  <c r="AG184" i="1"/>
  <c r="AF184" i="1"/>
  <c r="AB184" i="1"/>
  <c r="AC184" i="1" s="1"/>
  <c r="AD184" i="1" s="1"/>
  <c r="AE184" i="1" s="1"/>
  <c r="V184" i="1"/>
  <c r="U184" i="1"/>
  <c r="CT183" i="1"/>
  <c r="CU183" i="1" s="1"/>
  <c r="CV183" i="1" s="1"/>
  <c r="CP183" i="1"/>
  <c r="CQ183" i="1" s="1"/>
  <c r="CR183" i="1" s="1"/>
  <c r="CM183" i="1"/>
  <c r="CN183" i="1" s="1"/>
  <c r="CC183" i="1"/>
  <c r="CD183" i="1" s="1"/>
  <c r="CE183" i="1" s="1"/>
  <c r="BU183" i="1"/>
  <c r="BV183" i="1" s="1"/>
  <c r="BP183" i="1"/>
  <c r="BQ183" i="1" s="1"/>
  <c r="BR183" i="1" s="1"/>
  <c r="BJ183" i="1"/>
  <c r="BH183" i="1"/>
  <c r="BI183" i="1" s="1"/>
  <c r="BA183" i="1"/>
  <c r="BB183" i="1" s="1"/>
  <c r="BC183" i="1" s="1"/>
  <c r="BD183" i="1" s="1"/>
  <c r="AS183" i="1"/>
  <c r="AT183" i="1" s="1"/>
  <c r="AU183" i="1" s="1"/>
  <c r="AV183" i="1" s="1"/>
  <c r="AW183" i="1" s="1"/>
  <c r="AX183" i="1" s="1"/>
  <c r="AN183" i="1"/>
  <c r="AO183" i="1" s="1"/>
  <c r="AP183" i="1" s="1"/>
  <c r="AQ183" i="1" s="1"/>
  <c r="AG183" i="1"/>
  <c r="AF183" i="1"/>
  <c r="AB183" i="1"/>
  <c r="AC183" i="1" s="1"/>
  <c r="AD183" i="1" s="1"/>
  <c r="AE183" i="1" s="1"/>
  <c r="V183" i="1"/>
  <c r="CT182" i="1"/>
  <c r="CU182" i="1" s="1"/>
  <c r="CV182" i="1" s="1"/>
  <c r="CP182" i="1"/>
  <c r="CQ182" i="1" s="1"/>
  <c r="CR182" i="1" s="1"/>
  <c r="CM182" i="1"/>
  <c r="CN182" i="1" s="1"/>
  <c r="CC182" i="1"/>
  <c r="CD182" i="1" s="1"/>
  <c r="CE182" i="1" s="1"/>
  <c r="BU182" i="1"/>
  <c r="BV182" i="1" s="1"/>
  <c r="BP182" i="1"/>
  <c r="BQ182" i="1" s="1"/>
  <c r="BR182" i="1" s="1"/>
  <c r="BJ182" i="1"/>
  <c r="BH182" i="1"/>
  <c r="BI182" i="1" s="1"/>
  <c r="BA182" i="1"/>
  <c r="BB182" i="1" s="1"/>
  <c r="BC182" i="1" s="1"/>
  <c r="BD182" i="1" s="1"/>
  <c r="AS182" i="1"/>
  <c r="AT182" i="1" s="1"/>
  <c r="AU182" i="1" s="1"/>
  <c r="AV182" i="1" s="1"/>
  <c r="AW182" i="1" s="1"/>
  <c r="AX182" i="1" s="1"/>
  <c r="AN182" i="1"/>
  <c r="AO182" i="1" s="1"/>
  <c r="AP182" i="1" s="1"/>
  <c r="AQ182" i="1" s="1"/>
  <c r="AG182" i="1"/>
  <c r="AF182" i="1"/>
  <c r="AB182" i="1"/>
  <c r="AC182" i="1" s="1"/>
  <c r="AD182" i="1" s="1"/>
  <c r="AE182" i="1" s="1"/>
  <c r="W182" i="1"/>
  <c r="CT181" i="1"/>
  <c r="CU181" i="1" s="1"/>
  <c r="CV181" i="1" s="1"/>
  <c r="CP181" i="1"/>
  <c r="CQ181" i="1" s="1"/>
  <c r="CR181" i="1" s="1"/>
  <c r="CM181" i="1"/>
  <c r="CN181" i="1" s="1"/>
  <c r="CC181" i="1"/>
  <c r="CD181" i="1" s="1"/>
  <c r="CE181" i="1" s="1"/>
  <c r="BU181" i="1"/>
  <c r="BV181" i="1" s="1"/>
  <c r="BP181" i="1"/>
  <c r="BQ181" i="1" s="1"/>
  <c r="BR181" i="1" s="1"/>
  <c r="BJ181" i="1"/>
  <c r="BH181" i="1"/>
  <c r="BI181" i="1" s="1"/>
  <c r="BA181" i="1"/>
  <c r="BB181" i="1" s="1"/>
  <c r="BC181" i="1" s="1"/>
  <c r="BD181" i="1" s="1"/>
  <c r="AS181" i="1"/>
  <c r="AT181" i="1" s="1"/>
  <c r="AU181" i="1" s="1"/>
  <c r="AV181" i="1" s="1"/>
  <c r="AW181" i="1" s="1"/>
  <c r="AX181" i="1" s="1"/>
  <c r="AN181" i="1"/>
  <c r="AO181" i="1" s="1"/>
  <c r="AP181" i="1" s="1"/>
  <c r="AQ181" i="1" s="1"/>
  <c r="AG181" i="1"/>
  <c r="AF181" i="1"/>
  <c r="AB181" i="1"/>
  <c r="AC181" i="1" s="1"/>
  <c r="AD181" i="1" s="1"/>
  <c r="AE181" i="1" s="1"/>
  <c r="Z181" i="1"/>
  <c r="W181" i="1"/>
  <c r="V181" i="1"/>
  <c r="CT180" i="1"/>
  <c r="CU180" i="1" s="1"/>
  <c r="CV180" i="1" s="1"/>
  <c r="CP180" i="1"/>
  <c r="CQ180" i="1" s="1"/>
  <c r="CR180" i="1" s="1"/>
  <c r="CM180" i="1"/>
  <c r="CN180" i="1" s="1"/>
  <c r="CC180" i="1"/>
  <c r="CD180" i="1" s="1"/>
  <c r="CE180" i="1" s="1"/>
  <c r="BU180" i="1"/>
  <c r="BV180" i="1" s="1"/>
  <c r="BP180" i="1"/>
  <c r="BQ180" i="1" s="1"/>
  <c r="BR180" i="1" s="1"/>
  <c r="BJ180" i="1"/>
  <c r="BH180" i="1"/>
  <c r="BI180" i="1" s="1"/>
  <c r="BA180" i="1"/>
  <c r="BB180" i="1" s="1"/>
  <c r="BC180" i="1" s="1"/>
  <c r="BD180" i="1" s="1"/>
  <c r="AS180" i="1"/>
  <c r="AT180" i="1" s="1"/>
  <c r="AU180" i="1" s="1"/>
  <c r="AV180" i="1" s="1"/>
  <c r="AW180" i="1" s="1"/>
  <c r="AX180" i="1" s="1"/>
  <c r="AN180" i="1"/>
  <c r="AO180" i="1" s="1"/>
  <c r="AP180" i="1" s="1"/>
  <c r="AQ180" i="1" s="1"/>
  <c r="AG180" i="1"/>
  <c r="AF180" i="1"/>
  <c r="AB180" i="1"/>
  <c r="AC180" i="1" s="1"/>
  <c r="AD180" i="1" s="1"/>
  <c r="AE180" i="1" s="1"/>
  <c r="W180" i="1"/>
  <c r="V180" i="1"/>
  <c r="CT179" i="1"/>
  <c r="CU179" i="1" s="1"/>
  <c r="CV179" i="1" s="1"/>
  <c r="CP179" i="1"/>
  <c r="CQ179" i="1" s="1"/>
  <c r="CR179" i="1" s="1"/>
  <c r="CM179" i="1"/>
  <c r="CN179" i="1" s="1"/>
  <c r="CJ179" i="1"/>
  <c r="BU179" i="1"/>
  <c r="BV179" i="1" s="1"/>
  <c r="BP179" i="1"/>
  <c r="BQ179" i="1" s="1"/>
  <c r="BR179" i="1" s="1"/>
  <c r="BJ179" i="1"/>
  <c r="BH179" i="1"/>
  <c r="BI179" i="1" s="1"/>
  <c r="BA179" i="1"/>
  <c r="BB179" i="1" s="1"/>
  <c r="BC179" i="1" s="1"/>
  <c r="BD179" i="1" s="1"/>
  <c r="AZ179" i="1"/>
  <c r="AS179" i="1"/>
  <c r="AT179" i="1" s="1"/>
  <c r="AU179" i="1" s="1"/>
  <c r="AV179" i="1" s="1"/>
  <c r="AW179" i="1" s="1"/>
  <c r="AX179" i="1" s="1"/>
  <c r="AN179" i="1"/>
  <c r="AO179" i="1" s="1"/>
  <c r="AP179" i="1" s="1"/>
  <c r="AQ179" i="1" s="1"/>
  <c r="AG179" i="1"/>
  <c r="AF179" i="1"/>
  <c r="AB179" i="1"/>
  <c r="AC179" i="1" s="1"/>
  <c r="AD179" i="1" s="1"/>
  <c r="AE179" i="1" s="1"/>
  <c r="W179" i="1"/>
  <c r="V179" i="1"/>
  <c r="U179" i="1"/>
  <c r="CT178" i="1"/>
  <c r="CU178" i="1" s="1"/>
  <c r="CV178" i="1" s="1"/>
  <c r="CP178" i="1"/>
  <c r="CQ178" i="1" s="1"/>
  <c r="CR178" i="1" s="1"/>
  <c r="CM178" i="1"/>
  <c r="CN178" i="1" s="1"/>
  <c r="CC178" i="1"/>
  <c r="CD178" i="1" s="1"/>
  <c r="CE178" i="1" s="1"/>
  <c r="BU178" i="1"/>
  <c r="BV178" i="1" s="1"/>
  <c r="BP178" i="1"/>
  <c r="BQ178" i="1" s="1"/>
  <c r="BR178" i="1" s="1"/>
  <c r="BJ178" i="1"/>
  <c r="BH178" i="1"/>
  <c r="BI178" i="1" s="1"/>
  <c r="BA178" i="1"/>
  <c r="BB178" i="1" s="1"/>
  <c r="BC178" i="1" s="1"/>
  <c r="BD178" i="1" s="1"/>
  <c r="AZ178" i="1"/>
  <c r="AS178" i="1"/>
  <c r="AT178" i="1" s="1"/>
  <c r="AU178" i="1" s="1"/>
  <c r="AV178" i="1" s="1"/>
  <c r="AW178" i="1" s="1"/>
  <c r="AX178" i="1" s="1"/>
  <c r="AN178" i="1"/>
  <c r="AO178" i="1" s="1"/>
  <c r="AP178" i="1" s="1"/>
  <c r="AQ178" i="1" s="1"/>
  <c r="AG178" i="1"/>
  <c r="AF178" i="1"/>
  <c r="AB178" i="1"/>
  <c r="AC178" i="1" s="1"/>
  <c r="AD178" i="1" s="1"/>
  <c r="AE178" i="1" s="1"/>
  <c r="AA178" i="1"/>
  <c r="Z178" i="1"/>
  <c r="CT177" i="1"/>
  <c r="CU177" i="1" s="1"/>
  <c r="CV177" i="1" s="1"/>
  <c r="CP177" i="1"/>
  <c r="CQ177" i="1" s="1"/>
  <c r="CR177" i="1" s="1"/>
  <c r="CM177" i="1"/>
  <c r="CN177" i="1" s="1"/>
  <c r="CC177" i="1"/>
  <c r="CD177" i="1" s="1"/>
  <c r="CE177" i="1" s="1"/>
  <c r="BU177" i="1"/>
  <c r="BV177" i="1" s="1"/>
  <c r="BP177" i="1"/>
  <c r="BQ177" i="1" s="1"/>
  <c r="BR177" i="1" s="1"/>
  <c r="BJ177" i="1"/>
  <c r="BH177" i="1"/>
  <c r="BI177" i="1" s="1"/>
  <c r="BA177" i="1"/>
  <c r="BB177" i="1" s="1"/>
  <c r="BC177" i="1" s="1"/>
  <c r="BD177" i="1" s="1"/>
  <c r="AZ177" i="1"/>
  <c r="AS177" i="1"/>
  <c r="AT177" i="1" s="1"/>
  <c r="AU177" i="1" s="1"/>
  <c r="AV177" i="1" s="1"/>
  <c r="AW177" i="1" s="1"/>
  <c r="AX177" i="1" s="1"/>
  <c r="AN177" i="1"/>
  <c r="AO177" i="1" s="1"/>
  <c r="AP177" i="1" s="1"/>
  <c r="AQ177" i="1" s="1"/>
  <c r="AG177" i="1"/>
  <c r="AF177" i="1"/>
  <c r="AB177" i="1"/>
  <c r="AC177" i="1" s="1"/>
  <c r="AD177" i="1" s="1"/>
  <c r="AE177" i="1" s="1"/>
  <c r="W177" i="1"/>
  <c r="U177" i="1"/>
  <c r="CT176" i="1"/>
  <c r="CU176" i="1" s="1"/>
  <c r="CV176" i="1" s="1"/>
  <c r="CP176" i="1"/>
  <c r="CQ176" i="1" s="1"/>
  <c r="CR176" i="1" s="1"/>
  <c r="CM176" i="1"/>
  <c r="CN176" i="1" s="1"/>
  <c r="CC176" i="1"/>
  <c r="CD176" i="1" s="1"/>
  <c r="CE176" i="1" s="1"/>
  <c r="BU176" i="1"/>
  <c r="BV176" i="1" s="1"/>
  <c r="BP176" i="1"/>
  <c r="BQ176" i="1" s="1"/>
  <c r="BR176" i="1" s="1"/>
  <c r="BJ176" i="1"/>
  <c r="BH176" i="1"/>
  <c r="BI176" i="1" s="1"/>
  <c r="BA176" i="1"/>
  <c r="BB176" i="1" s="1"/>
  <c r="BC176" i="1" s="1"/>
  <c r="BD176" i="1" s="1"/>
  <c r="AZ176" i="1"/>
  <c r="AS176" i="1"/>
  <c r="AT176" i="1" s="1"/>
  <c r="AU176" i="1" s="1"/>
  <c r="AV176" i="1" s="1"/>
  <c r="AW176" i="1" s="1"/>
  <c r="AX176" i="1" s="1"/>
  <c r="AN176" i="1"/>
  <c r="AO176" i="1" s="1"/>
  <c r="AP176" i="1" s="1"/>
  <c r="AQ176" i="1" s="1"/>
  <c r="AG176" i="1"/>
  <c r="AF176" i="1"/>
  <c r="AB176" i="1"/>
  <c r="AC176" i="1" s="1"/>
  <c r="AD176" i="1" s="1"/>
  <c r="AE176" i="1" s="1"/>
  <c r="W176" i="1"/>
  <c r="CT175" i="1"/>
  <c r="CU175" i="1" s="1"/>
  <c r="CV175" i="1" s="1"/>
  <c r="CP175" i="1"/>
  <c r="CQ175" i="1" s="1"/>
  <c r="CR175" i="1" s="1"/>
  <c r="CM175" i="1"/>
  <c r="CN175" i="1" s="1"/>
  <c r="CC175" i="1"/>
  <c r="CD175" i="1" s="1"/>
  <c r="CE175" i="1" s="1"/>
  <c r="BU175" i="1"/>
  <c r="BV175" i="1" s="1"/>
  <c r="BP175" i="1"/>
  <c r="BQ175" i="1" s="1"/>
  <c r="BR175" i="1" s="1"/>
  <c r="BJ175" i="1"/>
  <c r="BH175" i="1"/>
  <c r="BI175" i="1" s="1"/>
  <c r="BA175" i="1"/>
  <c r="BB175" i="1" s="1"/>
  <c r="BC175" i="1" s="1"/>
  <c r="BD175" i="1" s="1"/>
  <c r="AS175" i="1"/>
  <c r="AT175" i="1" s="1"/>
  <c r="AU175" i="1" s="1"/>
  <c r="AV175" i="1" s="1"/>
  <c r="AW175" i="1" s="1"/>
  <c r="AX175" i="1" s="1"/>
  <c r="AN175" i="1"/>
  <c r="AO175" i="1" s="1"/>
  <c r="AP175" i="1" s="1"/>
  <c r="AQ175" i="1" s="1"/>
  <c r="AG175" i="1"/>
  <c r="AF175" i="1"/>
  <c r="AB175" i="1"/>
  <c r="AC175" i="1" s="1"/>
  <c r="AD175" i="1" s="1"/>
  <c r="AE175" i="1" s="1"/>
  <c r="V175" i="1"/>
  <c r="U175" i="1"/>
  <c r="CT174" i="1"/>
  <c r="CU174" i="1" s="1"/>
  <c r="CV174" i="1" s="1"/>
  <c r="CP174" i="1"/>
  <c r="CQ174" i="1" s="1"/>
  <c r="CR174" i="1" s="1"/>
  <c r="CM174" i="1"/>
  <c r="CN174" i="1" s="1"/>
  <c r="CC174" i="1"/>
  <c r="CD174" i="1" s="1"/>
  <c r="CE174" i="1" s="1"/>
  <c r="BU174" i="1"/>
  <c r="BV174" i="1" s="1"/>
  <c r="BP174" i="1"/>
  <c r="BQ174" i="1" s="1"/>
  <c r="BR174" i="1" s="1"/>
  <c r="BJ174" i="1"/>
  <c r="BH174" i="1"/>
  <c r="BI174" i="1" s="1"/>
  <c r="BA174" i="1"/>
  <c r="BB174" i="1" s="1"/>
  <c r="BC174" i="1" s="1"/>
  <c r="BD174" i="1" s="1"/>
  <c r="AZ174" i="1"/>
  <c r="AS174" i="1"/>
  <c r="AT174" i="1" s="1"/>
  <c r="AU174" i="1" s="1"/>
  <c r="AV174" i="1" s="1"/>
  <c r="AW174" i="1" s="1"/>
  <c r="AX174" i="1" s="1"/>
  <c r="AN174" i="1"/>
  <c r="AO174" i="1" s="1"/>
  <c r="AP174" i="1" s="1"/>
  <c r="AQ174" i="1" s="1"/>
  <c r="AG174" i="1"/>
  <c r="AF174" i="1"/>
  <c r="AB174" i="1"/>
  <c r="AC174" i="1" s="1"/>
  <c r="AD174" i="1" s="1"/>
  <c r="AE174" i="1" s="1"/>
  <c r="W174" i="1"/>
  <c r="V174" i="1"/>
  <c r="U174" i="1"/>
  <c r="CT173" i="1"/>
  <c r="CU173" i="1" s="1"/>
  <c r="CV173" i="1" s="1"/>
  <c r="CP173" i="1"/>
  <c r="CQ173" i="1" s="1"/>
  <c r="CR173" i="1" s="1"/>
  <c r="CM173" i="1"/>
  <c r="CN173" i="1" s="1"/>
  <c r="CC173" i="1"/>
  <c r="CD173" i="1" s="1"/>
  <c r="CE173" i="1" s="1"/>
  <c r="BU173" i="1"/>
  <c r="BV173" i="1" s="1"/>
  <c r="BP173" i="1"/>
  <c r="BQ173" i="1" s="1"/>
  <c r="BR173" i="1" s="1"/>
  <c r="BJ173" i="1"/>
  <c r="BH173" i="1"/>
  <c r="BI173" i="1" s="1"/>
  <c r="BA173" i="1"/>
  <c r="BB173" i="1" s="1"/>
  <c r="BC173" i="1" s="1"/>
  <c r="BD173" i="1" s="1"/>
  <c r="AZ173" i="1"/>
  <c r="AS173" i="1"/>
  <c r="AT173" i="1" s="1"/>
  <c r="AU173" i="1" s="1"/>
  <c r="AV173" i="1" s="1"/>
  <c r="AW173" i="1" s="1"/>
  <c r="AX173" i="1" s="1"/>
  <c r="AN173" i="1"/>
  <c r="AO173" i="1" s="1"/>
  <c r="AP173" i="1" s="1"/>
  <c r="AQ173" i="1" s="1"/>
  <c r="AG173" i="1"/>
  <c r="AF173" i="1"/>
  <c r="AB173" i="1"/>
  <c r="AC173" i="1" s="1"/>
  <c r="AD173" i="1" s="1"/>
  <c r="AE173" i="1" s="1"/>
  <c r="AA173" i="1"/>
  <c r="Z173" i="1"/>
  <c r="V173" i="1"/>
  <c r="CT172" i="1"/>
  <c r="CU172" i="1" s="1"/>
  <c r="CV172" i="1" s="1"/>
  <c r="CP172" i="1"/>
  <c r="CQ172" i="1" s="1"/>
  <c r="CR172" i="1" s="1"/>
  <c r="CM172" i="1"/>
  <c r="CN172" i="1" s="1"/>
  <c r="CC172" i="1"/>
  <c r="CD172" i="1" s="1"/>
  <c r="CE172" i="1" s="1"/>
  <c r="BU172" i="1"/>
  <c r="BV172" i="1" s="1"/>
  <c r="BP172" i="1"/>
  <c r="BQ172" i="1" s="1"/>
  <c r="BR172" i="1" s="1"/>
  <c r="BJ172" i="1"/>
  <c r="BH172" i="1"/>
  <c r="BI172" i="1" s="1"/>
  <c r="BA172" i="1"/>
  <c r="BB172" i="1" s="1"/>
  <c r="BC172" i="1" s="1"/>
  <c r="BD172" i="1" s="1"/>
  <c r="AS172" i="1"/>
  <c r="AT172" i="1" s="1"/>
  <c r="AU172" i="1" s="1"/>
  <c r="AV172" i="1" s="1"/>
  <c r="AW172" i="1" s="1"/>
  <c r="AX172" i="1" s="1"/>
  <c r="AN172" i="1"/>
  <c r="AO172" i="1" s="1"/>
  <c r="AP172" i="1" s="1"/>
  <c r="AQ172" i="1" s="1"/>
  <c r="AG172" i="1"/>
  <c r="AF172" i="1"/>
  <c r="AB172" i="1"/>
  <c r="AC172" i="1" s="1"/>
  <c r="AD172" i="1" s="1"/>
  <c r="AE172" i="1" s="1"/>
  <c r="W172" i="1"/>
  <c r="U172" i="1"/>
  <c r="CT171" i="1"/>
  <c r="CU171" i="1" s="1"/>
  <c r="CV171" i="1" s="1"/>
  <c r="CP171" i="1"/>
  <c r="CQ171" i="1" s="1"/>
  <c r="CR171" i="1" s="1"/>
  <c r="CM171" i="1"/>
  <c r="CN171" i="1" s="1"/>
  <c r="CC171" i="1"/>
  <c r="CD171" i="1" s="1"/>
  <c r="CE171" i="1" s="1"/>
  <c r="BU171" i="1"/>
  <c r="BV171" i="1" s="1"/>
  <c r="BP171" i="1"/>
  <c r="BQ171" i="1" s="1"/>
  <c r="BR171" i="1" s="1"/>
  <c r="BJ171" i="1"/>
  <c r="BH171" i="1"/>
  <c r="BI171" i="1" s="1"/>
  <c r="BA171" i="1"/>
  <c r="BB171" i="1" s="1"/>
  <c r="BC171" i="1" s="1"/>
  <c r="BD171" i="1" s="1"/>
  <c r="AS171" i="1"/>
  <c r="AT171" i="1" s="1"/>
  <c r="AU171" i="1" s="1"/>
  <c r="AV171" i="1" s="1"/>
  <c r="AW171" i="1" s="1"/>
  <c r="AX171" i="1" s="1"/>
  <c r="AN171" i="1"/>
  <c r="AO171" i="1" s="1"/>
  <c r="AP171" i="1" s="1"/>
  <c r="AQ171" i="1" s="1"/>
  <c r="AG171" i="1"/>
  <c r="AF171" i="1"/>
  <c r="AB171" i="1"/>
  <c r="AC171" i="1" s="1"/>
  <c r="AD171" i="1" s="1"/>
  <c r="AE171" i="1" s="1"/>
  <c r="W171" i="1"/>
  <c r="V171" i="1"/>
  <c r="U171" i="1"/>
  <c r="CT170" i="1"/>
  <c r="CU170" i="1" s="1"/>
  <c r="CV170" i="1" s="1"/>
  <c r="CP170" i="1"/>
  <c r="CQ170" i="1" s="1"/>
  <c r="CR170" i="1" s="1"/>
  <c r="CM170" i="1"/>
  <c r="CN170" i="1" s="1"/>
  <c r="CC170" i="1"/>
  <c r="CD170" i="1" s="1"/>
  <c r="CE170" i="1" s="1"/>
  <c r="BU170" i="1"/>
  <c r="BV170" i="1" s="1"/>
  <c r="BP170" i="1"/>
  <c r="BQ170" i="1" s="1"/>
  <c r="BR170" i="1" s="1"/>
  <c r="BO170" i="1"/>
  <c r="BJ170" i="1"/>
  <c r="BH170" i="1"/>
  <c r="BI170" i="1" s="1"/>
  <c r="BA170" i="1"/>
  <c r="BB170" i="1" s="1"/>
  <c r="BC170" i="1" s="1"/>
  <c r="BD170" i="1" s="1"/>
  <c r="AY170" i="1"/>
  <c r="AS170" i="1"/>
  <c r="AT170" i="1" s="1"/>
  <c r="AU170" i="1" s="1"/>
  <c r="AV170" i="1" s="1"/>
  <c r="AW170" i="1" s="1"/>
  <c r="AX170" i="1" s="1"/>
  <c r="AN170" i="1"/>
  <c r="AO170" i="1" s="1"/>
  <c r="AP170" i="1" s="1"/>
  <c r="AQ170" i="1" s="1"/>
  <c r="AG170" i="1"/>
  <c r="AF170" i="1"/>
  <c r="AB170" i="1"/>
  <c r="AC170" i="1" s="1"/>
  <c r="AD170" i="1" s="1"/>
  <c r="AE170" i="1" s="1"/>
  <c r="W170" i="1"/>
  <c r="V170" i="1"/>
  <c r="U170" i="1"/>
  <c r="CT169" i="1"/>
  <c r="CU169" i="1" s="1"/>
  <c r="CV169" i="1" s="1"/>
  <c r="CP169" i="1"/>
  <c r="CQ169" i="1" s="1"/>
  <c r="CR169" i="1" s="1"/>
  <c r="CM169" i="1"/>
  <c r="CN169" i="1" s="1"/>
  <c r="CC169" i="1"/>
  <c r="CD169" i="1" s="1"/>
  <c r="CE169" i="1" s="1"/>
  <c r="BU169" i="1"/>
  <c r="BV169" i="1" s="1"/>
  <c r="BP169" i="1"/>
  <c r="BQ169" i="1" s="1"/>
  <c r="BR169" i="1" s="1"/>
  <c r="BJ169" i="1"/>
  <c r="BH169" i="1"/>
  <c r="BI169" i="1" s="1"/>
  <c r="BA169" i="1"/>
  <c r="BB169" i="1" s="1"/>
  <c r="BC169" i="1" s="1"/>
  <c r="BD169" i="1" s="1"/>
  <c r="AZ169" i="1"/>
  <c r="AS169" i="1"/>
  <c r="AT169" i="1" s="1"/>
  <c r="AU169" i="1" s="1"/>
  <c r="AV169" i="1" s="1"/>
  <c r="AW169" i="1" s="1"/>
  <c r="AX169" i="1" s="1"/>
  <c r="AN169" i="1"/>
  <c r="AO169" i="1" s="1"/>
  <c r="AP169" i="1" s="1"/>
  <c r="AQ169" i="1" s="1"/>
  <c r="AG169" i="1"/>
  <c r="AF169" i="1"/>
  <c r="AB169" i="1"/>
  <c r="AC169" i="1" s="1"/>
  <c r="AD169" i="1" s="1"/>
  <c r="AE169" i="1" s="1"/>
  <c r="W169" i="1"/>
  <c r="V169" i="1"/>
  <c r="CT168" i="1"/>
  <c r="CU168" i="1" s="1"/>
  <c r="CV168" i="1" s="1"/>
  <c r="CP168" i="1"/>
  <c r="CQ168" i="1" s="1"/>
  <c r="CR168" i="1" s="1"/>
  <c r="CM168" i="1"/>
  <c r="CN168" i="1" s="1"/>
  <c r="CC168" i="1"/>
  <c r="CD168" i="1" s="1"/>
  <c r="CE168" i="1" s="1"/>
  <c r="BU168" i="1"/>
  <c r="BV168" i="1" s="1"/>
  <c r="BP168" i="1"/>
  <c r="BQ168" i="1" s="1"/>
  <c r="BR168" i="1" s="1"/>
  <c r="BJ168" i="1"/>
  <c r="BF168" i="1"/>
  <c r="BE168" i="1"/>
  <c r="AP168" i="6" s="1"/>
  <c r="AR168" i="6" s="1"/>
  <c r="AS168" i="6" s="1"/>
  <c r="AT168" i="6" s="1"/>
  <c r="AU168" i="6" s="1"/>
  <c r="BS168" i="6" s="1"/>
  <c r="I78" i="8" s="1"/>
  <c r="BA168" i="1"/>
  <c r="BB168" i="1" s="1"/>
  <c r="BC168" i="1" s="1"/>
  <c r="BD168" i="1" s="1"/>
  <c r="AZ168" i="1"/>
  <c r="AY168" i="1"/>
  <c r="AS168" i="1"/>
  <c r="AT168" i="1" s="1"/>
  <c r="AU168" i="1" s="1"/>
  <c r="AV168" i="1" s="1"/>
  <c r="AW168" i="1" s="1"/>
  <c r="AX168" i="1" s="1"/>
  <c r="AN168" i="1"/>
  <c r="AO168" i="1" s="1"/>
  <c r="AP168" i="1" s="1"/>
  <c r="AQ168" i="1" s="1"/>
  <c r="AG168" i="1"/>
  <c r="AF168" i="1"/>
  <c r="AB168" i="1"/>
  <c r="AC168" i="1" s="1"/>
  <c r="AD168" i="1" s="1"/>
  <c r="AE168" i="1" s="1"/>
  <c r="W168" i="1"/>
  <c r="V168" i="1"/>
  <c r="CT167" i="1"/>
  <c r="CU167" i="1" s="1"/>
  <c r="CV167" i="1" s="1"/>
  <c r="CP167" i="1"/>
  <c r="CQ167" i="1" s="1"/>
  <c r="CR167" i="1" s="1"/>
  <c r="CM167" i="1"/>
  <c r="CN167" i="1" s="1"/>
  <c r="CC167" i="1"/>
  <c r="CD167" i="1" s="1"/>
  <c r="CE167" i="1" s="1"/>
  <c r="BU167" i="1"/>
  <c r="BV167" i="1" s="1"/>
  <c r="BP167" i="1"/>
  <c r="BQ167" i="1" s="1"/>
  <c r="BR167" i="1" s="1"/>
  <c r="BJ167" i="1"/>
  <c r="BH167" i="1"/>
  <c r="BI167" i="1" s="1"/>
  <c r="BA167" i="1"/>
  <c r="BB167" i="1" s="1"/>
  <c r="BC167" i="1" s="1"/>
  <c r="BD167" i="1" s="1"/>
  <c r="AS167" i="1"/>
  <c r="AT167" i="1" s="1"/>
  <c r="AU167" i="1" s="1"/>
  <c r="AV167" i="1" s="1"/>
  <c r="AW167" i="1" s="1"/>
  <c r="AX167" i="1" s="1"/>
  <c r="AN167" i="1"/>
  <c r="AO167" i="1" s="1"/>
  <c r="AP167" i="1" s="1"/>
  <c r="AQ167" i="1" s="1"/>
  <c r="AG167" i="1"/>
  <c r="AF167" i="1"/>
  <c r="AB167" i="1"/>
  <c r="AC167" i="1" s="1"/>
  <c r="AD167" i="1" s="1"/>
  <c r="AE167" i="1" s="1"/>
  <c r="W167" i="1"/>
  <c r="U167" i="1"/>
  <c r="CT166" i="1"/>
  <c r="CU166" i="1" s="1"/>
  <c r="CV166" i="1" s="1"/>
  <c r="CP166" i="1"/>
  <c r="CQ166" i="1" s="1"/>
  <c r="CR166" i="1" s="1"/>
  <c r="CM166" i="1"/>
  <c r="CN166" i="1" s="1"/>
  <c r="CC166" i="1"/>
  <c r="CD166" i="1" s="1"/>
  <c r="CE166" i="1" s="1"/>
  <c r="BU166" i="1"/>
  <c r="BV166" i="1" s="1"/>
  <c r="BP166" i="1"/>
  <c r="BQ166" i="1" s="1"/>
  <c r="BR166" i="1" s="1"/>
  <c r="BO166" i="1"/>
  <c r="BJ166" i="1"/>
  <c r="BH166" i="1"/>
  <c r="BI166" i="1" s="1"/>
  <c r="BA166" i="1"/>
  <c r="BB166" i="1" s="1"/>
  <c r="BC166" i="1" s="1"/>
  <c r="BD166" i="1" s="1"/>
  <c r="AZ166" i="1"/>
  <c r="AS166" i="1"/>
  <c r="AT166" i="1" s="1"/>
  <c r="AU166" i="1" s="1"/>
  <c r="AV166" i="1" s="1"/>
  <c r="AW166" i="1" s="1"/>
  <c r="AX166" i="1" s="1"/>
  <c r="AN166" i="1"/>
  <c r="AO166" i="1" s="1"/>
  <c r="AP166" i="1" s="1"/>
  <c r="AQ166" i="1" s="1"/>
  <c r="AG166" i="1"/>
  <c r="AF166" i="1"/>
  <c r="AB166" i="1"/>
  <c r="AC166" i="1" s="1"/>
  <c r="AD166" i="1" s="1"/>
  <c r="AE166" i="1" s="1"/>
  <c r="W166" i="1"/>
  <c r="V166" i="1"/>
  <c r="U166" i="1"/>
  <c r="CT165" i="1"/>
  <c r="CU165" i="1" s="1"/>
  <c r="CV165" i="1" s="1"/>
  <c r="CP165" i="1"/>
  <c r="CQ165" i="1" s="1"/>
  <c r="CR165" i="1" s="1"/>
  <c r="CM165" i="1"/>
  <c r="CN165" i="1" s="1"/>
  <c r="CC165" i="1"/>
  <c r="CD165" i="1" s="1"/>
  <c r="CE165" i="1" s="1"/>
  <c r="BU165" i="1"/>
  <c r="BV165" i="1" s="1"/>
  <c r="BP165" i="1"/>
  <c r="BQ165" i="1" s="1"/>
  <c r="BR165" i="1" s="1"/>
  <c r="BJ165" i="1"/>
  <c r="BH165" i="1"/>
  <c r="BI165" i="1" s="1"/>
  <c r="BA165" i="1"/>
  <c r="BB165" i="1" s="1"/>
  <c r="BC165" i="1" s="1"/>
  <c r="BD165" i="1" s="1"/>
  <c r="AS165" i="1"/>
  <c r="AT165" i="1" s="1"/>
  <c r="AU165" i="1" s="1"/>
  <c r="AV165" i="1" s="1"/>
  <c r="AW165" i="1" s="1"/>
  <c r="AX165" i="1" s="1"/>
  <c r="AN165" i="1"/>
  <c r="AO165" i="1" s="1"/>
  <c r="AP165" i="1" s="1"/>
  <c r="AQ165" i="1" s="1"/>
  <c r="AG165" i="1"/>
  <c r="AF165" i="1"/>
  <c r="AB165" i="1"/>
  <c r="AC165" i="1" s="1"/>
  <c r="AD165" i="1" s="1"/>
  <c r="AE165" i="1" s="1"/>
  <c r="CT164" i="1"/>
  <c r="CU164" i="1" s="1"/>
  <c r="CV164" i="1" s="1"/>
  <c r="CP164" i="1"/>
  <c r="CQ164" i="1" s="1"/>
  <c r="CR164" i="1" s="1"/>
  <c r="CM164" i="1"/>
  <c r="CN164" i="1" s="1"/>
  <c r="CC164" i="1"/>
  <c r="CD164" i="1" s="1"/>
  <c r="CE164" i="1" s="1"/>
  <c r="BU164" i="1"/>
  <c r="BV164" i="1" s="1"/>
  <c r="BP164" i="1"/>
  <c r="BQ164" i="1" s="1"/>
  <c r="BR164" i="1" s="1"/>
  <c r="BJ164" i="1"/>
  <c r="BH164" i="1"/>
  <c r="BI164" i="1" s="1"/>
  <c r="BA164" i="1"/>
  <c r="BB164" i="1" s="1"/>
  <c r="BC164" i="1" s="1"/>
  <c r="BD164" i="1" s="1"/>
  <c r="AZ164" i="1"/>
  <c r="AS164" i="1"/>
  <c r="AT164" i="1" s="1"/>
  <c r="AU164" i="1" s="1"/>
  <c r="AV164" i="1" s="1"/>
  <c r="AW164" i="1" s="1"/>
  <c r="AX164" i="1" s="1"/>
  <c r="AN164" i="1"/>
  <c r="AO164" i="1" s="1"/>
  <c r="AP164" i="1" s="1"/>
  <c r="AQ164" i="1" s="1"/>
  <c r="AG164" i="1"/>
  <c r="AF164" i="1"/>
  <c r="AB164" i="1"/>
  <c r="AC164" i="1" s="1"/>
  <c r="AD164" i="1" s="1"/>
  <c r="AE164" i="1" s="1"/>
  <c r="X164" i="1"/>
  <c r="W164" i="1"/>
  <c r="U164" i="1"/>
  <c r="CT163" i="1"/>
  <c r="CU163" i="1" s="1"/>
  <c r="CV163" i="1" s="1"/>
  <c r="CP163" i="1"/>
  <c r="CQ163" i="1" s="1"/>
  <c r="CR163" i="1" s="1"/>
  <c r="CM163" i="1"/>
  <c r="CN163" i="1" s="1"/>
  <c r="CC163" i="1"/>
  <c r="CD163" i="1" s="1"/>
  <c r="CE163" i="1" s="1"/>
  <c r="BU163" i="1"/>
  <c r="BV163" i="1" s="1"/>
  <c r="BP163" i="1"/>
  <c r="BQ163" i="1" s="1"/>
  <c r="BR163" i="1" s="1"/>
  <c r="BJ163" i="1"/>
  <c r="BH163" i="1"/>
  <c r="BI163" i="1" s="1"/>
  <c r="BA163" i="1"/>
  <c r="BB163" i="1" s="1"/>
  <c r="BC163" i="1" s="1"/>
  <c r="BD163" i="1" s="1"/>
  <c r="AS163" i="1"/>
  <c r="AT163" i="1" s="1"/>
  <c r="AU163" i="1" s="1"/>
  <c r="AV163" i="1" s="1"/>
  <c r="AW163" i="1" s="1"/>
  <c r="AX163" i="1" s="1"/>
  <c r="AN163" i="1"/>
  <c r="AO163" i="1" s="1"/>
  <c r="AP163" i="1" s="1"/>
  <c r="AQ163" i="1" s="1"/>
  <c r="AG163" i="1"/>
  <c r="AF163" i="1"/>
  <c r="AB163" i="1"/>
  <c r="AC163" i="1" s="1"/>
  <c r="AD163" i="1" s="1"/>
  <c r="AE163" i="1" s="1"/>
  <c r="W163" i="1"/>
  <c r="V163" i="1"/>
  <c r="U163" i="1"/>
  <c r="CT162" i="1"/>
  <c r="CU162" i="1" s="1"/>
  <c r="CV162" i="1" s="1"/>
  <c r="CP162" i="1"/>
  <c r="CQ162" i="1" s="1"/>
  <c r="CR162" i="1" s="1"/>
  <c r="CM162" i="1"/>
  <c r="CN162" i="1" s="1"/>
  <c r="CC162" i="1"/>
  <c r="CD162" i="1" s="1"/>
  <c r="CE162" i="1" s="1"/>
  <c r="BU162" i="1"/>
  <c r="BV162" i="1" s="1"/>
  <c r="BP162" i="1"/>
  <c r="BQ162" i="1" s="1"/>
  <c r="BR162" i="1" s="1"/>
  <c r="BJ162" i="1"/>
  <c r="BH162" i="1"/>
  <c r="BI162" i="1" s="1"/>
  <c r="BA162" i="1"/>
  <c r="BB162" i="1" s="1"/>
  <c r="BC162" i="1" s="1"/>
  <c r="BD162" i="1" s="1"/>
  <c r="AS162" i="1"/>
  <c r="AT162" i="1" s="1"/>
  <c r="AU162" i="1" s="1"/>
  <c r="AV162" i="1" s="1"/>
  <c r="AW162" i="1" s="1"/>
  <c r="AX162" i="1" s="1"/>
  <c r="AN162" i="1"/>
  <c r="AO162" i="1" s="1"/>
  <c r="AP162" i="1" s="1"/>
  <c r="AQ162" i="1" s="1"/>
  <c r="AG162" i="1"/>
  <c r="AF162" i="1"/>
  <c r="AB162" i="1"/>
  <c r="AC162" i="1" s="1"/>
  <c r="AD162" i="1" s="1"/>
  <c r="AE162" i="1" s="1"/>
  <c r="AA162" i="1"/>
  <c r="Z162" i="1"/>
  <c r="W162" i="1"/>
  <c r="V162" i="1"/>
  <c r="CT161" i="1"/>
  <c r="CU161" i="1" s="1"/>
  <c r="CV161" i="1" s="1"/>
  <c r="CP161" i="1"/>
  <c r="CQ161" i="1" s="1"/>
  <c r="CR161" i="1" s="1"/>
  <c r="CM161" i="1"/>
  <c r="CN161" i="1" s="1"/>
  <c r="CC161" i="1"/>
  <c r="CD161" i="1" s="1"/>
  <c r="CE161" i="1" s="1"/>
  <c r="BU161" i="1"/>
  <c r="BV161" i="1" s="1"/>
  <c r="BP161" i="1"/>
  <c r="BQ161" i="1" s="1"/>
  <c r="BR161" i="1" s="1"/>
  <c r="BJ161" i="1"/>
  <c r="BH161" i="1"/>
  <c r="BI161" i="1" s="1"/>
  <c r="BA161" i="1"/>
  <c r="BB161" i="1" s="1"/>
  <c r="BC161" i="1" s="1"/>
  <c r="BD161" i="1" s="1"/>
  <c r="AS161" i="1"/>
  <c r="AT161" i="1" s="1"/>
  <c r="AU161" i="1" s="1"/>
  <c r="AV161" i="1" s="1"/>
  <c r="AW161" i="1" s="1"/>
  <c r="AX161" i="1" s="1"/>
  <c r="AN161" i="1"/>
  <c r="AO161" i="1" s="1"/>
  <c r="AP161" i="1" s="1"/>
  <c r="AQ161" i="1" s="1"/>
  <c r="AG161" i="1"/>
  <c r="AF161" i="1"/>
  <c r="AB161" i="1"/>
  <c r="AC161" i="1" s="1"/>
  <c r="AD161" i="1" s="1"/>
  <c r="AE161" i="1" s="1"/>
  <c r="W161" i="1"/>
  <c r="CT160" i="1"/>
  <c r="CU160" i="1" s="1"/>
  <c r="CV160" i="1" s="1"/>
  <c r="CP160" i="1"/>
  <c r="CQ160" i="1" s="1"/>
  <c r="CR160" i="1" s="1"/>
  <c r="CM160" i="1"/>
  <c r="CN160" i="1" s="1"/>
  <c r="CC160" i="1"/>
  <c r="CD160" i="1" s="1"/>
  <c r="CE160" i="1" s="1"/>
  <c r="BU160" i="1"/>
  <c r="BV160" i="1" s="1"/>
  <c r="BP160" i="1"/>
  <c r="BQ160" i="1" s="1"/>
  <c r="BR160" i="1" s="1"/>
  <c r="BJ160" i="1"/>
  <c r="BH160" i="1"/>
  <c r="BI160" i="1" s="1"/>
  <c r="BA160" i="1"/>
  <c r="BB160" i="1" s="1"/>
  <c r="BC160" i="1" s="1"/>
  <c r="BD160" i="1" s="1"/>
  <c r="AZ160" i="1"/>
  <c r="AS160" i="1"/>
  <c r="AT160" i="1" s="1"/>
  <c r="AU160" i="1" s="1"/>
  <c r="AV160" i="1" s="1"/>
  <c r="AW160" i="1" s="1"/>
  <c r="AX160" i="1" s="1"/>
  <c r="AN160" i="1"/>
  <c r="AO160" i="1" s="1"/>
  <c r="AP160" i="1" s="1"/>
  <c r="AQ160" i="1" s="1"/>
  <c r="AG160" i="1"/>
  <c r="AF160" i="1"/>
  <c r="AB160" i="1"/>
  <c r="AC160" i="1" s="1"/>
  <c r="AD160" i="1" s="1"/>
  <c r="AE160" i="1" s="1"/>
  <c r="Z160" i="1"/>
  <c r="W160" i="1"/>
  <c r="V160" i="1"/>
  <c r="U160" i="1"/>
  <c r="CT159" i="1"/>
  <c r="CU159" i="1" s="1"/>
  <c r="CV159" i="1" s="1"/>
  <c r="CP159" i="1"/>
  <c r="CQ159" i="1" s="1"/>
  <c r="CR159" i="1" s="1"/>
  <c r="CM159" i="1"/>
  <c r="CN159" i="1" s="1"/>
  <c r="CC159" i="1"/>
  <c r="CD159" i="1" s="1"/>
  <c r="CE159" i="1" s="1"/>
  <c r="BU159" i="1"/>
  <c r="BV159" i="1" s="1"/>
  <c r="BP159" i="1"/>
  <c r="BQ159" i="1" s="1"/>
  <c r="BR159" i="1" s="1"/>
  <c r="BJ159" i="1"/>
  <c r="BH159" i="1"/>
  <c r="BI159" i="1" s="1"/>
  <c r="BA159" i="1"/>
  <c r="BB159" i="1" s="1"/>
  <c r="BC159" i="1" s="1"/>
  <c r="BD159" i="1" s="1"/>
  <c r="AS159" i="1"/>
  <c r="AT159" i="1" s="1"/>
  <c r="AU159" i="1" s="1"/>
  <c r="AV159" i="1" s="1"/>
  <c r="AW159" i="1" s="1"/>
  <c r="AX159" i="1" s="1"/>
  <c r="AN159" i="1"/>
  <c r="AO159" i="1" s="1"/>
  <c r="AP159" i="1" s="1"/>
  <c r="AQ159" i="1" s="1"/>
  <c r="AG159" i="1"/>
  <c r="AF159" i="1"/>
  <c r="AB159" i="1"/>
  <c r="AC159" i="1" s="1"/>
  <c r="AD159" i="1" s="1"/>
  <c r="AE159" i="1" s="1"/>
  <c r="W159" i="1"/>
  <c r="V159" i="1"/>
  <c r="U159" i="1"/>
  <c r="CT158" i="1"/>
  <c r="CU158" i="1" s="1"/>
  <c r="CV158" i="1" s="1"/>
  <c r="CP158" i="1"/>
  <c r="CQ158" i="1" s="1"/>
  <c r="CR158" i="1" s="1"/>
  <c r="CM158" i="1"/>
  <c r="CN158" i="1" s="1"/>
  <c r="CC158" i="1"/>
  <c r="CD158" i="1" s="1"/>
  <c r="CE158" i="1" s="1"/>
  <c r="BU158" i="1"/>
  <c r="BV158" i="1" s="1"/>
  <c r="BP158" i="1"/>
  <c r="BQ158" i="1" s="1"/>
  <c r="BR158" i="1" s="1"/>
  <c r="BJ158" i="1"/>
  <c r="BH158" i="1"/>
  <c r="BI158" i="1" s="1"/>
  <c r="BA158" i="1"/>
  <c r="BB158" i="1" s="1"/>
  <c r="BC158" i="1" s="1"/>
  <c r="BD158" i="1" s="1"/>
  <c r="AZ158" i="1"/>
  <c r="AS158" i="1"/>
  <c r="AT158" i="1" s="1"/>
  <c r="AU158" i="1" s="1"/>
  <c r="AV158" i="1" s="1"/>
  <c r="AW158" i="1" s="1"/>
  <c r="AX158" i="1" s="1"/>
  <c r="AN158" i="1"/>
  <c r="AO158" i="1" s="1"/>
  <c r="AP158" i="1" s="1"/>
  <c r="AQ158" i="1" s="1"/>
  <c r="AG158" i="1"/>
  <c r="AF158" i="1"/>
  <c r="AB158" i="1"/>
  <c r="AC158" i="1" s="1"/>
  <c r="AD158" i="1" s="1"/>
  <c r="AE158" i="1" s="1"/>
  <c r="W158" i="1"/>
  <c r="V158" i="1"/>
  <c r="CT157" i="1"/>
  <c r="CU157" i="1" s="1"/>
  <c r="CV157" i="1" s="1"/>
  <c r="CP157" i="1"/>
  <c r="CQ157" i="1" s="1"/>
  <c r="CR157" i="1" s="1"/>
  <c r="CM157" i="1"/>
  <c r="CN157" i="1" s="1"/>
  <c r="CC157" i="1"/>
  <c r="CD157" i="1" s="1"/>
  <c r="CE157" i="1" s="1"/>
  <c r="BU157" i="1"/>
  <c r="BV157" i="1" s="1"/>
  <c r="BP157" i="1"/>
  <c r="BQ157" i="1" s="1"/>
  <c r="BR157" i="1" s="1"/>
  <c r="BJ157" i="1"/>
  <c r="BH157" i="1"/>
  <c r="BI157" i="1" s="1"/>
  <c r="BA157" i="1"/>
  <c r="BB157" i="1" s="1"/>
  <c r="BC157" i="1" s="1"/>
  <c r="BD157" i="1" s="1"/>
  <c r="AS157" i="1"/>
  <c r="AT157" i="1" s="1"/>
  <c r="AU157" i="1" s="1"/>
  <c r="AV157" i="1" s="1"/>
  <c r="AW157" i="1" s="1"/>
  <c r="AX157" i="1" s="1"/>
  <c r="AN157" i="1"/>
  <c r="AO157" i="1" s="1"/>
  <c r="AP157" i="1" s="1"/>
  <c r="AQ157" i="1" s="1"/>
  <c r="AG157" i="1"/>
  <c r="AF157" i="1"/>
  <c r="AB157" i="1"/>
  <c r="AC157" i="1" s="1"/>
  <c r="AD157" i="1" s="1"/>
  <c r="AE157" i="1" s="1"/>
  <c r="Z157" i="1"/>
  <c r="CT156" i="1"/>
  <c r="CU156" i="1" s="1"/>
  <c r="CV156" i="1" s="1"/>
  <c r="CP156" i="1"/>
  <c r="CQ156" i="1" s="1"/>
  <c r="CR156" i="1" s="1"/>
  <c r="CM156" i="1"/>
  <c r="CN156" i="1" s="1"/>
  <c r="CC156" i="1"/>
  <c r="CD156" i="1" s="1"/>
  <c r="CE156" i="1" s="1"/>
  <c r="BU156" i="1"/>
  <c r="BV156" i="1" s="1"/>
  <c r="BP156" i="1"/>
  <c r="BQ156" i="1" s="1"/>
  <c r="BR156" i="1" s="1"/>
  <c r="BJ156" i="1"/>
  <c r="BH156" i="1"/>
  <c r="BI156" i="1" s="1"/>
  <c r="BA156" i="1"/>
  <c r="BB156" i="1" s="1"/>
  <c r="BC156" i="1" s="1"/>
  <c r="BD156" i="1" s="1"/>
  <c r="AS156" i="1"/>
  <c r="AT156" i="1" s="1"/>
  <c r="AU156" i="1" s="1"/>
  <c r="AV156" i="1" s="1"/>
  <c r="AW156" i="1" s="1"/>
  <c r="AX156" i="1" s="1"/>
  <c r="AN156" i="1"/>
  <c r="AO156" i="1" s="1"/>
  <c r="AP156" i="1" s="1"/>
  <c r="AQ156" i="1" s="1"/>
  <c r="AG156" i="1"/>
  <c r="AF156" i="1"/>
  <c r="AB156" i="1"/>
  <c r="AC156" i="1" s="1"/>
  <c r="AD156" i="1" s="1"/>
  <c r="AE156" i="1" s="1"/>
  <c r="W156" i="1"/>
  <c r="CT155" i="1"/>
  <c r="CU155" i="1" s="1"/>
  <c r="CV155" i="1" s="1"/>
  <c r="CP155" i="1"/>
  <c r="CQ155" i="1" s="1"/>
  <c r="CR155" i="1" s="1"/>
  <c r="CM155" i="1"/>
  <c r="CN155" i="1" s="1"/>
  <c r="CC155" i="1"/>
  <c r="CD155" i="1" s="1"/>
  <c r="CE155" i="1" s="1"/>
  <c r="BU155" i="1"/>
  <c r="BV155" i="1" s="1"/>
  <c r="BP155" i="1"/>
  <c r="BQ155" i="1" s="1"/>
  <c r="BR155" i="1" s="1"/>
  <c r="BJ155" i="1"/>
  <c r="BH155" i="1"/>
  <c r="BI155" i="1" s="1"/>
  <c r="BA155" i="1"/>
  <c r="BB155" i="1" s="1"/>
  <c r="BC155" i="1" s="1"/>
  <c r="BD155" i="1" s="1"/>
  <c r="AS155" i="1"/>
  <c r="AT155" i="1" s="1"/>
  <c r="AU155" i="1" s="1"/>
  <c r="AV155" i="1" s="1"/>
  <c r="AW155" i="1" s="1"/>
  <c r="AX155" i="1" s="1"/>
  <c r="AN155" i="1"/>
  <c r="AO155" i="1" s="1"/>
  <c r="AP155" i="1" s="1"/>
  <c r="AQ155" i="1" s="1"/>
  <c r="AG155" i="1"/>
  <c r="AF155" i="1"/>
  <c r="AB155" i="1"/>
  <c r="AC155" i="1" s="1"/>
  <c r="AD155" i="1" s="1"/>
  <c r="AE155" i="1" s="1"/>
  <c r="W155" i="1"/>
  <c r="CT154" i="1"/>
  <c r="CU154" i="1" s="1"/>
  <c r="CV154" i="1" s="1"/>
  <c r="CP154" i="1"/>
  <c r="CQ154" i="1" s="1"/>
  <c r="CR154" i="1" s="1"/>
  <c r="CM154" i="1"/>
  <c r="CN154" i="1" s="1"/>
  <c r="CC154" i="1"/>
  <c r="CD154" i="1" s="1"/>
  <c r="CE154" i="1" s="1"/>
  <c r="BU154" i="1"/>
  <c r="BV154" i="1" s="1"/>
  <c r="BP154" i="1"/>
  <c r="BQ154" i="1" s="1"/>
  <c r="BR154" i="1" s="1"/>
  <c r="BO154" i="1"/>
  <c r="BJ154" i="1"/>
  <c r="BH154" i="1"/>
  <c r="BI154" i="1" s="1"/>
  <c r="BA154" i="1"/>
  <c r="BB154" i="1" s="1"/>
  <c r="BC154" i="1" s="1"/>
  <c r="BD154" i="1" s="1"/>
  <c r="AS154" i="1"/>
  <c r="AT154" i="1" s="1"/>
  <c r="AU154" i="1" s="1"/>
  <c r="AV154" i="1" s="1"/>
  <c r="AW154" i="1" s="1"/>
  <c r="AX154" i="1" s="1"/>
  <c r="AN154" i="1"/>
  <c r="AO154" i="1" s="1"/>
  <c r="AP154" i="1" s="1"/>
  <c r="AQ154" i="1" s="1"/>
  <c r="AG154" i="1"/>
  <c r="AF154" i="1"/>
  <c r="AB154" i="1"/>
  <c r="AC154" i="1" s="1"/>
  <c r="AD154" i="1" s="1"/>
  <c r="AE154" i="1" s="1"/>
  <c r="W154" i="1"/>
  <c r="V154" i="1"/>
  <c r="U154" i="1"/>
  <c r="CT153" i="1"/>
  <c r="CU153" i="1" s="1"/>
  <c r="CV153" i="1" s="1"/>
  <c r="CP153" i="1"/>
  <c r="CQ153" i="1" s="1"/>
  <c r="CR153" i="1" s="1"/>
  <c r="CM153" i="1"/>
  <c r="CN153" i="1" s="1"/>
  <c r="CC153" i="1"/>
  <c r="CD153" i="1" s="1"/>
  <c r="CE153" i="1" s="1"/>
  <c r="BU153" i="1"/>
  <c r="BV153" i="1" s="1"/>
  <c r="BP153" i="1"/>
  <c r="BQ153" i="1" s="1"/>
  <c r="BR153" i="1" s="1"/>
  <c r="BJ153" i="1"/>
  <c r="BH153" i="1"/>
  <c r="BI153" i="1" s="1"/>
  <c r="BA153" i="1"/>
  <c r="BB153" i="1" s="1"/>
  <c r="BC153" i="1" s="1"/>
  <c r="BD153" i="1" s="1"/>
  <c r="AS153" i="1"/>
  <c r="AT153" i="1" s="1"/>
  <c r="AU153" i="1" s="1"/>
  <c r="AV153" i="1" s="1"/>
  <c r="AW153" i="1" s="1"/>
  <c r="AX153" i="1" s="1"/>
  <c r="AN153" i="1"/>
  <c r="AO153" i="1" s="1"/>
  <c r="AP153" i="1" s="1"/>
  <c r="AQ153" i="1" s="1"/>
  <c r="AG153" i="1"/>
  <c r="AF153" i="1"/>
  <c r="AB153" i="1"/>
  <c r="AC153" i="1" s="1"/>
  <c r="AD153" i="1" s="1"/>
  <c r="AE153" i="1" s="1"/>
  <c r="W153" i="1"/>
  <c r="CT152" i="1"/>
  <c r="CU152" i="1" s="1"/>
  <c r="CV152" i="1" s="1"/>
  <c r="CP152" i="1"/>
  <c r="CQ152" i="1" s="1"/>
  <c r="CR152" i="1" s="1"/>
  <c r="CM152" i="1"/>
  <c r="CN152" i="1" s="1"/>
  <c r="CC152" i="1"/>
  <c r="CD152" i="1" s="1"/>
  <c r="CE152" i="1" s="1"/>
  <c r="BU152" i="1"/>
  <c r="BV152" i="1" s="1"/>
  <c r="BP152" i="1"/>
  <c r="BQ152" i="1" s="1"/>
  <c r="BR152" i="1" s="1"/>
  <c r="BO152" i="1"/>
  <c r="BJ152" i="1"/>
  <c r="BH152" i="1"/>
  <c r="BI152" i="1" s="1"/>
  <c r="BA152" i="1"/>
  <c r="BB152" i="1" s="1"/>
  <c r="BC152" i="1" s="1"/>
  <c r="BD152" i="1" s="1"/>
  <c r="AS152" i="1"/>
  <c r="AT152" i="1" s="1"/>
  <c r="AU152" i="1" s="1"/>
  <c r="AV152" i="1" s="1"/>
  <c r="AW152" i="1" s="1"/>
  <c r="AX152" i="1" s="1"/>
  <c r="AN152" i="1"/>
  <c r="AO152" i="1" s="1"/>
  <c r="AP152" i="1" s="1"/>
  <c r="AQ152" i="1" s="1"/>
  <c r="AG152" i="1"/>
  <c r="AF152" i="1"/>
  <c r="AB152" i="1"/>
  <c r="AC152" i="1" s="1"/>
  <c r="AD152" i="1" s="1"/>
  <c r="AE152" i="1" s="1"/>
  <c r="AA152" i="1"/>
  <c r="Z152" i="1"/>
  <c r="W152" i="1"/>
  <c r="V152" i="1"/>
  <c r="U152" i="1"/>
  <c r="CT151" i="1"/>
  <c r="CU151" i="1" s="1"/>
  <c r="CV151" i="1" s="1"/>
  <c r="CP151" i="1"/>
  <c r="CQ151" i="1" s="1"/>
  <c r="CR151" i="1" s="1"/>
  <c r="CM151" i="1"/>
  <c r="CN151" i="1" s="1"/>
  <c r="CC151" i="1"/>
  <c r="CD151" i="1" s="1"/>
  <c r="CE151" i="1" s="1"/>
  <c r="BU151" i="1"/>
  <c r="BV151" i="1" s="1"/>
  <c r="BP151" i="1"/>
  <c r="BQ151" i="1" s="1"/>
  <c r="BR151" i="1" s="1"/>
  <c r="BJ151" i="1"/>
  <c r="BH151" i="1"/>
  <c r="BI151" i="1" s="1"/>
  <c r="BA151" i="1"/>
  <c r="BB151" i="1" s="1"/>
  <c r="BC151" i="1" s="1"/>
  <c r="BD151" i="1" s="1"/>
  <c r="AZ151" i="1"/>
  <c r="AS151" i="1"/>
  <c r="AT151" i="1" s="1"/>
  <c r="AU151" i="1" s="1"/>
  <c r="AV151" i="1" s="1"/>
  <c r="AW151" i="1" s="1"/>
  <c r="AX151" i="1" s="1"/>
  <c r="AN151" i="1"/>
  <c r="AO151" i="1" s="1"/>
  <c r="AP151" i="1" s="1"/>
  <c r="AQ151" i="1" s="1"/>
  <c r="AG151" i="1"/>
  <c r="AF151" i="1"/>
  <c r="AB151" i="1"/>
  <c r="AC151" i="1" s="1"/>
  <c r="AD151" i="1" s="1"/>
  <c r="AE151" i="1" s="1"/>
  <c r="AA151" i="1"/>
  <c r="Z151" i="1"/>
  <c r="W151" i="1"/>
  <c r="U151" i="1"/>
  <c r="CT150" i="1"/>
  <c r="CU150" i="1" s="1"/>
  <c r="CV150" i="1" s="1"/>
  <c r="CP150" i="1"/>
  <c r="CQ150" i="1" s="1"/>
  <c r="CR150" i="1" s="1"/>
  <c r="CM150" i="1"/>
  <c r="CN150" i="1" s="1"/>
  <c r="CC150" i="1"/>
  <c r="CD150" i="1" s="1"/>
  <c r="CE150" i="1" s="1"/>
  <c r="BU150" i="1"/>
  <c r="BV150" i="1" s="1"/>
  <c r="BP150" i="1"/>
  <c r="BQ150" i="1" s="1"/>
  <c r="BR150" i="1" s="1"/>
  <c r="BJ150" i="1"/>
  <c r="BH150" i="1"/>
  <c r="BI150" i="1" s="1"/>
  <c r="BA150" i="1"/>
  <c r="BB150" i="1" s="1"/>
  <c r="BC150" i="1" s="1"/>
  <c r="BD150" i="1" s="1"/>
  <c r="AS150" i="1"/>
  <c r="AT150" i="1" s="1"/>
  <c r="AU150" i="1" s="1"/>
  <c r="AV150" i="1" s="1"/>
  <c r="AW150" i="1" s="1"/>
  <c r="AX150" i="1" s="1"/>
  <c r="AN150" i="1"/>
  <c r="AO150" i="1" s="1"/>
  <c r="AP150" i="1" s="1"/>
  <c r="AQ150" i="1" s="1"/>
  <c r="AG150" i="1"/>
  <c r="AF150" i="1"/>
  <c r="AB150" i="1"/>
  <c r="AC150" i="1" s="1"/>
  <c r="AD150" i="1" s="1"/>
  <c r="AE150" i="1" s="1"/>
  <c r="W150" i="1"/>
  <c r="U150" i="1"/>
  <c r="CT149" i="1"/>
  <c r="CU149" i="1" s="1"/>
  <c r="CV149" i="1" s="1"/>
  <c r="CP149" i="1"/>
  <c r="CQ149" i="1" s="1"/>
  <c r="CR149" i="1" s="1"/>
  <c r="CM149" i="1"/>
  <c r="CN149" i="1" s="1"/>
  <c r="CC149" i="1"/>
  <c r="CD149" i="1" s="1"/>
  <c r="CE149" i="1" s="1"/>
  <c r="BU149" i="1"/>
  <c r="BV149" i="1" s="1"/>
  <c r="BP149" i="1"/>
  <c r="BQ149" i="1" s="1"/>
  <c r="BR149" i="1" s="1"/>
  <c r="BJ149" i="1"/>
  <c r="BH149" i="1"/>
  <c r="BI149" i="1" s="1"/>
  <c r="BA149" i="1"/>
  <c r="BB149" i="1" s="1"/>
  <c r="BC149" i="1" s="1"/>
  <c r="BD149" i="1" s="1"/>
  <c r="AS149" i="1"/>
  <c r="AT149" i="1" s="1"/>
  <c r="AU149" i="1" s="1"/>
  <c r="AV149" i="1" s="1"/>
  <c r="AW149" i="1" s="1"/>
  <c r="AX149" i="1" s="1"/>
  <c r="AN149" i="1"/>
  <c r="AO149" i="1" s="1"/>
  <c r="AP149" i="1" s="1"/>
  <c r="AQ149" i="1" s="1"/>
  <c r="AG149" i="1"/>
  <c r="AF149" i="1"/>
  <c r="AB149" i="1"/>
  <c r="AC149" i="1" s="1"/>
  <c r="AD149" i="1" s="1"/>
  <c r="AE149" i="1" s="1"/>
  <c r="V149" i="1"/>
  <c r="CT148" i="1"/>
  <c r="CU148" i="1" s="1"/>
  <c r="CV148" i="1" s="1"/>
  <c r="CP148" i="1"/>
  <c r="CQ148" i="1" s="1"/>
  <c r="CR148" i="1" s="1"/>
  <c r="CM148" i="1"/>
  <c r="CN148" i="1" s="1"/>
  <c r="CC148" i="1"/>
  <c r="CD148" i="1" s="1"/>
  <c r="CE148" i="1" s="1"/>
  <c r="BU148" i="1"/>
  <c r="BV148" i="1" s="1"/>
  <c r="BP148" i="1"/>
  <c r="BQ148" i="1" s="1"/>
  <c r="BR148" i="1" s="1"/>
  <c r="BJ148" i="1"/>
  <c r="BH148" i="1"/>
  <c r="BI148" i="1" s="1"/>
  <c r="BA148" i="1"/>
  <c r="BB148" i="1" s="1"/>
  <c r="BC148" i="1" s="1"/>
  <c r="BD148" i="1" s="1"/>
  <c r="AZ148" i="1"/>
  <c r="AS148" i="1"/>
  <c r="AT148" i="1" s="1"/>
  <c r="AU148" i="1" s="1"/>
  <c r="AV148" i="1" s="1"/>
  <c r="AW148" i="1" s="1"/>
  <c r="AX148" i="1" s="1"/>
  <c r="AN148" i="1"/>
  <c r="AO148" i="1" s="1"/>
  <c r="AP148" i="1" s="1"/>
  <c r="AQ148" i="1" s="1"/>
  <c r="AG148" i="1"/>
  <c r="AF148" i="1"/>
  <c r="AB148" i="1"/>
  <c r="AC148" i="1" s="1"/>
  <c r="AD148" i="1" s="1"/>
  <c r="AE148" i="1" s="1"/>
  <c r="CT147" i="1"/>
  <c r="CU147" i="1" s="1"/>
  <c r="CV147" i="1" s="1"/>
  <c r="CP147" i="1"/>
  <c r="CQ147" i="1" s="1"/>
  <c r="CR147" i="1" s="1"/>
  <c r="CM147" i="1"/>
  <c r="CN147" i="1" s="1"/>
  <c r="CC147" i="1"/>
  <c r="CD147" i="1" s="1"/>
  <c r="CE147" i="1" s="1"/>
  <c r="BU147" i="1"/>
  <c r="BV147" i="1" s="1"/>
  <c r="BP147" i="1"/>
  <c r="BQ147" i="1" s="1"/>
  <c r="BR147" i="1" s="1"/>
  <c r="BJ147" i="1"/>
  <c r="BH147" i="1"/>
  <c r="BI147" i="1" s="1"/>
  <c r="BA147" i="1"/>
  <c r="BB147" i="1" s="1"/>
  <c r="BC147" i="1" s="1"/>
  <c r="BD147" i="1" s="1"/>
  <c r="AZ147" i="1"/>
  <c r="AS147" i="1"/>
  <c r="AT147" i="1" s="1"/>
  <c r="AU147" i="1" s="1"/>
  <c r="AV147" i="1" s="1"/>
  <c r="AW147" i="1" s="1"/>
  <c r="AX147" i="1" s="1"/>
  <c r="AN147" i="1"/>
  <c r="AO147" i="1" s="1"/>
  <c r="AP147" i="1" s="1"/>
  <c r="AQ147" i="1" s="1"/>
  <c r="AG147" i="1"/>
  <c r="AF147" i="1"/>
  <c r="AB147" i="1"/>
  <c r="AC147" i="1" s="1"/>
  <c r="AD147" i="1" s="1"/>
  <c r="AE147" i="1" s="1"/>
  <c r="V147" i="1"/>
  <c r="CT146" i="1"/>
  <c r="CU146" i="1" s="1"/>
  <c r="CV146" i="1" s="1"/>
  <c r="CP146" i="1"/>
  <c r="CQ146" i="1" s="1"/>
  <c r="CR146" i="1" s="1"/>
  <c r="CM146" i="1"/>
  <c r="CN146" i="1" s="1"/>
  <c r="CC146" i="1"/>
  <c r="CD146" i="1" s="1"/>
  <c r="CE146" i="1" s="1"/>
  <c r="BU146" i="1"/>
  <c r="BV146" i="1" s="1"/>
  <c r="BT146" i="1"/>
  <c r="BP146" i="1"/>
  <c r="BQ146" i="1" s="1"/>
  <c r="BR146" i="1" s="1"/>
  <c r="BJ146" i="1"/>
  <c r="BH146" i="1"/>
  <c r="BI146" i="1" s="1"/>
  <c r="BE146" i="1"/>
  <c r="BA146" i="1"/>
  <c r="BB146" i="1" s="1"/>
  <c r="BC146" i="1" s="1"/>
  <c r="BD146" i="1" s="1"/>
  <c r="AZ146" i="1"/>
  <c r="AS146" i="1"/>
  <c r="AT146" i="1" s="1"/>
  <c r="AU146" i="1" s="1"/>
  <c r="AV146" i="1" s="1"/>
  <c r="AW146" i="1" s="1"/>
  <c r="AX146" i="1" s="1"/>
  <c r="AN146" i="1"/>
  <c r="AO146" i="1" s="1"/>
  <c r="AP146" i="1" s="1"/>
  <c r="AQ146" i="1" s="1"/>
  <c r="AG146" i="1"/>
  <c r="AF146" i="1"/>
  <c r="AB146" i="1"/>
  <c r="AC146" i="1" s="1"/>
  <c r="AD146" i="1" s="1"/>
  <c r="AE146" i="1" s="1"/>
  <c r="W146" i="1"/>
  <c r="V146" i="1"/>
  <c r="U146" i="1"/>
  <c r="CT145" i="1"/>
  <c r="CU145" i="1" s="1"/>
  <c r="CV145" i="1" s="1"/>
  <c r="CP145" i="1"/>
  <c r="CQ145" i="1" s="1"/>
  <c r="CR145" i="1" s="1"/>
  <c r="CM145" i="1"/>
  <c r="CN145" i="1" s="1"/>
  <c r="CC145" i="1"/>
  <c r="CD145" i="1" s="1"/>
  <c r="CE145" i="1" s="1"/>
  <c r="BU145" i="1"/>
  <c r="BV145" i="1" s="1"/>
  <c r="BP145" i="1"/>
  <c r="BQ145" i="1" s="1"/>
  <c r="BR145" i="1" s="1"/>
  <c r="BJ145" i="1"/>
  <c r="BH145" i="1"/>
  <c r="BI145" i="1" s="1"/>
  <c r="BA145" i="1"/>
  <c r="BB145" i="1" s="1"/>
  <c r="BC145" i="1" s="1"/>
  <c r="BD145" i="1" s="1"/>
  <c r="AZ145" i="1"/>
  <c r="AS145" i="1"/>
  <c r="AT145" i="1" s="1"/>
  <c r="AU145" i="1" s="1"/>
  <c r="AV145" i="1" s="1"/>
  <c r="AW145" i="1" s="1"/>
  <c r="AX145" i="1" s="1"/>
  <c r="AN145" i="1"/>
  <c r="AO145" i="1" s="1"/>
  <c r="AP145" i="1" s="1"/>
  <c r="AQ145" i="1" s="1"/>
  <c r="AG145" i="1"/>
  <c r="AF145" i="1"/>
  <c r="AB145" i="1"/>
  <c r="AC145" i="1" s="1"/>
  <c r="AD145" i="1" s="1"/>
  <c r="AE145" i="1" s="1"/>
  <c r="W145" i="1"/>
  <c r="V145" i="1"/>
  <c r="U145" i="1"/>
  <c r="CT144" i="1"/>
  <c r="CU144" i="1" s="1"/>
  <c r="CV144" i="1" s="1"/>
  <c r="CP144" i="1"/>
  <c r="CQ144" i="1" s="1"/>
  <c r="CR144" i="1" s="1"/>
  <c r="CM144" i="1"/>
  <c r="CN144" i="1" s="1"/>
  <c r="CC144" i="1"/>
  <c r="CD144" i="1" s="1"/>
  <c r="CE144" i="1" s="1"/>
  <c r="BU144" i="1"/>
  <c r="BV144" i="1" s="1"/>
  <c r="BP144" i="1"/>
  <c r="BQ144" i="1" s="1"/>
  <c r="BR144" i="1" s="1"/>
  <c r="BJ144" i="1"/>
  <c r="BH144" i="1"/>
  <c r="BI144" i="1" s="1"/>
  <c r="BA144" i="1"/>
  <c r="BB144" i="1" s="1"/>
  <c r="BC144" i="1" s="1"/>
  <c r="BD144" i="1" s="1"/>
  <c r="AS144" i="1"/>
  <c r="AT144" i="1" s="1"/>
  <c r="AU144" i="1" s="1"/>
  <c r="AV144" i="1" s="1"/>
  <c r="AW144" i="1" s="1"/>
  <c r="AX144" i="1" s="1"/>
  <c r="AN144" i="1"/>
  <c r="AO144" i="1" s="1"/>
  <c r="AP144" i="1" s="1"/>
  <c r="AQ144" i="1" s="1"/>
  <c r="AG144" i="1"/>
  <c r="AF144" i="1"/>
  <c r="AB144" i="1"/>
  <c r="AC144" i="1" s="1"/>
  <c r="AD144" i="1" s="1"/>
  <c r="AE144" i="1" s="1"/>
  <c r="W144" i="1"/>
  <c r="U144" i="1"/>
  <c r="CT143" i="1"/>
  <c r="CU143" i="1" s="1"/>
  <c r="CV143" i="1" s="1"/>
  <c r="CP143" i="1"/>
  <c r="CQ143" i="1" s="1"/>
  <c r="CR143" i="1" s="1"/>
  <c r="CM143" i="1"/>
  <c r="CN143" i="1" s="1"/>
  <c r="CI143" i="1"/>
  <c r="CJ143" i="1" s="1"/>
  <c r="BU143" i="1"/>
  <c r="BV143" i="1" s="1"/>
  <c r="BP143" i="1"/>
  <c r="BQ143" i="1" s="1"/>
  <c r="BR143" i="1" s="1"/>
  <c r="BJ143" i="1"/>
  <c r="BH143" i="1"/>
  <c r="BI143" i="1" s="1"/>
  <c r="BF143" i="1"/>
  <c r="BE143" i="1"/>
  <c r="BA143" i="1"/>
  <c r="BB143" i="1" s="1"/>
  <c r="BC143" i="1" s="1"/>
  <c r="BD143" i="1" s="1"/>
  <c r="AZ143" i="1"/>
  <c r="AS143" i="1"/>
  <c r="AT143" i="1" s="1"/>
  <c r="AU143" i="1" s="1"/>
  <c r="AV143" i="1" s="1"/>
  <c r="AW143" i="1" s="1"/>
  <c r="AX143" i="1" s="1"/>
  <c r="AN143" i="1"/>
  <c r="AO143" i="1" s="1"/>
  <c r="AP143" i="1" s="1"/>
  <c r="AQ143" i="1" s="1"/>
  <c r="AG143" i="1"/>
  <c r="AF143" i="1"/>
  <c r="AB143" i="1"/>
  <c r="AC143" i="1" s="1"/>
  <c r="AD143" i="1" s="1"/>
  <c r="AE143" i="1" s="1"/>
  <c r="X143" i="1"/>
  <c r="W143" i="1"/>
  <c r="U143" i="1"/>
  <c r="CT142" i="1"/>
  <c r="CU142" i="1" s="1"/>
  <c r="CV142" i="1" s="1"/>
  <c r="CP142" i="1"/>
  <c r="CQ142" i="1" s="1"/>
  <c r="CR142" i="1" s="1"/>
  <c r="CM142" i="1"/>
  <c r="CN142" i="1" s="1"/>
  <c r="CJ142" i="1"/>
  <c r="BU142" i="1"/>
  <c r="BV142" i="1" s="1"/>
  <c r="BP142" i="1"/>
  <c r="BQ142" i="1" s="1"/>
  <c r="BR142" i="1" s="1"/>
  <c r="BJ142" i="1"/>
  <c r="BH142" i="1"/>
  <c r="BI142" i="1" s="1"/>
  <c r="BA142" i="1"/>
  <c r="BB142" i="1" s="1"/>
  <c r="BC142" i="1" s="1"/>
  <c r="BD142" i="1" s="1"/>
  <c r="AZ142" i="1"/>
  <c r="AS142" i="1"/>
  <c r="AT142" i="1" s="1"/>
  <c r="AU142" i="1" s="1"/>
  <c r="AV142" i="1" s="1"/>
  <c r="AW142" i="1" s="1"/>
  <c r="AX142" i="1" s="1"/>
  <c r="AN142" i="1"/>
  <c r="AO142" i="1" s="1"/>
  <c r="AP142" i="1" s="1"/>
  <c r="AQ142" i="1" s="1"/>
  <c r="AG142" i="1"/>
  <c r="AF142" i="1"/>
  <c r="AB142" i="1"/>
  <c r="AC142" i="1" s="1"/>
  <c r="AD142" i="1" s="1"/>
  <c r="AE142" i="1" s="1"/>
  <c r="W142" i="1"/>
  <c r="CT141" i="1"/>
  <c r="CU141" i="1" s="1"/>
  <c r="CV141" i="1" s="1"/>
  <c r="CP141" i="1"/>
  <c r="CQ141" i="1" s="1"/>
  <c r="CR141" i="1" s="1"/>
  <c r="CM141" i="1"/>
  <c r="CN141" i="1" s="1"/>
  <c r="CJ141" i="1"/>
  <c r="BU141" i="1"/>
  <c r="BV141" i="1" s="1"/>
  <c r="BP141" i="1"/>
  <c r="BQ141" i="1" s="1"/>
  <c r="BR141" i="1" s="1"/>
  <c r="BJ141" i="1"/>
  <c r="BH141" i="1"/>
  <c r="BI141" i="1" s="1"/>
  <c r="BF141" i="1"/>
  <c r="BA141" i="1"/>
  <c r="BB141" i="1" s="1"/>
  <c r="BC141" i="1" s="1"/>
  <c r="BD141" i="1" s="1"/>
  <c r="AZ141" i="1"/>
  <c r="AS141" i="1"/>
  <c r="AT141" i="1" s="1"/>
  <c r="AU141" i="1" s="1"/>
  <c r="AV141" i="1" s="1"/>
  <c r="AW141" i="1" s="1"/>
  <c r="AX141" i="1" s="1"/>
  <c r="AN141" i="1"/>
  <c r="AO141" i="1" s="1"/>
  <c r="AP141" i="1" s="1"/>
  <c r="AQ141" i="1" s="1"/>
  <c r="AG141" i="1"/>
  <c r="AF141" i="1"/>
  <c r="AB141" i="1"/>
  <c r="AC141" i="1" s="1"/>
  <c r="AD141" i="1" s="1"/>
  <c r="AE141" i="1" s="1"/>
  <c r="W141" i="1"/>
  <c r="U141" i="1"/>
  <c r="CT140" i="1"/>
  <c r="CU140" i="1" s="1"/>
  <c r="CV140" i="1" s="1"/>
  <c r="CP140" i="1"/>
  <c r="CQ140" i="1" s="1"/>
  <c r="CR140" i="1" s="1"/>
  <c r="CM140" i="1"/>
  <c r="CN140" i="1" s="1"/>
  <c r="CC140" i="1"/>
  <c r="CD140" i="1" s="1"/>
  <c r="CE140" i="1" s="1"/>
  <c r="BU140" i="1"/>
  <c r="BV140" i="1" s="1"/>
  <c r="BP140" i="1"/>
  <c r="BQ140" i="1" s="1"/>
  <c r="BR140" i="1" s="1"/>
  <c r="BJ140" i="1"/>
  <c r="BH140" i="1"/>
  <c r="BI140" i="1" s="1"/>
  <c r="BA140" i="1"/>
  <c r="BB140" i="1" s="1"/>
  <c r="BC140" i="1" s="1"/>
  <c r="BD140" i="1" s="1"/>
  <c r="AZ140" i="1"/>
  <c r="AS140" i="1"/>
  <c r="AT140" i="1" s="1"/>
  <c r="AU140" i="1" s="1"/>
  <c r="AV140" i="1" s="1"/>
  <c r="AW140" i="1" s="1"/>
  <c r="AX140" i="1" s="1"/>
  <c r="AN140" i="1"/>
  <c r="AO140" i="1" s="1"/>
  <c r="AP140" i="1" s="1"/>
  <c r="AQ140" i="1" s="1"/>
  <c r="AG140" i="1"/>
  <c r="AF140" i="1"/>
  <c r="AB140" i="1"/>
  <c r="AC140" i="1" s="1"/>
  <c r="AD140" i="1" s="1"/>
  <c r="AE140" i="1" s="1"/>
  <c r="Z140" i="1"/>
  <c r="X140" i="1"/>
  <c r="W140" i="1"/>
  <c r="V140" i="1"/>
  <c r="U140" i="1"/>
  <c r="CT139" i="1"/>
  <c r="CU139" i="1" s="1"/>
  <c r="CV139" i="1" s="1"/>
  <c r="CP139" i="1"/>
  <c r="CQ139" i="1" s="1"/>
  <c r="CR139" i="1" s="1"/>
  <c r="CM139" i="1"/>
  <c r="CN139" i="1" s="1"/>
  <c r="CC139" i="1"/>
  <c r="CD139" i="1" s="1"/>
  <c r="CE139" i="1" s="1"/>
  <c r="BU139" i="1"/>
  <c r="BV139" i="1" s="1"/>
  <c r="BP139" i="1"/>
  <c r="BQ139" i="1" s="1"/>
  <c r="BR139" i="1" s="1"/>
  <c r="BJ139" i="1"/>
  <c r="BH139" i="1"/>
  <c r="BI139" i="1" s="1"/>
  <c r="BA139" i="1"/>
  <c r="BB139" i="1" s="1"/>
  <c r="BC139" i="1" s="1"/>
  <c r="BD139" i="1" s="1"/>
  <c r="AS139" i="1"/>
  <c r="AT139" i="1" s="1"/>
  <c r="AU139" i="1" s="1"/>
  <c r="AV139" i="1" s="1"/>
  <c r="AW139" i="1" s="1"/>
  <c r="AX139" i="1" s="1"/>
  <c r="AN139" i="1"/>
  <c r="AO139" i="1" s="1"/>
  <c r="AP139" i="1" s="1"/>
  <c r="AQ139" i="1" s="1"/>
  <c r="AG139" i="1"/>
  <c r="AF139" i="1"/>
  <c r="AB139" i="1"/>
  <c r="AC139" i="1" s="1"/>
  <c r="AD139" i="1" s="1"/>
  <c r="AE139" i="1" s="1"/>
  <c r="Z139" i="1"/>
  <c r="W139" i="1"/>
  <c r="CT138" i="1"/>
  <c r="CU138" i="1" s="1"/>
  <c r="CV138" i="1" s="1"/>
  <c r="CP138" i="1"/>
  <c r="CQ138" i="1" s="1"/>
  <c r="CR138" i="1" s="1"/>
  <c r="CM138" i="1"/>
  <c r="CN138" i="1" s="1"/>
  <c r="CC138" i="1"/>
  <c r="CD138" i="1" s="1"/>
  <c r="CE138" i="1" s="1"/>
  <c r="BU138" i="1"/>
  <c r="BV138" i="1" s="1"/>
  <c r="BP138" i="1"/>
  <c r="BQ138" i="1" s="1"/>
  <c r="BR138" i="1" s="1"/>
  <c r="BJ138" i="1"/>
  <c r="BH138" i="1"/>
  <c r="BI138" i="1" s="1"/>
  <c r="BA138" i="1"/>
  <c r="BB138" i="1" s="1"/>
  <c r="BC138" i="1" s="1"/>
  <c r="BD138" i="1" s="1"/>
  <c r="AS138" i="1"/>
  <c r="AT138" i="1" s="1"/>
  <c r="AU138" i="1" s="1"/>
  <c r="AV138" i="1" s="1"/>
  <c r="AW138" i="1" s="1"/>
  <c r="AX138" i="1" s="1"/>
  <c r="AN138" i="1"/>
  <c r="AO138" i="1" s="1"/>
  <c r="AP138" i="1" s="1"/>
  <c r="AQ138" i="1" s="1"/>
  <c r="AG138" i="1"/>
  <c r="AF138" i="1"/>
  <c r="AB138" i="1"/>
  <c r="AC138" i="1" s="1"/>
  <c r="AD138" i="1" s="1"/>
  <c r="AE138" i="1" s="1"/>
  <c r="Z138" i="1"/>
  <c r="W138" i="1"/>
  <c r="U138" i="1"/>
  <c r="CT137" i="1"/>
  <c r="CU137" i="1" s="1"/>
  <c r="CV137" i="1" s="1"/>
  <c r="CP137" i="1"/>
  <c r="CQ137" i="1" s="1"/>
  <c r="CR137" i="1" s="1"/>
  <c r="CM137" i="1"/>
  <c r="CN137" i="1" s="1"/>
  <c r="CC137" i="1"/>
  <c r="CD137" i="1" s="1"/>
  <c r="CE137" i="1" s="1"/>
  <c r="BU137" i="1"/>
  <c r="BV137" i="1" s="1"/>
  <c r="BP137" i="1"/>
  <c r="BQ137" i="1" s="1"/>
  <c r="BR137" i="1" s="1"/>
  <c r="BJ137" i="1"/>
  <c r="BH137" i="1"/>
  <c r="BI137" i="1" s="1"/>
  <c r="BA137" i="1"/>
  <c r="BB137" i="1" s="1"/>
  <c r="BC137" i="1" s="1"/>
  <c r="BD137" i="1" s="1"/>
  <c r="AS137" i="1"/>
  <c r="AT137" i="1" s="1"/>
  <c r="AU137" i="1" s="1"/>
  <c r="AV137" i="1" s="1"/>
  <c r="AW137" i="1" s="1"/>
  <c r="AX137" i="1" s="1"/>
  <c r="AN137" i="1"/>
  <c r="AO137" i="1" s="1"/>
  <c r="AP137" i="1" s="1"/>
  <c r="AQ137" i="1" s="1"/>
  <c r="AG137" i="1"/>
  <c r="AF137" i="1"/>
  <c r="AB137" i="1"/>
  <c r="AC137" i="1" s="1"/>
  <c r="AD137" i="1" s="1"/>
  <c r="AE137" i="1" s="1"/>
  <c r="Z137" i="1"/>
  <c r="W137" i="1"/>
  <c r="V137" i="1"/>
  <c r="U137" i="1"/>
  <c r="CT136" i="1"/>
  <c r="CU136" i="1" s="1"/>
  <c r="CV136" i="1" s="1"/>
  <c r="CP136" i="1"/>
  <c r="CQ136" i="1" s="1"/>
  <c r="CR136" i="1" s="1"/>
  <c r="CM136" i="1"/>
  <c r="CN136" i="1" s="1"/>
  <c r="CI136" i="1"/>
  <c r="CJ136" i="1" s="1"/>
  <c r="BU136" i="1"/>
  <c r="BV136" i="1" s="1"/>
  <c r="BP136" i="1"/>
  <c r="BQ136" i="1" s="1"/>
  <c r="BR136" i="1" s="1"/>
  <c r="BJ136" i="1"/>
  <c r="BH136" i="1"/>
  <c r="BI136" i="1" s="1"/>
  <c r="BA136" i="1"/>
  <c r="BB136" i="1" s="1"/>
  <c r="BC136" i="1" s="1"/>
  <c r="BD136" i="1" s="1"/>
  <c r="AZ136" i="1"/>
  <c r="AS136" i="1"/>
  <c r="AT136" i="1" s="1"/>
  <c r="AU136" i="1" s="1"/>
  <c r="AV136" i="1" s="1"/>
  <c r="AW136" i="1" s="1"/>
  <c r="AX136" i="1" s="1"/>
  <c r="AN136" i="1"/>
  <c r="AO136" i="1" s="1"/>
  <c r="AP136" i="1" s="1"/>
  <c r="AQ136" i="1" s="1"/>
  <c r="AG136" i="1"/>
  <c r="AF136" i="1"/>
  <c r="AB136" i="1"/>
  <c r="AC136" i="1" s="1"/>
  <c r="AD136" i="1" s="1"/>
  <c r="AE136" i="1" s="1"/>
  <c r="X136" i="1"/>
  <c r="W136" i="1"/>
  <c r="V136" i="1"/>
  <c r="U136" i="1"/>
  <c r="CT135" i="1"/>
  <c r="CU135" i="1" s="1"/>
  <c r="CV135" i="1" s="1"/>
  <c r="CP135" i="1"/>
  <c r="CQ135" i="1" s="1"/>
  <c r="CR135" i="1" s="1"/>
  <c r="CM135" i="1"/>
  <c r="CN135" i="1" s="1"/>
  <c r="CC135" i="1"/>
  <c r="CD135" i="1" s="1"/>
  <c r="CE135" i="1" s="1"/>
  <c r="BU135" i="1"/>
  <c r="BV135" i="1" s="1"/>
  <c r="BP135" i="1"/>
  <c r="BQ135" i="1" s="1"/>
  <c r="BR135" i="1" s="1"/>
  <c r="BJ135" i="1"/>
  <c r="BH135" i="1"/>
  <c r="BI135" i="1" s="1"/>
  <c r="BA135" i="1"/>
  <c r="BB135" i="1" s="1"/>
  <c r="BC135" i="1" s="1"/>
  <c r="BD135" i="1" s="1"/>
  <c r="AZ135" i="1"/>
  <c r="AS135" i="1"/>
  <c r="AT135" i="1" s="1"/>
  <c r="AU135" i="1" s="1"/>
  <c r="AV135" i="1" s="1"/>
  <c r="AW135" i="1" s="1"/>
  <c r="AX135" i="1" s="1"/>
  <c r="AN135" i="1"/>
  <c r="AO135" i="1" s="1"/>
  <c r="AP135" i="1" s="1"/>
  <c r="AQ135" i="1" s="1"/>
  <c r="AG135" i="1"/>
  <c r="AF135" i="1"/>
  <c r="AB135" i="1"/>
  <c r="AC135" i="1" s="1"/>
  <c r="AD135" i="1" s="1"/>
  <c r="AE135" i="1" s="1"/>
  <c r="Z135" i="1"/>
  <c r="X135" i="1"/>
  <c r="W135" i="1"/>
  <c r="V135" i="1"/>
  <c r="CT134" i="1"/>
  <c r="CU134" i="1" s="1"/>
  <c r="CV134" i="1" s="1"/>
  <c r="CP134" i="1"/>
  <c r="CQ134" i="1" s="1"/>
  <c r="CR134" i="1" s="1"/>
  <c r="CM134" i="1"/>
  <c r="CN134" i="1" s="1"/>
  <c r="CC134" i="1"/>
  <c r="CD134" i="1" s="1"/>
  <c r="CE134" i="1" s="1"/>
  <c r="BU134" i="1"/>
  <c r="BV134" i="1" s="1"/>
  <c r="BP134" i="1"/>
  <c r="BQ134" i="1" s="1"/>
  <c r="BR134" i="1" s="1"/>
  <c r="BJ134" i="1"/>
  <c r="BH134" i="1"/>
  <c r="BI134" i="1" s="1"/>
  <c r="BA134" i="1"/>
  <c r="BB134" i="1" s="1"/>
  <c r="BC134" i="1" s="1"/>
  <c r="BD134" i="1" s="1"/>
  <c r="AS134" i="1"/>
  <c r="AT134" i="1" s="1"/>
  <c r="AU134" i="1" s="1"/>
  <c r="AV134" i="1" s="1"/>
  <c r="AW134" i="1" s="1"/>
  <c r="AX134" i="1" s="1"/>
  <c r="AN134" i="1"/>
  <c r="AO134" i="1" s="1"/>
  <c r="AP134" i="1" s="1"/>
  <c r="AQ134" i="1" s="1"/>
  <c r="AG134" i="1"/>
  <c r="AF134" i="1"/>
  <c r="AB134" i="1"/>
  <c r="AC134" i="1" s="1"/>
  <c r="AD134" i="1" s="1"/>
  <c r="AE134" i="1" s="1"/>
  <c r="X134" i="1"/>
  <c r="W134" i="1"/>
  <c r="CT133" i="1"/>
  <c r="CU133" i="1" s="1"/>
  <c r="CV133" i="1" s="1"/>
  <c r="CP133" i="1"/>
  <c r="CQ133" i="1" s="1"/>
  <c r="CR133" i="1" s="1"/>
  <c r="CM133" i="1"/>
  <c r="CN133" i="1" s="1"/>
  <c r="CC133" i="1"/>
  <c r="CD133" i="1" s="1"/>
  <c r="CE133" i="1" s="1"/>
  <c r="BU133" i="1"/>
  <c r="BV133" i="1" s="1"/>
  <c r="BP133" i="1"/>
  <c r="BQ133" i="1" s="1"/>
  <c r="BR133" i="1" s="1"/>
  <c r="BJ133" i="1"/>
  <c r="BH133" i="1"/>
  <c r="BI133" i="1" s="1"/>
  <c r="BA133" i="1"/>
  <c r="BB133" i="1" s="1"/>
  <c r="BC133" i="1" s="1"/>
  <c r="BD133" i="1" s="1"/>
  <c r="AZ133" i="1"/>
  <c r="AS133" i="1"/>
  <c r="AT133" i="1" s="1"/>
  <c r="AU133" i="1" s="1"/>
  <c r="AV133" i="1" s="1"/>
  <c r="AW133" i="1" s="1"/>
  <c r="AX133" i="1" s="1"/>
  <c r="AN133" i="1"/>
  <c r="AO133" i="1" s="1"/>
  <c r="AP133" i="1" s="1"/>
  <c r="AQ133" i="1" s="1"/>
  <c r="AG133" i="1"/>
  <c r="AF133" i="1"/>
  <c r="AB133" i="1"/>
  <c r="AC133" i="1" s="1"/>
  <c r="AD133" i="1" s="1"/>
  <c r="AE133" i="1" s="1"/>
  <c r="Z133" i="1"/>
  <c r="CT132" i="1"/>
  <c r="CU132" i="1" s="1"/>
  <c r="CV132" i="1" s="1"/>
  <c r="CP132" i="1"/>
  <c r="CQ132" i="1" s="1"/>
  <c r="CR132" i="1" s="1"/>
  <c r="CM132" i="1"/>
  <c r="CN132" i="1" s="1"/>
  <c r="CC132" i="1"/>
  <c r="CD132" i="1" s="1"/>
  <c r="CE132" i="1" s="1"/>
  <c r="BU132" i="1"/>
  <c r="BV132" i="1" s="1"/>
  <c r="BP132" i="1"/>
  <c r="BQ132" i="1" s="1"/>
  <c r="BR132" i="1" s="1"/>
  <c r="BJ132" i="1"/>
  <c r="BH132" i="1"/>
  <c r="BI132" i="1" s="1"/>
  <c r="BA132" i="1"/>
  <c r="BB132" i="1" s="1"/>
  <c r="BC132" i="1" s="1"/>
  <c r="BD132" i="1" s="1"/>
  <c r="AZ132" i="1"/>
  <c r="AS132" i="1"/>
  <c r="AT132" i="1" s="1"/>
  <c r="AU132" i="1" s="1"/>
  <c r="AV132" i="1" s="1"/>
  <c r="AW132" i="1" s="1"/>
  <c r="AX132" i="1" s="1"/>
  <c r="AN132" i="1"/>
  <c r="AO132" i="1" s="1"/>
  <c r="AP132" i="1" s="1"/>
  <c r="AQ132" i="1" s="1"/>
  <c r="AG132" i="1"/>
  <c r="AF132" i="1"/>
  <c r="AB132" i="1"/>
  <c r="AC132" i="1" s="1"/>
  <c r="AD132" i="1" s="1"/>
  <c r="AE132" i="1" s="1"/>
  <c r="Z132" i="1"/>
  <c r="CT131" i="1"/>
  <c r="CU131" i="1" s="1"/>
  <c r="CV131" i="1" s="1"/>
  <c r="CP131" i="1"/>
  <c r="CQ131" i="1" s="1"/>
  <c r="CR131" i="1" s="1"/>
  <c r="CM131" i="1"/>
  <c r="CN131" i="1" s="1"/>
  <c r="CC131" i="1"/>
  <c r="CD131" i="1" s="1"/>
  <c r="CE131" i="1" s="1"/>
  <c r="BU131" i="1"/>
  <c r="BV131" i="1" s="1"/>
  <c r="BP131" i="1"/>
  <c r="BQ131" i="1" s="1"/>
  <c r="BR131" i="1" s="1"/>
  <c r="BJ131" i="1"/>
  <c r="BH131" i="1"/>
  <c r="BI131" i="1" s="1"/>
  <c r="BA131" i="1"/>
  <c r="BB131" i="1" s="1"/>
  <c r="BC131" i="1" s="1"/>
  <c r="BD131" i="1" s="1"/>
  <c r="AS131" i="1"/>
  <c r="AT131" i="1" s="1"/>
  <c r="AU131" i="1" s="1"/>
  <c r="AV131" i="1" s="1"/>
  <c r="AW131" i="1" s="1"/>
  <c r="AX131" i="1" s="1"/>
  <c r="AN131" i="1"/>
  <c r="AO131" i="1" s="1"/>
  <c r="AP131" i="1" s="1"/>
  <c r="AQ131" i="1" s="1"/>
  <c r="AG131" i="1"/>
  <c r="AF131" i="1"/>
  <c r="AB131" i="1"/>
  <c r="AC131" i="1" s="1"/>
  <c r="AD131" i="1" s="1"/>
  <c r="AE131" i="1" s="1"/>
  <c r="V131" i="1"/>
  <c r="S131" i="1"/>
  <c r="CT130" i="1"/>
  <c r="CU130" i="1" s="1"/>
  <c r="CV130" i="1" s="1"/>
  <c r="CP130" i="1"/>
  <c r="CQ130" i="1" s="1"/>
  <c r="CR130" i="1" s="1"/>
  <c r="CM130" i="1"/>
  <c r="CN130" i="1" s="1"/>
  <c r="CJ130" i="1"/>
  <c r="BU130" i="1"/>
  <c r="BV130" i="1" s="1"/>
  <c r="BP130" i="1"/>
  <c r="BQ130" i="1" s="1"/>
  <c r="BR130" i="1" s="1"/>
  <c r="BJ130" i="1"/>
  <c r="BH130" i="1"/>
  <c r="BI130" i="1" s="1"/>
  <c r="BA130" i="1"/>
  <c r="BB130" i="1" s="1"/>
  <c r="BC130" i="1" s="1"/>
  <c r="BD130" i="1" s="1"/>
  <c r="AZ130" i="1"/>
  <c r="AS130" i="1"/>
  <c r="AT130" i="1" s="1"/>
  <c r="AU130" i="1" s="1"/>
  <c r="AV130" i="1" s="1"/>
  <c r="AW130" i="1" s="1"/>
  <c r="AX130" i="1" s="1"/>
  <c r="AN130" i="1"/>
  <c r="AO130" i="1" s="1"/>
  <c r="AP130" i="1" s="1"/>
  <c r="AQ130" i="1" s="1"/>
  <c r="AG130" i="1"/>
  <c r="AF130" i="1"/>
  <c r="AB130" i="1"/>
  <c r="AC130" i="1" s="1"/>
  <c r="AD130" i="1" s="1"/>
  <c r="AE130" i="1" s="1"/>
  <c r="V130" i="1"/>
  <c r="CT129" i="1"/>
  <c r="CU129" i="1" s="1"/>
  <c r="CV129" i="1" s="1"/>
  <c r="CP129" i="1"/>
  <c r="CQ129" i="1" s="1"/>
  <c r="CR129" i="1" s="1"/>
  <c r="CM129" i="1"/>
  <c r="CN129" i="1" s="1"/>
  <c r="CC129" i="1"/>
  <c r="CD129" i="1" s="1"/>
  <c r="CE129" i="1" s="1"/>
  <c r="BU129" i="1"/>
  <c r="BV129" i="1" s="1"/>
  <c r="BP129" i="1"/>
  <c r="BQ129" i="1" s="1"/>
  <c r="BR129" i="1" s="1"/>
  <c r="BJ129" i="1"/>
  <c r="BH129" i="1"/>
  <c r="BI129" i="1" s="1"/>
  <c r="BA129" i="1"/>
  <c r="BB129" i="1" s="1"/>
  <c r="BC129" i="1" s="1"/>
  <c r="BD129" i="1" s="1"/>
  <c r="AS129" i="1"/>
  <c r="AT129" i="1" s="1"/>
  <c r="AU129" i="1" s="1"/>
  <c r="AV129" i="1" s="1"/>
  <c r="AW129" i="1" s="1"/>
  <c r="AX129" i="1" s="1"/>
  <c r="AN129" i="1"/>
  <c r="AO129" i="1" s="1"/>
  <c r="AP129" i="1" s="1"/>
  <c r="AQ129" i="1" s="1"/>
  <c r="AG129" i="1"/>
  <c r="AF129" i="1"/>
  <c r="AB129" i="1"/>
  <c r="AC129" i="1" s="1"/>
  <c r="AD129" i="1" s="1"/>
  <c r="AE129" i="1" s="1"/>
  <c r="W129" i="1"/>
  <c r="V129" i="1"/>
  <c r="CT128" i="1"/>
  <c r="CU128" i="1" s="1"/>
  <c r="CV128" i="1" s="1"/>
  <c r="CP128" i="1"/>
  <c r="CQ128" i="1" s="1"/>
  <c r="CR128" i="1" s="1"/>
  <c r="CM128" i="1"/>
  <c r="CN128" i="1" s="1"/>
  <c r="CC128" i="1"/>
  <c r="CD128" i="1" s="1"/>
  <c r="CE128" i="1" s="1"/>
  <c r="BU128" i="1"/>
  <c r="BV128" i="1" s="1"/>
  <c r="BP128" i="1"/>
  <c r="BQ128" i="1" s="1"/>
  <c r="BR128" i="1" s="1"/>
  <c r="BJ128" i="1"/>
  <c r="BH128" i="1"/>
  <c r="BI128" i="1" s="1"/>
  <c r="BA128" i="1"/>
  <c r="BB128" i="1" s="1"/>
  <c r="BC128" i="1" s="1"/>
  <c r="BD128" i="1" s="1"/>
  <c r="AS128" i="1"/>
  <c r="AT128" i="1" s="1"/>
  <c r="AU128" i="1" s="1"/>
  <c r="AV128" i="1" s="1"/>
  <c r="AW128" i="1" s="1"/>
  <c r="AX128" i="1" s="1"/>
  <c r="AN128" i="1"/>
  <c r="AO128" i="1" s="1"/>
  <c r="AP128" i="1" s="1"/>
  <c r="AQ128" i="1" s="1"/>
  <c r="AG128" i="1"/>
  <c r="AF128" i="1"/>
  <c r="AB128" i="1"/>
  <c r="AC128" i="1" s="1"/>
  <c r="AD128" i="1" s="1"/>
  <c r="AE128" i="1" s="1"/>
  <c r="Z128" i="1"/>
  <c r="W128" i="1"/>
  <c r="V128" i="1"/>
  <c r="CT127" i="1"/>
  <c r="CU127" i="1" s="1"/>
  <c r="CV127" i="1" s="1"/>
  <c r="CP127" i="1"/>
  <c r="CQ127" i="1" s="1"/>
  <c r="CR127" i="1" s="1"/>
  <c r="CM127" i="1"/>
  <c r="CN127" i="1" s="1"/>
  <c r="CC127" i="1"/>
  <c r="CD127" i="1" s="1"/>
  <c r="CE127" i="1" s="1"/>
  <c r="BU127" i="1"/>
  <c r="BV127" i="1" s="1"/>
  <c r="BP127" i="1"/>
  <c r="BQ127" i="1" s="1"/>
  <c r="BR127" i="1" s="1"/>
  <c r="BJ127" i="1"/>
  <c r="BH127" i="1"/>
  <c r="BI127" i="1" s="1"/>
  <c r="BA127" i="1"/>
  <c r="BB127" i="1" s="1"/>
  <c r="BC127" i="1" s="1"/>
  <c r="BD127" i="1" s="1"/>
  <c r="AS127" i="1"/>
  <c r="AT127" i="1" s="1"/>
  <c r="AU127" i="1" s="1"/>
  <c r="AV127" i="1" s="1"/>
  <c r="AW127" i="1" s="1"/>
  <c r="AX127" i="1" s="1"/>
  <c r="AN127" i="1"/>
  <c r="AO127" i="1" s="1"/>
  <c r="AP127" i="1" s="1"/>
  <c r="AQ127" i="1" s="1"/>
  <c r="AG127" i="1"/>
  <c r="AF127" i="1"/>
  <c r="AB127" i="1"/>
  <c r="AC127" i="1" s="1"/>
  <c r="AD127" i="1" s="1"/>
  <c r="AE127" i="1" s="1"/>
  <c r="W127" i="1"/>
  <c r="V127" i="1"/>
  <c r="CT126" i="1"/>
  <c r="CU126" i="1" s="1"/>
  <c r="CV126" i="1" s="1"/>
  <c r="CP126" i="1"/>
  <c r="CQ126" i="1" s="1"/>
  <c r="CR126" i="1" s="1"/>
  <c r="CM126" i="1"/>
  <c r="CN126" i="1" s="1"/>
  <c r="CC126" i="1"/>
  <c r="CD126" i="1" s="1"/>
  <c r="CE126" i="1" s="1"/>
  <c r="BU126" i="1"/>
  <c r="BV126" i="1" s="1"/>
  <c r="BP126" i="1"/>
  <c r="BQ126" i="1" s="1"/>
  <c r="BR126" i="1" s="1"/>
  <c r="BJ126" i="1"/>
  <c r="BH126" i="1"/>
  <c r="BI126" i="1" s="1"/>
  <c r="BA126" i="1"/>
  <c r="BB126" i="1" s="1"/>
  <c r="BC126" i="1" s="1"/>
  <c r="BD126" i="1" s="1"/>
  <c r="AZ126" i="1"/>
  <c r="AS126" i="1"/>
  <c r="AT126" i="1" s="1"/>
  <c r="AU126" i="1" s="1"/>
  <c r="AV126" i="1" s="1"/>
  <c r="AW126" i="1" s="1"/>
  <c r="AX126" i="1" s="1"/>
  <c r="AN126" i="1"/>
  <c r="AO126" i="1" s="1"/>
  <c r="AP126" i="1" s="1"/>
  <c r="AQ126" i="1" s="1"/>
  <c r="AG126" i="1"/>
  <c r="AF126" i="1"/>
  <c r="AB126" i="1"/>
  <c r="AC126" i="1" s="1"/>
  <c r="AD126" i="1" s="1"/>
  <c r="AE126" i="1" s="1"/>
  <c r="V126" i="1"/>
  <c r="CT125" i="1"/>
  <c r="CU125" i="1" s="1"/>
  <c r="CV125" i="1" s="1"/>
  <c r="CP125" i="1"/>
  <c r="CQ125" i="1" s="1"/>
  <c r="CR125" i="1" s="1"/>
  <c r="CM125" i="1"/>
  <c r="CN125" i="1" s="1"/>
  <c r="CC125" i="1"/>
  <c r="CD125" i="1" s="1"/>
  <c r="CE125" i="1" s="1"/>
  <c r="BU125" i="1"/>
  <c r="BV125" i="1" s="1"/>
  <c r="BP125" i="1"/>
  <c r="BQ125" i="1" s="1"/>
  <c r="BR125" i="1" s="1"/>
  <c r="BJ125" i="1"/>
  <c r="BH125" i="1"/>
  <c r="BI125" i="1" s="1"/>
  <c r="BA125" i="1"/>
  <c r="BB125" i="1" s="1"/>
  <c r="BC125" i="1" s="1"/>
  <c r="BD125" i="1" s="1"/>
  <c r="AS125" i="1"/>
  <c r="AT125" i="1" s="1"/>
  <c r="AU125" i="1" s="1"/>
  <c r="AV125" i="1" s="1"/>
  <c r="AW125" i="1" s="1"/>
  <c r="AX125" i="1" s="1"/>
  <c r="AN125" i="1"/>
  <c r="AO125" i="1" s="1"/>
  <c r="AP125" i="1" s="1"/>
  <c r="AQ125" i="1" s="1"/>
  <c r="AG125" i="1"/>
  <c r="AF125" i="1"/>
  <c r="AB125" i="1"/>
  <c r="AC125" i="1" s="1"/>
  <c r="AD125" i="1" s="1"/>
  <c r="AE125" i="1" s="1"/>
  <c r="Z125" i="1"/>
  <c r="W125" i="1"/>
  <c r="V125" i="1"/>
  <c r="CT124" i="1"/>
  <c r="CU124" i="1" s="1"/>
  <c r="CV124" i="1" s="1"/>
  <c r="CP124" i="1"/>
  <c r="CQ124" i="1" s="1"/>
  <c r="CR124" i="1" s="1"/>
  <c r="CM124" i="1"/>
  <c r="CN124" i="1" s="1"/>
  <c r="CC124" i="1"/>
  <c r="CD124" i="1" s="1"/>
  <c r="CE124" i="1" s="1"/>
  <c r="BU124" i="1"/>
  <c r="BV124" i="1" s="1"/>
  <c r="BP124" i="1"/>
  <c r="BQ124" i="1" s="1"/>
  <c r="BR124" i="1" s="1"/>
  <c r="BJ124" i="1"/>
  <c r="BH124" i="1"/>
  <c r="BI124" i="1" s="1"/>
  <c r="BA124" i="1"/>
  <c r="BB124" i="1" s="1"/>
  <c r="BC124" i="1" s="1"/>
  <c r="BD124" i="1" s="1"/>
  <c r="AZ124" i="1"/>
  <c r="AS124" i="1"/>
  <c r="AT124" i="1" s="1"/>
  <c r="AU124" i="1" s="1"/>
  <c r="AV124" i="1" s="1"/>
  <c r="AW124" i="1" s="1"/>
  <c r="AX124" i="1" s="1"/>
  <c r="AN124" i="1"/>
  <c r="AO124" i="1" s="1"/>
  <c r="AP124" i="1" s="1"/>
  <c r="AQ124" i="1" s="1"/>
  <c r="AG124" i="1"/>
  <c r="AF124" i="1"/>
  <c r="AB124" i="1"/>
  <c r="AC124" i="1" s="1"/>
  <c r="AD124" i="1" s="1"/>
  <c r="AE124" i="1" s="1"/>
  <c r="W124" i="1"/>
  <c r="V124" i="1"/>
  <c r="U124" i="1"/>
  <c r="CT123" i="1"/>
  <c r="CU123" i="1" s="1"/>
  <c r="CV123" i="1" s="1"/>
  <c r="CP123" i="1"/>
  <c r="CQ123" i="1" s="1"/>
  <c r="CR123" i="1" s="1"/>
  <c r="CM123" i="1"/>
  <c r="CN123" i="1" s="1"/>
  <c r="CC123" i="1"/>
  <c r="CD123" i="1" s="1"/>
  <c r="CE123" i="1" s="1"/>
  <c r="BU123" i="1"/>
  <c r="BV123" i="1" s="1"/>
  <c r="BP123" i="1"/>
  <c r="BQ123" i="1" s="1"/>
  <c r="BR123" i="1" s="1"/>
  <c r="BJ123" i="1"/>
  <c r="BH123" i="1"/>
  <c r="BI123" i="1" s="1"/>
  <c r="BA123" i="1"/>
  <c r="BB123" i="1" s="1"/>
  <c r="BC123" i="1" s="1"/>
  <c r="BD123" i="1" s="1"/>
  <c r="AZ123" i="1"/>
  <c r="AS123" i="1"/>
  <c r="AT123" i="1" s="1"/>
  <c r="AU123" i="1" s="1"/>
  <c r="AV123" i="1" s="1"/>
  <c r="AW123" i="1" s="1"/>
  <c r="AX123" i="1" s="1"/>
  <c r="AN123" i="1"/>
  <c r="AO123" i="1" s="1"/>
  <c r="AP123" i="1" s="1"/>
  <c r="AQ123" i="1" s="1"/>
  <c r="AG123" i="1"/>
  <c r="AF123" i="1"/>
  <c r="AB123" i="1"/>
  <c r="AC123" i="1" s="1"/>
  <c r="AD123" i="1" s="1"/>
  <c r="AE123" i="1" s="1"/>
  <c r="Z123" i="1"/>
  <c r="W123" i="1"/>
  <c r="V123" i="1"/>
  <c r="CT122" i="1"/>
  <c r="CU122" i="1" s="1"/>
  <c r="CV122" i="1" s="1"/>
  <c r="CP122" i="1"/>
  <c r="CQ122" i="1" s="1"/>
  <c r="CR122" i="1" s="1"/>
  <c r="CM122" i="1"/>
  <c r="CN122" i="1" s="1"/>
  <c r="CJ122" i="1"/>
  <c r="BU122" i="1"/>
  <c r="BV122" i="1" s="1"/>
  <c r="BP122" i="1"/>
  <c r="BQ122" i="1" s="1"/>
  <c r="BR122" i="1" s="1"/>
  <c r="BJ122" i="1"/>
  <c r="BH122" i="1"/>
  <c r="BI122" i="1" s="1"/>
  <c r="BF122" i="1"/>
  <c r="BA122" i="1"/>
  <c r="BB122" i="1" s="1"/>
  <c r="BC122" i="1" s="1"/>
  <c r="BD122" i="1" s="1"/>
  <c r="AZ122" i="1"/>
  <c r="AS122" i="1"/>
  <c r="AT122" i="1" s="1"/>
  <c r="AU122" i="1" s="1"/>
  <c r="AV122" i="1" s="1"/>
  <c r="AW122" i="1" s="1"/>
  <c r="AX122" i="1" s="1"/>
  <c r="AN122" i="1"/>
  <c r="AO122" i="1" s="1"/>
  <c r="AP122" i="1" s="1"/>
  <c r="AQ122" i="1" s="1"/>
  <c r="AG122" i="1"/>
  <c r="AF122" i="1"/>
  <c r="AB122" i="1"/>
  <c r="AC122" i="1" s="1"/>
  <c r="AD122" i="1" s="1"/>
  <c r="AE122" i="1" s="1"/>
  <c r="W122" i="1"/>
  <c r="V122" i="1"/>
  <c r="T122" i="1"/>
  <c r="CT121" i="1"/>
  <c r="CU121" i="1" s="1"/>
  <c r="CV121" i="1" s="1"/>
  <c r="CP121" i="1"/>
  <c r="CQ121" i="1" s="1"/>
  <c r="CR121" i="1" s="1"/>
  <c r="CM121" i="1"/>
  <c r="CN121" i="1" s="1"/>
  <c r="CI121" i="1"/>
  <c r="CJ121" i="1" s="1"/>
  <c r="BU121" i="1"/>
  <c r="BV121" i="1" s="1"/>
  <c r="BP121" i="1"/>
  <c r="BQ121" i="1" s="1"/>
  <c r="BR121" i="1" s="1"/>
  <c r="BJ121" i="1"/>
  <c r="BH121" i="1"/>
  <c r="BI121" i="1" s="1"/>
  <c r="BE121" i="1"/>
  <c r="BA121" i="1"/>
  <c r="BB121" i="1" s="1"/>
  <c r="BC121" i="1" s="1"/>
  <c r="BD121" i="1" s="1"/>
  <c r="AS121" i="1"/>
  <c r="AT121" i="1" s="1"/>
  <c r="AU121" i="1" s="1"/>
  <c r="AV121" i="1" s="1"/>
  <c r="AW121" i="1" s="1"/>
  <c r="AX121" i="1" s="1"/>
  <c r="AN121" i="1"/>
  <c r="AO121" i="1" s="1"/>
  <c r="AP121" i="1" s="1"/>
  <c r="AQ121" i="1" s="1"/>
  <c r="AG121" i="1"/>
  <c r="AF121" i="1"/>
  <c r="AB121" i="1"/>
  <c r="AC121" i="1" s="1"/>
  <c r="AD121" i="1" s="1"/>
  <c r="AE121" i="1" s="1"/>
  <c r="Z121" i="1"/>
  <c r="W121" i="1"/>
  <c r="V121" i="1"/>
  <c r="CT120" i="1"/>
  <c r="CU120" i="1" s="1"/>
  <c r="CV120" i="1" s="1"/>
  <c r="CP120" i="1"/>
  <c r="CQ120" i="1" s="1"/>
  <c r="CR120" i="1" s="1"/>
  <c r="CM120" i="1"/>
  <c r="CN120" i="1" s="1"/>
  <c r="CC120" i="1"/>
  <c r="CD120" i="1" s="1"/>
  <c r="CE120" i="1" s="1"/>
  <c r="BU120" i="1"/>
  <c r="BV120" i="1" s="1"/>
  <c r="BP120" i="1"/>
  <c r="BQ120" i="1" s="1"/>
  <c r="BR120" i="1" s="1"/>
  <c r="BJ120" i="1"/>
  <c r="BH120" i="1"/>
  <c r="BI120" i="1" s="1"/>
  <c r="BA120" i="1"/>
  <c r="BB120" i="1" s="1"/>
  <c r="BC120" i="1" s="1"/>
  <c r="BD120" i="1" s="1"/>
  <c r="AS120" i="1"/>
  <c r="AT120" i="1" s="1"/>
  <c r="AU120" i="1" s="1"/>
  <c r="AV120" i="1" s="1"/>
  <c r="AW120" i="1" s="1"/>
  <c r="AX120" i="1" s="1"/>
  <c r="AN120" i="1"/>
  <c r="AO120" i="1" s="1"/>
  <c r="AP120" i="1" s="1"/>
  <c r="AQ120" i="1" s="1"/>
  <c r="AG120" i="1"/>
  <c r="AF120" i="1"/>
  <c r="AB120" i="1"/>
  <c r="AC120" i="1" s="1"/>
  <c r="AD120" i="1" s="1"/>
  <c r="AE120" i="1" s="1"/>
  <c r="V120" i="1"/>
  <c r="CT119" i="1"/>
  <c r="CU119" i="1" s="1"/>
  <c r="CV119" i="1" s="1"/>
  <c r="CP119" i="1"/>
  <c r="CQ119" i="1" s="1"/>
  <c r="CR119" i="1" s="1"/>
  <c r="CM119" i="1"/>
  <c r="CN119" i="1" s="1"/>
  <c r="CC119" i="1"/>
  <c r="CD119" i="1" s="1"/>
  <c r="CE119" i="1" s="1"/>
  <c r="BU119" i="1"/>
  <c r="BV119" i="1" s="1"/>
  <c r="BP119" i="1"/>
  <c r="BQ119" i="1" s="1"/>
  <c r="BR119" i="1" s="1"/>
  <c r="BJ119" i="1"/>
  <c r="BH119" i="1"/>
  <c r="BI119" i="1" s="1"/>
  <c r="BA119" i="1"/>
  <c r="BB119" i="1" s="1"/>
  <c r="BC119" i="1" s="1"/>
  <c r="BD119" i="1" s="1"/>
  <c r="AZ119" i="1"/>
  <c r="AS119" i="1"/>
  <c r="AT119" i="1" s="1"/>
  <c r="AU119" i="1" s="1"/>
  <c r="AV119" i="1" s="1"/>
  <c r="AW119" i="1" s="1"/>
  <c r="AX119" i="1" s="1"/>
  <c r="AN119" i="1"/>
  <c r="AO119" i="1" s="1"/>
  <c r="AP119" i="1" s="1"/>
  <c r="AQ119" i="1" s="1"/>
  <c r="AG119" i="1"/>
  <c r="AF119" i="1"/>
  <c r="AB119" i="1"/>
  <c r="AC119" i="1" s="1"/>
  <c r="AD119" i="1" s="1"/>
  <c r="AE119" i="1" s="1"/>
  <c r="W119" i="1"/>
  <c r="V119" i="1"/>
  <c r="CT118" i="1"/>
  <c r="CU118" i="1" s="1"/>
  <c r="CV118" i="1" s="1"/>
  <c r="CP118" i="1"/>
  <c r="CQ118" i="1" s="1"/>
  <c r="CR118" i="1" s="1"/>
  <c r="CM118" i="1"/>
  <c r="CN118" i="1" s="1"/>
  <c r="CC118" i="1"/>
  <c r="CD118" i="1" s="1"/>
  <c r="CE118" i="1" s="1"/>
  <c r="BU118" i="1"/>
  <c r="BV118" i="1" s="1"/>
  <c r="BP118" i="1"/>
  <c r="BQ118" i="1" s="1"/>
  <c r="BR118" i="1" s="1"/>
  <c r="BJ118" i="1"/>
  <c r="BH118" i="1"/>
  <c r="BI118" i="1" s="1"/>
  <c r="BA118" i="1"/>
  <c r="BB118" i="1" s="1"/>
  <c r="BC118" i="1" s="1"/>
  <c r="BD118" i="1" s="1"/>
  <c r="AS118" i="1"/>
  <c r="AT118" i="1" s="1"/>
  <c r="AU118" i="1" s="1"/>
  <c r="AV118" i="1" s="1"/>
  <c r="AW118" i="1" s="1"/>
  <c r="AX118" i="1" s="1"/>
  <c r="AN118" i="1"/>
  <c r="AO118" i="1" s="1"/>
  <c r="AP118" i="1" s="1"/>
  <c r="AQ118" i="1" s="1"/>
  <c r="AG118" i="1"/>
  <c r="AF118" i="1"/>
  <c r="AB118" i="1"/>
  <c r="AC118" i="1" s="1"/>
  <c r="AD118" i="1" s="1"/>
  <c r="AE118" i="1" s="1"/>
  <c r="V118" i="1"/>
  <c r="CT117" i="1"/>
  <c r="CU117" i="1" s="1"/>
  <c r="CV117" i="1" s="1"/>
  <c r="CP117" i="1"/>
  <c r="CQ117" i="1" s="1"/>
  <c r="CR117" i="1" s="1"/>
  <c r="CM117" i="1"/>
  <c r="CN117" i="1" s="1"/>
  <c r="CC117" i="1"/>
  <c r="CD117" i="1" s="1"/>
  <c r="CE117" i="1" s="1"/>
  <c r="BU117" i="1"/>
  <c r="BV117" i="1" s="1"/>
  <c r="BP117" i="1"/>
  <c r="BQ117" i="1" s="1"/>
  <c r="BR117" i="1" s="1"/>
  <c r="BJ117" i="1"/>
  <c r="BH117" i="1"/>
  <c r="BI117" i="1" s="1"/>
  <c r="BA117" i="1"/>
  <c r="BB117" i="1" s="1"/>
  <c r="BC117" i="1" s="1"/>
  <c r="BD117" i="1" s="1"/>
  <c r="AZ117" i="1"/>
  <c r="AS117" i="1"/>
  <c r="AT117" i="1" s="1"/>
  <c r="AU117" i="1" s="1"/>
  <c r="AV117" i="1" s="1"/>
  <c r="AW117" i="1" s="1"/>
  <c r="AX117" i="1" s="1"/>
  <c r="AN117" i="1"/>
  <c r="AO117" i="1" s="1"/>
  <c r="AP117" i="1" s="1"/>
  <c r="AQ117" i="1" s="1"/>
  <c r="AG117" i="1"/>
  <c r="AF117" i="1"/>
  <c r="AB117" i="1"/>
  <c r="AC117" i="1" s="1"/>
  <c r="AD117" i="1" s="1"/>
  <c r="AE117" i="1" s="1"/>
  <c r="W117" i="1"/>
  <c r="CT116" i="1"/>
  <c r="CU116" i="1" s="1"/>
  <c r="CV116" i="1" s="1"/>
  <c r="CP116" i="1"/>
  <c r="CQ116" i="1" s="1"/>
  <c r="CR116" i="1" s="1"/>
  <c r="CM116" i="1"/>
  <c r="CN116" i="1" s="1"/>
  <c r="CC116" i="1"/>
  <c r="CD116" i="1" s="1"/>
  <c r="CE116" i="1" s="1"/>
  <c r="BU116" i="1"/>
  <c r="BV116" i="1" s="1"/>
  <c r="BP116" i="1"/>
  <c r="BQ116" i="1" s="1"/>
  <c r="BR116" i="1" s="1"/>
  <c r="BJ116" i="1"/>
  <c r="BH116" i="1"/>
  <c r="BI116" i="1" s="1"/>
  <c r="BA116" i="1"/>
  <c r="BB116" i="1" s="1"/>
  <c r="BC116" i="1" s="1"/>
  <c r="BD116" i="1" s="1"/>
  <c r="AZ116" i="1"/>
  <c r="AS116" i="1"/>
  <c r="AT116" i="1" s="1"/>
  <c r="AU116" i="1" s="1"/>
  <c r="AV116" i="1" s="1"/>
  <c r="AW116" i="1" s="1"/>
  <c r="AX116" i="1" s="1"/>
  <c r="AN116" i="1"/>
  <c r="AO116" i="1" s="1"/>
  <c r="AP116" i="1" s="1"/>
  <c r="AQ116" i="1" s="1"/>
  <c r="AG116" i="1"/>
  <c r="AF116" i="1"/>
  <c r="AB116" i="1"/>
  <c r="AC116" i="1" s="1"/>
  <c r="AD116" i="1" s="1"/>
  <c r="AE116" i="1" s="1"/>
  <c r="Z116" i="1"/>
  <c r="W116" i="1"/>
  <c r="V116" i="1"/>
  <c r="U116" i="1"/>
  <c r="CT115" i="1"/>
  <c r="CU115" i="1" s="1"/>
  <c r="CV115" i="1" s="1"/>
  <c r="CP115" i="1"/>
  <c r="CQ115" i="1" s="1"/>
  <c r="CR115" i="1" s="1"/>
  <c r="CM115" i="1"/>
  <c r="CN115" i="1" s="1"/>
  <c r="CC115" i="1"/>
  <c r="CD115" i="1" s="1"/>
  <c r="CE115" i="1" s="1"/>
  <c r="BU115" i="1"/>
  <c r="BV115" i="1" s="1"/>
  <c r="BP115" i="1"/>
  <c r="BQ115" i="1" s="1"/>
  <c r="BR115" i="1" s="1"/>
  <c r="BJ115" i="1"/>
  <c r="BH115" i="1"/>
  <c r="BI115" i="1" s="1"/>
  <c r="BA115" i="1"/>
  <c r="BB115" i="1" s="1"/>
  <c r="BC115" i="1" s="1"/>
  <c r="BD115" i="1" s="1"/>
  <c r="AZ115" i="1"/>
  <c r="AS115" i="1"/>
  <c r="AT115" i="1" s="1"/>
  <c r="AU115" i="1" s="1"/>
  <c r="AV115" i="1" s="1"/>
  <c r="AW115" i="1" s="1"/>
  <c r="AX115" i="1" s="1"/>
  <c r="AN115" i="1"/>
  <c r="AO115" i="1" s="1"/>
  <c r="AP115" i="1" s="1"/>
  <c r="AQ115" i="1" s="1"/>
  <c r="AG115" i="1"/>
  <c r="AF115" i="1"/>
  <c r="AB115" i="1"/>
  <c r="AC115" i="1" s="1"/>
  <c r="AD115" i="1" s="1"/>
  <c r="AE115" i="1" s="1"/>
  <c r="W115" i="1"/>
  <c r="V115" i="1"/>
  <c r="CT114" i="1"/>
  <c r="CU114" i="1" s="1"/>
  <c r="CV114" i="1" s="1"/>
  <c r="CP114" i="1"/>
  <c r="CQ114" i="1" s="1"/>
  <c r="CR114" i="1" s="1"/>
  <c r="CM114" i="1"/>
  <c r="CN114" i="1" s="1"/>
  <c r="CC114" i="1"/>
  <c r="CD114" i="1" s="1"/>
  <c r="CE114" i="1" s="1"/>
  <c r="BU114" i="1"/>
  <c r="BV114" i="1" s="1"/>
  <c r="BS114" i="1"/>
  <c r="BP114" i="1"/>
  <c r="BQ114" i="1" s="1"/>
  <c r="BR114" i="1" s="1"/>
  <c r="BJ114" i="1"/>
  <c r="BH114" i="1"/>
  <c r="BI114" i="1" s="1"/>
  <c r="BA114" i="1"/>
  <c r="BB114" i="1" s="1"/>
  <c r="BC114" i="1" s="1"/>
  <c r="BD114" i="1" s="1"/>
  <c r="AZ114" i="1"/>
  <c r="AS114" i="1"/>
  <c r="AT114" i="1" s="1"/>
  <c r="AU114" i="1" s="1"/>
  <c r="AV114" i="1" s="1"/>
  <c r="AW114" i="1" s="1"/>
  <c r="AX114" i="1" s="1"/>
  <c r="AN114" i="1"/>
  <c r="AO114" i="1" s="1"/>
  <c r="AP114" i="1" s="1"/>
  <c r="AQ114" i="1" s="1"/>
  <c r="AG114" i="1"/>
  <c r="AF114" i="1"/>
  <c r="AB114" i="1"/>
  <c r="AC114" i="1" s="1"/>
  <c r="AD114" i="1" s="1"/>
  <c r="AE114" i="1" s="1"/>
  <c r="W114" i="1"/>
  <c r="CT113" i="1"/>
  <c r="CU113" i="1" s="1"/>
  <c r="CV113" i="1" s="1"/>
  <c r="CP113" i="1"/>
  <c r="CQ113" i="1" s="1"/>
  <c r="CR113" i="1" s="1"/>
  <c r="CM113" i="1"/>
  <c r="CN113" i="1" s="1"/>
  <c r="CC113" i="1"/>
  <c r="CD113" i="1" s="1"/>
  <c r="CE113" i="1" s="1"/>
  <c r="BU113" i="1"/>
  <c r="BV113" i="1" s="1"/>
  <c r="BP113" i="1"/>
  <c r="BQ113" i="1" s="1"/>
  <c r="BR113" i="1" s="1"/>
  <c r="BO113" i="1"/>
  <c r="BJ113" i="1"/>
  <c r="BH113" i="1"/>
  <c r="BI113" i="1" s="1"/>
  <c r="BA113" i="1"/>
  <c r="BB113" i="1" s="1"/>
  <c r="BC113" i="1" s="1"/>
  <c r="BD113" i="1" s="1"/>
  <c r="AS113" i="1"/>
  <c r="AT113" i="1" s="1"/>
  <c r="AU113" i="1" s="1"/>
  <c r="AV113" i="1" s="1"/>
  <c r="AW113" i="1" s="1"/>
  <c r="AX113" i="1" s="1"/>
  <c r="AN113" i="1"/>
  <c r="AO113" i="1" s="1"/>
  <c r="AP113" i="1" s="1"/>
  <c r="AQ113" i="1" s="1"/>
  <c r="AG113" i="1"/>
  <c r="AF113" i="1"/>
  <c r="AB113" i="1"/>
  <c r="AC113" i="1" s="1"/>
  <c r="AD113" i="1" s="1"/>
  <c r="AE113" i="1" s="1"/>
  <c r="W113" i="1"/>
  <c r="U113" i="1"/>
  <c r="CT112" i="1"/>
  <c r="CU112" i="1" s="1"/>
  <c r="CV112" i="1" s="1"/>
  <c r="CP112" i="1"/>
  <c r="CQ112" i="1" s="1"/>
  <c r="CR112" i="1" s="1"/>
  <c r="CM112" i="1"/>
  <c r="CN112" i="1" s="1"/>
  <c r="CC112" i="1"/>
  <c r="CD112" i="1" s="1"/>
  <c r="CE112" i="1" s="1"/>
  <c r="BU112" i="1"/>
  <c r="BV112" i="1" s="1"/>
  <c r="BP112" i="1"/>
  <c r="BQ112" i="1" s="1"/>
  <c r="BR112" i="1" s="1"/>
  <c r="BJ112" i="1"/>
  <c r="BH112" i="1"/>
  <c r="BI112" i="1" s="1"/>
  <c r="BA112" i="1"/>
  <c r="BB112" i="1" s="1"/>
  <c r="BC112" i="1" s="1"/>
  <c r="BD112" i="1" s="1"/>
  <c r="AZ112" i="1"/>
  <c r="AS112" i="1"/>
  <c r="AT112" i="1" s="1"/>
  <c r="AU112" i="1" s="1"/>
  <c r="AV112" i="1" s="1"/>
  <c r="AW112" i="1" s="1"/>
  <c r="AX112" i="1" s="1"/>
  <c r="AN112" i="1"/>
  <c r="AO112" i="1" s="1"/>
  <c r="AP112" i="1" s="1"/>
  <c r="AQ112" i="1" s="1"/>
  <c r="AG112" i="1"/>
  <c r="AF112" i="1"/>
  <c r="AB112" i="1"/>
  <c r="AC112" i="1" s="1"/>
  <c r="AD112" i="1" s="1"/>
  <c r="AE112" i="1" s="1"/>
  <c r="CT111" i="1"/>
  <c r="CU111" i="1" s="1"/>
  <c r="CV111" i="1" s="1"/>
  <c r="CP111" i="1"/>
  <c r="CQ111" i="1" s="1"/>
  <c r="CR111" i="1" s="1"/>
  <c r="CM111" i="1"/>
  <c r="CN111" i="1" s="1"/>
  <c r="CC111" i="1"/>
  <c r="CD111" i="1" s="1"/>
  <c r="CE111" i="1" s="1"/>
  <c r="BU111" i="1"/>
  <c r="BV111" i="1" s="1"/>
  <c r="BP111" i="1"/>
  <c r="BQ111" i="1" s="1"/>
  <c r="BR111" i="1" s="1"/>
  <c r="BJ111" i="1"/>
  <c r="BH111" i="1"/>
  <c r="BI111" i="1" s="1"/>
  <c r="BA111" i="1"/>
  <c r="BB111" i="1" s="1"/>
  <c r="BC111" i="1" s="1"/>
  <c r="BD111" i="1" s="1"/>
  <c r="AS111" i="1"/>
  <c r="AT111" i="1" s="1"/>
  <c r="AU111" i="1" s="1"/>
  <c r="AV111" i="1" s="1"/>
  <c r="AW111" i="1" s="1"/>
  <c r="AX111" i="1" s="1"/>
  <c r="AN111" i="1"/>
  <c r="AO111" i="1" s="1"/>
  <c r="AP111" i="1" s="1"/>
  <c r="AQ111" i="1" s="1"/>
  <c r="AG111" i="1"/>
  <c r="AF111" i="1"/>
  <c r="AB111" i="1"/>
  <c r="AC111" i="1" s="1"/>
  <c r="AD111" i="1" s="1"/>
  <c r="AE111" i="1" s="1"/>
  <c r="W111" i="1"/>
  <c r="V111" i="1"/>
  <c r="CT110" i="1"/>
  <c r="CU110" i="1" s="1"/>
  <c r="CV110" i="1" s="1"/>
  <c r="CP110" i="1"/>
  <c r="CQ110" i="1" s="1"/>
  <c r="CR110" i="1" s="1"/>
  <c r="CM110" i="1"/>
  <c r="CN110" i="1" s="1"/>
  <c r="CC110" i="1"/>
  <c r="CD110" i="1" s="1"/>
  <c r="CE110" i="1" s="1"/>
  <c r="BU110" i="1"/>
  <c r="BV110" i="1" s="1"/>
  <c r="BP110" i="1"/>
  <c r="BQ110" i="1" s="1"/>
  <c r="BR110" i="1" s="1"/>
  <c r="BJ110" i="1"/>
  <c r="BH110" i="1"/>
  <c r="BI110" i="1" s="1"/>
  <c r="BA110" i="1"/>
  <c r="BB110" i="1" s="1"/>
  <c r="BC110" i="1" s="1"/>
  <c r="BD110" i="1" s="1"/>
  <c r="AS110" i="1"/>
  <c r="AT110" i="1" s="1"/>
  <c r="AU110" i="1" s="1"/>
  <c r="AV110" i="1" s="1"/>
  <c r="AW110" i="1" s="1"/>
  <c r="AX110" i="1" s="1"/>
  <c r="AN110" i="1"/>
  <c r="AO110" i="1" s="1"/>
  <c r="AP110" i="1" s="1"/>
  <c r="AQ110" i="1" s="1"/>
  <c r="AG110" i="1"/>
  <c r="AF110" i="1"/>
  <c r="AB110" i="1"/>
  <c r="AC110" i="1" s="1"/>
  <c r="AD110" i="1" s="1"/>
  <c r="AE110" i="1" s="1"/>
  <c r="V110" i="1"/>
  <c r="U110" i="1"/>
  <c r="CT109" i="1"/>
  <c r="CU109" i="1" s="1"/>
  <c r="CV109" i="1" s="1"/>
  <c r="CP109" i="1"/>
  <c r="CQ109" i="1" s="1"/>
  <c r="CR109" i="1" s="1"/>
  <c r="CM109" i="1"/>
  <c r="CN109" i="1" s="1"/>
  <c r="CC109" i="1"/>
  <c r="CD109" i="1" s="1"/>
  <c r="CE109" i="1" s="1"/>
  <c r="BU109" i="1"/>
  <c r="BV109" i="1" s="1"/>
  <c r="BP109" i="1"/>
  <c r="BQ109" i="1" s="1"/>
  <c r="BR109" i="1" s="1"/>
  <c r="BJ109" i="1"/>
  <c r="BH109" i="1"/>
  <c r="BI109" i="1" s="1"/>
  <c r="BA109" i="1"/>
  <c r="BB109" i="1" s="1"/>
  <c r="BC109" i="1" s="1"/>
  <c r="BD109" i="1" s="1"/>
  <c r="AS109" i="1"/>
  <c r="AT109" i="1" s="1"/>
  <c r="AU109" i="1" s="1"/>
  <c r="AV109" i="1" s="1"/>
  <c r="AW109" i="1" s="1"/>
  <c r="AX109" i="1" s="1"/>
  <c r="AN109" i="1"/>
  <c r="AO109" i="1" s="1"/>
  <c r="AP109" i="1" s="1"/>
  <c r="AQ109" i="1" s="1"/>
  <c r="AG109" i="1"/>
  <c r="AF109" i="1"/>
  <c r="AB109" i="1"/>
  <c r="AC109" i="1" s="1"/>
  <c r="AD109" i="1" s="1"/>
  <c r="AE109" i="1" s="1"/>
  <c r="W109" i="1"/>
  <c r="V109" i="1"/>
  <c r="U109" i="1"/>
  <c r="CT108" i="1"/>
  <c r="CU108" i="1" s="1"/>
  <c r="CV108" i="1" s="1"/>
  <c r="CP108" i="1"/>
  <c r="CQ108" i="1" s="1"/>
  <c r="CR108" i="1" s="1"/>
  <c r="CM108" i="1"/>
  <c r="CN108" i="1" s="1"/>
  <c r="CC108" i="1"/>
  <c r="CD108" i="1" s="1"/>
  <c r="CE108" i="1" s="1"/>
  <c r="BU108" i="1"/>
  <c r="BV108" i="1" s="1"/>
  <c r="BP108" i="1"/>
  <c r="BQ108" i="1" s="1"/>
  <c r="BR108" i="1" s="1"/>
  <c r="BJ108" i="1"/>
  <c r="BH108" i="1"/>
  <c r="BI108" i="1" s="1"/>
  <c r="BA108" i="1"/>
  <c r="BB108" i="1" s="1"/>
  <c r="BC108" i="1" s="1"/>
  <c r="BD108" i="1" s="1"/>
  <c r="AS108" i="1"/>
  <c r="AT108" i="1" s="1"/>
  <c r="AU108" i="1" s="1"/>
  <c r="AV108" i="1" s="1"/>
  <c r="AW108" i="1" s="1"/>
  <c r="AX108" i="1" s="1"/>
  <c r="AN108" i="1"/>
  <c r="AO108" i="1" s="1"/>
  <c r="AP108" i="1" s="1"/>
  <c r="AQ108" i="1" s="1"/>
  <c r="AG108" i="1"/>
  <c r="AF108" i="1"/>
  <c r="AB108" i="1"/>
  <c r="AC108" i="1" s="1"/>
  <c r="AD108" i="1" s="1"/>
  <c r="AE108" i="1" s="1"/>
  <c r="Z108" i="1"/>
  <c r="V108" i="1"/>
  <c r="CT107" i="1"/>
  <c r="CU107" i="1" s="1"/>
  <c r="CV107" i="1" s="1"/>
  <c r="CP107" i="1"/>
  <c r="CQ107" i="1" s="1"/>
  <c r="CR107" i="1" s="1"/>
  <c r="CM107" i="1"/>
  <c r="CN107" i="1" s="1"/>
  <c r="CC107" i="1"/>
  <c r="CD107" i="1" s="1"/>
  <c r="CE107" i="1" s="1"/>
  <c r="BU107" i="1"/>
  <c r="BV107" i="1" s="1"/>
  <c r="BP107" i="1"/>
  <c r="BQ107" i="1" s="1"/>
  <c r="BR107" i="1" s="1"/>
  <c r="BJ107" i="1"/>
  <c r="BH107" i="1"/>
  <c r="BI107" i="1" s="1"/>
  <c r="BE107" i="1"/>
  <c r="BA107" i="1"/>
  <c r="BB107" i="1" s="1"/>
  <c r="BC107" i="1" s="1"/>
  <c r="BD107" i="1" s="1"/>
  <c r="AS107" i="1"/>
  <c r="AT107" i="1" s="1"/>
  <c r="AU107" i="1" s="1"/>
  <c r="AV107" i="1" s="1"/>
  <c r="AW107" i="1" s="1"/>
  <c r="AX107" i="1" s="1"/>
  <c r="AN107" i="1"/>
  <c r="AO107" i="1" s="1"/>
  <c r="AP107" i="1" s="1"/>
  <c r="AQ107" i="1" s="1"/>
  <c r="AG107" i="1"/>
  <c r="AF107" i="1"/>
  <c r="AB107" i="1"/>
  <c r="AC107" i="1" s="1"/>
  <c r="AD107" i="1" s="1"/>
  <c r="AE107" i="1" s="1"/>
  <c r="W107" i="1"/>
  <c r="V107" i="1"/>
  <c r="CT106" i="1"/>
  <c r="CU106" i="1" s="1"/>
  <c r="CV106" i="1" s="1"/>
  <c r="CP106" i="1"/>
  <c r="CQ106" i="1" s="1"/>
  <c r="CR106" i="1" s="1"/>
  <c r="CM106" i="1"/>
  <c r="CN106" i="1" s="1"/>
  <c r="CC106" i="1"/>
  <c r="CD106" i="1" s="1"/>
  <c r="CE106" i="1" s="1"/>
  <c r="BU106" i="1"/>
  <c r="BV106" i="1" s="1"/>
  <c r="BP106" i="1"/>
  <c r="BQ106" i="1" s="1"/>
  <c r="BR106" i="1" s="1"/>
  <c r="BJ106" i="1"/>
  <c r="BH106" i="1"/>
  <c r="BI106" i="1" s="1"/>
  <c r="BA106" i="1"/>
  <c r="BB106" i="1" s="1"/>
  <c r="BC106" i="1" s="1"/>
  <c r="BD106" i="1" s="1"/>
  <c r="AS106" i="1"/>
  <c r="AT106" i="1" s="1"/>
  <c r="AU106" i="1" s="1"/>
  <c r="AV106" i="1" s="1"/>
  <c r="AW106" i="1" s="1"/>
  <c r="AX106" i="1" s="1"/>
  <c r="AN106" i="1"/>
  <c r="AO106" i="1" s="1"/>
  <c r="AP106" i="1" s="1"/>
  <c r="AQ106" i="1" s="1"/>
  <c r="AG106" i="1"/>
  <c r="AF106" i="1"/>
  <c r="AB106" i="1"/>
  <c r="AC106" i="1" s="1"/>
  <c r="AD106" i="1" s="1"/>
  <c r="AE106" i="1" s="1"/>
  <c r="Z106" i="1"/>
  <c r="W106" i="1"/>
  <c r="V106" i="1"/>
  <c r="CT105" i="1"/>
  <c r="CU105" i="1" s="1"/>
  <c r="CV105" i="1" s="1"/>
  <c r="CP105" i="1"/>
  <c r="CQ105" i="1" s="1"/>
  <c r="CR105" i="1" s="1"/>
  <c r="CM105" i="1"/>
  <c r="CN105" i="1" s="1"/>
  <c r="CC105" i="1"/>
  <c r="CD105" i="1" s="1"/>
  <c r="CE105" i="1" s="1"/>
  <c r="BU105" i="1"/>
  <c r="BV105" i="1" s="1"/>
  <c r="BP105" i="1"/>
  <c r="BQ105" i="1" s="1"/>
  <c r="BR105" i="1" s="1"/>
  <c r="BJ105" i="1"/>
  <c r="BH105" i="1"/>
  <c r="BI105" i="1" s="1"/>
  <c r="BA105" i="1"/>
  <c r="BB105" i="1" s="1"/>
  <c r="BC105" i="1" s="1"/>
  <c r="BD105" i="1" s="1"/>
  <c r="AS105" i="1"/>
  <c r="AT105" i="1" s="1"/>
  <c r="AU105" i="1" s="1"/>
  <c r="AV105" i="1" s="1"/>
  <c r="AW105" i="1" s="1"/>
  <c r="AX105" i="1" s="1"/>
  <c r="AN105" i="1"/>
  <c r="AO105" i="1" s="1"/>
  <c r="AP105" i="1" s="1"/>
  <c r="AQ105" i="1" s="1"/>
  <c r="AG105" i="1"/>
  <c r="AF105" i="1"/>
  <c r="AB105" i="1"/>
  <c r="AC105" i="1" s="1"/>
  <c r="AD105" i="1" s="1"/>
  <c r="AE105" i="1" s="1"/>
  <c r="W105" i="1"/>
  <c r="V105" i="1"/>
  <c r="U105" i="1"/>
  <c r="CT104" i="1"/>
  <c r="CU104" i="1" s="1"/>
  <c r="CV104" i="1" s="1"/>
  <c r="CP104" i="1"/>
  <c r="CQ104" i="1" s="1"/>
  <c r="CR104" i="1" s="1"/>
  <c r="CM104" i="1"/>
  <c r="CN104" i="1" s="1"/>
  <c r="CC104" i="1"/>
  <c r="CD104" i="1" s="1"/>
  <c r="CE104" i="1" s="1"/>
  <c r="BU104" i="1"/>
  <c r="BV104" i="1" s="1"/>
  <c r="BP104" i="1"/>
  <c r="BQ104" i="1" s="1"/>
  <c r="BR104" i="1" s="1"/>
  <c r="BJ104" i="1"/>
  <c r="BH104" i="1"/>
  <c r="BI104" i="1" s="1"/>
  <c r="BA104" i="1"/>
  <c r="BB104" i="1" s="1"/>
  <c r="BC104" i="1" s="1"/>
  <c r="BD104" i="1" s="1"/>
  <c r="AS104" i="1"/>
  <c r="AT104" i="1" s="1"/>
  <c r="AU104" i="1" s="1"/>
  <c r="AV104" i="1" s="1"/>
  <c r="AW104" i="1" s="1"/>
  <c r="AX104" i="1" s="1"/>
  <c r="AN104" i="1"/>
  <c r="AO104" i="1" s="1"/>
  <c r="AP104" i="1" s="1"/>
  <c r="AQ104" i="1" s="1"/>
  <c r="AG104" i="1"/>
  <c r="AF104" i="1"/>
  <c r="AB104" i="1"/>
  <c r="AC104" i="1" s="1"/>
  <c r="AD104" i="1" s="1"/>
  <c r="AE104" i="1" s="1"/>
  <c r="Z104" i="1"/>
  <c r="W104" i="1"/>
  <c r="V104" i="1"/>
  <c r="CT103" i="1"/>
  <c r="CU103" i="1" s="1"/>
  <c r="CV103" i="1" s="1"/>
  <c r="CP103" i="1"/>
  <c r="CQ103" i="1" s="1"/>
  <c r="CR103" i="1" s="1"/>
  <c r="CM103" i="1"/>
  <c r="CN103" i="1" s="1"/>
  <c r="CC103" i="1"/>
  <c r="CD103" i="1" s="1"/>
  <c r="CE103" i="1" s="1"/>
  <c r="BU103" i="1"/>
  <c r="BV103" i="1" s="1"/>
  <c r="BP103" i="1"/>
  <c r="BQ103" i="1" s="1"/>
  <c r="BR103" i="1" s="1"/>
  <c r="BJ103" i="1"/>
  <c r="BH103" i="1"/>
  <c r="BI103" i="1" s="1"/>
  <c r="BA103" i="1"/>
  <c r="BB103" i="1" s="1"/>
  <c r="BC103" i="1" s="1"/>
  <c r="BD103" i="1" s="1"/>
  <c r="AS103" i="1"/>
  <c r="AT103" i="1" s="1"/>
  <c r="AU103" i="1" s="1"/>
  <c r="AV103" i="1" s="1"/>
  <c r="AW103" i="1" s="1"/>
  <c r="AX103" i="1" s="1"/>
  <c r="AN103" i="1"/>
  <c r="AO103" i="1" s="1"/>
  <c r="AP103" i="1" s="1"/>
  <c r="AQ103" i="1" s="1"/>
  <c r="AG103" i="1"/>
  <c r="AF103" i="1"/>
  <c r="AB103" i="1"/>
  <c r="AC103" i="1" s="1"/>
  <c r="AD103" i="1" s="1"/>
  <c r="AE103" i="1" s="1"/>
  <c r="V103" i="1"/>
  <c r="CT102" i="1"/>
  <c r="CU102" i="1" s="1"/>
  <c r="CV102" i="1" s="1"/>
  <c r="CP102" i="1"/>
  <c r="CQ102" i="1" s="1"/>
  <c r="CR102" i="1" s="1"/>
  <c r="CM102" i="1"/>
  <c r="CN102" i="1" s="1"/>
  <c r="CI102" i="1"/>
  <c r="CJ102" i="1" s="1"/>
  <c r="BU102" i="1"/>
  <c r="BV102" i="1" s="1"/>
  <c r="BP102" i="1"/>
  <c r="BQ102" i="1" s="1"/>
  <c r="BR102" i="1" s="1"/>
  <c r="BJ102" i="1"/>
  <c r="BH102" i="1"/>
  <c r="BI102" i="1" s="1"/>
  <c r="BA102" i="1"/>
  <c r="BB102" i="1" s="1"/>
  <c r="BC102" i="1" s="1"/>
  <c r="BD102" i="1" s="1"/>
  <c r="AZ102" i="1"/>
  <c r="AS102" i="1"/>
  <c r="AT102" i="1" s="1"/>
  <c r="AU102" i="1" s="1"/>
  <c r="AV102" i="1" s="1"/>
  <c r="AW102" i="1" s="1"/>
  <c r="AX102" i="1" s="1"/>
  <c r="AN102" i="1"/>
  <c r="AO102" i="1" s="1"/>
  <c r="AP102" i="1" s="1"/>
  <c r="AQ102" i="1" s="1"/>
  <c r="AG102" i="1"/>
  <c r="AF102" i="1"/>
  <c r="AB102" i="1"/>
  <c r="AC102" i="1" s="1"/>
  <c r="AD102" i="1" s="1"/>
  <c r="AE102" i="1" s="1"/>
  <c r="W102" i="1"/>
  <c r="U102" i="1"/>
  <c r="CT101" i="1"/>
  <c r="CU101" i="1" s="1"/>
  <c r="CV101" i="1" s="1"/>
  <c r="CP101" i="1"/>
  <c r="CQ101" i="1" s="1"/>
  <c r="CR101" i="1" s="1"/>
  <c r="CM101" i="1"/>
  <c r="CN101" i="1" s="1"/>
  <c r="CC101" i="1"/>
  <c r="CD101" i="1" s="1"/>
  <c r="CE101" i="1" s="1"/>
  <c r="BU101" i="1"/>
  <c r="BV101" i="1" s="1"/>
  <c r="BP101" i="1"/>
  <c r="BQ101" i="1" s="1"/>
  <c r="BR101" i="1" s="1"/>
  <c r="BJ101" i="1"/>
  <c r="BH101" i="1"/>
  <c r="BI101" i="1" s="1"/>
  <c r="BA101" i="1"/>
  <c r="BB101" i="1" s="1"/>
  <c r="BC101" i="1" s="1"/>
  <c r="BD101" i="1" s="1"/>
  <c r="AZ101" i="1"/>
  <c r="AS101" i="1"/>
  <c r="AT101" i="1" s="1"/>
  <c r="AU101" i="1" s="1"/>
  <c r="AV101" i="1" s="1"/>
  <c r="AW101" i="1" s="1"/>
  <c r="AX101" i="1" s="1"/>
  <c r="AN101" i="1"/>
  <c r="AO101" i="1" s="1"/>
  <c r="AP101" i="1" s="1"/>
  <c r="AQ101" i="1" s="1"/>
  <c r="AG101" i="1"/>
  <c r="AF101" i="1"/>
  <c r="AB101" i="1"/>
  <c r="AC101" i="1" s="1"/>
  <c r="AD101" i="1" s="1"/>
  <c r="AE101" i="1" s="1"/>
  <c r="W101" i="1"/>
  <c r="V101" i="1"/>
  <c r="CT100" i="1"/>
  <c r="CU100" i="1" s="1"/>
  <c r="CV100" i="1" s="1"/>
  <c r="CP100" i="1"/>
  <c r="CQ100" i="1" s="1"/>
  <c r="CR100" i="1" s="1"/>
  <c r="CM100" i="1"/>
  <c r="CN100" i="1" s="1"/>
  <c r="CC100" i="1"/>
  <c r="CD100" i="1" s="1"/>
  <c r="CE100" i="1" s="1"/>
  <c r="BU100" i="1"/>
  <c r="BV100" i="1" s="1"/>
  <c r="BP100" i="1"/>
  <c r="BQ100" i="1" s="1"/>
  <c r="BR100" i="1" s="1"/>
  <c r="BJ100" i="1"/>
  <c r="BH100" i="1"/>
  <c r="BI100" i="1" s="1"/>
  <c r="BA100" i="1"/>
  <c r="BB100" i="1" s="1"/>
  <c r="BC100" i="1" s="1"/>
  <c r="BD100" i="1" s="1"/>
  <c r="AZ100" i="1"/>
  <c r="AS100" i="1"/>
  <c r="AT100" i="1" s="1"/>
  <c r="AU100" i="1" s="1"/>
  <c r="AV100" i="1" s="1"/>
  <c r="AW100" i="1" s="1"/>
  <c r="AX100" i="1" s="1"/>
  <c r="AN100" i="1"/>
  <c r="AO100" i="1" s="1"/>
  <c r="AP100" i="1" s="1"/>
  <c r="AQ100" i="1" s="1"/>
  <c r="AG100" i="1"/>
  <c r="AF100" i="1"/>
  <c r="AB100" i="1"/>
  <c r="AC100" i="1" s="1"/>
  <c r="AD100" i="1" s="1"/>
  <c r="AE100" i="1" s="1"/>
  <c r="X100" i="1"/>
  <c r="W100" i="1"/>
  <c r="CT99" i="1"/>
  <c r="CU99" i="1" s="1"/>
  <c r="CV99" i="1" s="1"/>
  <c r="CP99" i="1"/>
  <c r="CQ99" i="1" s="1"/>
  <c r="CR99" i="1" s="1"/>
  <c r="CM99" i="1"/>
  <c r="CN99" i="1" s="1"/>
  <c r="CC99" i="1"/>
  <c r="CD99" i="1" s="1"/>
  <c r="CE99" i="1" s="1"/>
  <c r="BU99" i="1"/>
  <c r="BV99" i="1" s="1"/>
  <c r="BP99" i="1"/>
  <c r="BQ99" i="1" s="1"/>
  <c r="BR99" i="1" s="1"/>
  <c r="BJ99" i="1"/>
  <c r="BH99" i="1"/>
  <c r="BI99" i="1" s="1"/>
  <c r="BE99" i="1"/>
  <c r="BA99" i="1"/>
  <c r="BB99" i="1" s="1"/>
  <c r="BC99" i="1" s="1"/>
  <c r="BD99" i="1" s="1"/>
  <c r="AS99" i="1"/>
  <c r="AT99" i="1" s="1"/>
  <c r="AU99" i="1" s="1"/>
  <c r="AV99" i="1" s="1"/>
  <c r="AW99" i="1" s="1"/>
  <c r="AX99" i="1" s="1"/>
  <c r="AN99" i="1"/>
  <c r="AO99" i="1" s="1"/>
  <c r="AP99" i="1" s="1"/>
  <c r="AQ99" i="1" s="1"/>
  <c r="AG99" i="1"/>
  <c r="AF99" i="1"/>
  <c r="AB99" i="1"/>
  <c r="AC99" i="1" s="1"/>
  <c r="AD99" i="1" s="1"/>
  <c r="AE99" i="1" s="1"/>
  <c r="W99" i="1"/>
  <c r="V99" i="1"/>
  <c r="CT98" i="1"/>
  <c r="CU98" i="1" s="1"/>
  <c r="CV98" i="1" s="1"/>
  <c r="CP98" i="1"/>
  <c r="CQ98" i="1" s="1"/>
  <c r="CR98" i="1" s="1"/>
  <c r="CM98" i="1"/>
  <c r="CN98" i="1" s="1"/>
  <c r="CC98" i="1"/>
  <c r="CD98" i="1" s="1"/>
  <c r="CE98" i="1" s="1"/>
  <c r="BU98" i="1"/>
  <c r="BV98" i="1" s="1"/>
  <c r="BP98" i="1"/>
  <c r="BQ98" i="1" s="1"/>
  <c r="BR98" i="1" s="1"/>
  <c r="BJ98" i="1"/>
  <c r="BH98" i="1"/>
  <c r="BI98" i="1" s="1"/>
  <c r="BA98" i="1"/>
  <c r="BB98" i="1" s="1"/>
  <c r="BC98" i="1" s="1"/>
  <c r="BD98" i="1" s="1"/>
  <c r="AZ98" i="1"/>
  <c r="AS98" i="1"/>
  <c r="AT98" i="1" s="1"/>
  <c r="AU98" i="1" s="1"/>
  <c r="AV98" i="1" s="1"/>
  <c r="AW98" i="1" s="1"/>
  <c r="AX98" i="1" s="1"/>
  <c r="AN98" i="1"/>
  <c r="AO98" i="1" s="1"/>
  <c r="AP98" i="1" s="1"/>
  <c r="AQ98" i="1" s="1"/>
  <c r="AG98" i="1"/>
  <c r="AF98" i="1"/>
  <c r="AB98" i="1"/>
  <c r="AC98" i="1" s="1"/>
  <c r="AD98" i="1" s="1"/>
  <c r="AE98" i="1" s="1"/>
  <c r="W98" i="1"/>
  <c r="CT97" i="1"/>
  <c r="CU97" i="1" s="1"/>
  <c r="CV97" i="1" s="1"/>
  <c r="CP97" i="1"/>
  <c r="CQ97" i="1" s="1"/>
  <c r="CR97" i="1" s="1"/>
  <c r="CM97" i="1"/>
  <c r="CN97" i="1" s="1"/>
  <c r="CC97" i="1"/>
  <c r="CD97" i="1" s="1"/>
  <c r="CE97" i="1" s="1"/>
  <c r="BU97" i="1"/>
  <c r="BV97" i="1" s="1"/>
  <c r="BP97" i="1"/>
  <c r="BQ97" i="1" s="1"/>
  <c r="BR97" i="1" s="1"/>
  <c r="BO97" i="1"/>
  <c r="BJ97" i="1"/>
  <c r="BH97" i="1"/>
  <c r="BI97" i="1" s="1"/>
  <c r="BA97" i="1"/>
  <c r="BB97" i="1" s="1"/>
  <c r="BC97" i="1" s="1"/>
  <c r="BD97" i="1" s="1"/>
  <c r="AS97" i="1"/>
  <c r="AT97" i="1" s="1"/>
  <c r="AU97" i="1" s="1"/>
  <c r="AV97" i="1" s="1"/>
  <c r="AW97" i="1" s="1"/>
  <c r="AX97" i="1" s="1"/>
  <c r="AN97" i="1"/>
  <c r="AO97" i="1" s="1"/>
  <c r="AP97" i="1" s="1"/>
  <c r="AQ97" i="1" s="1"/>
  <c r="AG97" i="1"/>
  <c r="AF97" i="1"/>
  <c r="AB97" i="1"/>
  <c r="AC97" i="1" s="1"/>
  <c r="AD97" i="1" s="1"/>
  <c r="AE97" i="1" s="1"/>
  <c r="W97" i="1"/>
  <c r="V97" i="1"/>
  <c r="CT96" i="1"/>
  <c r="CU96" i="1" s="1"/>
  <c r="CV96" i="1" s="1"/>
  <c r="CP96" i="1"/>
  <c r="CQ96" i="1" s="1"/>
  <c r="CR96" i="1" s="1"/>
  <c r="CM96" i="1"/>
  <c r="CN96" i="1" s="1"/>
  <c r="CC96" i="1"/>
  <c r="CD96" i="1" s="1"/>
  <c r="CE96" i="1" s="1"/>
  <c r="BU96" i="1"/>
  <c r="BV96" i="1" s="1"/>
  <c r="BP96" i="1"/>
  <c r="BQ96" i="1" s="1"/>
  <c r="BR96" i="1" s="1"/>
  <c r="BJ96" i="1"/>
  <c r="BH96" i="1"/>
  <c r="BI96" i="1" s="1"/>
  <c r="BF96" i="1"/>
  <c r="BA96" i="1"/>
  <c r="BB96" i="1" s="1"/>
  <c r="BC96" i="1" s="1"/>
  <c r="BD96" i="1" s="1"/>
  <c r="AZ96" i="1"/>
  <c r="AS96" i="1"/>
  <c r="AT96" i="1" s="1"/>
  <c r="AU96" i="1" s="1"/>
  <c r="AV96" i="1" s="1"/>
  <c r="AW96" i="1" s="1"/>
  <c r="AX96" i="1" s="1"/>
  <c r="AN96" i="1"/>
  <c r="AO96" i="1" s="1"/>
  <c r="AP96" i="1" s="1"/>
  <c r="AQ96" i="1" s="1"/>
  <c r="AG96" i="1"/>
  <c r="AF96" i="1"/>
  <c r="AB96" i="1"/>
  <c r="AC96" i="1" s="1"/>
  <c r="AD96" i="1" s="1"/>
  <c r="AE96" i="1" s="1"/>
  <c r="W96" i="1"/>
  <c r="U96" i="1"/>
  <c r="CT95" i="1"/>
  <c r="CU95" i="1" s="1"/>
  <c r="CV95" i="1" s="1"/>
  <c r="CP95" i="1"/>
  <c r="CQ95" i="1" s="1"/>
  <c r="CR95" i="1" s="1"/>
  <c r="CM95" i="1"/>
  <c r="CN95" i="1" s="1"/>
  <c r="CC95" i="1"/>
  <c r="CD95" i="1" s="1"/>
  <c r="CE95" i="1" s="1"/>
  <c r="BU95" i="1"/>
  <c r="BV95" i="1" s="1"/>
  <c r="BP95" i="1"/>
  <c r="BQ95" i="1" s="1"/>
  <c r="BR95" i="1" s="1"/>
  <c r="BJ95" i="1"/>
  <c r="BH95" i="1"/>
  <c r="BI95" i="1" s="1"/>
  <c r="BA95" i="1"/>
  <c r="BB95" i="1" s="1"/>
  <c r="BC95" i="1" s="1"/>
  <c r="BD95" i="1" s="1"/>
  <c r="AZ95" i="1"/>
  <c r="AS95" i="1"/>
  <c r="AT95" i="1" s="1"/>
  <c r="AU95" i="1" s="1"/>
  <c r="AV95" i="1" s="1"/>
  <c r="AW95" i="1" s="1"/>
  <c r="AX95" i="1" s="1"/>
  <c r="AN95" i="1"/>
  <c r="AO95" i="1" s="1"/>
  <c r="AP95" i="1" s="1"/>
  <c r="AQ95" i="1" s="1"/>
  <c r="AG95" i="1"/>
  <c r="AF95" i="1"/>
  <c r="AB95" i="1"/>
  <c r="AC95" i="1" s="1"/>
  <c r="AD95" i="1" s="1"/>
  <c r="AE95" i="1" s="1"/>
  <c r="Z95" i="1"/>
  <c r="W95" i="1"/>
  <c r="V95" i="1"/>
  <c r="CT94" i="1"/>
  <c r="CU94" i="1" s="1"/>
  <c r="CV94" i="1" s="1"/>
  <c r="CP94" i="1"/>
  <c r="CQ94" i="1" s="1"/>
  <c r="CR94" i="1" s="1"/>
  <c r="CM94" i="1"/>
  <c r="CN94" i="1" s="1"/>
  <c r="CC94" i="1"/>
  <c r="CD94" i="1" s="1"/>
  <c r="CE94" i="1" s="1"/>
  <c r="BU94" i="1"/>
  <c r="BV94" i="1" s="1"/>
  <c r="BP94" i="1"/>
  <c r="BQ94" i="1" s="1"/>
  <c r="BR94" i="1" s="1"/>
  <c r="BJ94" i="1"/>
  <c r="BH94" i="1"/>
  <c r="BI94" i="1" s="1"/>
  <c r="BA94" i="1"/>
  <c r="BB94" i="1" s="1"/>
  <c r="BC94" i="1" s="1"/>
  <c r="BD94" i="1" s="1"/>
  <c r="AZ94" i="1"/>
  <c r="AS94" i="1"/>
  <c r="AT94" i="1" s="1"/>
  <c r="AU94" i="1" s="1"/>
  <c r="AV94" i="1" s="1"/>
  <c r="AW94" i="1" s="1"/>
  <c r="AX94" i="1" s="1"/>
  <c r="AN94" i="1"/>
  <c r="AO94" i="1" s="1"/>
  <c r="AP94" i="1" s="1"/>
  <c r="AQ94" i="1" s="1"/>
  <c r="AG94" i="1"/>
  <c r="AF94" i="1"/>
  <c r="AB94" i="1"/>
  <c r="AC94" i="1" s="1"/>
  <c r="AD94" i="1" s="1"/>
  <c r="AE94" i="1" s="1"/>
  <c r="V94" i="1"/>
  <c r="CT93" i="1"/>
  <c r="CU93" i="1" s="1"/>
  <c r="CV93" i="1" s="1"/>
  <c r="CP93" i="1"/>
  <c r="CQ93" i="1" s="1"/>
  <c r="CR93" i="1" s="1"/>
  <c r="CM93" i="1"/>
  <c r="CN93" i="1" s="1"/>
  <c r="CC93" i="1"/>
  <c r="CD93" i="1" s="1"/>
  <c r="CE93" i="1" s="1"/>
  <c r="BU93" i="1"/>
  <c r="BV93" i="1" s="1"/>
  <c r="BP93" i="1"/>
  <c r="BQ93" i="1" s="1"/>
  <c r="BR93" i="1" s="1"/>
  <c r="BJ93" i="1"/>
  <c r="BH93" i="1"/>
  <c r="BI93" i="1" s="1"/>
  <c r="BA93" i="1"/>
  <c r="BB93" i="1" s="1"/>
  <c r="BC93" i="1" s="1"/>
  <c r="BD93" i="1" s="1"/>
  <c r="AS93" i="1"/>
  <c r="AT93" i="1" s="1"/>
  <c r="AU93" i="1" s="1"/>
  <c r="AV93" i="1" s="1"/>
  <c r="AW93" i="1" s="1"/>
  <c r="AX93" i="1" s="1"/>
  <c r="AN93" i="1"/>
  <c r="AO93" i="1" s="1"/>
  <c r="AP93" i="1" s="1"/>
  <c r="AQ93" i="1" s="1"/>
  <c r="AG93" i="1"/>
  <c r="AF93" i="1"/>
  <c r="AB93" i="1"/>
  <c r="AC93" i="1" s="1"/>
  <c r="AD93" i="1" s="1"/>
  <c r="AE93" i="1" s="1"/>
  <c r="V93" i="1"/>
  <c r="CT92" i="1"/>
  <c r="CU92" i="1" s="1"/>
  <c r="CV92" i="1" s="1"/>
  <c r="CP92" i="1"/>
  <c r="CQ92" i="1" s="1"/>
  <c r="CR92" i="1" s="1"/>
  <c r="CM92" i="1"/>
  <c r="CN92" i="1" s="1"/>
  <c r="CC92" i="1"/>
  <c r="CD92" i="1" s="1"/>
  <c r="CE92" i="1" s="1"/>
  <c r="BU92" i="1"/>
  <c r="BV92" i="1" s="1"/>
  <c r="BP92" i="1"/>
  <c r="BQ92" i="1" s="1"/>
  <c r="BR92" i="1" s="1"/>
  <c r="BJ92" i="1"/>
  <c r="BH92" i="1"/>
  <c r="BI92" i="1" s="1"/>
  <c r="BA92" i="1"/>
  <c r="BB92" i="1" s="1"/>
  <c r="BC92" i="1" s="1"/>
  <c r="BD92" i="1" s="1"/>
  <c r="AZ92" i="1"/>
  <c r="AS92" i="1"/>
  <c r="AT92" i="1" s="1"/>
  <c r="AU92" i="1" s="1"/>
  <c r="AV92" i="1" s="1"/>
  <c r="AW92" i="1" s="1"/>
  <c r="AX92" i="1" s="1"/>
  <c r="AN92" i="1"/>
  <c r="AO92" i="1" s="1"/>
  <c r="AP92" i="1" s="1"/>
  <c r="AQ92" i="1" s="1"/>
  <c r="AG92" i="1"/>
  <c r="AF92" i="1"/>
  <c r="AB92" i="1"/>
  <c r="AC92" i="1" s="1"/>
  <c r="AD92" i="1" s="1"/>
  <c r="AE92" i="1" s="1"/>
  <c r="W92" i="1"/>
  <c r="U92" i="1"/>
  <c r="CT91" i="1"/>
  <c r="CU91" i="1" s="1"/>
  <c r="CV91" i="1" s="1"/>
  <c r="CP91" i="1"/>
  <c r="CQ91" i="1" s="1"/>
  <c r="CR91" i="1" s="1"/>
  <c r="CM91" i="1"/>
  <c r="CN91" i="1" s="1"/>
  <c r="CC91" i="1"/>
  <c r="CD91" i="1" s="1"/>
  <c r="CE91" i="1" s="1"/>
  <c r="BU91" i="1"/>
  <c r="BV91" i="1" s="1"/>
  <c r="BP91" i="1"/>
  <c r="BQ91" i="1" s="1"/>
  <c r="BR91" i="1" s="1"/>
  <c r="BJ91" i="1"/>
  <c r="BH91" i="1"/>
  <c r="BI91" i="1" s="1"/>
  <c r="BF91" i="1"/>
  <c r="BE91" i="1"/>
  <c r="BA91" i="1"/>
  <c r="BB91" i="1" s="1"/>
  <c r="BC91" i="1" s="1"/>
  <c r="BD91" i="1" s="1"/>
  <c r="AS91" i="1"/>
  <c r="AT91" i="1" s="1"/>
  <c r="AU91" i="1" s="1"/>
  <c r="AV91" i="1" s="1"/>
  <c r="AW91" i="1" s="1"/>
  <c r="AX91" i="1" s="1"/>
  <c r="AN91" i="1"/>
  <c r="AO91" i="1" s="1"/>
  <c r="AP91" i="1" s="1"/>
  <c r="AQ91" i="1" s="1"/>
  <c r="AG91" i="1"/>
  <c r="AF91" i="1"/>
  <c r="AB91" i="1"/>
  <c r="AC91" i="1" s="1"/>
  <c r="AD91" i="1" s="1"/>
  <c r="AE91" i="1" s="1"/>
  <c r="V91" i="1"/>
  <c r="CT90" i="1"/>
  <c r="CU90" i="1" s="1"/>
  <c r="CV90" i="1" s="1"/>
  <c r="CP90" i="1"/>
  <c r="CQ90" i="1" s="1"/>
  <c r="CR90" i="1" s="1"/>
  <c r="CM90" i="1"/>
  <c r="CN90" i="1" s="1"/>
  <c r="CC90" i="1"/>
  <c r="CD90" i="1" s="1"/>
  <c r="CE90" i="1" s="1"/>
  <c r="BU90" i="1"/>
  <c r="BV90" i="1" s="1"/>
  <c r="BP90" i="1"/>
  <c r="BQ90" i="1" s="1"/>
  <c r="BR90" i="1" s="1"/>
  <c r="BJ90" i="1"/>
  <c r="BH90" i="1"/>
  <c r="BI90" i="1" s="1"/>
  <c r="BA90" i="1"/>
  <c r="BB90" i="1" s="1"/>
  <c r="BC90" i="1" s="1"/>
  <c r="BD90" i="1" s="1"/>
  <c r="AS90" i="1"/>
  <c r="AT90" i="1" s="1"/>
  <c r="AU90" i="1" s="1"/>
  <c r="AV90" i="1" s="1"/>
  <c r="AW90" i="1" s="1"/>
  <c r="AX90" i="1" s="1"/>
  <c r="AN90" i="1"/>
  <c r="AO90" i="1" s="1"/>
  <c r="AP90" i="1" s="1"/>
  <c r="AQ90" i="1" s="1"/>
  <c r="AG90" i="1"/>
  <c r="AF90" i="1"/>
  <c r="AB90" i="1"/>
  <c r="AC90" i="1" s="1"/>
  <c r="AD90" i="1" s="1"/>
  <c r="AE90" i="1" s="1"/>
  <c r="CT89" i="1"/>
  <c r="CU89" i="1" s="1"/>
  <c r="CV89" i="1" s="1"/>
  <c r="CP89" i="1"/>
  <c r="CQ89" i="1" s="1"/>
  <c r="CR89" i="1" s="1"/>
  <c r="CM89" i="1"/>
  <c r="CN89" i="1" s="1"/>
  <c r="CC89" i="1"/>
  <c r="CD89" i="1" s="1"/>
  <c r="CE89" i="1" s="1"/>
  <c r="BU89" i="1"/>
  <c r="BV89" i="1" s="1"/>
  <c r="BP89" i="1"/>
  <c r="BQ89" i="1" s="1"/>
  <c r="BR89" i="1" s="1"/>
  <c r="BJ89" i="1"/>
  <c r="BH89" i="1"/>
  <c r="BI89" i="1" s="1"/>
  <c r="BA89" i="1"/>
  <c r="BB89" i="1" s="1"/>
  <c r="BC89" i="1" s="1"/>
  <c r="BD89" i="1" s="1"/>
  <c r="AS89" i="1"/>
  <c r="AT89" i="1" s="1"/>
  <c r="AU89" i="1" s="1"/>
  <c r="AV89" i="1" s="1"/>
  <c r="AW89" i="1" s="1"/>
  <c r="AX89" i="1" s="1"/>
  <c r="AN89" i="1"/>
  <c r="AO89" i="1" s="1"/>
  <c r="AP89" i="1" s="1"/>
  <c r="AQ89" i="1" s="1"/>
  <c r="AG89" i="1"/>
  <c r="AF89" i="1"/>
  <c r="AB89" i="1"/>
  <c r="AC89" i="1" s="1"/>
  <c r="AD89" i="1" s="1"/>
  <c r="AE89" i="1" s="1"/>
  <c r="W89" i="1"/>
  <c r="V89" i="1"/>
  <c r="U89" i="1"/>
  <c r="CT88" i="1"/>
  <c r="CU88" i="1" s="1"/>
  <c r="CV88" i="1" s="1"/>
  <c r="CP88" i="1"/>
  <c r="CQ88" i="1" s="1"/>
  <c r="CR88" i="1" s="1"/>
  <c r="CM88" i="1"/>
  <c r="CN88" i="1" s="1"/>
  <c r="CC88" i="1"/>
  <c r="CD88" i="1" s="1"/>
  <c r="CE88" i="1" s="1"/>
  <c r="BU88" i="1"/>
  <c r="BV88" i="1" s="1"/>
  <c r="BP88" i="1"/>
  <c r="BQ88" i="1" s="1"/>
  <c r="BR88" i="1" s="1"/>
  <c r="BJ88" i="1"/>
  <c r="BH88" i="1"/>
  <c r="BI88" i="1" s="1"/>
  <c r="BA88" i="1"/>
  <c r="BB88" i="1" s="1"/>
  <c r="BC88" i="1" s="1"/>
  <c r="BD88" i="1" s="1"/>
  <c r="AS88" i="1"/>
  <c r="AT88" i="1" s="1"/>
  <c r="AU88" i="1" s="1"/>
  <c r="AV88" i="1" s="1"/>
  <c r="AW88" i="1" s="1"/>
  <c r="AX88" i="1" s="1"/>
  <c r="AN88" i="1"/>
  <c r="AO88" i="1" s="1"/>
  <c r="AP88" i="1" s="1"/>
  <c r="AQ88" i="1" s="1"/>
  <c r="AG88" i="1"/>
  <c r="AF88" i="1"/>
  <c r="AB88" i="1"/>
  <c r="AC88" i="1" s="1"/>
  <c r="AD88" i="1" s="1"/>
  <c r="AE88" i="1" s="1"/>
  <c r="V88" i="1"/>
  <c r="CT87" i="1"/>
  <c r="CU87" i="1" s="1"/>
  <c r="CV87" i="1" s="1"/>
  <c r="CP87" i="1"/>
  <c r="CQ87" i="1" s="1"/>
  <c r="CR87" i="1" s="1"/>
  <c r="CM87" i="1"/>
  <c r="CN87" i="1" s="1"/>
  <c r="CC87" i="1"/>
  <c r="CD87" i="1" s="1"/>
  <c r="CE87" i="1" s="1"/>
  <c r="BU87" i="1"/>
  <c r="BV87" i="1" s="1"/>
  <c r="BP87" i="1"/>
  <c r="BQ87" i="1" s="1"/>
  <c r="BR87" i="1" s="1"/>
  <c r="BO87" i="1"/>
  <c r="BJ87" i="1"/>
  <c r="BH87" i="1"/>
  <c r="BI87" i="1" s="1"/>
  <c r="BA87" i="1"/>
  <c r="BB87" i="1" s="1"/>
  <c r="BC87" i="1" s="1"/>
  <c r="BD87" i="1" s="1"/>
  <c r="AS87" i="1"/>
  <c r="AT87" i="1" s="1"/>
  <c r="AU87" i="1" s="1"/>
  <c r="AV87" i="1" s="1"/>
  <c r="AW87" i="1" s="1"/>
  <c r="AX87" i="1" s="1"/>
  <c r="AN87" i="1"/>
  <c r="AO87" i="1" s="1"/>
  <c r="AP87" i="1" s="1"/>
  <c r="AQ87" i="1" s="1"/>
  <c r="AG87" i="1"/>
  <c r="AF87" i="1"/>
  <c r="AB87" i="1"/>
  <c r="AC87" i="1" s="1"/>
  <c r="AD87" i="1" s="1"/>
  <c r="AE87" i="1" s="1"/>
  <c r="W87" i="1"/>
  <c r="U87" i="1"/>
  <c r="CT86" i="1"/>
  <c r="CU86" i="1" s="1"/>
  <c r="CV86" i="1" s="1"/>
  <c r="CP86" i="1"/>
  <c r="CQ86" i="1" s="1"/>
  <c r="CR86" i="1" s="1"/>
  <c r="CM86" i="1"/>
  <c r="CN86" i="1" s="1"/>
  <c r="CC86" i="1"/>
  <c r="CD86" i="1" s="1"/>
  <c r="CE86" i="1" s="1"/>
  <c r="BU86" i="1"/>
  <c r="BV86" i="1" s="1"/>
  <c r="BP86" i="1"/>
  <c r="BQ86" i="1" s="1"/>
  <c r="BR86" i="1" s="1"/>
  <c r="BJ86" i="1"/>
  <c r="BH86" i="1"/>
  <c r="BI86" i="1" s="1"/>
  <c r="BA86" i="1"/>
  <c r="BB86" i="1" s="1"/>
  <c r="BC86" i="1" s="1"/>
  <c r="BD86" i="1" s="1"/>
  <c r="AZ86" i="1"/>
  <c r="AS86" i="1"/>
  <c r="AT86" i="1" s="1"/>
  <c r="AU86" i="1" s="1"/>
  <c r="AV86" i="1" s="1"/>
  <c r="AW86" i="1" s="1"/>
  <c r="AX86" i="1" s="1"/>
  <c r="AN86" i="1"/>
  <c r="AO86" i="1" s="1"/>
  <c r="AP86" i="1" s="1"/>
  <c r="AQ86" i="1" s="1"/>
  <c r="AG86" i="1"/>
  <c r="AF86" i="1"/>
  <c r="AB86" i="1"/>
  <c r="AC86" i="1" s="1"/>
  <c r="AD86" i="1" s="1"/>
  <c r="AE86" i="1" s="1"/>
  <c r="Z86" i="1"/>
  <c r="V86" i="1"/>
  <c r="CT85" i="1"/>
  <c r="CU85" i="1" s="1"/>
  <c r="CV85" i="1" s="1"/>
  <c r="CP85" i="1"/>
  <c r="CQ85" i="1" s="1"/>
  <c r="CR85" i="1" s="1"/>
  <c r="CM85" i="1"/>
  <c r="CN85" i="1" s="1"/>
  <c r="CC85" i="1"/>
  <c r="CD85" i="1" s="1"/>
  <c r="CE85" i="1" s="1"/>
  <c r="BU85" i="1"/>
  <c r="BV85" i="1" s="1"/>
  <c r="BP85" i="1"/>
  <c r="BQ85" i="1" s="1"/>
  <c r="BR85" i="1" s="1"/>
  <c r="BJ85" i="1"/>
  <c r="BH85" i="1"/>
  <c r="BI85" i="1" s="1"/>
  <c r="BA85" i="1"/>
  <c r="BB85" i="1" s="1"/>
  <c r="BC85" i="1" s="1"/>
  <c r="BD85" i="1" s="1"/>
  <c r="AZ85" i="1"/>
  <c r="AS85" i="1"/>
  <c r="AT85" i="1" s="1"/>
  <c r="AU85" i="1" s="1"/>
  <c r="AV85" i="1" s="1"/>
  <c r="AW85" i="1" s="1"/>
  <c r="AX85" i="1" s="1"/>
  <c r="AN85" i="1"/>
  <c r="AO85" i="1" s="1"/>
  <c r="AP85" i="1" s="1"/>
  <c r="AQ85" i="1" s="1"/>
  <c r="AG85" i="1"/>
  <c r="AF85" i="1"/>
  <c r="AB85" i="1"/>
  <c r="AC85" i="1" s="1"/>
  <c r="AD85" i="1" s="1"/>
  <c r="AE85" i="1" s="1"/>
  <c r="W85" i="1"/>
  <c r="V85" i="1"/>
  <c r="CT84" i="1"/>
  <c r="CU84" i="1" s="1"/>
  <c r="CV84" i="1" s="1"/>
  <c r="CP84" i="1"/>
  <c r="CQ84" i="1" s="1"/>
  <c r="CR84" i="1" s="1"/>
  <c r="CM84" i="1"/>
  <c r="CN84" i="1" s="1"/>
  <c r="CC84" i="1"/>
  <c r="CD84" i="1" s="1"/>
  <c r="CE84" i="1" s="1"/>
  <c r="BU84" i="1"/>
  <c r="BV84" i="1" s="1"/>
  <c r="BP84" i="1"/>
  <c r="BQ84" i="1" s="1"/>
  <c r="BR84" i="1" s="1"/>
  <c r="BJ84" i="1"/>
  <c r="BH84" i="1"/>
  <c r="BI84" i="1" s="1"/>
  <c r="BA84" i="1"/>
  <c r="BB84" i="1" s="1"/>
  <c r="BC84" i="1" s="1"/>
  <c r="BD84" i="1" s="1"/>
  <c r="AS84" i="1"/>
  <c r="AT84" i="1" s="1"/>
  <c r="AU84" i="1" s="1"/>
  <c r="AV84" i="1" s="1"/>
  <c r="AW84" i="1" s="1"/>
  <c r="AX84" i="1" s="1"/>
  <c r="AN84" i="1"/>
  <c r="AO84" i="1" s="1"/>
  <c r="AP84" i="1" s="1"/>
  <c r="AQ84" i="1" s="1"/>
  <c r="AG84" i="1"/>
  <c r="AF84" i="1"/>
  <c r="AB84" i="1"/>
  <c r="AC84" i="1" s="1"/>
  <c r="AD84" i="1" s="1"/>
  <c r="AE84" i="1" s="1"/>
  <c r="AA84" i="1"/>
  <c r="Z84" i="1"/>
  <c r="W84" i="1"/>
  <c r="V84" i="1"/>
  <c r="CT83" i="1"/>
  <c r="CU83" i="1" s="1"/>
  <c r="CV83" i="1" s="1"/>
  <c r="CP83" i="1"/>
  <c r="CQ83" i="1" s="1"/>
  <c r="CR83" i="1" s="1"/>
  <c r="CM83" i="1"/>
  <c r="CN83" i="1" s="1"/>
  <c r="CC83" i="1"/>
  <c r="CD83" i="1" s="1"/>
  <c r="CE83" i="1" s="1"/>
  <c r="BU83" i="1"/>
  <c r="BV83" i="1" s="1"/>
  <c r="BP83" i="1"/>
  <c r="BQ83" i="1" s="1"/>
  <c r="BR83" i="1" s="1"/>
  <c r="BJ83" i="1"/>
  <c r="BH83" i="1"/>
  <c r="BI83" i="1" s="1"/>
  <c r="BA83" i="1"/>
  <c r="BB83" i="1" s="1"/>
  <c r="BC83" i="1" s="1"/>
  <c r="BD83" i="1" s="1"/>
  <c r="AZ83" i="1"/>
  <c r="AS83" i="1"/>
  <c r="AT83" i="1" s="1"/>
  <c r="AU83" i="1" s="1"/>
  <c r="AV83" i="1" s="1"/>
  <c r="AW83" i="1" s="1"/>
  <c r="AX83" i="1" s="1"/>
  <c r="AN83" i="1"/>
  <c r="AO83" i="1" s="1"/>
  <c r="AP83" i="1" s="1"/>
  <c r="AQ83" i="1" s="1"/>
  <c r="AG83" i="1"/>
  <c r="AF83" i="1"/>
  <c r="AB83" i="1"/>
  <c r="AC83" i="1" s="1"/>
  <c r="AD83" i="1" s="1"/>
  <c r="AE83" i="1" s="1"/>
  <c r="W83" i="1"/>
  <c r="V83" i="1"/>
  <c r="CT82" i="1"/>
  <c r="CU82" i="1" s="1"/>
  <c r="CV82" i="1" s="1"/>
  <c r="CP82" i="1"/>
  <c r="CQ82" i="1" s="1"/>
  <c r="CR82" i="1" s="1"/>
  <c r="CM82" i="1"/>
  <c r="CN82" i="1" s="1"/>
  <c r="CC82" i="1"/>
  <c r="CD82" i="1" s="1"/>
  <c r="CE82" i="1" s="1"/>
  <c r="BU82" i="1"/>
  <c r="BV82" i="1" s="1"/>
  <c r="BP82" i="1"/>
  <c r="BQ82" i="1" s="1"/>
  <c r="BR82" i="1" s="1"/>
  <c r="BJ82" i="1"/>
  <c r="BH82" i="1"/>
  <c r="BI82" i="1" s="1"/>
  <c r="BA82" i="1"/>
  <c r="BB82" i="1" s="1"/>
  <c r="BC82" i="1" s="1"/>
  <c r="BD82" i="1" s="1"/>
  <c r="AS82" i="1"/>
  <c r="AT82" i="1" s="1"/>
  <c r="AU82" i="1" s="1"/>
  <c r="AV82" i="1" s="1"/>
  <c r="AW82" i="1" s="1"/>
  <c r="AX82" i="1" s="1"/>
  <c r="AN82" i="1"/>
  <c r="AO82" i="1" s="1"/>
  <c r="AP82" i="1" s="1"/>
  <c r="AQ82" i="1" s="1"/>
  <c r="AG82" i="1"/>
  <c r="AF82" i="1"/>
  <c r="AB82" i="1"/>
  <c r="AC82" i="1" s="1"/>
  <c r="AD82" i="1" s="1"/>
  <c r="AE82" i="1" s="1"/>
  <c r="W82" i="1"/>
  <c r="V82" i="1"/>
  <c r="CT81" i="1"/>
  <c r="CU81" i="1" s="1"/>
  <c r="CV81" i="1" s="1"/>
  <c r="CP81" i="1"/>
  <c r="CQ81" i="1" s="1"/>
  <c r="CR81" i="1" s="1"/>
  <c r="CM81" i="1"/>
  <c r="CN81" i="1" s="1"/>
  <c r="CC81" i="1"/>
  <c r="CD81" i="1" s="1"/>
  <c r="CE81" i="1" s="1"/>
  <c r="BU81" i="1"/>
  <c r="BV81" i="1" s="1"/>
  <c r="BP81" i="1"/>
  <c r="BQ81" i="1" s="1"/>
  <c r="BR81" i="1" s="1"/>
  <c r="BJ81" i="1"/>
  <c r="BH81" i="1"/>
  <c r="BI81" i="1" s="1"/>
  <c r="BA81" i="1"/>
  <c r="BB81" i="1" s="1"/>
  <c r="BC81" i="1" s="1"/>
  <c r="BD81" i="1" s="1"/>
  <c r="AZ81" i="1"/>
  <c r="AS81" i="1"/>
  <c r="AT81" i="1" s="1"/>
  <c r="AU81" i="1" s="1"/>
  <c r="AV81" i="1" s="1"/>
  <c r="AW81" i="1" s="1"/>
  <c r="AX81" i="1" s="1"/>
  <c r="AN81" i="1"/>
  <c r="AO81" i="1" s="1"/>
  <c r="AP81" i="1" s="1"/>
  <c r="AQ81" i="1" s="1"/>
  <c r="AG81" i="1"/>
  <c r="AF81" i="1"/>
  <c r="AB81" i="1"/>
  <c r="AC81" i="1" s="1"/>
  <c r="AD81" i="1" s="1"/>
  <c r="AE81" i="1" s="1"/>
  <c r="W81" i="1"/>
  <c r="U81" i="1"/>
  <c r="CT80" i="1"/>
  <c r="CU80" i="1" s="1"/>
  <c r="CV80" i="1" s="1"/>
  <c r="CP80" i="1"/>
  <c r="CQ80" i="1" s="1"/>
  <c r="CR80" i="1" s="1"/>
  <c r="CM80" i="1"/>
  <c r="CN80" i="1" s="1"/>
  <c r="CC80" i="1"/>
  <c r="CD80" i="1" s="1"/>
  <c r="CE80" i="1" s="1"/>
  <c r="BU80" i="1"/>
  <c r="BV80" i="1" s="1"/>
  <c r="BP80" i="1"/>
  <c r="BQ80" i="1" s="1"/>
  <c r="BR80" i="1" s="1"/>
  <c r="BJ80" i="1"/>
  <c r="BH80" i="1"/>
  <c r="BI80" i="1" s="1"/>
  <c r="BA80" i="1"/>
  <c r="BB80" i="1" s="1"/>
  <c r="BC80" i="1" s="1"/>
  <c r="BD80" i="1" s="1"/>
  <c r="AZ80" i="1"/>
  <c r="AS80" i="1"/>
  <c r="AT80" i="1" s="1"/>
  <c r="AU80" i="1" s="1"/>
  <c r="AV80" i="1" s="1"/>
  <c r="AW80" i="1" s="1"/>
  <c r="AX80" i="1" s="1"/>
  <c r="AN80" i="1"/>
  <c r="AO80" i="1" s="1"/>
  <c r="AP80" i="1" s="1"/>
  <c r="AQ80" i="1" s="1"/>
  <c r="AG80" i="1"/>
  <c r="AF80" i="1"/>
  <c r="AB80" i="1"/>
  <c r="AC80" i="1" s="1"/>
  <c r="AD80" i="1" s="1"/>
  <c r="AE80" i="1" s="1"/>
  <c r="CT79" i="1"/>
  <c r="CU79" i="1" s="1"/>
  <c r="CV79" i="1" s="1"/>
  <c r="CP79" i="1"/>
  <c r="CQ79" i="1" s="1"/>
  <c r="CR79" i="1" s="1"/>
  <c r="CM79" i="1"/>
  <c r="CN79" i="1" s="1"/>
  <c r="CC79" i="1"/>
  <c r="CD79" i="1" s="1"/>
  <c r="CE79" i="1" s="1"/>
  <c r="BU79" i="1"/>
  <c r="BV79" i="1" s="1"/>
  <c r="BP79" i="1"/>
  <c r="BQ79" i="1" s="1"/>
  <c r="BR79" i="1" s="1"/>
  <c r="BJ79" i="1"/>
  <c r="BH79" i="1"/>
  <c r="BI79" i="1" s="1"/>
  <c r="BA79" i="1"/>
  <c r="BB79" i="1" s="1"/>
  <c r="BC79" i="1" s="1"/>
  <c r="BD79" i="1" s="1"/>
  <c r="AS79" i="1"/>
  <c r="AT79" i="1" s="1"/>
  <c r="AU79" i="1" s="1"/>
  <c r="AV79" i="1" s="1"/>
  <c r="AW79" i="1" s="1"/>
  <c r="AX79" i="1" s="1"/>
  <c r="AN79" i="1"/>
  <c r="AO79" i="1" s="1"/>
  <c r="AP79" i="1" s="1"/>
  <c r="AQ79" i="1" s="1"/>
  <c r="AG79" i="1"/>
  <c r="AF79" i="1"/>
  <c r="AB79" i="1"/>
  <c r="AC79" i="1" s="1"/>
  <c r="AD79" i="1" s="1"/>
  <c r="AE79" i="1" s="1"/>
  <c r="Z79" i="1"/>
  <c r="W79" i="1"/>
  <c r="V79" i="1"/>
  <c r="CT78" i="1"/>
  <c r="CU78" i="1" s="1"/>
  <c r="CV78" i="1" s="1"/>
  <c r="CP78" i="1"/>
  <c r="CQ78" i="1" s="1"/>
  <c r="CR78" i="1" s="1"/>
  <c r="CM78" i="1"/>
  <c r="CN78" i="1" s="1"/>
  <c r="CC78" i="1"/>
  <c r="CD78" i="1" s="1"/>
  <c r="CE78" i="1" s="1"/>
  <c r="BU78" i="1"/>
  <c r="BV78" i="1" s="1"/>
  <c r="BP78" i="1"/>
  <c r="BQ78" i="1" s="1"/>
  <c r="BR78" i="1" s="1"/>
  <c r="BJ78" i="1"/>
  <c r="BH78" i="1"/>
  <c r="BI78" i="1" s="1"/>
  <c r="BA78" i="1"/>
  <c r="BB78" i="1" s="1"/>
  <c r="BC78" i="1" s="1"/>
  <c r="BD78" i="1" s="1"/>
  <c r="AS78" i="1"/>
  <c r="AT78" i="1" s="1"/>
  <c r="AU78" i="1" s="1"/>
  <c r="AV78" i="1" s="1"/>
  <c r="AW78" i="1" s="1"/>
  <c r="AX78" i="1" s="1"/>
  <c r="AN78" i="1"/>
  <c r="AO78" i="1" s="1"/>
  <c r="AP78" i="1" s="1"/>
  <c r="AQ78" i="1" s="1"/>
  <c r="AG78" i="1"/>
  <c r="AF78" i="1"/>
  <c r="AB78" i="1"/>
  <c r="AC78" i="1" s="1"/>
  <c r="AD78" i="1" s="1"/>
  <c r="AE78" i="1" s="1"/>
  <c r="W78" i="1"/>
  <c r="U78" i="1"/>
  <c r="CT77" i="1"/>
  <c r="CU77" i="1" s="1"/>
  <c r="CV77" i="1" s="1"/>
  <c r="CP77" i="1"/>
  <c r="CQ77" i="1" s="1"/>
  <c r="CR77" i="1" s="1"/>
  <c r="CM77" i="1"/>
  <c r="CN77" i="1" s="1"/>
  <c r="CC77" i="1"/>
  <c r="CD77" i="1" s="1"/>
  <c r="CE77" i="1" s="1"/>
  <c r="BU77" i="1"/>
  <c r="BV77" i="1" s="1"/>
  <c r="BP77" i="1"/>
  <c r="BQ77" i="1" s="1"/>
  <c r="BR77" i="1" s="1"/>
  <c r="BO77" i="1"/>
  <c r="BJ77" i="1"/>
  <c r="BH77" i="1"/>
  <c r="BI77" i="1" s="1"/>
  <c r="BE77" i="1"/>
  <c r="BA77" i="1"/>
  <c r="BB77" i="1" s="1"/>
  <c r="BC77" i="1" s="1"/>
  <c r="BD77" i="1" s="1"/>
  <c r="AZ77" i="1"/>
  <c r="AS77" i="1"/>
  <c r="AT77" i="1" s="1"/>
  <c r="AU77" i="1" s="1"/>
  <c r="AV77" i="1" s="1"/>
  <c r="AW77" i="1" s="1"/>
  <c r="AX77" i="1" s="1"/>
  <c r="AN77" i="1"/>
  <c r="AO77" i="1" s="1"/>
  <c r="AP77" i="1" s="1"/>
  <c r="AQ77" i="1" s="1"/>
  <c r="AG77" i="1"/>
  <c r="AF77" i="1"/>
  <c r="AB77" i="1"/>
  <c r="AC77" i="1" s="1"/>
  <c r="AD77" i="1" s="1"/>
  <c r="AE77" i="1" s="1"/>
  <c r="V77" i="1"/>
  <c r="CT76" i="1"/>
  <c r="CU76" i="1" s="1"/>
  <c r="CV76" i="1" s="1"/>
  <c r="CP76" i="1"/>
  <c r="CQ76" i="1" s="1"/>
  <c r="CR76" i="1" s="1"/>
  <c r="CM76" i="1"/>
  <c r="CN76" i="1" s="1"/>
  <c r="CJ76" i="1"/>
  <c r="BU76" i="1"/>
  <c r="BV76" i="1" s="1"/>
  <c r="BP76" i="1"/>
  <c r="BQ76" i="1" s="1"/>
  <c r="BR76" i="1" s="1"/>
  <c r="BJ76" i="1"/>
  <c r="BH76" i="1"/>
  <c r="BI76" i="1" s="1"/>
  <c r="BA76" i="1"/>
  <c r="BB76" i="1" s="1"/>
  <c r="BC76" i="1" s="1"/>
  <c r="BD76" i="1" s="1"/>
  <c r="AZ76" i="1"/>
  <c r="AS76" i="1"/>
  <c r="AT76" i="1" s="1"/>
  <c r="AU76" i="1" s="1"/>
  <c r="AV76" i="1" s="1"/>
  <c r="AW76" i="1" s="1"/>
  <c r="AX76" i="1" s="1"/>
  <c r="AN76" i="1"/>
  <c r="AO76" i="1" s="1"/>
  <c r="AP76" i="1" s="1"/>
  <c r="AQ76" i="1" s="1"/>
  <c r="AG76" i="1"/>
  <c r="AF76" i="1"/>
  <c r="AB76" i="1"/>
  <c r="AC76" i="1" s="1"/>
  <c r="AD76" i="1" s="1"/>
  <c r="AE76" i="1" s="1"/>
  <c r="W76" i="1"/>
  <c r="CT75" i="1"/>
  <c r="CU75" i="1" s="1"/>
  <c r="CV75" i="1" s="1"/>
  <c r="CP75" i="1"/>
  <c r="CQ75" i="1" s="1"/>
  <c r="CR75" i="1" s="1"/>
  <c r="CM75" i="1"/>
  <c r="CN75" i="1" s="1"/>
  <c r="CC75" i="1"/>
  <c r="CD75" i="1" s="1"/>
  <c r="CE75" i="1" s="1"/>
  <c r="BU75" i="1"/>
  <c r="BV75" i="1" s="1"/>
  <c r="BP75" i="1"/>
  <c r="BQ75" i="1" s="1"/>
  <c r="BR75" i="1" s="1"/>
  <c r="BO75" i="1"/>
  <c r="BJ75" i="1"/>
  <c r="BH75" i="1"/>
  <c r="BI75" i="1" s="1"/>
  <c r="BA75" i="1"/>
  <c r="BB75" i="1" s="1"/>
  <c r="BC75" i="1" s="1"/>
  <c r="BD75" i="1" s="1"/>
  <c r="AS75" i="1"/>
  <c r="AT75" i="1" s="1"/>
  <c r="AU75" i="1" s="1"/>
  <c r="AV75" i="1" s="1"/>
  <c r="AW75" i="1" s="1"/>
  <c r="AX75" i="1" s="1"/>
  <c r="AN75" i="1"/>
  <c r="AO75" i="1" s="1"/>
  <c r="AP75" i="1" s="1"/>
  <c r="AQ75" i="1" s="1"/>
  <c r="AG75" i="1"/>
  <c r="AF75" i="1"/>
  <c r="AB75" i="1"/>
  <c r="AC75" i="1" s="1"/>
  <c r="AD75" i="1" s="1"/>
  <c r="AE75" i="1" s="1"/>
  <c r="W75" i="1"/>
  <c r="V75" i="1"/>
  <c r="U75" i="1"/>
  <c r="CT74" i="1"/>
  <c r="CU74" i="1" s="1"/>
  <c r="CV74" i="1" s="1"/>
  <c r="CP74" i="1"/>
  <c r="CQ74" i="1" s="1"/>
  <c r="CR74" i="1" s="1"/>
  <c r="CM74" i="1"/>
  <c r="CN74" i="1" s="1"/>
  <c r="CC74" i="1"/>
  <c r="CD74" i="1" s="1"/>
  <c r="CE74" i="1" s="1"/>
  <c r="BU74" i="1"/>
  <c r="BV74" i="1" s="1"/>
  <c r="BP74" i="1"/>
  <c r="BQ74" i="1" s="1"/>
  <c r="BR74" i="1" s="1"/>
  <c r="BO74" i="1"/>
  <c r="BJ74" i="1"/>
  <c r="BH74" i="1"/>
  <c r="BI74" i="1" s="1"/>
  <c r="BA74" i="1"/>
  <c r="BB74" i="1" s="1"/>
  <c r="BC74" i="1" s="1"/>
  <c r="BD74" i="1" s="1"/>
  <c r="AZ74" i="1"/>
  <c r="AS74" i="1"/>
  <c r="AT74" i="1" s="1"/>
  <c r="AU74" i="1" s="1"/>
  <c r="AV74" i="1" s="1"/>
  <c r="AW74" i="1" s="1"/>
  <c r="AX74" i="1" s="1"/>
  <c r="AN74" i="1"/>
  <c r="AO74" i="1" s="1"/>
  <c r="AP74" i="1" s="1"/>
  <c r="AQ74" i="1" s="1"/>
  <c r="AG74" i="1"/>
  <c r="AF74" i="1"/>
  <c r="AB74" i="1"/>
  <c r="AC74" i="1" s="1"/>
  <c r="AD74" i="1" s="1"/>
  <c r="AE74" i="1" s="1"/>
  <c r="V74" i="1"/>
  <c r="U74" i="1"/>
  <c r="CT73" i="1"/>
  <c r="CU73" i="1" s="1"/>
  <c r="CV73" i="1" s="1"/>
  <c r="CP73" i="1"/>
  <c r="CQ73" i="1" s="1"/>
  <c r="CR73" i="1" s="1"/>
  <c r="CM73" i="1"/>
  <c r="CN73" i="1" s="1"/>
  <c r="CC73" i="1"/>
  <c r="CD73" i="1" s="1"/>
  <c r="CE73" i="1" s="1"/>
  <c r="BU73" i="1"/>
  <c r="BV73" i="1" s="1"/>
  <c r="BP73" i="1"/>
  <c r="BQ73" i="1" s="1"/>
  <c r="BR73" i="1" s="1"/>
  <c r="BO73" i="1"/>
  <c r="BJ73" i="1"/>
  <c r="BH73" i="1"/>
  <c r="BI73" i="1" s="1"/>
  <c r="BA73" i="1"/>
  <c r="BB73" i="1" s="1"/>
  <c r="BC73" i="1" s="1"/>
  <c r="BD73" i="1" s="1"/>
  <c r="AS73" i="1"/>
  <c r="AT73" i="1" s="1"/>
  <c r="AU73" i="1" s="1"/>
  <c r="AV73" i="1" s="1"/>
  <c r="AW73" i="1" s="1"/>
  <c r="AX73" i="1" s="1"/>
  <c r="AN73" i="1"/>
  <c r="AO73" i="1" s="1"/>
  <c r="AP73" i="1" s="1"/>
  <c r="AQ73" i="1" s="1"/>
  <c r="AG73" i="1"/>
  <c r="AF73" i="1"/>
  <c r="AB73" i="1"/>
  <c r="AC73" i="1" s="1"/>
  <c r="AD73" i="1" s="1"/>
  <c r="AE73" i="1" s="1"/>
  <c r="V73" i="1"/>
  <c r="U73" i="1"/>
  <c r="CT72" i="1"/>
  <c r="CU72" i="1" s="1"/>
  <c r="CV72" i="1" s="1"/>
  <c r="CP72" i="1"/>
  <c r="CQ72" i="1" s="1"/>
  <c r="CR72" i="1" s="1"/>
  <c r="CM72" i="1"/>
  <c r="CN72" i="1" s="1"/>
  <c r="CC72" i="1"/>
  <c r="CD72" i="1" s="1"/>
  <c r="CE72" i="1" s="1"/>
  <c r="BU72" i="1"/>
  <c r="BV72" i="1" s="1"/>
  <c r="BP72" i="1"/>
  <c r="BQ72" i="1" s="1"/>
  <c r="BR72" i="1" s="1"/>
  <c r="BJ72" i="1"/>
  <c r="BH72" i="1"/>
  <c r="BI72" i="1" s="1"/>
  <c r="BA72" i="1"/>
  <c r="BB72" i="1" s="1"/>
  <c r="BC72" i="1" s="1"/>
  <c r="BD72" i="1" s="1"/>
  <c r="AZ72" i="1"/>
  <c r="AS72" i="1"/>
  <c r="AT72" i="1" s="1"/>
  <c r="AU72" i="1" s="1"/>
  <c r="AV72" i="1" s="1"/>
  <c r="AW72" i="1" s="1"/>
  <c r="AX72" i="1" s="1"/>
  <c r="AN72" i="1"/>
  <c r="AO72" i="1" s="1"/>
  <c r="AP72" i="1" s="1"/>
  <c r="AQ72" i="1" s="1"/>
  <c r="AG72" i="1"/>
  <c r="AF72" i="1"/>
  <c r="AB72" i="1"/>
  <c r="AC72" i="1" s="1"/>
  <c r="AD72" i="1" s="1"/>
  <c r="AE72" i="1" s="1"/>
  <c r="CT71" i="1"/>
  <c r="CU71" i="1" s="1"/>
  <c r="CV71" i="1" s="1"/>
  <c r="CP71" i="1"/>
  <c r="CQ71" i="1" s="1"/>
  <c r="CR71" i="1" s="1"/>
  <c r="CM71" i="1"/>
  <c r="CN71" i="1" s="1"/>
  <c r="CC71" i="1"/>
  <c r="CD71" i="1" s="1"/>
  <c r="CE71" i="1" s="1"/>
  <c r="BU71" i="1"/>
  <c r="BV71" i="1" s="1"/>
  <c r="BP71" i="1"/>
  <c r="BQ71" i="1" s="1"/>
  <c r="BR71" i="1" s="1"/>
  <c r="BJ71" i="1"/>
  <c r="BH71" i="1"/>
  <c r="BI71" i="1" s="1"/>
  <c r="BA71" i="1"/>
  <c r="BB71" i="1" s="1"/>
  <c r="BC71" i="1" s="1"/>
  <c r="BD71" i="1" s="1"/>
  <c r="AS71" i="1"/>
  <c r="AT71" i="1" s="1"/>
  <c r="AU71" i="1" s="1"/>
  <c r="AV71" i="1" s="1"/>
  <c r="AW71" i="1" s="1"/>
  <c r="AX71" i="1" s="1"/>
  <c r="AN71" i="1"/>
  <c r="AO71" i="1" s="1"/>
  <c r="AP71" i="1" s="1"/>
  <c r="AQ71" i="1" s="1"/>
  <c r="AG71" i="1"/>
  <c r="AF71" i="1"/>
  <c r="AB71" i="1"/>
  <c r="AC71" i="1" s="1"/>
  <c r="AD71" i="1" s="1"/>
  <c r="AE71" i="1" s="1"/>
  <c r="Z71" i="1"/>
  <c r="U71" i="1"/>
  <c r="CT70" i="1"/>
  <c r="CU70" i="1" s="1"/>
  <c r="CV70" i="1" s="1"/>
  <c r="CP70" i="1"/>
  <c r="CQ70" i="1" s="1"/>
  <c r="CR70" i="1" s="1"/>
  <c r="CM70" i="1"/>
  <c r="CN70" i="1" s="1"/>
  <c r="CC70" i="1"/>
  <c r="CD70" i="1" s="1"/>
  <c r="CE70" i="1" s="1"/>
  <c r="BU70" i="1"/>
  <c r="BV70" i="1" s="1"/>
  <c r="BP70" i="1"/>
  <c r="BQ70" i="1" s="1"/>
  <c r="BR70" i="1" s="1"/>
  <c r="BJ70" i="1"/>
  <c r="BH70" i="1"/>
  <c r="BI70" i="1" s="1"/>
  <c r="BE70" i="1"/>
  <c r="BA70" i="1"/>
  <c r="BB70" i="1" s="1"/>
  <c r="BC70" i="1" s="1"/>
  <c r="BD70" i="1" s="1"/>
  <c r="AZ70" i="1"/>
  <c r="AS70" i="1"/>
  <c r="AT70" i="1" s="1"/>
  <c r="AU70" i="1" s="1"/>
  <c r="AV70" i="1" s="1"/>
  <c r="AW70" i="1" s="1"/>
  <c r="AX70" i="1" s="1"/>
  <c r="AN70" i="1"/>
  <c r="AO70" i="1" s="1"/>
  <c r="AP70" i="1" s="1"/>
  <c r="AQ70" i="1" s="1"/>
  <c r="AG70" i="1"/>
  <c r="AF70" i="1"/>
  <c r="AB70" i="1"/>
  <c r="AC70" i="1" s="1"/>
  <c r="AD70" i="1" s="1"/>
  <c r="AE70" i="1" s="1"/>
  <c r="W70" i="1"/>
  <c r="U70" i="1"/>
  <c r="CT69" i="1"/>
  <c r="CU69" i="1" s="1"/>
  <c r="CV69" i="1" s="1"/>
  <c r="CP69" i="1"/>
  <c r="CQ69" i="1" s="1"/>
  <c r="CR69" i="1" s="1"/>
  <c r="CM69" i="1"/>
  <c r="CN69" i="1" s="1"/>
  <c r="CC69" i="1"/>
  <c r="CD69" i="1" s="1"/>
  <c r="CE69" i="1" s="1"/>
  <c r="BU69" i="1"/>
  <c r="BV69" i="1" s="1"/>
  <c r="BP69" i="1"/>
  <c r="BQ69" i="1" s="1"/>
  <c r="BR69" i="1" s="1"/>
  <c r="BJ69" i="1"/>
  <c r="BH69" i="1"/>
  <c r="BI69" i="1" s="1"/>
  <c r="BA69" i="1"/>
  <c r="BB69" i="1" s="1"/>
  <c r="BC69" i="1" s="1"/>
  <c r="BD69" i="1" s="1"/>
  <c r="AS69" i="1"/>
  <c r="AT69" i="1" s="1"/>
  <c r="AU69" i="1" s="1"/>
  <c r="AV69" i="1" s="1"/>
  <c r="AW69" i="1" s="1"/>
  <c r="AX69" i="1" s="1"/>
  <c r="AN69" i="1"/>
  <c r="AO69" i="1" s="1"/>
  <c r="AP69" i="1" s="1"/>
  <c r="AQ69" i="1" s="1"/>
  <c r="AG69" i="1"/>
  <c r="AF69" i="1"/>
  <c r="AB69" i="1"/>
  <c r="AC69" i="1" s="1"/>
  <c r="AD69" i="1" s="1"/>
  <c r="AE69" i="1" s="1"/>
  <c r="Z69" i="1"/>
  <c r="W69" i="1"/>
  <c r="V69" i="1"/>
  <c r="U69" i="1"/>
  <c r="CT68" i="1"/>
  <c r="CU68" i="1" s="1"/>
  <c r="CV68" i="1" s="1"/>
  <c r="CP68" i="1"/>
  <c r="CQ68" i="1" s="1"/>
  <c r="CR68" i="1" s="1"/>
  <c r="CM68" i="1"/>
  <c r="CN68" i="1" s="1"/>
  <c r="CC68" i="1"/>
  <c r="CD68" i="1" s="1"/>
  <c r="CE68" i="1" s="1"/>
  <c r="BU68" i="1"/>
  <c r="BV68" i="1" s="1"/>
  <c r="BP68" i="1"/>
  <c r="BQ68" i="1" s="1"/>
  <c r="BR68" i="1" s="1"/>
  <c r="BO68" i="1"/>
  <c r="BJ68" i="1"/>
  <c r="BH68" i="1"/>
  <c r="BI68" i="1" s="1"/>
  <c r="BA68" i="1"/>
  <c r="BB68" i="1" s="1"/>
  <c r="BC68" i="1" s="1"/>
  <c r="BD68" i="1" s="1"/>
  <c r="AS68" i="1"/>
  <c r="AT68" i="1" s="1"/>
  <c r="AU68" i="1" s="1"/>
  <c r="AV68" i="1" s="1"/>
  <c r="AW68" i="1" s="1"/>
  <c r="AX68" i="1" s="1"/>
  <c r="AN68" i="1"/>
  <c r="AO68" i="1" s="1"/>
  <c r="AP68" i="1" s="1"/>
  <c r="AQ68" i="1" s="1"/>
  <c r="AG68" i="1"/>
  <c r="AF68" i="1"/>
  <c r="AB68" i="1"/>
  <c r="AC68" i="1" s="1"/>
  <c r="AD68" i="1" s="1"/>
  <c r="AE68" i="1" s="1"/>
  <c r="W68" i="1"/>
  <c r="V68" i="1"/>
  <c r="CT67" i="1"/>
  <c r="CU67" i="1" s="1"/>
  <c r="CV67" i="1" s="1"/>
  <c r="CP67" i="1"/>
  <c r="CQ67" i="1" s="1"/>
  <c r="CR67" i="1" s="1"/>
  <c r="CM67" i="1"/>
  <c r="CN67" i="1" s="1"/>
  <c r="CC67" i="1"/>
  <c r="CD67" i="1" s="1"/>
  <c r="CE67" i="1" s="1"/>
  <c r="BU67" i="1"/>
  <c r="BV67" i="1" s="1"/>
  <c r="BP67" i="1"/>
  <c r="BQ67" i="1" s="1"/>
  <c r="BR67" i="1" s="1"/>
  <c r="BJ67" i="1"/>
  <c r="BH67" i="1"/>
  <c r="BI67" i="1" s="1"/>
  <c r="BA67" i="1"/>
  <c r="BB67" i="1" s="1"/>
  <c r="BC67" i="1" s="1"/>
  <c r="BD67" i="1" s="1"/>
  <c r="AS67" i="1"/>
  <c r="AT67" i="1" s="1"/>
  <c r="AU67" i="1" s="1"/>
  <c r="AV67" i="1" s="1"/>
  <c r="AW67" i="1" s="1"/>
  <c r="AX67" i="1" s="1"/>
  <c r="AN67" i="1"/>
  <c r="AO67" i="1" s="1"/>
  <c r="AP67" i="1" s="1"/>
  <c r="AQ67" i="1" s="1"/>
  <c r="AG67" i="1"/>
  <c r="AF67" i="1"/>
  <c r="AB67" i="1"/>
  <c r="AC67" i="1" s="1"/>
  <c r="AD67" i="1" s="1"/>
  <c r="AE67" i="1" s="1"/>
  <c r="W67" i="1"/>
  <c r="V67" i="1"/>
  <c r="U67" i="1"/>
  <c r="CT66" i="1"/>
  <c r="CU66" i="1" s="1"/>
  <c r="CV66" i="1" s="1"/>
  <c r="CP66" i="1"/>
  <c r="CQ66" i="1" s="1"/>
  <c r="CR66" i="1" s="1"/>
  <c r="CM66" i="1"/>
  <c r="CN66" i="1" s="1"/>
  <c r="CC66" i="1"/>
  <c r="CD66" i="1" s="1"/>
  <c r="CE66" i="1" s="1"/>
  <c r="BU66" i="1"/>
  <c r="BV66" i="1" s="1"/>
  <c r="BP66" i="1"/>
  <c r="BQ66" i="1" s="1"/>
  <c r="BR66" i="1" s="1"/>
  <c r="BJ66" i="1"/>
  <c r="BH66" i="1"/>
  <c r="BI66" i="1" s="1"/>
  <c r="BA66" i="1"/>
  <c r="BB66" i="1" s="1"/>
  <c r="BC66" i="1" s="1"/>
  <c r="BD66" i="1" s="1"/>
  <c r="AS66" i="1"/>
  <c r="AT66" i="1" s="1"/>
  <c r="AU66" i="1" s="1"/>
  <c r="AV66" i="1" s="1"/>
  <c r="AW66" i="1" s="1"/>
  <c r="AX66" i="1" s="1"/>
  <c r="AN66" i="1"/>
  <c r="AO66" i="1" s="1"/>
  <c r="AP66" i="1" s="1"/>
  <c r="AQ66" i="1" s="1"/>
  <c r="AG66" i="1"/>
  <c r="AF66" i="1"/>
  <c r="AB66" i="1"/>
  <c r="AC66" i="1" s="1"/>
  <c r="AD66" i="1" s="1"/>
  <c r="AE66" i="1" s="1"/>
  <c r="Z66" i="1"/>
  <c r="V66" i="1"/>
  <c r="CT65" i="1"/>
  <c r="CU65" i="1" s="1"/>
  <c r="CV65" i="1" s="1"/>
  <c r="CP65" i="1"/>
  <c r="CQ65" i="1" s="1"/>
  <c r="CR65" i="1" s="1"/>
  <c r="CM65" i="1"/>
  <c r="CN65" i="1" s="1"/>
  <c r="CC65" i="1"/>
  <c r="CD65" i="1" s="1"/>
  <c r="CE65" i="1" s="1"/>
  <c r="BU65" i="1"/>
  <c r="BV65" i="1" s="1"/>
  <c r="BP65" i="1"/>
  <c r="BQ65" i="1" s="1"/>
  <c r="BR65" i="1" s="1"/>
  <c r="BJ65" i="1"/>
  <c r="BH65" i="1"/>
  <c r="BI65" i="1" s="1"/>
  <c r="BA65" i="1"/>
  <c r="BB65" i="1" s="1"/>
  <c r="BC65" i="1" s="1"/>
  <c r="BD65" i="1" s="1"/>
  <c r="AS65" i="1"/>
  <c r="AT65" i="1" s="1"/>
  <c r="AU65" i="1" s="1"/>
  <c r="AV65" i="1" s="1"/>
  <c r="AW65" i="1" s="1"/>
  <c r="AX65" i="1" s="1"/>
  <c r="AN65" i="1"/>
  <c r="AO65" i="1" s="1"/>
  <c r="AP65" i="1" s="1"/>
  <c r="AQ65" i="1" s="1"/>
  <c r="AG65" i="1"/>
  <c r="AF65" i="1"/>
  <c r="AB65" i="1"/>
  <c r="AC65" i="1" s="1"/>
  <c r="AD65" i="1" s="1"/>
  <c r="AE65" i="1" s="1"/>
  <c r="U65" i="1"/>
  <c r="CT64" i="1"/>
  <c r="CU64" i="1" s="1"/>
  <c r="CV64" i="1" s="1"/>
  <c r="CP64" i="1"/>
  <c r="CQ64" i="1" s="1"/>
  <c r="CR64" i="1" s="1"/>
  <c r="CM64" i="1"/>
  <c r="CN64" i="1" s="1"/>
  <c r="CC64" i="1"/>
  <c r="CD64" i="1" s="1"/>
  <c r="CE64" i="1" s="1"/>
  <c r="BU64" i="1"/>
  <c r="BV64" i="1" s="1"/>
  <c r="BP64" i="1"/>
  <c r="BQ64" i="1" s="1"/>
  <c r="BR64" i="1" s="1"/>
  <c r="BJ64" i="1"/>
  <c r="BH64" i="1"/>
  <c r="BI64" i="1" s="1"/>
  <c r="BA64" i="1"/>
  <c r="BB64" i="1" s="1"/>
  <c r="BC64" i="1" s="1"/>
  <c r="BD64" i="1" s="1"/>
  <c r="AS64" i="1"/>
  <c r="AT64" i="1" s="1"/>
  <c r="AU64" i="1" s="1"/>
  <c r="AV64" i="1" s="1"/>
  <c r="AW64" i="1" s="1"/>
  <c r="AX64" i="1" s="1"/>
  <c r="AN64" i="1"/>
  <c r="AO64" i="1" s="1"/>
  <c r="AP64" i="1" s="1"/>
  <c r="AQ64" i="1" s="1"/>
  <c r="AG64" i="1"/>
  <c r="AF64" i="1"/>
  <c r="AB64" i="1"/>
  <c r="AC64" i="1" s="1"/>
  <c r="AD64" i="1" s="1"/>
  <c r="AE64" i="1" s="1"/>
  <c r="W64" i="1"/>
  <c r="V64" i="1"/>
  <c r="CT63" i="1"/>
  <c r="CU63" i="1" s="1"/>
  <c r="CV63" i="1" s="1"/>
  <c r="CP63" i="1"/>
  <c r="CQ63" i="1" s="1"/>
  <c r="CR63" i="1" s="1"/>
  <c r="CM63" i="1"/>
  <c r="CN63" i="1" s="1"/>
  <c r="CJ63" i="1"/>
  <c r="BU63" i="1"/>
  <c r="BV63" i="1" s="1"/>
  <c r="BP63" i="1"/>
  <c r="BQ63" i="1" s="1"/>
  <c r="BR63" i="1" s="1"/>
  <c r="BJ63" i="1"/>
  <c r="BH63" i="1"/>
  <c r="BI63" i="1" s="1"/>
  <c r="BF63" i="1"/>
  <c r="BA63" i="1"/>
  <c r="BB63" i="1" s="1"/>
  <c r="BC63" i="1" s="1"/>
  <c r="BD63" i="1" s="1"/>
  <c r="AZ63" i="1"/>
  <c r="AS63" i="1"/>
  <c r="AT63" i="1" s="1"/>
  <c r="AU63" i="1" s="1"/>
  <c r="AV63" i="1" s="1"/>
  <c r="AW63" i="1" s="1"/>
  <c r="AX63" i="1" s="1"/>
  <c r="AN63" i="1"/>
  <c r="AO63" i="1" s="1"/>
  <c r="AP63" i="1" s="1"/>
  <c r="AQ63" i="1" s="1"/>
  <c r="AG63" i="1"/>
  <c r="AF63" i="1"/>
  <c r="AB63" i="1"/>
  <c r="AC63" i="1" s="1"/>
  <c r="AD63" i="1" s="1"/>
  <c r="AE63" i="1" s="1"/>
  <c r="W63" i="1"/>
  <c r="CT62" i="1"/>
  <c r="CU62" i="1" s="1"/>
  <c r="CV62" i="1" s="1"/>
  <c r="CP62" i="1"/>
  <c r="CQ62" i="1" s="1"/>
  <c r="CR62" i="1" s="1"/>
  <c r="CM62" i="1"/>
  <c r="CN62" i="1" s="1"/>
  <c r="CC62" i="1"/>
  <c r="CD62" i="1" s="1"/>
  <c r="CE62" i="1" s="1"/>
  <c r="BU62" i="1"/>
  <c r="BV62" i="1" s="1"/>
  <c r="BP62" i="1"/>
  <c r="BQ62" i="1" s="1"/>
  <c r="BR62" i="1" s="1"/>
  <c r="BJ62" i="1"/>
  <c r="BH62" i="1"/>
  <c r="BI62" i="1" s="1"/>
  <c r="BA62" i="1"/>
  <c r="BB62" i="1" s="1"/>
  <c r="BC62" i="1" s="1"/>
  <c r="BD62" i="1" s="1"/>
  <c r="AS62" i="1"/>
  <c r="AT62" i="1" s="1"/>
  <c r="AU62" i="1" s="1"/>
  <c r="AV62" i="1" s="1"/>
  <c r="AW62" i="1" s="1"/>
  <c r="AX62" i="1" s="1"/>
  <c r="AN62" i="1"/>
  <c r="AO62" i="1" s="1"/>
  <c r="AP62" i="1" s="1"/>
  <c r="AQ62" i="1" s="1"/>
  <c r="AG62" i="1"/>
  <c r="AF62" i="1"/>
  <c r="AB62" i="1"/>
  <c r="AC62" i="1" s="1"/>
  <c r="AD62" i="1" s="1"/>
  <c r="AE62" i="1" s="1"/>
  <c r="CT61" i="1"/>
  <c r="CU61" i="1" s="1"/>
  <c r="CV61" i="1" s="1"/>
  <c r="CP61" i="1"/>
  <c r="CQ61" i="1" s="1"/>
  <c r="CR61" i="1" s="1"/>
  <c r="CM61" i="1"/>
  <c r="CN61" i="1" s="1"/>
  <c r="CC61" i="1"/>
  <c r="CD61" i="1" s="1"/>
  <c r="CE61" i="1" s="1"/>
  <c r="BU61" i="1"/>
  <c r="BV61" i="1" s="1"/>
  <c r="BP61" i="1"/>
  <c r="BQ61" i="1" s="1"/>
  <c r="BR61" i="1" s="1"/>
  <c r="BJ61" i="1"/>
  <c r="BH61" i="1"/>
  <c r="BI61" i="1" s="1"/>
  <c r="BA61" i="1"/>
  <c r="BB61" i="1" s="1"/>
  <c r="BC61" i="1" s="1"/>
  <c r="BD61" i="1" s="1"/>
  <c r="AS61" i="1"/>
  <c r="AT61" i="1" s="1"/>
  <c r="AU61" i="1" s="1"/>
  <c r="AV61" i="1" s="1"/>
  <c r="AW61" i="1" s="1"/>
  <c r="AX61" i="1" s="1"/>
  <c r="AN61" i="1"/>
  <c r="AO61" i="1" s="1"/>
  <c r="AP61" i="1" s="1"/>
  <c r="AQ61" i="1" s="1"/>
  <c r="AG61" i="1"/>
  <c r="AF61" i="1"/>
  <c r="AB61" i="1"/>
  <c r="AC61" i="1" s="1"/>
  <c r="AD61" i="1" s="1"/>
  <c r="AE61" i="1" s="1"/>
  <c r="U61" i="1"/>
  <c r="CT60" i="1"/>
  <c r="CU60" i="1" s="1"/>
  <c r="CV60" i="1" s="1"/>
  <c r="CP60" i="1"/>
  <c r="CQ60" i="1" s="1"/>
  <c r="CR60" i="1" s="1"/>
  <c r="CM60" i="1"/>
  <c r="CN60" i="1" s="1"/>
  <c r="CC60" i="1"/>
  <c r="CD60" i="1" s="1"/>
  <c r="CE60" i="1" s="1"/>
  <c r="BU60" i="1"/>
  <c r="BV60" i="1" s="1"/>
  <c r="BP60" i="1"/>
  <c r="BQ60" i="1" s="1"/>
  <c r="BR60" i="1" s="1"/>
  <c r="BJ60" i="1"/>
  <c r="BH60" i="1"/>
  <c r="BI60" i="1" s="1"/>
  <c r="BA60" i="1"/>
  <c r="BB60" i="1" s="1"/>
  <c r="BC60" i="1" s="1"/>
  <c r="BD60" i="1" s="1"/>
  <c r="AS60" i="1"/>
  <c r="AT60" i="1" s="1"/>
  <c r="AU60" i="1" s="1"/>
  <c r="AV60" i="1" s="1"/>
  <c r="AW60" i="1" s="1"/>
  <c r="AX60" i="1" s="1"/>
  <c r="AN60" i="1"/>
  <c r="AO60" i="1" s="1"/>
  <c r="AP60" i="1" s="1"/>
  <c r="AQ60" i="1" s="1"/>
  <c r="AG60" i="1"/>
  <c r="AF60" i="1"/>
  <c r="AB60" i="1"/>
  <c r="AC60" i="1" s="1"/>
  <c r="AD60" i="1" s="1"/>
  <c r="AE60" i="1" s="1"/>
  <c r="AA60" i="1"/>
  <c r="W60" i="1"/>
  <c r="V60" i="1"/>
  <c r="CT59" i="1"/>
  <c r="CU59" i="1" s="1"/>
  <c r="CV59" i="1" s="1"/>
  <c r="CP59" i="1"/>
  <c r="CQ59" i="1" s="1"/>
  <c r="CR59" i="1" s="1"/>
  <c r="CM59" i="1"/>
  <c r="CN59" i="1" s="1"/>
  <c r="CC59" i="1"/>
  <c r="CD59" i="1" s="1"/>
  <c r="CE59" i="1" s="1"/>
  <c r="BU59" i="1"/>
  <c r="BV59" i="1" s="1"/>
  <c r="BP59" i="1"/>
  <c r="BQ59" i="1" s="1"/>
  <c r="BR59" i="1" s="1"/>
  <c r="BJ59" i="1"/>
  <c r="BH59" i="1"/>
  <c r="BI59" i="1" s="1"/>
  <c r="BA59" i="1"/>
  <c r="BB59" i="1" s="1"/>
  <c r="BC59" i="1" s="1"/>
  <c r="BD59" i="1" s="1"/>
  <c r="AZ59" i="1"/>
  <c r="AS59" i="1"/>
  <c r="AT59" i="1" s="1"/>
  <c r="AU59" i="1" s="1"/>
  <c r="AV59" i="1" s="1"/>
  <c r="AW59" i="1" s="1"/>
  <c r="AX59" i="1" s="1"/>
  <c r="AN59" i="1"/>
  <c r="AO59" i="1" s="1"/>
  <c r="AP59" i="1" s="1"/>
  <c r="AQ59" i="1" s="1"/>
  <c r="AG59" i="1"/>
  <c r="AF59" i="1"/>
  <c r="AB59" i="1"/>
  <c r="AC59" i="1" s="1"/>
  <c r="AD59" i="1" s="1"/>
  <c r="AE59" i="1" s="1"/>
  <c r="Z59" i="1"/>
  <c r="W59" i="1"/>
  <c r="V59" i="1"/>
  <c r="U59" i="1"/>
  <c r="CT58" i="1"/>
  <c r="CU58" i="1" s="1"/>
  <c r="CV58" i="1" s="1"/>
  <c r="CP58" i="1"/>
  <c r="CQ58" i="1" s="1"/>
  <c r="CR58" i="1" s="1"/>
  <c r="CM58" i="1"/>
  <c r="CN58" i="1" s="1"/>
  <c r="CC58" i="1"/>
  <c r="CD58" i="1" s="1"/>
  <c r="CE58" i="1" s="1"/>
  <c r="BU58" i="1"/>
  <c r="BV58" i="1" s="1"/>
  <c r="BP58" i="1"/>
  <c r="BQ58" i="1" s="1"/>
  <c r="BR58" i="1" s="1"/>
  <c r="BJ58" i="1"/>
  <c r="BH58" i="1"/>
  <c r="BI58" i="1" s="1"/>
  <c r="BA58" i="1"/>
  <c r="BB58" i="1" s="1"/>
  <c r="BC58" i="1" s="1"/>
  <c r="BD58" i="1" s="1"/>
  <c r="AZ58" i="1"/>
  <c r="AS58" i="1"/>
  <c r="AT58" i="1" s="1"/>
  <c r="AU58" i="1" s="1"/>
  <c r="AV58" i="1" s="1"/>
  <c r="AW58" i="1" s="1"/>
  <c r="AX58" i="1" s="1"/>
  <c r="AN58" i="1"/>
  <c r="AO58" i="1" s="1"/>
  <c r="AP58" i="1" s="1"/>
  <c r="AQ58" i="1" s="1"/>
  <c r="AG58" i="1"/>
  <c r="AF58" i="1"/>
  <c r="AB58" i="1"/>
  <c r="AC58" i="1" s="1"/>
  <c r="AD58" i="1" s="1"/>
  <c r="AE58" i="1" s="1"/>
  <c r="Z58" i="1"/>
  <c r="X58" i="1"/>
  <c r="W58" i="1"/>
  <c r="V58" i="1"/>
  <c r="CT57" i="1"/>
  <c r="CU57" i="1" s="1"/>
  <c r="CV57" i="1" s="1"/>
  <c r="CP57" i="1"/>
  <c r="CQ57" i="1" s="1"/>
  <c r="CR57" i="1" s="1"/>
  <c r="CM57" i="1"/>
  <c r="CN57" i="1" s="1"/>
  <c r="CC57" i="1"/>
  <c r="CD57" i="1" s="1"/>
  <c r="CE57" i="1" s="1"/>
  <c r="BU57" i="1"/>
  <c r="BV57" i="1" s="1"/>
  <c r="BP57" i="1"/>
  <c r="BQ57" i="1" s="1"/>
  <c r="BR57" i="1" s="1"/>
  <c r="BJ57" i="1"/>
  <c r="BH57" i="1"/>
  <c r="BI57" i="1" s="1"/>
  <c r="BA57" i="1"/>
  <c r="BB57" i="1" s="1"/>
  <c r="BC57" i="1" s="1"/>
  <c r="BD57" i="1" s="1"/>
  <c r="AZ57" i="1"/>
  <c r="AS57" i="1"/>
  <c r="AT57" i="1" s="1"/>
  <c r="AU57" i="1" s="1"/>
  <c r="AV57" i="1" s="1"/>
  <c r="AW57" i="1" s="1"/>
  <c r="AX57" i="1" s="1"/>
  <c r="AN57" i="1"/>
  <c r="AO57" i="1" s="1"/>
  <c r="AP57" i="1" s="1"/>
  <c r="AQ57" i="1" s="1"/>
  <c r="AG57" i="1"/>
  <c r="AF57" i="1"/>
  <c r="AB57" i="1"/>
  <c r="AC57" i="1" s="1"/>
  <c r="AD57" i="1" s="1"/>
  <c r="AE57" i="1" s="1"/>
  <c r="CT56" i="1"/>
  <c r="CU56" i="1" s="1"/>
  <c r="CV56" i="1" s="1"/>
  <c r="CP56" i="1"/>
  <c r="CQ56" i="1" s="1"/>
  <c r="CR56" i="1" s="1"/>
  <c r="CM56" i="1"/>
  <c r="CN56" i="1" s="1"/>
  <c r="CC56" i="1"/>
  <c r="CD56" i="1" s="1"/>
  <c r="CE56" i="1" s="1"/>
  <c r="BU56" i="1"/>
  <c r="BV56" i="1" s="1"/>
  <c r="BP56" i="1"/>
  <c r="BQ56" i="1" s="1"/>
  <c r="BR56" i="1" s="1"/>
  <c r="BJ56" i="1"/>
  <c r="BH56" i="1"/>
  <c r="BI56" i="1" s="1"/>
  <c r="BA56" i="1"/>
  <c r="BB56" i="1" s="1"/>
  <c r="BC56" i="1" s="1"/>
  <c r="BD56" i="1" s="1"/>
  <c r="AZ56" i="1"/>
  <c r="AS56" i="1"/>
  <c r="AT56" i="1" s="1"/>
  <c r="AU56" i="1" s="1"/>
  <c r="AV56" i="1" s="1"/>
  <c r="AW56" i="1" s="1"/>
  <c r="AX56" i="1" s="1"/>
  <c r="AN56" i="1"/>
  <c r="AO56" i="1" s="1"/>
  <c r="AP56" i="1" s="1"/>
  <c r="AQ56" i="1" s="1"/>
  <c r="AG56" i="1"/>
  <c r="AF56" i="1"/>
  <c r="AB56" i="1"/>
  <c r="AC56" i="1" s="1"/>
  <c r="AD56" i="1" s="1"/>
  <c r="AE56" i="1" s="1"/>
  <c r="V56" i="1"/>
  <c r="CT55" i="1"/>
  <c r="CU55" i="1" s="1"/>
  <c r="CV55" i="1" s="1"/>
  <c r="CP55" i="1"/>
  <c r="CQ55" i="1" s="1"/>
  <c r="CR55" i="1" s="1"/>
  <c r="CM55" i="1"/>
  <c r="CN55" i="1" s="1"/>
  <c r="CC55" i="1"/>
  <c r="CD55" i="1" s="1"/>
  <c r="CE55" i="1" s="1"/>
  <c r="BU55" i="1"/>
  <c r="BV55" i="1" s="1"/>
  <c r="BP55" i="1"/>
  <c r="BQ55" i="1" s="1"/>
  <c r="BR55" i="1" s="1"/>
  <c r="BJ55" i="1"/>
  <c r="BH55" i="1"/>
  <c r="BI55" i="1" s="1"/>
  <c r="BA55" i="1"/>
  <c r="BB55" i="1" s="1"/>
  <c r="BC55" i="1" s="1"/>
  <c r="BD55" i="1" s="1"/>
  <c r="AS55" i="1"/>
  <c r="AT55" i="1" s="1"/>
  <c r="AU55" i="1" s="1"/>
  <c r="AV55" i="1" s="1"/>
  <c r="AW55" i="1" s="1"/>
  <c r="AX55" i="1" s="1"/>
  <c r="AN55" i="1"/>
  <c r="AO55" i="1" s="1"/>
  <c r="AP55" i="1" s="1"/>
  <c r="AQ55" i="1" s="1"/>
  <c r="AG55" i="1"/>
  <c r="AF55" i="1"/>
  <c r="AB55" i="1"/>
  <c r="AC55" i="1" s="1"/>
  <c r="AD55" i="1" s="1"/>
  <c r="AE55" i="1" s="1"/>
  <c r="Z55" i="1"/>
  <c r="V55" i="1"/>
  <c r="U55" i="1"/>
  <c r="CT54" i="1"/>
  <c r="CU54" i="1" s="1"/>
  <c r="CV54" i="1" s="1"/>
  <c r="CP54" i="1"/>
  <c r="CQ54" i="1" s="1"/>
  <c r="CR54" i="1" s="1"/>
  <c r="CM54" i="1"/>
  <c r="CN54" i="1" s="1"/>
  <c r="CC54" i="1"/>
  <c r="CD54" i="1" s="1"/>
  <c r="CE54" i="1" s="1"/>
  <c r="BU54" i="1"/>
  <c r="BV54" i="1" s="1"/>
  <c r="BP54" i="1"/>
  <c r="BQ54" i="1" s="1"/>
  <c r="BR54" i="1" s="1"/>
  <c r="BO54" i="1"/>
  <c r="BJ54" i="1"/>
  <c r="BH54" i="1"/>
  <c r="BI54" i="1" s="1"/>
  <c r="BA54" i="1"/>
  <c r="BB54" i="1" s="1"/>
  <c r="BC54" i="1" s="1"/>
  <c r="BD54" i="1" s="1"/>
  <c r="AS54" i="1"/>
  <c r="AT54" i="1" s="1"/>
  <c r="AU54" i="1" s="1"/>
  <c r="AV54" i="1" s="1"/>
  <c r="AW54" i="1" s="1"/>
  <c r="AX54" i="1" s="1"/>
  <c r="AN54" i="1"/>
  <c r="AO54" i="1" s="1"/>
  <c r="AP54" i="1" s="1"/>
  <c r="AQ54" i="1" s="1"/>
  <c r="AG54" i="1"/>
  <c r="AF54" i="1"/>
  <c r="AB54" i="1"/>
  <c r="AC54" i="1" s="1"/>
  <c r="AD54" i="1" s="1"/>
  <c r="AE54" i="1" s="1"/>
  <c r="V54" i="1"/>
  <c r="U54" i="1"/>
  <c r="CT53" i="1"/>
  <c r="CU53" i="1" s="1"/>
  <c r="CV53" i="1" s="1"/>
  <c r="CP53" i="1"/>
  <c r="CQ53" i="1" s="1"/>
  <c r="CR53" i="1" s="1"/>
  <c r="CM53" i="1"/>
  <c r="CN53" i="1" s="1"/>
  <c r="CC53" i="1"/>
  <c r="CD53" i="1" s="1"/>
  <c r="CE53" i="1" s="1"/>
  <c r="BU53" i="1"/>
  <c r="BV53" i="1" s="1"/>
  <c r="BP53" i="1"/>
  <c r="BQ53" i="1" s="1"/>
  <c r="BR53" i="1" s="1"/>
  <c r="BJ53" i="1"/>
  <c r="BH53" i="1"/>
  <c r="BI53" i="1" s="1"/>
  <c r="BA53" i="1"/>
  <c r="BB53" i="1" s="1"/>
  <c r="BC53" i="1" s="1"/>
  <c r="BD53" i="1" s="1"/>
  <c r="AS53" i="1"/>
  <c r="AT53" i="1" s="1"/>
  <c r="AU53" i="1" s="1"/>
  <c r="AV53" i="1" s="1"/>
  <c r="AW53" i="1" s="1"/>
  <c r="AX53" i="1" s="1"/>
  <c r="AN53" i="1"/>
  <c r="AO53" i="1" s="1"/>
  <c r="AP53" i="1" s="1"/>
  <c r="AQ53" i="1" s="1"/>
  <c r="AG53" i="1"/>
  <c r="AF53" i="1"/>
  <c r="AB53" i="1"/>
  <c r="AC53" i="1" s="1"/>
  <c r="AD53" i="1" s="1"/>
  <c r="AE53" i="1" s="1"/>
  <c r="U53" i="1"/>
  <c r="CT52" i="1"/>
  <c r="CU52" i="1" s="1"/>
  <c r="CV52" i="1" s="1"/>
  <c r="CP52" i="1"/>
  <c r="CQ52" i="1" s="1"/>
  <c r="CR52" i="1" s="1"/>
  <c r="CM52" i="1"/>
  <c r="CN52" i="1" s="1"/>
  <c r="CC52" i="1"/>
  <c r="CD52" i="1" s="1"/>
  <c r="CE52" i="1" s="1"/>
  <c r="BU52" i="1"/>
  <c r="BV52" i="1" s="1"/>
  <c r="BP52" i="1"/>
  <c r="BQ52" i="1" s="1"/>
  <c r="BR52" i="1" s="1"/>
  <c r="BJ52" i="1"/>
  <c r="BH52" i="1"/>
  <c r="BI52" i="1" s="1"/>
  <c r="BA52" i="1"/>
  <c r="BB52" i="1" s="1"/>
  <c r="BC52" i="1" s="1"/>
  <c r="BD52" i="1" s="1"/>
  <c r="AZ52" i="1"/>
  <c r="AS52" i="1"/>
  <c r="AT52" i="1" s="1"/>
  <c r="AU52" i="1" s="1"/>
  <c r="AV52" i="1" s="1"/>
  <c r="AW52" i="1" s="1"/>
  <c r="AX52" i="1" s="1"/>
  <c r="AN52" i="1"/>
  <c r="AO52" i="1" s="1"/>
  <c r="AP52" i="1" s="1"/>
  <c r="AQ52" i="1" s="1"/>
  <c r="AG52" i="1"/>
  <c r="AF52" i="1"/>
  <c r="AB52" i="1"/>
  <c r="AC52" i="1" s="1"/>
  <c r="AD52" i="1" s="1"/>
  <c r="AE52" i="1" s="1"/>
  <c r="CT51" i="1"/>
  <c r="CU51" i="1" s="1"/>
  <c r="CV51" i="1" s="1"/>
  <c r="CP51" i="1"/>
  <c r="CQ51" i="1" s="1"/>
  <c r="CR51" i="1" s="1"/>
  <c r="CM51" i="1"/>
  <c r="CN51" i="1" s="1"/>
  <c r="CC51" i="1"/>
  <c r="CD51" i="1" s="1"/>
  <c r="CE51" i="1" s="1"/>
  <c r="BU51" i="1"/>
  <c r="BV51" i="1" s="1"/>
  <c r="BP51" i="1"/>
  <c r="BQ51" i="1" s="1"/>
  <c r="BR51" i="1" s="1"/>
  <c r="BO51" i="1"/>
  <c r="BJ51" i="1"/>
  <c r="BH51" i="1"/>
  <c r="BI51" i="1" s="1"/>
  <c r="BA51" i="1"/>
  <c r="BB51" i="1" s="1"/>
  <c r="BC51" i="1" s="1"/>
  <c r="BD51" i="1" s="1"/>
  <c r="AS51" i="1"/>
  <c r="AT51" i="1" s="1"/>
  <c r="AU51" i="1" s="1"/>
  <c r="AV51" i="1" s="1"/>
  <c r="AW51" i="1" s="1"/>
  <c r="AX51" i="1" s="1"/>
  <c r="AN51" i="1"/>
  <c r="AO51" i="1" s="1"/>
  <c r="AP51" i="1" s="1"/>
  <c r="AQ51" i="1" s="1"/>
  <c r="AG51" i="1"/>
  <c r="AF51" i="1"/>
  <c r="AB51" i="1"/>
  <c r="AC51" i="1" s="1"/>
  <c r="AD51" i="1" s="1"/>
  <c r="AE51" i="1" s="1"/>
  <c r="CT50" i="1"/>
  <c r="CU50" i="1" s="1"/>
  <c r="CV50" i="1" s="1"/>
  <c r="CP50" i="1"/>
  <c r="CQ50" i="1" s="1"/>
  <c r="CR50" i="1" s="1"/>
  <c r="CM50" i="1"/>
  <c r="CN50" i="1" s="1"/>
  <c r="CC50" i="1"/>
  <c r="CD50" i="1" s="1"/>
  <c r="CE50" i="1" s="1"/>
  <c r="BU50" i="1"/>
  <c r="BV50" i="1" s="1"/>
  <c r="BT50" i="1"/>
  <c r="BS50" i="1"/>
  <c r="BP50" i="1"/>
  <c r="BQ50" i="1" s="1"/>
  <c r="BR50" i="1" s="1"/>
  <c r="BO50" i="1"/>
  <c r="BJ50" i="1"/>
  <c r="BH50" i="1"/>
  <c r="BI50" i="1" s="1"/>
  <c r="BA50" i="1"/>
  <c r="BB50" i="1" s="1"/>
  <c r="BC50" i="1" s="1"/>
  <c r="BD50" i="1" s="1"/>
  <c r="AS50" i="1"/>
  <c r="AT50" i="1" s="1"/>
  <c r="AU50" i="1" s="1"/>
  <c r="AV50" i="1" s="1"/>
  <c r="AW50" i="1" s="1"/>
  <c r="AX50" i="1" s="1"/>
  <c r="AN50" i="1"/>
  <c r="AO50" i="1" s="1"/>
  <c r="AP50" i="1" s="1"/>
  <c r="AQ50" i="1" s="1"/>
  <c r="AG50" i="1"/>
  <c r="AF50" i="1"/>
  <c r="AB50" i="1"/>
  <c r="AC50" i="1" s="1"/>
  <c r="AD50" i="1" s="1"/>
  <c r="AE50" i="1" s="1"/>
  <c r="CT49" i="1"/>
  <c r="CU49" i="1" s="1"/>
  <c r="CV49" i="1" s="1"/>
  <c r="CP49" i="1"/>
  <c r="CQ49" i="1" s="1"/>
  <c r="CR49" i="1" s="1"/>
  <c r="CM49" i="1"/>
  <c r="CN49" i="1" s="1"/>
  <c r="CC49" i="1"/>
  <c r="CD49" i="1" s="1"/>
  <c r="CE49" i="1" s="1"/>
  <c r="BU49" i="1"/>
  <c r="BV49" i="1" s="1"/>
  <c r="BP49" i="1"/>
  <c r="BQ49" i="1" s="1"/>
  <c r="BR49" i="1" s="1"/>
  <c r="BJ49" i="1"/>
  <c r="BH49" i="1"/>
  <c r="BI49" i="1" s="1"/>
  <c r="BA49" i="1"/>
  <c r="BB49" i="1" s="1"/>
  <c r="BC49" i="1" s="1"/>
  <c r="BD49" i="1" s="1"/>
  <c r="AS49" i="1"/>
  <c r="AT49" i="1" s="1"/>
  <c r="AU49" i="1" s="1"/>
  <c r="AV49" i="1" s="1"/>
  <c r="AW49" i="1" s="1"/>
  <c r="AX49" i="1" s="1"/>
  <c r="AN49" i="1"/>
  <c r="AO49" i="1" s="1"/>
  <c r="AP49" i="1" s="1"/>
  <c r="AQ49" i="1" s="1"/>
  <c r="AG49" i="1"/>
  <c r="AF49" i="1"/>
  <c r="AB49" i="1"/>
  <c r="AC49" i="1" s="1"/>
  <c r="AD49" i="1" s="1"/>
  <c r="AE49" i="1" s="1"/>
  <c r="W49" i="1"/>
  <c r="CT48" i="1"/>
  <c r="CU48" i="1" s="1"/>
  <c r="CV48" i="1" s="1"/>
  <c r="CP48" i="1"/>
  <c r="CQ48" i="1" s="1"/>
  <c r="CR48" i="1" s="1"/>
  <c r="CM48" i="1"/>
  <c r="CN48" i="1" s="1"/>
  <c r="CC48" i="1"/>
  <c r="CD48" i="1" s="1"/>
  <c r="CE48" i="1" s="1"/>
  <c r="BU48" i="1"/>
  <c r="BV48" i="1" s="1"/>
  <c r="BP48" i="1"/>
  <c r="BQ48" i="1" s="1"/>
  <c r="BR48" i="1" s="1"/>
  <c r="BJ48" i="1"/>
  <c r="BH48" i="1"/>
  <c r="BI48" i="1" s="1"/>
  <c r="BA48" i="1"/>
  <c r="BB48" i="1" s="1"/>
  <c r="BC48" i="1" s="1"/>
  <c r="BD48" i="1" s="1"/>
  <c r="AZ48" i="1"/>
  <c r="AS48" i="1"/>
  <c r="AT48" i="1" s="1"/>
  <c r="AU48" i="1" s="1"/>
  <c r="AV48" i="1" s="1"/>
  <c r="AW48" i="1" s="1"/>
  <c r="AX48" i="1" s="1"/>
  <c r="AN48" i="1"/>
  <c r="AO48" i="1" s="1"/>
  <c r="AP48" i="1" s="1"/>
  <c r="AQ48" i="1" s="1"/>
  <c r="AG48" i="1"/>
  <c r="AF48" i="1"/>
  <c r="AB48" i="1"/>
  <c r="AC48" i="1" s="1"/>
  <c r="AD48" i="1" s="1"/>
  <c r="AE48" i="1" s="1"/>
  <c r="W48" i="1"/>
  <c r="U48" i="1"/>
  <c r="CT47" i="1"/>
  <c r="CU47" i="1" s="1"/>
  <c r="CV47" i="1" s="1"/>
  <c r="CP47" i="1"/>
  <c r="CQ47" i="1" s="1"/>
  <c r="CR47" i="1" s="1"/>
  <c r="CM47" i="1"/>
  <c r="CN47" i="1" s="1"/>
  <c r="CC47" i="1"/>
  <c r="CD47" i="1" s="1"/>
  <c r="CE47" i="1" s="1"/>
  <c r="BU47" i="1"/>
  <c r="BV47" i="1" s="1"/>
  <c r="BP47" i="1"/>
  <c r="BQ47" i="1" s="1"/>
  <c r="BR47" i="1" s="1"/>
  <c r="BJ47" i="1"/>
  <c r="BH47" i="1"/>
  <c r="BI47" i="1" s="1"/>
  <c r="BA47" i="1"/>
  <c r="BB47" i="1" s="1"/>
  <c r="BC47" i="1" s="1"/>
  <c r="BD47" i="1" s="1"/>
  <c r="AZ47" i="1"/>
  <c r="AS47" i="1"/>
  <c r="AT47" i="1" s="1"/>
  <c r="AU47" i="1" s="1"/>
  <c r="AV47" i="1" s="1"/>
  <c r="AW47" i="1" s="1"/>
  <c r="AX47" i="1" s="1"/>
  <c r="AN47" i="1"/>
  <c r="AO47" i="1" s="1"/>
  <c r="AP47" i="1" s="1"/>
  <c r="AQ47" i="1" s="1"/>
  <c r="AG47" i="1"/>
  <c r="AF47" i="1"/>
  <c r="AB47" i="1"/>
  <c r="AC47" i="1" s="1"/>
  <c r="AD47" i="1" s="1"/>
  <c r="AE47" i="1" s="1"/>
  <c r="W47" i="1"/>
  <c r="V47" i="1"/>
  <c r="CT46" i="1"/>
  <c r="CU46" i="1" s="1"/>
  <c r="CV46" i="1" s="1"/>
  <c r="CP46" i="1"/>
  <c r="CQ46" i="1" s="1"/>
  <c r="CR46" i="1" s="1"/>
  <c r="CM46" i="1"/>
  <c r="CN46" i="1" s="1"/>
  <c r="CJ46" i="1"/>
  <c r="BU46" i="1"/>
  <c r="BV46" i="1" s="1"/>
  <c r="BP46" i="1"/>
  <c r="BQ46" i="1" s="1"/>
  <c r="BR46" i="1" s="1"/>
  <c r="BJ46" i="1"/>
  <c r="BH46" i="1"/>
  <c r="BI46" i="1" s="1"/>
  <c r="BA46" i="1"/>
  <c r="BB46" i="1" s="1"/>
  <c r="BC46" i="1" s="1"/>
  <c r="BD46" i="1" s="1"/>
  <c r="AS46" i="1"/>
  <c r="AT46" i="1" s="1"/>
  <c r="AU46" i="1" s="1"/>
  <c r="AV46" i="1" s="1"/>
  <c r="AW46" i="1" s="1"/>
  <c r="AX46" i="1" s="1"/>
  <c r="AN46" i="1"/>
  <c r="AO46" i="1" s="1"/>
  <c r="AP46" i="1" s="1"/>
  <c r="AQ46" i="1" s="1"/>
  <c r="AG46" i="1"/>
  <c r="AF46" i="1"/>
  <c r="AB46" i="1"/>
  <c r="AC46" i="1" s="1"/>
  <c r="AD46" i="1" s="1"/>
  <c r="AE46" i="1" s="1"/>
  <c r="W46" i="1"/>
  <c r="CT45" i="1"/>
  <c r="CU45" i="1" s="1"/>
  <c r="CV45" i="1" s="1"/>
  <c r="CP45" i="1"/>
  <c r="CQ45" i="1" s="1"/>
  <c r="CR45" i="1" s="1"/>
  <c r="CM45" i="1"/>
  <c r="CN45" i="1" s="1"/>
  <c r="CC45" i="1"/>
  <c r="CD45" i="1" s="1"/>
  <c r="CE45" i="1" s="1"/>
  <c r="BU45" i="1"/>
  <c r="BV45" i="1" s="1"/>
  <c r="BP45" i="1"/>
  <c r="BQ45" i="1" s="1"/>
  <c r="BR45" i="1" s="1"/>
  <c r="BJ45" i="1"/>
  <c r="BH45" i="1"/>
  <c r="BI45" i="1" s="1"/>
  <c r="BA45" i="1"/>
  <c r="BB45" i="1" s="1"/>
  <c r="BC45" i="1" s="1"/>
  <c r="BD45" i="1" s="1"/>
  <c r="AZ45" i="1"/>
  <c r="AS45" i="1"/>
  <c r="AT45" i="1" s="1"/>
  <c r="AU45" i="1" s="1"/>
  <c r="AV45" i="1" s="1"/>
  <c r="AW45" i="1" s="1"/>
  <c r="AX45" i="1" s="1"/>
  <c r="AN45" i="1"/>
  <c r="AO45" i="1" s="1"/>
  <c r="AP45" i="1" s="1"/>
  <c r="AQ45" i="1" s="1"/>
  <c r="AG45" i="1"/>
  <c r="AF45" i="1"/>
  <c r="AB45" i="1"/>
  <c r="AC45" i="1" s="1"/>
  <c r="AD45" i="1" s="1"/>
  <c r="AE45" i="1" s="1"/>
  <c r="W45" i="1"/>
  <c r="V45" i="1"/>
  <c r="CT44" i="1"/>
  <c r="CU44" i="1" s="1"/>
  <c r="CV44" i="1" s="1"/>
  <c r="CP44" i="1"/>
  <c r="CQ44" i="1" s="1"/>
  <c r="CR44" i="1" s="1"/>
  <c r="CM44" i="1"/>
  <c r="CN44" i="1" s="1"/>
  <c r="CC44" i="1"/>
  <c r="CD44" i="1" s="1"/>
  <c r="CE44" i="1" s="1"/>
  <c r="BU44" i="1"/>
  <c r="BV44" i="1" s="1"/>
  <c r="BP44" i="1"/>
  <c r="BQ44" i="1" s="1"/>
  <c r="BR44" i="1" s="1"/>
  <c r="BJ44" i="1"/>
  <c r="BH44" i="1"/>
  <c r="BI44" i="1" s="1"/>
  <c r="BA44" i="1"/>
  <c r="BB44" i="1" s="1"/>
  <c r="BC44" i="1" s="1"/>
  <c r="BD44" i="1" s="1"/>
  <c r="AZ44" i="1"/>
  <c r="AS44" i="1"/>
  <c r="AT44" i="1" s="1"/>
  <c r="AU44" i="1" s="1"/>
  <c r="AV44" i="1" s="1"/>
  <c r="AW44" i="1" s="1"/>
  <c r="AX44" i="1" s="1"/>
  <c r="AN44" i="1"/>
  <c r="AO44" i="1" s="1"/>
  <c r="AP44" i="1" s="1"/>
  <c r="AQ44" i="1" s="1"/>
  <c r="AG44" i="1"/>
  <c r="AF44" i="1"/>
  <c r="AB44" i="1"/>
  <c r="AC44" i="1" s="1"/>
  <c r="AD44" i="1" s="1"/>
  <c r="AE44" i="1" s="1"/>
  <c r="W44" i="1"/>
  <c r="CT43" i="1"/>
  <c r="CU43" i="1" s="1"/>
  <c r="CV43" i="1" s="1"/>
  <c r="CP43" i="1"/>
  <c r="CQ43" i="1" s="1"/>
  <c r="CR43" i="1" s="1"/>
  <c r="CM43" i="1"/>
  <c r="CN43" i="1" s="1"/>
  <c r="CC43" i="1"/>
  <c r="CD43" i="1" s="1"/>
  <c r="CE43" i="1" s="1"/>
  <c r="BU43" i="1"/>
  <c r="BV43" i="1" s="1"/>
  <c r="BP43" i="1"/>
  <c r="BQ43" i="1" s="1"/>
  <c r="BR43" i="1" s="1"/>
  <c r="BJ43" i="1"/>
  <c r="BH43" i="1"/>
  <c r="BI43" i="1" s="1"/>
  <c r="BA43" i="1"/>
  <c r="BB43" i="1" s="1"/>
  <c r="BC43" i="1" s="1"/>
  <c r="BD43" i="1" s="1"/>
  <c r="AZ43" i="1"/>
  <c r="AS43" i="1"/>
  <c r="AT43" i="1" s="1"/>
  <c r="AU43" i="1" s="1"/>
  <c r="AV43" i="1" s="1"/>
  <c r="AW43" i="1" s="1"/>
  <c r="AX43" i="1" s="1"/>
  <c r="AN43" i="1"/>
  <c r="AO43" i="1" s="1"/>
  <c r="AP43" i="1" s="1"/>
  <c r="AQ43" i="1" s="1"/>
  <c r="AG43" i="1"/>
  <c r="AF43" i="1"/>
  <c r="AB43" i="1"/>
  <c r="AC43" i="1" s="1"/>
  <c r="AD43" i="1" s="1"/>
  <c r="AE43" i="1" s="1"/>
  <c r="W43" i="1"/>
  <c r="CT42" i="1"/>
  <c r="CU42" i="1" s="1"/>
  <c r="CV42" i="1" s="1"/>
  <c r="CP42" i="1"/>
  <c r="CQ42" i="1" s="1"/>
  <c r="CR42" i="1" s="1"/>
  <c r="CM42" i="1"/>
  <c r="CN42" i="1" s="1"/>
  <c r="CC42" i="1"/>
  <c r="CD42" i="1" s="1"/>
  <c r="CE42" i="1" s="1"/>
  <c r="BU42" i="1"/>
  <c r="BV42" i="1" s="1"/>
  <c r="BP42" i="1"/>
  <c r="BQ42" i="1" s="1"/>
  <c r="BR42" i="1" s="1"/>
  <c r="BJ42" i="1"/>
  <c r="BH42" i="1"/>
  <c r="BI42" i="1" s="1"/>
  <c r="BA42" i="1"/>
  <c r="BB42" i="1" s="1"/>
  <c r="BC42" i="1" s="1"/>
  <c r="BD42" i="1" s="1"/>
  <c r="AZ42" i="1"/>
  <c r="AS42" i="1"/>
  <c r="AT42" i="1" s="1"/>
  <c r="AU42" i="1" s="1"/>
  <c r="AV42" i="1" s="1"/>
  <c r="AW42" i="1" s="1"/>
  <c r="AX42" i="1" s="1"/>
  <c r="AN42" i="1"/>
  <c r="AO42" i="1" s="1"/>
  <c r="AP42" i="1" s="1"/>
  <c r="AQ42" i="1" s="1"/>
  <c r="AG42" i="1"/>
  <c r="AF42" i="1"/>
  <c r="AB42" i="1"/>
  <c r="AC42" i="1" s="1"/>
  <c r="AD42" i="1" s="1"/>
  <c r="AE42" i="1" s="1"/>
  <c r="W42" i="1"/>
  <c r="CT41" i="1"/>
  <c r="CU41" i="1" s="1"/>
  <c r="CV41" i="1" s="1"/>
  <c r="CP41" i="1"/>
  <c r="CQ41" i="1" s="1"/>
  <c r="CR41" i="1" s="1"/>
  <c r="CM41" i="1"/>
  <c r="CN41" i="1" s="1"/>
  <c r="CC41" i="1"/>
  <c r="CD41" i="1" s="1"/>
  <c r="CE41" i="1" s="1"/>
  <c r="BU41" i="1"/>
  <c r="BV41" i="1" s="1"/>
  <c r="BP41" i="1"/>
  <c r="BQ41" i="1" s="1"/>
  <c r="BR41" i="1" s="1"/>
  <c r="BJ41" i="1"/>
  <c r="BH41" i="1"/>
  <c r="BI41" i="1" s="1"/>
  <c r="BA41" i="1"/>
  <c r="BB41" i="1" s="1"/>
  <c r="BC41" i="1" s="1"/>
  <c r="BD41" i="1" s="1"/>
  <c r="AS41" i="1"/>
  <c r="AT41" i="1" s="1"/>
  <c r="AU41" i="1" s="1"/>
  <c r="AV41" i="1" s="1"/>
  <c r="AW41" i="1" s="1"/>
  <c r="AX41" i="1" s="1"/>
  <c r="AN41" i="1"/>
  <c r="AO41" i="1" s="1"/>
  <c r="AP41" i="1" s="1"/>
  <c r="AQ41" i="1" s="1"/>
  <c r="AG41" i="1"/>
  <c r="AF41" i="1"/>
  <c r="AB41" i="1"/>
  <c r="AC41" i="1" s="1"/>
  <c r="AD41" i="1" s="1"/>
  <c r="AE41" i="1" s="1"/>
  <c r="W41" i="1"/>
  <c r="V41" i="1"/>
  <c r="CT40" i="1"/>
  <c r="CU40" i="1" s="1"/>
  <c r="CV40" i="1" s="1"/>
  <c r="CP40" i="1"/>
  <c r="CQ40" i="1" s="1"/>
  <c r="CR40" i="1" s="1"/>
  <c r="CM40" i="1"/>
  <c r="CN40" i="1" s="1"/>
  <c r="CC40" i="1"/>
  <c r="CD40" i="1" s="1"/>
  <c r="CE40" i="1" s="1"/>
  <c r="BU40" i="1"/>
  <c r="BV40" i="1" s="1"/>
  <c r="BP40" i="1"/>
  <c r="BQ40" i="1" s="1"/>
  <c r="BR40" i="1" s="1"/>
  <c r="BJ40" i="1"/>
  <c r="BH40" i="1"/>
  <c r="BI40" i="1" s="1"/>
  <c r="BA40" i="1"/>
  <c r="BB40" i="1" s="1"/>
  <c r="BC40" i="1" s="1"/>
  <c r="BD40" i="1" s="1"/>
  <c r="AS40" i="1"/>
  <c r="AT40" i="1" s="1"/>
  <c r="AU40" i="1" s="1"/>
  <c r="AV40" i="1" s="1"/>
  <c r="AW40" i="1" s="1"/>
  <c r="AX40" i="1" s="1"/>
  <c r="AN40" i="1"/>
  <c r="AO40" i="1" s="1"/>
  <c r="AP40" i="1" s="1"/>
  <c r="AQ40" i="1" s="1"/>
  <c r="AG40" i="1"/>
  <c r="AF40" i="1"/>
  <c r="AB40" i="1"/>
  <c r="AC40" i="1" s="1"/>
  <c r="AD40" i="1" s="1"/>
  <c r="AE40" i="1" s="1"/>
  <c r="V40" i="1"/>
  <c r="CT39" i="1"/>
  <c r="CU39" i="1" s="1"/>
  <c r="CV39" i="1" s="1"/>
  <c r="CP39" i="1"/>
  <c r="CQ39" i="1" s="1"/>
  <c r="CR39" i="1" s="1"/>
  <c r="CM39" i="1"/>
  <c r="CN39" i="1" s="1"/>
  <c r="CC39" i="1"/>
  <c r="CD39" i="1" s="1"/>
  <c r="CE39" i="1" s="1"/>
  <c r="BU39" i="1"/>
  <c r="BV39" i="1" s="1"/>
  <c r="BP39" i="1"/>
  <c r="BQ39" i="1" s="1"/>
  <c r="BR39" i="1" s="1"/>
  <c r="BJ39" i="1"/>
  <c r="BH39" i="1"/>
  <c r="BI39" i="1" s="1"/>
  <c r="BA39" i="1"/>
  <c r="BB39" i="1" s="1"/>
  <c r="BC39" i="1" s="1"/>
  <c r="BD39" i="1" s="1"/>
  <c r="AS39" i="1"/>
  <c r="AT39" i="1" s="1"/>
  <c r="AU39" i="1" s="1"/>
  <c r="AV39" i="1" s="1"/>
  <c r="AW39" i="1" s="1"/>
  <c r="AX39" i="1" s="1"/>
  <c r="AN39" i="1"/>
  <c r="AO39" i="1" s="1"/>
  <c r="AP39" i="1" s="1"/>
  <c r="AQ39" i="1" s="1"/>
  <c r="AG39" i="1"/>
  <c r="AF39" i="1"/>
  <c r="AB39" i="1"/>
  <c r="AC39" i="1" s="1"/>
  <c r="AD39" i="1" s="1"/>
  <c r="AE39" i="1" s="1"/>
  <c r="Z39" i="1"/>
  <c r="W39" i="1"/>
  <c r="V39" i="1"/>
  <c r="CT38" i="1"/>
  <c r="CU38" i="1" s="1"/>
  <c r="CV38" i="1" s="1"/>
  <c r="CP38" i="1"/>
  <c r="CQ38" i="1" s="1"/>
  <c r="CR38" i="1" s="1"/>
  <c r="CM38" i="1"/>
  <c r="CN38" i="1" s="1"/>
  <c r="CC38" i="1"/>
  <c r="CD38" i="1" s="1"/>
  <c r="CE38" i="1" s="1"/>
  <c r="BU38" i="1"/>
  <c r="BV38" i="1" s="1"/>
  <c r="BP38" i="1"/>
  <c r="BQ38" i="1" s="1"/>
  <c r="BR38" i="1" s="1"/>
  <c r="BJ38" i="1"/>
  <c r="BH38" i="1"/>
  <c r="BI38" i="1" s="1"/>
  <c r="BA38" i="1"/>
  <c r="BB38" i="1" s="1"/>
  <c r="BC38" i="1" s="1"/>
  <c r="BD38" i="1" s="1"/>
  <c r="AS38" i="1"/>
  <c r="AT38" i="1" s="1"/>
  <c r="AU38" i="1" s="1"/>
  <c r="AV38" i="1" s="1"/>
  <c r="AW38" i="1" s="1"/>
  <c r="AX38" i="1" s="1"/>
  <c r="AN38" i="1"/>
  <c r="AO38" i="1" s="1"/>
  <c r="AP38" i="1" s="1"/>
  <c r="AQ38" i="1" s="1"/>
  <c r="AG38" i="1"/>
  <c r="AF38" i="1"/>
  <c r="AB38" i="1"/>
  <c r="AC38" i="1" s="1"/>
  <c r="AD38" i="1" s="1"/>
  <c r="AE38" i="1" s="1"/>
  <c r="W38" i="1"/>
  <c r="CT37" i="1"/>
  <c r="CU37" i="1" s="1"/>
  <c r="CV37" i="1" s="1"/>
  <c r="CP37" i="1"/>
  <c r="CQ37" i="1" s="1"/>
  <c r="CR37" i="1" s="1"/>
  <c r="CM37" i="1"/>
  <c r="CN37" i="1" s="1"/>
  <c r="CC37" i="1"/>
  <c r="CD37" i="1" s="1"/>
  <c r="CE37" i="1" s="1"/>
  <c r="BU37" i="1"/>
  <c r="BV37" i="1" s="1"/>
  <c r="BP37" i="1"/>
  <c r="BQ37" i="1" s="1"/>
  <c r="BR37" i="1" s="1"/>
  <c r="BJ37" i="1"/>
  <c r="BH37" i="1"/>
  <c r="BI37" i="1" s="1"/>
  <c r="BA37" i="1"/>
  <c r="BB37" i="1" s="1"/>
  <c r="BC37" i="1" s="1"/>
  <c r="BD37" i="1" s="1"/>
  <c r="AS37" i="1"/>
  <c r="AT37" i="1" s="1"/>
  <c r="AU37" i="1" s="1"/>
  <c r="AV37" i="1" s="1"/>
  <c r="AW37" i="1" s="1"/>
  <c r="AX37" i="1" s="1"/>
  <c r="AN37" i="1"/>
  <c r="AO37" i="1" s="1"/>
  <c r="AP37" i="1" s="1"/>
  <c r="AQ37" i="1" s="1"/>
  <c r="AG37" i="1"/>
  <c r="AF37" i="1"/>
  <c r="AB37" i="1"/>
  <c r="AC37" i="1" s="1"/>
  <c r="AD37" i="1" s="1"/>
  <c r="AE37" i="1" s="1"/>
  <c r="V37" i="1"/>
  <c r="CT36" i="1"/>
  <c r="CU36" i="1" s="1"/>
  <c r="CV36" i="1" s="1"/>
  <c r="CP36" i="1"/>
  <c r="CQ36" i="1" s="1"/>
  <c r="CR36" i="1" s="1"/>
  <c r="CM36" i="1"/>
  <c r="CN36" i="1" s="1"/>
  <c r="CJ36" i="1"/>
  <c r="BU36" i="1"/>
  <c r="BV36" i="1" s="1"/>
  <c r="BP36" i="1"/>
  <c r="BQ36" i="1" s="1"/>
  <c r="BR36" i="1" s="1"/>
  <c r="BJ36" i="1"/>
  <c r="BH36" i="1"/>
  <c r="BI36" i="1" s="1"/>
  <c r="BA36" i="1"/>
  <c r="BB36" i="1" s="1"/>
  <c r="BC36" i="1" s="1"/>
  <c r="BD36" i="1" s="1"/>
  <c r="AZ36" i="1"/>
  <c r="AS36" i="1"/>
  <c r="AT36" i="1" s="1"/>
  <c r="AU36" i="1" s="1"/>
  <c r="AV36" i="1" s="1"/>
  <c r="AW36" i="1" s="1"/>
  <c r="AX36" i="1" s="1"/>
  <c r="AN36" i="1"/>
  <c r="AO36" i="1" s="1"/>
  <c r="AP36" i="1" s="1"/>
  <c r="AQ36" i="1" s="1"/>
  <c r="AG36" i="1"/>
  <c r="AF36" i="1"/>
  <c r="AB36" i="1"/>
  <c r="AC36" i="1" s="1"/>
  <c r="AD36" i="1" s="1"/>
  <c r="AE36" i="1" s="1"/>
  <c r="W36" i="1"/>
  <c r="CT35" i="1"/>
  <c r="CU35" i="1" s="1"/>
  <c r="CV35" i="1" s="1"/>
  <c r="CP35" i="1"/>
  <c r="CQ35" i="1" s="1"/>
  <c r="CR35" i="1" s="1"/>
  <c r="CM35" i="1"/>
  <c r="CN35" i="1" s="1"/>
  <c r="CC35" i="1"/>
  <c r="CD35" i="1" s="1"/>
  <c r="CE35" i="1" s="1"/>
  <c r="BU35" i="1"/>
  <c r="BV35" i="1" s="1"/>
  <c r="BP35" i="1"/>
  <c r="BQ35" i="1" s="1"/>
  <c r="BR35" i="1" s="1"/>
  <c r="BJ35" i="1"/>
  <c r="BH35" i="1"/>
  <c r="BI35" i="1" s="1"/>
  <c r="BA35" i="1"/>
  <c r="BB35" i="1" s="1"/>
  <c r="BC35" i="1" s="1"/>
  <c r="BD35" i="1" s="1"/>
  <c r="AZ35" i="1"/>
  <c r="AS35" i="1"/>
  <c r="AT35" i="1" s="1"/>
  <c r="AU35" i="1" s="1"/>
  <c r="AV35" i="1" s="1"/>
  <c r="AW35" i="1" s="1"/>
  <c r="AX35" i="1" s="1"/>
  <c r="AN35" i="1"/>
  <c r="AO35" i="1" s="1"/>
  <c r="AP35" i="1" s="1"/>
  <c r="AQ35" i="1" s="1"/>
  <c r="AG35" i="1"/>
  <c r="AF35" i="1"/>
  <c r="AB35" i="1"/>
  <c r="AC35" i="1" s="1"/>
  <c r="AD35" i="1" s="1"/>
  <c r="AE35" i="1" s="1"/>
  <c r="W35" i="1"/>
  <c r="CT34" i="1"/>
  <c r="CU34" i="1" s="1"/>
  <c r="CV34" i="1" s="1"/>
  <c r="CP34" i="1"/>
  <c r="CQ34" i="1" s="1"/>
  <c r="CR34" i="1" s="1"/>
  <c r="CM34" i="1"/>
  <c r="CN34" i="1" s="1"/>
  <c r="CC34" i="1"/>
  <c r="CD34" i="1" s="1"/>
  <c r="CE34" i="1" s="1"/>
  <c r="BU34" i="1"/>
  <c r="BV34" i="1" s="1"/>
  <c r="BP34" i="1"/>
  <c r="BQ34" i="1" s="1"/>
  <c r="BR34" i="1" s="1"/>
  <c r="BO34" i="1"/>
  <c r="BJ34" i="1"/>
  <c r="BH34" i="1"/>
  <c r="BI34" i="1" s="1"/>
  <c r="BE34" i="1"/>
  <c r="BA34" i="1"/>
  <c r="BB34" i="1" s="1"/>
  <c r="BC34" i="1" s="1"/>
  <c r="BD34" i="1" s="1"/>
  <c r="AS34" i="1"/>
  <c r="AT34" i="1" s="1"/>
  <c r="AU34" i="1" s="1"/>
  <c r="AV34" i="1" s="1"/>
  <c r="AW34" i="1" s="1"/>
  <c r="AX34" i="1" s="1"/>
  <c r="AN34" i="1"/>
  <c r="AO34" i="1" s="1"/>
  <c r="AP34" i="1" s="1"/>
  <c r="AQ34" i="1" s="1"/>
  <c r="AG34" i="1"/>
  <c r="AF34" i="1"/>
  <c r="AB34" i="1"/>
  <c r="AC34" i="1" s="1"/>
  <c r="AD34" i="1" s="1"/>
  <c r="AE34" i="1" s="1"/>
  <c r="W34" i="1"/>
  <c r="V34" i="1"/>
  <c r="CT33" i="1"/>
  <c r="CU33" i="1" s="1"/>
  <c r="CV33" i="1" s="1"/>
  <c r="CP33" i="1"/>
  <c r="CQ33" i="1" s="1"/>
  <c r="CR33" i="1" s="1"/>
  <c r="CM33" i="1"/>
  <c r="CN33" i="1" s="1"/>
  <c r="CC33" i="1"/>
  <c r="CD33" i="1" s="1"/>
  <c r="CE33" i="1" s="1"/>
  <c r="BU33" i="1"/>
  <c r="BV33" i="1" s="1"/>
  <c r="BP33" i="1"/>
  <c r="BQ33" i="1" s="1"/>
  <c r="BR33" i="1" s="1"/>
  <c r="BO33" i="1"/>
  <c r="BJ33" i="1"/>
  <c r="BH33" i="1"/>
  <c r="BI33" i="1" s="1"/>
  <c r="BA33" i="1"/>
  <c r="BB33" i="1" s="1"/>
  <c r="BC33" i="1" s="1"/>
  <c r="BD33" i="1" s="1"/>
  <c r="AZ33" i="1"/>
  <c r="AS33" i="1"/>
  <c r="AT33" i="1" s="1"/>
  <c r="AU33" i="1" s="1"/>
  <c r="AV33" i="1" s="1"/>
  <c r="AW33" i="1" s="1"/>
  <c r="AX33" i="1" s="1"/>
  <c r="AN33" i="1"/>
  <c r="AO33" i="1" s="1"/>
  <c r="AP33" i="1" s="1"/>
  <c r="AQ33" i="1" s="1"/>
  <c r="AG33" i="1"/>
  <c r="AF33" i="1"/>
  <c r="AB33" i="1"/>
  <c r="AC33" i="1" s="1"/>
  <c r="AD33" i="1" s="1"/>
  <c r="AE33" i="1" s="1"/>
  <c r="W33" i="1"/>
  <c r="CT32" i="1"/>
  <c r="CU32" i="1" s="1"/>
  <c r="CV32" i="1" s="1"/>
  <c r="CP32" i="1"/>
  <c r="CQ32" i="1" s="1"/>
  <c r="CR32" i="1" s="1"/>
  <c r="CM32" i="1"/>
  <c r="CN32" i="1" s="1"/>
  <c r="CC32" i="1"/>
  <c r="CD32" i="1" s="1"/>
  <c r="CE32" i="1" s="1"/>
  <c r="BU32" i="1"/>
  <c r="BV32" i="1" s="1"/>
  <c r="BP32" i="1"/>
  <c r="BQ32" i="1" s="1"/>
  <c r="BR32" i="1" s="1"/>
  <c r="BJ32" i="1"/>
  <c r="BH32" i="1"/>
  <c r="BI32" i="1" s="1"/>
  <c r="BE32" i="1"/>
  <c r="BA32" i="1"/>
  <c r="BB32" i="1" s="1"/>
  <c r="BC32" i="1" s="1"/>
  <c r="BD32" i="1" s="1"/>
  <c r="AZ32" i="1"/>
  <c r="AS32" i="1"/>
  <c r="AT32" i="1" s="1"/>
  <c r="AU32" i="1" s="1"/>
  <c r="AV32" i="1" s="1"/>
  <c r="AW32" i="1" s="1"/>
  <c r="AX32" i="1" s="1"/>
  <c r="AN32" i="1"/>
  <c r="AO32" i="1" s="1"/>
  <c r="AP32" i="1" s="1"/>
  <c r="AQ32" i="1" s="1"/>
  <c r="AG32" i="1"/>
  <c r="AF32" i="1"/>
  <c r="AB32" i="1"/>
  <c r="AC32" i="1" s="1"/>
  <c r="AD32" i="1" s="1"/>
  <c r="AE32" i="1" s="1"/>
  <c r="W32" i="1"/>
  <c r="CT31" i="1"/>
  <c r="CU31" i="1" s="1"/>
  <c r="CV31" i="1" s="1"/>
  <c r="CP31" i="1"/>
  <c r="CQ31" i="1" s="1"/>
  <c r="CR31" i="1" s="1"/>
  <c r="CM31" i="1"/>
  <c r="CN31" i="1" s="1"/>
  <c r="CC31" i="1"/>
  <c r="CD31" i="1" s="1"/>
  <c r="CE31" i="1" s="1"/>
  <c r="BU31" i="1"/>
  <c r="BV31" i="1" s="1"/>
  <c r="BP31" i="1"/>
  <c r="BQ31" i="1" s="1"/>
  <c r="BR31" i="1" s="1"/>
  <c r="BJ31" i="1"/>
  <c r="BH31" i="1"/>
  <c r="BI31" i="1" s="1"/>
  <c r="BA31" i="1"/>
  <c r="BB31" i="1" s="1"/>
  <c r="BC31" i="1" s="1"/>
  <c r="BD31" i="1" s="1"/>
  <c r="AZ31" i="1"/>
  <c r="AS31" i="1"/>
  <c r="AT31" i="1" s="1"/>
  <c r="AU31" i="1" s="1"/>
  <c r="AV31" i="1" s="1"/>
  <c r="AW31" i="1" s="1"/>
  <c r="AX31" i="1" s="1"/>
  <c r="AN31" i="1"/>
  <c r="AO31" i="1" s="1"/>
  <c r="AP31" i="1" s="1"/>
  <c r="AQ31" i="1" s="1"/>
  <c r="AG31" i="1"/>
  <c r="AF31" i="1"/>
  <c r="AB31" i="1"/>
  <c r="AC31" i="1" s="1"/>
  <c r="AD31" i="1" s="1"/>
  <c r="AE31" i="1" s="1"/>
  <c r="CT30" i="1"/>
  <c r="CU30" i="1" s="1"/>
  <c r="CV30" i="1" s="1"/>
  <c r="CP30" i="1"/>
  <c r="CQ30" i="1" s="1"/>
  <c r="CR30" i="1" s="1"/>
  <c r="CM30" i="1"/>
  <c r="CN30" i="1" s="1"/>
  <c r="CC30" i="1"/>
  <c r="CD30" i="1" s="1"/>
  <c r="CE30" i="1" s="1"/>
  <c r="BU30" i="1"/>
  <c r="BV30" i="1" s="1"/>
  <c r="BP30" i="1"/>
  <c r="BQ30" i="1" s="1"/>
  <c r="BR30" i="1" s="1"/>
  <c r="BJ30" i="1"/>
  <c r="BH30" i="1"/>
  <c r="BI30" i="1" s="1"/>
  <c r="BA30" i="1"/>
  <c r="BB30" i="1" s="1"/>
  <c r="BC30" i="1" s="1"/>
  <c r="BD30" i="1" s="1"/>
  <c r="AS30" i="1"/>
  <c r="AT30" i="1" s="1"/>
  <c r="AU30" i="1" s="1"/>
  <c r="AV30" i="1" s="1"/>
  <c r="AW30" i="1" s="1"/>
  <c r="AX30" i="1" s="1"/>
  <c r="AN30" i="1"/>
  <c r="AO30" i="1" s="1"/>
  <c r="AP30" i="1" s="1"/>
  <c r="AQ30" i="1" s="1"/>
  <c r="AG30" i="1"/>
  <c r="AF30" i="1"/>
  <c r="AB30" i="1"/>
  <c r="AC30" i="1" s="1"/>
  <c r="AD30" i="1" s="1"/>
  <c r="AE30" i="1" s="1"/>
  <c r="Z30" i="1"/>
  <c r="W30" i="1"/>
  <c r="V30" i="1"/>
  <c r="CT29" i="1"/>
  <c r="CU29" i="1" s="1"/>
  <c r="CV29" i="1" s="1"/>
  <c r="CP29" i="1"/>
  <c r="CQ29" i="1" s="1"/>
  <c r="CR29" i="1" s="1"/>
  <c r="CM29" i="1"/>
  <c r="CN29" i="1" s="1"/>
  <c r="CC29" i="1"/>
  <c r="CD29" i="1" s="1"/>
  <c r="CE29" i="1" s="1"/>
  <c r="BU29" i="1"/>
  <c r="BV29" i="1" s="1"/>
  <c r="BP29" i="1"/>
  <c r="BQ29" i="1" s="1"/>
  <c r="BR29" i="1" s="1"/>
  <c r="BJ29" i="1"/>
  <c r="BH29" i="1"/>
  <c r="BI29" i="1" s="1"/>
  <c r="BF29" i="1"/>
  <c r="BA29" i="1"/>
  <c r="BB29" i="1" s="1"/>
  <c r="BC29" i="1" s="1"/>
  <c r="BD29" i="1" s="1"/>
  <c r="AZ29" i="1"/>
  <c r="AS29" i="1"/>
  <c r="AT29" i="1" s="1"/>
  <c r="AU29" i="1" s="1"/>
  <c r="AV29" i="1" s="1"/>
  <c r="AW29" i="1" s="1"/>
  <c r="AX29" i="1" s="1"/>
  <c r="AN29" i="1"/>
  <c r="AO29" i="1" s="1"/>
  <c r="AP29" i="1" s="1"/>
  <c r="AQ29" i="1" s="1"/>
  <c r="AG29" i="1"/>
  <c r="AF29" i="1"/>
  <c r="AB29" i="1"/>
  <c r="AC29" i="1" s="1"/>
  <c r="AD29" i="1" s="1"/>
  <c r="AE29" i="1" s="1"/>
  <c r="W29" i="1"/>
  <c r="CT28" i="1"/>
  <c r="CU28" i="1" s="1"/>
  <c r="CV28" i="1" s="1"/>
  <c r="CP28" i="1"/>
  <c r="CQ28" i="1" s="1"/>
  <c r="CR28" i="1" s="1"/>
  <c r="CM28" i="1"/>
  <c r="CN28" i="1" s="1"/>
  <c r="CC28" i="1"/>
  <c r="CD28" i="1" s="1"/>
  <c r="CE28" i="1" s="1"/>
  <c r="BU28" i="1"/>
  <c r="BV28" i="1" s="1"/>
  <c r="BP28" i="1"/>
  <c r="BQ28" i="1" s="1"/>
  <c r="BR28" i="1" s="1"/>
  <c r="BJ28" i="1"/>
  <c r="BH28" i="1"/>
  <c r="BI28" i="1" s="1"/>
  <c r="BF28" i="1"/>
  <c r="BA28" i="1"/>
  <c r="BB28" i="1" s="1"/>
  <c r="BC28" i="1" s="1"/>
  <c r="BD28" i="1" s="1"/>
  <c r="AS28" i="1"/>
  <c r="AT28" i="1" s="1"/>
  <c r="AU28" i="1" s="1"/>
  <c r="AV28" i="1" s="1"/>
  <c r="AW28" i="1" s="1"/>
  <c r="AX28" i="1" s="1"/>
  <c r="AN28" i="1"/>
  <c r="AO28" i="1" s="1"/>
  <c r="AP28" i="1" s="1"/>
  <c r="AQ28" i="1" s="1"/>
  <c r="AG28" i="1"/>
  <c r="AF28" i="1"/>
  <c r="AB28" i="1"/>
  <c r="AC28" i="1" s="1"/>
  <c r="AD28" i="1" s="1"/>
  <c r="AE28" i="1" s="1"/>
  <c r="W28" i="1"/>
  <c r="U28" i="1"/>
  <c r="CT27" i="1"/>
  <c r="CU27" i="1" s="1"/>
  <c r="CV27" i="1" s="1"/>
  <c r="CP27" i="1"/>
  <c r="CQ27" i="1" s="1"/>
  <c r="CR27" i="1" s="1"/>
  <c r="CM27" i="1"/>
  <c r="CN27" i="1" s="1"/>
  <c r="CC27" i="1"/>
  <c r="CD27" i="1" s="1"/>
  <c r="CE27" i="1" s="1"/>
  <c r="BU27" i="1"/>
  <c r="BV27" i="1" s="1"/>
  <c r="BP27" i="1"/>
  <c r="BQ27" i="1" s="1"/>
  <c r="BR27" i="1" s="1"/>
  <c r="BJ27" i="1"/>
  <c r="BH27" i="1"/>
  <c r="BI27" i="1" s="1"/>
  <c r="BA27" i="1"/>
  <c r="BB27" i="1" s="1"/>
  <c r="BC27" i="1" s="1"/>
  <c r="BD27" i="1" s="1"/>
  <c r="AZ27" i="1"/>
  <c r="AS27" i="1"/>
  <c r="AT27" i="1" s="1"/>
  <c r="AU27" i="1" s="1"/>
  <c r="AV27" i="1" s="1"/>
  <c r="AW27" i="1" s="1"/>
  <c r="AX27" i="1" s="1"/>
  <c r="AN27" i="1"/>
  <c r="AO27" i="1" s="1"/>
  <c r="AP27" i="1" s="1"/>
  <c r="AQ27" i="1" s="1"/>
  <c r="AG27" i="1"/>
  <c r="AF27" i="1"/>
  <c r="AB27" i="1"/>
  <c r="AC27" i="1" s="1"/>
  <c r="AD27" i="1" s="1"/>
  <c r="AE27" i="1" s="1"/>
  <c r="W27" i="1"/>
  <c r="V27" i="1"/>
  <c r="CT26" i="1"/>
  <c r="CU26" i="1" s="1"/>
  <c r="CV26" i="1" s="1"/>
  <c r="CP26" i="1"/>
  <c r="CQ26" i="1" s="1"/>
  <c r="CR26" i="1" s="1"/>
  <c r="CM26" i="1"/>
  <c r="CN26" i="1" s="1"/>
  <c r="CC26" i="1"/>
  <c r="CD26" i="1" s="1"/>
  <c r="CE26" i="1" s="1"/>
  <c r="BU26" i="1"/>
  <c r="BV26" i="1" s="1"/>
  <c r="BP26" i="1"/>
  <c r="BQ26" i="1" s="1"/>
  <c r="BR26" i="1" s="1"/>
  <c r="BJ26" i="1"/>
  <c r="BH26" i="1"/>
  <c r="BI26" i="1" s="1"/>
  <c r="BA26" i="1"/>
  <c r="BB26" i="1" s="1"/>
  <c r="BC26" i="1" s="1"/>
  <c r="BD26" i="1" s="1"/>
  <c r="AS26" i="1"/>
  <c r="AT26" i="1" s="1"/>
  <c r="AU26" i="1" s="1"/>
  <c r="AV26" i="1" s="1"/>
  <c r="AW26" i="1" s="1"/>
  <c r="AX26" i="1" s="1"/>
  <c r="AN26" i="1"/>
  <c r="AO26" i="1" s="1"/>
  <c r="AP26" i="1" s="1"/>
  <c r="AQ26" i="1" s="1"/>
  <c r="AG26" i="1"/>
  <c r="AF26" i="1"/>
  <c r="AB26" i="1"/>
  <c r="AC26" i="1" s="1"/>
  <c r="AD26" i="1" s="1"/>
  <c r="AE26" i="1" s="1"/>
  <c r="V26" i="1"/>
  <c r="CT25" i="1"/>
  <c r="CU25" i="1" s="1"/>
  <c r="CV25" i="1" s="1"/>
  <c r="CP25" i="1"/>
  <c r="CQ25" i="1" s="1"/>
  <c r="CR25" i="1" s="1"/>
  <c r="CM25" i="1"/>
  <c r="CN25" i="1" s="1"/>
  <c r="CC25" i="1"/>
  <c r="CD25" i="1" s="1"/>
  <c r="CE25" i="1" s="1"/>
  <c r="BU25" i="1"/>
  <c r="BV25" i="1" s="1"/>
  <c r="BP25" i="1"/>
  <c r="BQ25" i="1" s="1"/>
  <c r="BR25" i="1" s="1"/>
  <c r="BJ25" i="1"/>
  <c r="BH25" i="1"/>
  <c r="BI25" i="1" s="1"/>
  <c r="BA25" i="1"/>
  <c r="BB25" i="1" s="1"/>
  <c r="BC25" i="1" s="1"/>
  <c r="BD25" i="1" s="1"/>
  <c r="AZ25" i="1"/>
  <c r="AS25" i="1"/>
  <c r="AT25" i="1" s="1"/>
  <c r="AU25" i="1" s="1"/>
  <c r="AV25" i="1" s="1"/>
  <c r="AW25" i="1" s="1"/>
  <c r="AX25" i="1" s="1"/>
  <c r="AN25" i="1"/>
  <c r="AO25" i="1" s="1"/>
  <c r="AP25" i="1" s="1"/>
  <c r="AQ25" i="1" s="1"/>
  <c r="AG25" i="1"/>
  <c r="AF25" i="1"/>
  <c r="AB25" i="1"/>
  <c r="AC25" i="1" s="1"/>
  <c r="AD25" i="1" s="1"/>
  <c r="AE25" i="1" s="1"/>
  <c r="CT24" i="1"/>
  <c r="CU24" i="1" s="1"/>
  <c r="CV24" i="1" s="1"/>
  <c r="CP24" i="1"/>
  <c r="CQ24" i="1" s="1"/>
  <c r="CR24" i="1" s="1"/>
  <c r="CM24" i="1"/>
  <c r="CN24" i="1" s="1"/>
  <c r="CC24" i="1"/>
  <c r="CD24" i="1" s="1"/>
  <c r="CE24" i="1" s="1"/>
  <c r="BU24" i="1"/>
  <c r="BV24" i="1" s="1"/>
  <c r="BP24" i="1"/>
  <c r="BQ24" i="1" s="1"/>
  <c r="BR24" i="1" s="1"/>
  <c r="BJ24" i="1"/>
  <c r="BH24" i="1"/>
  <c r="BI24" i="1" s="1"/>
  <c r="BA24" i="1"/>
  <c r="BB24" i="1" s="1"/>
  <c r="BC24" i="1" s="1"/>
  <c r="BD24" i="1" s="1"/>
  <c r="AZ24" i="1"/>
  <c r="AS24" i="1"/>
  <c r="AT24" i="1" s="1"/>
  <c r="AU24" i="1" s="1"/>
  <c r="AV24" i="1" s="1"/>
  <c r="AW24" i="1" s="1"/>
  <c r="AX24" i="1" s="1"/>
  <c r="AN24" i="1"/>
  <c r="AO24" i="1" s="1"/>
  <c r="AP24" i="1" s="1"/>
  <c r="AQ24" i="1" s="1"/>
  <c r="AG24" i="1"/>
  <c r="AF24" i="1"/>
  <c r="AB24" i="1"/>
  <c r="AC24" i="1" s="1"/>
  <c r="AD24" i="1" s="1"/>
  <c r="AE24" i="1" s="1"/>
  <c r="W24" i="1"/>
  <c r="CT23" i="1"/>
  <c r="CU23" i="1" s="1"/>
  <c r="CV23" i="1" s="1"/>
  <c r="CP23" i="1"/>
  <c r="CQ23" i="1" s="1"/>
  <c r="CR23" i="1" s="1"/>
  <c r="CM23" i="1"/>
  <c r="CN23" i="1" s="1"/>
  <c r="CC23" i="1"/>
  <c r="CD23" i="1" s="1"/>
  <c r="CE23" i="1" s="1"/>
  <c r="BU23" i="1"/>
  <c r="BV23" i="1" s="1"/>
  <c r="BP23" i="1"/>
  <c r="BQ23" i="1" s="1"/>
  <c r="BR23" i="1" s="1"/>
  <c r="BJ23" i="1"/>
  <c r="BH23" i="1"/>
  <c r="BI23" i="1" s="1"/>
  <c r="BA23" i="1"/>
  <c r="BB23" i="1" s="1"/>
  <c r="BC23" i="1" s="1"/>
  <c r="BD23" i="1" s="1"/>
  <c r="AZ23" i="1"/>
  <c r="AS23" i="1"/>
  <c r="AT23" i="1" s="1"/>
  <c r="AU23" i="1" s="1"/>
  <c r="AV23" i="1" s="1"/>
  <c r="AW23" i="1" s="1"/>
  <c r="AX23" i="1" s="1"/>
  <c r="AN23" i="1"/>
  <c r="AO23" i="1" s="1"/>
  <c r="AP23" i="1" s="1"/>
  <c r="AQ23" i="1" s="1"/>
  <c r="AG23" i="1"/>
  <c r="AF23" i="1"/>
  <c r="AB23" i="1"/>
  <c r="AC23" i="1" s="1"/>
  <c r="AD23" i="1" s="1"/>
  <c r="AE23" i="1" s="1"/>
  <c r="W23" i="1"/>
  <c r="CT22" i="1"/>
  <c r="CU22" i="1" s="1"/>
  <c r="CV22" i="1" s="1"/>
  <c r="CP22" i="1"/>
  <c r="CQ22" i="1" s="1"/>
  <c r="CR22" i="1" s="1"/>
  <c r="CM22" i="1"/>
  <c r="CN22" i="1" s="1"/>
  <c r="CC22" i="1"/>
  <c r="CD22" i="1" s="1"/>
  <c r="CE22" i="1" s="1"/>
  <c r="BU22" i="1"/>
  <c r="BV22" i="1" s="1"/>
  <c r="BP22" i="1"/>
  <c r="BQ22" i="1" s="1"/>
  <c r="BR22" i="1" s="1"/>
  <c r="BJ22" i="1"/>
  <c r="BH22" i="1"/>
  <c r="BI22" i="1" s="1"/>
  <c r="BA22" i="1"/>
  <c r="BB22" i="1" s="1"/>
  <c r="BC22" i="1" s="1"/>
  <c r="BD22" i="1" s="1"/>
  <c r="AZ22" i="1"/>
  <c r="AS22" i="1"/>
  <c r="AT22" i="1" s="1"/>
  <c r="AU22" i="1" s="1"/>
  <c r="AV22" i="1" s="1"/>
  <c r="AW22" i="1" s="1"/>
  <c r="AX22" i="1" s="1"/>
  <c r="AN22" i="1"/>
  <c r="AO22" i="1" s="1"/>
  <c r="AP22" i="1" s="1"/>
  <c r="AQ22" i="1" s="1"/>
  <c r="AG22" i="1"/>
  <c r="AF22" i="1"/>
  <c r="AB22" i="1"/>
  <c r="AC22" i="1" s="1"/>
  <c r="AD22" i="1" s="1"/>
  <c r="AE22" i="1" s="1"/>
  <c r="Z22" i="1"/>
  <c r="W22" i="1"/>
  <c r="V22" i="1"/>
  <c r="CT21" i="1"/>
  <c r="CU21" i="1" s="1"/>
  <c r="CV21" i="1" s="1"/>
  <c r="CP21" i="1"/>
  <c r="CQ21" i="1" s="1"/>
  <c r="CR21" i="1" s="1"/>
  <c r="CM21" i="1"/>
  <c r="CN21" i="1" s="1"/>
  <c r="CC21" i="1"/>
  <c r="CD21" i="1" s="1"/>
  <c r="CE21" i="1" s="1"/>
  <c r="BU21" i="1"/>
  <c r="BV21" i="1" s="1"/>
  <c r="BP21" i="1"/>
  <c r="BQ21" i="1" s="1"/>
  <c r="BR21" i="1" s="1"/>
  <c r="BO21" i="1"/>
  <c r="BJ21" i="1"/>
  <c r="BH21" i="1"/>
  <c r="BI21" i="1" s="1"/>
  <c r="BE21" i="1"/>
  <c r="BA21" i="1"/>
  <c r="BB21" i="1" s="1"/>
  <c r="BC21" i="1" s="1"/>
  <c r="BD21" i="1" s="1"/>
  <c r="AS21" i="1"/>
  <c r="AT21" i="1" s="1"/>
  <c r="AU21" i="1" s="1"/>
  <c r="AV21" i="1" s="1"/>
  <c r="AW21" i="1" s="1"/>
  <c r="AX21" i="1" s="1"/>
  <c r="AN21" i="1"/>
  <c r="AO21" i="1" s="1"/>
  <c r="AP21" i="1" s="1"/>
  <c r="AQ21" i="1" s="1"/>
  <c r="AG21" i="1"/>
  <c r="AF21" i="1"/>
  <c r="AB21" i="1"/>
  <c r="AC21" i="1" s="1"/>
  <c r="AD21" i="1" s="1"/>
  <c r="AE21" i="1" s="1"/>
  <c r="W21" i="1"/>
  <c r="CT20" i="1"/>
  <c r="CU20" i="1" s="1"/>
  <c r="CV20" i="1" s="1"/>
  <c r="CP20" i="1"/>
  <c r="CQ20" i="1" s="1"/>
  <c r="CR20" i="1" s="1"/>
  <c r="CM20" i="1"/>
  <c r="CN20" i="1" s="1"/>
  <c r="CC20" i="1"/>
  <c r="CD20" i="1" s="1"/>
  <c r="CE20" i="1" s="1"/>
  <c r="BU20" i="1"/>
  <c r="BV20" i="1" s="1"/>
  <c r="BP20" i="1"/>
  <c r="BQ20" i="1" s="1"/>
  <c r="BR20" i="1" s="1"/>
  <c r="BJ20" i="1"/>
  <c r="BH20" i="1"/>
  <c r="BI20" i="1" s="1"/>
  <c r="BA20" i="1"/>
  <c r="BB20" i="1" s="1"/>
  <c r="BC20" i="1" s="1"/>
  <c r="BD20" i="1" s="1"/>
  <c r="AZ20" i="1"/>
  <c r="AS20" i="1"/>
  <c r="AT20" i="1" s="1"/>
  <c r="AU20" i="1" s="1"/>
  <c r="AV20" i="1" s="1"/>
  <c r="AW20" i="1" s="1"/>
  <c r="AX20" i="1" s="1"/>
  <c r="AN20" i="1"/>
  <c r="AO20" i="1" s="1"/>
  <c r="AP20" i="1" s="1"/>
  <c r="AQ20" i="1" s="1"/>
  <c r="AG20" i="1"/>
  <c r="AF20" i="1"/>
  <c r="AB20" i="1"/>
  <c r="AC20" i="1" s="1"/>
  <c r="AD20" i="1" s="1"/>
  <c r="AE20" i="1" s="1"/>
  <c r="W20" i="1"/>
  <c r="V20" i="1"/>
  <c r="CT19" i="1"/>
  <c r="CU19" i="1" s="1"/>
  <c r="CV19" i="1" s="1"/>
  <c r="CP19" i="1"/>
  <c r="CQ19" i="1" s="1"/>
  <c r="CR19" i="1" s="1"/>
  <c r="CM19" i="1"/>
  <c r="CN19" i="1" s="1"/>
  <c r="CC19" i="1"/>
  <c r="CD19" i="1" s="1"/>
  <c r="CE19" i="1" s="1"/>
  <c r="BU19" i="1"/>
  <c r="BV19" i="1" s="1"/>
  <c r="BP19" i="1"/>
  <c r="BQ19" i="1" s="1"/>
  <c r="BR19" i="1" s="1"/>
  <c r="BJ19" i="1"/>
  <c r="BH19" i="1"/>
  <c r="BI19" i="1" s="1"/>
  <c r="BA19" i="1"/>
  <c r="BB19" i="1" s="1"/>
  <c r="BC19" i="1" s="1"/>
  <c r="BD19" i="1" s="1"/>
  <c r="AS19" i="1"/>
  <c r="AT19" i="1" s="1"/>
  <c r="AU19" i="1" s="1"/>
  <c r="AV19" i="1" s="1"/>
  <c r="AW19" i="1" s="1"/>
  <c r="AX19" i="1" s="1"/>
  <c r="AN19" i="1"/>
  <c r="AO19" i="1" s="1"/>
  <c r="AP19" i="1" s="1"/>
  <c r="AQ19" i="1" s="1"/>
  <c r="AG19" i="1"/>
  <c r="AF19" i="1"/>
  <c r="AB19" i="1"/>
  <c r="AC19" i="1" s="1"/>
  <c r="AD19" i="1" s="1"/>
  <c r="AE19" i="1" s="1"/>
  <c r="CT18" i="1"/>
  <c r="CU18" i="1" s="1"/>
  <c r="CV18" i="1" s="1"/>
  <c r="CP18" i="1"/>
  <c r="CQ18" i="1" s="1"/>
  <c r="CR18" i="1" s="1"/>
  <c r="CM18" i="1"/>
  <c r="CN18" i="1" s="1"/>
  <c r="CC18" i="1"/>
  <c r="CD18" i="1" s="1"/>
  <c r="CE18" i="1" s="1"/>
  <c r="BU18" i="1"/>
  <c r="BV18" i="1" s="1"/>
  <c r="BP18" i="1"/>
  <c r="BQ18" i="1" s="1"/>
  <c r="BR18" i="1" s="1"/>
  <c r="BJ18" i="1"/>
  <c r="BH18" i="1"/>
  <c r="BI18" i="1" s="1"/>
  <c r="BA18" i="1"/>
  <c r="BB18" i="1" s="1"/>
  <c r="BC18" i="1" s="1"/>
  <c r="BD18" i="1" s="1"/>
  <c r="AS18" i="1"/>
  <c r="AT18" i="1" s="1"/>
  <c r="AU18" i="1" s="1"/>
  <c r="AV18" i="1" s="1"/>
  <c r="AW18" i="1" s="1"/>
  <c r="AX18" i="1" s="1"/>
  <c r="AN18" i="1"/>
  <c r="AO18" i="1" s="1"/>
  <c r="AP18" i="1" s="1"/>
  <c r="AQ18" i="1" s="1"/>
  <c r="AG18" i="1"/>
  <c r="AF18" i="1"/>
  <c r="AB18" i="1"/>
  <c r="AC18" i="1" s="1"/>
  <c r="AD18" i="1" s="1"/>
  <c r="AE18" i="1" s="1"/>
  <c r="U18" i="1"/>
  <c r="CT17" i="1"/>
  <c r="CU17" i="1" s="1"/>
  <c r="CV17" i="1" s="1"/>
  <c r="CP17" i="1"/>
  <c r="CQ17" i="1" s="1"/>
  <c r="CR17" i="1" s="1"/>
  <c r="CM17" i="1"/>
  <c r="CN17" i="1" s="1"/>
  <c r="CC17" i="1"/>
  <c r="CD17" i="1" s="1"/>
  <c r="CE17" i="1" s="1"/>
  <c r="BU17" i="1"/>
  <c r="BV17" i="1" s="1"/>
  <c r="BP17" i="1"/>
  <c r="BQ17" i="1" s="1"/>
  <c r="BR17" i="1" s="1"/>
  <c r="BJ17" i="1"/>
  <c r="BH17" i="1"/>
  <c r="BI17" i="1" s="1"/>
  <c r="BA17" i="1"/>
  <c r="BB17" i="1" s="1"/>
  <c r="BC17" i="1" s="1"/>
  <c r="BD17" i="1" s="1"/>
  <c r="AS17" i="1"/>
  <c r="AT17" i="1" s="1"/>
  <c r="AU17" i="1" s="1"/>
  <c r="AV17" i="1" s="1"/>
  <c r="AW17" i="1" s="1"/>
  <c r="AX17" i="1" s="1"/>
  <c r="AN17" i="1"/>
  <c r="AO17" i="1" s="1"/>
  <c r="AP17" i="1" s="1"/>
  <c r="AQ17" i="1" s="1"/>
  <c r="AG17" i="1"/>
  <c r="AF17" i="1"/>
  <c r="AB17" i="1"/>
  <c r="AC17" i="1" s="1"/>
  <c r="AD17" i="1" s="1"/>
  <c r="AE17" i="1" s="1"/>
  <c r="CT16" i="1"/>
  <c r="CU16" i="1" s="1"/>
  <c r="CV16" i="1" s="1"/>
  <c r="CP16" i="1"/>
  <c r="CQ16" i="1" s="1"/>
  <c r="CR16" i="1" s="1"/>
  <c r="CM16" i="1"/>
  <c r="CN16" i="1" s="1"/>
  <c r="CC16" i="1"/>
  <c r="CD16" i="1" s="1"/>
  <c r="CE16" i="1" s="1"/>
  <c r="BU16" i="1"/>
  <c r="BV16" i="1" s="1"/>
  <c r="BP16" i="1"/>
  <c r="BQ16" i="1" s="1"/>
  <c r="BR16" i="1" s="1"/>
  <c r="BO16" i="1"/>
  <c r="BJ16" i="1"/>
  <c r="BH16" i="1"/>
  <c r="BI16" i="1" s="1"/>
  <c r="BA16" i="1"/>
  <c r="BB16" i="1" s="1"/>
  <c r="BC16" i="1" s="1"/>
  <c r="BD16" i="1" s="1"/>
  <c r="AZ16" i="1"/>
  <c r="AS16" i="1"/>
  <c r="AT16" i="1" s="1"/>
  <c r="AU16" i="1" s="1"/>
  <c r="AV16" i="1" s="1"/>
  <c r="AW16" i="1" s="1"/>
  <c r="AX16" i="1" s="1"/>
  <c r="AN16" i="1"/>
  <c r="AO16" i="1" s="1"/>
  <c r="AP16" i="1" s="1"/>
  <c r="AQ16" i="1" s="1"/>
  <c r="AG16" i="1"/>
  <c r="AF16" i="1"/>
  <c r="AB16" i="1"/>
  <c r="AC16" i="1" s="1"/>
  <c r="AD16" i="1" s="1"/>
  <c r="AE16" i="1" s="1"/>
  <c r="W16" i="1"/>
  <c r="V16" i="1"/>
  <c r="U16" i="1"/>
  <c r="CT15" i="1"/>
  <c r="CU15" i="1" s="1"/>
  <c r="CV15" i="1" s="1"/>
  <c r="CP15" i="1"/>
  <c r="CQ15" i="1" s="1"/>
  <c r="CR15" i="1" s="1"/>
  <c r="CM15" i="1"/>
  <c r="CN15" i="1" s="1"/>
  <c r="CC15" i="1"/>
  <c r="CD15" i="1" s="1"/>
  <c r="CE15" i="1" s="1"/>
  <c r="BU15" i="1"/>
  <c r="BV15" i="1" s="1"/>
  <c r="BP15" i="1"/>
  <c r="BQ15" i="1" s="1"/>
  <c r="BR15" i="1" s="1"/>
  <c r="BJ15" i="1"/>
  <c r="BH15" i="1"/>
  <c r="BI15" i="1" s="1"/>
  <c r="BA15" i="1"/>
  <c r="BB15" i="1" s="1"/>
  <c r="BC15" i="1" s="1"/>
  <c r="BD15" i="1" s="1"/>
  <c r="AZ15" i="1"/>
  <c r="AS15" i="1"/>
  <c r="AT15" i="1" s="1"/>
  <c r="AU15" i="1" s="1"/>
  <c r="AV15" i="1" s="1"/>
  <c r="AW15" i="1" s="1"/>
  <c r="AX15" i="1" s="1"/>
  <c r="AN15" i="1"/>
  <c r="AO15" i="1" s="1"/>
  <c r="AP15" i="1" s="1"/>
  <c r="AQ15" i="1" s="1"/>
  <c r="AG15" i="1"/>
  <c r="AF15" i="1"/>
  <c r="AB15" i="1"/>
  <c r="AC15" i="1" s="1"/>
  <c r="AD15" i="1" s="1"/>
  <c r="AE15" i="1" s="1"/>
  <c r="V15" i="1"/>
  <c r="U15" i="1"/>
  <c r="CT14" i="1"/>
  <c r="CU14" i="1" s="1"/>
  <c r="CV14" i="1" s="1"/>
  <c r="CP14" i="1"/>
  <c r="CQ14" i="1" s="1"/>
  <c r="CR14" i="1" s="1"/>
  <c r="CM14" i="1"/>
  <c r="CN14" i="1" s="1"/>
  <c r="CC14" i="1"/>
  <c r="CD14" i="1" s="1"/>
  <c r="CE14" i="1" s="1"/>
  <c r="BU14" i="1"/>
  <c r="BV14" i="1" s="1"/>
  <c r="BP14" i="1"/>
  <c r="BQ14" i="1" s="1"/>
  <c r="BR14" i="1" s="1"/>
  <c r="BJ14" i="1"/>
  <c r="BH14" i="1"/>
  <c r="BI14" i="1" s="1"/>
  <c r="BF14" i="1"/>
  <c r="BE14" i="1"/>
  <c r="BA14" i="1"/>
  <c r="BB14" i="1" s="1"/>
  <c r="BC14" i="1" s="1"/>
  <c r="BD14" i="1" s="1"/>
  <c r="AZ14" i="1"/>
  <c r="AS14" i="1"/>
  <c r="AT14" i="1" s="1"/>
  <c r="AU14" i="1" s="1"/>
  <c r="AV14" i="1" s="1"/>
  <c r="AW14" i="1" s="1"/>
  <c r="AX14" i="1" s="1"/>
  <c r="AN14" i="1"/>
  <c r="AO14" i="1" s="1"/>
  <c r="AP14" i="1" s="1"/>
  <c r="AQ14" i="1" s="1"/>
  <c r="AG14" i="1"/>
  <c r="AF14" i="1"/>
  <c r="AB14" i="1"/>
  <c r="AC14" i="1" s="1"/>
  <c r="AD14" i="1" s="1"/>
  <c r="AE14" i="1" s="1"/>
  <c r="V14" i="1"/>
  <c r="CT13" i="1"/>
  <c r="CU13" i="1" s="1"/>
  <c r="CV13" i="1" s="1"/>
  <c r="CP13" i="1"/>
  <c r="CQ13" i="1" s="1"/>
  <c r="CR13" i="1" s="1"/>
  <c r="CM13" i="1"/>
  <c r="CN13" i="1" s="1"/>
  <c r="CC13" i="1"/>
  <c r="CD13" i="1" s="1"/>
  <c r="CE13" i="1" s="1"/>
  <c r="BU13" i="1"/>
  <c r="BV13" i="1" s="1"/>
  <c r="BP13" i="1"/>
  <c r="BQ13" i="1" s="1"/>
  <c r="BR13" i="1" s="1"/>
  <c r="BJ13" i="1"/>
  <c r="BH13" i="1"/>
  <c r="BI13" i="1" s="1"/>
  <c r="BA13" i="1"/>
  <c r="BB13" i="1" s="1"/>
  <c r="BC13" i="1" s="1"/>
  <c r="BD13" i="1" s="1"/>
  <c r="AZ13" i="1"/>
  <c r="AS13" i="1"/>
  <c r="AT13" i="1" s="1"/>
  <c r="AU13" i="1" s="1"/>
  <c r="AV13" i="1" s="1"/>
  <c r="AW13" i="1" s="1"/>
  <c r="AX13" i="1" s="1"/>
  <c r="AN13" i="1"/>
  <c r="AO13" i="1" s="1"/>
  <c r="AP13" i="1" s="1"/>
  <c r="AQ13" i="1" s="1"/>
  <c r="AG13" i="1"/>
  <c r="AF13" i="1"/>
  <c r="AB13" i="1"/>
  <c r="AC13" i="1" s="1"/>
  <c r="AD13" i="1" s="1"/>
  <c r="AE13" i="1" s="1"/>
  <c r="W13" i="1"/>
  <c r="V13" i="1"/>
  <c r="U13" i="1"/>
  <c r="CT12" i="1"/>
  <c r="CU12" i="1" s="1"/>
  <c r="CV12" i="1" s="1"/>
  <c r="CP12" i="1"/>
  <c r="CQ12" i="1" s="1"/>
  <c r="CR12" i="1" s="1"/>
  <c r="CM12" i="1"/>
  <c r="CN12" i="1" s="1"/>
  <c r="CC12" i="1"/>
  <c r="CD12" i="1" s="1"/>
  <c r="CE12" i="1" s="1"/>
  <c r="BU12" i="1"/>
  <c r="BV12" i="1" s="1"/>
  <c r="BP12" i="1"/>
  <c r="BQ12" i="1" s="1"/>
  <c r="BR12" i="1" s="1"/>
  <c r="BJ12" i="1"/>
  <c r="BH12" i="1"/>
  <c r="BI12" i="1" s="1"/>
  <c r="BA12" i="1"/>
  <c r="BB12" i="1" s="1"/>
  <c r="BC12" i="1" s="1"/>
  <c r="BD12" i="1" s="1"/>
  <c r="AS12" i="1"/>
  <c r="AT12" i="1" s="1"/>
  <c r="AU12" i="1" s="1"/>
  <c r="AV12" i="1" s="1"/>
  <c r="AW12" i="1" s="1"/>
  <c r="AX12" i="1" s="1"/>
  <c r="AN12" i="1"/>
  <c r="AO12" i="1" s="1"/>
  <c r="AP12" i="1" s="1"/>
  <c r="AQ12" i="1" s="1"/>
  <c r="AG12" i="1"/>
  <c r="AF12" i="1"/>
  <c r="AB12" i="1"/>
  <c r="AC12" i="1" s="1"/>
  <c r="AD12" i="1" s="1"/>
  <c r="AE12" i="1" s="1"/>
  <c r="V12" i="1"/>
  <c r="CT11" i="1"/>
  <c r="CU11" i="1" s="1"/>
  <c r="CV11" i="1" s="1"/>
  <c r="CP11" i="1"/>
  <c r="CQ11" i="1" s="1"/>
  <c r="CR11" i="1" s="1"/>
  <c r="CM11" i="1"/>
  <c r="CN11" i="1" s="1"/>
  <c r="CC11" i="1"/>
  <c r="CD11" i="1" s="1"/>
  <c r="CE11" i="1" s="1"/>
  <c r="BU11" i="1"/>
  <c r="BV11" i="1" s="1"/>
  <c r="BP11" i="1"/>
  <c r="BQ11" i="1" s="1"/>
  <c r="BR11" i="1" s="1"/>
  <c r="BO11" i="1"/>
  <c r="BJ11" i="1"/>
  <c r="BH11" i="1"/>
  <c r="BI11" i="1" s="1"/>
  <c r="BA11" i="1"/>
  <c r="BB11" i="1" s="1"/>
  <c r="BC11" i="1" s="1"/>
  <c r="BD11" i="1" s="1"/>
  <c r="AZ11" i="1"/>
  <c r="AS11" i="1"/>
  <c r="AT11" i="1" s="1"/>
  <c r="AU11" i="1" s="1"/>
  <c r="AV11" i="1" s="1"/>
  <c r="AW11" i="1" s="1"/>
  <c r="AX11" i="1" s="1"/>
  <c r="AN11" i="1"/>
  <c r="AO11" i="1" s="1"/>
  <c r="AP11" i="1" s="1"/>
  <c r="AQ11" i="1" s="1"/>
  <c r="AG11" i="1"/>
  <c r="AF11" i="1"/>
  <c r="AB11" i="1"/>
  <c r="AC11" i="1" s="1"/>
  <c r="AD11" i="1" s="1"/>
  <c r="AE11" i="1" s="1"/>
  <c r="V11" i="1"/>
  <c r="CT10" i="1"/>
  <c r="CU10" i="1" s="1"/>
  <c r="CV10" i="1" s="1"/>
  <c r="CP10" i="1"/>
  <c r="CQ10" i="1" s="1"/>
  <c r="CR10" i="1" s="1"/>
  <c r="CM10" i="1"/>
  <c r="CN10" i="1" s="1"/>
  <c r="CC10" i="1"/>
  <c r="CD10" i="1" s="1"/>
  <c r="CE10" i="1" s="1"/>
  <c r="BU10" i="1"/>
  <c r="BV10" i="1" s="1"/>
  <c r="BP10" i="1"/>
  <c r="BQ10" i="1" s="1"/>
  <c r="BR10" i="1" s="1"/>
  <c r="BJ10" i="1"/>
  <c r="BH10" i="1"/>
  <c r="BI10" i="1" s="1"/>
  <c r="BA10" i="1"/>
  <c r="BB10" i="1" s="1"/>
  <c r="BC10" i="1" s="1"/>
  <c r="BD10" i="1" s="1"/>
  <c r="AS10" i="1"/>
  <c r="AT10" i="1" s="1"/>
  <c r="AU10" i="1" s="1"/>
  <c r="AV10" i="1" s="1"/>
  <c r="AW10" i="1" s="1"/>
  <c r="AX10" i="1" s="1"/>
  <c r="AN10" i="1"/>
  <c r="AO10" i="1" s="1"/>
  <c r="AP10" i="1" s="1"/>
  <c r="AQ10" i="1" s="1"/>
  <c r="AG10" i="1"/>
  <c r="AF10" i="1"/>
  <c r="AB10" i="1"/>
  <c r="AC10" i="1" s="1"/>
  <c r="AD10" i="1" s="1"/>
  <c r="AE10" i="1" s="1"/>
  <c r="W10" i="1"/>
  <c r="CT9" i="1"/>
  <c r="CU9" i="1" s="1"/>
  <c r="CV9" i="1" s="1"/>
  <c r="CP9" i="1"/>
  <c r="CQ9" i="1" s="1"/>
  <c r="CR9" i="1" s="1"/>
  <c r="CM9" i="1"/>
  <c r="CN9" i="1" s="1"/>
  <c r="CC9" i="1"/>
  <c r="CD9" i="1" s="1"/>
  <c r="CE9" i="1" s="1"/>
  <c r="BU9" i="1"/>
  <c r="BV9" i="1" s="1"/>
  <c r="BP9" i="1"/>
  <c r="BQ9" i="1" s="1"/>
  <c r="BR9" i="1" s="1"/>
  <c r="BJ9" i="1"/>
  <c r="BH9" i="1"/>
  <c r="BI9" i="1" s="1"/>
  <c r="BA9" i="1"/>
  <c r="BB9" i="1" s="1"/>
  <c r="BC9" i="1" s="1"/>
  <c r="BD9" i="1" s="1"/>
  <c r="AS9" i="1"/>
  <c r="AT9" i="1" s="1"/>
  <c r="AU9" i="1" s="1"/>
  <c r="AV9" i="1" s="1"/>
  <c r="AW9" i="1" s="1"/>
  <c r="AX9" i="1" s="1"/>
  <c r="AN9" i="1"/>
  <c r="AO9" i="1" s="1"/>
  <c r="AP9" i="1" s="1"/>
  <c r="AQ9" i="1" s="1"/>
  <c r="AG9" i="1"/>
  <c r="AF9" i="1"/>
  <c r="AB9" i="1"/>
  <c r="AC9" i="1" s="1"/>
  <c r="AD9" i="1" s="1"/>
  <c r="AE9" i="1" s="1"/>
  <c r="V9" i="1"/>
  <c r="CT8" i="1"/>
  <c r="CU8" i="1" s="1"/>
  <c r="CV8" i="1" s="1"/>
  <c r="CP8" i="1"/>
  <c r="CQ8" i="1" s="1"/>
  <c r="CR8" i="1" s="1"/>
  <c r="CM8" i="1"/>
  <c r="CN8" i="1" s="1"/>
  <c r="CI8" i="1"/>
  <c r="CJ8" i="1" s="1"/>
  <c r="BU8" i="1"/>
  <c r="BV8" i="1" s="1"/>
  <c r="BP8" i="1"/>
  <c r="BQ8" i="1" s="1"/>
  <c r="BR8" i="1" s="1"/>
  <c r="BJ8" i="1"/>
  <c r="BH8" i="1"/>
  <c r="BI8" i="1" s="1"/>
  <c r="BA8" i="1"/>
  <c r="BB8" i="1" s="1"/>
  <c r="BC8" i="1" s="1"/>
  <c r="BD8" i="1" s="1"/>
  <c r="AS8" i="1"/>
  <c r="AT8" i="1" s="1"/>
  <c r="AU8" i="1" s="1"/>
  <c r="AV8" i="1" s="1"/>
  <c r="AW8" i="1" s="1"/>
  <c r="AX8" i="1" s="1"/>
  <c r="AN8" i="1"/>
  <c r="AO8" i="1" s="1"/>
  <c r="AP8" i="1" s="1"/>
  <c r="AQ8" i="1" s="1"/>
  <c r="AG8" i="1"/>
  <c r="AF8" i="1"/>
  <c r="AB8" i="1"/>
  <c r="AC8" i="1" s="1"/>
  <c r="AD8" i="1" s="1"/>
  <c r="AE8" i="1" s="1"/>
  <c r="W8" i="1"/>
  <c r="V8" i="1"/>
  <c r="CT7" i="1"/>
  <c r="CU7" i="1" s="1"/>
  <c r="CV7" i="1" s="1"/>
  <c r="CP7" i="1"/>
  <c r="CQ7" i="1" s="1"/>
  <c r="CR7" i="1" s="1"/>
  <c r="CM7" i="1"/>
  <c r="CN7" i="1" s="1"/>
  <c r="CC7" i="1"/>
  <c r="CD7" i="1" s="1"/>
  <c r="CE7" i="1" s="1"/>
  <c r="BU7" i="1"/>
  <c r="BV7" i="1" s="1"/>
  <c r="BP7" i="1"/>
  <c r="BQ7" i="1" s="1"/>
  <c r="BR7" i="1" s="1"/>
  <c r="BJ7" i="1"/>
  <c r="BH7" i="1"/>
  <c r="BI7" i="1" s="1"/>
  <c r="BA7" i="1"/>
  <c r="BB7" i="1" s="1"/>
  <c r="BC7" i="1" s="1"/>
  <c r="BD7" i="1" s="1"/>
  <c r="AS7" i="1"/>
  <c r="AT7" i="1" s="1"/>
  <c r="AU7" i="1" s="1"/>
  <c r="AV7" i="1" s="1"/>
  <c r="AW7" i="1" s="1"/>
  <c r="AX7" i="1" s="1"/>
  <c r="AN7" i="1"/>
  <c r="AO7" i="1" s="1"/>
  <c r="AP7" i="1" s="1"/>
  <c r="AQ7" i="1" s="1"/>
  <c r="AG7" i="1"/>
  <c r="AF7" i="1"/>
  <c r="AB7" i="1"/>
  <c r="AC7" i="1" s="1"/>
  <c r="AD7" i="1" s="1"/>
  <c r="AE7" i="1" s="1"/>
  <c r="W7" i="1"/>
  <c r="V7" i="1"/>
  <c r="CP6" i="1"/>
  <c r="CQ6" i="1" s="1"/>
  <c r="CR6" i="1" s="1"/>
  <c r="CM6" i="1"/>
  <c r="CN6" i="1" s="1"/>
  <c r="CC6" i="1"/>
  <c r="CD6" i="1" s="1"/>
  <c r="CE6" i="1" s="1"/>
  <c r="BU6" i="1"/>
  <c r="BV6" i="1" s="1"/>
  <c r="BP6" i="1"/>
  <c r="BQ6" i="1" s="1"/>
  <c r="BR6" i="1" s="1"/>
  <c r="BJ6" i="1"/>
  <c r="BH6" i="1"/>
  <c r="BI6" i="1" s="1"/>
  <c r="BA6" i="1"/>
  <c r="BB6" i="1" s="1"/>
  <c r="BC6" i="1" s="1"/>
  <c r="BD6" i="1" s="1"/>
  <c r="AZ6" i="1"/>
  <c r="AS6" i="1"/>
  <c r="AT6" i="1" s="1"/>
  <c r="AU6" i="1" s="1"/>
  <c r="AV6" i="1" s="1"/>
  <c r="AW6" i="1" s="1"/>
  <c r="AX6" i="1" s="1"/>
  <c r="AN6" i="1"/>
  <c r="AO6" i="1" s="1"/>
  <c r="AP6" i="1" s="1"/>
  <c r="AQ6" i="1" s="1"/>
  <c r="AG6" i="1"/>
  <c r="AF6" i="1"/>
  <c r="AB6" i="1"/>
  <c r="AC6" i="1" s="1"/>
  <c r="AD6" i="1" s="1"/>
  <c r="AE6" i="1" s="1"/>
  <c r="X6" i="1"/>
  <c r="W6" i="1"/>
  <c r="V6" i="1"/>
  <c r="CP5" i="1"/>
  <c r="CQ5" i="1" s="1"/>
  <c r="CR5" i="1" s="1"/>
  <c r="CM5" i="1"/>
  <c r="CN5" i="1" s="1"/>
  <c r="CC5" i="1"/>
  <c r="CD5" i="1" s="1"/>
  <c r="CE5" i="1" s="1"/>
  <c r="BU5" i="1"/>
  <c r="BV5" i="1" s="1"/>
  <c r="BP5" i="1"/>
  <c r="BQ5" i="1" s="1"/>
  <c r="BR5" i="1" s="1"/>
  <c r="BJ5" i="1"/>
  <c r="BH5" i="1"/>
  <c r="BI5" i="1" s="1"/>
  <c r="BA5" i="1"/>
  <c r="BB5" i="1" s="1"/>
  <c r="BC5" i="1" s="1"/>
  <c r="BD5" i="1" s="1"/>
  <c r="AS5" i="1"/>
  <c r="AT5" i="1" s="1"/>
  <c r="AU5" i="1" s="1"/>
  <c r="AV5" i="1" s="1"/>
  <c r="AW5" i="1" s="1"/>
  <c r="AX5" i="1" s="1"/>
  <c r="AN5" i="1"/>
  <c r="AO5" i="1" s="1"/>
  <c r="AP5" i="1" s="1"/>
  <c r="AQ5" i="1" s="1"/>
  <c r="AG5" i="1"/>
  <c r="AF5" i="1"/>
  <c r="AB5" i="1"/>
  <c r="AC5" i="1" s="1"/>
  <c r="AD5" i="1" s="1"/>
  <c r="AE5" i="1" s="1"/>
  <c r="U5" i="1"/>
  <c r="S5" i="1"/>
  <c r="CP4" i="1"/>
  <c r="CQ4" i="1" s="1"/>
  <c r="CR4" i="1" s="1"/>
  <c r="CM4" i="1"/>
  <c r="CN4" i="1" s="1"/>
  <c r="CC4" i="1"/>
  <c r="CD4" i="1" s="1"/>
  <c r="CE4" i="1" s="1"/>
  <c r="BU4" i="1"/>
  <c r="BV4" i="1" s="1"/>
  <c r="BP4" i="1"/>
  <c r="BQ4" i="1" s="1"/>
  <c r="BR4" i="1" s="1"/>
  <c r="BJ4" i="1"/>
  <c r="BH4" i="1"/>
  <c r="BI4" i="1" s="1"/>
  <c r="BA4" i="1"/>
  <c r="BB4" i="1" s="1"/>
  <c r="BC4" i="1" s="1"/>
  <c r="BD4" i="1" s="1"/>
  <c r="AS4" i="1"/>
  <c r="AT4" i="1" s="1"/>
  <c r="AU4" i="1" s="1"/>
  <c r="AV4" i="1" s="1"/>
  <c r="AW4" i="1" s="1"/>
  <c r="AX4" i="1" s="1"/>
  <c r="AN4" i="1"/>
  <c r="AO4" i="1" s="1"/>
  <c r="AP4" i="1" s="1"/>
  <c r="AQ4" i="1" s="1"/>
  <c r="AG4" i="1"/>
  <c r="AF4" i="1"/>
  <c r="AB4" i="1"/>
  <c r="AC4" i="1" s="1"/>
  <c r="AD4" i="1" s="1"/>
  <c r="AE4" i="1" s="1"/>
  <c r="W4" i="1"/>
  <c r="CP3" i="1"/>
  <c r="CQ3" i="1" s="1"/>
  <c r="CR3" i="1" s="1"/>
  <c r="CM3" i="1"/>
  <c r="CN3" i="1" s="1"/>
  <c r="CC3" i="1"/>
  <c r="CD3" i="1" s="1"/>
  <c r="CE3" i="1" s="1"/>
  <c r="BU3" i="1"/>
  <c r="BV3" i="1" s="1"/>
  <c r="BP3" i="1"/>
  <c r="BQ3" i="1" s="1"/>
  <c r="BR3" i="1" s="1"/>
  <c r="BJ3" i="1"/>
  <c r="BH3" i="1"/>
  <c r="BI3" i="1" s="1"/>
  <c r="BA3" i="1"/>
  <c r="BB3" i="1" s="1"/>
  <c r="BC3" i="1" s="1"/>
  <c r="BD3" i="1" s="1"/>
  <c r="AZ3" i="1"/>
  <c r="AS3" i="1"/>
  <c r="AT3" i="1" s="1"/>
  <c r="AU3" i="1" s="1"/>
  <c r="AV3" i="1" s="1"/>
  <c r="AW3" i="1" s="1"/>
  <c r="AX3" i="1" s="1"/>
  <c r="AN3" i="1"/>
  <c r="AO3" i="1" s="1"/>
  <c r="AP3" i="1" s="1"/>
  <c r="AQ3" i="1" s="1"/>
  <c r="AG3" i="1"/>
  <c r="AF3" i="1"/>
  <c r="AB3" i="1"/>
  <c r="AC3" i="1" s="1"/>
  <c r="AD3" i="1" s="1"/>
  <c r="AE3" i="1" s="1"/>
  <c r="Z3" i="1"/>
  <c r="W3" i="1"/>
  <c r="V3" i="1"/>
  <c r="CQ2" i="1"/>
  <c r="CR2" i="1" s="1"/>
  <c r="CM2" i="1"/>
  <c r="CN2" i="1" s="1"/>
  <c r="CC2" i="1"/>
  <c r="CD2" i="1" s="1"/>
  <c r="CE2" i="1" s="1"/>
  <c r="BU2" i="1"/>
  <c r="BV2" i="1" s="1"/>
  <c r="BQ2" i="1"/>
  <c r="BR2" i="1" s="1"/>
  <c r="BJ2" i="1"/>
  <c r="BH2" i="1"/>
  <c r="BI2" i="1" s="1"/>
  <c r="BA2" i="1"/>
  <c r="BB2" i="1" s="1"/>
  <c r="BC2" i="1" s="1"/>
  <c r="BD2" i="1" s="1"/>
  <c r="AZ2" i="1"/>
  <c r="AS2" i="1"/>
  <c r="AN2" i="1"/>
  <c r="AO2" i="1" s="1"/>
  <c r="AP2" i="1" s="1"/>
  <c r="AQ2" i="1" s="1"/>
  <c r="AG2" i="1"/>
  <c r="AF2" i="1"/>
  <c r="AB2" i="1"/>
  <c r="AC2" i="1" s="1"/>
  <c r="AD2" i="1" s="1"/>
  <c r="AE2" i="1" s="1"/>
  <c r="X2" i="1"/>
  <c r="W2" i="1"/>
  <c r="V2" i="1"/>
  <c r="AT2" i="1" l="1"/>
  <c r="AU2" i="1" s="1"/>
  <c r="AV2" i="1" s="1"/>
  <c r="AW2" i="1" s="1"/>
  <c r="AX2" i="1" s="1"/>
  <c r="BJ4" i="3"/>
  <c r="BK4" i="3" s="1"/>
  <c r="BJ8" i="3"/>
  <c r="BK8" i="3" s="1"/>
  <c r="BJ12" i="3"/>
  <c r="BK12" i="3" s="1"/>
  <c r="BJ16" i="3"/>
  <c r="BK16" i="3" s="1"/>
  <c r="BJ20" i="3"/>
  <c r="BK20" i="3" s="1"/>
  <c r="BJ24" i="3"/>
  <c r="BK24" i="3" s="1"/>
  <c r="BJ28" i="3"/>
  <c r="BK28" i="3" s="1"/>
  <c r="BJ32" i="3"/>
  <c r="BK32" i="3" s="1"/>
  <c r="BJ36" i="3"/>
  <c r="BK36" i="3" s="1"/>
  <c r="BJ40" i="3"/>
  <c r="BK40" i="3" s="1"/>
  <c r="BJ44" i="3"/>
  <c r="BK44" i="3" s="1"/>
  <c r="BJ48" i="3"/>
  <c r="BK48" i="3" s="1"/>
  <c r="BJ52" i="3"/>
  <c r="BK52" i="3" s="1"/>
  <c r="BJ56" i="3"/>
  <c r="BK56" i="3" s="1"/>
  <c r="BJ60" i="3"/>
  <c r="BK60" i="3" s="1"/>
  <c r="BJ64" i="3"/>
  <c r="BK64" i="3" s="1"/>
  <c r="BJ68" i="3"/>
  <c r="BK68" i="3" s="1"/>
  <c r="BJ72" i="3"/>
  <c r="BK72" i="3" s="1"/>
  <c r="BJ76" i="3"/>
  <c r="BK76" i="3" s="1"/>
  <c r="BJ80" i="3"/>
  <c r="BK80" i="3" s="1"/>
  <c r="BJ84" i="3"/>
  <c r="BK84" i="3" s="1"/>
  <c r="BJ88" i="3"/>
  <c r="BK88" i="3" s="1"/>
  <c r="BJ92" i="3"/>
  <c r="BK92" i="3" s="1"/>
  <c r="BJ96" i="3"/>
  <c r="BK96" i="3" s="1"/>
  <c r="BJ100" i="3"/>
  <c r="BK100" i="3" s="1"/>
  <c r="BJ104" i="3"/>
  <c r="BK104" i="3" s="1"/>
  <c r="BJ108" i="3"/>
  <c r="BK108" i="3" s="1"/>
  <c r="BJ112" i="3"/>
  <c r="BK112" i="3" s="1"/>
  <c r="BJ116" i="3"/>
  <c r="BK116" i="3" s="1"/>
  <c r="BJ120" i="3"/>
  <c r="BK120" i="3" s="1"/>
  <c r="BJ124" i="3"/>
  <c r="BK124" i="3" s="1"/>
  <c r="BJ128" i="3"/>
  <c r="BK128" i="3" s="1"/>
  <c r="BJ132" i="3"/>
  <c r="BK132" i="3" s="1"/>
  <c r="BJ136" i="3"/>
  <c r="BK136" i="3" s="1"/>
  <c r="BJ140" i="3"/>
  <c r="BK140" i="3" s="1"/>
  <c r="BJ144" i="3"/>
  <c r="BK144" i="3" s="1"/>
  <c r="BJ148" i="3"/>
  <c r="BK148" i="3" s="1"/>
  <c r="BJ152" i="3"/>
  <c r="BK152" i="3" s="1"/>
  <c r="BJ156" i="3"/>
  <c r="BK156" i="3" s="1"/>
  <c r="BJ160" i="3"/>
  <c r="BK160" i="3" s="1"/>
  <c r="BJ164" i="3"/>
  <c r="BK164" i="3" s="1"/>
  <c r="BJ168" i="3"/>
  <c r="BK168" i="3" s="1"/>
  <c r="BJ172" i="3"/>
  <c r="BK172" i="3" s="1"/>
  <c r="BJ176" i="3"/>
  <c r="BK176" i="3" s="1"/>
  <c r="BJ180" i="3"/>
  <c r="BK180" i="3" s="1"/>
  <c r="BJ184" i="3"/>
  <c r="BK184" i="3" s="1"/>
  <c r="BJ188" i="3"/>
  <c r="BK188" i="3" s="1"/>
  <c r="BJ192" i="3"/>
  <c r="BK192" i="3" s="1"/>
  <c r="BJ196" i="3"/>
  <c r="BK196" i="3" s="1"/>
  <c r="BJ200" i="3"/>
  <c r="BK200" i="3" s="1"/>
  <c r="BJ204" i="3"/>
  <c r="BK204" i="3" s="1"/>
  <c r="BJ208" i="3"/>
  <c r="BK208" i="3" s="1"/>
  <c r="BJ212" i="3"/>
  <c r="BK212" i="3" s="1"/>
  <c r="BJ216" i="3"/>
  <c r="BK216" i="3" s="1"/>
  <c r="BJ220" i="3"/>
  <c r="BK220" i="3" s="1"/>
  <c r="BJ224" i="3"/>
  <c r="BK224" i="3" s="1"/>
  <c r="BJ228" i="3"/>
  <c r="BK228" i="3" s="1"/>
  <c r="BJ232" i="3"/>
  <c r="BK232" i="3" s="1"/>
  <c r="BJ236" i="3"/>
  <c r="BK236" i="3" s="1"/>
  <c r="BJ240" i="3"/>
  <c r="BK240" i="3" s="1"/>
  <c r="BJ244" i="3"/>
  <c r="BK244" i="3" s="1"/>
  <c r="BJ248" i="3"/>
  <c r="BK248" i="3" s="1"/>
  <c r="BJ252" i="3"/>
  <c r="BK252" i="3" s="1"/>
  <c r="BJ256" i="3"/>
  <c r="BK256" i="3" s="1"/>
  <c r="BJ260" i="3"/>
  <c r="BK260" i="3" s="1"/>
  <c r="BJ264" i="3"/>
  <c r="BK264" i="3" s="1"/>
  <c r="BJ268" i="3"/>
  <c r="BK268" i="3" s="1"/>
  <c r="BJ272" i="3"/>
  <c r="BK272" i="3" s="1"/>
  <c r="BJ276" i="3"/>
  <c r="BK276" i="3" s="1"/>
  <c r="BJ280" i="3"/>
  <c r="BK280" i="3" s="1"/>
  <c r="BJ284" i="3"/>
  <c r="BK284" i="3" s="1"/>
  <c r="BJ288" i="3"/>
  <c r="BK288" i="3" s="1"/>
  <c r="BJ292" i="3"/>
  <c r="BK292" i="3" s="1"/>
  <c r="BJ296" i="3"/>
  <c r="BK296" i="3" s="1"/>
  <c r="BJ300" i="3"/>
  <c r="BK300" i="3" s="1"/>
  <c r="BJ304" i="3"/>
  <c r="BK304" i="3" s="1"/>
  <c r="BJ308" i="3"/>
  <c r="BK308" i="3" s="1"/>
  <c r="BJ312" i="3"/>
  <c r="BK312" i="3" s="1"/>
  <c r="BJ316" i="3"/>
  <c r="BK316" i="3" s="1"/>
  <c r="BJ320" i="3"/>
  <c r="BK320" i="3" s="1"/>
  <c r="BJ5" i="3"/>
  <c r="BK5" i="3" s="1"/>
  <c r="BJ9" i="3"/>
  <c r="BK9" i="3" s="1"/>
  <c r="BJ13" i="3"/>
  <c r="BK13" i="3" s="1"/>
  <c r="BJ17" i="3"/>
  <c r="BK17" i="3" s="1"/>
  <c r="BJ21" i="3"/>
  <c r="BK21" i="3" s="1"/>
  <c r="BJ25" i="3"/>
  <c r="BK25" i="3" s="1"/>
  <c r="BJ29" i="3"/>
  <c r="BK29" i="3" s="1"/>
  <c r="BJ33" i="3"/>
  <c r="BK33" i="3" s="1"/>
  <c r="BJ37" i="3"/>
  <c r="BK37" i="3" s="1"/>
  <c r="BJ41" i="3"/>
  <c r="BK41" i="3" s="1"/>
  <c r="BJ45" i="3"/>
  <c r="BK45" i="3" s="1"/>
  <c r="BJ49" i="3"/>
  <c r="BK49" i="3" s="1"/>
  <c r="BJ53" i="3"/>
  <c r="BK53" i="3" s="1"/>
  <c r="BJ57" i="3"/>
  <c r="BK57" i="3" s="1"/>
  <c r="BJ61" i="3"/>
  <c r="BK61" i="3" s="1"/>
  <c r="BJ65" i="3"/>
  <c r="BK65" i="3" s="1"/>
  <c r="BJ69" i="3"/>
  <c r="BK69" i="3" s="1"/>
  <c r="BJ73" i="3"/>
  <c r="BK73" i="3" s="1"/>
  <c r="BJ77" i="3"/>
  <c r="BK77" i="3" s="1"/>
  <c r="BJ81" i="3"/>
  <c r="BK81" i="3" s="1"/>
  <c r="BJ85" i="3"/>
  <c r="BK85" i="3" s="1"/>
  <c r="BJ89" i="3"/>
  <c r="BK89" i="3" s="1"/>
  <c r="BJ93" i="3"/>
  <c r="BK93" i="3" s="1"/>
  <c r="BJ97" i="3"/>
  <c r="BK97" i="3" s="1"/>
  <c r="BJ101" i="3"/>
  <c r="BK101" i="3" s="1"/>
  <c r="BJ105" i="3"/>
  <c r="BK105" i="3" s="1"/>
  <c r="BJ109" i="3"/>
  <c r="BK109" i="3" s="1"/>
  <c r="BJ113" i="3"/>
  <c r="BK113" i="3" s="1"/>
  <c r="BJ117" i="3"/>
  <c r="BK117" i="3" s="1"/>
  <c r="BJ121" i="3"/>
  <c r="BK121" i="3" s="1"/>
  <c r="BJ125" i="3"/>
  <c r="BK125" i="3" s="1"/>
  <c r="BJ129" i="3"/>
  <c r="BK129" i="3" s="1"/>
  <c r="BJ133" i="3"/>
  <c r="BK133" i="3" s="1"/>
  <c r="BJ137" i="3"/>
  <c r="BK137" i="3" s="1"/>
  <c r="BJ141" i="3"/>
  <c r="BK141" i="3" s="1"/>
  <c r="BJ145" i="3"/>
  <c r="BK145" i="3" s="1"/>
  <c r="BJ149" i="3"/>
  <c r="BK149" i="3" s="1"/>
  <c r="BJ153" i="3"/>
  <c r="BK153" i="3" s="1"/>
  <c r="BJ157" i="3"/>
  <c r="BK157" i="3" s="1"/>
  <c r="BJ161" i="3"/>
  <c r="BK161" i="3" s="1"/>
  <c r="BJ165" i="3"/>
  <c r="BK165" i="3" s="1"/>
  <c r="BJ169" i="3"/>
  <c r="BK169" i="3" s="1"/>
  <c r="BJ173" i="3"/>
  <c r="BK173" i="3" s="1"/>
  <c r="BJ177" i="3"/>
  <c r="BK177" i="3" s="1"/>
  <c r="BJ181" i="3"/>
  <c r="BK181" i="3" s="1"/>
  <c r="BJ185" i="3"/>
  <c r="BK185" i="3" s="1"/>
  <c r="BJ189" i="3"/>
  <c r="BK189" i="3" s="1"/>
  <c r="BJ193" i="3"/>
  <c r="BK193" i="3" s="1"/>
  <c r="BJ197" i="3"/>
  <c r="BK197" i="3" s="1"/>
  <c r="BJ201" i="3"/>
  <c r="BK201" i="3" s="1"/>
  <c r="BJ205" i="3"/>
  <c r="BK205" i="3" s="1"/>
  <c r="BJ209" i="3"/>
  <c r="BK209" i="3" s="1"/>
  <c r="BJ213" i="3"/>
  <c r="BK213" i="3" s="1"/>
  <c r="BJ217" i="3"/>
  <c r="BK217" i="3" s="1"/>
  <c r="BJ221" i="3"/>
  <c r="BK221" i="3" s="1"/>
  <c r="BJ225" i="3"/>
  <c r="BK225" i="3" s="1"/>
  <c r="BJ229" i="3"/>
  <c r="BK229" i="3" s="1"/>
  <c r="BJ233" i="3"/>
  <c r="BK233" i="3" s="1"/>
  <c r="BJ237" i="3"/>
  <c r="BK237" i="3" s="1"/>
  <c r="BJ241" i="3"/>
  <c r="BK241" i="3" s="1"/>
  <c r="BJ245" i="3"/>
  <c r="BK245" i="3" s="1"/>
  <c r="BJ249" i="3"/>
  <c r="BK249" i="3" s="1"/>
  <c r="BJ253" i="3"/>
  <c r="BK253" i="3" s="1"/>
  <c r="BJ257" i="3"/>
  <c r="BK257" i="3" s="1"/>
  <c r="BJ261" i="3"/>
  <c r="BK261" i="3" s="1"/>
  <c r="BJ265" i="3"/>
  <c r="BK265" i="3" s="1"/>
  <c r="BJ269" i="3"/>
  <c r="BK269" i="3" s="1"/>
  <c r="BJ273" i="3"/>
  <c r="BK273" i="3" s="1"/>
  <c r="BJ277" i="3"/>
  <c r="BK277" i="3" s="1"/>
  <c r="BJ281" i="3"/>
  <c r="BK281" i="3" s="1"/>
  <c r="BJ285" i="3"/>
  <c r="BK285" i="3" s="1"/>
  <c r="BJ289" i="3"/>
  <c r="BK289" i="3" s="1"/>
  <c r="BJ293" i="3"/>
  <c r="BK293" i="3" s="1"/>
  <c r="BJ297" i="3"/>
  <c r="BK297" i="3" s="1"/>
  <c r="BJ301" i="3"/>
  <c r="BK301" i="3" s="1"/>
  <c r="BJ305" i="3"/>
  <c r="BK305" i="3" s="1"/>
  <c r="BJ309" i="3"/>
  <c r="BK309" i="3" s="1"/>
  <c r="BJ313" i="3"/>
  <c r="BK313" i="3" s="1"/>
  <c r="BJ317" i="3"/>
  <c r="BK317" i="3" s="1"/>
  <c r="BJ321" i="3"/>
  <c r="BK321" i="3" s="1"/>
  <c r="BJ2" i="3"/>
  <c r="BK2" i="3" s="1"/>
  <c r="BJ6" i="3"/>
  <c r="BK6" i="3" s="1"/>
  <c r="BJ10" i="3"/>
  <c r="BK10" i="3" s="1"/>
  <c r="BJ14" i="3"/>
  <c r="BK14" i="3" s="1"/>
  <c r="BJ18" i="3"/>
  <c r="BK18" i="3" s="1"/>
  <c r="BJ22" i="3"/>
  <c r="BK22" i="3" s="1"/>
  <c r="BJ26" i="3"/>
  <c r="BK26" i="3" s="1"/>
  <c r="BJ30" i="3"/>
  <c r="BK30" i="3" s="1"/>
  <c r="BJ34" i="3"/>
  <c r="BK34" i="3" s="1"/>
  <c r="BJ38" i="3"/>
  <c r="BK38" i="3" s="1"/>
  <c r="BJ42" i="3"/>
  <c r="BK42" i="3" s="1"/>
  <c r="BJ46" i="3"/>
  <c r="BK46" i="3" s="1"/>
  <c r="BJ50" i="3"/>
  <c r="BK50" i="3" s="1"/>
  <c r="BJ54" i="3"/>
  <c r="BK54" i="3" s="1"/>
  <c r="BJ58" i="3"/>
  <c r="BK58" i="3" s="1"/>
  <c r="BJ62" i="3"/>
  <c r="BK62" i="3" s="1"/>
  <c r="BJ66" i="3"/>
  <c r="BK66" i="3" s="1"/>
  <c r="BJ70" i="3"/>
  <c r="BK70" i="3" s="1"/>
  <c r="BJ74" i="3"/>
  <c r="BK74" i="3" s="1"/>
  <c r="BJ78" i="3"/>
  <c r="BK78" i="3" s="1"/>
  <c r="BJ82" i="3"/>
  <c r="BK82" i="3" s="1"/>
  <c r="BJ86" i="3"/>
  <c r="BK86" i="3" s="1"/>
  <c r="BJ90" i="3"/>
  <c r="BK90" i="3" s="1"/>
  <c r="BJ94" i="3"/>
  <c r="BK94" i="3" s="1"/>
  <c r="BJ98" i="3"/>
  <c r="BK98" i="3" s="1"/>
  <c r="BJ102" i="3"/>
  <c r="BK102" i="3" s="1"/>
  <c r="BJ106" i="3"/>
  <c r="BK106" i="3" s="1"/>
  <c r="BJ110" i="3"/>
  <c r="BK110" i="3" s="1"/>
  <c r="BJ114" i="3"/>
  <c r="BK114" i="3" s="1"/>
  <c r="BJ118" i="3"/>
  <c r="BK118" i="3" s="1"/>
  <c r="BJ122" i="3"/>
  <c r="BK122" i="3" s="1"/>
  <c r="BJ126" i="3"/>
  <c r="BK126" i="3" s="1"/>
  <c r="BJ130" i="3"/>
  <c r="BK130" i="3" s="1"/>
  <c r="BJ134" i="3"/>
  <c r="BK134" i="3" s="1"/>
  <c r="BJ138" i="3"/>
  <c r="BK138" i="3" s="1"/>
  <c r="BJ142" i="3"/>
  <c r="BK142" i="3" s="1"/>
  <c r="BJ146" i="3"/>
  <c r="BK146" i="3" s="1"/>
  <c r="BJ150" i="3"/>
  <c r="BK150" i="3" s="1"/>
  <c r="BJ154" i="3"/>
  <c r="BK154" i="3" s="1"/>
  <c r="BJ158" i="3"/>
  <c r="BK158" i="3" s="1"/>
  <c r="BJ162" i="3"/>
  <c r="BK162" i="3" s="1"/>
  <c r="BJ166" i="3"/>
  <c r="BK166" i="3" s="1"/>
  <c r="BJ170" i="3"/>
  <c r="BK170" i="3" s="1"/>
  <c r="BJ174" i="3"/>
  <c r="BK174" i="3" s="1"/>
  <c r="BJ178" i="3"/>
  <c r="BK178" i="3" s="1"/>
  <c r="BJ182" i="3"/>
  <c r="BK182" i="3" s="1"/>
  <c r="BJ186" i="3"/>
  <c r="BK186" i="3" s="1"/>
  <c r="BJ190" i="3"/>
  <c r="BK190" i="3" s="1"/>
  <c r="BJ194" i="3"/>
  <c r="BK194" i="3" s="1"/>
  <c r="BJ198" i="3"/>
  <c r="BK198" i="3" s="1"/>
  <c r="BJ202" i="3"/>
  <c r="BK202" i="3" s="1"/>
  <c r="BJ206" i="3"/>
  <c r="BK206" i="3" s="1"/>
  <c r="BJ210" i="3"/>
  <c r="BK210" i="3" s="1"/>
  <c r="BJ214" i="3"/>
  <c r="BK214" i="3" s="1"/>
  <c r="BJ218" i="3"/>
  <c r="BK218" i="3" s="1"/>
  <c r="BJ222" i="3"/>
  <c r="BK222" i="3" s="1"/>
  <c r="BJ226" i="3"/>
  <c r="BK226" i="3" s="1"/>
  <c r="BJ230" i="3"/>
  <c r="BK230" i="3" s="1"/>
  <c r="BJ234" i="3"/>
  <c r="BK234" i="3" s="1"/>
  <c r="BJ238" i="3"/>
  <c r="BK238" i="3" s="1"/>
  <c r="BJ242" i="3"/>
  <c r="BK242" i="3" s="1"/>
  <c r="BJ246" i="3"/>
  <c r="BK246" i="3" s="1"/>
  <c r="BJ250" i="3"/>
  <c r="BK250" i="3" s="1"/>
  <c r="BJ254" i="3"/>
  <c r="BK254" i="3" s="1"/>
  <c r="BJ258" i="3"/>
  <c r="BK258" i="3" s="1"/>
  <c r="BJ262" i="3"/>
  <c r="BK262" i="3" s="1"/>
  <c r="BJ266" i="3"/>
  <c r="BK266" i="3" s="1"/>
  <c r="BJ270" i="3"/>
  <c r="BK270" i="3" s="1"/>
  <c r="BJ274" i="3"/>
  <c r="BK274" i="3" s="1"/>
  <c r="BJ278" i="3"/>
  <c r="BK278" i="3" s="1"/>
  <c r="BJ282" i="3"/>
  <c r="BK282" i="3" s="1"/>
  <c r="BJ286" i="3"/>
  <c r="BK286" i="3" s="1"/>
  <c r="BJ290" i="3"/>
  <c r="BK290" i="3" s="1"/>
  <c r="BJ294" i="3"/>
  <c r="BK294" i="3" s="1"/>
  <c r="BJ298" i="3"/>
  <c r="BK298" i="3" s="1"/>
  <c r="BJ302" i="3"/>
  <c r="BK302" i="3" s="1"/>
  <c r="BJ306" i="3"/>
  <c r="BK306" i="3" s="1"/>
  <c r="BJ310" i="3"/>
  <c r="BK310" i="3" s="1"/>
  <c r="BJ314" i="3"/>
  <c r="BK314" i="3" s="1"/>
  <c r="BJ318" i="3"/>
  <c r="BK318" i="3" s="1"/>
  <c r="BJ322" i="3"/>
  <c r="BK322" i="3" s="1"/>
  <c r="BJ3" i="3"/>
  <c r="BK3" i="3" s="1"/>
  <c r="BJ7" i="3"/>
  <c r="BK7" i="3" s="1"/>
  <c r="BJ11" i="3"/>
  <c r="BK11" i="3" s="1"/>
  <c r="BJ15" i="3"/>
  <c r="BK15" i="3" s="1"/>
  <c r="BJ19" i="3"/>
  <c r="BK19" i="3" s="1"/>
  <c r="BJ23" i="3"/>
  <c r="BK23" i="3" s="1"/>
  <c r="BJ27" i="3"/>
  <c r="BK27" i="3" s="1"/>
  <c r="BJ31" i="3"/>
  <c r="BK31" i="3" s="1"/>
  <c r="BJ35" i="3"/>
  <c r="BK35" i="3" s="1"/>
  <c r="BJ39" i="3"/>
  <c r="BK39" i="3" s="1"/>
  <c r="BJ43" i="3"/>
  <c r="BK43" i="3" s="1"/>
  <c r="BJ47" i="3"/>
  <c r="BK47" i="3" s="1"/>
  <c r="BJ51" i="3"/>
  <c r="BK51" i="3" s="1"/>
  <c r="BJ55" i="3"/>
  <c r="BK55" i="3" s="1"/>
  <c r="BJ59" i="3"/>
  <c r="BK59" i="3" s="1"/>
  <c r="BJ63" i="3"/>
  <c r="BK63" i="3" s="1"/>
  <c r="BJ67" i="3"/>
  <c r="BK67" i="3" s="1"/>
  <c r="BJ71" i="3"/>
  <c r="BK71" i="3" s="1"/>
  <c r="BJ75" i="3"/>
  <c r="BK75" i="3" s="1"/>
  <c r="BJ79" i="3"/>
  <c r="BK79" i="3" s="1"/>
  <c r="BJ83" i="3"/>
  <c r="BK83" i="3" s="1"/>
  <c r="BJ87" i="3"/>
  <c r="BK87" i="3" s="1"/>
  <c r="BJ91" i="3"/>
  <c r="BK91" i="3" s="1"/>
  <c r="BJ95" i="3"/>
  <c r="BK95" i="3" s="1"/>
  <c r="BJ99" i="3"/>
  <c r="BK99" i="3" s="1"/>
  <c r="BJ103" i="3"/>
  <c r="BK103" i="3" s="1"/>
  <c r="BJ107" i="3"/>
  <c r="BK107" i="3" s="1"/>
  <c r="BJ111" i="3"/>
  <c r="BK111" i="3" s="1"/>
  <c r="BJ115" i="3"/>
  <c r="BK115" i="3" s="1"/>
  <c r="BJ119" i="3"/>
  <c r="BK119" i="3" s="1"/>
  <c r="BJ123" i="3"/>
  <c r="BK123" i="3" s="1"/>
  <c r="BJ127" i="3"/>
  <c r="BK127" i="3" s="1"/>
  <c r="BJ131" i="3"/>
  <c r="BK131" i="3" s="1"/>
  <c r="BJ135" i="3"/>
  <c r="BK135" i="3" s="1"/>
  <c r="BJ139" i="3"/>
  <c r="BK139" i="3" s="1"/>
  <c r="BJ143" i="3"/>
  <c r="BK143" i="3" s="1"/>
  <c r="BJ147" i="3"/>
  <c r="BK147" i="3" s="1"/>
  <c r="BJ151" i="3"/>
  <c r="BK151" i="3" s="1"/>
  <c r="BJ155" i="3"/>
  <c r="BK155" i="3" s="1"/>
  <c r="BJ159" i="3"/>
  <c r="BK159" i="3" s="1"/>
  <c r="BJ163" i="3"/>
  <c r="BK163" i="3" s="1"/>
  <c r="BJ167" i="3"/>
  <c r="BK167" i="3" s="1"/>
  <c r="BJ171" i="3"/>
  <c r="BK171" i="3" s="1"/>
  <c r="BJ175" i="3"/>
  <c r="BK175" i="3" s="1"/>
  <c r="BJ179" i="3"/>
  <c r="BK179" i="3" s="1"/>
  <c r="BJ183" i="3"/>
  <c r="BK183" i="3" s="1"/>
  <c r="BJ187" i="3"/>
  <c r="BK187" i="3" s="1"/>
  <c r="BJ191" i="3"/>
  <c r="BK191" i="3" s="1"/>
  <c r="BJ195" i="3"/>
  <c r="BK195" i="3" s="1"/>
  <c r="BJ199" i="3"/>
  <c r="BK199" i="3" s="1"/>
  <c r="BJ203" i="3"/>
  <c r="BK203" i="3" s="1"/>
  <c r="BJ207" i="3"/>
  <c r="BK207" i="3" s="1"/>
  <c r="BJ211" i="3"/>
  <c r="BK211" i="3" s="1"/>
  <c r="BJ215" i="3"/>
  <c r="BK215" i="3" s="1"/>
  <c r="BJ219" i="3"/>
  <c r="BK219" i="3" s="1"/>
  <c r="BJ223" i="3"/>
  <c r="BK223" i="3" s="1"/>
  <c r="BJ227" i="3"/>
  <c r="BK227" i="3" s="1"/>
  <c r="BJ231" i="3"/>
  <c r="BK231" i="3" s="1"/>
  <c r="BJ235" i="3"/>
  <c r="BK235" i="3" s="1"/>
  <c r="BJ239" i="3"/>
  <c r="BK239" i="3" s="1"/>
  <c r="BJ243" i="3"/>
  <c r="BK243" i="3" s="1"/>
  <c r="BJ247" i="3"/>
  <c r="BK247" i="3" s="1"/>
  <c r="BJ251" i="3"/>
  <c r="BK251" i="3" s="1"/>
  <c r="BJ255" i="3"/>
  <c r="BK255" i="3" s="1"/>
  <c r="BJ259" i="3"/>
  <c r="BK259" i="3" s="1"/>
  <c r="BJ263" i="3"/>
  <c r="BK263" i="3" s="1"/>
  <c r="BJ267" i="3"/>
  <c r="BK267" i="3" s="1"/>
  <c r="BJ271" i="3"/>
  <c r="BK271" i="3" s="1"/>
  <c r="BJ275" i="3"/>
  <c r="BK275" i="3" s="1"/>
  <c r="BJ279" i="3"/>
  <c r="BK279" i="3" s="1"/>
  <c r="BJ283" i="3"/>
  <c r="BK283" i="3" s="1"/>
  <c r="BJ287" i="3"/>
  <c r="BK287" i="3" s="1"/>
  <c r="BJ291" i="3"/>
  <c r="BK291" i="3" s="1"/>
  <c r="BJ295" i="3"/>
  <c r="BK295" i="3" s="1"/>
  <c r="BJ299" i="3"/>
  <c r="BK299" i="3" s="1"/>
  <c r="BJ303" i="3"/>
  <c r="BK303" i="3" s="1"/>
  <c r="BJ307" i="3"/>
  <c r="BK307" i="3" s="1"/>
  <c r="BJ311" i="3"/>
  <c r="BK311" i="3" s="1"/>
  <c r="BJ315" i="3"/>
  <c r="BK315" i="3" s="1"/>
  <c r="BJ319" i="3"/>
  <c r="BK319" i="3" s="1"/>
  <c r="AZ34" i="3"/>
  <c r="BA34" i="3" s="1"/>
  <c r="Z200" i="3"/>
  <c r="AA200" i="3" s="1"/>
  <c r="AB200" i="3" s="1"/>
  <c r="AZ199" i="3"/>
  <c r="BA199" i="3" s="1"/>
  <c r="AZ49" i="3"/>
  <c r="BA49" i="3" s="1"/>
  <c r="AZ101" i="3"/>
  <c r="BA101" i="3" s="1"/>
  <c r="AZ11" i="3"/>
  <c r="BA11" i="3" s="1"/>
  <c r="AZ23" i="3"/>
  <c r="BA23" i="3" s="1"/>
  <c r="AZ126" i="3"/>
  <c r="BA126" i="3" s="1"/>
  <c r="Z96" i="3"/>
  <c r="AA96" i="3" s="1"/>
  <c r="AB96" i="3" s="1"/>
  <c r="AZ76" i="3"/>
  <c r="BA76" i="3" s="1"/>
  <c r="AZ80" i="3"/>
  <c r="BA80" i="3" s="1"/>
  <c r="AZ92" i="3"/>
  <c r="BA92" i="3" s="1"/>
  <c r="AZ167" i="3"/>
  <c r="BA167" i="3" s="1"/>
  <c r="AZ226" i="3"/>
  <c r="BA226" i="3" s="1"/>
  <c r="AZ133" i="3"/>
  <c r="BA133" i="3" s="1"/>
  <c r="AZ275" i="3"/>
  <c r="BA275" i="3" s="1"/>
  <c r="AZ131" i="3"/>
  <c r="BA131" i="3" s="1"/>
  <c r="AZ289" i="3"/>
  <c r="BA289" i="3" s="1"/>
  <c r="AZ121" i="3"/>
  <c r="BA121" i="3" s="1"/>
  <c r="Z52" i="3"/>
  <c r="AA52" i="3" s="1"/>
  <c r="AB52" i="3" s="1"/>
  <c r="AZ110" i="3"/>
  <c r="BA110" i="3" s="1"/>
  <c r="AZ206" i="3"/>
  <c r="BA206" i="3" s="1"/>
  <c r="AZ184" i="3"/>
  <c r="BA184" i="3" s="1"/>
  <c r="AZ188" i="3"/>
  <c r="BA188" i="3" s="1"/>
  <c r="AZ234" i="3"/>
  <c r="BA234" i="3" s="1"/>
  <c r="AZ43" i="3"/>
  <c r="BA43" i="3" s="1"/>
  <c r="AZ51" i="3"/>
  <c r="BA51" i="3" s="1"/>
  <c r="AZ71" i="3"/>
  <c r="BA71" i="3" s="1"/>
  <c r="AZ75" i="3"/>
  <c r="BA75" i="3" s="1"/>
  <c r="AZ200" i="3"/>
  <c r="BA200" i="3" s="1"/>
  <c r="AZ68" i="3"/>
  <c r="BA68" i="3" s="1"/>
  <c r="AZ84" i="3"/>
  <c r="BA84" i="3" s="1"/>
  <c r="AZ154" i="3"/>
  <c r="BA154" i="3" s="1"/>
  <c r="AZ162" i="3"/>
  <c r="BA162" i="3" s="1"/>
  <c r="Z296" i="3"/>
  <c r="AA296" i="3" s="1"/>
  <c r="AB296" i="3" s="1"/>
  <c r="AZ301" i="3"/>
  <c r="BA301" i="3" s="1"/>
  <c r="AZ26" i="3"/>
  <c r="BA26" i="3" s="1"/>
  <c r="AZ41" i="3"/>
  <c r="BA41" i="3" s="1"/>
  <c r="AZ182" i="3"/>
  <c r="BA182" i="3" s="1"/>
  <c r="Z80" i="3"/>
  <c r="AA80" i="3" s="1"/>
  <c r="AB80" i="3" s="1"/>
  <c r="AZ172" i="3"/>
  <c r="BA172" i="3" s="1"/>
  <c r="AZ254" i="3"/>
  <c r="BA254" i="3" s="1"/>
  <c r="AZ296" i="3"/>
  <c r="BA296" i="3" s="1"/>
  <c r="AZ303" i="3"/>
  <c r="BA303" i="3" s="1"/>
  <c r="AZ63" i="3"/>
  <c r="BA63" i="3" s="1"/>
  <c r="AZ74" i="3"/>
  <c r="BA74" i="3" s="1"/>
  <c r="AZ300" i="3"/>
  <c r="BA300" i="3" s="1"/>
  <c r="AZ203" i="3"/>
  <c r="BA203" i="3" s="1"/>
  <c r="Z59" i="3"/>
  <c r="AA59" i="3" s="1"/>
  <c r="AB59" i="3" s="1"/>
  <c r="AZ72" i="3"/>
  <c r="BA72" i="3" s="1"/>
  <c r="AZ170" i="3"/>
  <c r="BA170" i="3" s="1"/>
  <c r="AZ252" i="3"/>
  <c r="BA252" i="3" s="1"/>
  <c r="AZ316" i="3"/>
  <c r="BA316" i="3" s="1"/>
  <c r="AZ35" i="3"/>
  <c r="BA35" i="3" s="1"/>
  <c r="Z19" i="3"/>
  <c r="AA19" i="3" s="1"/>
  <c r="AB19" i="3" s="1"/>
  <c r="AZ58" i="3"/>
  <c r="BA58" i="3" s="1"/>
  <c r="AZ235" i="3"/>
  <c r="BA235" i="3" s="1"/>
  <c r="AZ246" i="3"/>
  <c r="BA246" i="3" s="1"/>
  <c r="AZ276" i="3"/>
  <c r="BA276" i="3" s="1"/>
  <c r="AZ302" i="3"/>
  <c r="BA302" i="3" s="1"/>
  <c r="Z47" i="3"/>
  <c r="AA47" i="3" s="1"/>
  <c r="AB47" i="3" s="1"/>
  <c r="AZ56" i="3"/>
  <c r="BA56" i="3" s="1"/>
  <c r="AZ152" i="3"/>
  <c r="BA152" i="3" s="1"/>
  <c r="Z169" i="3"/>
  <c r="AA169" i="3" s="1"/>
  <c r="AB169" i="3" s="1"/>
  <c r="AZ305" i="3"/>
  <c r="BA305" i="3" s="1"/>
  <c r="AZ12" i="3"/>
  <c r="BA12" i="3" s="1"/>
  <c r="AZ81" i="3"/>
  <c r="BA81" i="3" s="1"/>
  <c r="AZ90" i="3"/>
  <c r="BA90" i="3" s="1"/>
  <c r="AZ94" i="3"/>
  <c r="BA94" i="3" s="1"/>
  <c r="AZ122" i="3"/>
  <c r="BA122" i="3" s="1"/>
  <c r="AZ213" i="3"/>
  <c r="BA213" i="3" s="1"/>
  <c r="AZ220" i="3"/>
  <c r="BA220" i="3" s="1"/>
  <c r="Z244" i="3"/>
  <c r="AA244" i="3" s="1"/>
  <c r="AB244" i="3" s="1"/>
  <c r="AZ245" i="3"/>
  <c r="BA245" i="3" s="1"/>
  <c r="AZ25" i="3"/>
  <c r="BA25" i="3" s="1"/>
  <c r="AZ185" i="3"/>
  <c r="BA185" i="3" s="1"/>
  <c r="AZ210" i="3"/>
  <c r="BA210" i="3" s="1"/>
  <c r="AZ280" i="3"/>
  <c r="BA280" i="3" s="1"/>
  <c r="Z311" i="3"/>
  <c r="AA311" i="3" s="1"/>
  <c r="AB311" i="3" s="1"/>
  <c r="AZ312" i="3"/>
  <c r="BA312" i="3" s="1"/>
  <c r="Z8" i="3"/>
  <c r="AA8" i="3" s="1"/>
  <c r="AB8" i="3" s="1"/>
  <c r="AZ50" i="3"/>
  <c r="BA50" i="3" s="1"/>
  <c r="AZ54" i="3"/>
  <c r="BA54" i="3" s="1"/>
  <c r="AZ88" i="3"/>
  <c r="BA88" i="3" s="1"/>
  <c r="AZ91" i="3"/>
  <c r="BA91" i="3" s="1"/>
  <c r="AZ95" i="3"/>
  <c r="BA95" i="3" s="1"/>
  <c r="Z109" i="3"/>
  <c r="AA109" i="3" s="1"/>
  <c r="AB109" i="3" s="1"/>
  <c r="AZ161" i="3"/>
  <c r="BA161" i="3" s="1"/>
  <c r="Z147" i="3"/>
  <c r="AA147" i="3" s="1"/>
  <c r="AB147" i="3" s="1"/>
  <c r="AZ211" i="3"/>
  <c r="BA211" i="3" s="1"/>
  <c r="AZ256" i="3"/>
  <c r="BA256" i="3" s="1"/>
  <c r="AZ278" i="3"/>
  <c r="BA278" i="3" s="1"/>
  <c r="Z12" i="3"/>
  <c r="AA12" i="3" s="1"/>
  <c r="AB12" i="3" s="1"/>
  <c r="AZ55" i="3"/>
  <c r="BA55" i="3" s="1"/>
  <c r="AZ62" i="3"/>
  <c r="BA62" i="3" s="1"/>
  <c r="AZ65" i="3"/>
  <c r="BA65" i="3" s="1"/>
  <c r="AZ96" i="3"/>
  <c r="BA96" i="3" s="1"/>
  <c r="AZ237" i="3"/>
  <c r="BA237" i="3" s="1"/>
  <c r="AZ257" i="3"/>
  <c r="BA257" i="3" s="1"/>
  <c r="AZ3" i="3"/>
  <c r="BA3" i="3" s="1"/>
  <c r="AZ7" i="3"/>
  <c r="BA7" i="3" s="1"/>
  <c r="AZ10" i="3"/>
  <c r="BA10" i="3" s="1"/>
  <c r="AZ19" i="3"/>
  <c r="BA19" i="3" s="1"/>
  <c r="Z22" i="3"/>
  <c r="AA22" i="3" s="1"/>
  <c r="AB22" i="3" s="1"/>
  <c r="AZ33" i="3"/>
  <c r="BA33" i="3" s="1"/>
  <c r="Z35" i="3"/>
  <c r="AA35" i="3" s="1"/>
  <c r="AB35" i="3" s="1"/>
  <c r="AZ44" i="3"/>
  <c r="BA44" i="3" s="1"/>
  <c r="AZ48" i="3"/>
  <c r="BA48" i="3" s="1"/>
  <c r="AZ52" i="3"/>
  <c r="BA52" i="3" s="1"/>
  <c r="AZ73" i="3"/>
  <c r="BA73" i="3" s="1"/>
  <c r="Z99" i="3"/>
  <c r="AA99" i="3" s="1"/>
  <c r="AB99" i="3" s="1"/>
  <c r="AZ155" i="3"/>
  <c r="BA155" i="3" s="1"/>
  <c r="AZ159" i="3"/>
  <c r="BA159" i="3" s="1"/>
  <c r="AZ166" i="3"/>
  <c r="BA166" i="3" s="1"/>
  <c r="AZ191" i="3"/>
  <c r="BA191" i="3" s="1"/>
  <c r="AZ195" i="3"/>
  <c r="BA195" i="3" s="1"/>
  <c r="AZ201" i="3"/>
  <c r="BA201" i="3" s="1"/>
  <c r="AZ215" i="3"/>
  <c r="BA215" i="3" s="1"/>
  <c r="AZ219" i="3"/>
  <c r="BA219" i="3" s="1"/>
  <c r="AZ261" i="3"/>
  <c r="BA261" i="3" s="1"/>
  <c r="AZ265" i="3"/>
  <c r="BA265" i="3" s="1"/>
  <c r="AZ317" i="3"/>
  <c r="BA317" i="3" s="1"/>
  <c r="Z107" i="3"/>
  <c r="AA107" i="3" s="1"/>
  <c r="AB107" i="3" s="1"/>
  <c r="Z7" i="3"/>
  <c r="AA7" i="3" s="1"/>
  <c r="AB7" i="3" s="1"/>
  <c r="Z100" i="3"/>
  <c r="AA100" i="3" s="1"/>
  <c r="AB100" i="3" s="1"/>
  <c r="Z219" i="3"/>
  <c r="AA219" i="3" s="1"/>
  <c r="AB219" i="3" s="1"/>
  <c r="Z293" i="3"/>
  <c r="AA293" i="3" s="1"/>
  <c r="AB293" i="3" s="1"/>
  <c r="Z46" i="3"/>
  <c r="AA46" i="3" s="1"/>
  <c r="AB46" i="3" s="1"/>
  <c r="Z322" i="3"/>
  <c r="AA322" i="3" s="1"/>
  <c r="AB322" i="3" s="1"/>
  <c r="Z317" i="3"/>
  <c r="AA317" i="3" s="1"/>
  <c r="AB317" i="3" s="1"/>
  <c r="Z316" i="3"/>
  <c r="AA316" i="3" s="1"/>
  <c r="AB316" i="3" s="1"/>
  <c r="Z309" i="3"/>
  <c r="AA309" i="3" s="1"/>
  <c r="AB309" i="3" s="1"/>
  <c r="Z294" i="3"/>
  <c r="AA294" i="3" s="1"/>
  <c r="AB294" i="3" s="1"/>
  <c r="Z291" i="3"/>
  <c r="AA291" i="3" s="1"/>
  <c r="AB291" i="3" s="1"/>
  <c r="Z287" i="3"/>
  <c r="AA287" i="3" s="1"/>
  <c r="AB287" i="3" s="1"/>
  <c r="Z285" i="3"/>
  <c r="AA285" i="3" s="1"/>
  <c r="AB285" i="3" s="1"/>
  <c r="Z283" i="3"/>
  <c r="AA283" i="3" s="1"/>
  <c r="AB283" i="3" s="1"/>
  <c r="Z282" i="3"/>
  <c r="AA282" i="3" s="1"/>
  <c r="AB282" i="3" s="1"/>
  <c r="Z280" i="3"/>
  <c r="AA280" i="3" s="1"/>
  <c r="AB280" i="3" s="1"/>
  <c r="Z276" i="3"/>
  <c r="AA276" i="3" s="1"/>
  <c r="AB276" i="3" s="1"/>
  <c r="Z272" i="3"/>
  <c r="AA272" i="3" s="1"/>
  <c r="AB272" i="3" s="1"/>
  <c r="Z268" i="3"/>
  <c r="AA268" i="3" s="1"/>
  <c r="AB268" i="3" s="1"/>
  <c r="Z258" i="3"/>
  <c r="AA258" i="3" s="1"/>
  <c r="AB258" i="3" s="1"/>
  <c r="Z255" i="3"/>
  <c r="AA255" i="3" s="1"/>
  <c r="AB255" i="3" s="1"/>
  <c r="Z253" i="3"/>
  <c r="AA253" i="3" s="1"/>
  <c r="AB253" i="3" s="1"/>
  <c r="Z252" i="3"/>
  <c r="AA252" i="3" s="1"/>
  <c r="AB252" i="3" s="1"/>
  <c r="Z251" i="3"/>
  <c r="AA251" i="3" s="1"/>
  <c r="AB251" i="3" s="1"/>
  <c r="Z249" i="3"/>
  <c r="AA249" i="3" s="1"/>
  <c r="AB249" i="3" s="1"/>
  <c r="Z248" i="3"/>
  <c r="AA248" i="3" s="1"/>
  <c r="AB248" i="3" s="1"/>
  <c r="Z245" i="3"/>
  <c r="AA245" i="3" s="1"/>
  <c r="AB245" i="3" s="1"/>
  <c r="Z240" i="3"/>
  <c r="AA240" i="3" s="1"/>
  <c r="AB240" i="3" s="1"/>
  <c r="Z237" i="3"/>
  <c r="AA237" i="3" s="1"/>
  <c r="AB237" i="3" s="1"/>
  <c r="Z236" i="3"/>
  <c r="AA236" i="3" s="1"/>
  <c r="AB236" i="3" s="1"/>
  <c r="Z232" i="3"/>
  <c r="AA232" i="3" s="1"/>
  <c r="AB232" i="3" s="1"/>
  <c r="Z231" i="3"/>
  <c r="AA231" i="3" s="1"/>
  <c r="AB231" i="3" s="1"/>
  <c r="Z229" i="3"/>
  <c r="AA229" i="3" s="1"/>
  <c r="AB229" i="3" s="1"/>
  <c r="Z217" i="3"/>
  <c r="AA217" i="3" s="1"/>
  <c r="AB217" i="3" s="1"/>
  <c r="Z216" i="3"/>
  <c r="AA216" i="3" s="1"/>
  <c r="AB216" i="3" s="1"/>
  <c r="Z215" i="3"/>
  <c r="AA215" i="3" s="1"/>
  <c r="AB215" i="3" s="1"/>
  <c r="Z211" i="3"/>
  <c r="AA211" i="3" s="1"/>
  <c r="AB211" i="3" s="1"/>
  <c r="Z204" i="3"/>
  <c r="AA204" i="3" s="1"/>
  <c r="AB204" i="3" s="1"/>
  <c r="Z202" i="3"/>
  <c r="AA202" i="3" s="1"/>
  <c r="AB202" i="3" s="1"/>
  <c r="Z199" i="3"/>
  <c r="AA199" i="3" s="1"/>
  <c r="AB199" i="3" s="1"/>
  <c r="Z198" i="3"/>
  <c r="AA198" i="3" s="1"/>
  <c r="AB198" i="3" s="1"/>
  <c r="Z197" i="3"/>
  <c r="AA197" i="3" s="1"/>
  <c r="AB197" i="3" s="1"/>
  <c r="Z196" i="3"/>
  <c r="AA196" i="3" s="1"/>
  <c r="AB196" i="3" s="1"/>
  <c r="Z195" i="3"/>
  <c r="AA195" i="3" s="1"/>
  <c r="AB195" i="3" s="1"/>
  <c r="Z194" i="3"/>
  <c r="AA194" i="3" s="1"/>
  <c r="AB194" i="3" s="1"/>
  <c r="Z191" i="3"/>
  <c r="AA191" i="3" s="1"/>
  <c r="AB191" i="3" s="1"/>
  <c r="Z189" i="3"/>
  <c r="AA189" i="3" s="1"/>
  <c r="AB189" i="3" s="1"/>
  <c r="Z188" i="3"/>
  <c r="AA188" i="3" s="1"/>
  <c r="AB188" i="3" s="1"/>
  <c r="Z187" i="3"/>
  <c r="AA187" i="3" s="1"/>
  <c r="AB187" i="3" s="1"/>
  <c r="Z181" i="3"/>
  <c r="AA181" i="3" s="1"/>
  <c r="AB181" i="3" s="1"/>
  <c r="Z180" i="3"/>
  <c r="AA180" i="3" s="1"/>
  <c r="AB180" i="3" s="1"/>
  <c r="Z178" i="3"/>
  <c r="AA178" i="3" s="1"/>
  <c r="AB178" i="3" s="1"/>
  <c r="Z161" i="3"/>
  <c r="AA161" i="3" s="1"/>
  <c r="AB161" i="3" s="1"/>
  <c r="Z158" i="3"/>
  <c r="AA158" i="3" s="1"/>
  <c r="AB158" i="3" s="1"/>
  <c r="Z157" i="3"/>
  <c r="AA157" i="3" s="1"/>
  <c r="AB157" i="3" s="1"/>
  <c r="Z154" i="3"/>
  <c r="AA154" i="3" s="1"/>
  <c r="AB154" i="3" s="1"/>
  <c r="Z152" i="3"/>
  <c r="AA152" i="3" s="1"/>
  <c r="AB152" i="3" s="1"/>
  <c r="Z150" i="3"/>
  <c r="AA150" i="3" s="1"/>
  <c r="AB150" i="3" s="1"/>
  <c r="Z144" i="3"/>
  <c r="AA144" i="3" s="1"/>
  <c r="AB144" i="3" s="1"/>
  <c r="Z141" i="3"/>
  <c r="AA141" i="3" s="1"/>
  <c r="AB141" i="3" s="1"/>
  <c r="Z140" i="3"/>
  <c r="AA140" i="3" s="1"/>
  <c r="AB140" i="3" s="1"/>
  <c r="Z138" i="3"/>
  <c r="AA138" i="3" s="1"/>
  <c r="AB138" i="3" s="1"/>
  <c r="Z136" i="3"/>
  <c r="AA136" i="3" s="1"/>
  <c r="AB136" i="3" s="1"/>
  <c r="Z131" i="3"/>
  <c r="AA131" i="3" s="1"/>
  <c r="AB131" i="3" s="1"/>
  <c r="Z129" i="3"/>
  <c r="AA129" i="3" s="1"/>
  <c r="AB129" i="3" s="1"/>
  <c r="Z128" i="3"/>
  <c r="AA128" i="3" s="1"/>
  <c r="AB128" i="3" s="1"/>
  <c r="Z127" i="3"/>
  <c r="AA127" i="3" s="1"/>
  <c r="AB127" i="3" s="1"/>
  <c r="AZ13" i="3"/>
  <c r="BA13" i="3" s="1"/>
  <c r="AZ29" i="3"/>
  <c r="BA29" i="3" s="1"/>
  <c r="AZ32" i="3"/>
  <c r="BA32" i="3" s="1"/>
  <c r="AZ36" i="3"/>
  <c r="BA36" i="3" s="1"/>
  <c r="Z44" i="3"/>
  <c r="AA44" i="3" s="1"/>
  <c r="AB44" i="3" s="1"/>
  <c r="Z54" i="3"/>
  <c r="AA54" i="3" s="1"/>
  <c r="AB54" i="3" s="1"/>
  <c r="AZ61" i="3"/>
  <c r="BA61" i="3" s="1"/>
  <c r="AZ67" i="3"/>
  <c r="BA67" i="3" s="1"/>
  <c r="AZ98" i="3"/>
  <c r="BA98" i="3" s="1"/>
  <c r="AZ105" i="3"/>
  <c r="BA105" i="3" s="1"/>
  <c r="Z123" i="3"/>
  <c r="AA123" i="3" s="1"/>
  <c r="AB123" i="3" s="1"/>
  <c r="AZ124" i="3"/>
  <c r="BA124" i="3" s="1"/>
  <c r="AZ129" i="3"/>
  <c r="BA129" i="3" s="1"/>
  <c r="Z153" i="3"/>
  <c r="AA153" i="3" s="1"/>
  <c r="AB153" i="3" s="1"/>
  <c r="Z163" i="3"/>
  <c r="AA163" i="3" s="1"/>
  <c r="AB163" i="3" s="1"/>
  <c r="Z166" i="3"/>
  <c r="AA166" i="3" s="1"/>
  <c r="AB166" i="3" s="1"/>
  <c r="AZ175" i="3"/>
  <c r="BA175" i="3" s="1"/>
  <c r="Z179" i="3"/>
  <c r="AA179" i="3" s="1"/>
  <c r="AB179" i="3" s="1"/>
  <c r="AZ180" i="3"/>
  <c r="BA180" i="3" s="1"/>
  <c r="Z203" i="3"/>
  <c r="AA203" i="3" s="1"/>
  <c r="AB203" i="3" s="1"/>
  <c r="Z205" i="3"/>
  <c r="AA205" i="3" s="1"/>
  <c r="AB205" i="3" s="1"/>
  <c r="Z210" i="3"/>
  <c r="AA210" i="3" s="1"/>
  <c r="AB210" i="3" s="1"/>
  <c r="AZ221" i="3"/>
  <c r="BA221" i="3" s="1"/>
  <c r="Z225" i="3"/>
  <c r="AA225" i="3" s="1"/>
  <c r="AB225" i="3" s="1"/>
  <c r="AZ230" i="3"/>
  <c r="BA230" i="3" s="1"/>
  <c r="Z234" i="3"/>
  <c r="AA234" i="3" s="1"/>
  <c r="AB234" i="3" s="1"/>
  <c r="Z246" i="3"/>
  <c r="AA246" i="3" s="1"/>
  <c r="AB246" i="3" s="1"/>
  <c r="Z250" i="3"/>
  <c r="AA250" i="3" s="1"/>
  <c r="AB250" i="3" s="1"/>
  <c r="AZ251" i="3"/>
  <c r="BA251" i="3" s="1"/>
  <c r="Z262" i="3"/>
  <c r="AA262" i="3" s="1"/>
  <c r="AB262" i="3" s="1"/>
  <c r="AZ264" i="3"/>
  <c r="BA264" i="3" s="1"/>
  <c r="Z286" i="3"/>
  <c r="AA286" i="3" s="1"/>
  <c r="AB286" i="3" s="1"/>
  <c r="Z292" i="3"/>
  <c r="AA292" i="3" s="1"/>
  <c r="AB292" i="3" s="1"/>
  <c r="AZ297" i="3"/>
  <c r="BA297" i="3" s="1"/>
  <c r="AZ322" i="3"/>
  <c r="BA322" i="3" s="1"/>
  <c r="Z24" i="3"/>
  <c r="AA24" i="3" s="1"/>
  <c r="AB24" i="3" s="1"/>
  <c r="Z29" i="3"/>
  <c r="AA29" i="3" s="1"/>
  <c r="AB29" i="3" s="1"/>
  <c r="AZ30" i="3"/>
  <c r="BA30" i="3" s="1"/>
  <c r="AZ37" i="3"/>
  <c r="BA37" i="3" s="1"/>
  <c r="AZ53" i="3"/>
  <c r="BA53" i="3" s="1"/>
  <c r="AZ79" i="3"/>
  <c r="BA79" i="3" s="1"/>
  <c r="AZ93" i="3"/>
  <c r="BA93" i="3" s="1"/>
  <c r="AZ99" i="3"/>
  <c r="BA99" i="3" s="1"/>
  <c r="AZ103" i="3"/>
  <c r="BA103" i="3" s="1"/>
  <c r="AZ137" i="3"/>
  <c r="BA137" i="3" s="1"/>
  <c r="Z148" i="3"/>
  <c r="AA148" i="3" s="1"/>
  <c r="AB148" i="3" s="1"/>
  <c r="AZ157" i="3"/>
  <c r="BA157" i="3" s="1"/>
  <c r="AZ165" i="3"/>
  <c r="BA165" i="3" s="1"/>
  <c r="Z172" i="3"/>
  <c r="AA172" i="3" s="1"/>
  <c r="AB172" i="3" s="1"/>
  <c r="AZ173" i="3"/>
  <c r="BA173" i="3" s="1"/>
  <c r="AZ183" i="3"/>
  <c r="BA183" i="3" s="1"/>
  <c r="Z201" i="3"/>
  <c r="AA201" i="3" s="1"/>
  <c r="AB201" i="3" s="1"/>
  <c r="AZ204" i="3"/>
  <c r="BA204" i="3" s="1"/>
  <c r="AZ228" i="3"/>
  <c r="BA228" i="3" s="1"/>
  <c r="AZ233" i="3"/>
  <c r="BA233" i="3" s="1"/>
  <c r="AZ236" i="3"/>
  <c r="BA236" i="3" s="1"/>
  <c r="Z238" i="3"/>
  <c r="AA238" i="3" s="1"/>
  <c r="AB238" i="3" s="1"/>
  <c r="AZ239" i="3"/>
  <c r="BA239" i="3" s="1"/>
  <c r="Z242" i="3"/>
  <c r="AA242" i="3" s="1"/>
  <c r="AB242" i="3" s="1"/>
  <c r="Z263" i="3"/>
  <c r="AA263" i="3" s="1"/>
  <c r="AB263" i="3" s="1"/>
  <c r="Z284" i="3"/>
  <c r="AA284" i="3" s="1"/>
  <c r="AB284" i="3" s="1"/>
  <c r="Z302" i="3"/>
  <c r="AA302" i="3" s="1"/>
  <c r="AB302" i="3" s="1"/>
  <c r="Z321" i="3"/>
  <c r="AA321" i="3" s="1"/>
  <c r="AB321" i="3" s="1"/>
  <c r="AZ47" i="3"/>
  <c r="BA47" i="3" s="1"/>
  <c r="AZ59" i="3"/>
  <c r="BA59" i="3" s="1"/>
  <c r="AZ70" i="3"/>
  <c r="BA70" i="3" s="1"/>
  <c r="AZ82" i="3"/>
  <c r="BA82" i="3" s="1"/>
  <c r="AZ100" i="3"/>
  <c r="BA100" i="3" s="1"/>
  <c r="Z121" i="3"/>
  <c r="AA121" i="3" s="1"/>
  <c r="AB121" i="3" s="1"/>
  <c r="Z132" i="3"/>
  <c r="AA132" i="3" s="1"/>
  <c r="AB132" i="3" s="1"/>
  <c r="AZ135" i="3"/>
  <c r="BA135" i="3" s="1"/>
  <c r="Z137" i="3"/>
  <c r="AA137" i="3" s="1"/>
  <c r="AB137" i="3" s="1"/>
  <c r="AZ138" i="3"/>
  <c r="BA138" i="3" s="1"/>
  <c r="AZ144" i="3"/>
  <c r="BA144" i="3" s="1"/>
  <c r="AZ168" i="3"/>
  <c r="BA168" i="3" s="1"/>
  <c r="AZ176" i="3"/>
  <c r="BA176" i="3" s="1"/>
  <c r="AZ181" i="3"/>
  <c r="BA181" i="3" s="1"/>
  <c r="AZ216" i="3"/>
  <c r="BA216" i="3" s="1"/>
  <c r="Z260" i="3"/>
  <c r="AA260" i="3" s="1"/>
  <c r="AB260" i="3" s="1"/>
  <c r="Z270" i="3"/>
  <c r="AA270" i="3" s="1"/>
  <c r="AB270" i="3" s="1"/>
  <c r="Z290" i="3"/>
  <c r="AA290" i="3" s="1"/>
  <c r="AB290" i="3" s="1"/>
  <c r="Z307" i="3"/>
  <c r="AA307" i="3" s="1"/>
  <c r="AB307" i="3" s="1"/>
  <c r="Z27" i="3"/>
  <c r="AA27" i="3" s="1"/>
  <c r="AB27" i="3" s="1"/>
  <c r="AZ262" i="3"/>
  <c r="BA262" i="3" s="1"/>
  <c r="Z295" i="3"/>
  <c r="AA295" i="3" s="1"/>
  <c r="AB295" i="3" s="1"/>
  <c r="AZ320" i="3"/>
  <c r="BA320" i="3" s="1"/>
  <c r="AZ6" i="3"/>
  <c r="BA6" i="3" s="1"/>
  <c r="AZ28" i="3"/>
  <c r="BA28" i="3" s="1"/>
  <c r="Z33" i="3"/>
  <c r="AA33" i="3" s="1"/>
  <c r="AB33" i="3" s="1"/>
  <c r="Z90" i="3"/>
  <c r="AA90" i="3" s="1"/>
  <c r="AB90" i="3" s="1"/>
  <c r="AZ97" i="3"/>
  <c r="BA97" i="3" s="1"/>
  <c r="Z119" i="3"/>
  <c r="AA119" i="3" s="1"/>
  <c r="AB119" i="3" s="1"/>
  <c r="AZ120" i="3"/>
  <c r="BA120" i="3" s="1"/>
  <c r="AZ123" i="3"/>
  <c r="BA123" i="3" s="1"/>
  <c r="AZ128" i="3"/>
  <c r="BA128" i="3" s="1"/>
  <c r="Z130" i="3"/>
  <c r="AA130" i="3" s="1"/>
  <c r="AB130" i="3" s="1"/>
  <c r="Z162" i="3"/>
  <c r="AA162" i="3" s="1"/>
  <c r="AB162" i="3" s="1"/>
  <c r="AZ171" i="3"/>
  <c r="BA171" i="3" s="1"/>
  <c r="AZ174" i="3"/>
  <c r="BA174" i="3" s="1"/>
  <c r="AZ177" i="3"/>
  <c r="BA177" i="3" s="1"/>
  <c r="Z183" i="3"/>
  <c r="AA183" i="3" s="1"/>
  <c r="AB183" i="3" s="1"/>
  <c r="AZ187" i="3"/>
  <c r="BA187" i="3" s="1"/>
  <c r="AZ198" i="3"/>
  <c r="BA198" i="3" s="1"/>
  <c r="AZ205" i="3"/>
  <c r="BA205" i="3" s="1"/>
  <c r="AZ212" i="3"/>
  <c r="BA212" i="3" s="1"/>
  <c r="AZ214" i="3"/>
  <c r="BA214" i="3" s="1"/>
  <c r="AZ217" i="3"/>
  <c r="BA217" i="3" s="1"/>
  <c r="Z224" i="3"/>
  <c r="AA224" i="3" s="1"/>
  <c r="AB224" i="3" s="1"/>
  <c r="Z228" i="3"/>
  <c r="AA228" i="3" s="1"/>
  <c r="AB228" i="3" s="1"/>
  <c r="AZ250" i="3"/>
  <c r="BA250" i="3" s="1"/>
  <c r="AZ255" i="3"/>
  <c r="BA255" i="3" s="1"/>
  <c r="AZ266" i="3"/>
  <c r="BA266" i="3" s="1"/>
  <c r="AZ269" i="3"/>
  <c r="BA269" i="3" s="1"/>
  <c r="Z273" i="3"/>
  <c r="AA273" i="3" s="1"/>
  <c r="AB273" i="3" s="1"/>
  <c r="AZ299" i="3"/>
  <c r="BA299" i="3" s="1"/>
  <c r="AZ17" i="3"/>
  <c r="BA17" i="3" s="1"/>
  <c r="AZ24" i="3"/>
  <c r="BA24" i="3" s="1"/>
  <c r="AZ39" i="3"/>
  <c r="BA39" i="3" s="1"/>
  <c r="AZ45" i="3"/>
  <c r="BA45" i="3" s="1"/>
  <c r="AZ57" i="3"/>
  <c r="BA57" i="3" s="1"/>
  <c r="AZ60" i="3"/>
  <c r="BA60" i="3" s="1"/>
  <c r="AZ86" i="3"/>
  <c r="BA86" i="3" s="1"/>
  <c r="AZ89" i="3"/>
  <c r="BA89" i="3" s="1"/>
  <c r="AZ145" i="3"/>
  <c r="BA145" i="3" s="1"/>
  <c r="Z168" i="3"/>
  <c r="AA168" i="3" s="1"/>
  <c r="AB168" i="3" s="1"/>
  <c r="Z214" i="3"/>
  <c r="AA214" i="3" s="1"/>
  <c r="AB214" i="3" s="1"/>
  <c r="AZ227" i="3"/>
  <c r="BA227" i="3" s="1"/>
  <c r="AZ232" i="3"/>
  <c r="BA232" i="3" s="1"/>
  <c r="AZ238" i="3"/>
  <c r="BA238" i="3" s="1"/>
  <c r="Z243" i="3"/>
  <c r="AA243" i="3" s="1"/>
  <c r="AB243" i="3" s="1"/>
  <c r="AZ263" i="3"/>
  <c r="BA263" i="3" s="1"/>
  <c r="AZ272" i="3"/>
  <c r="BA272" i="3" s="1"/>
  <c r="Z288" i="3"/>
  <c r="AA288" i="3" s="1"/>
  <c r="AB288" i="3" s="1"/>
  <c r="Z303" i="3"/>
  <c r="AA303" i="3" s="1"/>
  <c r="AB303" i="3" s="1"/>
  <c r="Z306" i="3"/>
  <c r="AA306" i="3" s="1"/>
  <c r="AB306" i="3" s="1"/>
  <c r="Z308" i="3"/>
  <c r="AA308" i="3" s="1"/>
  <c r="AB308" i="3" s="1"/>
  <c r="Z310" i="3"/>
  <c r="AA310" i="3" s="1"/>
  <c r="AB310" i="3" s="1"/>
  <c r="AZ321" i="3"/>
  <c r="BA321" i="3" s="1"/>
  <c r="Z118" i="3"/>
  <c r="AA118" i="3" s="1"/>
  <c r="AB118" i="3" s="1"/>
  <c r="Z117" i="3"/>
  <c r="AA117" i="3" s="1"/>
  <c r="AB117" i="3" s="1"/>
  <c r="Z116" i="3"/>
  <c r="AA116" i="3" s="1"/>
  <c r="AB116" i="3" s="1"/>
  <c r="Z114" i="3"/>
  <c r="AA114" i="3" s="1"/>
  <c r="AB114" i="3" s="1"/>
  <c r="Z113" i="3"/>
  <c r="AA113" i="3" s="1"/>
  <c r="AB113" i="3" s="1"/>
  <c r="Z112" i="3"/>
  <c r="AA112" i="3" s="1"/>
  <c r="AB112" i="3" s="1"/>
  <c r="Z110" i="3"/>
  <c r="AA110" i="3" s="1"/>
  <c r="AB110" i="3" s="1"/>
  <c r="Z106" i="3"/>
  <c r="AA106" i="3" s="1"/>
  <c r="AB106" i="3" s="1"/>
  <c r="Z104" i="3"/>
  <c r="AA104" i="3" s="1"/>
  <c r="AB104" i="3" s="1"/>
  <c r="Z102" i="3"/>
  <c r="AA102" i="3" s="1"/>
  <c r="AB102" i="3" s="1"/>
  <c r="Z98" i="3"/>
  <c r="AA98" i="3" s="1"/>
  <c r="AB98" i="3" s="1"/>
  <c r="Z95" i="3"/>
  <c r="AA95" i="3" s="1"/>
  <c r="AB95" i="3" s="1"/>
  <c r="Z92" i="3"/>
  <c r="AA92" i="3" s="1"/>
  <c r="AB92" i="3" s="1"/>
  <c r="Z91" i="3"/>
  <c r="AA91" i="3" s="1"/>
  <c r="AB91" i="3" s="1"/>
  <c r="Z89" i="3"/>
  <c r="AA89" i="3" s="1"/>
  <c r="AB89" i="3" s="1"/>
  <c r="Z84" i="3"/>
  <c r="AA84" i="3" s="1"/>
  <c r="AB84" i="3" s="1"/>
  <c r="Z79" i="3"/>
  <c r="AA79" i="3" s="1"/>
  <c r="AB79" i="3" s="1"/>
  <c r="Z78" i="3"/>
  <c r="AA78" i="3" s="1"/>
  <c r="AB78" i="3" s="1"/>
  <c r="Z75" i="3"/>
  <c r="AA75" i="3" s="1"/>
  <c r="AB75" i="3" s="1"/>
  <c r="Z73" i="3"/>
  <c r="AA73" i="3" s="1"/>
  <c r="AB73" i="3" s="1"/>
  <c r="Z72" i="3"/>
  <c r="AA72" i="3" s="1"/>
  <c r="AB72" i="3" s="1"/>
  <c r="Z69" i="3"/>
  <c r="AA69" i="3" s="1"/>
  <c r="AB69" i="3" s="1"/>
  <c r="Z65" i="3"/>
  <c r="AA65" i="3" s="1"/>
  <c r="AB65" i="3" s="1"/>
  <c r="Z58" i="3"/>
  <c r="AA58" i="3" s="1"/>
  <c r="AB58" i="3" s="1"/>
  <c r="Z56" i="3"/>
  <c r="AA56" i="3" s="1"/>
  <c r="AB56" i="3" s="1"/>
  <c r="Z53" i="3"/>
  <c r="AA53" i="3" s="1"/>
  <c r="AB53" i="3" s="1"/>
  <c r="Z51" i="3"/>
  <c r="AA51" i="3" s="1"/>
  <c r="AB51" i="3" s="1"/>
  <c r="Z49" i="3"/>
  <c r="AA49" i="3" s="1"/>
  <c r="AB49" i="3" s="1"/>
  <c r="Z45" i="3"/>
  <c r="AA45" i="3" s="1"/>
  <c r="AB45" i="3" s="1"/>
  <c r="Z42" i="3"/>
  <c r="AA42" i="3" s="1"/>
  <c r="AB42" i="3" s="1"/>
  <c r="Z40" i="3"/>
  <c r="AA40" i="3" s="1"/>
  <c r="AB40" i="3" s="1"/>
  <c r="Z34" i="3"/>
  <c r="AA34" i="3" s="1"/>
  <c r="AB34" i="3" s="1"/>
  <c r="Z31" i="3"/>
  <c r="AA31" i="3" s="1"/>
  <c r="AB31" i="3" s="1"/>
  <c r="Z28" i="3"/>
  <c r="AA28" i="3" s="1"/>
  <c r="AB28" i="3" s="1"/>
  <c r="Z26" i="3"/>
  <c r="AA26" i="3" s="1"/>
  <c r="AB26" i="3" s="1"/>
  <c r="Z23" i="3"/>
  <c r="AA23" i="3" s="1"/>
  <c r="AB23" i="3" s="1"/>
  <c r="Z21" i="3"/>
  <c r="AA21" i="3" s="1"/>
  <c r="AB21" i="3" s="1"/>
  <c r="Z20" i="3"/>
  <c r="AA20" i="3" s="1"/>
  <c r="AB20" i="3" s="1"/>
  <c r="Z17" i="3"/>
  <c r="AA17" i="3" s="1"/>
  <c r="AB17" i="3" s="1"/>
  <c r="Z15" i="3"/>
  <c r="AA15" i="3" s="1"/>
  <c r="AB15" i="3" s="1"/>
  <c r="Z14" i="3"/>
  <c r="AA14" i="3" s="1"/>
  <c r="AB14" i="3" s="1"/>
  <c r="Z13" i="3"/>
  <c r="AA13" i="3" s="1"/>
  <c r="AB13" i="3" s="1"/>
  <c r="Z11" i="3"/>
  <c r="AA11" i="3" s="1"/>
  <c r="AB11" i="3" s="1"/>
  <c r="Z9" i="3"/>
  <c r="AA9" i="3" s="1"/>
  <c r="AB9" i="3" s="1"/>
  <c r="Z6" i="3"/>
  <c r="AA6" i="3" s="1"/>
  <c r="AB6" i="3" s="1"/>
  <c r="Z4" i="3"/>
  <c r="AA4" i="3" s="1"/>
  <c r="AB4" i="3" s="1"/>
  <c r="Z3" i="3"/>
  <c r="AA3" i="3" s="1"/>
  <c r="AB3" i="3" s="1"/>
  <c r="AZ2" i="3"/>
  <c r="BA2" i="3" s="1"/>
  <c r="AZ5" i="3"/>
  <c r="BA5" i="3" s="1"/>
  <c r="Z2" i="3"/>
  <c r="AA2" i="3" s="1"/>
  <c r="AB2" i="3" s="1"/>
  <c r="Z48" i="3"/>
  <c r="AA48" i="3" s="1"/>
  <c r="AB48" i="3" s="1"/>
  <c r="Z5" i="3"/>
  <c r="AA5" i="3" s="1"/>
  <c r="AB5" i="3" s="1"/>
  <c r="AZ8" i="3"/>
  <c r="BA8" i="3" s="1"/>
  <c r="Z16" i="3"/>
  <c r="AA16" i="3" s="1"/>
  <c r="AB16" i="3" s="1"/>
  <c r="Z57" i="3"/>
  <c r="AA57" i="3" s="1"/>
  <c r="AB57" i="3" s="1"/>
  <c r="AZ18" i="3"/>
  <c r="BA18" i="3" s="1"/>
  <c r="AZ4" i="3"/>
  <c r="BA4" i="3" s="1"/>
  <c r="AZ9" i="3"/>
  <c r="BA9" i="3" s="1"/>
  <c r="AZ16" i="3"/>
  <c r="BA16" i="3" s="1"/>
  <c r="AZ21" i="3"/>
  <c r="BA21" i="3" s="1"/>
  <c r="Z32" i="3"/>
  <c r="AA32" i="3" s="1"/>
  <c r="AB32" i="3" s="1"/>
  <c r="AZ40" i="3"/>
  <c r="BA40" i="3" s="1"/>
  <c r="Z41" i="3"/>
  <c r="AA41" i="3" s="1"/>
  <c r="AB41" i="3" s="1"/>
  <c r="Z43" i="3"/>
  <c r="AA43" i="3" s="1"/>
  <c r="AB43" i="3" s="1"/>
  <c r="AZ46" i="3"/>
  <c r="BA46" i="3" s="1"/>
  <c r="Z55" i="3"/>
  <c r="AA55" i="3" s="1"/>
  <c r="AB55" i="3" s="1"/>
  <c r="Z63" i="3"/>
  <c r="AA63" i="3" s="1"/>
  <c r="AB63" i="3" s="1"/>
  <c r="Z71" i="3"/>
  <c r="AA71" i="3" s="1"/>
  <c r="AB71" i="3" s="1"/>
  <c r="Z74" i="3"/>
  <c r="AA74" i="3" s="1"/>
  <c r="AB74" i="3" s="1"/>
  <c r="Z76" i="3"/>
  <c r="AA76" i="3" s="1"/>
  <c r="AB76" i="3" s="1"/>
  <c r="Z77" i="3"/>
  <c r="AA77" i="3" s="1"/>
  <c r="AB77" i="3" s="1"/>
  <c r="Z83" i="3"/>
  <c r="AA83" i="3" s="1"/>
  <c r="AB83" i="3" s="1"/>
  <c r="Z111" i="3"/>
  <c r="AA111" i="3" s="1"/>
  <c r="AB111" i="3" s="1"/>
  <c r="Z120" i="3"/>
  <c r="AA120" i="3" s="1"/>
  <c r="AB120" i="3" s="1"/>
  <c r="AZ142" i="3"/>
  <c r="BA142" i="3" s="1"/>
  <c r="Z146" i="3"/>
  <c r="AA146" i="3" s="1"/>
  <c r="AB146" i="3" s="1"/>
  <c r="AZ156" i="3"/>
  <c r="BA156" i="3" s="1"/>
  <c r="AZ223" i="3"/>
  <c r="BA223" i="3" s="1"/>
  <c r="Z18" i="3"/>
  <c r="AA18" i="3" s="1"/>
  <c r="AB18" i="3" s="1"/>
  <c r="AZ27" i="3"/>
  <c r="BA27" i="3" s="1"/>
  <c r="AZ31" i="3"/>
  <c r="BA31" i="3" s="1"/>
  <c r="AZ42" i="3"/>
  <c r="BA42" i="3" s="1"/>
  <c r="Z50" i="3"/>
  <c r="AA50" i="3" s="1"/>
  <c r="AB50" i="3" s="1"/>
  <c r="Z94" i="3"/>
  <c r="AA94" i="3" s="1"/>
  <c r="AB94" i="3" s="1"/>
  <c r="Z97" i="3"/>
  <c r="AA97" i="3" s="1"/>
  <c r="AB97" i="3" s="1"/>
  <c r="AZ15" i="3"/>
  <c r="BA15" i="3" s="1"/>
  <c r="AZ20" i="3"/>
  <c r="BA20" i="3" s="1"/>
  <c r="Z25" i="3"/>
  <c r="AA25" i="3" s="1"/>
  <c r="AB25" i="3" s="1"/>
  <c r="Z37" i="3"/>
  <c r="AA37" i="3" s="1"/>
  <c r="AB37" i="3" s="1"/>
  <c r="Z70" i="3"/>
  <c r="AA70" i="3" s="1"/>
  <c r="AB70" i="3" s="1"/>
  <c r="AZ83" i="3"/>
  <c r="BA83" i="3" s="1"/>
  <c r="Z85" i="3"/>
  <c r="AA85" i="3" s="1"/>
  <c r="AB85" i="3" s="1"/>
  <c r="Z86" i="3"/>
  <c r="AA86" i="3" s="1"/>
  <c r="AB86" i="3" s="1"/>
  <c r="AZ102" i="3"/>
  <c r="BA102" i="3" s="1"/>
  <c r="AZ107" i="3"/>
  <c r="BA107" i="3" s="1"/>
  <c r="Z159" i="3"/>
  <c r="AA159" i="3" s="1"/>
  <c r="AB159" i="3" s="1"/>
  <c r="AZ222" i="3"/>
  <c r="BA222" i="3" s="1"/>
  <c r="Z10" i="3"/>
  <c r="AA10" i="3" s="1"/>
  <c r="AB10" i="3" s="1"/>
  <c r="AZ22" i="3"/>
  <c r="BA22" i="3" s="1"/>
  <c r="AZ38" i="3"/>
  <c r="BA38" i="3" s="1"/>
  <c r="AZ66" i="3"/>
  <c r="BA66" i="3" s="1"/>
  <c r="Z68" i="3"/>
  <c r="AA68" i="3" s="1"/>
  <c r="AB68" i="3" s="1"/>
  <c r="AZ69" i="3"/>
  <c r="BA69" i="3" s="1"/>
  <c r="Z93" i="3"/>
  <c r="AA93" i="3" s="1"/>
  <c r="AB93" i="3" s="1"/>
  <c r="AZ109" i="3"/>
  <c r="BA109" i="3" s="1"/>
  <c r="AZ111" i="3"/>
  <c r="BA111" i="3" s="1"/>
  <c r="AZ136" i="3"/>
  <c r="BA136" i="3" s="1"/>
  <c r="Z149" i="3"/>
  <c r="AA149" i="3" s="1"/>
  <c r="AB149" i="3" s="1"/>
  <c r="Z151" i="3"/>
  <c r="AA151" i="3" s="1"/>
  <c r="AB151" i="3" s="1"/>
  <c r="Z165" i="3"/>
  <c r="AA165" i="3" s="1"/>
  <c r="AB165" i="3" s="1"/>
  <c r="Z182" i="3"/>
  <c r="AA182" i="3" s="1"/>
  <c r="AB182" i="3" s="1"/>
  <c r="AZ14" i="3"/>
  <c r="BA14" i="3" s="1"/>
  <c r="Z66" i="3"/>
  <c r="AA66" i="3" s="1"/>
  <c r="AB66" i="3" s="1"/>
  <c r="AZ78" i="3"/>
  <c r="BA78" i="3" s="1"/>
  <c r="AZ113" i="3"/>
  <c r="BA113" i="3" s="1"/>
  <c r="AZ134" i="3"/>
  <c r="BA134" i="3" s="1"/>
  <c r="AZ158" i="3"/>
  <c r="BA158" i="3" s="1"/>
  <c r="Z177" i="3"/>
  <c r="AA177" i="3" s="1"/>
  <c r="AB177" i="3" s="1"/>
  <c r="AZ190" i="3"/>
  <c r="BA190" i="3" s="1"/>
  <c r="Z222" i="3"/>
  <c r="AA222" i="3" s="1"/>
  <c r="AB222" i="3" s="1"/>
  <c r="AZ273" i="3"/>
  <c r="BA273" i="3" s="1"/>
  <c r="AZ127" i="3"/>
  <c r="BA127" i="3" s="1"/>
  <c r="Z134" i="3"/>
  <c r="AA134" i="3" s="1"/>
  <c r="AB134" i="3" s="1"/>
  <c r="AZ149" i="3"/>
  <c r="BA149" i="3" s="1"/>
  <c r="AZ150" i="3"/>
  <c r="BA150" i="3" s="1"/>
  <c r="Z174" i="3"/>
  <c r="AA174" i="3" s="1"/>
  <c r="AB174" i="3" s="1"/>
  <c r="Z184" i="3"/>
  <c r="AA184" i="3" s="1"/>
  <c r="AB184" i="3" s="1"/>
  <c r="Z235" i="3"/>
  <c r="AA235" i="3" s="1"/>
  <c r="AB235" i="3" s="1"/>
  <c r="Z239" i="3"/>
  <c r="AA239" i="3" s="1"/>
  <c r="AB239" i="3" s="1"/>
  <c r="Z254" i="3"/>
  <c r="AA254" i="3" s="1"/>
  <c r="AB254" i="3" s="1"/>
  <c r="AZ119" i="3"/>
  <c r="BA119" i="3" s="1"/>
  <c r="AZ146" i="3"/>
  <c r="BA146" i="3" s="1"/>
  <c r="AZ147" i="3"/>
  <c r="BA147" i="3" s="1"/>
  <c r="AZ148" i="3"/>
  <c r="BA148" i="3" s="1"/>
  <c r="AZ151" i="3"/>
  <c r="BA151" i="3" s="1"/>
  <c r="Z190" i="3"/>
  <c r="AA190" i="3" s="1"/>
  <c r="AB190" i="3" s="1"/>
  <c r="Z227" i="3"/>
  <c r="AA227" i="3" s="1"/>
  <c r="AB227" i="3" s="1"/>
  <c r="Z233" i="3"/>
  <c r="AA233" i="3" s="1"/>
  <c r="AB233" i="3" s="1"/>
  <c r="Z298" i="3"/>
  <c r="AA298" i="3" s="1"/>
  <c r="AB298" i="3" s="1"/>
  <c r="Z103" i="3"/>
  <c r="AA103" i="3" s="1"/>
  <c r="AB103" i="3" s="1"/>
  <c r="Z105" i="3"/>
  <c r="AA105" i="3" s="1"/>
  <c r="AB105" i="3" s="1"/>
  <c r="Z108" i="3"/>
  <c r="AA108" i="3" s="1"/>
  <c r="AB108" i="3" s="1"/>
  <c r="Z115" i="3"/>
  <c r="AA115" i="3" s="1"/>
  <c r="AB115" i="3" s="1"/>
  <c r="Z145" i="3"/>
  <c r="AA145" i="3" s="1"/>
  <c r="AB145" i="3" s="1"/>
  <c r="Z164" i="3"/>
  <c r="AA164" i="3" s="1"/>
  <c r="AB164" i="3" s="1"/>
  <c r="Z176" i="3"/>
  <c r="AA176" i="3" s="1"/>
  <c r="AB176" i="3" s="1"/>
  <c r="AZ207" i="3"/>
  <c r="BA207" i="3" s="1"/>
  <c r="AZ112" i="3"/>
  <c r="BA112" i="3" s="1"/>
  <c r="AZ115" i="3"/>
  <c r="BA115" i="3" s="1"/>
  <c r="Z139" i="3"/>
  <c r="AA139" i="3" s="1"/>
  <c r="AB139" i="3" s="1"/>
  <c r="AZ163" i="3"/>
  <c r="BA163" i="3" s="1"/>
  <c r="Z173" i="3"/>
  <c r="AA173" i="3" s="1"/>
  <c r="AB173" i="3" s="1"/>
  <c r="AZ178" i="3"/>
  <c r="BA178" i="3" s="1"/>
  <c r="AZ197" i="3"/>
  <c r="BA197" i="3" s="1"/>
  <c r="AZ208" i="3"/>
  <c r="BA208" i="3" s="1"/>
  <c r="AZ218" i="3"/>
  <c r="BA218" i="3" s="1"/>
  <c r="Z279" i="3"/>
  <c r="AA279" i="3" s="1"/>
  <c r="AB279" i="3" s="1"/>
  <c r="AZ106" i="3"/>
  <c r="BA106" i="3" s="1"/>
  <c r="AZ125" i="3"/>
  <c r="BA125" i="3" s="1"/>
  <c r="Z142" i="3"/>
  <c r="AA142" i="3" s="1"/>
  <c r="AB142" i="3" s="1"/>
  <c r="Z143" i="3"/>
  <c r="AA143" i="3" s="1"/>
  <c r="AB143" i="3" s="1"/>
  <c r="AZ153" i="3"/>
  <c r="BA153" i="3" s="1"/>
  <c r="Z156" i="3"/>
  <c r="AA156" i="3" s="1"/>
  <c r="AB156" i="3" s="1"/>
  <c r="Z160" i="3"/>
  <c r="AA160" i="3" s="1"/>
  <c r="AB160" i="3" s="1"/>
  <c r="AZ160" i="3"/>
  <c r="BA160" i="3" s="1"/>
  <c r="Z170" i="3"/>
  <c r="AA170" i="3" s="1"/>
  <c r="AB170" i="3" s="1"/>
  <c r="Z171" i="3"/>
  <c r="AA171" i="3" s="1"/>
  <c r="AB171" i="3" s="1"/>
  <c r="AZ179" i="3"/>
  <c r="BA179" i="3" s="1"/>
  <c r="Z185" i="3"/>
  <c r="AA185" i="3" s="1"/>
  <c r="AB185" i="3" s="1"/>
  <c r="Z206" i="3"/>
  <c r="AA206" i="3" s="1"/>
  <c r="AB206" i="3" s="1"/>
  <c r="Z257" i="3"/>
  <c r="AA257" i="3" s="1"/>
  <c r="AB257" i="3" s="1"/>
  <c r="Z301" i="3"/>
  <c r="AA301" i="3" s="1"/>
  <c r="AB301" i="3" s="1"/>
  <c r="AZ231" i="3"/>
  <c r="BA231" i="3" s="1"/>
  <c r="AZ240" i="3"/>
  <c r="BA240" i="3" s="1"/>
  <c r="AZ247" i="3"/>
  <c r="BA247" i="3" s="1"/>
  <c r="AZ248" i="3"/>
  <c r="BA248" i="3" s="1"/>
  <c r="AZ260" i="3"/>
  <c r="BA260" i="3" s="1"/>
  <c r="Z277" i="3"/>
  <c r="AA277" i="3" s="1"/>
  <c r="AB277" i="3" s="1"/>
  <c r="Z281" i="3"/>
  <c r="AA281" i="3" s="1"/>
  <c r="AB281" i="3" s="1"/>
  <c r="AZ298" i="3"/>
  <c r="BA298" i="3" s="1"/>
  <c r="AZ304" i="3"/>
  <c r="BA304" i="3" s="1"/>
  <c r="AZ313" i="3"/>
  <c r="BA313" i="3" s="1"/>
  <c r="Z313" i="3"/>
  <c r="AA313" i="3" s="1"/>
  <c r="AB313" i="3" s="1"/>
  <c r="AZ186" i="3"/>
  <c r="BA186" i="3" s="1"/>
  <c r="AZ189" i="3"/>
  <c r="BA189" i="3" s="1"/>
  <c r="Z207" i="3"/>
  <c r="AA207" i="3" s="1"/>
  <c r="AB207" i="3" s="1"/>
  <c r="Z218" i="3"/>
  <c r="AA218" i="3" s="1"/>
  <c r="AB218" i="3" s="1"/>
  <c r="Z221" i="3"/>
  <c r="AA221" i="3" s="1"/>
  <c r="AB221" i="3" s="1"/>
  <c r="Z247" i="3"/>
  <c r="AA247" i="3" s="1"/>
  <c r="AB247" i="3" s="1"/>
  <c r="AZ259" i="3"/>
  <c r="BA259" i="3" s="1"/>
  <c r="Z304" i="3"/>
  <c r="AA304" i="3" s="1"/>
  <c r="AB304" i="3" s="1"/>
  <c r="Z315" i="3"/>
  <c r="AA315" i="3" s="1"/>
  <c r="AB315" i="3" s="1"/>
  <c r="AZ315" i="3"/>
  <c r="BA315" i="3" s="1"/>
  <c r="AZ319" i="3"/>
  <c r="BA319" i="3" s="1"/>
  <c r="Z320" i="3"/>
  <c r="AA320" i="3" s="1"/>
  <c r="AB320" i="3" s="1"/>
  <c r="AZ192" i="3"/>
  <c r="BA192" i="3" s="1"/>
  <c r="AZ202" i="3"/>
  <c r="BA202" i="3" s="1"/>
  <c r="AZ209" i="3"/>
  <c r="BA209" i="3" s="1"/>
  <c r="Z213" i="3"/>
  <c r="AA213" i="3" s="1"/>
  <c r="AB213" i="3" s="1"/>
  <c r="Z220" i="3"/>
  <c r="AA220" i="3" s="1"/>
  <c r="AB220" i="3" s="1"/>
  <c r="AZ229" i="3"/>
  <c r="BA229" i="3" s="1"/>
  <c r="Z230" i="3"/>
  <c r="AA230" i="3" s="1"/>
  <c r="AB230" i="3" s="1"/>
  <c r="AZ242" i="3"/>
  <c r="BA242" i="3" s="1"/>
  <c r="AZ243" i="3"/>
  <c r="BA243" i="3" s="1"/>
  <c r="AZ244" i="3"/>
  <c r="BA244" i="3" s="1"/>
  <c r="AZ249" i="3"/>
  <c r="BA249" i="3" s="1"/>
  <c r="AZ253" i="3"/>
  <c r="BA253" i="3" s="1"/>
  <c r="Z256" i="3"/>
  <c r="AA256" i="3" s="1"/>
  <c r="AB256" i="3" s="1"/>
  <c r="AZ268" i="3"/>
  <c r="BA268" i="3" s="1"/>
  <c r="Z289" i="3"/>
  <c r="AA289" i="3" s="1"/>
  <c r="AB289" i="3" s="1"/>
  <c r="AZ290" i="3"/>
  <c r="BA290" i="3" s="1"/>
  <c r="AZ292" i="3"/>
  <c r="BA292" i="3" s="1"/>
  <c r="AZ294" i="3"/>
  <c r="BA294" i="3" s="1"/>
  <c r="Z297" i="3"/>
  <c r="AA297" i="3" s="1"/>
  <c r="AB297" i="3" s="1"/>
  <c r="Z319" i="3"/>
  <c r="AA319" i="3" s="1"/>
  <c r="AB319" i="3" s="1"/>
  <c r="Z314" i="3"/>
  <c r="AA314" i="3" s="1"/>
  <c r="AB314" i="3" s="1"/>
  <c r="AZ314" i="3"/>
  <c r="BA314" i="3" s="1"/>
  <c r="Z192" i="3"/>
  <c r="AA192" i="3" s="1"/>
  <c r="AB192" i="3" s="1"/>
  <c r="AZ194" i="3"/>
  <c r="BA194" i="3" s="1"/>
  <c r="AZ196" i="3"/>
  <c r="BA196" i="3" s="1"/>
  <c r="Z212" i="3"/>
  <c r="AA212" i="3" s="1"/>
  <c r="AB212" i="3" s="1"/>
  <c r="AZ224" i="3"/>
  <c r="BA224" i="3" s="1"/>
  <c r="AZ225" i="3"/>
  <c r="BA225" i="3" s="1"/>
  <c r="Z226" i="3"/>
  <c r="AA226" i="3" s="1"/>
  <c r="AB226" i="3" s="1"/>
  <c r="AZ258" i="3"/>
  <c r="BA258" i="3" s="1"/>
  <c r="Z261" i="3"/>
  <c r="AA261" i="3" s="1"/>
  <c r="AB261" i="3" s="1"/>
  <c r="AZ270" i="3"/>
  <c r="BA270" i="3" s="1"/>
  <c r="Z274" i="3"/>
  <c r="AA274" i="3" s="1"/>
  <c r="AB274" i="3" s="1"/>
  <c r="AZ274" i="3"/>
  <c r="BA274" i="3" s="1"/>
  <c r="AZ277" i="3"/>
  <c r="BA277" i="3" s="1"/>
  <c r="AZ283" i="3"/>
  <c r="BA283" i="3" s="1"/>
  <c r="AZ285" i="3"/>
  <c r="BA285" i="3" s="1"/>
  <c r="AZ287" i="3"/>
  <c r="BA287" i="3" s="1"/>
  <c r="AZ288" i="3"/>
  <c r="BA288" i="3" s="1"/>
  <c r="AZ291" i="3"/>
  <c r="BA291" i="3" s="1"/>
  <c r="AZ293" i="3"/>
  <c r="BA293" i="3" s="1"/>
  <c r="AZ295" i="3"/>
  <c r="BA295" i="3" s="1"/>
  <c r="Z299" i="3"/>
  <c r="AA299" i="3" s="1"/>
  <c r="AB299" i="3" s="1"/>
  <c r="Z305" i="3"/>
  <c r="AA305" i="3" s="1"/>
  <c r="AB305" i="3" s="1"/>
  <c r="Z312" i="3"/>
  <c r="AA312" i="3" s="1"/>
  <c r="AB312" i="3" s="1"/>
  <c r="Z318" i="3"/>
  <c r="AA318" i="3" s="1"/>
  <c r="AB318" i="3" s="1"/>
  <c r="AZ318" i="3"/>
  <c r="BA318" i="3" s="1"/>
  <c r="Z30" i="3"/>
  <c r="AA30" i="3" s="1"/>
  <c r="AB30" i="3" s="1"/>
  <c r="Z60" i="3"/>
  <c r="AA60" i="3" s="1"/>
  <c r="AB60" i="3" s="1"/>
  <c r="AZ104" i="3"/>
  <c r="BA104" i="3" s="1"/>
  <c r="Z122" i="3"/>
  <c r="AA122" i="3" s="1"/>
  <c r="AB122" i="3" s="1"/>
  <c r="Z125" i="3"/>
  <c r="AA125" i="3" s="1"/>
  <c r="AB125" i="3" s="1"/>
  <c r="Z39" i="3"/>
  <c r="AA39" i="3" s="1"/>
  <c r="AB39" i="3" s="1"/>
  <c r="Z61" i="3"/>
  <c r="AA61" i="3" s="1"/>
  <c r="AB61" i="3" s="1"/>
  <c r="Z36" i="3"/>
  <c r="AA36" i="3" s="1"/>
  <c r="AB36" i="3" s="1"/>
  <c r="Z64" i="3"/>
  <c r="AA64" i="3" s="1"/>
  <c r="AB64" i="3" s="1"/>
  <c r="Z67" i="3"/>
  <c r="AA67" i="3" s="1"/>
  <c r="AB67" i="3" s="1"/>
  <c r="Z38" i="3"/>
  <c r="AA38" i="3" s="1"/>
  <c r="AB38" i="3" s="1"/>
  <c r="Z62" i="3"/>
  <c r="AA62" i="3" s="1"/>
  <c r="AB62" i="3" s="1"/>
  <c r="AZ64" i="3"/>
  <c r="BA64" i="3" s="1"/>
  <c r="Z124" i="3"/>
  <c r="AA124" i="3" s="1"/>
  <c r="AB124" i="3" s="1"/>
  <c r="Z82" i="3"/>
  <c r="AA82" i="3" s="1"/>
  <c r="AB82" i="3" s="1"/>
  <c r="Z101" i="3"/>
  <c r="AA101" i="3" s="1"/>
  <c r="AB101" i="3" s="1"/>
  <c r="Z186" i="3"/>
  <c r="AA186" i="3" s="1"/>
  <c r="AB186" i="3" s="1"/>
  <c r="AZ77" i="3"/>
  <c r="BA77" i="3" s="1"/>
  <c r="AZ130" i="3"/>
  <c r="BA130" i="3" s="1"/>
  <c r="Z87" i="3"/>
  <c r="AA87" i="3" s="1"/>
  <c r="AB87" i="3" s="1"/>
  <c r="AZ108" i="3"/>
  <c r="BA108" i="3" s="1"/>
  <c r="Z126" i="3"/>
  <c r="AA126" i="3" s="1"/>
  <c r="AB126" i="3" s="1"/>
  <c r="Z135" i="3"/>
  <c r="AA135" i="3" s="1"/>
  <c r="AB135" i="3" s="1"/>
  <c r="Z81" i="3"/>
  <c r="AA81" i="3" s="1"/>
  <c r="AB81" i="3" s="1"/>
  <c r="Z133" i="3"/>
  <c r="AA133" i="3" s="1"/>
  <c r="AB133" i="3" s="1"/>
  <c r="AZ114" i="3"/>
  <c r="BA114" i="3" s="1"/>
  <c r="AZ117" i="3"/>
  <c r="BA117" i="3" s="1"/>
  <c r="AZ132" i="3"/>
  <c r="BA132" i="3" s="1"/>
  <c r="AZ116" i="3"/>
  <c r="BA116" i="3" s="1"/>
  <c r="AZ118" i="3"/>
  <c r="BA118" i="3" s="1"/>
  <c r="AZ139" i="3"/>
  <c r="BA139" i="3" s="1"/>
  <c r="AZ141" i="3"/>
  <c r="BA141" i="3" s="1"/>
  <c r="AZ164" i="3"/>
  <c r="BA164" i="3" s="1"/>
  <c r="AZ169" i="3"/>
  <c r="BA169" i="3" s="1"/>
  <c r="AZ85" i="3"/>
  <c r="BA85" i="3" s="1"/>
  <c r="AZ87" i="3"/>
  <c r="BA87" i="3" s="1"/>
  <c r="Z88" i="3"/>
  <c r="AA88" i="3" s="1"/>
  <c r="AB88" i="3" s="1"/>
  <c r="Z155" i="3"/>
  <c r="AA155" i="3" s="1"/>
  <c r="AB155" i="3" s="1"/>
  <c r="AZ143" i="3"/>
  <c r="BA143" i="3" s="1"/>
  <c r="Z167" i="3"/>
  <c r="AA167" i="3" s="1"/>
  <c r="AB167" i="3" s="1"/>
  <c r="Z175" i="3"/>
  <c r="AA175" i="3" s="1"/>
  <c r="AB175" i="3" s="1"/>
  <c r="AZ140" i="3"/>
  <c r="BA140" i="3" s="1"/>
  <c r="AZ193" i="3"/>
  <c r="BA193" i="3" s="1"/>
  <c r="Z209" i="3"/>
  <c r="AA209" i="3" s="1"/>
  <c r="AB209" i="3" s="1"/>
  <c r="Z259" i="3"/>
  <c r="AA259" i="3" s="1"/>
  <c r="AB259" i="3" s="1"/>
  <c r="Z208" i="3"/>
  <c r="AA208" i="3" s="1"/>
  <c r="AB208" i="3" s="1"/>
  <c r="Z193" i="3"/>
  <c r="AA193" i="3" s="1"/>
  <c r="AB193" i="3" s="1"/>
  <c r="Z278" i="3"/>
  <c r="AA278" i="3" s="1"/>
  <c r="AB278" i="3" s="1"/>
  <c r="Z223" i="3"/>
  <c r="AA223" i="3" s="1"/>
  <c r="AB223" i="3" s="1"/>
  <c r="Z269" i="3"/>
  <c r="AA269" i="3" s="1"/>
  <c r="AB269" i="3" s="1"/>
  <c r="Z241" i="3"/>
  <c r="AA241" i="3" s="1"/>
  <c r="AB241" i="3" s="1"/>
  <c r="AZ241" i="3"/>
  <c r="BA241" i="3" s="1"/>
  <c r="AZ271" i="3"/>
  <c r="BA271" i="3" s="1"/>
  <c r="Z264" i="3"/>
  <c r="AA264" i="3" s="1"/>
  <c r="AB264" i="3" s="1"/>
  <c r="Z265" i="3"/>
  <c r="AA265" i="3" s="1"/>
  <c r="AB265" i="3" s="1"/>
  <c r="Z267" i="3"/>
  <c r="AA267" i="3" s="1"/>
  <c r="AB267" i="3" s="1"/>
  <c r="Z300" i="3"/>
  <c r="AA300" i="3" s="1"/>
  <c r="AB300" i="3" s="1"/>
  <c r="Z266" i="3"/>
  <c r="AA266" i="3" s="1"/>
  <c r="AB266" i="3" s="1"/>
  <c r="AZ267" i="3"/>
  <c r="BA267" i="3" s="1"/>
  <c r="Z271" i="3"/>
  <c r="AA271" i="3" s="1"/>
  <c r="AB271" i="3" s="1"/>
  <c r="Z275" i="3"/>
  <c r="AA275" i="3" s="1"/>
  <c r="AB275" i="3" s="1"/>
  <c r="AZ279" i="3"/>
  <c r="BA279" i="3" s="1"/>
  <c r="AZ282" i="3"/>
  <c r="BA282" i="3" s="1"/>
  <c r="AZ284" i="3"/>
  <c r="BA284" i="3" s="1"/>
  <c r="AZ286" i="3"/>
  <c r="BA286" i="3" s="1"/>
  <c r="AZ306" i="3"/>
  <c r="BA306" i="3" s="1"/>
  <c r="AZ307" i="3"/>
  <c r="BA307" i="3" s="1"/>
  <c r="AZ308" i="3"/>
  <c r="BA308" i="3" s="1"/>
  <c r="AZ309" i="3"/>
  <c r="BA309" i="3" s="1"/>
  <c r="AZ310" i="3"/>
  <c r="BA310" i="3" s="1"/>
  <c r="AZ311" i="3"/>
  <c r="BA311" i="3" s="1"/>
  <c r="F33" i="7"/>
  <c r="G33" i="7"/>
  <c r="CT4" i="1" s="1"/>
  <c r="CU4" i="1" s="1"/>
  <c r="CV4" i="1" s="1"/>
  <c r="H33" i="7"/>
  <c r="CT5" i="1" s="1"/>
  <c r="CU5" i="1" s="1"/>
  <c r="CV5" i="1" s="1"/>
  <c r="I33" i="7"/>
  <c r="CT6" i="1" s="1"/>
  <c r="CU6" i="1" s="1"/>
  <c r="CV6" i="1" s="1"/>
  <c r="BF184" i="1"/>
  <c r="E33" i="7"/>
  <c r="BE184" i="1"/>
  <c r="BH184" i="1" s="1"/>
  <c r="BI184" i="1" s="1"/>
  <c r="BS184" i="1"/>
  <c r="BU184" i="1" s="1"/>
  <c r="BV184" i="1" s="1"/>
  <c r="BW140" i="1" s="1"/>
  <c r="BX140" i="1" s="1"/>
  <c r="AH258" i="1"/>
  <c r="AI258" i="1" s="1"/>
  <c r="AJ258" i="1" s="1"/>
  <c r="AH141" i="1"/>
  <c r="AI141" i="1" s="1"/>
  <c r="AJ141" i="1" s="1"/>
  <c r="AH185" i="1"/>
  <c r="AI185" i="1" s="1"/>
  <c r="AJ185" i="1" s="1"/>
  <c r="AH63" i="1"/>
  <c r="AI63" i="1" s="1"/>
  <c r="AJ63" i="1" s="1"/>
  <c r="AH173" i="1"/>
  <c r="AI173" i="1" s="1"/>
  <c r="AJ173" i="1" s="1"/>
  <c r="AH135" i="1"/>
  <c r="AI135" i="1" s="1"/>
  <c r="AJ135" i="1" s="1"/>
  <c r="AH285" i="1"/>
  <c r="AI285" i="1" s="1"/>
  <c r="AJ285" i="1" s="1"/>
  <c r="AH57" i="1"/>
  <c r="AI57" i="1" s="1"/>
  <c r="AJ57" i="1" s="1"/>
  <c r="AH29" i="1"/>
  <c r="AI29" i="1" s="1"/>
  <c r="AJ29" i="1" s="1"/>
  <c r="AH161" i="1"/>
  <c r="AI161" i="1" s="1"/>
  <c r="AJ161" i="1" s="1"/>
  <c r="AH6" i="1"/>
  <c r="AI6" i="1" s="1"/>
  <c r="AJ6" i="1" s="1"/>
  <c r="AH13" i="1"/>
  <c r="AI13" i="1" s="1"/>
  <c r="AJ13" i="1" s="1"/>
  <c r="AH43" i="1"/>
  <c r="AI43" i="1" s="1"/>
  <c r="AJ43" i="1" s="1"/>
  <c r="AH162" i="1"/>
  <c r="AI162" i="1" s="1"/>
  <c r="AJ162" i="1" s="1"/>
  <c r="AH299" i="1"/>
  <c r="AI299" i="1" s="1"/>
  <c r="AJ299" i="1" s="1"/>
  <c r="AH42" i="1"/>
  <c r="AI42" i="1" s="1"/>
  <c r="AJ42" i="1" s="1"/>
  <c r="AH88" i="1"/>
  <c r="AI88" i="1" s="1"/>
  <c r="AJ88" i="1" s="1"/>
  <c r="AH124" i="1"/>
  <c r="AI124" i="1" s="1"/>
  <c r="AJ124" i="1" s="1"/>
  <c r="AH163" i="1"/>
  <c r="AI163" i="1" s="1"/>
  <c r="AJ163" i="1" s="1"/>
  <c r="AH211" i="1"/>
  <c r="AI211" i="1" s="1"/>
  <c r="AJ211" i="1" s="1"/>
  <c r="AH235" i="1"/>
  <c r="AI235" i="1" s="1"/>
  <c r="AJ235" i="1" s="1"/>
  <c r="AB251" i="1"/>
  <c r="AC251" i="1" s="1"/>
  <c r="AD251" i="1" s="1"/>
  <c r="AE251" i="1" s="1"/>
  <c r="AH2" i="1"/>
  <c r="AI2" i="1" s="1"/>
  <c r="AJ2" i="1" s="1"/>
  <c r="AH205" i="1"/>
  <c r="AI205" i="1" s="1"/>
  <c r="AJ205" i="1" s="1"/>
  <c r="AH118" i="1"/>
  <c r="AI118" i="1" s="1"/>
  <c r="AJ118" i="1" s="1"/>
  <c r="AH133" i="1"/>
  <c r="AI133" i="1" s="1"/>
  <c r="AJ133" i="1" s="1"/>
  <c r="AH181" i="1"/>
  <c r="AI181" i="1" s="1"/>
  <c r="AJ181" i="1" s="1"/>
  <c r="AH295" i="1"/>
  <c r="AI295" i="1" s="1"/>
  <c r="AJ295" i="1" s="1"/>
  <c r="AH25" i="1"/>
  <c r="AI25" i="1" s="1"/>
  <c r="AJ25" i="1" s="1"/>
  <c r="AH26" i="1"/>
  <c r="AI26" i="1" s="1"/>
  <c r="AJ26" i="1" s="1"/>
  <c r="AH203" i="1"/>
  <c r="AI203" i="1" s="1"/>
  <c r="AJ203" i="1" s="1"/>
  <c r="AH225" i="1"/>
  <c r="AI225" i="1" s="1"/>
  <c r="AJ225" i="1" s="1"/>
  <c r="AH11" i="1"/>
  <c r="AI11" i="1" s="1"/>
  <c r="AJ11" i="1" s="1"/>
  <c r="AH196" i="1"/>
  <c r="AI196" i="1" s="1"/>
  <c r="AJ196" i="1" s="1"/>
  <c r="AH182" i="1"/>
  <c r="AI182" i="1" s="1"/>
  <c r="AJ182" i="1" s="1"/>
  <c r="AH269" i="1"/>
  <c r="AI269" i="1" s="1"/>
  <c r="AJ269" i="1" s="1"/>
  <c r="AH287" i="1"/>
  <c r="AI287" i="1" s="1"/>
  <c r="AJ287" i="1" s="1"/>
  <c r="AH103" i="1"/>
  <c r="AI103" i="1" s="1"/>
  <c r="AJ103" i="1" s="1"/>
  <c r="AH129" i="1"/>
  <c r="AI129" i="1" s="1"/>
  <c r="AJ129" i="1" s="1"/>
  <c r="AH190" i="1"/>
  <c r="AI190" i="1" s="1"/>
  <c r="AJ190" i="1" s="1"/>
  <c r="AH239" i="1"/>
  <c r="AI239" i="1" s="1"/>
  <c r="AJ239" i="1" s="1"/>
  <c r="AH289" i="1"/>
  <c r="AI289" i="1" s="1"/>
  <c r="AJ289" i="1" s="1"/>
  <c r="AH297" i="1"/>
  <c r="AI297" i="1" s="1"/>
  <c r="AJ297" i="1" s="1"/>
  <c r="AH20" i="1"/>
  <c r="AI20" i="1" s="1"/>
  <c r="AJ20" i="1" s="1"/>
  <c r="AH70" i="1"/>
  <c r="AI70" i="1" s="1"/>
  <c r="AJ70" i="1" s="1"/>
  <c r="AH73" i="1"/>
  <c r="AI73" i="1" s="1"/>
  <c r="AJ73" i="1" s="1"/>
  <c r="AH202" i="1"/>
  <c r="AI202" i="1" s="1"/>
  <c r="AJ202" i="1" s="1"/>
  <c r="AH31" i="1"/>
  <c r="AI31" i="1" s="1"/>
  <c r="AJ31" i="1" s="1"/>
  <c r="AH34" i="1"/>
  <c r="AI34" i="1" s="1"/>
  <c r="AJ34" i="1" s="1"/>
  <c r="AH39" i="1"/>
  <c r="AI39" i="1" s="1"/>
  <c r="AJ39" i="1" s="1"/>
  <c r="AH30" i="1"/>
  <c r="AI30" i="1" s="1"/>
  <c r="AJ30" i="1" s="1"/>
  <c r="AH32" i="1"/>
  <c r="AI32" i="1" s="1"/>
  <c r="AJ32" i="1" s="1"/>
  <c r="AH79" i="1"/>
  <c r="AI79" i="1" s="1"/>
  <c r="AJ79" i="1" s="1"/>
  <c r="AH84" i="1"/>
  <c r="AI84" i="1" s="1"/>
  <c r="AJ84" i="1" s="1"/>
  <c r="AH9" i="1"/>
  <c r="AI9" i="1" s="1"/>
  <c r="AJ9" i="1" s="1"/>
  <c r="AH75" i="1"/>
  <c r="AI75" i="1" s="1"/>
  <c r="AJ75" i="1" s="1"/>
  <c r="AH28" i="1"/>
  <c r="AI28" i="1" s="1"/>
  <c r="AJ28" i="1" s="1"/>
  <c r="AH45" i="1"/>
  <c r="AI45" i="1" s="1"/>
  <c r="AJ45" i="1" s="1"/>
  <c r="AH65" i="1"/>
  <c r="AI65" i="1" s="1"/>
  <c r="AJ65" i="1" s="1"/>
  <c r="AH90" i="1"/>
  <c r="AI90" i="1" s="1"/>
  <c r="AJ90" i="1" s="1"/>
  <c r="AH109" i="1"/>
  <c r="AI109" i="1" s="1"/>
  <c r="AJ109" i="1" s="1"/>
  <c r="AH114" i="1"/>
  <c r="AI114" i="1" s="1"/>
  <c r="AJ114" i="1" s="1"/>
  <c r="AH188" i="1"/>
  <c r="AI188" i="1" s="1"/>
  <c r="AJ188" i="1" s="1"/>
  <c r="AH248" i="1"/>
  <c r="AI248" i="1" s="1"/>
  <c r="AJ248" i="1" s="1"/>
  <c r="AH284" i="1"/>
  <c r="AI284" i="1" s="1"/>
  <c r="AJ284" i="1" s="1"/>
  <c r="AH311" i="1"/>
  <c r="AI311" i="1" s="1"/>
  <c r="AJ311" i="1" s="1"/>
  <c r="AH127" i="1"/>
  <c r="AI127" i="1" s="1"/>
  <c r="AJ127" i="1" s="1"/>
  <c r="AH137" i="1"/>
  <c r="AI137" i="1" s="1"/>
  <c r="AJ137" i="1" s="1"/>
  <c r="AH148" i="1"/>
  <c r="AI148" i="1" s="1"/>
  <c r="AJ148" i="1" s="1"/>
  <c r="AH152" i="1"/>
  <c r="AI152" i="1" s="1"/>
  <c r="AJ152" i="1" s="1"/>
  <c r="AH156" i="1"/>
  <c r="AI156" i="1" s="1"/>
  <c r="AJ156" i="1" s="1"/>
  <c r="AH166" i="1"/>
  <c r="AI166" i="1" s="1"/>
  <c r="AJ166" i="1" s="1"/>
  <c r="AH197" i="1"/>
  <c r="AI197" i="1" s="1"/>
  <c r="AJ197" i="1" s="1"/>
  <c r="AH199" i="1"/>
  <c r="AI199" i="1" s="1"/>
  <c r="AJ199" i="1" s="1"/>
  <c r="AH217" i="1"/>
  <c r="AI217" i="1" s="1"/>
  <c r="AJ217" i="1" s="1"/>
  <c r="AH236" i="1"/>
  <c r="AI236" i="1" s="1"/>
  <c r="AJ236" i="1" s="1"/>
  <c r="AH273" i="1"/>
  <c r="AI273" i="1" s="1"/>
  <c r="AJ273" i="1" s="1"/>
  <c r="AH274" i="1"/>
  <c r="AI274" i="1" s="1"/>
  <c r="AJ274" i="1" s="1"/>
  <c r="AH317" i="1"/>
  <c r="AI317" i="1" s="1"/>
  <c r="AJ317" i="1" s="1"/>
  <c r="AH321" i="1"/>
  <c r="AI321" i="1" s="1"/>
  <c r="AJ321" i="1" s="1"/>
  <c r="AH174" i="1"/>
  <c r="AI174" i="1" s="1"/>
  <c r="AJ174" i="1" s="1"/>
  <c r="AH232" i="1"/>
  <c r="AI232" i="1" s="1"/>
  <c r="AJ232" i="1" s="1"/>
  <c r="AH115" i="1"/>
  <c r="AI115" i="1" s="1"/>
  <c r="AJ115" i="1" s="1"/>
  <c r="AH125" i="1"/>
  <c r="AI125" i="1" s="1"/>
  <c r="AJ125" i="1" s="1"/>
  <c r="AH167" i="1"/>
  <c r="AI167" i="1" s="1"/>
  <c r="AJ167" i="1" s="1"/>
  <c r="AH187" i="1"/>
  <c r="AI187" i="1" s="1"/>
  <c r="AJ187" i="1" s="1"/>
  <c r="AH209" i="1"/>
  <c r="AI209" i="1" s="1"/>
  <c r="AJ209" i="1" s="1"/>
  <c r="AH218" i="1"/>
  <c r="AI218" i="1" s="1"/>
  <c r="AJ218" i="1" s="1"/>
  <c r="AH254" i="1"/>
  <c r="AI254" i="1" s="1"/>
  <c r="AJ254" i="1" s="1"/>
  <c r="AH291" i="1"/>
  <c r="AI291" i="1" s="1"/>
  <c r="AJ291" i="1" s="1"/>
  <c r="AH105" i="1"/>
  <c r="AI105" i="1" s="1"/>
  <c r="AJ105" i="1" s="1"/>
  <c r="AH138" i="1"/>
  <c r="AI138" i="1" s="1"/>
  <c r="AJ138" i="1" s="1"/>
  <c r="AH140" i="1"/>
  <c r="AI140" i="1" s="1"/>
  <c r="AJ140" i="1" s="1"/>
  <c r="AH155" i="1"/>
  <c r="AI155" i="1" s="1"/>
  <c r="AJ155" i="1" s="1"/>
  <c r="AH158" i="1"/>
  <c r="AI158" i="1" s="1"/>
  <c r="AJ158" i="1" s="1"/>
  <c r="AH160" i="1"/>
  <c r="AI160" i="1" s="1"/>
  <c r="AJ160" i="1" s="1"/>
  <c r="AH177" i="1"/>
  <c r="AI177" i="1" s="1"/>
  <c r="AJ177" i="1" s="1"/>
  <c r="AH214" i="1"/>
  <c r="AI214" i="1" s="1"/>
  <c r="AJ214" i="1" s="1"/>
  <c r="AH238" i="1"/>
  <c r="AI238" i="1" s="1"/>
  <c r="AJ238" i="1" s="1"/>
  <c r="AH253" i="1"/>
  <c r="AI253" i="1" s="1"/>
  <c r="AJ253" i="1" s="1"/>
  <c r="AH74" i="1"/>
  <c r="AI74" i="1" s="1"/>
  <c r="AJ74" i="1" s="1"/>
  <c r="AH78" i="1"/>
  <c r="AI78" i="1" s="1"/>
  <c r="AJ78" i="1" s="1"/>
  <c r="AH85" i="1"/>
  <c r="AI85" i="1" s="1"/>
  <c r="AJ85" i="1" s="1"/>
  <c r="AH107" i="1"/>
  <c r="AI107" i="1" s="1"/>
  <c r="AJ107" i="1" s="1"/>
  <c r="AH24" i="1"/>
  <c r="AI24" i="1" s="1"/>
  <c r="AJ24" i="1" s="1"/>
  <c r="AH33" i="1"/>
  <c r="AI33" i="1" s="1"/>
  <c r="AJ33" i="1" s="1"/>
  <c r="AH64" i="1"/>
  <c r="AI64" i="1" s="1"/>
  <c r="AJ64" i="1" s="1"/>
  <c r="AH72" i="1"/>
  <c r="AI72" i="1" s="1"/>
  <c r="AJ72" i="1" s="1"/>
  <c r="AH89" i="1"/>
  <c r="AI89" i="1" s="1"/>
  <c r="AJ89" i="1" s="1"/>
  <c r="AH101" i="1"/>
  <c r="AI101" i="1" s="1"/>
  <c r="AJ101" i="1" s="1"/>
  <c r="AH17" i="1"/>
  <c r="AI17" i="1" s="1"/>
  <c r="AJ17" i="1" s="1"/>
  <c r="AH19" i="1"/>
  <c r="AI19" i="1" s="1"/>
  <c r="AJ19" i="1" s="1"/>
  <c r="AH27" i="1"/>
  <c r="AI27" i="1" s="1"/>
  <c r="AJ27" i="1" s="1"/>
  <c r="AH40" i="1"/>
  <c r="AI40" i="1" s="1"/>
  <c r="AJ40" i="1" s="1"/>
  <c r="AH52" i="1"/>
  <c r="AI52" i="1" s="1"/>
  <c r="AJ52" i="1" s="1"/>
  <c r="AH58" i="1"/>
  <c r="AI58" i="1" s="1"/>
  <c r="AJ58" i="1" s="1"/>
  <c r="AH80" i="1"/>
  <c r="AI80" i="1" s="1"/>
  <c r="AJ80" i="1" s="1"/>
  <c r="AH91" i="1"/>
  <c r="AI91" i="1" s="1"/>
  <c r="AJ91" i="1" s="1"/>
  <c r="AH99" i="1"/>
  <c r="AI99" i="1" s="1"/>
  <c r="AJ99" i="1" s="1"/>
  <c r="AH111" i="1"/>
  <c r="AI111" i="1" s="1"/>
  <c r="AJ111" i="1" s="1"/>
  <c r="AH56" i="1"/>
  <c r="AI56" i="1" s="1"/>
  <c r="AJ56" i="1" s="1"/>
  <c r="AH97" i="1"/>
  <c r="AI97" i="1" s="1"/>
  <c r="AJ97" i="1" s="1"/>
  <c r="AH47" i="1"/>
  <c r="AI47" i="1" s="1"/>
  <c r="AJ47" i="1" s="1"/>
  <c r="AH61" i="1"/>
  <c r="AI61" i="1" s="1"/>
  <c r="AJ61" i="1" s="1"/>
  <c r="AH76" i="1"/>
  <c r="AI76" i="1" s="1"/>
  <c r="AJ76" i="1" s="1"/>
  <c r="AH81" i="1"/>
  <c r="AI81" i="1" s="1"/>
  <c r="AJ81" i="1" s="1"/>
  <c r="AH92" i="1"/>
  <c r="AI92" i="1" s="1"/>
  <c r="AJ92" i="1" s="1"/>
  <c r="AH102" i="1"/>
  <c r="AI102" i="1" s="1"/>
  <c r="AJ102" i="1" s="1"/>
  <c r="AH112" i="1"/>
  <c r="AI112" i="1" s="1"/>
  <c r="AJ112" i="1" s="1"/>
  <c r="AH116" i="1"/>
  <c r="AI116" i="1" s="1"/>
  <c r="AJ116" i="1" s="1"/>
  <c r="AH126" i="1"/>
  <c r="AI126" i="1" s="1"/>
  <c r="AJ126" i="1" s="1"/>
  <c r="AH131" i="1"/>
  <c r="AI131" i="1" s="1"/>
  <c r="AJ131" i="1" s="1"/>
  <c r="AH168" i="1"/>
  <c r="AI168" i="1" s="1"/>
  <c r="AJ168" i="1" s="1"/>
  <c r="AH216" i="1"/>
  <c r="AI216" i="1" s="1"/>
  <c r="AJ216" i="1" s="1"/>
  <c r="AH237" i="1"/>
  <c r="AI237" i="1" s="1"/>
  <c r="AJ237" i="1" s="1"/>
  <c r="AH292" i="1"/>
  <c r="AI292" i="1" s="1"/>
  <c r="AJ292" i="1" s="1"/>
  <c r="AH294" i="1"/>
  <c r="AI294" i="1" s="1"/>
  <c r="AJ294" i="1" s="1"/>
  <c r="AH164" i="1"/>
  <c r="AI164" i="1" s="1"/>
  <c r="AJ164" i="1" s="1"/>
  <c r="AH170" i="1"/>
  <c r="AI170" i="1" s="1"/>
  <c r="AJ170" i="1" s="1"/>
  <c r="AH200" i="1"/>
  <c r="AI200" i="1" s="1"/>
  <c r="AJ200" i="1" s="1"/>
  <c r="AH241" i="1"/>
  <c r="AI241" i="1" s="1"/>
  <c r="AJ241" i="1" s="1"/>
  <c r="AH252" i="1"/>
  <c r="AI252" i="1" s="1"/>
  <c r="AJ252" i="1" s="1"/>
  <c r="AH272" i="1"/>
  <c r="AI272" i="1" s="1"/>
  <c r="AJ272" i="1" s="1"/>
  <c r="AH301" i="1"/>
  <c r="AI301" i="1" s="1"/>
  <c r="AJ301" i="1" s="1"/>
  <c r="AH121" i="1"/>
  <c r="AI121" i="1" s="1"/>
  <c r="AJ121" i="1" s="1"/>
  <c r="AH130" i="1"/>
  <c r="AI130" i="1" s="1"/>
  <c r="AJ130" i="1" s="1"/>
  <c r="AH139" i="1"/>
  <c r="AI139" i="1" s="1"/>
  <c r="AJ139" i="1" s="1"/>
  <c r="AH157" i="1"/>
  <c r="AI157" i="1" s="1"/>
  <c r="AJ157" i="1" s="1"/>
  <c r="AH169" i="1"/>
  <c r="AI169" i="1" s="1"/>
  <c r="AJ169" i="1" s="1"/>
  <c r="AH175" i="1"/>
  <c r="AI175" i="1" s="1"/>
  <c r="AJ175" i="1" s="1"/>
  <c r="AH189" i="1"/>
  <c r="AI189" i="1" s="1"/>
  <c r="AJ189" i="1" s="1"/>
  <c r="AH231" i="1"/>
  <c r="AI231" i="1" s="1"/>
  <c r="AJ231" i="1" s="1"/>
  <c r="AH242" i="1"/>
  <c r="AI242" i="1" s="1"/>
  <c r="AJ242" i="1" s="1"/>
  <c r="AH266" i="1"/>
  <c r="AI266" i="1" s="1"/>
  <c r="AJ266" i="1" s="1"/>
  <c r="AH267" i="1"/>
  <c r="AI267" i="1" s="1"/>
  <c r="AJ267" i="1" s="1"/>
  <c r="AH286" i="1"/>
  <c r="AI286" i="1" s="1"/>
  <c r="AJ286" i="1" s="1"/>
  <c r="AH159" i="1"/>
  <c r="AI159" i="1" s="1"/>
  <c r="AJ159" i="1" s="1"/>
  <c r="AH192" i="1"/>
  <c r="AI192" i="1" s="1"/>
  <c r="AJ192" i="1" s="1"/>
  <c r="AH221" i="1"/>
  <c r="AI221" i="1" s="1"/>
  <c r="AJ221" i="1" s="1"/>
  <c r="AH262" i="1"/>
  <c r="AI262" i="1" s="1"/>
  <c r="AJ262" i="1" s="1"/>
  <c r="AH302" i="1"/>
  <c r="AI302" i="1" s="1"/>
  <c r="AJ302" i="1" s="1"/>
  <c r="AH171" i="1"/>
  <c r="AI171" i="1" s="1"/>
  <c r="AJ171" i="1" s="1"/>
  <c r="AH195" i="1"/>
  <c r="AI195" i="1" s="1"/>
  <c r="AJ195" i="1" s="1"/>
  <c r="AH219" i="1"/>
  <c r="AI219" i="1" s="1"/>
  <c r="AJ219" i="1" s="1"/>
  <c r="AH246" i="1"/>
  <c r="AI246" i="1" s="1"/>
  <c r="AJ246" i="1" s="1"/>
  <c r="AH281" i="1"/>
  <c r="AI281" i="1" s="1"/>
  <c r="AJ281" i="1" s="1"/>
  <c r="AH151" i="1"/>
  <c r="AI151" i="1" s="1"/>
  <c r="AJ151" i="1" s="1"/>
  <c r="AH180" i="1"/>
  <c r="AI180" i="1" s="1"/>
  <c r="AJ180" i="1" s="1"/>
  <c r="AH194" i="1"/>
  <c r="AI194" i="1" s="1"/>
  <c r="AJ194" i="1" s="1"/>
  <c r="AH222" i="1"/>
  <c r="AI222" i="1" s="1"/>
  <c r="AJ222" i="1" s="1"/>
  <c r="AH226" i="1"/>
  <c r="AI226" i="1" s="1"/>
  <c r="AJ226" i="1" s="1"/>
  <c r="AH271" i="1"/>
  <c r="AI271" i="1" s="1"/>
  <c r="AJ271" i="1" s="1"/>
  <c r="AH290" i="1"/>
  <c r="AI290" i="1" s="1"/>
  <c r="AJ290" i="1" s="1"/>
  <c r="AH298" i="1"/>
  <c r="AI298" i="1" s="1"/>
  <c r="AJ298" i="1" s="1"/>
  <c r="AH314" i="1"/>
  <c r="AI314" i="1" s="1"/>
  <c r="AJ314" i="1" s="1"/>
  <c r="AH7" i="1"/>
  <c r="AI7" i="1" s="1"/>
  <c r="AJ7" i="1" s="1"/>
  <c r="AH12" i="1"/>
  <c r="AI12" i="1" s="1"/>
  <c r="AJ12" i="1" s="1"/>
  <c r="AH35" i="1"/>
  <c r="AI35" i="1" s="1"/>
  <c r="AJ35" i="1" s="1"/>
  <c r="AH95" i="1"/>
  <c r="AI95" i="1" s="1"/>
  <c r="AJ95" i="1" s="1"/>
  <c r="AH4" i="1"/>
  <c r="AI4" i="1" s="1"/>
  <c r="AJ4" i="1" s="1"/>
  <c r="AH5" i="1"/>
  <c r="AI5" i="1" s="1"/>
  <c r="AJ5" i="1" s="1"/>
  <c r="AH8" i="1"/>
  <c r="AI8" i="1" s="1"/>
  <c r="AJ8" i="1" s="1"/>
  <c r="AH10" i="1"/>
  <c r="AI10" i="1" s="1"/>
  <c r="AJ10" i="1" s="1"/>
  <c r="AH23" i="1"/>
  <c r="AI23" i="1" s="1"/>
  <c r="AJ23" i="1" s="1"/>
  <c r="AH67" i="1"/>
  <c r="AI67" i="1" s="1"/>
  <c r="AJ67" i="1" s="1"/>
  <c r="AH15" i="1"/>
  <c r="AI15" i="1" s="1"/>
  <c r="AJ15" i="1" s="1"/>
  <c r="AH50" i="1"/>
  <c r="AI50" i="1" s="1"/>
  <c r="AJ50" i="1" s="1"/>
  <c r="AH22" i="1"/>
  <c r="AI22" i="1" s="1"/>
  <c r="AJ22" i="1" s="1"/>
  <c r="AH106" i="1"/>
  <c r="AI106" i="1" s="1"/>
  <c r="AJ106" i="1" s="1"/>
  <c r="AH16" i="1"/>
  <c r="AI16" i="1" s="1"/>
  <c r="AJ16" i="1" s="1"/>
  <c r="AH18" i="1"/>
  <c r="AI18" i="1" s="1"/>
  <c r="AJ18" i="1" s="1"/>
  <c r="AH37" i="1"/>
  <c r="AI37" i="1" s="1"/>
  <c r="AJ37" i="1" s="1"/>
  <c r="AH41" i="1"/>
  <c r="AI41" i="1" s="1"/>
  <c r="AJ41" i="1" s="1"/>
  <c r="AH44" i="1"/>
  <c r="AI44" i="1" s="1"/>
  <c r="AJ44" i="1" s="1"/>
  <c r="AH62" i="1"/>
  <c r="AI62" i="1" s="1"/>
  <c r="AJ62" i="1" s="1"/>
  <c r="AH77" i="1"/>
  <c r="AI77" i="1" s="1"/>
  <c r="AJ77" i="1" s="1"/>
  <c r="AH82" i="1"/>
  <c r="AI82" i="1" s="1"/>
  <c r="AJ82" i="1" s="1"/>
  <c r="AH86" i="1"/>
  <c r="AI86" i="1" s="1"/>
  <c r="AJ86" i="1" s="1"/>
  <c r="AH96" i="1"/>
  <c r="AI96" i="1" s="1"/>
  <c r="AJ96" i="1" s="1"/>
  <c r="AH220" i="1"/>
  <c r="AI220" i="1" s="1"/>
  <c r="AJ220" i="1" s="1"/>
  <c r="AH46" i="1"/>
  <c r="AI46" i="1" s="1"/>
  <c r="AJ46" i="1" s="1"/>
  <c r="AH54" i="1"/>
  <c r="AI54" i="1" s="1"/>
  <c r="AJ54" i="1" s="1"/>
  <c r="AH55" i="1"/>
  <c r="AI55" i="1" s="1"/>
  <c r="AJ55" i="1" s="1"/>
  <c r="AH66" i="1"/>
  <c r="AI66" i="1" s="1"/>
  <c r="AJ66" i="1" s="1"/>
  <c r="AH69" i="1"/>
  <c r="AI69" i="1" s="1"/>
  <c r="AJ69" i="1" s="1"/>
  <c r="AH104" i="1"/>
  <c r="AI104" i="1" s="1"/>
  <c r="AJ104" i="1" s="1"/>
  <c r="AH14" i="1"/>
  <c r="AI14" i="1" s="1"/>
  <c r="AJ14" i="1" s="1"/>
  <c r="AH38" i="1"/>
  <c r="AI38" i="1" s="1"/>
  <c r="AJ38" i="1" s="1"/>
  <c r="AH59" i="1"/>
  <c r="AI59" i="1" s="1"/>
  <c r="AJ59" i="1" s="1"/>
  <c r="AH117" i="1"/>
  <c r="AI117" i="1" s="1"/>
  <c r="AJ117" i="1" s="1"/>
  <c r="AH3" i="1"/>
  <c r="AI3" i="1" s="1"/>
  <c r="AJ3" i="1" s="1"/>
  <c r="AH21" i="1"/>
  <c r="AI21" i="1" s="1"/>
  <c r="AJ21" i="1" s="1"/>
  <c r="AH48" i="1"/>
  <c r="AI48" i="1" s="1"/>
  <c r="AJ48" i="1" s="1"/>
  <c r="AH49" i="1"/>
  <c r="AI49" i="1" s="1"/>
  <c r="AJ49" i="1" s="1"/>
  <c r="AH51" i="1"/>
  <c r="AI51" i="1" s="1"/>
  <c r="AJ51" i="1" s="1"/>
  <c r="AH53" i="1"/>
  <c r="AI53" i="1" s="1"/>
  <c r="AJ53" i="1" s="1"/>
  <c r="AH60" i="1"/>
  <c r="AI60" i="1" s="1"/>
  <c r="AJ60" i="1" s="1"/>
  <c r="AH68" i="1"/>
  <c r="AI68" i="1" s="1"/>
  <c r="AJ68" i="1" s="1"/>
  <c r="AH71" i="1"/>
  <c r="AI71" i="1" s="1"/>
  <c r="AJ71" i="1" s="1"/>
  <c r="AH98" i="1"/>
  <c r="AI98" i="1" s="1"/>
  <c r="AJ98" i="1" s="1"/>
  <c r="AH108" i="1"/>
  <c r="AI108" i="1" s="1"/>
  <c r="AJ108" i="1" s="1"/>
  <c r="BH168" i="1"/>
  <c r="BI168" i="1" s="1"/>
  <c r="BK220" i="1" s="1"/>
  <c r="BL220" i="1" s="1"/>
  <c r="BM220" i="1" s="1"/>
  <c r="BN220" i="1" s="1"/>
  <c r="AH110" i="1"/>
  <c r="AI110" i="1" s="1"/>
  <c r="AJ110" i="1" s="1"/>
  <c r="AH120" i="1"/>
  <c r="AI120" i="1" s="1"/>
  <c r="AJ120" i="1" s="1"/>
  <c r="AH132" i="1"/>
  <c r="AI132" i="1" s="1"/>
  <c r="AJ132" i="1" s="1"/>
  <c r="AH142" i="1"/>
  <c r="AI142" i="1" s="1"/>
  <c r="AJ142" i="1" s="1"/>
  <c r="AH134" i="1"/>
  <c r="AI134" i="1" s="1"/>
  <c r="AJ134" i="1" s="1"/>
  <c r="AH136" i="1"/>
  <c r="AI136" i="1" s="1"/>
  <c r="AJ136" i="1" s="1"/>
  <c r="AH147" i="1"/>
  <c r="AI147" i="1" s="1"/>
  <c r="AJ147" i="1" s="1"/>
  <c r="AH150" i="1"/>
  <c r="AI150" i="1" s="1"/>
  <c r="AJ150" i="1" s="1"/>
  <c r="AH183" i="1"/>
  <c r="AI183" i="1" s="1"/>
  <c r="AJ183" i="1" s="1"/>
  <c r="AH257" i="1"/>
  <c r="AI257" i="1" s="1"/>
  <c r="AJ257" i="1" s="1"/>
  <c r="AH100" i="1"/>
  <c r="AI100" i="1" s="1"/>
  <c r="AJ100" i="1" s="1"/>
  <c r="AH119" i="1"/>
  <c r="AI119" i="1" s="1"/>
  <c r="AJ119" i="1" s="1"/>
  <c r="AH122" i="1"/>
  <c r="AI122" i="1" s="1"/>
  <c r="AJ122" i="1" s="1"/>
  <c r="AH128" i="1"/>
  <c r="AI128" i="1" s="1"/>
  <c r="AJ128" i="1" s="1"/>
  <c r="AH153" i="1"/>
  <c r="AI153" i="1" s="1"/>
  <c r="AJ153" i="1" s="1"/>
  <c r="AH123" i="1"/>
  <c r="AI123" i="1" s="1"/>
  <c r="AJ123" i="1" s="1"/>
  <c r="AH230" i="1"/>
  <c r="AI230" i="1" s="1"/>
  <c r="AJ230" i="1" s="1"/>
  <c r="AF282" i="1"/>
  <c r="AB282" i="1"/>
  <c r="AC282" i="1" s="1"/>
  <c r="AD282" i="1" s="1"/>
  <c r="AE282" i="1" s="1"/>
  <c r="AG282" i="1"/>
  <c r="AH251" i="1"/>
  <c r="AI251" i="1" s="1"/>
  <c r="AJ251" i="1" s="1"/>
  <c r="AH270" i="1"/>
  <c r="AI270" i="1" s="1"/>
  <c r="AJ270" i="1" s="1"/>
  <c r="AH198" i="1"/>
  <c r="AI198" i="1" s="1"/>
  <c r="AJ198" i="1" s="1"/>
  <c r="AH245" i="1"/>
  <c r="AI245" i="1" s="1"/>
  <c r="AJ245" i="1" s="1"/>
  <c r="AH256" i="1"/>
  <c r="AI256" i="1" s="1"/>
  <c r="AJ256" i="1" s="1"/>
  <c r="AH322" i="1"/>
  <c r="AI322" i="1" s="1"/>
  <c r="AJ322" i="1" s="1"/>
  <c r="AH145" i="1"/>
  <c r="AI145" i="1" s="1"/>
  <c r="AJ145" i="1" s="1"/>
  <c r="AH268" i="1"/>
  <c r="AI268" i="1" s="1"/>
  <c r="AJ268" i="1" s="1"/>
  <c r="AH172" i="1"/>
  <c r="AI172" i="1" s="1"/>
  <c r="AJ172" i="1" s="1"/>
  <c r="AH184" i="1"/>
  <c r="AI184" i="1" s="1"/>
  <c r="AJ184" i="1" s="1"/>
  <c r="AH210" i="1"/>
  <c r="AI210" i="1" s="1"/>
  <c r="AJ210" i="1" s="1"/>
  <c r="AH224" i="1"/>
  <c r="AI224" i="1" s="1"/>
  <c r="AJ224" i="1" s="1"/>
  <c r="AH234" i="1"/>
  <c r="AI234" i="1" s="1"/>
  <c r="AJ234" i="1" s="1"/>
  <c r="AH260" i="1"/>
  <c r="AI260" i="1" s="1"/>
  <c r="AJ260" i="1" s="1"/>
  <c r="AH315" i="1"/>
  <c r="AI315" i="1" s="1"/>
  <c r="AJ315" i="1" s="1"/>
  <c r="AH320" i="1"/>
  <c r="AI320" i="1" s="1"/>
  <c r="AJ320" i="1" s="1"/>
  <c r="AH204" i="1"/>
  <c r="AI204" i="1" s="1"/>
  <c r="AJ204" i="1" s="1"/>
  <c r="AH206" i="1"/>
  <c r="AI206" i="1" s="1"/>
  <c r="AJ206" i="1" s="1"/>
  <c r="AH207" i="1"/>
  <c r="AI207" i="1" s="1"/>
  <c r="AJ207" i="1" s="1"/>
  <c r="AH208" i="1"/>
  <c r="AI208" i="1" s="1"/>
  <c r="AJ208" i="1" s="1"/>
  <c r="AH227" i="1"/>
  <c r="AI227" i="1" s="1"/>
  <c r="AJ227" i="1" s="1"/>
  <c r="AH240" i="1"/>
  <c r="AI240" i="1" s="1"/>
  <c r="AJ240" i="1" s="1"/>
  <c r="AH249" i="1"/>
  <c r="AI249" i="1" s="1"/>
  <c r="AJ249" i="1" s="1"/>
  <c r="AH143" i="1"/>
  <c r="AI143" i="1" s="1"/>
  <c r="AJ143" i="1" s="1"/>
  <c r="AH144" i="1"/>
  <c r="AI144" i="1" s="1"/>
  <c r="AJ144" i="1" s="1"/>
  <c r="AH149" i="1"/>
  <c r="AI149" i="1" s="1"/>
  <c r="AJ149" i="1" s="1"/>
  <c r="AH178" i="1"/>
  <c r="AI178" i="1" s="1"/>
  <c r="AJ178" i="1" s="1"/>
  <c r="AH193" i="1"/>
  <c r="AI193" i="1" s="1"/>
  <c r="AJ193" i="1" s="1"/>
  <c r="AH300" i="1"/>
  <c r="AI300" i="1" s="1"/>
  <c r="AJ300" i="1" s="1"/>
  <c r="AH308" i="1"/>
  <c r="AI308" i="1" s="1"/>
  <c r="AJ308" i="1" s="1"/>
  <c r="AH223" i="1"/>
  <c r="AI223" i="1" s="1"/>
  <c r="AJ223" i="1" s="1"/>
  <c r="AH243" i="1"/>
  <c r="AI243" i="1" s="1"/>
  <c r="AJ243" i="1" s="1"/>
  <c r="AH247" i="1"/>
  <c r="AI247" i="1" s="1"/>
  <c r="AJ247" i="1" s="1"/>
  <c r="AB280" i="1"/>
  <c r="AC280" i="1" s="1"/>
  <c r="AD280" i="1" s="1"/>
  <c r="AE280" i="1" s="1"/>
  <c r="AF280" i="1"/>
  <c r="AG280" i="1"/>
  <c r="AH303" i="1"/>
  <c r="AI303" i="1" s="1"/>
  <c r="AJ303" i="1" s="1"/>
  <c r="AH313" i="1"/>
  <c r="AI313" i="1" s="1"/>
  <c r="AJ313" i="1" s="1"/>
  <c r="AH179" i="1"/>
  <c r="AI179" i="1" s="1"/>
  <c r="AJ179" i="1" s="1"/>
  <c r="AH186" i="1"/>
  <c r="AI186" i="1" s="1"/>
  <c r="AJ186" i="1" s="1"/>
  <c r="AH191" i="1"/>
  <c r="AI191" i="1" s="1"/>
  <c r="AJ191" i="1" s="1"/>
  <c r="AH201" i="1"/>
  <c r="AI201" i="1" s="1"/>
  <c r="AJ201" i="1" s="1"/>
  <c r="AH213" i="1"/>
  <c r="AI213" i="1" s="1"/>
  <c r="AJ213" i="1" s="1"/>
  <c r="AH215" i="1"/>
  <c r="AI215" i="1" s="1"/>
  <c r="AJ215" i="1" s="1"/>
  <c r="AH233" i="1"/>
  <c r="AI233" i="1" s="1"/>
  <c r="AJ233" i="1" s="1"/>
  <c r="AH244" i="1"/>
  <c r="AI244" i="1" s="1"/>
  <c r="AJ244" i="1" s="1"/>
  <c r="AH250" i="1"/>
  <c r="AI250" i="1" s="1"/>
  <c r="AJ250" i="1" s="1"/>
  <c r="AH278" i="1"/>
  <c r="AI278" i="1" s="1"/>
  <c r="AJ278" i="1" s="1"/>
  <c r="AH306" i="1"/>
  <c r="AI306" i="1" s="1"/>
  <c r="AJ306" i="1" s="1"/>
  <c r="AH307" i="1"/>
  <c r="AI307" i="1" s="1"/>
  <c r="AJ307" i="1" s="1"/>
  <c r="AH264" i="1"/>
  <c r="AI264" i="1" s="1"/>
  <c r="AJ264" i="1" s="1"/>
  <c r="AH275" i="1"/>
  <c r="AI275" i="1" s="1"/>
  <c r="AJ275" i="1" s="1"/>
  <c r="AH279" i="1"/>
  <c r="AI279" i="1" s="1"/>
  <c r="AJ279" i="1" s="1"/>
  <c r="AH283" i="1"/>
  <c r="AI283" i="1" s="1"/>
  <c r="AJ283" i="1" s="1"/>
  <c r="AH296" i="1"/>
  <c r="AI296" i="1" s="1"/>
  <c r="AJ296" i="1" s="1"/>
  <c r="AH310" i="1"/>
  <c r="AI310" i="1" s="1"/>
  <c r="AJ310" i="1" s="1"/>
  <c r="AH36" i="1"/>
  <c r="AI36" i="1" s="1"/>
  <c r="AJ36" i="1" s="1"/>
  <c r="AH94" i="1"/>
  <c r="AI94" i="1" s="1"/>
  <c r="AJ94" i="1" s="1"/>
  <c r="AH83" i="1"/>
  <c r="AI83" i="1" s="1"/>
  <c r="AJ83" i="1" s="1"/>
  <c r="AH87" i="1"/>
  <c r="AI87" i="1" s="1"/>
  <c r="AJ87" i="1" s="1"/>
  <c r="AH113" i="1"/>
  <c r="AI113" i="1" s="1"/>
  <c r="AJ113" i="1" s="1"/>
  <c r="AH93" i="1"/>
  <c r="AI93" i="1" s="1"/>
  <c r="AJ93" i="1" s="1"/>
  <c r="AH154" i="1"/>
  <c r="AI154" i="1" s="1"/>
  <c r="AJ154" i="1" s="1"/>
  <c r="AH146" i="1"/>
  <c r="AI146" i="1" s="1"/>
  <c r="AJ146" i="1" s="1"/>
  <c r="AH176" i="1"/>
  <c r="AI176" i="1" s="1"/>
  <c r="AJ176" i="1" s="1"/>
  <c r="AH165" i="1"/>
  <c r="AI165" i="1" s="1"/>
  <c r="AJ165" i="1" s="1"/>
  <c r="AH212" i="1"/>
  <c r="AI212" i="1" s="1"/>
  <c r="AJ212" i="1" s="1"/>
  <c r="AH228" i="1"/>
  <c r="AI228" i="1" s="1"/>
  <c r="AJ228" i="1" s="1"/>
  <c r="AH229" i="1"/>
  <c r="AI229" i="1" s="1"/>
  <c r="AJ229" i="1" s="1"/>
  <c r="AH263" i="1"/>
  <c r="AI263" i="1" s="1"/>
  <c r="AJ263" i="1" s="1"/>
  <c r="AH259" i="1"/>
  <c r="AI259" i="1" s="1"/>
  <c r="AJ259" i="1" s="1"/>
  <c r="AH261" i="1"/>
  <c r="AI261" i="1" s="1"/>
  <c r="AJ261" i="1" s="1"/>
  <c r="AH255" i="1"/>
  <c r="AI255" i="1" s="1"/>
  <c r="AJ255" i="1" s="1"/>
  <c r="AH265" i="1"/>
  <c r="AI265" i="1" s="1"/>
  <c r="AJ265" i="1" s="1"/>
  <c r="AH288" i="1"/>
  <c r="AI288" i="1" s="1"/>
  <c r="AJ288" i="1" s="1"/>
  <c r="AF312" i="1"/>
  <c r="AH312" i="1" s="1"/>
  <c r="AI312" i="1" s="1"/>
  <c r="AJ312" i="1" s="1"/>
  <c r="AB312" i="1"/>
  <c r="AC312" i="1" s="1"/>
  <c r="AD312" i="1" s="1"/>
  <c r="AE312" i="1" s="1"/>
  <c r="AG319" i="1"/>
  <c r="AH319" i="1" s="1"/>
  <c r="AI319" i="1" s="1"/>
  <c r="AJ319" i="1" s="1"/>
  <c r="AB319" i="1"/>
  <c r="AC319" i="1" s="1"/>
  <c r="AD319" i="1" s="1"/>
  <c r="AE319" i="1" s="1"/>
  <c r="AH277" i="1"/>
  <c r="AI277" i="1" s="1"/>
  <c r="AJ277" i="1" s="1"/>
  <c r="AH316" i="1"/>
  <c r="AI316" i="1" s="1"/>
  <c r="AJ316" i="1" s="1"/>
  <c r="AH276" i="1"/>
  <c r="AI276" i="1" s="1"/>
  <c r="AJ276" i="1" s="1"/>
  <c r="AH304" i="1"/>
  <c r="AI304" i="1" s="1"/>
  <c r="AJ304" i="1" s="1"/>
  <c r="AH293" i="1"/>
  <c r="AI293" i="1" s="1"/>
  <c r="AJ293" i="1" s="1"/>
  <c r="AH305" i="1"/>
  <c r="AI305" i="1" s="1"/>
  <c r="AJ305" i="1" s="1"/>
  <c r="AH318" i="1"/>
  <c r="AI318" i="1" s="1"/>
  <c r="AJ318" i="1" s="1"/>
  <c r="AH309" i="1"/>
  <c r="AI309" i="1" s="1"/>
  <c r="AJ309" i="1" s="1"/>
  <c r="BW265" i="1"/>
  <c r="BX265" i="1" s="1"/>
  <c r="BW229" i="1"/>
  <c r="BX229" i="1" s="1"/>
  <c r="BW182" i="1"/>
  <c r="BX182" i="1" s="1"/>
  <c r="BW160" i="1"/>
  <c r="BX160" i="1" s="1"/>
  <c r="BW144" i="1"/>
  <c r="BX144" i="1" s="1"/>
  <c r="BW134" i="1"/>
  <c r="BX134" i="1" s="1"/>
  <c r="BW120" i="1"/>
  <c r="BX120" i="1" s="1"/>
  <c r="BW97" i="1"/>
  <c r="BX97" i="1" s="1"/>
  <c r="BW74" i="1"/>
  <c r="BX74" i="1" s="1"/>
  <c r="BW13" i="1"/>
  <c r="BX13" i="1" s="1"/>
  <c r="BW25" i="1"/>
  <c r="BX25" i="1" s="1"/>
  <c r="BW320" i="1"/>
  <c r="BX320" i="1" s="1"/>
  <c r="BW319" i="1"/>
  <c r="BX319" i="1" s="1"/>
  <c r="BW278" i="1"/>
  <c r="BX278" i="1" s="1"/>
  <c r="BW189" i="1"/>
  <c r="BX189" i="1" s="1"/>
  <c r="BW170" i="1"/>
  <c r="BX170" i="1" s="1"/>
  <c r="BW125" i="1"/>
  <c r="BX125" i="1" s="1"/>
  <c r="BW118" i="1"/>
  <c r="BX118" i="1" s="1"/>
  <c r="BW105" i="1"/>
  <c r="BX105" i="1" s="1"/>
  <c r="BW68" i="1"/>
  <c r="BX68" i="1" s="1"/>
  <c r="BW65" i="1"/>
  <c r="BX65" i="1" s="1"/>
  <c r="BW41" i="1"/>
  <c r="BX41" i="1" s="1"/>
  <c r="BW316" i="1"/>
  <c r="BX316" i="1" s="1"/>
  <c r="BW293" i="1"/>
  <c r="BX293" i="1" s="1"/>
  <c r="BW279" i="1"/>
  <c r="BX279" i="1" s="1"/>
  <c r="BW266" i="1"/>
  <c r="BX266" i="1" s="1"/>
  <c r="BW238" i="1"/>
  <c r="BX238" i="1" s="1"/>
  <c r="BW204" i="1"/>
  <c r="BX204" i="1" s="1"/>
  <c r="BW148" i="1"/>
  <c r="BX148" i="1" s="1"/>
  <c r="BW128" i="1"/>
  <c r="BX128" i="1" s="1"/>
  <c r="BW37" i="1"/>
  <c r="BX37" i="1" s="1"/>
  <c r="BW19" i="1"/>
  <c r="BX19" i="1" s="1"/>
  <c r="BW14" i="1"/>
  <c r="BX14" i="1" s="1"/>
  <c r="BW234" i="1"/>
  <c r="BX234" i="1" s="1"/>
  <c r="BW197" i="1"/>
  <c r="BX197" i="1" s="1"/>
  <c r="BW195" i="1"/>
  <c r="BX195" i="1" s="1"/>
  <c r="BW190" i="1"/>
  <c r="BX190" i="1" s="1"/>
  <c r="BW164" i="1"/>
  <c r="BX164" i="1" s="1"/>
  <c r="BW111" i="1"/>
  <c r="BX111" i="1" s="1"/>
  <c r="BW106" i="1"/>
  <c r="BX106" i="1" s="1"/>
  <c r="BW80" i="1"/>
  <c r="BX80" i="1" s="1"/>
  <c r="BW54" i="1"/>
  <c r="BX54" i="1" s="1"/>
  <c r="BW9" i="1"/>
  <c r="BX9" i="1" s="1"/>
  <c r="BW45" i="1"/>
  <c r="BX45" i="1" s="1"/>
  <c r="BW287" i="1"/>
  <c r="BX287" i="1" s="1"/>
  <c r="BW271" i="1"/>
  <c r="BX271" i="1" s="1"/>
  <c r="BW255" i="1"/>
  <c r="BX255" i="1" s="1"/>
  <c r="BW247" i="1"/>
  <c r="BX247" i="1" s="1"/>
  <c r="BW126" i="1"/>
  <c r="BX126" i="1" s="1"/>
  <c r="BW101" i="1"/>
  <c r="BX101" i="1" s="1"/>
  <c r="BW88" i="1"/>
  <c r="BX88" i="1" s="1"/>
  <c r="BW66" i="1"/>
  <c r="BX66" i="1" s="1"/>
  <c r="BW107" i="1"/>
  <c r="BX107" i="1" s="1"/>
  <c r="BW26" i="1"/>
  <c r="BX26" i="1" s="1"/>
  <c r="BW292" i="1"/>
  <c r="BX292" i="1" s="1"/>
  <c r="BW268" i="1"/>
  <c r="BX268" i="1" s="1"/>
  <c r="BW258" i="1"/>
  <c r="BX258" i="1" s="1"/>
  <c r="BW253" i="1"/>
  <c r="BX253" i="1" s="1"/>
  <c r="BW225" i="1"/>
  <c r="BX225" i="1" s="1"/>
  <c r="BW210" i="1"/>
  <c r="BX210" i="1" s="1"/>
  <c r="BW131" i="1"/>
  <c r="BX131" i="1" s="1"/>
  <c r="BW129" i="1"/>
  <c r="BX129" i="1" s="1"/>
  <c r="BW117" i="1"/>
  <c r="BX117" i="1" s="1"/>
  <c r="BW72" i="1"/>
  <c r="BX72" i="1" s="1"/>
  <c r="BW38" i="1"/>
  <c r="BX38" i="1" s="1"/>
  <c r="BW277" i="1"/>
  <c r="BX277" i="1" s="1"/>
  <c r="BW260" i="1"/>
  <c r="BX260" i="1" s="1"/>
  <c r="BW233" i="1"/>
  <c r="BX233" i="1" s="1"/>
  <c r="BW185" i="1"/>
  <c r="BX185" i="1" s="1"/>
  <c r="BW123" i="1"/>
  <c r="BX123" i="1" s="1"/>
  <c r="BW96" i="1"/>
  <c r="BX96" i="1" s="1"/>
  <c r="BW40" i="1"/>
  <c r="BX40" i="1" s="1"/>
  <c r="BW73" i="1"/>
  <c r="BX73" i="1" s="1"/>
  <c r="BW58" i="1"/>
  <c r="BX58" i="1" s="1"/>
  <c r="BW12" i="1"/>
  <c r="BX12" i="1" s="1"/>
  <c r="BW318" i="1"/>
  <c r="BX318" i="1" s="1"/>
  <c r="BW275" i="1"/>
  <c r="BX275" i="1" s="1"/>
  <c r="BW254" i="1"/>
  <c r="BX254" i="1" s="1"/>
  <c r="BW219" i="1"/>
  <c r="BX219" i="1" s="1"/>
  <c r="BW188" i="1"/>
  <c r="BX188" i="1" s="1"/>
  <c r="BW124" i="1"/>
  <c r="BX124" i="1" s="1"/>
  <c r="BW104" i="1"/>
  <c r="BX104" i="1" s="1"/>
  <c r="BW93" i="1"/>
  <c r="BX93" i="1" s="1"/>
  <c r="BW79" i="1"/>
  <c r="BX79" i="1" s="1"/>
  <c r="BW59" i="1"/>
  <c r="BX59" i="1" s="1"/>
  <c r="BW47" i="1"/>
  <c r="BX47" i="1" s="1"/>
  <c r="BK319" i="1"/>
  <c r="BL319" i="1" s="1"/>
  <c r="BM319" i="1" s="1"/>
  <c r="BN319" i="1" s="1"/>
  <c r="BK279" i="1"/>
  <c r="BL279" i="1" s="1"/>
  <c r="BM279" i="1" s="1"/>
  <c r="BN279" i="1" s="1"/>
  <c r="BK278" i="1"/>
  <c r="BL278" i="1" s="1"/>
  <c r="BM278" i="1" s="1"/>
  <c r="BN278" i="1" s="1"/>
  <c r="BK275" i="1"/>
  <c r="BL275" i="1" s="1"/>
  <c r="BM275" i="1" s="1"/>
  <c r="BN275" i="1" s="1"/>
  <c r="BK254" i="1"/>
  <c r="BL254" i="1" s="1"/>
  <c r="BM254" i="1" s="1"/>
  <c r="BN254" i="1" s="1"/>
  <c r="BK234" i="1"/>
  <c r="BL234" i="1" s="1"/>
  <c r="BM234" i="1" s="1"/>
  <c r="BN234" i="1" s="1"/>
  <c r="BK219" i="1"/>
  <c r="BL219" i="1" s="1"/>
  <c r="BM219" i="1" s="1"/>
  <c r="BN219" i="1" s="1"/>
  <c r="BK195" i="1"/>
  <c r="BL195" i="1" s="1"/>
  <c r="BM195" i="1" s="1"/>
  <c r="BN195" i="1" s="1"/>
  <c r="BK148" i="1"/>
  <c r="BL148" i="1" s="1"/>
  <c r="BM148" i="1" s="1"/>
  <c r="BN148" i="1" s="1"/>
  <c r="BK134" i="1"/>
  <c r="BL134" i="1" s="1"/>
  <c r="BM134" i="1" s="1"/>
  <c r="BN134" i="1" s="1"/>
  <c r="BK126" i="1"/>
  <c r="BL126" i="1" s="1"/>
  <c r="BM126" i="1" s="1"/>
  <c r="BN126" i="1" s="1"/>
  <c r="BK120" i="1"/>
  <c r="BL120" i="1" s="1"/>
  <c r="BM120" i="1" s="1"/>
  <c r="BN120" i="1" s="1"/>
  <c r="BK106" i="1"/>
  <c r="BL106" i="1" s="1"/>
  <c r="BM106" i="1" s="1"/>
  <c r="BN106" i="1" s="1"/>
  <c r="BK96" i="1"/>
  <c r="BL96" i="1" s="1"/>
  <c r="BM96" i="1" s="1"/>
  <c r="BN96" i="1" s="1"/>
  <c r="BK88" i="1"/>
  <c r="BL88" i="1" s="1"/>
  <c r="BM88" i="1" s="1"/>
  <c r="BN88" i="1" s="1"/>
  <c r="BK80" i="1"/>
  <c r="BL80" i="1" s="1"/>
  <c r="BM80" i="1" s="1"/>
  <c r="BN80" i="1" s="1"/>
  <c r="BK74" i="1"/>
  <c r="BL74" i="1" s="1"/>
  <c r="BM74" i="1" s="1"/>
  <c r="BN74" i="1" s="1"/>
  <c r="BK73" i="1"/>
  <c r="BL73" i="1" s="1"/>
  <c r="BM73" i="1" s="1"/>
  <c r="BN73" i="1" s="1"/>
  <c r="BK45" i="1"/>
  <c r="BL45" i="1" s="1"/>
  <c r="BM45" i="1" s="1"/>
  <c r="BN45" i="1" s="1"/>
  <c r="BK37" i="1"/>
  <c r="BL37" i="1" s="1"/>
  <c r="BM37" i="1" s="1"/>
  <c r="BN37" i="1" s="1"/>
  <c r="BK25" i="1"/>
  <c r="BL25" i="1" s="1"/>
  <c r="BM25" i="1" s="1"/>
  <c r="BN25" i="1" s="1"/>
  <c r="BK14" i="1"/>
  <c r="BL14" i="1" s="1"/>
  <c r="BM14" i="1" s="1"/>
  <c r="BN14" i="1" s="1"/>
  <c r="BK12" i="1"/>
  <c r="BL12" i="1" s="1"/>
  <c r="BM12" i="1" s="1"/>
  <c r="BN12" i="1" s="1"/>
  <c r="BK316" i="1"/>
  <c r="BL316" i="1" s="1"/>
  <c r="BM316" i="1" s="1"/>
  <c r="BN316" i="1" s="1"/>
  <c r="BK287" i="1"/>
  <c r="BL287" i="1" s="1"/>
  <c r="BM287" i="1" s="1"/>
  <c r="BN287" i="1" s="1"/>
  <c r="BK268" i="1"/>
  <c r="BL268" i="1" s="1"/>
  <c r="BM268" i="1" s="1"/>
  <c r="BN268" i="1" s="1"/>
  <c r="BK190" i="1"/>
  <c r="BL190" i="1" s="1"/>
  <c r="BM190" i="1" s="1"/>
  <c r="BN190" i="1" s="1"/>
  <c r="BK189" i="1"/>
  <c r="BL189" i="1" s="1"/>
  <c r="BM189" i="1" s="1"/>
  <c r="BN189" i="1" s="1"/>
  <c r="BK107" i="1"/>
  <c r="BL107" i="1" s="1"/>
  <c r="BM107" i="1" s="1"/>
  <c r="BN107" i="1" s="1"/>
  <c r="BK40" i="1"/>
  <c r="BL40" i="1" s="1"/>
  <c r="BM40" i="1" s="1"/>
  <c r="BN40" i="1" s="1"/>
  <c r="BK292" i="1"/>
  <c r="BL292" i="1" s="1"/>
  <c r="BM292" i="1" s="1"/>
  <c r="BN292" i="1" s="1"/>
  <c r="BK182" i="1"/>
  <c r="BL182" i="1" s="1"/>
  <c r="BM182" i="1" s="1"/>
  <c r="BN182" i="1" s="1"/>
  <c r="BK118" i="1"/>
  <c r="BL118" i="1" s="1"/>
  <c r="BM118" i="1" s="1"/>
  <c r="BN118" i="1" s="1"/>
  <c r="BK97" i="1"/>
  <c r="BL97" i="1" s="1"/>
  <c r="BM97" i="1" s="1"/>
  <c r="BN97" i="1" s="1"/>
  <c r="BK93" i="1"/>
  <c r="BL93" i="1" s="1"/>
  <c r="BM93" i="1" s="1"/>
  <c r="BN93" i="1" s="1"/>
  <c r="BK13" i="1"/>
  <c r="BL13" i="1" s="1"/>
  <c r="BM13" i="1" s="1"/>
  <c r="BN13" i="1" s="1"/>
  <c r="BK54" i="1"/>
  <c r="BL54" i="1" s="1"/>
  <c r="BM54" i="1" s="1"/>
  <c r="BN54" i="1" s="1"/>
  <c r="BK41" i="1"/>
  <c r="BL41" i="1" s="1"/>
  <c r="BM41" i="1" s="1"/>
  <c r="BN41" i="1" s="1"/>
  <c r="BK38" i="1"/>
  <c r="BL38" i="1" s="1"/>
  <c r="BM38" i="1" s="1"/>
  <c r="BN38" i="1" s="1"/>
  <c r="BK26" i="1"/>
  <c r="BL26" i="1" s="1"/>
  <c r="BM26" i="1" s="1"/>
  <c r="BN26" i="1" s="1"/>
  <c r="BK59" i="1"/>
  <c r="BL59" i="1" s="1"/>
  <c r="BM59" i="1" s="1"/>
  <c r="BN59" i="1" s="1"/>
  <c r="BK79" i="1"/>
  <c r="BL79" i="1" s="1"/>
  <c r="BM79" i="1" s="1"/>
  <c r="BN79" i="1" s="1"/>
  <c r="BK19" i="1"/>
  <c r="BL19" i="1" s="1"/>
  <c r="BM19" i="1" s="1"/>
  <c r="BN19" i="1" s="1"/>
  <c r="BK266" i="1"/>
  <c r="BL266" i="1" s="1"/>
  <c r="BM266" i="1" s="1"/>
  <c r="BN266" i="1" s="1"/>
  <c r="BK229" i="1"/>
  <c r="BL229" i="1" s="1"/>
  <c r="BM229" i="1" s="1"/>
  <c r="BN229" i="1" s="1"/>
  <c r="BK185" i="1"/>
  <c r="BL185" i="1" s="1"/>
  <c r="BM185" i="1" s="1"/>
  <c r="BN185" i="1" s="1"/>
  <c r="BK117" i="1"/>
  <c r="BL117" i="1" s="1"/>
  <c r="BM117" i="1" s="1"/>
  <c r="BN117" i="1" s="1"/>
  <c r="BK9" i="1"/>
  <c r="BL9" i="1" s="1"/>
  <c r="BM9" i="1" s="1"/>
  <c r="BN9" i="1" s="1"/>
  <c r="BK260" i="1"/>
  <c r="BL260" i="1" s="1"/>
  <c r="BM260" i="1" s="1"/>
  <c r="BN260" i="1" s="1"/>
  <c r="BK258" i="1"/>
  <c r="BL258" i="1" s="1"/>
  <c r="BM258" i="1" s="1"/>
  <c r="BN258" i="1" s="1"/>
  <c r="BK255" i="1"/>
  <c r="BL255" i="1" s="1"/>
  <c r="BM255" i="1" s="1"/>
  <c r="BN255" i="1" s="1"/>
  <c r="BK233" i="1"/>
  <c r="BL233" i="1" s="1"/>
  <c r="BM233" i="1" s="1"/>
  <c r="BN233" i="1" s="1"/>
  <c r="BK101" i="1"/>
  <c r="BL101" i="1" s="1"/>
  <c r="BM101" i="1" s="1"/>
  <c r="BN101" i="1" s="1"/>
  <c r="BK68" i="1"/>
  <c r="BL68" i="1" s="1"/>
  <c r="BM68" i="1" s="1"/>
  <c r="BN68" i="1" s="1"/>
  <c r="BK123" i="1"/>
  <c r="BL123" i="1" s="1"/>
  <c r="BM123" i="1" s="1"/>
  <c r="BN123" i="1" s="1"/>
  <c r="BK58" i="1"/>
  <c r="BL58" i="1" s="1"/>
  <c r="BM58" i="1" s="1"/>
  <c r="BN58" i="1" s="1"/>
  <c r="BK253" i="1"/>
  <c r="BL253" i="1" s="1"/>
  <c r="BM253" i="1" s="1"/>
  <c r="BN253" i="1" s="1"/>
  <c r="BK210" i="1"/>
  <c r="BL210" i="1" s="1"/>
  <c r="BM210" i="1" s="1"/>
  <c r="BN210" i="1" s="1"/>
  <c r="BK164" i="1"/>
  <c r="BL164" i="1" s="1"/>
  <c r="BM164" i="1" s="1"/>
  <c r="BN164" i="1" s="1"/>
  <c r="BK105" i="1"/>
  <c r="BL105" i="1" s="1"/>
  <c r="BM105" i="1" s="1"/>
  <c r="BN105" i="1" s="1"/>
  <c r="BK293" i="1"/>
  <c r="BL293" i="1" s="1"/>
  <c r="BM293" i="1" s="1"/>
  <c r="BN293" i="1" s="1"/>
  <c r="BK265" i="1"/>
  <c r="BL265" i="1" s="1"/>
  <c r="BM265" i="1" s="1"/>
  <c r="BN265" i="1" s="1"/>
  <c r="BK225" i="1"/>
  <c r="BL225" i="1" s="1"/>
  <c r="BM225" i="1" s="1"/>
  <c r="BN225" i="1" s="1"/>
  <c r="BK204" i="1"/>
  <c r="BL204" i="1" s="1"/>
  <c r="BM204" i="1" s="1"/>
  <c r="BN204" i="1" s="1"/>
  <c r="BK170" i="1"/>
  <c r="BL170" i="1" s="1"/>
  <c r="BM170" i="1" s="1"/>
  <c r="BN170" i="1" s="1"/>
  <c r="BK160" i="1"/>
  <c r="BL160" i="1" s="1"/>
  <c r="BM160" i="1" s="1"/>
  <c r="BN160" i="1" s="1"/>
  <c r="BK128" i="1"/>
  <c r="BL128" i="1" s="1"/>
  <c r="BM128" i="1" s="1"/>
  <c r="BN128" i="1" s="1"/>
  <c r="BK124" i="1"/>
  <c r="BL124" i="1" s="1"/>
  <c r="BM124" i="1" s="1"/>
  <c r="BN124" i="1" s="1"/>
  <c r="BK65" i="1"/>
  <c r="BL65" i="1" s="1"/>
  <c r="BM65" i="1" s="1"/>
  <c r="BN65" i="1" s="1"/>
  <c r="BK320" i="1"/>
  <c r="BL320" i="1" s="1"/>
  <c r="BM320" i="1" s="1"/>
  <c r="BN320" i="1" s="1"/>
  <c r="BK247" i="1"/>
  <c r="BL247" i="1" s="1"/>
  <c r="BM247" i="1" s="1"/>
  <c r="BN247" i="1" s="1"/>
  <c r="BK197" i="1"/>
  <c r="BL197" i="1" s="1"/>
  <c r="BM197" i="1" s="1"/>
  <c r="BN197" i="1" s="1"/>
  <c r="BK144" i="1"/>
  <c r="BL144" i="1" s="1"/>
  <c r="BM144" i="1" s="1"/>
  <c r="BN144" i="1" s="1"/>
  <c r="BK66" i="1"/>
  <c r="BL66" i="1" s="1"/>
  <c r="BM66" i="1" s="1"/>
  <c r="BN66" i="1" s="1"/>
  <c r="BK277" i="1"/>
  <c r="BL277" i="1" s="1"/>
  <c r="BM277" i="1" s="1"/>
  <c r="BN277" i="1" s="1"/>
  <c r="BK271" i="1"/>
  <c r="BL271" i="1" s="1"/>
  <c r="BM271" i="1" s="1"/>
  <c r="BN271" i="1" s="1"/>
  <c r="BK131" i="1"/>
  <c r="BL131" i="1" s="1"/>
  <c r="BM131" i="1" s="1"/>
  <c r="BN131" i="1" s="1"/>
  <c r="BK125" i="1"/>
  <c r="BL125" i="1" s="1"/>
  <c r="BM125" i="1" s="1"/>
  <c r="BN125" i="1" s="1"/>
  <c r="BK111" i="1"/>
  <c r="BL111" i="1" s="1"/>
  <c r="BM111" i="1" s="1"/>
  <c r="BN111" i="1" s="1"/>
  <c r="BK104" i="1"/>
  <c r="BL104" i="1" s="1"/>
  <c r="BM104" i="1" s="1"/>
  <c r="BN104" i="1" s="1"/>
  <c r="BK72" i="1"/>
  <c r="BL72" i="1" s="1"/>
  <c r="BM72" i="1" s="1"/>
  <c r="BN72" i="1" s="1"/>
  <c r="BK318" i="1"/>
  <c r="BL318" i="1" s="1"/>
  <c r="BM318" i="1" s="1"/>
  <c r="BN318" i="1" s="1"/>
  <c r="BK238" i="1"/>
  <c r="BL238" i="1" s="1"/>
  <c r="BM238" i="1" s="1"/>
  <c r="BN238" i="1" s="1"/>
  <c r="BK188" i="1"/>
  <c r="BL188" i="1" s="1"/>
  <c r="BM188" i="1" s="1"/>
  <c r="BN188" i="1" s="1"/>
  <c r="BK129" i="1"/>
  <c r="BL129" i="1" s="1"/>
  <c r="BM129" i="1" s="1"/>
  <c r="BN129" i="1" s="1"/>
  <c r="BK47" i="1"/>
  <c r="BL47" i="1" s="1"/>
  <c r="BM47" i="1" s="1"/>
  <c r="BN47" i="1" s="1"/>
  <c r="BW227" i="1"/>
  <c r="BX227" i="1" s="1"/>
  <c r="BW199" i="1"/>
  <c r="BX199" i="1" s="1"/>
  <c r="BW172" i="1"/>
  <c r="BX172" i="1" s="1"/>
  <c r="BW168" i="1"/>
  <c r="BX168" i="1" s="1"/>
  <c r="BW147" i="1"/>
  <c r="BX147" i="1" s="1"/>
  <c r="BW103" i="1"/>
  <c r="BX103" i="1" s="1"/>
  <c r="BW24" i="1"/>
  <c r="BX24" i="1" s="1"/>
  <c r="BW6" i="1"/>
  <c r="BX6" i="1" s="1"/>
  <c r="BW91" i="1"/>
  <c r="BX91" i="1" s="1"/>
  <c r="BW82" i="1"/>
  <c r="BX82" i="1" s="1"/>
  <c r="BW15" i="1"/>
  <c r="BX15" i="1" s="1"/>
  <c r="BW250" i="1"/>
  <c r="BX250" i="1" s="1"/>
  <c r="BW270" i="1"/>
  <c r="BX270" i="1" s="1"/>
  <c r="BW261" i="1"/>
  <c r="BX261" i="1" s="1"/>
  <c r="BW244" i="1"/>
  <c r="BX244" i="1" s="1"/>
  <c r="BW230" i="1"/>
  <c r="BX230" i="1" s="1"/>
  <c r="BW200" i="1"/>
  <c r="BX200" i="1" s="1"/>
  <c r="BW173" i="1"/>
  <c r="BX173" i="1" s="1"/>
  <c r="BW161" i="1"/>
  <c r="BX161" i="1" s="1"/>
  <c r="BW153" i="1"/>
  <c r="BX153" i="1" s="1"/>
  <c r="BW132" i="1"/>
  <c r="BX132" i="1" s="1"/>
  <c r="BW274" i="1"/>
  <c r="BX274" i="1" s="1"/>
  <c r="BW269" i="1"/>
  <c r="BX269" i="1" s="1"/>
  <c r="BW264" i="1"/>
  <c r="BX264" i="1" s="1"/>
  <c r="BW231" i="1"/>
  <c r="BX231" i="1" s="1"/>
  <c r="BW209" i="1"/>
  <c r="BX209" i="1" s="1"/>
  <c r="BW174" i="1"/>
  <c r="BX174" i="1" s="1"/>
  <c r="BW154" i="1"/>
  <c r="BX154" i="1" s="1"/>
  <c r="BW89" i="1"/>
  <c r="BX89" i="1" s="1"/>
  <c r="BW314" i="1"/>
  <c r="BX314" i="1" s="1"/>
  <c r="BW205" i="1"/>
  <c r="BX205" i="1" s="1"/>
  <c r="BW60" i="1"/>
  <c r="BX60" i="1" s="1"/>
  <c r="BW284" i="1"/>
  <c r="BX284" i="1" s="1"/>
  <c r="BW214" i="1"/>
  <c r="BX214" i="1" s="1"/>
  <c r="BW203" i="1"/>
  <c r="BX203" i="1" s="1"/>
  <c r="BW83" i="1"/>
  <c r="BX83" i="1" s="1"/>
  <c r="BW31" i="1"/>
  <c r="BX31" i="1" s="1"/>
  <c r="BW285" i="1"/>
  <c r="BX285" i="1" s="1"/>
  <c r="BW257" i="1"/>
  <c r="BX257" i="1" s="1"/>
  <c r="BW228" i="1"/>
  <c r="BX228" i="1" s="1"/>
  <c r="BW220" i="1"/>
  <c r="BX220" i="1" s="1"/>
  <c r="BW186" i="1"/>
  <c r="BX186" i="1" s="1"/>
  <c r="BW133" i="1"/>
  <c r="BX133" i="1" s="1"/>
  <c r="BW127" i="1"/>
  <c r="BX127" i="1" s="1"/>
  <c r="BW146" i="1"/>
  <c r="BX146" i="1" s="1"/>
  <c r="BW57" i="1"/>
  <c r="BX57" i="1" s="1"/>
  <c r="BW280" i="1"/>
  <c r="BX280" i="1" s="1"/>
  <c r="BW159" i="1"/>
  <c r="BX159" i="1" s="1"/>
  <c r="BW145" i="1"/>
  <c r="BX145" i="1" s="1"/>
  <c r="BW116" i="1"/>
  <c r="BX116" i="1" s="1"/>
  <c r="BW85" i="1"/>
  <c r="BX85" i="1" s="1"/>
  <c r="BW64" i="1"/>
  <c r="BX64" i="1" s="1"/>
  <c r="BW44" i="1"/>
  <c r="BX44" i="1" s="1"/>
  <c r="BW5" i="1"/>
  <c r="BX5" i="1" s="1"/>
  <c r="BW291" i="1"/>
  <c r="BX291" i="1" s="1"/>
  <c r="BW283" i="1"/>
  <c r="BX283" i="1" s="1"/>
  <c r="BW267" i="1"/>
  <c r="BX267" i="1" s="1"/>
  <c r="BW178" i="1"/>
  <c r="BX178" i="1" s="1"/>
  <c r="BW108" i="1"/>
  <c r="BX108" i="1" s="1"/>
  <c r="BW100" i="1"/>
  <c r="BX100" i="1" s="1"/>
  <c r="BW90" i="1"/>
  <c r="BX90" i="1" s="1"/>
  <c r="BW78" i="1"/>
  <c r="BX78" i="1" s="1"/>
  <c r="BW3" i="1"/>
  <c r="BX3" i="1" s="1"/>
  <c r="BW30" i="1"/>
  <c r="BX30" i="1" s="1"/>
  <c r="BW232" i="1"/>
  <c r="BX232" i="1" s="1"/>
  <c r="BW75" i="1"/>
  <c r="BX75" i="1" s="1"/>
  <c r="BK142" i="1"/>
  <c r="BL142" i="1" s="1"/>
  <c r="BM142" i="1" s="1"/>
  <c r="BN142" i="1" s="1"/>
  <c r="BW143" i="1"/>
  <c r="BX143" i="1" s="1"/>
  <c r="BW142" i="1"/>
  <c r="BX142" i="1" s="1"/>
  <c r="BW121" i="1"/>
  <c r="BX121" i="1" s="1"/>
  <c r="BW179" i="1"/>
  <c r="BX179" i="1" s="1"/>
  <c r="BW76" i="1"/>
  <c r="BX76" i="1" s="1"/>
  <c r="BW102" i="1"/>
  <c r="BX102" i="1" s="1"/>
  <c r="BW46" i="1"/>
  <c r="BX46" i="1" s="1"/>
  <c r="BW130" i="1"/>
  <c r="BX130" i="1" s="1"/>
  <c r="BW8" i="1"/>
  <c r="BX8" i="1" s="1"/>
  <c r="BW36" i="1"/>
  <c r="BX36" i="1" s="1"/>
  <c r="BW297" i="1"/>
  <c r="BX297" i="1" s="1"/>
  <c r="BW63" i="1"/>
  <c r="BX63" i="1" s="1"/>
  <c r="BK252" i="1"/>
  <c r="BL252" i="1" s="1"/>
  <c r="BM252" i="1" s="1"/>
  <c r="BN252" i="1" s="1"/>
  <c r="BK246" i="1"/>
  <c r="BL246" i="1" s="1"/>
  <c r="BM246" i="1" s="1"/>
  <c r="BN246" i="1" s="1"/>
  <c r="BK208" i="1"/>
  <c r="BL208" i="1" s="1"/>
  <c r="BM208" i="1" s="1"/>
  <c r="BN208" i="1" s="1"/>
  <c r="BK290" i="1"/>
  <c r="BL290" i="1" s="1"/>
  <c r="BM290" i="1" s="1"/>
  <c r="BN290" i="1" s="1"/>
  <c r="BK36" i="1"/>
  <c r="BL36" i="1" s="1"/>
  <c r="BM36" i="1" s="1"/>
  <c r="BN36" i="1" s="1"/>
  <c r="BK63" i="1"/>
  <c r="BL63" i="1" s="1"/>
  <c r="BM63" i="1" s="1"/>
  <c r="BN63" i="1" s="1"/>
  <c r="BK226" i="1"/>
  <c r="BL226" i="1" s="1"/>
  <c r="BM226" i="1" s="1"/>
  <c r="BN226" i="1" s="1"/>
  <c r="BK297" i="1"/>
  <c r="BL297" i="1" s="1"/>
  <c r="BM297" i="1" s="1"/>
  <c r="BN297" i="1" s="1"/>
  <c r="BK46" i="1"/>
  <c r="BL46" i="1" s="1"/>
  <c r="BM46" i="1" s="1"/>
  <c r="BN46" i="1" s="1"/>
  <c r="BK121" i="1"/>
  <c r="BL121" i="1" s="1"/>
  <c r="BM121" i="1" s="1"/>
  <c r="BN121" i="1" s="1"/>
  <c r="BK122" i="1"/>
  <c r="BL122" i="1" s="1"/>
  <c r="BM122" i="1" s="1"/>
  <c r="BN122" i="1" s="1"/>
  <c r="BK141" i="1"/>
  <c r="BL141" i="1" s="1"/>
  <c r="BM141" i="1" s="1"/>
  <c r="BN141" i="1" s="1"/>
  <c r="BK194" i="1"/>
  <c r="BL194" i="1" s="1"/>
  <c r="BM194" i="1" s="1"/>
  <c r="BN194" i="1" s="1"/>
  <c r="BK207" i="1"/>
  <c r="BL207" i="1" s="1"/>
  <c r="BM207" i="1" s="1"/>
  <c r="BN207" i="1" s="1"/>
  <c r="BK76" i="1"/>
  <c r="BL76" i="1" s="1"/>
  <c r="BM76" i="1" s="1"/>
  <c r="BN76" i="1" s="1"/>
  <c r="BK102" i="1"/>
  <c r="BL102" i="1" s="1"/>
  <c r="BM102" i="1" s="1"/>
  <c r="BN102" i="1" s="1"/>
  <c r="BK136" i="1"/>
  <c r="BL136" i="1" s="1"/>
  <c r="BM136" i="1" s="1"/>
  <c r="BN136" i="1" s="1"/>
  <c r="BK179" i="1"/>
  <c r="BL179" i="1" s="1"/>
  <c r="BM179" i="1" s="1"/>
  <c r="BN179" i="1" s="1"/>
  <c r="BK8" i="1"/>
  <c r="BL8" i="1" s="1"/>
  <c r="BM8" i="1" s="1"/>
  <c r="BN8" i="1" s="1"/>
  <c r="BK130" i="1"/>
  <c r="BL130" i="1" s="1"/>
  <c r="BM130" i="1" s="1"/>
  <c r="BN130" i="1" s="1"/>
  <c r="BW317" i="1"/>
  <c r="BX317" i="1" s="1"/>
  <c r="BW48" i="1"/>
  <c r="BX48" i="1" s="1"/>
  <c r="BW262" i="1"/>
  <c r="BX262" i="1" s="1"/>
  <c r="BW224" i="1"/>
  <c r="BX224" i="1" s="1"/>
  <c r="BW11" i="1"/>
  <c r="BX11" i="1" s="1"/>
  <c r="BW309" i="1"/>
  <c r="BX309" i="1" s="1"/>
  <c r="BW286" i="1"/>
  <c r="BX286" i="1" s="1"/>
  <c r="BW241" i="1"/>
  <c r="BX241" i="1" s="1"/>
  <c r="BW175" i="1"/>
  <c r="BX175" i="1" s="1"/>
  <c r="BW167" i="1"/>
  <c r="BX167" i="1" s="1"/>
  <c r="BW289" i="1"/>
  <c r="BX289" i="1" s="1"/>
  <c r="BW114" i="1"/>
  <c r="BX114" i="1" s="1"/>
  <c r="BW99" i="1"/>
  <c r="BX99" i="1" s="1"/>
  <c r="BW62" i="1"/>
  <c r="BX62" i="1" s="1"/>
  <c r="BW22" i="1"/>
  <c r="BX22" i="1" s="1"/>
  <c r="BW28" i="1"/>
  <c r="BX28" i="1" s="1"/>
  <c r="BW4" i="1"/>
  <c r="BX4" i="1" s="1"/>
  <c r="BW180" i="1"/>
  <c r="BX180" i="1" s="1"/>
  <c r="BW216" i="1"/>
  <c r="BX216" i="1" s="1"/>
  <c r="BW135" i="1"/>
  <c r="BX135" i="1" s="1"/>
  <c r="BW35" i="1"/>
  <c r="BX35" i="1" s="1"/>
  <c r="BW32" i="1"/>
  <c r="BX32" i="1" s="1"/>
  <c r="BW187" i="1"/>
  <c r="BX187" i="1" s="1"/>
  <c r="BW92" i="1"/>
  <c r="BX92" i="1" s="1"/>
  <c r="BW17" i="1"/>
  <c r="BX17" i="1" s="1"/>
  <c r="BW29" i="1"/>
  <c r="BX29" i="1" s="1"/>
  <c r="BW55" i="1"/>
  <c r="BX55" i="1" s="1"/>
  <c r="BW137" i="1"/>
  <c r="BX137" i="1" s="1"/>
  <c r="BW211" i="1"/>
  <c r="BX211" i="1" s="1"/>
  <c r="BW256" i="1"/>
  <c r="BX256" i="1" s="1"/>
  <c r="BW259" i="1"/>
  <c r="BX259" i="1" s="1"/>
  <c r="BW198" i="1"/>
  <c r="BX198" i="1" s="1"/>
  <c r="BW222" i="1"/>
  <c r="BX222" i="1" s="1"/>
  <c r="BW304" i="1"/>
  <c r="BX304" i="1" s="1"/>
  <c r="BW311" i="1"/>
  <c r="BX311" i="1" s="1"/>
  <c r="BW10" i="1"/>
  <c r="BX10" i="1" s="1"/>
  <c r="BW43" i="1"/>
  <c r="BX43" i="1" s="1"/>
  <c r="BW53" i="1"/>
  <c r="BX53" i="1" s="1"/>
  <c r="BW98" i="1"/>
  <c r="BX98" i="1" s="1"/>
  <c r="BW149" i="1"/>
  <c r="BX149" i="1" s="1"/>
  <c r="BW206" i="1"/>
  <c r="BX206" i="1" s="1"/>
  <c r="BW300" i="1"/>
  <c r="BX300" i="1" s="1"/>
  <c r="BW27" i="1"/>
  <c r="BX27" i="1" s="1"/>
  <c r="BW212" i="1"/>
  <c r="BX212" i="1" s="1"/>
  <c r="BW215" i="1"/>
  <c r="BX215" i="1" s="1"/>
  <c r="BW235" i="1"/>
  <c r="BX235" i="1" s="1"/>
  <c r="BW243" i="1"/>
  <c r="BX243" i="1" s="1"/>
  <c r="BW249" i="1"/>
  <c r="BX249" i="1" s="1"/>
  <c r="BW276" i="1"/>
  <c r="BX276" i="1" s="1"/>
  <c r="BW7" i="1"/>
  <c r="BX7" i="1" s="1"/>
  <c r="BW16" i="1"/>
  <c r="BX16" i="1" s="1"/>
  <c r="BW20" i="1"/>
  <c r="BX20" i="1" s="1"/>
  <c r="BW56" i="1"/>
  <c r="BX56" i="1" s="1"/>
  <c r="BW67" i="1"/>
  <c r="BX67" i="1" s="1"/>
  <c r="BW71" i="1"/>
  <c r="BX71" i="1" s="1"/>
  <c r="BW81" i="1"/>
  <c r="BX81" i="1" s="1"/>
  <c r="BW177" i="1"/>
  <c r="BX177" i="1" s="1"/>
  <c r="BW218" i="1"/>
  <c r="BX218" i="1" s="1"/>
  <c r="BW223" i="1"/>
  <c r="BX223" i="1" s="1"/>
  <c r="BW288" i="1"/>
  <c r="BX288" i="1" s="1"/>
  <c r="BW23" i="1"/>
  <c r="BX23" i="1" s="1"/>
  <c r="BW42" i="1"/>
  <c r="BX42" i="1" s="1"/>
  <c r="BW162" i="1"/>
  <c r="BX162" i="1" s="1"/>
  <c r="BW165" i="1"/>
  <c r="BX165" i="1" s="1"/>
  <c r="BW193" i="1"/>
  <c r="BX193" i="1" s="1"/>
  <c r="BW240" i="1"/>
  <c r="BX240" i="1" s="1"/>
  <c r="BW248" i="1"/>
  <c r="BX248" i="1" s="1"/>
  <c r="BW281" i="1"/>
  <c r="BX281" i="1" s="1"/>
  <c r="BW295" i="1"/>
  <c r="BX295" i="1" s="1"/>
  <c r="BW306" i="1"/>
  <c r="BX306" i="1" s="1"/>
  <c r="BW2" i="1"/>
  <c r="BX2" i="1" s="1"/>
  <c r="BW95" i="1"/>
  <c r="BX95" i="1" s="1"/>
  <c r="BW155" i="1"/>
  <c r="BX155" i="1" s="1"/>
  <c r="BW176" i="1"/>
  <c r="BX176" i="1" s="1"/>
  <c r="BW181" i="1"/>
  <c r="BX181" i="1" s="1"/>
  <c r="BW202" i="1"/>
  <c r="BX202" i="1" s="1"/>
  <c r="BW294" i="1"/>
  <c r="BX294" i="1" s="1"/>
  <c r="BW301" i="1"/>
  <c r="BX301" i="1" s="1"/>
  <c r="BW312" i="1"/>
  <c r="BX312" i="1" s="1"/>
  <c r="BK295" i="1"/>
  <c r="BL295" i="1" s="1"/>
  <c r="BM295" i="1" s="1"/>
  <c r="BN295" i="1" s="1"/>
  <c r="BK294" i="1"/>
  <c r="BL294" i="1" s="1"/>
  <c r="BM294" i="1" s="1"/>
  <c r="BN294" i="1" s="1"/>
  <c r="BK286" i="1"/>
  <c r="BL286" i="1" s="1"/>
  <c r="BM286" i="1" s="1"/>
  <c r="BN286" i="1" s="1"/>
  <c r="BK222" i="1"/>
  <c r="BL222" i="1" s="1"/>
  <c r="BM222" i="1" s="1"/>
  <c r="BN222" i="1" s="1"/>
  <c r="BK216" i="1"/>
  <c r="BL216" i="1" s="1"/>
  <c r="BM216" i="1" s="1"/>
  <c r="BN216" i="1" s="1"/>
  <c r="BK215" i="1"/>
  <c r="BL215" i="1" s="1"/>
  <c r="BM215" i="1" s="1"/>
  <c r="BN215" i="1" s="1"/>
  <c r="BK212" i="1"/>
  <c r="BL212" i="1" s="1"/>
  <c r="BM212" i="1" s="1"/>
  <c r="BN212" i="1" s="1"/>
  <c r="BK202" i="1"/>
  <c r="BL202" i="1" s="1"/>
  <c r="BM202" i="1" s="1"/>
  <c r="BN202" i="1" s="1"/>
  <c r="BK187" i="1"/>
  <c r="BL187" i="1" s="1"/>
  <c r="BM187" i="1" s="1"/>
  <c r="BN187" i="1" s="1"/>
  <c r="BK177" i="1"/>
  <c r="BL177" i="1" s="1"/>
  <c r="BM177" i="1" s="1"/>
  <c r="BN177" i="1" s="1"/>
  <c r="BK114" i="1"/>
  <c r="BL114" i="1" s="1"/>
  <c r="BM114" i="1" s="1"/>
  <c r="BN114" i="1" s="1"/>
  <c r="BK98" i="1"/>
  <c r="BL98" i="1" s="1"/>
  <c r="BM98" i="1" s="1"/>
  <c r="BN98" i="1" s="1"/>
  <c r="BK62" i="1"/>
  <c r="BL62" i="1" s="1"/>
  <c r="BM62" i="1" s="1"/>
  <c r="BN62" i="1" s="1"/>
  <c r="BK17" i="1"/>
  <c r="BL17" i="1" s="1"/>
  <c r="BM17" i="1" s="1"/>
  <c r="BN17" i="1" s="1"/>
  <c r="BK223" i="1"/>
  <c r="BL223" i="1" s="1"/>
  <c r="BM223" i="1" s="1"/>
  <c r="BN223" i="1" s="1"/>
  <c r="BK304" i="1"/>
  <c r="BL304" i="1" s="1"/>
  <c r="BM304" i="1" s="1"/>
  <c r="BN304" i="1" s="1"/>
  <c r="BK276" i="1"/>
  <c r="BL276" i="1" s="1"/>
  <c r="BM276" i="1" s="1"/>
  <c r="BN276" i="1" s="1"/>
  <c r="BK241" i="1"/>
  <c r="BL241" i="1" s="1"/>
  <c r="BM241" i="1" s="1"/>
  <c r="BN241" i="1" s="1"/>
  <c r="BK235" i="1"/>
  <c r="BL235" i="1" s="1"/>
  <c r="BM235" i="1" s="1"/>
  <c r="BN235" i="1" s="1"/>
  <c r="BK149" i="1"/>
  <c r="BL149" i="1" s="1"/>
  <c r="BM149" i="1" s="1"/>
  <c r="BN149" i="1" s="1"/>
  <c r="BK99" i="1"/>
  <c r="BL99" i="1" s="1"/>
  <c r="BM99" i="1" s="1"/>
  <c r="BN99" i="1" s="1"/>
  <c r="BK81" i="1"/>
  <c r="BL81" i="1" s="1"/>
  <c r="BM81" i="1" s="1"/>
  <c r="BN81" i="1" s="1"/>
  <c r="BK53" i="1"/>
  <c r="BL53" i="1" s="1"/>
  <c r="BM53" i="1" s="1"/>
  <c r="BN53" i="1" s="1"/>
  <c r="BK42" i="1"/>
  <c r="BL42" i="1" s="1"/>
  <c r="BM42" i="1" s="1"/>
  <c r="BN42" i="1" s="1"/>
  <c r="BK28" i="1"/>
  <c r="BL28" i="1" s="1"/>
  <c r="BM28" i="1" s="1"/>
  <c r="BN28" i="1" s="1"/>
  <c r="BK71" i="1"/>
  <c r="BL71" i="1" s="1"/>
  <c r="BM71" i="1" s="1"/>
  <c r="BN71" i="1" s="1"/>
  <c r="BK306" i="1"/>
  <c r="BL306" i="1" s="1"/>
  <c r="BM306" i="1" s="1"/>
  <c r="BN306" i="1" s="1"/>
  <c r="BK262" i="1"/>
  <c r="BL262" i="1" s="1"/>
  <c r="BM262" i="1" s="1"/>
  <c r="BN262" i="1" s="1"/>
  <c r="BK248" i="1"/>
  <c r="BL248" i="1" s="1"/>
  <c r="BM248" i="1" s="1"/>
  <c r="BN248" i="1" s="1"/>
  <c r="BK206" i="1"/>
  <c r="BL206" i="1" s="1"/>
  <c r="BM206" i="1" s="1"/>
  <c r="BN206" i="1" s="1"/>
  <c r="BK193" i="1"/>
  <c r="BL193" i="1" s="1"/>
  <c r="BM193" i="1" s="1"/>
  <c r="BN193" i="1" s="1"/>
  <c r="BK180" i="1"/>
  <c r="BL180" i="1" s="1"/>
  <c r="BM180" i="1" s="1"/>
  <c r="BN180" i="1" s="1"/>
  <c r="BK165" i="1"/>
  <c r="BL165" i="1" s="1"/>
  <c r="BM165" i="1" s="1"/>
  <c r="BN165" i="1" s="1"/>
  <c r="BK67" i="1"/>
  <c r="BL67" i="1" s="1"/>
  <c r="BM67" i="1" s="1"/>
  <c r="BN67" i="1" s="1"/>
  <c r="BK55" i="1"/>
  <c r="BL55" i="1" s="1"/>
  <c r="BM55" i="1" s="1"/>
  <c r="BN55" i="1" s="1"/>
  <c r="BK43" i="1"/>
  <c r="BL43" i="1" s="1"/>
  <c r="BM43" i="1" s="1"/>
  <c r="BN43" i="1" s="1"/>
  <c r="BK4" i="1"/>
  <c r="BL4" i="1" s="1"/>
  <c r="BM4" i="1" s="1"/>
  <c r="BN4" i="1" s="1"/>
  <c r="BK16" i="1"/>
  <c r="BL16" i="1" s="1"/>
  <c r="BM16" i="1" s="1"/>
  <c r="BN16" i="1" s="1"/>
  <c r="BK137" i="1"/>
  <c r="BL137" i="1" s="1"/>
  <c r="BM137" i="1" s="1"/>
  <c r="BN137" i="1" s="1"/>
  <c r="BK301" i="1"/>
  <c r="BL301" i="1" s="1"/>
  <c r="BM301" i="1" s="1"/>
  <c r="BN301" i="1" s="1"/>
  <c r="BK288" i="1"/>
  <c r="BL288" i="1" s="1"/>
  <c r="BM288" i="1" s="1"/>
  <c r="BN288" i="1" s="1"/>
  <c r="BK249" i="1"/>
  <c r="BL249" i="1" s="1"/>
  <c r="BM249" i="1" s="1"/>
  <c r="BN249" i="1" s="1"/>
  <c r="BK224" i="1"/>
  <c r="BL224" i="1" s="1"/>
  <c r="BM224" i="1" s="1"/>
  <c r="BN224" i="1" s="1"/>
  <c r="BK218" i="1"/>
  <c r="BL218" i="1" s="1"/>
  <c r="BM218" i="1" s="1"/>
  <c r="BN218" i="1" s="1"/>
  <c r="BK181" i="1"/>
  <c r="BL181" i="1" s="1"/>
  <c r="BM181" i="1" s="1"/>
  <c r="BN181" i="1" s="1"/>
  <c r="BK162" i="1"/>
  <c r="BL162" i="1" s="1"/>
  <c r="BM162" i="1" s="1"/>
  <c r="BN162" i="1" s="1"/>
  <c r="BK155" i="1"/>
  <c r="BL155" i="1" s="1"/>
  <c r="BM155" i="1" s="1"/>
  <c r="BN155" i="1" s="1"/>
  <c r="BK48" i="1"/>
  <c r="BL48" i="1" s="1"/>
  <c r="BM48" i="1" s="1"/>
  <c r="BN48" i="1" s="1"/>
  <c r="BK95" i="1"/>
  <c r="BL95" i="1" s="1"/>
  <c r="BM95" i="1" s="1"/>
  <c r="BN95" i="1" s="1"/>
  <c r="BK11" i="1"/>
  <c r="BL11" i="1" s="1"/>
  <c r="BM11" i="1" s="1"/>
  <c r="BN11" i="1" s="1"/>
  <c r="BK281" i="1"/>
  <c r="BL281" i="1" s="1"/>
  <c r="BM281" i="1" s="1"/>
  <c r="BN281" i="1" s="1"/>
  <c r="BK211" i="1"/>
  <c r="BL211" i="1" s="1"/>
  <c r="BM211" i="1" s="1"/>
  <c r="BN211" i="1" s="1"/>
  <c r="BK175" i="1"/>
  <c r="BL175" i="1" s="1"/>
  <c r="BM175" i="1" s="1"/>
  <c r="BN175" i="1" s="1"/>
  <c r="BK135" i="1"/>
  <c r="BL135" i="1" s="1"/>
  <c r="BM135" i="1" s="1"/>
  <c r="BN135" i="1" s="1"/>
  <c r="BK56" i="1"/>
  <c r="BL56" i="1" s="1"/>
  <c r="BM56" i="1" s="1"/>
  <c r="BN56" i="1" s="1"/>
  <c r="BK22" i="1"/>
  <c r="BL22" i="1" s="1"/>
  <c r="BM22" i="1" s="1"/>
  <c r="BN22" i="1" s="1"/>
  <c r="BK167" i="1"/>
  <c r="BL167" i="1" s="1"/>
  <c r="BM167" i="1" s="1"/>
  <c r="BN167" i="1" s="1"/>
  <c r="BK92" i="1"/>
  <c r="BL92" i="1" s="1"/>
  <c r="BM92" i="1" s="1"/>
  <c r="BN92" i="1" s="1"/>
  <c r="BK317" i="1"/>
  <c r="BL317" i="1" s="1"/>
  <c r="BM317" i="1" s="1"/>
  <c r="BN317" i="1" s="1"/>
  <c r="BK311" i="1"/>
  <c r="BL311" i="1" s="1"/>
  <c r="BM311" i="1" s="1"/>
  <c r="BN311" i="1" s="1"/>
  <c r="BK309" i="1"/>
  <c r="BL309" i="1" s="1"/>
  <c r="BM309" i="1" s="1"/>
  <c r="BN309" i="1" s="1"/>
  <c r="BK289" i="1"/>
  <c r="BL289" i="1" s="1"/>
  <c r="BM289" i="1" s="1"/>
  <c r="BN289" i="1" s="1"/>
  <c r="BK259" i="1"/>
  <c r="BL259" i="1" s="1"/>
  <c r="BM259" i="1" s="1"/>
  <c r="BN259" i="1" s="1"/>
  <c r="BK243" i="1"/>
  <c r="BL243" i="1" s="1"/>
  <c r="BM243" i="1" s="1"/>
  <c r="BN243" i="1" s="1"/>
  <c r="BK240" i="1"/>
  <c r="BL240" i="1" s="1"/>
  <c r="BM240" i="1" s="1"/>
  <c r="BN240" i="1" s="1"/>
  <c r="BK35" i="1"/>
  <c r="BL35" i="1" s="1"/>
  <c r="BM35" i="1" s="1"/>
  <c r="BN35" i="1" s="1"/>
  <c r="BK20" i="1"/>
  <c r="BL20" i="1" s="1"/>
  <c r="BM20" i="1" s="1"/>
  <c r="BN20" i="1" s="1"/>
  <c r="BK312" i="1"/>
  <c r="BL312" i="1" s="1"/>
  <c r="BM312" i="1" s="1"/>
  <c r="BN312" i="1" s="1"/>
  <c r="BK300" i="1"/>
  <c r="BL300" i="1" s="1"/>
  <c r="BM300" i="1" s="1"/>
  <c r="BN300" i="1" s="1"/>
  <c r="BK256" i="1"/>
  <c r="BL256" i="1" s="1"/>
  <c r="BM256" i="1" s="1"/>
  <c r="BN256" i="1" s="1"/>
  <c r="BK198" i="1"/>
  <c r="BL198" i="1" s="1"/>
  <c r="BM198" i="1" s="1"/>
  <c r="BN198" i="1" s="1"/>
  <c r="BK176" i="1"/>
  <c r="BL176" i="1" s="1"/>
  <c r="BM176" i="1" s="1"/>
  <c r="BN176" i="1" s="1"/>
  <c r="BK32" i="1"/>
  <c r="BL32" i="1" s="1"/>
  <c r="BM32" i="1" s="1"/>
  <c r="BN32" i="1" s="1"/>
  <c r="BK23" i="1"/>
  <c r="BL23" i="1" s="1"/>
  <c r="BM23" i="1" s="1"/>
  <c r="BN23" i="1" s="1"/>
  <c r="BK7" i="1"/>
  <c r="BL7" i="1" s="1"/>
  <c r="BM7" i="1" s="1"/>
  <c r="BN7" i="1" s="1"/>
  <c r="BK27" i="1"/>
  <c r="BL27" i="1" s="1"/>
  <c r="BM27" i="1" s="1"/>
  <c r="BN27" i="1" s="1"/>
  <c r="BK10" i="1"/>
  <c r="BL10" i="1" s="1"/>
  <c r="BM10" i="1" s="1"/>
  <c r="BN10" i="1" s="1"/>
  <c r="BK2" i="1"/>
  <c r="BL2" i="1" s="1"/>
  <c r="BM2" i="1" s="1"/>
  <c r="BN2" i="1" s="1"/>
  <c r="BK29" i="1"/>
  <c r="BL29" i="1" s="1"/>
  <c r="BM29" i="1" s="1"/>
  <c r="BN29" i="1" s="1"/>
  <c r="I175" i="8"/>
  <c r="BW191" i="1"/>
  <c r="BX191" i="1" s="1"/>
  <c r="BW184" i="1"/>
  <c r="BX184" i="1" s="1"/>
  <c r="BW94" i="1"/>
  <c r="BX94" i="1" s="1"/>
  <c r="BW87" i="1"/>
  <c r="BX87" i="1" s="1"/>
  <c r="BW69" i="1"/>
  <c r="BX69" i="1" s="1"/>
  <c r="BW77" i="1"/>
  <c r="BX77" i="1" s="1"/>
  <c r="BW115" i="1"/>
  <c r="BX115" i="1" s="1"/>
  <c r="BW157" i="1"/>
  <c r="BX157" i="1" s="1"/>
  <c r="BW163" i="1"/>
  <c r="BX163" i="1" s="1"/>
  <c r="BW196" i="1"/>
  <c r="BX196" i="1" s="1"/>
  <c r="BW213" i="1"/>
  <c r="BX213" i="1" s="1"/>
  <c r="BW245" i="1"/>
  <c r="BX245" i="1" s="1"/>
  <c r="BW315" i="1"/>
  <c r="BX315" i="1" s="1"/>
  <c r="BW52" i="1"/>
  <c r="BX52" i="1" s="1"/>
  <c r="BW251" i="1"/>
  <c r="BX251" i="1" s="1"/>
  <c r="BW272" i="1"/>
  <c r="BX272" i="1" s="1"/>
  <c r="BW282" i="1"/>
  <c r="BX282" i="1" s="1"/>
  <c r="BW296" i="1"/>
  <c r="BX296" i="1" s="1"/>
  <c r="BW156" i="1"/>
  <c r="BX156" i="1" s="1"/>
  <c r="BW201" i="1"/>
  <c r="BX201" i="1" s="1"/>
  <c r="BW239" i="1"/>
  <c r="BX239" i="1" s="1"/>
  <c r="BW263" i="1"/>
  <c r="BX263" i="1" s="1"/>
  <c r="BW112" i="1"/>
  <c r="BX112" i="1" s="1"/>
  <c r="BW302" i="1"/>
  <c r="BX302" i="1" s="1"/>
  <c r="BW303" i="1"/>
  <c r="BX303" i="1" s="1"/>
  <c r="BW305" i="1"/>
  <c r="BX305" i="1" s="1"/>
  <c r="BW119" i="1"/>
  <c r="BX119" i="1" s="1"/>
  <c r="BW49" i="1"/>
  <c r="BX49" i="1" s="1"/>
  <c r="BW152" i="1"/>
  <c r="BX152" i="1" s="1"/>
  <c r="BW158" i="1"/>
  <c r="BX158" i="1" s="1"/>
  <c r="BW169" i="1"/>
  <c r="BX169" i="1" s="1"/>
  <c r="BW242" i="1"/>
  <c r="BX242" i="1" s="1"/>
  <c r="BW313" i="1"/>
  <c r="BX313" i="1" s="1"/>
  <c r="BW171" i="1"/>
  <c r="BX171" i="1" s="1"/>
  <c r="BW192" i="1"/>
  <c r="BX192" i="1" s="1"/>
  <c r="BW221" i="1"/>
  <c r="BX221" i="1" s="1"/>
  <c r="BW237" i="1"/>
  <c r="BX237" i="1" s="1"/>
  <c r="BW122" i="1"/>
  <c r="BX122" i="1" s="1"/>
  <c r="BW136" i="1"/>
  <c r="BX136" i="1" s="1"/>
  <c r="BW194" i="1"/>
  <c r="BX194" i="1" s="1"/>
  <c r="BW208" i="1"/>
  <c r="BX208" i="1" s="1"/>
  <c r="BW141" i="1"/>
  <c r="BX141" i="1" s="1"/>
  <c r="BW207" i="1"/>
  <c r="BX207" i="1" s="1"/>
  <c r="BW322" i="1"/>
  <c r="BW246" i="1"/>
  <c r="BW236" i="1"/>
  <c r="BW226" i="1"/>
  <c r="BW310" i="1"/>
  <c r="BW252" i="1"/>
  <c r="BW308" i="1"/>
  <c r="BW298" i="1"/>
  <c r="BX298" i="1" s="1"/>
  <c r="BW290" i="1"/>
  <c r="BK236" i="1"/>
  <c r="BL236" i="1" s="1"/>
  <c r="BM236" i="1" s="1"/>
  <c r="BN236" i="1" s="1"/>
  <c r="BK298" i="1"/>
  <c r="BL298" i="1" s="1"/>
  <c r="BM298" i="1" s="1"/>
  <c r="BN298" i="1" s="1"/>
  <c r="BK310" i="1"/>
  <c r="BL310" i="1" s="1"/>
  <c r="BM310" i="1" s="1"/>
  <c r="BN310" i="1" s="1"/>
  <c r="BK143" i="1"/>
  <c r="BL143" i="1" s="1"/>
  <c r="BM143" i="1" s="1"/>
  <c r="BN143" i="1" s="1"/>
  <c r="BK308" i="1"/>
  <c r="BL308" i="1" s="1"/>
  <c r="BM308" i="1" s="1"/>
  <c r="BN308" i="1" s="1"/>
  <c r="BK322" i="1"/>
  <c r="BL322" i="1" s="1"/>
  <c r="BM322" i="1" s="1"/>
  <c r="BN322" i="1" s="1"/>
  <c r="BK83" i="1" l="1"/>
  <c r="BL83" i="1" s="1"/>
  <c r="BM83" i="1" s="1"/>
  <c r="BN83" i="1" s="1"/>
  <c r="BK6" i="1"/>
  <c r="BL6" i="1" s="1"/>
  <c r="BM6" i="1" s="1"/>
  <c r="BN6" i="1" s="1"/>
  <c r="BK147" i="1"/>
  <c r="BL147" i="1" s="1"/>
  <c r="BM147" i="1" s="1"/>
  <c r="BN147" i="1" s="1"/>
  <c r="BK133" i="1"/>
  <c r="BL133" i="1" s="1"/>
  <c r="BM133" i="1" s="1"/>
  <c r="BN133" i="1" s="1"/>
  <c r="BK132" i="1"/>
  <c r="BL132" i="1" s="1"/>
  <c r="BM132" i="1" s="1"/>
  <c r="BN132" i="1" s="1"/>
  <c r="BK203" i="1"/>
  <c r="BL203" i="1" s="1"/>
  <c r="BM203" i="1" s="1"/>
  <c r="BN203" i="1" s="1"/>
  <c r="BK91" i="1"/>
  <c r="BL91" i="1" s="1"/>
  <c r="BM91" i="1" s="1"/>
  <c r="BN91" i="1" s="1"/>
  <c r="BK267" i="1"/>
  <c r="BL267" i="1" s="1"/>
  <c r="BM267" i="1" s="1"/>
  <c r="BN267" i="1" s="1"/>
  <c r="BK172" i="1"/>
  <c r="BL172" i="1" s="1"/>
  <c r="BM172" i="1" s="1"/>
  <c r="BN172" i="1" s="1"/>
  <c r="BL2" i="3"/>
  <c r="BW166" i="1"/>
  <c r="BX166" i="1" s="1"/>
  <c r="BW84" i="1"/>
  <c r="BX84" i="1" s="1"/>
  <c r="BW151" i="1"/>
  <c r="BX151" i="1" s="1"/>
  <c r="BW138" i="1"/>
  <c r="BX138" i="1" s="1"/>
  <c r="BW50" i="1"/>
  <c r="BX50" i="1" s="1"/>
  <c r="BW139" i="1"/>
  <c r="BX139" i="1" s="1"/>
  <c r="BW61" i="1"/>
  <c r="BX61" i="1" s="1"/>
  <c r="BW113" i="1"/>
  <c r="BX113" i="1" s="1"/>
  <c r="BW70" i="1"/>
  <c r="BX70" i="1" s="1"/>
  <c r="BW34" i="1"/>
  <c r="BX34" i="1" s="1"/>
  <c r="BW150" i="1"/>
  <c r="BX150" i="1" s="1"/>
  <c r="BW307" i="1"/>
  <c r="BX307" i="1" s="1"/>
  <c r="BW39" i="1"/>
  <c r="BX39" i="1" s="1"/>
  <c r="BW21" i="1"/>
  <c r="BX21" i="1" s="1"/>
  <c r="BW18" i="1"/>
  <c r="BX18" i="1" s="1"/>
  <c r="BW110" i="1"/>
  <c r="BX110" i="1" s="1"/>
  <c r="BW51" i="1"/>
  <c r="BX51" i="1" s="1"/>
  <c r="BW33" i="1"/>
  <c r="BX33" i="1" s="1"/>
  <c r="BW109" i="1"/>
  <c r="BX109" i="1" s="1"/>
  <c r="BW299" i="1"/>
  <c r="BX299" i="1" s="1"/>
  <c r="BW321" i="1"/>
  <c r="BX321" i="1" s="1"/>
  <c r="BW217" i="1"/>
  <c r="BX217" i="1" s="1"/>
  <c r="BW86" i="1"/>
  <c r="BX86" i="1" s="1"/>
  <c r="BW273" i="1"/>
  <c r="BX273" i="1" s="1"/>
  <c r="BW183" i="1"/>
  <c r="BX183" i="1" s="1"/>
  <c r="CT2" i="1"/>
  <c r="CU2" i="1" s="1"/>
  <c r="CV2" i="1" s="1"/>
  <c r="BK169" i="1"/>
  <c r="BL169" i="1" s="1"/>
  <c r="BM169" i="1" s="1"/>
  <c r="BN169" i="1" s="1"/>
  <c r="BK299" i="1"/>
  <c r="BL299" i="1" s="1"/>
  <c r="BM299" i="1" s="1"/>
  <c r="BN299" i="1" s="1"/>
  <c r="BK303" i="1"/>
  <c r="BL303" i="1" s="1"/>
  <c r="BM303" i="1" s="1"/>
  <c r="BN303" i="1" s="1"/>
  <c r="BK115" i="1"/>
  <c r="BL115" i="1" s="1"/>
  <c r="BM115" i="1" s="1"/>
  <c r="BN115" i="1" s="1"/>
  <c r="BK150" i="1"/>
  <c r="BL150" i="1" s="1"/>
  <c r="BM150" i="1" s="1"/>
  <c r="BN150" i="1" s="1"/>
  <c r="BK321" i="1"/>
  <c r="BL321" i="1" s="1"/>
  <c r="BM321" i="1" s="1"/>
  <c r="BN321" i="1" s="1"/>
  <c r="BK84" i="1"/>
  <c r="BL84" i="1" s="1"/>
  <c r="BM84" i="1" s="1"/>
  <c r="BN84" i="1" s="1"/>
  <c r="BK237" i="1"/>
  <c r="BL237" i="1" s="1"/>
  <c r="BM237" i="1" s="1"/>
  <c r="BN237" i="1" s="1"/>
  <c r="BK21" i="1"/>
  <c r="BL21" i="1" s="1"/>
  <c r="BM21" i="1" s="1"/>
  <c r="BN21" i="1" s="1"/>
  <c r="BK242" i="1"/>
  <c r="BL242" i="1" s="1"/>
  <c r="BM242" i="1" s="1"/>
  <c r="BN242" i="1" s="1"/>
  <c r="BK156" i="1"/>
  <c r="BL156" i="1" s="1"/>
  <c r="BM156" i="1" s="1"/>
  <c r="BN156" i="1" s="1"/>
  <c r="BK221" i="1"/>
  <c r="BL221" i="1" s="1"/>
  <c r="BM221" i="1" s="1"/>
  <c r="BN221" i="1" s="1"/>
  <c r="BK196" i="1"/>
  <c r="BL196" i="1" s="1"/>
  <c r="BM196" i="1" s="1"/>
  <c r="BN196" i="1" s="1"/>
  <c r="BK113" i="1"/>
  <c r="BL113" i="1" s="1"/>
  <c r="BM113" i="1" s="1"/>
  <c r="BN113" i="1" s="1"/>
  <c r="BK110" i="1"/>
  <c r="BL110" i="1" s="1"/>
  <c r="BM110" i="1" s="1"/>
  <c r="BN110" i="1" s="1"/>
  <c r="BK282" i="1"/>
  <c r="BL282" i="1" s="1"/>
  <c r="BM282" i="1" s="1"/>
  <c r="BN282" i="1" s="1"/>
  <c r="BK52" i="1"/>
  <c r="BL52" i="1" s="1"/>
  <c r="BM52" i="1" s="1"/>
  <c r="BN52" i="1" s="1"/>
  <c r="BK307" i="1"/>
  <c r="BL307" i="1" s="1"/>
  <c r="BM307" i="1" s="1"/>
  <c r="BN307" i="1" s="1"/>
  <c r="BK157" i="1"/>
  <c r="BL157" i="1" s="1"/>
  <c r="BM157" i="1" s="1"/>
  <c r="BN157" i="1" s="1"/>
  <c r="BK152" i="1"/>
  <c r="BL152" i="1" s="1"/>
  <c r="BM152" i="1" s="1"/>
  <c r="BN152" i="1" s="1"/>
  <c r="BK192" i="1"/>
  <c r="BL192" i="1" s="1"/>
  <c r="BM192" i="1" s="1"/>
  <c r="BN192" i="1" s="1"/>
  <c r="BK94" i="1"/>
  <c r="BL94" i="1" s="1"/>
  <c r="BM94" i="1" s="1"/>
  <c r="BN94" i="1" s="1"/>
  <c r="BK34" i="1"/>
  <c r="BL34" i="1" s="1"/>
  <c r="BM34" i="1" s="1"/>
  <c r="BN34" i="1" s="1"/>
  <c r="BK50" i="1"/>
  <c r="BL50" i="1" s="1"/>
  <c r="BM50" i="1" s="1"/>
  <c r="BN50" i="1" s="1"/>
  <c r="BK272" i="1"/>
  <c r="BL272" i="1" s="1"/>
  <c r="BM272" i="1" s="1"/>
  <c r="BN272" i="1" s="1"/>
  <c r="BK302" i="1"/>
  <c r="BL302" i="1" s="1"/>
  <c r="BM302" i="1" s="1"/>
  <c r="BN302" i="1" s="1"/>
  <c r="BK77" i="1"/>
  <c r="BL77" i="1" s="1"/>
  <c r="BM77" i="1" s="1"/>
  <c r="BN77" i="1" s="1"/>
  <c r="BK112" i="1"/>
  <c r="BL112" i="1" s="1"/>
  <c r="BM112" i="1" s="1"/>
  <c r="BN112" i="1" s="1"/>
  <c r="BK166" i="1"/>
  <c r="BL166" i="1" s="1"/>
  <c r="BM166" i="1" s="1"/>
  <c r="BN166" i="1" s="1"/>
  <c r="BK49" i="1"/>
  <c r="BL49" i="1" s="1"/>
  <c r="BM49" i="1" s="1"/>
  <c r="BN49" i="1" s="1"/>
  <c r="BK119" i="1"/>
  <c r="BL119" i="1" s="1"/>
  <c r="BM119" i="1" s="1"/>
  <c r="BN119" i="1" s="1"/>
  <c r="BK39" i="1"/>
  <c r="BL39" i="1" s="1"/>
  <c r="BM39" i="1" s="1"/>
  <c r="BN39" i="1" s="1"/>
  <c r="BK251" i="1"/>
  <c r="BL251" i="1" s="1"/>
  <c r="BM251" i="1" s="1"/>
  <c r="BN251" i="1" s="1"/>
  <c r="BK86" i="1"/>
  <c r="BL86" i="1" s="1"/>
  <c r="BM86" i="1" s="1"/>
  <c r="BN86" i="1" s="1"/>
  <c r="BK239" i="1"/>
  <c r="BL239" i="1" s="1"/>
  <c r="BM239" i="1" s="1"/>
  <c r="BN239" i="1" s="1"/>
  <c r="BK140" i="1"/>
  <c r="BL140" i="1" s="1"/>
  <c r="BM140" i="1" s="1"/>
  <c r="BN140" i="1" s="1"/>
  <c r="BK87" i="1"/>
  <c r="BL87" i="1" s="1"/>
  <c r="BM87" i="1" s="1"/>
  <c r="BN87" i="1" s="1"/>
  <c r="BK139" i="1"/>
  <c r="BL139" i="1" s="1"/>
  <c r="BM139" i="1" s="1"/>
  <c r="BN139" i="1" s="1"/>
  <c r="BK201" i="1"/>
  <c r="BL201" i="1" s="1"/>
  <c r="BM201" i="1" s="1"/>
  <c r="BN201" i="1" s="1"/>
  <c r="BK217" i="1"/>
  <c r="BL217" i="1" s="1"/>
  <c r="BM217" i="1" s="1"/>
  <c r="BN217" i="1" s="1"/>
  <c r="BK33" i="1"/>
  <c r="BL33" i="1" s="1"/>
  <c r="BM33" i="1" s="1"/>
  <c r="BN33" i="1" s="1"/>
  <c r="BK158" i="1"/>
  <c r="BL158" i="1" s="1"/>
  <c r="BM158" i="1" s="1"/>
  <c r="BN158" i="1" s="1"/>
  <c r="BK315" i="1"/>
  <c r="BL315" i="1" s="1"/>
  <c r="BM315" i="1" s="1"/>
  <c r="BN315" i="1" s="1"/>
  <c r="BK191" i="1"/>
  <c r="BL191" i="1" s="1"/>
  <c r="BM191" i="1" s="1"/>
  <c r="BN191" i="1" s="1"/>
  <c r="BK245" i="1"/>
  <c r="BL245" i="1" s="1"/>
  <c r="BM245" i="1" s="1"/>
  <c r="BN245" i="1" s="1"/>
  <c r="BK171" i="1"/>
  <c r="BL171" i="1" s="1"/>
  <c r="BM171" i="1" s="1"/>
  <c r="BN171" i="1" s="1"/>
  <c r="BK70" i="1"/>
  <c r="BL70" i="1" s="1"/>
  <c r="BM70" i="1" s="1"/>
  <c r="BN70" i="1" s="1"/>
  <c r="BK109" i="1"/>
  <c r="BL109" i="1" s="1"/>
  <c r="BM109" i="1" s="1"/>
  <c r="BN109" i="1" s="1"/>
  <c r="BK184" i="1"/>
  <c r="BL184" i="1" s="1"/>
  <c r="BM184" i="1" s="1"/>
  <c r="BN184" i="1" s="1"/>
  <c r="BK213" i="1"/>
  <c r="BL213" i="1" s="1"/>
  <c r="BM213" i="1" s="1"/>
  <c r="BN213" i="1" s="1"/>
  <c r="BK61" i="1"/>
  <c r="BL61" i="1" s="1"/>
  <c r="BM61" i="1" s="1"/>
  <c r="BN61" i="1" s="1"/>
  <c r="BK51" i="1"/>
  <c r="BL51" i="1" s="1"/>
  <c r="BM51" i="1" s="1"/>
  <c r="BN51" i="1" s="1"/>
  <c r="BK305" i="1"/>
  <c r="BL305" i="1" s="1"/>
  <c r="BM305" i="1" s="1"/>
  <c r="BN305" i="1" s="1"/>
  <c r="BK163" i="1"/>
  <c r="BL163" i="1" s="1"/>
  <c r="BM163" i="1" s="1"/>
  <c r="BN163" i="1" s="1"/>
  <c r="BK313" i="1"/>
  <c r="BL313" i="1" s="1"/>
  <c r="BM313" i="1" s="1"/>
  <c r="BN313" i="1" s="1"/>
  <c r="BK18" i="1"/>
  <c r="BL18" i="1" s="1"/>
  <c r="BM18" i="1" s="1"/>
  <c r="BN18" i="1" s="1"/>
  <c r="BK69" i="1"/>
  <c r="BL69" i="1" s="1"/>
  <c r="BM69" i="1" s="1"/>
  <c r="BN69" i="1" s="1"/>
  <c r="BK151" i="1"/>
  <c r="BL151" i="1" s="1"/>
  <c r="BM151" i="1" s="1"/>
  <c r="BN151" i="1" s="1"/>
  <c r="BK183" i="1"/>
  <c r="BL183" i="1" s="1"/>
  <c r="BM183" i="1" s="1"/>
  <c r="BN183" i="1" s="1"/>
  <c r="BK263" i="1"/>
  <c r="BL263" i="1" s="1"/>
  <c r="BM263" i="1" s="1"/>
  <c r="BN263" i="1" s="1"/>
  <c r="BK273" i="1"/>
  <c r="BL273" i="1" s="1"/>
  <c r="BM273" i="1" s="1"/>
  <c r="BN273" i="1" s="1"/>
  <c r="BK296" i="1"/>
  <c r="BL296" i="1" s="1"/>
  <c r="BM296" i="1" s="1"/>
  <c r="BN296" i="1" s="1"/>
  <c r="BK138" i="1"/>
  <c r="BL138" i="1" s="1"/>
  <c r="BM138" i="1" s="1"/>
  <c r="BN138" i="1" s="1"/>
  <c r="CT3" i="1"/>
  <c r="CU3" i="1" s="1"/>
  <c r="CV3" i="1" s="1"/>
  <c r="AH280" i="1"/>
  <c r="AI280" i="1" s="1"/>
  <c r="AJ280" i="1" s="1"/>
  <c r="BK159" i="1"/>
  <c r="BL159" i="1" s="1"/>
  <c r="BM159" i="1" s="1"/>
  <c r="BN159" i="1" s="1"/>
  <c r="BK173" i="1"/>
  <c r="BL173" i="1" s="1"/>
  <c r="BM173" i="1" s="1"/>
  <c r="BN173" i="1" s="1"/>
  <c r="BK127" i="1"/>
  <c r="BL127" i="1" s="1"/>
  <c r="BM127" i="1" s="1"/>
  <c r="BN127" i="1" s="1"/>
  <c r="BK24" i="1"/>
  <c r="BL24" i="1" s="1"/>
  <c r="BM24" i="1" s="1"/>
  <c r="BN24" i="1" s="1"/>
  <c r="BK153" i="1"/>
  <c r="BL153" i="1" s="1"/>
  <c r="BM153" i="1" s="1"/>
  <c r="BN153" i="1" s="1"/>
  <c r="BK146" i="1"/>
  <c r="BL146" i="1" s="1"/>
  <c r="BM146" i="1" s="1"/>
  <c r="BN146" i="1" s="1"/>
  <c r="BK161" i="1"/>
  <c r="BL161" i="1" s="1"/>
  <c r="BM161" i="1" s="1"/>
  <c r="BN161" i="1" s="1"/>
  <c r="BK231" i="1"/>
  <c r="BL231" i="1" s="1"/>
  <c r="BM231" i="1" s="1"/>
  <c r="BN231" i="1" s="1"/>
  <c r="BK291" i="1"/>
  <c r="BL291" i="1" s="1"/>
  <c r="BM291" i="1" s="1"/>
  <c r="BN291" i="1" s="1"/>
  <c r="BK214" i="1"/>
  <c r="BL214" i="1" s="1"/>
  <c r="BM214" i="1" s="1"/>
  <c r="BN214" i="1" s="1"/>
  <c r="BK174" i="1"/>
  <c r="BL174" i="1" s="1"/>
  <c r="BM174" i="1" s="1"/>
  <c r="BN174" i="1" s="1"/>
  <c r="BK154" i="1"/>
  <c r="BL154" i="1" s="1"/>
  <c r="BM154" i="1" s="1"/>
  <c r="BN154" i="1" s="1"/>
  <c r="BK30" i="1"/>
  <c r="BL30" i="1" s="1"/>
  <c r="BM30" i="1" s="1"/>
  <c r="BN30" i="1" s="1"/>
  <c r="BK89" i="1"/>
  <c r="BL89" i="1" s="1"/>
  <c r="BM89" i="1" s="1"/>
  <c r="BN89" i="1" s="1"/>
  <c r="BK205" i="1"/>
  <c r="BL205" i="1" s="1"/>
  <c r="BM205" i="1" s="1"/>
  <c r="BN205" i="1" s="1"/>
  <c r="BK199" i="1"/>
  <c r="BL199" i="1" s="1"/>
  <c r="BM199" i="1" s="1"/>
  <c r="BN199" i="1" s="1"/>
  <c r="BK280" i="1"/>
  <c r="BL280" i="1" s="1"/>
  <c r="BM280" i="1" s="1"/>
  <c r="BN280" i="1" s="1"/>
  <c r="BK270" i="1"/>
  <c r="BL270" i="1" s="1"/>
  <c r="BM270" i="1" s="1"/>
  <c r="BN270" i="1" s="1"/>
  <c r="BK228" i="1"/>
  <c r="BL228" i="1" s="1"/>
  <c r="BM228" i="1" s="1"/>
  <c r="BN228" i="1" s="1"/>
  <c r="BK284" i="1"/>
  <c r="BL284" i="1" s="1"/>
  <c r="BM284" i="1" s="1"/>
  <c r="BN284" i="1" s="1"/>
  <c r="BK60" i="1"/>
  <c r="BL60" i="1" s="1"/>
  <c r="BM60" i="1" s="1"/>
  <c r="BN60" i="1" s="1"/>
  <c r="BK186" i="1"/>
  <c r="BL186" i="1" s="1"/>
  <c r="BM186" i="1" s="1"/>
  <c r="BN186" i="1" s="1"/>
  <c r="BK232" i="1"/>
  <c r="BL232" i="1" s="1"/>
  <c r="BM232" i="1" s="1"/>
  <c r="BN232" i="1" s="1"/>
  <c r="BK200" i="1"/>
  <c r="BL200" i="1" s="1"/>
  <c r="BM200" i="1" s="1"/>
  <c r="BN200" i="1" s="1"/>
  <c r="BK283" i="1"/>
  <c r="BL283" i="1" s="1"/>
  <c r="BM283" i="1" s="1"/>
  <c r="BN283" i="1" s="1"/>
  <c r="BK108" i="1"/>
  <c r="BL108" i="1" s="1"/>
  <c r="BM108" i="1" s="1"/>
  <c r="BN108" i="1" s="1"/>
  <c r="BK244" i="1"/>
  <c r="BL244" i="1" s="1"/>
  <c r="BM244" i="1" s="1"/>
  <c r="BN244" i="1" s="1"/>
  <c r="BK285" i="1"/>
  <c r="BL285" i="1" s="1"/>
  <c r="BM285" i="1" s="1"/>
  <c r="BN285" i="1" s="1"/>
  <c r="BK82" i="1"/>
  <c r="BL82" i="1" s="1"/>
  <c r="BM82" i="1" s="1"/>
  <c r="BN82" i="1" s="1"/>
  <c r="BK15" i="1"/>
  <c r="BL15" i="1" s="1"/>
  <c r="BM15" i="1" s="1"/>
  <c r="BN15" i="1" s="1"/>
  <c r="BK261" i="1"/>
  <c r="BL261" i="1" s="1"/>
  <c r="BM261" i="1" s="1"/>
  <c r="BN261" i="1" s="1"/>
  <c r="BK230" i="1"/>
  <c r="BL230" i="1" s="1"/>
  <c r="BM230" i="1" s="1"/>
  <c r="BN230" i="1" s="1"/>
  <c r="BK44" i="1"/>
  <c r="BL44" i="1" s="1"/>
  <c r="BM44" i="1" s="1"/>
  <c r="BN44" i="1" s="1"/>
  <c r="AH282" i="1"/>
  <c r="AI282" i="1" s="1"/>
  <c r="AJ282" i="1" s="1"/>
  <c r="BK209" i="1"/>
  <c r="BL209" i="1" s="1"/>
  <c r="BM209" i="1" s="1"/>
  <c r="BN209" i="1" s="1"/>
  <c r="BK31" i="1"/>
  <c r="BL31" i="1" s="1"/>
  <c r="BM31" i="1" s="1"/>
  <c r="BN31" i="1" s="1"/>
  <c r="BK3" i="1"/>
  <c r="BL3" i="1" s="1"/>
  <c r="BM3" i="1" s="1"/>
  <c r="BN3" i="1" s="1"/>
  <c r="BK100" i="1"/>
  <c r="BL100" i="1" s="1"/>
  <c r="BM100" i="1" s="1"/>
  <c r="BN100" i="1" s="1"/>
  <c r="BK90" i="1"/>
  <c r="BL90" i="1" s="1"/>
  <c r="BM90" i="1" s="1"/>
  <c r="BN90" i="1" s="1"/>
  <c r="BK264" i="1"/>
  <c r="BL264" i="1" s="1"/>
  <c r="BM264" i="1" s="1"/>
  <c r="BN264" i="1" s="1"/>
  <c r="BK250" i="1"/>
  <c r="BL250" i="1" s="1"/>
  <c r="BM250" i="1" s="1"/>
  <c r="BN250" i="1" s="1"/>
  <c r="BK85" i="1"/>
  <c r="BL85" i="1" s="1"/>
  <c r="BM85" i="1" s="1"/>
  <c r="BN85" i="1" s="1"/>
  <c r="BK257" i="1"/>
  <c r="BL257" i="1" s="1"/>
  <c r="BM257" i="1" s="1"/>
  <c r="BN257" i="1" s="1"/>
  <c r="BK57" i="1"/>
  <c r="BL57" i="1" s="1"/>
  <c r="BM57" i="1" s="1"/>
  <c r="BN57" i="1" s="1"/>
  <c r="BK168" i="1"/>
  <c r="BL168" i="1" s="1"/>
  <c r="BM168" i="1" s="1"/>
  <c r="BN168" i="1" s="1"/>
  <c r="BK103" i="1"/>
  <c r="BL103" i="1" s="1"/>
  <c r="BM103" i="1" s="1"/>
  <c r="BN103" i="1" s="1"/>
  <c r="BK75" i="1"/>
  <c r="BL75" i="1" s="1"/>
  <c r="BM75" i="1" s="1"/>
  <c r="BN75" i="1" s="1"/>
  <c r="BK178" i="1"/>
  <c r="BL178" i="1" s="1"/>
  <c r="BM178" i="1" s="1"/>
  <c r="BN178" i="1" s="1"/>
  <c r="BK269" i="1"/>
  <c r="BL269" i="1" s="1"/>
  <c r="BM269" i="1" s="1"/>
  <c r="BN269" i="1" s="1"/>
  <c r="BK116" i="1"/>
  <c r="BL116" i="1" s="1"/>
  <c r="BM116" i="1" s="1"/>
  <c r="BN116" i="1" s="1"/>
  <c r="BK5" i="1"/>
  <c r="BL5" i="1" s="1"/>
  <c r="BM5" i="1" s="1"/>
  <c r="BN5" i="1" s="1"/>
  <c r="BK64" i="1"/>
  <c r="BL64" i="1" s="1"/>
  <c r="BM64" i="1" s="1"/>
  <c r="BN64" i="1" s="1"/>
  <c r="BK274" i="1"/>
  <c r="BL274" i="1" s="1"/>
  <c r="BM274" i="1" s="1"/>
  <c r="BN274" i="1" s="1"/>
  <c r="BK145" i="1"/>
  <c r="BL145" i="1" s="1"/>
  <c r="BM145" i="1" s="1"/>
  <c r="BN145" i="1" s="1"/>
  <c r="BK78" i="1"/>
  <c r="BL78" i="1" s="1"/>
  <c r="BM78" i="1" s="1"/>
  <c r="BN78" i="1" s="1"/>
  <c r="BK227" i="1"/>
  <c r="BL227" i="1" s="1"/>
  <c r="BM227" i="1" s="1"/>
  <c r="BN227" i="1" s="1"/>
  <c r="BK314" i="1"/>
  <c r="BL314" i="1" s="1"/>
  <c r="BM314" i="1" s="1"/>
  <c r="BN314" i="1" s="1"/>
  <c r="BY5" i="1"/>
  <c r="BZ5" i="1" s="1"/>
  <c r="CA5" i="1" s="1"/>
  <c r="CB5" i="1" s="1"/>
  <c r="BY17" i="1"/>
  <c r="BZ17" i="1" s="1"/>
  <c r="CA17" i="1" s="1"/>
  <c r="CB17" i="1" s="1"/>
  <c r="CW17" i="1" s="1"/>
  <c r="D321" i="8" s="1"/>
  <c r="J321" i="8" s="1"/>
  <c r="BY25" i="1"/>
  <c r="BZ25" i="1" s="1"/>
  <c r="CA25" i="1" s="1"/>
  <c r="CB25" i="1" s="1"/>
  <c r="CW25" i="1" s="1"/>
  <c r="D305" i="8" s="1"/>
  <c r="J305" i="8" s="1"/>
  <c r="BY294" i="1"/>
  <c r="BZ294" i="1" s="1"/>
  <c r="CA294" i="1" s="1"/>
  <c r="CB294" i="1" s="1"/>
  <c r="CW294" i="1" s="1"/>
  <c r="D102" i="8" s="1"/>
  <c r="J102" i="8" s="1"/>
  <c r="BY275" i="1"/>
  <c r="BZ275" i="1" s="1"/>
  <c r="CA275" i="1" s="1"/>
  <c r="CB275" i="1" s="1"/>
  <c r="CW275" i="1" s="1"/>
  <c r="D40" i="8" s="1"/>
  <c r="J40" i="8" s="1"/>
  <c r="BY285" i="1"/>
  <c r="BZ285" i="1" s="1"/>
  <c r="CA285" i="1" s="1"/>
  <c r="CB285" i="1" s="1"/>
  <c r="BX236" i="1"/>
  <c r="BY10" i="1"/>
  <c r="BZ10" i="1" s="1"/>
  <c r="CA10" i="1" s="1"/>
  <c r="CB10" i="1" s="1"/>
  <c r="CW10" i="1" s="1"/>
  <c r="D186" i="8" s="1"/>
  <c r="J186" i="8" s="1"/>
  <c r="BY180" i="1"/>
  <c r="BZ180" i="1" s="1"/>
  <c r="CA180" i="1" s="1"/>
  <c r="CB180" i="1" s="1"/>
  <c r="CW180" i="1" s="1"/>
  <c r="D87" i="8" s="1"/>
  <c r="J87" i="8" s="1"/>
  <c r="BY71" i="1"/>
  <c r="BZ71" i="1" s="1"/>
  <c r="CA71" i="1" s="1"/>
  <c r="CB71" i="1" s="1"/>
  <c r="CW71" i="1" s="1"/>
  <c r="D288" i="8" s="1"/>
  <c r="J288" i="8" s="1"/>
  <c r="BY98" i="1"/>
  <c r="BZ98" i="1" s="1"/>
  <c r="CA98" i="1" s="1"/>
  <c r="CB98" i="1" s="1"/>
  <c r="CW98" i="1" s="1"/>
  <c r="D286" i="8" s="1"/>
  <c r="J286" i="8" s="1"/>
  <c r="BY193" i="1"/>
  <c r="BZ193" i="1" s="1"/>
  <c r="CA193" i="1" s="1"/>
  <c r="CB193" i="1" s="1"/>
  <c r="CW193" i="1" s="1"/>
  <c r="D253" i="8" s="1"/>
  <c r="J253" i="8" s="1"/>
  <c r="BY288" i="1"/>
  <c r="BZ288" i="1" s="1"/>
  <c r="CA288" i="1" s="1"/>
  <c r="CB288" i="1" s="1"/>
  <c r="CW288" i="1" s="1"/>
  <c r="D91" i="8" s="1"/>
  <c r="J91" i="8" s="1"/>
  <c r="BY177" i="1"/>
  <c r="BZ177" i="1" s="1"/>
  <c r="CA177" i="1" s="1"/>
  <c r="CB177" i="1" s="1"/>
  <c r="CW177" i="1" s="1"/>
  <c r="D185" i="8" s="1"/>
  <c r="J185" i="8" s="1"/>
  <c r="BY281" i="1"/>
  <c r="BZ281" i="1" s="1"/>
  <c r="CA281" i="1" s="1"/>
  <c r="CB281" i="1" s="1"/>
  <c r="CW281" i="1" s="1"/>
  <c r="D15" i="8" s="1"/>
  <c r="J15" i="8" s="1"/>
  <c r="BY306" i="1"/>
  <c r="BZ306" i="1" s="1"/>
  <c r="CA306" i="1" s="1"/>
  <c r="CB306" i="1" s="1"/>
  <c r="CW306" i="1" s="1"/>
  <c r="D50" i="8" s="1"/>
  <c r="J50" i="8" s="1"/>
  <c r="BY72" i="1"/>
  <c r="BZ72" i="1" s="1"/>
  <c r="CA72" i="1" s="1"/>
  <c r="CB72" i="1" s="1"/>
  <c r="CW72" i="1" s="1"/>
  <c r="D123" i="8" s="1"/>
  <c r="J123" i="8" s="1"/>
  <c r="BY96" i="1"/>
  <c r="BZ96" i="1" s="1"/>
  <c r="CA96" i="1" s="1"/>
  <c r="CB96" i="1" s="1"/>
  <c r="CW96" i="1" s="1"/>
  <c r="D192" i="8" s="1"/>
  <c r="J192" i="8" s="1"/>
  <c r="BY54" i="1"/>
  <c r="BZ54" i="1" s="1"/>
  <c r="CA54" i="1" s="1"/>
  <c r="CB54" i="1" s="1"/>
  <c r="CW54" i="1" s="1"/>
  <c r="D245" i="8" s="1"/>
  <c r="J245" i="8" s="1"/>
  <c r="BY117" i="1"/>
  <c r="BZ117" i="1" s="1"/>
  <c r="CA117" i="1" s="1"/>
  <c r="CB117" i="1" s="1"/>
  <c r="CW117" i="1" s="1"/>
  <c r="D34" i="8" s="1"/>
  <c r="J34" i="8" s="1"/>
  <c r="BY37" i="1"/>
  <c r="BZ37" i="1" s="1"/>
  <c r="CA37" i="1" s="1"/>
  <c r="CB37" i="1" s="1"/>
  <c r="CW37" i="1" s="1"/>
  <c r="D84" i="8" s="1"/>
  <c r="J84" i="8" s="1"/>
  <c r="BY148" i="1"/>
  <c r="BZ148" i="1" s="1"/>
  <c r="CA148" i="1" s="1"/>
  <c r="CB148" i="1" s="1"/>
  <c r="CW148" i="1" s="1"/>
  <c r="D155" i="8" s="1"/>
  <c r="J155" i="8" s="1"/>
  <c r="BY234" i="1"/>
  <c r="BZ234" i="1" s="1"/>
  <c r="CA234" i="1" s="1"/>
  <c r="CB234" i="1" s="1"/>
  <c r="CW234" i="1" s="1"/>
  <c r="D70" i="8" s="1"/>
  <c r="J70" i="8" s="1"/>
  <c r="BY105" i="1"/>
  <c r="BZ105" i="1" s="1"/>
  <c r="CA105" i="1" s="1"/>
  <c r="CB105" i="1" s="1"/>
  <c r="CW105" i="1" s="1"/>
  <c r="D142" i="8" s="1"/>
  <c r="J142" i="8" s="1"/>
  <c r="BY254" i="1"/>
  <c r="BZ254" i="1" s="1"/>
  <c r="CA254" i="1" s="1"/>
  <c r="CB254" i="1" s="1"/>
  <c r="CW254" i="1" s="1"/>
  <c r="D233" i="8" s="1"/>
  <c r="J233" i="8" s="1"/>
  <c r="BY318" i="1"/>
  <c r="BZ318" i="1" s="1"/>
  <c r="CA318" i="1" s="1"/>
  <c r="CB318" i="1" s="1"/>
  <c r="CW318" i="1" s="1"/>
  <c r="D177" i="8" s="1"/>
  <c r="J177" i="8" s="1"/>
  <c r="BY258" i="1"/>
  <c r="BZ258" i="1" s="1"/>
  <c r="CA258" i="1" s="1"/>
  <c r="CB258" i="1" s="1"/>
  <c r="CW258" i="1" s="1"/>
  <c r="D28" i="8" s="1"/>
  <c r="J28" i="8" s="1"/>
  <c r="BY15" i="1"/>
  <c r="BZ15" i="1" s="1"/>
  <c r="CA15" i="1" s="1"/>
  <c r="CB15" i="1" s="1"/>
  <c r="BY161" i="1"/>
  <c r="BZ161" i="1" s="1"/>
  <c r="CA161" i="1" s="1"/>
  <c r="CB161" i="1" s="1"/>
  <c r="BY82" i="1"/>
  <c r="BZ82" i="1" s="1"/>
  <c r="CA82" i="1" s="1"/>
  <c r="CB82" i="1" s="1"/>
  <c r="BY230" i="1"/>
  <c r="BZ230" i="1" s="1"/>
  <c r="CA230" i="1" s="1"/>
  <c r="CB230" i="1" s="1"/>
  <c r="BY227" i="1"/>
  <c r="BZ227" i="1" s="1"/>
  <c r="CA227" i="1" s="1"/>
  <c r="CB227" i="1" s="1"/>
  <c r="BY269" i="1"/>
  <c r="BZ269" i="1" s="1"/>
  <c r="CA269" i="1" s="1"/>
  <c r="CB269" i="1" s="1"/>
  <c r="BY314" i="1"/>
  <c r="BZ314" i="1" s="1"/>
  <c r="CA314" i="1" s="1"/>
  <c r="CB314" i="1" s="1"/>
  <c r="BY291" i="1"/>
  <c r="BZ291" i="1" s="1"/>
  <c r="CA291" i="1" s="1"/>
  <c r="CB291" i="1" s="1"/>
  <c r="BX290" i="1"/>
  <c r="BX246" i="1"/>
  <c r="BY23" i="1"/>
  <c r="BZ23" i="1" s="1"/>
  <c r="CA23" i="1" s="1"/>
  <c r="CB23" i="1" s="1"/>
  <c r="CW23" i="1" s="1"/>
  <c r="D195" i="8" s="1"/>
  <c r="J195" i="8" s="1"/>
  <c r="BY35" i="1"/>
  <c r="BZ35" i="1" s="1"/>
  <c r="CA35" i="1" s="1"/>
  <c r="CB35" i="1" s="1"/>
  <c r="CW35" i="1" s="1"/>
  <c r="D231" i="8" s="1"/>
  <c r="J231" i="8" s="1"/>
  <c r="BY11" i="1"/>
  <c r="BZ11" i="1" s="1"/>
  <c r="CA11" i="1" s="1"/>
  <c r="CB11" i="1" s="1"/>
  <c r="CW11" i="1" s="1"/>
  <c r="D180" i="8" s="1"/>
  <c r="J180" i="8" s="1"/>
  <c r="BY149" i="1"/>
  <c r="BZ149" i="1" s="1"/>
  <c r="CA149" i="1" s="1"/>
  <c r="CB149" i="1" s="1"/>
  <c r="CW149" i="1" s="1"/>
  <c r="D199" i="8" s="1"/>
  <c r="J199" i="8" s="1"/>
  <c r="BY198" i="1"/>
  <c r="BZ198" i="1" s="1"/>
  <c r="CA198" i="1" s="1"/>
  <c r="CB198" i="1" s="1"/>
  <c r="CW198" i="1" s="1"/>
  <c r="D112" i="8" s="1"/>
  <c r="J112" i="8" s="1"/>
  <c r="BY155" i="1"/>
  <c r="BZ155" i="1" s="1"/>
  <c r="CA155" i="1" s="1"/>
  <c r="CB155" i="1" s="1"/>
  <c r="CW155" i="1" s="1"/>
  <c r="D124" i="8" s="1"/>
  <c r="J124" i="8" s="1"/>
  <c r="BY181" i="1"/>
  <c r="BZ181" i="1" s="1"/>
  <c r="CA181" i="1" s="1"/>
  <c r="CB181" i="1" s="1"/>
  <c r="CW181" i="1" s="1"/>
  <c r="D310" i="8" s="1"/>
  <c r="J310" i="8" s="1"/>
  <c r="BY317" i="1"/>
  <c r="BZ317" i="1" s="1"/>
  <c r="CA317" i="1" s="1"/>
  <c r="CB317" i="1" s="1"/>
  <c r="CW317" i="1" s="1"/>
  <c r="D237" i="8" s="1"/>
  <c r="J237" i="8" s="1"/>
  <c r="BY309" i="1"/>
  <c r="BZ309" i="1" s="1"/>
  <c r="CA309" i="1" s="1"/>
  <c r="CB309" i="1" s="1"/>
  <c r="CW309" i="1" s="1"/>
  <c r="D267" i="8" s="1"/>
  <c r="J267" i="8" s="1"/>
  <c r="BY106" i="1"/>
  <c r="BZ106" i="1" s="1"/>
  <c r="CA106" i="1" s="1"/>
  <c r="CB106" i="1" s="1"/>
  <c r="CW106" i="1" s="1"/>
  <c r="D144" i="8" s="1"/>
  <c r="J144" i="8" s="1"/>
  <c r="BY104" i="1"/>
  <c r="BZ104" i="1" s="1"/>
  <c r="CA104" i="1" s="1"/>
  <c r="CB104" i="1" s="1"/>
  <c r="CW104" i="1" s="1"/>
  <c r="D295" i="8" s="1"/>
  <c r="J295" i="8" s="1"/>
  <c r="BY58" i="1"/>
  <c r="BZ58" i="1" s="1"/>
  <c r="CA58" i="1" s="1"/>
  <c r="CB58" i="1" s="1"/>
  <c r="CW58" i="1" s="1"/>
  <c r="D38" i="8" s="1"/>
  <c r="J38" i="8" s="1"/>
  <c r="BY88" i="1"/>
  <c r="BZ88" i="1" s="1"/>
  <c r="CA88" i="1" s="1"/>
  <c r="CB88" i="1" s="1"/>
  <c r="CW88" i="1" s="1"/>
  <c r="D298" i="8" s="1"/>
  <c r="J298" i="8" s="1"/>
  <c r="BY66" i="1"/>
  <c r="BZ66" i="1" s="1"/>
  <c r="CA66" i="1" s="1"/>
  <c r="CB66" i="1" s="1"/>
  <c r="CW66" i="1" s="1"/>
  <c r="D206" i="8" s="1"/>
  <c r="J206" i="8" s="1"/>
  <c r="BY188" i="1"/>
  <c r="BZ188" i="1" s="1"/>
  <c r="CA188" i="1" s="1"/>
  <c r="CB188" i="1" s="1"/>
  <c r="CW188" i="1" s="1"/>
  <c r="D223" i="8" s="1"/>
  <c r="J223" i="8" s="1"/>
  <c r="BY189" i="1"/>
  <c r="BZ189" i="1" s="1"/>
  <c r="CA189" i="1" s="1"/>
  <c r="CB189" i="1" s="1"/>
  <c r="CW189" i="1" s="1"/>
  <c r="D43" i="8" s="1"/>
  <c r="J43" i="8" s="1"/>
  <c r="BY107" i="1"/>
  <c r="BZ107" i="1" s="1"/>
  <c r="CA107" i="1" s="1"/>
  <c r="CB107" i="1" s="1"/>
  <c r="CW107" i="1" s="1"/>
  <c r="D74" i="8" s="1"/>
  <c r="J74" i="8" s="1"/>
  <c r="BY292" i="1"/>
  <c r="BZ292" i="1" s="1"/>
  <c r="CA292" i="1" s="1"/>
  <c r="CB292" i="1" s="1"/>
  <c r="CW292" i="1" s="1"/>
  <c r="D179" i="8" s="1"/>
  <c r="J179" i="8" s="1"/>
  <c r="BY253" i="1"/>
  <c r="BZ253" i="1" s="1"/>
  <c r="CA253" i="1" s="1"/>
  <c r="CB253" i="1" s="1"/>
  <c r="CW253" i="1" s="1"/>
  <c r="D189" i="8" s="1"/>
  <c r="J189" i="8" s="1"/>
  <c r="BY287" i="1"/>
  <c r="BZ287" i="1" s="1"/>
  <c r="CA287" i="1" s="1"/>
  <c r="CB287" i="1" s="1"/>
  <c r="CW287" i="1" s="1"/>
  <c r="D63" i="8" s="1"/>
  <c r="J63" i="8" s="1"/>
  <c r="BY6" i="1"/>
  <c r="BZ6" i="1" s="1"/>
  <c r="CA6" i="1" s="1"/>
  <c r="CB6" i="1" s="1"/>
  <c r="CW6" i="1" s="1"/>
  <c r="D65" i="8" s="1"/>
  <c r="J65" i="8" s="1"/>
  <c r="BY85" i="1"/>
  <c r="BZ85" i="1" s="1"/>
  <c r="CA85" i="1" s="1"/>
  <c r="CB85" i="1" s="1"/>
  <c r="BY24" i="1"/>
  <c r="BZ24" i="1" s="1"/>
  <c r="CA24" i="1" s="1"/>
  <c r="CB24" i="1" s="1"/>
  <c r="BY168" i="1"/>
  <c r="BZ168" i="1" s="1"/>
  <c r="CA168" i="1" s="1"/>
  <c r="CB168" i="1" s="1"/>
  <c r="BY228" i="1"/>
  <c r="BZ228" i="1" s="1"/>
  <c r="CA228" i="1" s="1"/>
  <c r="CB228" i="1" s="1"/>
  <c r="BY103" i="1"/>
  <c r="BZ103" i="1" s="1"/>
  <c r="CA103" i="1" s="1"/>
  <c r="CB103" i="1" s="1"/>
  <c r="BY244" i="1"/>
  <c r="BZ244" i="1" s="1"/>
  <c r="CA244" i="1" s="1"/>
  <c r="CB244" i="1" s="1"/>
  <c r="BY199" i="1"/>
  <c r="BZ199" i="1" s="1"/>
  <c r="CA199" i="1" s="1"/>
  <c r="CB199" i="1" s="1"/>
  <c r="BX322" i="1"/>
  <c r="BY43" i="1"/>
  <c r="BZ43" i="1" s="1"/>
  <c r="CA43" i="1" s="1"/>
  <c r="CB43" i="1" s="1"/>
  <c r="CW43" i="1" s="1"/>
  <c r="D164" i="8" s="1"/>
  <c r="J164" i="8" s="1"/>
  <c r="BY67" i="1"/>
  <c r="BZ67" i="1" s="1"/>
  <c r="CA67" i="1" s="1"/>
  <c r="CB67" i="1" s="1"/>
  <c r="CW67" i="1" s="1"/>
  <c r="D282" i="8" s="1"/>
  <c r="J282" i="8" s="1"/>
  <c r="BY16" i="1"/>
  <c r="BZ16" i="1" s="1"/>
  <c r="CA16" i="1" s="1"/>
  <c r="CB16" i="1" s="1"/>
  <c r="CW16" i="1" s="1"/>
  <c r="D307" i="8" s="1"/>
  <c r="J307" i="8" s="1"/>
  <c r="BY137" i="1"/>
  <c r="BZ137" i="1" s="1"/>
  <c r="CA137" i="1" s="1"/>
  <c r="CB137" i="1" s="1"/>
  <c r="CW137" i="1" s="1"/>
  <c r="D106" i="8" s="1"/>
  <c r="J106" i="8" s="1"/>
  <c r="BY218" i="1"/>
  <c r="BZ218" i="1" s="1"/>
  <c r="CA218" i="1" s="1"/>
  <c r="CB218" i="1" s="1"/>
  <c r="CW218" i="1" s="1"/>
  <c r="D211" i="8" s="1"/>
  <c r="J211" i="8" s="1"/>
  <c r="BY223" i="1"/>
  <c r="BZ223" i="1" s="1"/>
  <c r="CA223" i="1" s="1"/>
  <c r="CB223" i="1" s="1"/>
  <c r="CW223" i="1" s="1"/>
  <c r="D271" i="8" s="1"/>
  <c r="J271" i="8" s="1"/>
  <c r="BY202" i="1"/>
  <c r="BZ202" i="1" s="1"/>
  <c r="CA202" i="1" s="1"/>
  <c r="CB202" i="1" s="1"/>
  <c r="CW202" i="1" s="1"/>
  <c r="D57" i="8" s="1"/>
  <c r="J57" i="8" s="1"/>
  <c r="BY276" i="1"/>
  <c r="BZ276" i="1" s="1"/>
  <c r="CA276" i="1" s="1"/>
  <c r="CB276" i="1" s="1"/>
  <c r="CW276" i="1" s="1"/>
  <c r="D255" i="8" s="1"/>
  <c r="J255" i="8" s="1"/>
  <c r="BY295" i="1"/>
  <c r="BZ295" i="1" s="1"/>
  <c r="CA295" i="1" s="1"/>
  <c r="CB295" i="1" s="1"/>
  <c r="CW295" i="1" s="1"/>
  <c r="D8" i="8" s="1"/>
  <c r="J8" i="8" s="1"/>
  <c r="BY111" i="1"/>
  <c r="BZ111" i="1" s="1"/>
  <c r="CA111" i="1" s="1"/>
  <c r="CB111" i="1" s="1"/>
  <c r="CW111" i="1" s="1"/>
  <c r="D156" i="8" s="1"/>
  <c r="J156" i="8" s="1"/>
  <c r="BY124" i="1"/>
  <c r="BZ124" i="1" s="1"/>
  <c r="CA124" i="1" s="1"/>
  <c r="CB124" i="1" s="1"/>
  <c r="CW124" i="1" s="1"/>
  <c r="D53" i="8" s="1"/>
  <c r="J53" i="8" s="1"/>
  <c r="BY41" i="1"/>
  <c r="BZ41" i="1" s="1"/>
  <c r="CA41" i="1" s="1"/>
  <c r="CB41" i="1" s="1"/>
  <c r="CW41" i="1" s="1"/>
  <c r="D113" i="8" s="1"/>
  <c r="J113" i="8" s="1"/>
  <c r="BY125" i="1"/>
  <c r="BZ125" i="1" s="1"/>
  <c r="CA125" i="1" s="1"/>
  <c r="CB125" i="1" s="1"/>
  <c r="CW125" i="1" s="1"/>
  <c r="D96" i="8" s="1"/>
  <c r="J96" i="8" s="1"/>
  <c r="BY68" i="1"/>
  <c r="BZ68" i="1" s="1"/>
  <c r="CA68" i="1" s="1"/>
  <c r="CB68" i="1" s="1"/>
  <c r="CW68" i="1" s="1"/>
  <c r="D119" i="8" s="1"/>
  <c r="J119" i="8" s="1"/>
  <c r="BY190" i="1"/>
  <c r="BZ190" i="1" s="1"/>
  <c r="CA190" i="1" s="1"/>
  <c r="CB190" i="1" s="1"/>
  <c r="CW190" i="1" s="1"/>
  <c r="D148" i="8" s="1"/>
  <c r="J148" i="8" s="1"/>
  <c r="BY229" i="1"/>
  <c r="BZ229" i="1" s="1"/>
  <c r="CA229" i="1" s="1"/>
  <c r="CB229" i="1" s="1"/>
  <c r="CW229" i="1" s="1"/>
  <c r="D139" i="8" s="1"/>
  <c r="J139" i="8" s="1"/>
  <c r="BY128" i="1"/>
  <c r="BZ128" i="1" s="1"/>
  <c r="CA128" i="1" s="1"/>
  <c r="CB128" i="1" s="1"/>
  <c r="CW128" i="1" s="1"/>
  <c r="D137" i="8" s="1"/>
  <c r="J137" i="8" s="1"/>
  <c r="BY233" i="1"/>
  <c r="BZ233" i="1" s="1"/>
  <c r="CA233" i="1" s="1"/>
  <c r="CB233" i="1" s="1"/>
  <c r="CW233" i="1" s="1"/>
  <c r="D133" i="8" s="1"/>
  <c r="J133" i="8" s="1"/>
  <c r="BY265" i="1"/>
  <c r="BZ265" i="1" s="1"/>
  <c r="CA265" i="1" s="1"/>
  <c r="CB265" i="1" s="1"/>
  <c r="CW265" i="1" s="1"/>
  <c r="D56" i="8" s="1"/>
  <c r="J56" i="8" s="1"/>
  <c r="BY22" i="1"/>
  <c r="BZ22" i="1" s="1"/>
  <c r="CA22" i="1" s="1"/>
  <c r="CB22" i="1" s="1"/>
  <c r="CW22" i="1" s="1"/>
  <c r="D266" i="8" s="1"/>
  <c r="J266" i="8" s="1"/>
  <c r="BY30" i="1"/>
  <c r="BZ30" i="1" s="1"/>
  <c r="CA30" i="1" s="1"/>
  <c r="CB30" i="1" s="1"/>
  <c r="BY90" i="1"/>
  <c r="BZ90" i="1" s="1"/>
  <c r="CA90" i="1" s="1"/>
  <c r="CB90" i="1" s="1"/>
  <c r="BY60" i="1"/>
  <c r="BZ60" i="1" s="1"/>
  <c r="CA60" i="1" s="1"/>
  <c r="CB60" i="1" s="1"/>
  <c r="BY186" i="1"/>
  <c r="BZ186" i="1" s="1"/>
  <c r="CA186" i="1" s="1"/>
  <c r="CB186" i="1" s="1"/>
  <c r="BY274" i="1"/>
  <c r="BZ274" i="1" s="1"/>
  <c r="CA274" i="1" s="1"/>
  <c r="CB274" i="1" s="1"/>
  <c r="BY173" i="1"/>
  <c r="BZ173" i="1" s="1"/>
  <c r="CA173" i="1" s="1"/>
  <c r="CB173" i="1" s="1"/>
  <c r="BY280" i="1"/>
  <c r="BZ280" i="1" s="1"/>
  <c r="CA280" i="1" s="1"/>
  <c r="CB280" i="1" s="1"/>
  <c r="BY203" i="1"/>
  <c r="BZ203" i="1" s="1"/>
  <c r="CA203" i="1" s="1"/>
  <c r="CB203" i="1" s="1"/>
  <c r="CW203" i="1" s="1"/>
  <c r="D5" i="8" s="1"/>
  <c r="J5" i="8" s="1"/>
  <c r="BX308" i="1"/>
  <c r="BY48" i="1"/>
  <c r="BZ48" i="1" s="1"/>
  <c r="CA48" i="1" s="1"/>
  <c r="CB48" i="1" s="1"/>
  <c r="CW48" i="1" s="1"/>
  <c r="D241" i="8" s="1"/>
  <c r="J241" i="8" s="1"/>
  <c r="BY99" i="1"/>
  <c r="BZ99" i="1" s="1"/>
  <c r="CA99" i="1" s="1"/>
  <c r="CB99" i="1" s="1"/>
  <c r="CW99" i="1" s="1"/>
  <c r="D126" i="8" s="1"/>
  <c r="J126" i="8" s="1"/>
  <c r="BY20" i="1"/>
  <c r="BZ20" i="1" s="1"/>
  <c r="CA20" i="1" s="1"/>
  <c r="CB20" i="1" s="1"/>
  <c r="CW20" i="1" s="1"/>
  <c r="D219" i="8" s="1"/>
  <c r="J219" i="8" s="1"/>
  <c r="BY224" i="1"/>
  <c r="BZ224" i="1" s="1"/>
  <c r="CA224" i="1" s="1"/>
  <c r="CB224" i="1" s="1"/>
  <c r="CW224" i="1" s="1"/>
  <c r="D220" i="8" s="1"/>
  <c r="J220" i="8" s="1"/>
  <c r="BY262" i="1"/>
  <c r="BZ262" i="1" s="1"/>
  <c r="CA262" i="1" s="1"/>
  <c r="CB262" i="1" s="1"/>
  <c r="CW262" i="1" s="1"/>
  <c r="D302" i="8" s="1"/>
  <c r="J302" i="8" s="1"/>
  <c r="BY256" i="1"/>
  <c r="BZ256" i="1" s="1"/>
  <c r="CA256" i="1" s="1"/>
  <c r="CB256" i="1" s="1"/>
  <c r="CW256" i="1" s="1"/>
  <c r="D274" i="8" s="1"/>
  <c r="J274" i="8" s="1"/>
  <c r="BY114" i="1"/>
  <c r="BZ114" i="1" s="1"/>
  <c r="CA114" i="1" s="1"/>
  <c r="CB114" i="1" s="1"/>
  <c r="CW114" i="1" s="1"/>
  <c r="D289" i="8" s="1"/>
  <c r="J289" i="8" s="1"/>
  <c r="BY312" i="1"/>
  <c r="BZ312" i="1" s="1"/>
  <c r="CA312" i="1" s="1"/>
  <c r="CB312" i="1" s="1"/>
  <c r="CW312" i="1" s="1"/>
  <c r="D72" i="8" s="1"/>
  <c r="J72" i="8" s="1"/>
  <c r="BY311" i="1"/>
  <c r="BZ311" i="1" s="1"/>
  <c r="CA311" i="1" s="1"/>
  <c r="CB311" i="1" s="1"/>
  <c r="CW311" i="1" s="1"/>
  <c r="D47" i="8" s="1"/>
  <c r="J47" i="8" s="1"/>
  <c r="BY12" i="1"/>
  <c r="BZ12" i="1" s="1"/>
  <c r="CA12" i="1" s="1"/>
  <c r="CB12" i="1" s="1"/>
  <c r="CW12" i="1" s="1"/>
  <c r="D263" i="8" s="1"/>
  <c r="J263" i="8" s="1"/>
  <c r="BY19" i="1"/>
  <c r="BZ19" i="1" s="1"/>
  <c r="CA19" i="1" s="1"/>
  <c r="CB19" i="1" s="1"/>
  <c r="CW19" i="1" s="1"/>
  <c r="D294" i="8" s="1"/>
  <c r="J294" i="8" s="1"/>
  <c r="BY65" i="1"/>
  <c r="BZ65" i="1" s="1"/>
  <c r="CA65" i="1" s="1"/>
  <c r="CB65" i="1" s="1"/>
  <c r="CW65" i="1" s="1"/>
  <c r="D117" i="8" s="1"/>
  <c r="J117" i="8" s="1"/>
  <c r="BY126" i="1"/>
  <c r="BZ126" i="1" s="1"/>
  <c r="CA126" i="1" s="1"/>
  <c r="CB126" i="1" s="1"/>
  <c r="CW126" i="1" s="1"/>
  <c r="D80" i="8" s="1"/>
  <c r="J80" i="8" s="1"/>
  <c r="BY134" i="1"/>
  <c r="BZ134" i="1" s="1"/>
  <c r="CA134" i="1" s="1"/>
  <c r="CB134" i="1" s="1"/>
  <c r="CW134" i="1" s="1"/>
  <c r="D152" i="8" s="1"/>
  <c r="J152" i="8" s="1"/>
  <c r="BY260" i="1"/>
  <c r="BZ260" i="1" s="1"/>
  <c r="CA260" i="1" s="1"/>
  <c r="CB260" i="1" s="1"/>
  <c r="CW260" i="1" s="1"/>
  <c r="D59" i="8" s="1"/>
  <c r="J59" i="8" s="1"/>
  <c r="BY118" i="1"/>
  <c r="BZ118" i="1" s="1"/>
  <c r="CA118" i="1" s="1"/>
  <c r="CB118" i="1" s="1"/>
  <c r="CW118" i="1" s="1"/>
  <c r="D89" i="8" s="1"/>
  <c r="J89" i="8" s="1"/>
  <c r="BY131" i="1"/>
  <c r="BZ131" i="1" s="1"/>
  <c r="CA131" i="1" s="1"/>
  <c r="CB131" i="1" s="1"/>
  <c r="CW131" i="1" s="1"/>
  <c r="D181" i="8" s="1"/>
  <c r="J181" i="8" s="1"/>
  <c r="BY266" i="1"/>
  <c r="BZ266" i="1" s="1"/>
  <c r="CA266" i="1" s="1"/>
  <c r="CB266" i="1" s="1"/>
  <c r="CW266" i="1" s="1"/>
  <c r="D135" i="8" s="1"/>
  <c r="J135" i="8" s="1"/>
  <c r="BY268" i="1"/>
  <c r="BZ268" i="1" s="1"/>
  <c r="CA268" i="1" s="1"/>
  <c r="CB268" i="1" s="1"/>
  <c r="CW268" i="1" s="1"/>
  <c r="D73" i="8" s="1"/>
  <c r="J73" i="8" s="1"/>
  <c r="BY3" i="1"/>
  <c r="BZ3" i="1" s="1"/>
  <c r="CA3" i="1" s="1"/>
  <c r="CB3" i="1" s="1"/>
  <c r="BY64" i="1"/>
  <c r="BZ64" i="1" s="1"/>
  <c r="CA64" i="1" s="1"/>
  <c r="CB64" i="1" s="1"/>
  <c r="BY31" i="1"/>
  <c r="BZ31" i="1" s="1"/>
  <c r="CA31" i="1" s="1"/>
  <c r="CB31" i="1" s="1"/>
  <c r="BY75" i="1"/>
  <c r="BZ75" i="1" s="1"/>
  <c r="CA75" i="1" s="1"/>
  <c r="CB75" i="1" s="1"/>
  <c r="BY200" i="1"/>
  <c r="BZ200" i="1" s="1"/>
  <c r="CA200" i="1" s="1"/>
  <c r="CB200" i="1" s="1"/>
  <c r="BY133" i="1"/>
  <c r="BZ133" i="1" s="1"/>
  <c r="CA133" i="1" s="1"/>
  <c r="CB133" i="1" s="1"/>
  <c r="CW133" i="1" s="1"/>
  <c r="D215" i="8" s="1"/>
  <c r="J215" i="8" s="1"/>
  <c r="BY220" i="1"/>
  <c r="BZ220" i="1" s="1"/>
  <c r="CA220" i="1" s="1"/>
  <c r="CB220" i="1" s="1"/>
  <c r="CW220" i="1" s="1"/>
  <c r="D33" i="8" s="1"/>
  <c r="J33" i="8" s="1"/>
  <c r="BY257" i="1"/>
  <c r="BZ257" i="1" s="1"/>
  <c r="CA257" i="1" s="1"/>
  <c r="CB257" i="1" s="1"/>
  <c r="BY231" i="1"/>
  <c r="BZ231" i="1" s="1"/>
  <c r="CA231" i="1" s="1"/>
  <c r="CB231" i="1" s="1"/>
  <c r="BY56" i="1"/>
  <c r="BZ56" i="1" s="1"/>
  <c r="CA56" i="1" s="1"/>
  <c r="CB56" i="1" s="1"/>
  <c r="CW56" i="1" s="1"/>
  <c r="D95" i="8" s="1"/>
  <c r="J95" i="8" s="1"/>
  <c r="BY167" i="1"/>
  <c r="BZ167" i="1" s="1"/>
  <c r="CA167" i="1" s="1"/>
  <c r="CB167" i="1" s="1"/>
  <c r="CW167" i="1" s="1"/>
  <c r="D296" i="8" s="1"/>
  <c r="J296" i="8" s="1"/>
  <c r="BY32" i="1"/>
  <c r="BZ32" i="1" s="1"/>
  <c r="CA32" i="1" s="1"/>
  <c r="CB32" i="1" s="1"/>
  <c r="CW32" i="1" s="1"/>
  <c r="D128" i="8" s="1"/>
  <c r="J128" i="8" s="1"/>
  <c r="BY240" i="1"/>
  <c r="BZ240" i="1" s="1"/>
  <c r="CA240" i="1" s="1"/>
  <c r="CB240" i="1" s="1"/>
  <c r="CW240" i="1" s="1"/>
  <c r="D187" i="8" s="1"/>
  <c r="J187" i="8" s="1"/>
  <c r="BY187" i="1"/>
  <c r="BZ187" i="1" s="1"/>
  <c r="CA187" i="1" s="1"/>
  <c r="CB187" i="1" s="1"/>
  <c r="CW187" i="1" s="1"/>
  <c r="D243" i="8" s="1"/>
  <c r="J243" i="8" s="1"/>
  <c r="BY289" i="1"/>
  <c r="BZ289" i="1" s="1"/>
  <c r="CA289" i="1" s="1"/>
  <c r="CB289" i="1" s="1"/>
  <c r="CW289" i="1" s="1"/>
  <c r="D291" i="8" s="1"/>
  <c r="J291" i="8" s="1"/>
  <c r="BY162" i="1"/>
  <c r="BZ162" i="1" s="1"/>
  <c r="CA162" i="1" s="1"/>
  <c r="CB162" i="1" s="1"/>
  <c r="CW162" i="1" s="1"/>
  <c r="D250" i="8" s="1"/>
  <c r="J250" i="8" s="1"/>
  <c r="BY222" i="1"/>
  <c r="BZ222" i="1" s="1"/>
  <c r="CA222" i="1" s="1"/>
  <c r="CB222" i="1" s="1"/>
  <c r="CW222" i="1" s="1"/>
  <c r="D244" i="8" s="1"/>
  <c r="J244" i="8" s="1"/>
  <c r="BY212" i="1"/>
  <c r="BZ212" i="1" s="1"/>
  <c r="CA212" i="1" s="1"/>
  <c r="CB212" i="1" s="1"/>
  <c r="CW212" i="1" s="1"/>
  <c r="D320" i="8" s="1"/>
  <c r="J320" i="8" s="1"/>
  <c r="BY26" i="1"/>
  <c r="BZ26" i="1" s="1"/>
  <c r="CA26" i="1" s="1"/>
  <c r="CB26" i="1" s="1"/>
  <c r="CW26" i="1" s="1"/>
  <c r="D115" i="8" s="1"/>
  <c r="J115" i="8" s="1"/>
  <c r="BY38" i="1"/>
  <c r="BZ38" i="1" s="1"/>
  <c r="CA38" i="1" s="1"/>
  <c r="CB38" i="1" s="1"/>
  <c r="CW38" i="1" s="1"/>
  <c r="D7" i="8" s="1"/>
  <c r="J7" i="8" s="1"/>
  <c r="BY73" i="1"/>
  <c r="BZ73" i="1" s="1"/>
  <c r="CA73" i="1" s="1"/>
  <c r="CB73" i="1" s="1"/>
  <c r="CW73" i="1" s="1"/>
  <c r="D150" i="8" s="1"/>
  <c r="J150" i="8" s="1"/>
  <c r="BY13" i="1"/>
  <c r="BZ13" i="1" s="1"/>
  <c r="CA13" i="1" s="1"/>
  <c r="CB13" i="1" s="1"/>
  <c r="CW13" i="1" s="1"/>
  <c r="D122" i="8" s="1"/>
  <c r="J122" i="8" s="1"/>
  <c r="BY160" i="1"/>
  <c r="BZ160" i="1" s="1"/>
  <c r="CA160" i="1" s="1"/>
  <c r="CB160" i="1" s="1"/>
  <c r="CW160" i="1" s="1"/>
  <c r="D116" i="8" s="1"/>
  <c r="J116" i="8" s="1"/>
  <c r="BY170" i="1"/>
  <c r="BZ170" i="1" s="1"/>
  <c r="CA170" i="1" s="1"/>
  <c r="CB170" i="1" s="1"/>
  <c r="CW170" i="1" s="1"/>
  <c r="D232" i="8" s="1"/>
  <c r="J232" i="8" s="1"/>
  <c r="BY185" i="1"/>
  <c r="BZ185" i="1" s="1"/>
  <c r="CA185" i="1" s="1"/>
  <c r="CB185" i="1" s="1"/>
  <c r="CW185" i="1" s="1"/>
  <c r="D13" i="8" s="1"/>
  <c r="J13" i="8" s="1"/>
  <c r="BY144" i="1"/>
  <c r="BZ144" i="1" s="1"/>
  <c r="CA144" i="1" s="1"/>
  <c r="CB144" i="1" s="1"/>
  <c r="CW144" i="1" s="1"/>
  <c r="D52" i="8" s="1"/>
  <c r="J52" i="8" s="1"/>
  <c r="BY271" i="1"/>
  <c r="BZ271" i="1" s="1"/>
  <c r="CA271" i="1" s="1"/>
  <c r="CB271" i="1" s="1"/>
  <c r="CW271" i="1" s="1"/>
  <c r="D182" i="8" s="1"/>
  <c r="J182" i="8" s="1"/>
  <c r="BY7" i="1"/>
  <c r="BZ7" i="1" s="1"/>
  <c r="CA7" i="1" s="1"/>
  <c r="CB7" i="1" s="1"/>
  <c r="CW7" i="1" s="1"/>
  <c r="D264" i="8" s="1"/>
  <c r="J264" i="8" s="1"/>
  <c r="BY78" i="1"/>
  <c r="BZ78" i="1" s="1"/>
  <c r="CA78" i="1" s="1"/>
  <c r="CB78" i="1" s="1"/>
  <c r="BY83" i="1"/>
  <c r="BZ83" i="1" s="1"/>
  <c r="CA83" i="1" s="1"/>
  <c r="CB83" i="1" s="1"/>
  <c r="CW83" i="1" s="1"/>
  <c r="D32" i="8" s="1"/>
  <c r="J32" i="8" s="1"/>
  <c r="BY57" i="1"/>
  <c r="BZ57" i="1" s="1"/>
  <c r="CA57" i="1" s="1"/>
  <c r="CB57" i="1" s="1"/>
  <c r="BY91" i="1"/>
  <c r="BZ91" i="1" s="1"/>
  <c r="CA91" i="1" s="1"/>
  <c r="CB91" i="1" s="1"/>
  <c r="BY154" i="1"/>
  <c r="BZ154" i="1" s="1"/>
  <c r="CA154" i="1" s="1"/>
  <c r="CB154" i="1" s="1"/>
  <c r="BY232" i="1"/>
  <c r="BZ232" i="1" s="1"/>
  <c r="CA232" i="1" s="1"/>
  <c r="CB232" i="1" s="1"/>
  <c r="BY261" i="1"/>
  <c r="BZ261" i="1" s="1"/>
  <c r="CA261" i="1" s="1"/>
  <c r="CB261" i="1" s="1"/>
  <c r="BY264" i="1"/>
  <c r="BZ264" i="1" s="1"/>
  <c r="CA264" i="1" s="1"/>
  <c r="CB264" i="1" s="1"/>
  <c r="BX252" i="1"/>
  <c r="BY9" i="1"/>
  <c r="BZ9" i="1" s="1"/>
  <c r="CA9" i="1" s="1"/>
  <c r="CB9" i="1" s="1"/>
  <c r="CW9" i="1" s="1"/>
  <c r="D273" i="8" s="1"/>
  <c r="J273" i="8" s="1"/>
  <c r="BY4" i="1"/>
  <c r="BZ4" i="1" s="1"/>
  <c r="CA4" i="1" s="1"/>
  <c r="CB4" i="1" s="1"/>
  <c r="CW4" i="1" s="1"/>
  <c r="D240" i="8" s="1"/>
  <c r="J240" i="8" s="1"/>
  <c r="BY81" i="1"/>
  <c r="BZ81" i="1" s="1"/>
  <c r="CA81" i="1" s="1"/>
  <c r="CB81" i="1" s="1"/>
  <c r="CW81" i="1" s="1"/>
  <c r="D322" i="8" s="1"/>
  <c r="J322" i="8" s="1"/>
  <c r="BY95" i="1"/>
  <c r="BZ95" i="1" s="1"/>
  <c r="CA95" i="1" s="1"/>
  <c r="CB95" i="1" s="1"/>
  <c r="CW95" i="1" s="1"/>
  <c r="D64" i="8" s="1"/>
  <c r="J64" i="8" s="1"/>
  <c r="BY42" i="1"/>
  <c r="BZ42" i="1" s="1"/>
  <c r="CA42" i="1" s="1"/>
  <c r="CB42" i="1" s="1"/>
  <c r="CW42" i="1" s="1"/>
  <c r="D210" i="8" s="1"/>
  <c r="J210" i="8" s="1"/>
  <c r="BY165" i="1"/>
  <c r="BZ165" i="1" s="1"/>
  <c r="CA165" i="1" s="1"/>
  <c r="CB165" i="1" s="1"/>
  <c r="CW165" i="1" s="1"/>
  <c r="D193" i="8" s="1"/>
  <c r="J193" i="8" s="1"/>
  <c r="BY206" i="1"/>
  <c r="BZ206" i="1" s="1"/>
  <c r="CA206" i="1" s="1"/>
  <c r="CB206" i="1" s="1"/>
  <c r="CW206" i="1" s="1"/>
  <c r="D101" i="8" s="1"/>
  <c r="J101" i="8" s="1"/>
  <c r="BY300" i="1"/>
  <c r="BZ300" i="1" s="1"/>
  <c r="CA300" i="1" s="1"/>
  <c r="CB300" i="1" s="1"/>
  <c r="CW300" i="1" s="1"/>
  <c r="D99" i="8" s="1"/>
  <c r="J99" i="8" s="1"/>
  <c r="BY175" i="1"/>
  <c r="BZ175" i="1" s="1"/>
  <c r="CA175" i="1" s="1"/>
  <c r="CB175" i="1" s="1"/>
  <c r="CW175" i="1" s="1"/>
  <c r="D297" i="8" s="1"/>
  <c r="J297" i="8" s="1"/>
  <c r="BY249" i="1"/>
  <c r="BZ249" i="1" s="1"/>
  <c r="CA249" i="1" s="1"/>
  <c r="CB249" i="1" s="1"/>
  <c r="CW249" i="1" s="1"/>
  <c r="D301" i="8" s="1"/>
  <c r="J301" i="8" s="1"/>
  <c r="BY243" i="1"/>
  <c r="BZ243" i="1" s="1"/>
  <c r="CA243" i="1" s="1"/>
  <c r="CB243" i="1" s="1"/>
  <c r="CW243" i="1" s="1"/>
  <c r="D196" i="8" s="1"/>
  <c r="J196" i="8" s="1"/>
  <c r="BY45" i="1"/>
  <c r="BZ45" i="1" s="1"/>
  <c r="CA45" i="1" s="1"/>
  <c r="CB45" i="1" s="1"/>
  <c r="CW45" i="1" s="1"/>
  <c r="D202" i="8" s="1"/>
  <c r="J202" i="8" s="1"/>
  <c r="BY101" i="1"/>
  <c r="BZ101" i="1" s="1"/>
  <c r="CA101" i="1" s="1"/>
  <c r="CB101" i="1" s="1"/>
  <c r="CW101" i="1" s="1"/>
  <c r="D262" i="8" s="1"/>
  <c r="J262" i="8" s="1"/>
  <c r="BY79" i="1"/>
  <c r="BZ79" i="1" s="1"/>
  <c r="CA79" i="1" s="1"/>
  <c r="CB79" i="1" s="1"/>
  <c r="CW79" i="1" s="1"/>
  <c r="D188" i="8" s="1"/>
  <c r="J188" i="8" s="1"/>
  <c r="BY47" i="1"/>
  <c r="BZ47" i="1" s="1"/>
  <c r="CA47" i="1" s="1"/>
  <c r="CB47" i="1" s="1"/>
  <c r="CW47" i="1" s="1"/>
  <c r="D147" i="8" s="1"/>
  <c r="J147" i="8" s="1"/>
  <c r="BY164" i="1"/>
  <c r="BZ164" i="1" s="1"/>
  <c r="CA164" i="1" s="1"/>
  <c r="CB164" i="1" s="1"/>
  <c r="CW164" i="1" s="1"/>
  <c r="D200" i="8" s="1"/>
  <c r="J200" i="8" s="1"/>
  <c r="BY195" i="1"/>
  <c r="BZ195" i="1" s="1"/>
  <c r="CA195" i="1" s="1"/>
  <c r="CB195" i="1" s="1"/>
  <c r="CW195" i="1" s="1"/>
  <c r="D247" i="8" s="1"/>
  <c r="J247" i="8" s="1"/>
  <c r="BY204" i="1"/>
  <c r="BZ204" i="1" s="1"/>
  <c r="CA204" i="1" s="1"/>
  <c r="CB204" i="1" s="1"/>
  <c r="CW204" i="1" s="1"/>
  <c r="D134" i="8" s="1"/>
  <c r="J134" i="8" s="1"/>
  <c r="BY277" i="1"/>
  <c r="BZ277" i="1" s="1"/>
  <c r="CA277" i="1" s="1"/>
  <c r="CB277" i="1" s="1"/>
  <c r="CW277" i="1" s="1"/>
  <c r="D104" i="8" s="1"/>
  <c r="J104" i="8" s="1"/>
  <c r="BY293" i="1"/>
  <c r="BZ293" i="1" s="1"/>
  <c r="CA293" i="1" s="1"/>
  <c r="CB293" i="1" s="1"/>
  <c r="CW293" i="1" s="1"/>
  <c r="D24" i="8" s="1"/>
  <c r="J24" i="8" s="1"/>
  <c r="BY279" i="1"/>
  <c r="BZ279" i="1" s="1"/>
  <c r="CA279" i="1" s="1"/>
  <c r="CB279" i="1" s="1"/>
  <c r="CW279" i="1" s="1"/>
  <c r="D166" i="8" s="1"/>
  <c r="J166" i="8" s="1"/>
  <c r="BY127" i="1"/>
  <c r="BZ127" i="1" s="1"/>
  <c r="CA127" i="1" s="1"/>
  <c r="CB127" i="1" s="1"/>
  <c r="BY89" i="1"/>
  <c r="BZ89" i="1" s="1"/>
  <c r="CA89" i="1" s="1"/>
  <c r="CB89" i="1" s="1"/>
  <c r="BY132" i="1"/>
  <c r="BZ132" i="1" s="1"/>
  <c r="CA132" i="1" s="1"/>
  <c r="CB132" i="1" s="1"/>
  <c r="CW132" i="1" s="1"/>
  <c r="D224" i="8" s="1"/>
  <c r="J224" i="8" s="1"/>
  <c r="BY100" i="1"/>
  <c r="BZ100" i="1" s="1"/>
  <c r="CA100" i="1" s="1"/>
  <c r="CB100" i="1" s="1"/>
  <c r="BY178" i="1"/>
  <c r="BZ178" i="1" s="1"/>
  <c r="CA178" i="1" s="1"/>
  <c r="CB178" i="1" s="1"/>
  <c r="BY147" i="1"/>
  <c r="BZ147" i="1" s="1"/>
  <c r="CA147" i="1" s="1"/>
  <c r="CB147" i="1" s="1"/>
  <c r="CW147" i="1" s="1"/>
  <c r="D239" i="8" s="1"/>
  <c r="J239" i="8" s="1"/>
  <c r="BY267" i="1"/>
  <c r="BZ267" i="1" s="1"/>
  <c r="CA267" i="1" s="1"/>
  <c r="CB267" i="1" s="1"/>
  <c r="BY250" i="1"/>
  <c r="BZ250" i="1" s="1"/>
  <c r="CA250" i="1" s="1"/>
  <c r="CB250" i="1" s="1"/>
  <c r="BY14" i="1"/>
  <c r="BZ14" i="1" s="1"/>
  <c r="CA14" i="1" s="1"/>
  <c r="CB14" i="1" s="1"/>
  <c r="CW14" i="1" s="1"/>
  <c r="D217" i="8" s="1"/>
  <c r="J217" i="8" s="1"/>
  <c r="BX310" i="1"/>
  <c r="BY28" i="1"/>
  <c r="BZ28" i="1" s="1"/>
  <c r="CA28" i="1" s="1"/>
  <c r="CB28" i="1" s="1"/>
  <c r="CW28" i="1" s="1"/>
  <c r="D167" i="8" s="1"/>
  <c r="J167" i="8" s="1"/>
  <c r="BY92" i="1"/>
  <c r="BZ92" i="1" s="1"/>
  <c r="CA92" i="1" s="1"/>
  <c r="CB92" i="1" s="1"/>
  <c r="CW92" i="1" s="1"/>
  <c r="D6" i="8" s="1"/>
  <c r="J6" i="8" s="1"/>
  <c r="BY27" i="1"/>
  <c r="BZ27" i="1" s="1"/>
  <c r="CA27" i="1" s="1"/>
  <c r="CB27" i="1" s="1"/>
  <c r="CW27" i="1" s="1"/>
  <c r="D11" i="8" s="1"/>
  <c r="J11" i="8" s="1"/>
  <c r="BY53" i="1"/>
  <c r="BZ53" i="1" s="1"/>
  <c r="CA53" i="1" s="1"/>
  <c r="CB53" i="1" s="1"/>
  <c r="CW53" i="1" s="1"/>
  <c r="D204" i="8" s="1"/>
  <c r="J204" i="8" s="1"/>
  <c r="BY211" i="1"/>
  <c r="BZ211" i="1" s="1"/>
  <c r="CA211" i="1" s="1"/>
  <c r="CB211" i="1" s="1"/>
  <c r="CW211" i="1" s="1"/>
  <c r="D145" i="8" s="1"/>
  <c r="J145" i="8" s="1"/>
  <c r="BY216" i="1"/>
  <c r="BZ216" i="1" s="1"/>
  <c r="CA216" i="1" s="1"/>
  <c r="CB216" i="1" s="1"/>
  <c r="CW216" i="1" s="1"/>
  <c r="D249" i="8" s="1"/>
  <c r="J249" i="8" s="1"/>
  <c r="BY304" i="1"/>
  <c r="BZ304" i="1" s="1"/>
  <c r="CA304" i="1" s="1"/>
  <c r="CB304" i="1" s="1"/>
  <c r="CW304" i="1" s="1"/>
  <c r="D26" i="8" s="1"/>
  <c r="J26" i="8" s="1"/>
  <c r="BY241" i="1"/>
  <c r="BZ241" i="1" s="1"/>
  <c r="CA241" i="1" s="1"/>
  <c r="CB241" i="1" s="1"/>
  <c r="CW241" i="1" s="1"/>
  <c r="D165" i="8" s="1"/>
  <c r="J165" i="8" s="1"/>
  <c r="BY286" i="1"/>
  <c r="BZ286" i="1" s="1"/>
  <c r="CA286" i="1" s="1"/>
  <c r="CB286" i="1" s="1"/>
  <c r="CW286" i="1" s="1"/>
  <c r="D275" i="8" s="1"/>
  <c r="J275" i="8" s="1"/>
  <c r="BY248" i="1"/>
  <c r="BZ248" i="1" s="1"/>
  <c r="CA248" i="1" s="1"/>
  <c r="CB248" i="1" s="1"/>
  <c r="CW248" i="1" s="1"/>
  <c r="D229" i="8" s="1"/>
  <c r="J229" i="8" s="1"/>
  <c r="BY59" i="1"/>
  <c r="BZ59" i="1" s="1"/>
  <c r="CA59" i="1" s="1"/>
  <c r="CB59" i="1" s="1"/>
  <c r="CW59" i="1" s="1"/>
  <c r="D260" i="8" s="1"/>
  <c r="J260" i="8" s="1"/>
  <c r="BY120" i="1"/>
  <c r="BZ120" i="1" s="1"/>
  <c r="CA120" i="1" s="1"/>
  <c r="CB120" i="1" s="1"/>
  <c r="CW120" i="1" s="1"/>
  <c r="D228" i="8" s="1"/>
  <c r="J228" i="8" s="1"/>
  <c r="BY93" i="1"/>
  <c r="BZ93" i="1" s="1"/>
  <c r="CA93" i="1" s="1"/>
  <c r="CB93" i="1" s="1"/>
  <c r="CW93" i="1" s="1"/>
  <c r="D227" i="8" s="1"/>
  <c r="J227" i="8" s="1"/>
  <c r="BY80" i="1"/>
  <c r="BZ80" i="1" s="1"/>
  <c r="CA80" i="1" s="1"/>
  <c r="CB80" i="1" s="1"/>
  <c r="CW80" i="1" s="1"/>
  <c r="D68" i="8" s="1"/>
  <c r="J68" i="8" s="1"/>
  <c r="BY182" i="1"/>
  <c r="BZ182" i="1" s="1"/>
  <c r="CA182" i="1" s="1"/>
  <c r="CB182" i="1" s="1"/>
  <c r="CW182" i="1" s="1"/>
  <c r="D54" i="8" s="1"/>
  <c r="J54" i="8" s="1"/>
  <c r="BY219" i="1"/>
  <c r="BZ219" i="1" s="1"/>
  <c r="CA219" i="1" s="1"/>
  <c r="CB219" i="1" s="1"/>
  <c r="CW219" i="1" s="1"/>
  <c r="D168" i="8" s="1"/>
  <c r="J168" i="8" s="1"/>
  <c r="BY210" i="1"/>
  <c r="BZ210" i="1" s="1"/>
  <c r="CA210" i="1" s="1"/>
  <c r="CB210" i="1" s="1"/>
  <c r="CW210" i="1" s="1"/>
  <c r="D149" i="8" s="1"/>
  <c r="J149" i="8" s="1"/>
  <c r="BY278" i="1"/>
  <c r="BZ278" i="1" s="1"/>
  <c r="CA278" i="1" s="1"/>
  <c r="CB278" i="1" s="1"/>
  <c r="CW278" i="1" s="1"/>
  <c r="D49" i="8" s="1"/>
  <c r="J49" i="8" s="1"/>
  <c r="BY255" i="1"/>
  <c r="BZ255" i="1" s="1"/>
  <c r="CA255" i="1" s="1"/>
  <c r="CB255" i="1" s="1"/>
  <c r="CW255" i="1" s="1"/>
  <c r="D265" i="8" s="1"/>
  <c r="J265" i="8" s="1"/>
  <c r="BY320" i="1"/>
  <c r="BZ320" i="1" s="1"/>
  <c r="CA320" i="1" s="1"/>
  <c r="CB320" i="1" s="1"/>
  <c r="CW320" i="1" s="1"/>
  <c r="D118" i="8" s="1"/>
  <c r="J118" i="8" s="1"/>
  <c r="BY146" i="1"/>
  <c r="BZ146" i="1" s="1"/>
  <c r="CA146" i="1" s="1"/>
  <c r="CB146" i="1" s="1"/>
  <c r="BY116" i="1"/>
  <c r="BZ116" i="1" s="1"/>
  <c r="CA116" i="1" s="1"/>
  <c r="CB116" i="1" s="1"/>
  <c r="BY145" i="1"/>
  <c r="BZ145" i="1" s="1"/>
  <c r="CA145" i="1" s="1"/>
  <c r="CB145" i="1" s="1"/>
  <c r="BY108" i="1"/>
  <c r="BZ108" i="1" s="1"/>
  <c r="CA108" i="1" s="1"/>
  <c r="CB108" i="1" s="1"/>
  <c r="BY209" i="1"/>
  <c r="BZ209" i="1" s="1"/>
  <c r="CA209" i="1" s="1"/>
  <c r="CB209" i="1" s="1"/>
  <c r="BY153" i="1"/>
  <c r="BZ153" i="1" s="1"/>
  <c r="CA153" i="1" s="1"/>
  <c r="CB153" i="1" s="1"/>
  <c r="BY270" i="1"/>
  <c r="BZ270" i="1" s="1"/>
  <c r="CA270" i="1" s="1"/>
  <c r="CB270" i="1" s="1"/>
  <c r="BY283" i="1"/>
  <c r="BZ283" i="1" s="1"/>
  <c r="CA283" i="1" s="1"/>
  <c r="CB283" i="1" s="1"/>
  <c r="BX226" i="1"/>
  <c r="BY2" i="1"/>
  <c r="BZ2" i="1" s="1"/>
  <c r="CA2" i="1" s="1"/>
  <c r="CB2" i="1" s="1"/>
  <c r="BY62" i="1"/>
  <c r="BZ62" i="1" s="1"/>
  <c r="CA62" i="1" s="1"/>
  <c r="CB62" i="1" s="1"/>
  <c r="CW62" i="1" s="1"/>
  <c r="D42" i="8" s="1"/>
  <c r="J42" i="8" s="1"/>
  <c r="BY176" i="1"/>
  <c r="BZ176" i="1" s="1"/>
  <c r="CA176" i="1" s="1"/>
  <c r="CB176" i="1" s="1"/>
  <c r="CW176" i="1" s="1"/>
  <c r="D81" i="8" s="1"/>
  <c r="J81" i="8" s="1"/>
  <c r="BY29" i="1"/>
  <c r="BZ29" i="1" s="1"/>
  <c r="CA29" i="1" s="1"/>
  <c r="CB29" i="1" s="1"/>
  <c r="CW29" i="1" s="1"/>
  <c r="D207" i="8" s="1"/>
  <c r="J207" i="8" s="1"/>
  <c r="BY55" i="1"/>
  <c r="BZ55" i="1" s="1"/>
  <c r="CA55" i="1" s="1"/>
  <c r="CB55" i="1" s="1"/>
  <c r="CW55" i="1" s="1"/>
  <c r="D234" i="8" s="1"/>
  <c r="J234" i="8" s="1"/>
  <c r="BY215" i="1"/>
  <c r="BZ215" i="1" s="1"/>
  <c r="CA215" i="1" s="1"/>
  <c r="CB215" i="1" s="1"/>
  <c r="CW215" i="1" s="1"/>
  <c r="D143" i="8" s="1"/>
  <c r="J143" i="8" s="1"/>
  <c r="BY235" i="1"/>
  <c r="BZ235" i="1" s="1"/>
  <c r="CA235" i="1" s="1"/>
  <c r="CB235" i="1" s="1"/>
  <c r="CW235" i="1" s="1"/>
  <c r="D205" i="8" s="1"/>
  <c r="J205" i="8" s="1"/>
  <c r="BY135" i="1"/>
  <c r="BZ135" i="1" s="1"/>
  <c r="CA135" i="1" s="1"/>
  <c r="CB135" i="1" s="1"/>
  <c r="CW135" i="1" s="1"/>
  <c r="D259" i="8" s="1"/>
  <c r="J259" i="8" s="1"/>
  <c r="BY259" i="1"/>
  <c r="BZ259" i="1" s="1"/>
  <c r="CA259" i="1" s="1"/>
  <c r="CB259" i="1" s="1"/>
  <c r="CW259" i="1" s="1"/>
  <c r="D19" i="8" s="1"/>
  <c r="J19" i="8" s="1"/>
  <c r="BY301" i="1"/>
  <c r="BZ301" i="1" s="1"/>
  <c r="CA301" i="1" s="1"/>
  <c r="CB301" i="1" s="1"/>
  <c r="CW301" i="1" s="1"/>
  <c r="D90" i="8" s="1"/>
  <c r="J90" i="8" s="1"/>
  <c r="BY40" i="1"/>
  <c r="BZ40" i="1" s="1"/>
  <c r="CA40" i="1" s="1"/>
  <c r="CB40" i="1" s="1"/>
  <c r="CW40" i="1" s="1"/>
  <c r="D299" i="8" s="1"/>
  <c r="J299" i="8" s="1"/>
  <c r="BY74" i="1"/>
  <c r="BZ74" i="1" s="1"/>
  <c r="CA74" i="1" s="1"/>
  <c r="CB74" i="1" s="1"/>
  <c r="CW74" i="1" s="1"/>
  <c r="D60" i="8" s="1"/>
  <c r="J60" i="8" s="1"/>
  <c r="BY129" i="1"/>
  <c r="BZ129" i="1" s="1"/>
  <c r="CA129" i="1" s="1"/>
  <c r="CB129" i="1" s="1"/>
  <c r="CW129" i="1" s="1"/>
  <c r="D71" i="8" s="1"/>
  <c r="J71" i="8" s="1"/>
  <c r="BY97" i="1"/>
  <c r="BZ97" i="1" s="1"/>
  <c r="CA97" i="1" s="1"/>
  <c r="CB97" i="1" s="1"/>
  <c r="CW97" i="1" s="1"/>
  <c r="D44" i="8" s="1"/>
  <c r="J44" i="8" s="1"/>
  <c r="BY123" i="1"/>
  <c r="BZ123" i="1" s="1"/>
  <c r="CA123" i="1" s="1"/>
  <c r="CB123" i="1" s="1"/>
  <c r="CW123" i="1" s="1"/>
  <c r="D16" i="8" s="1"/>
  <c r="J16" i="8" s="1"/>
  <c r="BY197" i="1"/>
  <c r="BZ197" i="1" s="1"/>
  <c r="CA197" i="1" s="1"/>
  <c r="CB197" i="1" s="1"/>
  <c r="CW197" i="1" s="1"/>
  <c r="D45" i="8" s="1"/>
  <c r="J45" i="8" s="1"/>
  <c r="BY225" i="1"/>
  <c r="BZ225" i="1" s="1"/>
  <c r="CA225" i="1" s="1"/>
  <c r="CB225" i="1" s="1"/>
  <c r="CW225" i="1" s="1"/>
  <c r="D67" i="8" s="1"/>
  <c r="J67" i="8" s="1"/>
  <c r="BY247" i="1"/>
  <c r="BZ247" i="1" s="1"/>
  <c r="CA247" i="1" s="1"/>
  <c r="CB247" i="1" s="1"/>
  <c r="CW247" i="1" s="1"/>
  <c r="D125" i="8" s="1"/>
  <c r="J125" i="8" s="1"/>
  <c r="BY319" i="1"/>
  <c r="BZ319" i="1" s="1"/>
  <c r="CA319" i="1" s="1"/>
  <c r="CB319" i="1" s="1"/>
  <c r="CW319" i="1" s="1"/>
  <c r="D281" i="8" s="1"/>
  <c r="J281" i="8" s="1"/>
  <c r="BY316" i="1"/>
  <c r="BZ316" i="1" s="1"/>
  <c r="CA316" i="1" s="1"/>
  <c r="CB316" i="1" s="1"/>
  <c r="CW316" i="1" s="1"/>
  <c r="D161" i="8" s="1"/>
  <c r="J161" i="8" s="1"/>
  <c r="BY238" i="1"/>
  <c r="BZ238" i="1" s="1"/>
  <c r="CA238" i="1" s="1"/>
  <c r="CB238" i="1" s="1"/>
  <c r="CW238" i="1" s="1"/>
  <c r="D159" i="8" s="1"/>
  <c r="J159" i="8" s="1"/>
  <c r="BY172" i="1"/>
  <c r="BZ172" i="1" s="1"/>
  <c r="CA172" i="1" s="1"/>
  <c r="CB172" i="1" s="1"/>
  <c r="CW172" i="1" s="1"/>
  <c r="D86" i="8" s="1"/>
  <c r="J86" i="8" s="1"/>
  <c r="BY159" i="1"/>
  <c r="BZ159" i="1" s="1"/>
  <c r="CA159" i="1" s="1"/>
  <c r="CB159" i="1" s="1"/>
  <c r="BY44" i="1"/>
  <c r="BZ44" i="1" s="1"/>
  <c r="CA44" i="1" s="1"/>
  <c r="CB44" i="1" s="1"/>
  <c r="BY205" i="1"/>
  <c r="BZ205" i="1" s="1"/>
  <c r="CA205" i="1" s="1"/>
  <c r="CB205" i="1" s="1"/>
  <c r="BY174" i="1"/>
  <c r="BZ174" i="1" s="1"/>
  <c r="CA174" i="1" s="1"/>
  <c r="CB174" i="1" s="1"/>
  <c r="BY214" i="1"/>
  <c r="BZ214" i="1" s="1"/>
  <c r="CA214" i="1" s="1"/>
  <c r="CB214" i="1" s="1"/>
  <c r="BY284" i="1"/>
  <c r="BZ284" i="1" s="1"/>
  <c r="CA284" i="1" s="1"/>
  <c r="CB284" i="1" s="1"/>
  <c r="BY157" i="1" l="1"/>
  <c r="BZ157" i="1" s="1"/>
  <c r="CA157" i="1" s="1"/>
  <c r="CB157" i="1" s="1"/>
  <c r="CW267" i="1"/>
  <c r="D31" i="8" s="1"/>
  <c r="J31" i="8" s="1"/>
  <c r="CW227" i="1"/>
  <c r="D46" i="8" s="1"/>
  <c r="J46" i="8" s="1"/>
  <c r="CW199" i="1"/>
  <c r="D214" i="8" s="1"/>
  <c r="J214" i="8" s="1"/>
  <c r="CW75" i="1"/>
  <c r="D30" i="8" s="1"/>
  <c r="J30" i="8" s="1"/>
  <c r="CW232" i="1"/>
  <c r="D130" i="8" s="1"/>
  <c r="J130" i="8" s="1"/>
  <c r="CW205" i="1"/>
  <c r="D121" i="8" s="1"/>
  <c r="J121" i="8" s="1"/>
  <c r="CW161" i="1"/>
  <c r="D203" i="8" s="1"/>
  <c r="J203" i="8" s="1"/>
  <c r="CW146" i="1"/>
  <c r="D160" i="8" s="1"/>
  <c r="J160" i="8" s="1"/>
  <c r="CW60" i="1"/>
  <c r="D132" i="8" s="1"/>
  <c r="J132" i="8" s="1"/>
  <c r="CW153" i="1"/>
  <c r="D269" i="8" s="1"/>
  <c r="J269" i="8" s="1"/>
  <c r="CW57" i="1"/>
  <c r="D222" i="8" s="1"/>
  <c r="J222" i="8" s="1"/>
  <c r="CW284" i="1"/>
  <c r="D29" i="8" s="1"/>
  <c r="J29" i="8" s="1"/>
  <c r="CW270" i="1"/>
  <c r="D221" i="8" s="1"/>
  <c r="J221" i="8" s="1"/>
  <c r="CW269" i="1"/>
  <c r="D37" i="8" s="1"/>
  <c r="J37" i="8" s="1"/>
  <c r="CW261" i="1"/>
  <c r="D4" i="8" s="1"/>
  <c r="J4" i="8" s="1"/>
  <c r="CW314" i="1"/>
  <c r="D216" i="8" s="1"/>
  <c r="J216" i="8" s="1"/>
  <c r="CW250" i="1"/>
  <c r="D76" i="8" s="1"/>
  <c r="J76" i="8" s="1"/>
  <c r="CW44" i="1"/>
  <c r="D10" i="8" s="1"/>
  <c r="J10" i="8" s="1"/>
  <c r="CW283" i="1"/>
  <c r="D2" i="8" s="1"/>
  <c r="J2" i="8" s="1"/>
  <c r="CW291" i="1"/>
  <c r="D35" i="8" s="1"/>
  <c r="J35" i="8" s="1"/>
  <c r="CW159" i="1"/>
  <c r="D173" i="8" s="1"/>
  <c r="J173" i="8" s="1"/>
  <c r="CW264" i="1"/>
  <c r="D79" i="8" s="1"/>
  <c r="J79" i="8" s="1"/>
  <c r="CW230" i="1"/>
  <c r="D25" i="8" s="1"/>
  <c r="J25" i="8" s="1"/>
  <c r="CW200" i="1"/>
  <c r="D103" i="8" s="1"/>
  <c r="J103" i="8" s="1"/>
  <c r="CW231" i="1"/>
  <c r="D98" i="8" s="1"/>
  <c r="J98" i="8" s="1"/>
  <c r="CW280" i="1"/>
  <c r="D20" i="8" s="1"/>
  <c r="J20" i="8" s="1"/>
  <c r="CW103" i="1"/>
  <c r="D140" i="8" s="1"/>
  <c r="J140" i="8" s="1"/>
  <c r="CW100" i="1"/>
  <c r="D9" i="8" s="1"/>
  <c r="J9" i="8" s="1"/>
  <c r="CW15" i="1"/>
  <c r="D178" i="8" s="1"/>
  <c r="J178" i="8" s="1"/>
  <c r="CW186" i="1"/>
  <c r="D93" i="8" s="1"/>
  <c r="J93" i="8" s="1"/>
  <c r="CW89" i="1"/>
  <c r="D251" i="8" s="1"/>
  <c r="J251" i="8" s="1"/>
  <c r="CW274" i="1"/>
  <c r="D85" i="8" s="1"/>
  <c r="J85" i="8" s="1"/>
  <c r="CW168" i="1"/>
  <c r="D78" i="8" s="1"/>
  <c r="J78" i="8" s="1"/>
  <c r="CW3" i="1"/>
  <c r="D230" i="8" s="1"/>
  <c r="J230" i="8" s="1"/>
  <c r="CW82" i="1"/>
  <c r="D136" i="8" s="1"/>
  <c r="J136" i="8" s="1"/>
  <c r="CW30" i="1"/>
  <c r="D272" i="8" s="1"/>
  <c r="J272" i="8" s="1"/>
  <c r="CW91" i="1"/>
  <c r="D277" i="8" s="1"/>
  <c r="J277" i="8" s="1"/>
  <c r="CW64" i="1"/>
  <c r="D197" i="8" s="1"/>
  <c r="J197" i="8" s="1"/>
  <c r="CW31" i="1"/>
  <c r="D154" i="8" s="1"/>
  <c r="J154" i="8" s="1"/>
  <c r="CW285" i="1"/>
  <c r="D270" i="8" s="1"/>
  <c r="J270" i="8" s="1"/>
  <c r="CW154" i="1"/>
  <c r="D88" i="8" s="1"/>
  <c r="J88" i="8" s="1"/>
  <c r="CW5" i="1"/>
  <c r="D283" i="8" s="1"/>
  <c r="J283" i="8" s="1"/>
  <c r="CW257" i="1"/>
  <c r="D190" i="8" s="1"/>
  <c r="J190" i="8" s="1"/>
  <c r="CW209" i="1"/>
  <c r="D3" i="8" s="1"/>
  <c r="J3" i="8" s="1"/>
  <c r="CW244" i="1"/>
  <c r="D14" i="8" s="1"/>
  <c r="J14" i="8" s="1"/>
  <c r="CW228" i="1"/>
  <c r="D238" i="8" s="1"/>
  <c r="J238" i="8" s="1"/>
  <c r="CW174" i="1"/>
  <c r="D246" i="8" s="1"/>
  <c r="J246" i="8" s="1"/>
  <c r="CW127" i="1"/>
  <c r="D157" i="8" s="1"/>
  <c r="J157" i="8" s="1"/>
  <c r="BY110" i="1"/>
  <c r="BZ110" i="1" s="1"/>
  <c r="CA110" i="1" s="1"/>
  <c r="CB110" i="1" s="1"/>
  <c r="CW110" i="1" s="1"/>
  <c r="D158" i="8" s="1"/>
  <c r="J158" i="8" s="1"/>
  <c r="CW116" i="1"/>
  <c r="D194" i="8" s="1"/>
  <c r="J194" i="8" s="1"/>
  <c r="CW85" i="1"/>
  <c r="D114" i="8" s="1"/>
  <c r="J114" i="8" s="1"/>
  <c r="CW108" i="1"/>
  <c r="D12" i="8" s="1"/>
  <c r="J12" i="8" s="1"/>
  <c r="CW214" i="1"/>
  <c r="D172" i="8" s="1"/>
  <c r="J172" i="8" s="1"/>
  <c r="CW173" i="1"/>
  <c r="D97" i="8" s="1"/>
  <c r="J97" i="8" s="1"/>
  <c r="CW157" i="1"/>
  <c r="D92" i="8" s="1"/>
  <c r="J92" i="8" s="1"/>
  <c r="BY158" i="1"/>
  <c r="BZ158" i="1" s="1"/>
  <c r="CA158" i="1" s="1"/>
  <c r="CB158" i="1" s="1"/>
  <c r="CW158" i="1" s="1"/>
  <c r="D287" i="8" s="1"/>
  <c r="J287" i="8" s="1"/>
  <c r="BY166" i="1"/>
  <c r="BZ166" i="1" s="1"/>
  <c r="CA166" i="1" s="1"/>
  <c r="CB166" i="1" s="1"/>
  <c r="CW166" i="1" s="1"/>
  <c r="D110" i="8" s="1"/>
  <c r="J110" i="8" s="1"/>
  <c r="BY217" i="1"/>
  <c r="BZ217" i="1" s="1"/>
  <c r="CA217" i="1" s="1"/>
  <c r="CB217" i="1" s="1"/>
  <c r="CW217" i="1" s="1"/>
  <c r="D66" i="8" s="1"/>
  <c r="J66" i="8" s="1"/>
  <c r="CW178" i="1"/>
  <c r="D153" i="8" s="1"/>
  <c r="J153" i="8" s="1"/>
  <c r="BY305" i="1"/>
  <c r="BZ305" i="1" s="1"/>
  <c r="CA305" i="1" s="1"/>
  <c r="CB305" i="1" s="1"/>
  <c r="CW305" i="1" s="1"/>
  <c r="D292" i="8" s="1"/>
  <c r="J292" i="8" s="1"/>
  <c r="CW78" i="1"/>
  <c r="D183" i="8" s="1"/>
  <c r="J183" i="8" s="1"/>
  <c r="CW90" i="1"/>
  <c r="D317" i="8" s="1"/>
  <c r="J317" i="8" s="1"/>
  <c r="BY50" i="1"/>
  <c r="BZ50" i="1" s="1"/>
  <c r="CA50" i="1" s="1"/>
  <c r="CB50" i="1" s="1"/>
  <c r="CW50" i="1" s="1"/>
  <c r="D69" i="8" s="1"/>
  <c r="J69" i="8" s="1"/>
  <c r="CW145" i="1"/>
  <c r="D174" i="8" s="1"/>
  <c r="J174" i="8" s="1"/>
  <c r="BY115" i="1"/>
  <c r="BZ115" i="1" s="1"/>
  <c r="CA115" i="1" s="1"/>
  <c r="CB115" i="1" s="1"/>
  <c r="CW115" i="1" s="1"/>
  <c r="D256" i="8" s="1"/>
  <c r="J256" i="8" s="1"/>
  <c r="BY272" i="1"/>
  <c r="BZ272" i="1" s="1"/>
  <c r="CA272" i="1" s="1"/>
  <c r="CB272" i="1" s="1"/>
  <c r="CW272" i="1" s="1"/>
  <c r="D48" i="8" s="1"/>
  <c r="J48" i="8" s="1"/>
  <c r="CW24" i="1"/>
  <c r="D252" i="8" s="1"/>
  <c r="J252" i="8" s="1"/>
  <c r="BY61" i="1"/>
  <c r="BZ61" i="1" s="1"/>
  <c r="CA61" i="1" s="1"/>
  <c r="CB61" i="1" s="1"/>
  <c r="CW61" i="1" s="1"/>
  <c r="D141" i="8" s="1"/>
  <c r="J141" i="8" s="1"/>
  <c r="BY49" i="1"/>
  <c r="BZ49" i="1" s="1"/>
  <c r="CA49" i="1" s="1"/>
  <c r="CB49" i="1" s="1"/>
  <c r="CW49" i="1" s="1"/>
  <c r="D27" i="8" s="1"/>
  <c r="J27" i="8" s="1"/>
  <c r="BY39" i="1"/>
  <c r="BZ39" i="1" s="1"/>
  <c r="CA39" i="1" s="1"/>
  <c r="CB39" i="1" s="1"/>
  <c r="CW39" i="1" s="1"/>
  <c r="D303" i="8" s="1"/>
  <c r="J303" i="8" s="1"/>
  <c r="BY192" i="1"/>
  <c r="BZ192" i="1" s="1"/>
  <c r="CA192" i="1" s="1"/>
  <c r="CB192" i="1" s="1"/>
  <c r="CW192" i="1" s="1"/>
  <c r="D209" i="8" s="1"/>
  <c r="J209" i="8" s="1"/>
  <c r="BY169" i="1"/>
  <c r="BZ169" i="1" s="1"/>
  <c r="CA169" i="1" s="1"/>
  <c r="CB169" i="1" s="1"/>
  <c r="CW169" i="1" s="1"/>
  <c r="D257" i="8" s="1"/>
  <c r="J257" i="8" s="1"/>
  <c r="BY171" i="1"/>
  <c r="BZ171" i="1" s="1"/>
  <c r="CA171" i="1" s="1"/>
  <c r="CB171" i="1" s="1"/>
  <c r="CW171" i="1" s="1"/>
  <c r="D120" i="8" s="1"/>
  <c r="J120" i="8" s="1"/>
  <c r="BY237" i="1"/>
  <c r="BZ237" i="1" s="1"/>
  <c r="CA237" i="1" s="1"/>
  <c r="CB237" i="1" s="1"/>
  <c r="CW237" i="1" s="1"/>
  <c r="D17" i="8" s="1"/>
  <c r="J17" i="8" s="1"/>
  <c r="BY201" i="1"/>
  <c r="BZ201" i="1" s="1"/>
  <c r="CA201" i="1" s="1"/>
  <c r="CB201" i="1" s="1"/>
  <c r="CW201" i="1" s="1"/>
  <c r="D62" i="8" s="1"/>
  <c r="J62" i="8" s="1"/>
  <c r="BY18" i="1"/>
  <c r="BZ18" i="1" s="1"/>
  <c r="CA18" i="1" s="1"/>
  <c r="CB18" i="1" s="1"/>
  <c r="CW18" i="1" s="1"/>
  <c r="D306" i="8" s="1"/>
  <c r="J306" i="8" s="1"/>
  <c r="BY113" i="1"/>
  <c r="BZ113" i="1" s="1"/>
  <c r="CA113" i="1" s="1"/>
  <c r="CB113" i="1" s="1"/>
  <c r="CW113" i="1" s="1"/>
  <c r="D276" i="8" s="1"/>
  <c r="J276" i="8" s="1"/>
  <c r="BY84" i="1"/>
  <c r="BZ84" i="1" s="1"/>
  <c r="CA84" i="1" s="1"/>
  <c r="CB84" i="1" s="1"/>
  <c r="CW84" i="1" s="1"/>
  <c r="D280" i="8" s="1"/>
  <c r="J280" i="8" s="1"/>
  <c r="BY242" i="1"/>
  <c r="BZ242" i="1" s="1"/>
  <c r="CA242" i="1" s="1"/>
  <c r="CB242" i="1" s="1"/>
  <c r="CW242" i="1" s="1"/>
  <c r="D285" i="8" s="1"/>
  <c r="J285" i="8" s="1"/>
  <c r="BY150" i="1"/>
  <c r="BZ150" i="1" s="1"/>
  <c r="CA150" i="1" s="1"/>
  <c r="CB150" i="1" s="1"/>
  <c r="CW150" i="1" s="1"/>
  <c r="D212" i="8" s="1"/>
  <c r="J212" i="8" s="1"/>
  <c r="BY196" i="1"/>
  <c r="BZ196" i="1" s="1"/>
  <c r="CA196" i="1" s="1"/>
  <c r="CB196" i="1" s="1"/>
  <c r="CW196" i="1" s="1"/>
  <c r="D162" i="8" s="1"/>
  <c r="J162" i="8" s="1"/>
  <c r="BY239" i="1"/>
  <c r="BZ239" i="1" s="1"/>
  <c r="CA239" i="1" s="1"/>
  <c r="CB239" i="1" s="1"/>
  <c r="CW239" i="1" s="1"/>
  <c r="D23" i="8" s="1"/>
  <c r="J23" i="8" s="1"/>
  <c r="BY245" i="1"/>
  <c r="BZ245" i="1" s="1"/>
  <c r="CA245" i="1" s="1"/>
  <c r="CB245" i="1" s="1"/>
  <c r="CW245" i="1" s="1"/>
  <c r="D108" i="8" s="1"/>
  <c r="J108" i="8" s="1"/>
  <c r="BY21" i="1"/>
  <c r="BZ21" i="1" s="1"/>
  <c r="CA21" i="1" s="1"/>
  <c r="CB21" i="1" s="1"/>
  <c r="CW21" i="1" s="1"/>
  <c r="D129" i="8" s="1"/>
  <c r="J129" i="8" s="1"/>
  <c r="BY139" i="1"/>
  <c r="BZ139" i="1" s="1"/>
  <c r="CA139" i="1" s="1"/>
  <c r="CB139" i="1" s="1"/>
  <c r="CW139" i="1" s="1"/>
  <c r="D170" i="8" s="1"/>
  <c r="J170" i="8" s="1"/>
  <c r="BY86" i="1"/>
  <c r="BZ86" i="1" s="1"/>
  <c r="CA86" i="1" s="1"/>
  <c r="CB86" i="1" s="1"/>
  <c r="CW86" i="1" s="1"/>
  <c r="D242" i="8" s="1"/>
  <c r="J242" i="8" s="1"/>
  <c r="BY221" i="1"/>
  <c r="BZ221" i="1" s="1"/>
  <c r="CA221" i="1" s="1"/>
  <c r="CB221" i="1" s="1"/>
  <c r="CW221" i="1" s="1"/>
  <c r="D109" i="8" s="1"/>
  <c r="J109" i="8" s="1"/>
  <c r="BY191" i="1"/>
  <c r="BZ191" i="1" s="1"/>
  <c r="CA191" i="1" s="1"/>
  <c r="CB191" i="1" s="1"/>
  <c r="CW191" i="1" s="1"/>
  <c r="D131" i="8" s="1"/>
  <c r="J131" i="8" s="1"/>
  <c r="BY273" i="1"/>
  <c r="BZ273" i="1" s="1"/>
  <c r="CA273" i="1" s="1"/>
  <c r="CB273" i="1" s="1"/>
  <c r="CW273" i="1" s="1"/>
  <c r="D236" i="8" s="1"/>
  <c r="J236" i="8" s="1"/>
  <c r="BY282" i="1"/>
  <c r="BZ282" i="1" s="1"/>
  <c r="CA282" i="1" s="1"/>
  <c r="CB282" i="1" s="1"/>
  <c r="CW282" i="1" s="1"/>
  <c r="D77" i="8" s="1"/>
  <c r="J77" i="8" s="1"/>
  <c r="BY263" i="1"/>
  <c r="BZ263" i="1" s="1"/>
  <c r="CA263" i="1" s="1"/>
  <c r="CB263" i="1" s="1"/>
  <c r="CW263" i="1" s="1"/>
  <c r="D176" i="8" s="1"/>
  <c r="J176" i="8" s="1"/>
  <c r="BY51" i="1"/>
  <c r="BZ51" i="1" s="1"/>
  <c r="CA51" i="1" s="1"/>
  <c r="CB51" i="1" s="1"/>
  <c r="CW51" i="1" s="1"/>
  <c r="D151" i="8" s="1"/>
  <c r="J151" i="8" s="1"/>
  <c r="BY184" i="1"/>
  <c r="BZ184" i="1" s="1"/>
  <c r="CA184" i="1" s="1"/>
  <c r="CB184" i="1" s="1"/>
  <c r="CW184" i="1" s="1"/>
  <c r="D254" i="8" s="1"/>
  <c r="J254" i="8" s="1"/>
  <c r="BY94" i="1"/>
  <c r="BZ94" i="1" s="1"/>
  <c r="CA94" i="1" s="1"/>
  <c r="CB94" i="1" s="1"/>
  <c r="CW94" i="1" s="1"/>
  <c r="D83" i="8" s="1"/>
  <c r="J83" i="8" s="1"/>
  <c r="BY163" i="1"/>
  <c r="BZ163" i="1" s="1"/>
  <c r="CA163" i="1" s="1"/>
  <c r="CB163" i="1" s="1"/>
  <c r="CW163" i="1" s="1"/>
  <c r="D184" i="8" s="1"/>
  <c r="J184" i="8" s="1"/>
  <c r="BY109" i="1"/>
  <c r="BZ109" i="1" s="1"/>
  <c r="CA109" i="1" s="1"/>
  <c r="CB109" i="1" s="1"/>
  <c r="CW109" i="1" s="1"/>
  <c r="D61" i="8" s="1"/>
  <c r="J61" i="8" s="1"/>
  <c r="BY307" i="1"/>
  <c r="BZ307" i="1" s="1"/>
  <c r="CA307" i="1" s="1"/>
  <c r="CB307" i="1" s="1"/>
  <c r="CW307" i="1" s="1"/>
  <c r="D300" i="8" s="1"/>
  <c r="J300" i="8" s="1"/>
  <c r="BY313" i="1"/>
  <c r="BZ313" i="1" s="1"/>
  <c r="CA313" i="1" s="1"/>
  <c r="CB313" i="1" s="1"/>
  <c r="CW313" i="1" s="1"/>
  <c r="D308" i="8" s="1"/>
  <c r="J308" i="8" s="1"/>
  <c r="BY296" i="1"/>
  <c r="BZ296" i="1" s="1"/>
  <c r="CA296" i="1" s="1"/>
  <c r="CB296" i="1" s="1"/>
  <c r="CW296" i="1" s="1"/>
  <c r="D226" i="8" s="1"/>
  <c r="J226" i="8" s="1"/>
  <c r="BY70" i="1"/>
  <c r="BZ70" i="1" s="1"/>
  <c r="CA70" i="1" s="1"/>
  <c r="CB70" i="1" s="1"/>
  <c r="CW70" i="1" s="1"/>
  <c r="D258" i="8" s="1"/>
  <c r="J258" i="8" s="1"/>
  <c r="BY52" i="1"/>
  <c r="BZ52" i="1" s="1"/>
  <c r="CA52" i="1" s="1"/>
  <c r="CB52" i="1" s="1"/>
  <c r="CW52" i="1" s="1"/>
  <c r="D138" i="8" s="1"/>
  <c r="J138" i="8" s="1"/>
  <c r="BY119" i="1"/>
  <c r="BZ119" i="1" s="1"/>
  <c r="CA119" i="1" s="1"/>
  <c r="CB119" i="1" s="1"/>
  <c r="CW119" i="1" s="1"/>
  <c r="D107" i="8" s="1"/>
  <c r="J107" i="8" s="1"/>
  <c r="BY152" i="1"/>
  <c r="BZ152" i="1" s="1"/>
  <c r="CA152" i="1" s="1"/>
  <c r="CB152" i="1" s="1"/>
  <c r="CW152" i="1" s="1"/>
  <c r="D41" i="8" s="1"/>
  <c r="J41" i="8" s="1"/>
  <c r="BY112" i="1"/>
  <c r="BZ112" i="1" s="1"/>
  <c r="CA112" i="1" s="1"/>
  <c r="CB112" i="1" s="1"/>
  <c r="CW112" i="1" s="1"/>
  <c r="D248" i="8" s="1"/>
  <c r="J248" i="8" s="1"/>
  <c r="BY321" i="1"/>
  <c r="BZ321" i="1" s="1"/>
  <c r="CA321" i="1" s="1"/>
  <c r="CB321" i="1" s="1"/>
  <c r="CW321" i="1" s="1"/>
  <c r="D169" i="8" s="1"/>
  <c r="J169" i="8" s="1"/>
  <c r="BY299" i="1"/>
  <c r="BZ299" i="1" s="1"/>
  <c r="CA299" i="1" s="1"/>
  <c r="CB299" i="1" s="1"/>
  <c r="CW299" i="1" s="1"/>
  <c r="D22" i="8" s="1"/>
  <c r="J22" i="8" s="1"/>
  <c r="BY302" i="1"/>
  <c r="BZ302" i="1" s="1"/>
  <c r="CA302" i="1" s="1"/>
  <c r="CB302" i="1" s="1"/>
  <c r="CW302" i="1" s="1"/>
  <c r="D127" i="8" s="1"/>
  <c r="J127" i="8" s="1"/>
  <c r="BY33" i="1"/>
  <c r="BZ33" i="1" s="1"/>
  <c r="CA33" i="1" s="1"/>
  <c r="CB33" i="1" s="1"/>
  <c r="CW33" i="1" s="1"/>
  <c r="D163" i="8" s="1"/>
  <c r="J163" i="8" s="1"/>
  <c r="BY69" i="1"/>
  <c r="BZ69" i="1" s="1"/>
  <c r="CA69" i="1" s="1"/>
  <c r="CB69" i="1" s="1"/>
  <c r="CW69" i="1" s="1"/>
  <c r="D235" i="8" s="1"/>
  <c r="J235" i="8" s="1"/>
  <c r="BY183" i="1"/>
  <c r="BZ183" i="1" s="1"/>
  <c r="CA183" i="1" s="1"/>
  <c r="CB183" i="1" s="1"/>
  <c r="CW183" i="1" s="1"/>
  <c r="D51" i="8" s="1"/>
  <c r="J51" i="8" s="1"/>
  <c r="BY213" i="1"/>
  <c r="BZ213" i="1" s="1"/>
  <c r="CA213" i="1" s="1"/>
  <c r="CB213" i="1" s="1"/>
  <c r="CW213" i="1" s="1"/>
  <c r="D284" i="8" s="1"/>
  <c r="J284" i="8" s="1"/>
  <c r="BY138" i="1"/>
  <c r="BZ138" i="1" s="1"/>
  <c r="CA138" i="1" s="1"/>
  <c r="CB138" i="1" s="1"/>
  <c r="CW138" i="1" s="1"/>
  <c r="D198" i="8" s="1"/>
  <c r="J198" i="8" s="1"/>
  <c r="BY251" i="1"/>
  <c r="BZ251" i="1" s="1"/>
  <c r="CA251" i="1" s="1"/>
  <c r="CB251" i="1" s="1"/>
  <c r="CW251" i="1" s="1"/>
  <c r="D36" i="8" s="1"/>
  <c r="J36" i="8" s="1"/>
  <c r="BY303" i="1"/>
  <c r="BZ303" i="1" s="1"/>
  <c r="CA303" i="1" s="1"/>
  <c r="CB303" i="1" s="1"/>
  <c r="CW303" i="1" s="1"/>
  <c r="D111" i="8" s="1"/>
  <c r="J111" i="8" s="1"/>
  <c r="BY34" i="1"/>
  <c r="BZ34" i="1" s="1"/>
  <c r="CA34" i="1" s="1"/>
  <c r="CB34" i="1" s="1"/>
  <c r="CW34" i="1" s="1"/>
  <c r="D55" i="8" s="1"/>
  <c r="J55" i="8" s="1"/>
  <c r="BY87" i="1"/>
  <c r="BZ87" i="1" s="1"/>
  <c r="CA87" i="1" s="1"/>
  <c r="CB87" i="1" s="1"/>
  <c r="CW87" i="1" s="1"/>
  <c r="D75" i="8" s="1"/>
  <c r="J75" i="8" s="1"/>
  <c r="BY77" i="1"/>
  <c r="BZ77" i="1" s="1"/>
  <c r="CA77" i="1" s="1"/>
  <c r="CB77" i="1" s="1"/>
  <c r="CW77" i="1" s="1"/>
  <c r="D58" i="8" s="1"/>
  <c r="J58" i="8" s="1"/>
  <c r="BY140" i="1"/>
  <c r="BZ140" i="1" s="1"/>
  <c r="CA140" i="1" s="1"/>
  <c r="CB140" i="1" s="1"/>
  <c r="CW140" i="1" s="1"/>
  <c r="D100" i="8" s="1"/>
  <c r="J100" i="8" s="1"/>
  <c r="BY151" i="1"/>
  <c r="BZ151" i="1" s="1"/>
  <c r="CA151" i="1" s="1"/>
  <c r="CB151" i="1" s="1"/>
  <c r="CW151" i="1" s="1"/>
  <c r="D201" i="8" s="1"/>
  <c r="J201" i="8" s="1"/>
  <c r="BY156" i="1"/>
  <c r="BZ156" i="1" s="1"/>
  <c r="CA156" i="1" s="1"/>
  <c r="CB156" i="1" s="1"/>
  <c r="CW156" i="1" s="1"/>
  <c r="D146" i="8" s="1"/>
  <c r="J146" i="8" s="1"/>
  <c r="BY315" i="1"/>
  <c r="BZ315" i="1" s="1"/>
  <c r="CA315" i="1" s="1"/>
  <c r="CB315" i="1" s="1"/>
  <c r="CW315" i="1" s="1"/>
  <c r="D208" i="8" s="1"/>
  <c r="J208" i="8" s="1"/>
  <c r="CW2" i="1"/>
  <c r="D175" i="8" s="1"/>
  <c r="J175" i="8" s="1"/>
  <c r="BY226" i="1"/>
  <c r="BZ226" i="1" s="1"/>
  <c r="CA226" i="1" s="1"/>
  <c r="CB226" i="1" s="1"/>
  <c r="CW226" i="1" s="1"/>
  <c r="D39" i="8" s="1"/>
  <c r="J39" i="8" s="1"/>
  <c r="BY130" i="1"/>
  <c r="BZ130" i="1" s="1"/>
  <c r="CA130" i="1" s="1"/>
  <c r="CB130" i="1" s="1"/>
  <c r="CW130" i="1" s="1"/>
  <c r="D105" i="8" s="1"/>
  <c r="J105" i="8" s="1"/>
  <c r="BY298" i="1"/>
  <c r="BZ298" i="1" s="1"/>
  <c r="CA298" i="1" s="1"/>
  <c r="CB298" i="1" s="1"/>
  <c r="CW298" i="1" s="1"/>
  <c r="D315" i="8" s="1"/>
  <c r="J315" i="8" s="1"/>
  <c r="BY290" i="1"/>
  <c r="BZ290" i="1" s="1"/>
  <c r="CA290" i="1" s="1"/>
  <c r="CB290" i="1" s="1"/>
  <c r="CW290" i="1" s="1"/>
  <c r="D21" i="8" s="1"/>
  <c r="J21" i="8" s="1"/>
  <c r="BY208" i="1"/>
  <c r="BZ208" i="1" s="1"/>
  <c r="CA208" i="1" s="1"/>
  <c r="CB208" i="1" s="1"/>
  <c r="CW208" i="1" s="1"/>
  <c r="D94" i="8" s="1"/>
  <c r="J94" i="8" s="1"/>
  <c r="BY121" i="1"/>
  <c r="BZ121" i="1" s="1"/>
  <c r="CA121" i="1" s="1"/>
  <c r="CB121" i="1" s="1"/>
  <c r="CW121" i="1" s="1"/>
  <c r="D304" i="8" s="1"/>
  <c r="J304" i="8" s="1"/>
  <c r="BY194" i="1"/>
  <c r="BZ194" i="1" s="1"/>
  <c r="CA194" i="1" s="1"/>
  <c r="CB194" i="1" s="1"/>
  <c r="CW194" i="1" s="1"/>
  <c r="D290" i="8" s="1"/>
  <c r="J290" i="8" s="1"/>
  <c r="BY36" i="1"/>
  <c r="BZ36" i="1" s="1"/>
  <c r="CA36" i="1" s="1"/>
  <c r="CB36" i="1" s="1"/>
  <c r="CW36" i="1" s="1"/>
  <c r="D319" i="8" s="1"/>
  <c r="J319" i="8" s="1"/>
  <c r="BY46" i="1"/>
  <c r="BZ46" i="1" s="1"/>
  <c r="CA46" i="1" s="1"/>
  <c r="CB46" i="1" s="1"/>
  <c r="CW46" i="1" s="1"/>
  <c r="D213" i="8" s="1"/>
  <c r="J213" i="8" s="1"/>
  <c r="BY310" i="1"/>
  <c r="BZ310" i="1" s="1"/>
  <c r="CA310" i="1" s="1"/>
  <c r="CB310" i="1" s="1"/>
  <c r="CW310" i="1" s="1"/>
  <c r="D261" i="8" s="1"/>
  <c r="J261" i="8" s="1"/>
  <c r="BY207" i="1"/>
  <c r="BZ207" i="1" s="1"/>
  <c r="CA207" i="1" s="1"/>
  <c r="CB207" i="1" s="1"/>
  <c r="CW207" i="1" s="1"/>
  <c r="D312" i="8" s="1"/>
  <c r="J312" i="8" s="1"/>
  <c r="BY8" i="1"/>
  <c r="BZ8" i="1" s="1"/>
  <c r="CA8" i="1" s="1"/>
  <c r="CB8" i="1" s="1"/>
  <c r="CW8" i="1" s="1"/>
  <c r="D316" i="8" s="1"/>
  <c r="J316" i="8" s="1"/>
  <c r="BY246" i="1"/>
  <c r="BZ246" i="1" s="1"/>
  <c r="CA246" i="1" s="1"/>
  <c r="CB246" i="1" s="1"/>
  <c r="CW246" i="1" s="1"/>
  <c r="D18" i="8" s="1"/>
  <c r="J18" i="8" s="1"/>
  <c r="BY142" i="1"/>
  <c r="BZ142" i="1" s="1"/>
  <c r="CA142" i="1" s="1"/>
  <c r="CB142" i="1" s="1"/>
  <c r="CW142" i="1" s="1"/>
  <c r="D82" i="8" s="1"/>
  <c r="J82" i="8" s="1"/>
  <c r="BY297" i="1"/>
  <c r="BZ297" i="1" s="1"/>
  <c r="CA297" i="1" s="1"/>
  <c r="CB297" i="1" s="1"/>
  <c r="CW297" i="1" s="1"/>
  <c r="D309" i="8" s="1"/>
  <c r="J309" i="8" s="1"/>
  <c r="BY179" i="1"/>
  <c r="BZ179" i="1" s="1"/>
  <c r="CA179" i="1" s="1"/>
  <c r="CB179" i="1" s="1"/>
  <c r="CW179" i="1" s="1"/>
  <c r="D191" i="8" s="1"/>
  <c r="J191" i="8" s="1"/>
  <c r="BY136" i="1"/>
  <c r="BZ136" i="1" s="1"/>
  <c r="CA136" i="1" s="1"/>
  <c r="CB136" i="1" s="1"/>
  <c r="CW136" i="1" s="1"/>
  <c r="D311" i="8" s="1"/>
  <c r="J311" i="8" s="1"/>
  <c r="BY141" i="1"/>
  <c r="BZ141" i="1" s="1"/>
  <c r="CA141" i="1" s="1"/>
  <c r="CB141" i="1" s="1"/>
  <c r="CW141" i="1" s="1"/>
  <c r="D293" i="8" s="1"/>
  <c r="J293" i="8" s="1"/>
  <c r="BY308" i="1"/>
  <c r="BZ308" i="1" s="1"/>
  <c r="CA308" i="1" s="1"/>
  <c r="CB308" i="1" s="1"/>
  <c r="CW308" i="1" s="1"/>
  <c r="D268" i="8" s="1"/>
  <c r="J268" i="8" s="1"/>
  <c r="BY322" i="1"/>
  <c r="BZ322" i="1" s="1"/>
  <c r="CA322" i="1" s="1"/>
  <c r="CB322" i="1" s="1"/>
  <c r="CW322" i="1" s="1"/>
  <c r="D318" i="8" s="1"/>
  <c r="J318" i="8" s="1"/>
  <c r="BY122" i="1"/>
  <c r="BZ122" i="1" s="1"/>
  <c r="CA122" i="1" s="1"/>
  <c r="CB122" i="1" s="1"/>
  <c r="CW122" i="1" s="1"/>
  <c r="D279" i="8" s="1"/>
  <c r="J279" i="8" s="1"/>
  <c r="BY102" i="1"/>
  <c r="BZ102" i="1" s="1"/>
  <c r="CA102" i="1" s="1"/>
  <c r="CB102" i="1" s="1"/>
  <c r="CW102" i="1" s="1"/>
  <c r="D225" i="8" s="1"/>
  <c r="J225" i="8" s="1"/>
  <c r="BY143" i="1"/>
  <c r="BZ143" i="1" s="1"/>
  <c r="CA143" i="1" s="1"/>
  <c r="CB143" i="1" s="1"/>
  <c r="CW143" i="1" s="1"/>
  <c r="D278" i="8" s="1"/>
  <c r="J278" i="8" s="1"/>
  <c r="BY76" i="1"/>
  <c r="BZ76" i="1" s="1"/>
  <c r="CA76" i="1" s="1"/>
  <c r="CB76" i="1" s="1"/>
  <c r="CW76" i="1" s="1"/>
  <c r="D218" i="8" s="1"/>
  <c r="J218" i="8" s="1"/>
  <c r="BY63" i="1"/>
  <c r="BZ63" i="1" s="1"/>
  <c r="CA63" i="1" s="1"/>
  <c r="CB63" i="1" s="1"/>
  <c r="CW63" i="1" s="1"/>
  <c r="D314" i="8" s="1"/>
  <c r="J314" i="8" s="1"/>
  <c r="BY252" i="1"/>
  <c r="BZ252" i="1" s="1"/>
  <c r="CA252" i="1" s="1"/>
  <c r="CB252" i="1" s="1"/>
  <c r="CW252" i="1" s="1"/>
  <c r="D313" i="8" s="1"/>
  <c r="J313" i="8" s="1"/>
  <c r="BY236" i="1"/>
  <c r="BZ236" i="1" s="1"/>
  <c r="CA236" i="1" s="1"/>
  <c r="CB236" i="1" s="1"/>
  <c r="CW236" i="1" s="1"/>
  <c r="D171" i="8" s="1"/>
  <c r="J171" i="8" s="1"/>
</calcChain>
</file>

<file path=xl/comments1.xml><?xml version="1.0" encoding="utf-8"?>
<comments xmlns="http://schemas.openxmlformats.org/spreadsheetml/2006/main">
  <authors>
    <author>tc={1363C775-377A-45B9-9A1F-E559AB259536}</author>
    <author>tc={D6919D1E-3BDE-4D30-A465-3058FE4B8C72}</author>
    <author>tc={09F30FF4-C1AC-4F4F-9EA0-4224551D7814}</author>
    <author>tc={1598FC38-C421-411E-8741-8A43B0D30AAE}</author>
    <author>tc={057779F6-1BA0-4CE1-8239-3A7A77B0230E}</author>
    <author>tc={7EE5FBC2-1D41-458E-A6B3-3074B421AC51}</author>
    <author>tc={0A5E9F16-57A8-4B0A-89BC-A20DDD3619B9}</author>
    <author>tc={30203850-E9A4-46EB-BEBA-41F2FFBD791E}</author>
    <author>tc={DCB99972-FEF8-4CB8-83FD-B28BE593A527}</author>
    <author>tc={6D8D4446-9994-45D4-A3AE-8B8C40198F14}</author>
    <author>tc={BEBC05E6-7583-4873-850A-BBF994DC165E}</author>
    <author>tc={E40F2B61-756C-4A5C-900C-8CBFE46DF064}</author>
    <author>tc={B5038562-A383-402B-8EDB-42F695F97C2C}</author>
    <author>tc={EFCD694C-F6CB-458F-8691-438C5E25E6A6}</author>
    <author>tc={57E43298-CB28-41BB-8DBD-6A702B7D341D}</author>
    <author>tc={A7E5A2E1-9C58-49CA-96F8-65435011CD6A}</author>
    <author>tc={AC653055-7293-4BF9-8794-6CFE469BB799}</author>
    <author>tc={8B4343B7-E7E7-463B-9C1C-133E2804667F}</author>
    <author>tc={C6E0409B-350D-40E1-A62A-D8541C2F8BA4}</author>
    <author>tc={CDAD6FB6-7D7E-45C8-9F50-034AFB908227}</author>
    <author>tc={1C1653E9-794F-4366-8004-1EF918FDF292}</author>
    <author>tc={1010DE91-0CCF-4BE6-85B1-2249AD8477E6}</author>
    <author>tc={B11AB497-1602-4DC8-8045-BBBAEEACE0AD}</author>
    <author>tc={C3FDF245-89F5-400A-9951-8BB4342A592F}</author>
    <author>tc={02A1BD00-B8A4-4E7A-81C1-A18ADCABD3A1}</author>
    <author>tc={CE990E61-BB8D-4A85-996E-505CABF3D942}</author>
    <author>tc={2ACD3646-5534-4AB9-A875-08176C42194F}</author>
    <author>tc={93A4E789-2CEA-410D-BF42-41EF780ADDF0}</author>
    <author>tc={83560815-D5AA-4AD7-8245-175B614904D2}</author>
    <author>tc={DE59BBAB-B7AE-439B-840C-61BFF33A6F56}</author>
    <author>hcjun</author>
    <author>tc={01C8DF5B-5B59-45AA-8B6B-1F5811BE5A31}</author>
    <author>tc={5C21B511-FD86-4CC7-BF13-B816AF28FBE7}</author>
    <author>tc={8B7A496D-67E3-4D78-BDA5-76774455D9CA}</author>
    <author>tc={F240C808-9CFD-4DEE-844D-45D3DB69D0C9}</author>
    <author>tc={6C24BBB7-E3B5-453A-B84B-B9AF252BF8B6}</author>
    <author>tc={1EF48D21-648A-4926-ADA5-304C45AB8F85}</author>
    <author>tc={EC02E09A-8227-4F5C-ADDE-1469E0BFDCD0}</author>
    <author>tc={4F101EC8-D2F4-4BDA-AB82-BC0A382A36DF}</author>
    <author>tc={E11D4755-42FE-43E0-B0FC-AA780CDD4990}</author>
    <author>tc={4D8D55B6-B9F1-445E-A12C-4198AA8EACD5}</author>
    <author>tc={1B9F2F82-5F46-4FD6-AA4B-F5FD3D6FC8CC}</author>
    <author>tc={DCED92F3-4489-4FF9-8095-FCA5D5D955DB}</author>
    <author>tc={307832C3-A370-4FB4-AD40-8072E6BD2739}</author>
    <author>tc={9A883C27-F53B-4B8E-944C-5162EA0E3EF4}</author>
    <author>tc={DCE6152C-7C6A-4DA5-A88A-E11C74C2006C}</author>
    <author>tc={1A4AB699-F602-460C-9D4B-E4CA1089067E}</author>
    <author>tc={FC7ED292-91A1-4BC4-ABC2-F8EFBB4475E7}</author>
    <author>tc={8FA6BB9B-F3FB-48EC-A976-D73CF746F013}</author>
    <author>tc={A6086166-15C2-469F-B75E-61DFE20E7D1B}</author>
    <author>tc={DA2DC55A-A11C-45C9-9F01-16149C649135}</author>
    <author>tc={4B92259B-C4CE-4C05-B91A-DD175257AC36}</author>
    <author>tc={D23BB55C-8777-48F5-BB74-390CC53129A6}</author>
    <author>tc={A6A5A886-5E6D-4F69-9ED7-0EF75A5789EF}</author>
    <author>tc={2B01CE05-286B-4C5D-819D-496371601877}</author>
    <author>tc={95B69CCE-56AE-4F2D-9E5A-60CB688CCAA1}</author>
    <author>tc={B9D8B373-3648-4D75-B9DF-9D5BDF2817F0}</author>
    <author>tc={BC6FC427-9A9F-4589-B57E-45F885468D56}</author>
    <author>tc={C4A8F22A-619C-4F5B-A451-2FEF05878FA0}</author>
    <author>tc={87D019FC-7CDC-47E9-B858-F59515348C77}</author>
    <author>tc={064D7E80-9CD7-47F3-A5A3-FA96D8D6FC4B}</author>
    <author>tc={C416B066-F52D-421A-9246-ACAA63076587}</author>
    <author>tc={6B5F3CAE-D77E-403F-9AD6-4C7006AD0E0F}</author>
    <author>tc={765F4B66-DF96-421F-B97D-DE73E9C52AF6}</author>
    <author>tc={4ED1F575-3656-4A1C-8012-1FA0C1B0E1C6}</author>
    <author>tc={D78E6A82-D0FD-4C58-B3E5-CCBEF0F04CCF}</author>
    <author>tc={AF363200-6D1A-4FC0-AF1E-8A3C833371CF}</author>
    <author>tc={7974EBB4-83CE-4D4B-A8DE-4204FF22331B}</author>
    <author>tc={293FC0E2-D125-4F51-B932-465B090A014E}</author>
    <author>tc={F6DF46EC-4089-45AA-B822-37AC3BCD0578}</author>
    <author>tc={77EB030F-C9A6-4817-A4AB-936DCBF174DF}</author>
    <author>tc={DDE55258-E532-4BFC-BF7E-807851020452}</author>
    <author>tc={819F3C36-194F-4C1E-A22C-49C30EC4E367}</author>
    <author>tc={05D35DC3-C6D4-47A7-87CA-E8E6D381160A}</author>
    <author>tc={CE1ED0A2-0554-49A2-A1AD-B623D88DD628}</author>
    <author>tc={21973121-DFC5-4EB4-B5F3-0289D9DF2229}</author>
    <author>tc={F16CED8E-7348-46D0-A069-643F05CEC30F}</author>
    <author>tc={A93896F4-1AA2-4CB2-AF0E-BB0C57276604}</author>
    <author>tc={479FE27C-40CD-42B2-B70D-EAE2AC6AB01C}</author>
    <author>tc={AD1F552E-7365-431B-B565-318D04A13787}</author>
    <author>tc={3F806AE0-6F95-42C3-843C-17BA56AADC7F}</author>
    <author>tc={A33B1602-A921-40DD-8EF1-C6178097215C}</author>
    <author>tc={8B8D2046-8A44-4767-B882-77DAA92A8B93}</author>
    <author>tc={9556784E-5E19-4DAC-AE2A-4564E795DB3D}</author>
    <author>tc={9FCA69C1-1A04-4FDA-B3BD-A959C0EDF08D}</author>
    <author>tc={AB677D50-687A-40DE-B27E-4160D43E6E90}</author>
    <author>tc={3BEDAC0D-4A5A-494B-8334-F4F48C423B1A}</author>
    <author>tc={BB969D74-3DCB-4105-9B51-BA6228386F4B}</author>
    <author>tc={8ED93382-2818-4675-A534-3FE9B03ED3F4}</author>
    <author>tc={95E6F649-D1C1-4315-BBD6-E25F70A989E1}</author>
    <author>tc={CBAD5D76-0E89-43E1-ACAC-98AE2EE99DB7}</author>
    <author>tc={B8A3EB19-C8FB-48D7-A3BA-A62E01160C06}</author>
    <author>tc={3FA85298-373A-4935-A208-03497A1FEE47}</author>
    <author>tc={7B75E94F-69C7-43CC-9806-574EA1F21BA0}</author>
    <author>tc={77C31D1D-BF55-4203-B0CE-BE2B3CD866B8}</author>
    <author>tc={54A8F48D-0BE8-4F0E-B398-7D496807483B}</author>
    <author>tc={A679A229-E65C-49CE-A844-B972C66B26A1}</author>
    <author>tc={FBB4A37F-5D4E-4D96-8317-507A85B5616B}</author>
    <author>tc={D981B269-6DB5-402B-964A-A49650C026B0}</author>
    <author>tc={E5E5D94A-89D5-4D80-A271-2C1FF970E8A2}</author>
    <author>tc={E6E7626D-FD42-4D77-B772-7E9A7D25B911}</author>
    <author>tc={9FE81FB8-360E-4D57-B725-B010A8B78D6E}</author>
    <author>tc={E7EB978E-B6E1-48D4-90B5-E56CECC6D186}</author>
    <author>tc={7778566B-A02F-4003-BA7E-06E6E6CA574B}</author>
    <author>tc={F9856E52-9911-4237-BDB6-31147DFC5854}</author>
    <author>tc={08238575-7988-45EF-A644-0912559412DC}</author>
    <author>tc={803F3D45-C2D1-47D6-B9D4-1E5E94BD8E5F}</author>
    <author>tc={BB90150E-FB99-487F-8049-C94FAC4ADD79}</author>
    <author>tc={CACEB50B-55AC-424D-B789-A88D05BC332D}</author>
    <author>tc={30C6D8C4-3DB1-46D2-AB5E-9B955C2BD371}</author>
    <author>tc={2821B4DB-5159-4B00-A078-08FEFEDA57CE}</author>
    <author>tc={41FD9E2A-551C-482F-93BC-78D56B783927}</author>
    <author>tc={7B666811-B07E-4080-B765-5C0AD82702A7}</author>
    <author>tc={D910770C-3EF4-4A14-906D-C3491538A2D6}</author>
    <author>tc={41CD9D6E-642C-40E5-AC3B-C429F82A8BFF}</author>
    <author>tc={09ACAC0B-C124-4811-9779-0E8BCF377A1A}</author>
    <author>tc={5E3B60AD-1FEF-46AC-95D9-4536ED526581}</author>
    <author>tc={ABA697DC-A8B2-489E-86A3-9ADF676D4A46}</author>
    <author>tc={06140B27-352D-4940-8422-4FCB5A69258A}</author>
    <author>tc={F05533F6-FF09-4D51-9C8D-C9CCAB1F4A33}</author>
    <author>tc={5185537F-6934-4118-ABFC-F87CC1F71D3E}</author>
    <author>tc={582E2BF9-19D8-4AF0-9000-A44B50DDE264}</author>
    <author>tc={A7802D31-A8F5-4362-9088-7B55BEE0DAE4}</author>
    <author>tc={E1BB5AC0-5511-49B2-ADA0-B960A1946CA5}</author>
    <author>tc={7C84CF9C-8F7C-4FE2-A8CD-AB7F147D193B}</author>
    <author>tc={C5B073D7-8143-4175-A3E9-EFE5DFBF880A}</author>
    <author>tc={91EAB4F8-59B4-45D0-92A4-66FC05E85FCE}</author>
    <author>tc={D2722FEC-E54E-42BE-AED4-94933C19138A}</author>
    <author>tc={0A38F90C-2306-458C-B0F6-A3E50C1CB403}</author>
    <author>tc={7B98606F-D2F1-460D-AA4A-A5464BDCF7E3}</author>
    <author>tc={CBF7C7D6-C1F8-4379-A813-6D3C04FF14D1}</author>
    <author>tc={3C87149F-2A29-4025-A24F-C36B7DA30C01}</author>
    <author>tc={D4471454-AD69-40C1-B6A3-7FF4B9DB54FB}</author>
    <author>tc={037BFE83-ED7D-4EF4-B96A-8260412C25CB}</author>
    <author>tc={9F79F242-94AA-4884-A81B-5B7FD4D0B34C}</author>
    <author>tc={228A28FF-78FA-4350-8A5B-BF8922D590A6}</author>
    <author>tc={A4EA06E6-7D38-4F9B-93DF-0C3240DC7061}</author>
    <author>tc={6AF1A160-E8A9-46C0-B0A2-F2C78BCB34DE}</author>
    <author>tc={4783B2A9-72A2-4D91-A093-D1780D169969}</author>
    <author>tc={7EC092AF-B6A9-40C7-B4BD-1FD55A7BFB42}</author>
    <author>tc={9AEB3888-A633-448A-8AFB-8BF9DB12D0B6}</author>
    <author>tc={30DFD5C3-1DE6-4778-9DFD-0D57F147A7AF}</author>
    <author>tc={DB2864B9-9F76-4EFF-BEAD-77B13FA3B060}</author>
    <author>tc={82D9D844-5ADD-4CE8-9195-ECA0ABB54CDD}</author>
    <author>tc={B347E410-89F2-4A3E-8277-152D70298FFA}</author>
    <author>tc={0C1A2258-7B33-463F-BF12-036EAC74937E}</author>
    <author>tc={BC97818D-84AF-478D-9FB0-CFBB69247BAE}</author>
    <author>tc={AB95D4A3-AFFB-4990-B293-D348F79AEC84}</author>
    <author>tc={DD26A401-21AA-4CE9-9030-67BCAAC90D39}</author>
    <author>tc={17DD53AD-C8E6-4A7E-B4C0-8CA812B0A026}</author>
    <author>tc={8EFFCE6C-6399-47A7-B12A-B45F49D4E0AB}</author>
    <author>tc={CC2C9C91-E467-4CCA-B55C-1E276AC5EFE4}</author>
    <author>tc={EE88E609-6ABB-48F4-9077-F495DCBD0149}</author>
    <author>tc={AD71F9DC-FBFA-4496-BC4E-60F97025A18A}</author>
    <author>tc={FAA1DE87-26D8-4A0A-BE4E-BADD80368900}</author>
    <author>tc={B5D9B18A-AE6A-4A93-AED9-8AD822FBF3F6}</author>
    <author>tc={A9849BB4-8C5F-4F74-B5EE-D059B21AE962}</author>
    <author>tc={7D201F6F-8118-4606-9C38-DF250D1DBB98}</author>
    <author>tc={4690EE75-2249-4945-A97D-67DF4695180D}</author>
    <author>tc={DDFE23F5-507D-4A6E-B61A-0B3D89A7FE66}</author>
    <author>tc={8B39F20F-7E3F-460A-80F6-F52C3AB97A30}</author>
    <author>tc={4119FDE4-8202-465B-96F2-487846BCF4A0}</author>
    <author>tc={5D5389B4-32D9-469A-AC40-7FB696A1BD3B}</author>
    <author>tc={86FB6F40-5D25-419E-AAB2-EFB4353D13A4}</author>
    <author>tc={5DEB3A49-B018-417B-A552-256306589CE8}</author>
    <author>tc={B945D2B9-AC3A-4E5B-8181-4E8E8D15D280}</author>
    <author>tc={8DF2325D-408A-4C5B-A13C-2088E74FC6A6}</author>
    <author>tc={E8D5F6A9-CD6D-47E5-9822-A52E8347323B}</author>
    <author>tc={C61B2AF0-9A07-40BA-BA8F-B1972E35A85D}</author>
    <author>tc={127FF1FF-6C16-4740-8C67-7F54E70A5178}</author>
    <author>tc={878EEF45-0465-455A-AAC6-F991A5DE58F8}</author>
    <author>tc={C8FB953B-5F9B-43E9-BBF7-6F4C09296889}</author>
    <author>tc={BD459021-FC2F-456D-A458-DCAD362882AB}</author>
    <author>tc={B82C7843-CE79-41F0-B778-B8E82683B9CF}</author>
    <author>tc={FC76C6FE-205F-4953-A6D9-EAADC47B5F68}</author>
    <author>tc={E18A9112-EDF4-4A34-81F0-40A0B18D6A9D}</author>
    <author>tc={70E5FB8A-8BCD-4EB7-9F0C-19FD8B98D3B2}</author>
    <author>tc={6BEBC09C-C280-4FCF-87BC-AFA4D786DDF8}</author>
    <author>tc={6B3191BA-5CF0-4FAC-900D-0554B802718E}</author>
    <author>tc={C7D89C97-339F-4D21-9C6A-0D6BD35B866A}</author>
    <author>tc={2E2A3CCF-15A4-4BF6-9B79-17A8D73C0C8B}</author>
    <author>tc={BE24A110-7440-4BD6-B3C4-B496B326983E}</author>
    <author>tc={EA8531C6-15F7-4D8A-B7B9-1E11F0C5D6BA}</author>
    <author>tc={97174992-4E19-42BE-81E5-A38E8B29EE57}</author>
    <author>tc={97082AF4-E7D3-4545-93C4-94114B21A4D1}</author>
    <author>tc={C03F4171-23DF-4CA2-B231-DF80BC96FBE6}</author>
    <author>tc={6E2B18E8-3EDB-43A4-B168-5AF8CA993709}</author>
    <author>tc={77557DA8-2AF7-4F8B-879C-C4F6DF03F1B1}</author>
    <author>tc={A6681BFA-3510-462A-BDBD-5A24940B2780}</author>
    <author>tc={84AD4B5E-DD71-4E55-960E-4A93E26ABC3F}</author>
    <author>tc={0D08E14D-C106-4649-BF82-974E2A475241}</author>
  </authors>
  <commentList>
    <comment ref="AM2" authorId="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 authorId="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5" authorId="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6" authorId="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6" authorId="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7" authorId="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8" authorId="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9" authorId="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9" authorId="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1" authorId="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1" authorId="1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3" authorId="1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6" authorId="1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9" authorId="1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0" authorId="1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1" authorId="1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3" authorId="1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4" authorId="1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25" authorId="1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5" authorId="1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6" authorId="2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7" authorId="2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9" authorId="2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0" authorId="2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1" authorId="2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2" authorId="2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3" authorId="2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34" authorId="2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34" authorId="2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5" authorId="2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38" authorId="30" shapeId="0">
      <text>
        <r>
          <rPr>
            <b/>
            <sz val="9"/>
            <color indexed="81"/>
            <rFont val="Tahoma"/>
            <family val="2"/>
          </rPr>
          <t>hcjun:</t>
        </r>
        <r>
          <rPr>
            <sz val="9"/>
            <color indexed="81"/>
            <rFont val="Tahoma"/>
            <family val="2"/>
          </rPr>
          <t xml:space="preserve">
</t>
        </r>
        <r>
          <rPr>
            <sz val="9"/>
            <color indexed="81"/>
            <rFont val="돋움"/>
            <family val="3"/>
            <charset val="129"/>
          </rPr>
          <t>정종우</t>
        </r>
        <r>
          <rPr>
            <sz val="9"/>
            <color indexed="81"/>
            <rFont val="Tahoma"/>
            <family val="2"/>
          </rPr>
          <t xml:space="preserve"> </t>
        </r>
        <r>
          <rPr>
            <sz val="9"/>
            <color indexed="81"/>
            <rFont val="돋움"/>
            <family val="3"/>
            <charset val="129"/>
          </rPr>
          <t>기타비상무이사
모회사</t>
        </r>
        <r>
          <rPr>
            <sz val="9"/>
            <color indexed="81"/>
            <rFont val="Tahoma"/>
            <family val="2"/>
          </rPr>
          <t xml:space="preserve"> </t>
        </r>
        <r>
          <rPr>
            <sz val="9"/>
            <color indexed="81"/>
            <rFont val="돋움"/>
            <family val="3"/>
            <charset val="129"/>
          </rPr>
          <t>㈜코리아피아이홀딩스
대표이사</t>
        </r>
      </text>
    </comment>
    <comment ref="BG41" authorId="3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42" authorId="3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45" authorId="3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45" authorId="3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48" authorId="3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48" authorId="3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49" authorId="3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49" authorId="3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54" authorId="3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55" authorId="4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V58" authorId="4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https://img.seoul.co.kr//img/upload/2015/06/17/SSI_20150617204304.jpg</t>
        </r>
      </text>
    </comment>
    <comment ref="BG62" authorId="4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65" authorId="4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Z67" authorId="30" shapeId="0">
      <text>
        <r>
          <rPr>
            <b/>
            <sz val="9"/>
            <color indexed="81"/>
            <rFont val="Tahoma"/>
            <family val="2"/>
          </rPr>
          <t>hcjun:</t>
        </r>
        <r>
          <rPr>
            <sz val="9"/>
            <color indexed="81"/>
            <rFont val="Tahoma"/>
            <family val="2"/>
          </rPr>
          <t xml:space="preserve">
CJ</t>
        </r>
        <r>
          <rPr>
            <sz val="9"/>
            <color indexed="81"/>
            <rFont val="돋움"/>
            <family val="3"/>
            <charset val="129"/>
          </rPr>
          <t>대한통운
현재는</t>
        </r>
        <r>
          <rPr>
            <sz val="9"/>
            <color indexed="81"/>
            <rFont val="Tahoma"/>
            <family val="2"/>
          </rPr>
          <t xml:space="preserve"> CJ</t>
        </r>
        <r>
          <rPr>
            <sz val="9"/>
            <color indexed="81"/>
            <rFont val="돋움"/>
            <family val="3"/>
            <charset val="129"/>
          </rPr>
          <t>계열사로서</t>
        </r>
        <r>
          <rPr>
            <sz val="9"/>
            <color indexed="81"/>
            <rFont val="Tahoma"/>
            <family val="2"/>
          </rPr>
          <t xml:space="preserve"> </t>
        </r>
        <r>
          <rPr>
            <sz val="9"/>
            <color indexed="81"/>
            <rFont val="돋움"/>
            <family val="3"/>
            <charset val="129"/>
          </rPr>
          <t>소수주주</t>
        </r>
        <r>
          <rPr>
            <sz val="9"/>
            <color indexed="81"/>
            <rFont val="Tahoma"/>
            <family val="2"/>
          </rPr>
          <t xml:space="preserve"> "</t>
        </r>
        <r>
          <rPr>
            <sz val="9"/>
            <color indexed="81"/>
            <rFont val="돋움"/>
            <family val="3"/>
            <charset val="129"/>
          </rPr>
          <t>경영참여</t>
        </r>
        <r>
          <rPr>
            <sz val="9"/>
            <color indexed="81"/>
            <rFont val="Tahoma"/>
            <family val="2"/>
          </rPr>
          <t xml:space="preserve">" </t>
        </r>
        <r>
          <rPr>
            <sz val="9"/>
            <color indexed="81"/>
            <rFont val="돋움"/>
            <family val="3"/>
            <charset val="129"/>
          </rPr>
          <t>형태</t>
        </r>
        <r>
          <rPr>
            <sz val="9"/>
            <color indexed="81"/>
            <rFont val="Tahoma"/>
            <family val="2"/>
          </rPr>
          <t xml:space="preserve"> </t>
        </r>
        <r>
          <rPr>
            <sz val="9"/>
            <color indexed="81"/>
            <rFont val="돋움"/>
            <family val="3"/>
            <charset val="129"/>
          </rPr>
          <t>임으로</t>
        </r>
        <r>
          <rPr>
            <sz val="9"/>
            <color indexed="81"/>
            <rFont val="Tahoma"/>
            <family val="2"/>
          </rPr>
          <t xml:space="preserve"> </t>
        </r>
        <r>
          <rPr>
            <sz val="9"/>
            <color indexed="81"/>
            <rFont val="돋움"/>
            <family val="3"/>
            <charset val="129"/>
          </rPr>
          <t>계열관계는</t>
        </r>
        <r>
          <rPr>
            <sz val="9"/>
            <color indexed="81"/>
            <rFont val="Tahoma"/>
            <family val="2"/>
          </rPr>
          <t xml:space="preserve"> </t>
        </r>
        <r>
          <rPr>
            <sz val="9"/>
            <color indexed="81"/>
            <rFont val="돋움"/>
            <family val="3"/>
            <charset val="129"/>
          </rPr>
          <t>아님
하지만</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금호그룹</t>
        </r>
        <r>
          <rPr>
            <sz val="9"/>
            <color indexed="81"/>
            <rFont val="Tahoma"/>
            <family val="2"/>
          </rPr>
          <t xml:space="preserve"> </t>
        </r>
        <r>
          <rPr>
            <sz val="9"/>
            <color indexed="81"/>
            <rFont val="돋움"/>
            <family val="3"/>
            <charset val="129"/>
          </rPr>
          <t>특수관계인</t>
        </r>
        <r>
          <rPr>
            <sz val="9"/>
            <color indexed="81"/>
            <rFont val="Tahoma"/>
            <family val="2"/>
          </rPr>
          <t xml:space="preserve"> </t>
        </r>
        <r>
          <rPr>
            <sz val="9"/>
            <color indexed="81"/>
            <rFont val="돋움"/>
            <family val="3"/>
            <charset val="129"/>
          </rPr>
          <t>지분</t>
        </r>
        <r>
          <rPr>
            <sz val="9"/>
            <color indexed="81"/>
            <rFont val="Tahoma"/>
            <family val="2"/>
          </rPr>
          <t xml:space="preserve"> </t>
        </r>
        <r>
          <rPr>
            <sz val="9"/>
            <color indexed="81"/>
            <rFont val="돋움"/>
            <family val="3"/>
            <charset val="129"/>
          </rPr>
          <t>재부제표</t>
        </r>
        <r>
          <rPr>
            <sz val="9"/>
            <color indexed="81"/>
            <rFont val="Tahoma"/>
            <family val="2"/>
          </rPr>
          <t xml:space="preserve"> </t>
        </r>
        <r>
          <rPr>
            <sz val="9"/>
            <color indexed="81"/>
            <rFont val="돋움"/>
            <family val="3"/>
            <charset val="129"/>
          </rPr>
          <t>표기</t>
        </r>
        <r>
          <rPr>
            <sz val="9"/>
            <color indexed="81"/>
            <rFont val="Tahoma"/>
            <family val="2"/>
          </rPr>
          <t xml:space="preserve"> </t>
        </r>
        <r>
          <rPr>
            <sz val="9"/>
            <color indexed="81"/>
            <rFont val="돋움"/>
            <family val="3"/>
            <charset val="129"/>
          </rPr>
          <t>기준에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계열회사</t>
        </r>
        <r>
          <rPr>
            <sz val="9"/>
            <color indexed="81"/>
            <rFont val="Tahoma"/>
            <family val="2"/>
          </rPr>
          <t xml:space="preserve">" </t>
        </r>
        <r>
          <rPr>
            <sz val="9"/>
            <color indexed="81"/>
            <rFont val="돋움"/>
            <family val="3"/>
            <charset val="129"/>
          </rPr>
          <t>지분으르</t>
        </r>
        <r>
          <rPr>
            <sz val="9"/>
            <color indexed="81"/>
            <rFont val="Tahoma"/>
            <family val="2"/>
          </rPr>
          <t xml:space="preserve"> </t>
        </r>
        <r>
          <rPr>
            <sz val="9"/>
            <color indexed="81"/>
            <rFont val="돋움"/>
            <family val="3"/>
            <charset val="129"/>
          </rPr>
          <t>간주함</t>
        </r>
        <r>
          <rPr>
            <sz val="9"/>
            <color indexed="81"/>
            <rFont val="Tahoma"/>
            <family val="2"/>
          </rPr>
          <t>. (</t>
        </r>
        <r>
          <rPr>
            <sz val="9"/>
            <color indexed="81"/>
            <rFont val="돋움"/>
            <family val="3"/>
            <charset val="129"/>
          </rPr>
          <t>백기사</t>
        </r>
        <r>
          <rPr>
            <sz val="9"/>
            <color indexed="81"/>
            <rFont val="Tahoma"/>
            <family val="2"/>
          </rPr>
          <t xml:space="preserve"> </t>
        </r>
        <r>
          <rPr>
            <sz val="9"/>
            <color indexed="81"/>
            <rFont val="돋움"/>
            <family val="3"/>
            <charset val="129"/>
          </rPr>
          <t>지분</t>
        </r>
        <r>
          <rPr>
            <sz val="9"/>
            <color indexed="81"/>
            <rFont val="Tahoma"/>
            <family val="2"/>
          </rPr>
          <t>)</t>
        </r>
      </text>
    </comment>
    <comment ref="BG72" authorId="4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74" authorId="4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75" authorId="4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75" authorId="4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78" authorId="4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80" authorId="4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81" authorId="5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83" authorId="5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U84" authorId="30" shapeId="0">
      <text>
        <r>
          <rPr>
            <b/>
            <sz val="9"/>
            <color indexed="81"/>
            <rFont val="Tahoma"/>
            <family val="2"/>
          </rPr>
          <t>hcjun:</t>
        </r>
        <r>
          <rPr>
            <sz val="9"/>
            <color indexed="81"/>
            <rFont val="Tahoma"/>
            <family val="2"/>
          </rPr>
          <t xml:space="preserve">
</t>
        </r>
        <r>
          <rPr>
            <sz val="9"/>
            <color indexed="81"/>
            <rFont val="돋움"/>
            <family val="3"/>
            <charset val="129"/>
          </rPr>
          <t>현대그린푸드</t>
        </r>
        <r>
          <rPr>
            <sz val="9"/>
            <color indexed="81"/>
            <rFont val="Tahoma"/>
            <family val="2"/>
          </rPr>
          <t xml:space="preserve"> </t>
        </r>
        <r>
          <rPr>
            <sz val="9"/>
            <color indexed="81"/>
            <rFont val="돋움"/>
            <family val="3"/>
            <charset val="129"/>
          </rPr>
          <t>대원강업</t>
        </r>
        <r>
          <rPr>
            <sz val="9"/>
            <color indexed="81"/>
            <rFont val="Tahoma"/>
            <family val="2"/>
          </rPr>
          <t xml:space="preserve"> </t>
        </r>
        <r>
          <rPr>
            <sz val="9"/>
            <color indexed="81"/>
            <rFont val="돋움"/>
            <family val="3"/>
            <charset val="129"/>
          </rPr>
          <t>인수</t>
        </r>
        <r>
          <rPr>
            <sz val="9"/>
            <color indexed="81"/>
            <rFont val="Tahoma"/>
            <family val="2"/>
          </rPr>
          <t xml:space="preserve"> </t>
        </r>
        <r>
          <rPr>
            <sz val="9"/>
            <color indexed="81"/>
            <rFont val="돋움"/>
            <family val="3"/>
            <charset val="129"/>
          </rPr>
          <t>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대주주</t>
        </r>
        <r>
          <rPr>
            <sz val="9"/>
            <color indexed="81"/>
            <rFont val="Tahoma"/>
            <family val="2"/>
          </rPr>
          <t xml:space="preserve"> </t>
        </r>
        <r>
          <rPr>
            <sz val="9"/>
            <color indexed="81"/>
            <rFont val="돋움"/>
            <family val="3"/>
            <charset val="129"/>
          </rPr>
          <t>변경</t>
        </r>
      </text>
    </comment>
    <comment ref="Z84" authorId="30" shapeId="0">
      <text>
        <r>
          <rPr>
            <b/>
            <sz val="9"/>
            <color indexed="81"/>
            <rFont val="Tahoma"/>
            <family val="2"/>
          </rPr>
          <t>hcjun:</t>
        </r>
        <r>
          <rPr>
            <sz val="9"/>
            <color indexed="81"/>
            <rFont val="Tahoma"/>
            <family val="2"/>
          </rPr>
          <t xml:space="preserve">
</t>
        </r>
        <r>
          <rPr>
            <sz val="9"/>
            <color indexed="81"/>
            <rFont val="돋움"/>
            <family val="3"/>
            <charset val="129"/>
          </rPr>
          <t>현대그린푸드</t>
        </r>
        <r>
          <rPr>
            <sz val="9"/>
            <color indexed="81"/>
            <rFont val="Tahoma"/>
            <family val="2"/>
          </rPr>
          <t xml:space="preserve"> </t>
        </r>
        <r>
          <rPr>
            <sz val="9"/>
            <color indexed="81"/>
            <rFont val="돋움"/>
            <family val="3"/>
            <charset val="129"/>
          </rPr>
          <t>대주주가</t>
        </r>
        <r>
          <rPr>
            <sz val="9"/>
            <color indexed="81"/>
            <rFont val="Tahoma"/>
            <family val="2"/>
          </rPr>
          <t xml:space="preserve"> </t>
        </r>
        <r>
          <rPr>
            <sz val="9"/>
            <color indexed="81"/>
            <rFont val="돋움"/>
            <family val="3"/>
            <charset val="129"/>
          </rPr>
          <t>됨에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현대홈쇼핑</t>
        </r>
        <r>
          <rPr>
            <sz val="9"/>
            <color indexed="81"/>
            <rFont val="Tahoma"/>
            <family val="2"/>
          </rPr>
          <t xml:space="preserve">, </t>
        </r>
        <r>
          <rPr>
            <sz val="9"/>
            <color indexed="81"/>
            <rFont val="돋움"/>
            <family val="3"/>
            <charset val="129"/>
          </rPr>
          <t>현대쇼핑</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대원강업</t>
        </r>
        <r>
          <rPr>
            <sz val="9"/>
            <color indexed="81"/>
            <rFont val="Tahoma"/>
            <family val="2"/>
          </rPr>
          <t xml:space="preserve"> </t>
        </r>
        <r>
          <rPr>
            <sz val="9"/>
            <color indexed="81"/>
            <rFont val="돋움"/>
            <family val="3"/>
            <charset val="129"/>
          </rPr>
          <t>계열사</t>
        </r>
        <r>
          <rPr>
            <sz val="9"/>
            <color indexed="81"/>
            <rFont val="Tahoma"/>
            <family val="2"/>
          </rPr>
          <t xml:space="preserve"> </t>
        </r>
        <r>
          <rPr>
            <sz val="9"/>
            <color indexed="81"/>
            <rFont val="돋움"/>
            <family val="3"/>
            <charset val="129"/>
          </rPr>
          <t>지분</t>
        </r>
        <r>
          <rPr>
            <sz val="9"/>
            <color indexed="81"/>
            <rFont val="Tahoma"/>
            <family val="2"/>
          </rPr>
          <t xml:space="preserve"> </t>
        </r>
        <r>
          <rPr>
            <sz val="9"/>
            <color indexed="81"/>
            <rFont val="돋움"/>
            <family val="3"/>
            <charset val="129"/>
          </rPr>
          <t>모두</t>
        </r>
        <r>
          <rPr>
            <sz val="9"/>
            <color indexed="81"/>
            <rFont val="Tahoma"/>
            <family val="2"/>
          </rPr>
          <t xml:space="preserve"> </t>
        </r>
        <r>
          <rPr>
            <sz val="9"/>
            <color indexed="81"/>
            <rFont val="돋움"/>
            <family val="3"/>
            <charset val="129"/>
          </rPr>
          <t>합산</t>
        </r>
      </text>
    </comment>
    <comment ref="BG87" authorId="5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Z89" authorId="5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리빙소프트㈜ 특수관계 회사</t>
        </r>
      </text>
    </comment>
    <comment ref="BG91" authorId="5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02" authorId="5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08" authorId="5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09" authorId="5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15" authorId="5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17" authorId="5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21" authorId="6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22" authorId="6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Z131" authorId="6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 최하점</t>
        </r>
      </text>
    </comment>
    <comment ref="AM132" authorId="6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133" authorId="6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34" authorId="6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35" authorId="6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36" authorId="6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38" authorId="6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39" authorId="6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40" authorId="7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41" authorId="7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42" authorId="7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43" authorId="7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45" authorId="7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45" authorId="7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46" authorId="7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S146" authorId="7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관계사 인수합병</t>
        </r>
      </text>
    </comment>
    <comment ref="W150" authorId="7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주주현황 누락공시</t>
        </r>
      </text>
    </comment>
    <comment ref="BG150" authorId="7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Z153" authorId="30" shapeId="0">
      <text>
        <r>
          <rPr>
            <b/>
            <sz val="9"/>
            <color indexed="81"/>
            <rFont val="Tahoma"/>
            <family val="2"/>
          </rPr>
          <t>hcjun:</t>
        </r>
        <r>
          <rPr>
            <sz val="9"/>
            <color indexed="81"/>
            <rFont val="Tahoma"/>
            <family val="2"/>
          </rPr>
          <t xml:space="preserve">
</t>
        </r>
        <r>
          <rPr>
            <sz val="9"/>
            <color indexed="81"/>
            <rFont val="돋움"/>
            <family val="3"/>
            <charset val="129"/>
          </rPr>
          <t>㈜스페코</t>
        </r>
        <r>
          <rPr>
            <sz val="9"/>
            <color indexed="81"/>
            <rFont val="Tahoma"/>
            <family val="2"/>
          </rPr>
          <t xml:space="preserve"> </t>
        </r>
        <r>
          <rPr>
            <sz val="9"/>
            <color indexed="81"/>
            <rFont val="돋움"/>
            <family val="3"/>
            <charset val="129"/>
          </rPr>
          <t>특수관계</t>
        </r>
        <r>
          <rPr>
            <sz val="9"/>
            <color indexed="81"/>
            <rFont val="Tahoma"/>
            <family val="2"/>
          </rPr>
          <t xml:space="preserve"> </t>
        </r>
        <r>
          <rPr>
            <sz val="9"/>
            <color indexed="81"/>
            <rFont val="돋움"/>
            <family val="3"/>
            <charset val="129"/>
          </rPr>
          <t>회사</t>
        </r>
      </text>
    </comment>
    <comment ref="BG153" authorId="8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57" authorId="8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59" authorId="8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161" authorId="8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모회사 대주주</t>
        </r>
      </text>
    </comment>
    <comment ref="AM163" authorId="8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모회사 대주주</t>
        </r>
      </text>
    </comment>
    <comment ref="BG164" authorId="8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66" authorId="8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68" authorId="8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69" authorId="8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Z172" authorId="8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 최하점</t>
        </r>
      </text>
    </comment>
    <comment ref="BG172" authorId="9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74" authorId="9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76" authorId="9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180" authorId="9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Z181" authorId="30" shapeId="0">
      <text>
        <r>
          <rPr>
            <b/>
            <sz val="9"/>
            <color indexed="81"/>
            <rFont val="Tahoma"/>
            <family val="2"/>
          </rPr>
          <t>hcjun:</t>
        </r>
        <r>
          <rPr>
            <sz val="9"/>
            <color indexed="81"/>
            <rFont val="Tahoma"/>
            <family val="2"/>
          </rPr>
          <t xml:space="preserve">
</t>
        </r>
        <r>
          <rPr>
            <sz val="9"/>
            <color indexed="81"/>
            <rFont val="돋움"/>
            <family val="3"/>
            <charset val="129"/>
          </rPr>
          <t>신성치과기재</t>
        </r>
        <r>
          <rPr>
            <sz val="9"/>
            <color indexed="81"/>
            <rFont val="Tahoma"/>
            <family val="2"/>
          </rPr>
          <t xml:space="preserve"> (</t>
        </r>
        <r>
          <rPr>
            <sz val="9"/>
            <color indexed="81"/>
            <rFont val="돋움"/>
            <family val="3"/>
            <charset val="129"/>
          </rPr>
          <t>계열사</t>
        </r>
        <r>
          <rPr>
            <sz val="9"/>
            <color indexed="81"/>
            <rFont val="Tahoma"/>
            <family val="2"/>
          </rPr>
          <t>)</t>
        </r>
        <r>
          <rPr>
            <sz val="9"/>
            <color indexed="81"/>
            <rFont val="돋움"/>
            <family val="3"/>
            <charset val="129"/>
          </rPr>
          <t xml:space="preserve">
디브이홀딩스</t>
        </r>
        <r>
          <rPr>
            <sz val="9"/>
            <color indexed="81"/>
            <rFont val="Tahoma"/>
            <family val="2"/>
          </rPr>
          <t xml:space="preserve">, </t>
        </r>
        <r>
          <rPr>
            <sz val="9"/>
            <color indexed="81"/>
            <rFont val="돋움"/>
            <family val="3"/>
            <charset val="129"/>
          </rPr>
          <t>디브이몰</t>
        </r>
        <r>
          <rPr>
            <sz val="9"/>
            <color indexed="81"/>
            <rFont val="Tahoma"/>
            <family val="2"/>
          </rPr>
          <t xml:space="preserve"> (</t>
        </r>
        <r>
          <rPr>
            <sz val="9"/>
            <color indexed="81"/>
            <rFont val="돋움"/>
            <family val="3"/>
            <charset val="129"/>
          </rPr>
          <t>특수관계회사</t>
        </r>
        <r>
          <rPr>
            <sz val="9"/>
            <color indexed="81"/>
            <rFont val="Tahoma"/>
            <family val="2"/>
          </rPr>
          <t>)</t>
        </r>
      </text>
    </comment>
    <comment ref="BG181" authorId="9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182" authorId="9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 홍사승</t>
        </r>
      </text>
    </comment>
    <comment ref="AM186" authorId="9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187" authorId="9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93" authorId="9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O194" authorId="9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CH194" authorId="10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수기계산 : 신용위험 / 총자산</t>
        </r>
      </text>
    </comment>
    <comment ref="V195" authorId="10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엔디케이㈜ 총수일가</t>
        </r>
      </text>
    </comment>
    <comment ref="AM198" authorId="10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199" authorId="10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00" authorId="10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02" authorId="10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윤형덕, 윤새봄 동일인 간주</t>
        </r>
      </text>
    </comment>
    <comment ref="BO202" authorId="10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100% 정부보조금</t>
        </r>
      </text>
    </comment>
    <comment ref="V205" authorId="10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이조영 (누락공시) 친족 간주</t>
        </r>
      </text>
    </comment>
    <comment ref="U209" authorId="10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비영리법인 동일인</t>
        </r>
      </text>
    </comment>
    <comment ref="X209" authorId="10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비영리법인 동일인</t>
        </r>
      </text>
    </comment>
    <comment ref="BG212" authorId="11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13" authorId="11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14" authorId="11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U219" authorId="11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비영리법인 동일인</t>
        </r>
      </text>
    </comment>
    <comment ref="X219" authorId="11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비영리법인 동일인</t>
        </r>
      </text>
    </comment>
    <comment ref="AM221" authorId="11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21" authorId="11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22" authorId="11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23" authorId="11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25" authorId="11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26" authorId="12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28" authorId="12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28" authorId="12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31" authorId="12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32" authorId="12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34" authorId="12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36" authorId="12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38" authorId="12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U242" authorId="12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국민연금 대주주 동일인 없음</t>
        </r>
      </text>
    </comment>
    <comment ref="BG242" authorId="12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43" authorId="13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U244" authorId="13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국민연금 대주주 동일인 없음</t>
        </r>
      </text>
    </comment>
    <comment ref="BG244" authorId="13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46" authorId="13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47" authorId="13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248" authorId="13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48" authorId="13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49" authorId="13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50" authorId="13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50" authorId="13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51" authorId="14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52" authorId="14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255" authorId="14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V256" authorId="14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윤영만 누락공시 친족 간주</t>
        </r>
      </text>
    </comment>
    <comment ref="BG256" authorId="14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V258" authorId="14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Dart 공시 오류</t>
        </r>
      </text>
    </comment>
    <comment ref="BG260" authorId="14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61" authorId="14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62" authorId="14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62" authorId="14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64" authorId="15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 미등기(누락공시)</t>
        </r>
      </text>
    </comment>
    <comment ref="BG266" authorId="15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67" authorId="15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68" authorId="15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70" authorId="15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76" authorId="15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79" authorId="15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79" authorId="15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80" authorId="15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81" authorId="15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83" authorId="16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83" authorId="16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U290" authorId="16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비영리재단 동일인</t>
        </r>
      </text>
    </comment>
    <comment ref="X290" authorId="16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비영리재단 동일인</t>
        </r>
      </text>
    </comment>
    <comment ref="AM291" authorId="16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293" authorId="16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U294" authorId="16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비영리법인 동일인</t>
        </r>
      </text>
    </comment>
    <comment ref="X294" authorId="16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비영리재단 동일인</t>
        </r>
      </text>
    </comment>
    <comment ref="BG294" authorId="16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95" authorId="16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296" authorId="17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97" authorId="17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298" authorId="17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299" authorId="17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299" authorId="17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00" authorId="17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01" authorId="17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303" authorId="17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303" authorId="17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05" authorId="17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06" authorId="18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07" authorId="18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10" authorId="18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M311" authorId="18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AM314" authorId="18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동일인</t>
        </r>
      </text>
    </comment>
    <comment ref="BG314" authorId="18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18" authorId="18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19" authorId="18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20" authorId="18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21" authorId="18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BG322" authorId="19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List>
</comments>
</file>

<file path=xl/comments2.xml><?xml version="1.0" encoding="utf-8"?>
<comments xmlns="http://schemas.openxmlformats.org/spreadsheetml/2006/main">
  <authors>
    <author>tc={175DD9CB-FEC3-4540-AEBB-FE6F3B14DB1B}</author>
  </authors>
  <commentList>
    <comment ref="KI5" authorId="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독일 마르크 고정환율 1.95583 </t>
        </r>
      </text>
    </comment>
  </commentList>
</comments>
</file>

<file path=xl/comments3.xml><?xml version="1.0" encoding="utf-8"?>
<comments xmlns="http://schemas.openxmlformats.org/spreadsheetml/2006/main">
  <authors>
    <author>tc={2DF06D3A-2A3C-46EF-93E4-7E0DE62472CD}</author>
    <author>tc={5DA805AA-EA73-41D8-A2AD-9247AC3EE593}</author>
    <author>tc={6BD54F14-EBC1-4515-A970-4B59F5C3998B}</author>
    <author>tc={B1620C22-765E-4A26-8D19-9348DBC23EF5}</author>
    <author>tc={D9038C50-054E-4FEE-BDF7-19CF9A06C139}</author>
    <author>tc={34C70D64-2BF2-4D31-A727-42030A7D1B9E}</author>
    <author>tc={07169700-B1A0-449E-ADE7-1C41F55B4DF6}</author>
    <author>tc={02764B03-84C3-4270-B43C-E268FB0B2B5B}</author>
    <author>tc={9063B0DF-3FD1-4204-80E3-DED40F7CA883}</author>
    <author>tc={310B7D4E-37B4-4108-9702-E66974E2254C}</author>
    <author>tc={B0E50DE2-4DEA-49AE-95D0-017512F9880E}</author>
    <author>tc={542C2A2C-32D3-419D-B61E-C43309943857}</author>
    <author>tc={84C819F4-6352-422A-9461-7623710EBDA1}</author>
    <author>tc={CBB693C0-A059-4A80-9DCC-40F0F0357061}</author>
    <author>tc={3CED49D6-A546-47E1-B8EB-EFA39DC097A1}</author>
    <author>tc={403497A2-F24C-4DFD-BEB5-BE5F4D299EDF}</author>
    <author>tc={711017E5-4B60-46F2-B305-5F45D309EDBF}</author>
    <author>tc={C3EE51B6-AB84-4E3A-9ECF-54404CAA3FE8}</author>
    <author>tc={011BBCAB-5EF0-40FA-AE74-CE836D30611A}</author>
    <author>tc={E6223D57-6343-4029-92EF-DF4677526BBC}</author>
    <author>tc={62CDF088-0E64-42C9-B643-411E288589B9}</author>
    <author>tc={180523A4-2216-4FD1-80D5-0EA6C3512E78}</author>
    <author>tc={B3030269-CBEC-45D4-82BF-1A1E7CA84994}</author>
    <author>tc={6925C3E9-F8E6-4BEA-88EF-029FF1B18C7D}</author>
    <author>tc={3A22FE8C-CC57-4E27-ABD6-CF6396203619}</author>
    <author>tc={A5349780-0313-4177-9495-91D44C98FDAC}</author>
    <author>tc={22DE7531-1A64-4B8D-944C-F4D76104FF84}</author>
    <author>tc={32DAB3A5-299B-4988-9B3A-712FF3C413F1}</author>
    <author>tc={E9314449-2A68-4C6F-B2AE-BD3C2D252CB4}</author>
    <author>tc={BFC1420C-9847-4132-BD22-4614678D3C21}</author>
    <author>tc={5E930C10-09F9-46FA-91A0-D0732777C6D8}</author>
    <author>tc={1921A503-7884-4E9E-80DA-4BE6B481BB61}</author>
    <author>tc={C994AB62-0D6F-4287-AFE7-A5C1FD6777F4}</author>
  </authors>
  <commentList>
    <comment ref="AP16" authorId="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33" authorId="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35" authorId="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37" authorId="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40" authorId="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66" authorId="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67" authorId="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71" authorId="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87" authorId="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93" authorId="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98" authorId="1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07" authorId="1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12" authorId="1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19" authorId="1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20" authorId="1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27" authorId="1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29" authorId="1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57" authorId="1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199" authorId="1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27" authorId="1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28" authorId="2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29" authorId="2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32" authorId="2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33" authorId="23"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34" authorId="24"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48" authorId="25"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62" authorId="26"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63" authorId="27"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79" authorId="28"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285" authorId="29"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305" authorId="30"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308" authorId="31"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 ref="AP314" authorId="32" shapeId="0">
      <text>
        <r>
          <rPr>
            <sz val="11"/>
            <color rgb="FF000000"/>
            <rFont val="맑은 고딕"/>
          </rPr>
          <t>[스레드 댓글]
사용 중인 버전의 Excel에서 이 스레드 댓글을 읽을 수 있지만 파일을 이후 버전의 Excel에서 열면 편집 내용이 모두 제거됩니다. 자세한 정보: https://go.microsoft.com/fwlink/?linkid=870924.
댓글:
    미공시</t>
        </r>
      </text>
    </comment>
  </commentList>
</comments>
</file>

<file path=xl/sharedStrings.xml><?xml version="1.0" encoding="utf-8"?>
<sst xmlns="http://schemas.openxmlformats.org/spreadsheetml/2006/main" count="29396" uniqueCount="3786">
  <si>
    <t>엘리베이터,에스컬레이터,공항,공정,크린룸,병원 물류시스템,수,배송센터,고속소팅시스템,주차설비 제조,판매,보수</t>
  </si>
  <si>
    <t>신용카드업,상품신용판매,현금서비스,카드론,리스,기업대출,여행업무,통신판매</t>
  </si>
  <si>
    <t>자동차(승용차,버스,트럭,특장차),자동차부품,자동차전착도료 제조,차량정비사업</t>
  </si>
  <si>
    <t>남상규/손일호</t>
  </si>
  <si>
    <t>004170</t>
  </si>
  <si>
    <t>고려산업</t>
  </si>
  <si>
    <t>아이마켓코리아</t>
  </si>
  <si>
    <t>삼아알미늄</t>
  </si>
  <si>
    <t>010640</t>
  </si>
  <si>
    <t>신일전자</t>
  </si>
  <si>
    <t>094280</t>
  </si>
  <si>
    <t>003470</t>
  </si>
  <si>
    <t>세아제강</t>
  </si>
  <si>
    <t>030000</t>
  </si>
  <si>
    <t>083420</t>
  </si>
  <si>
    <t>만호제강</t>
  </si>
  <si>
    <t>포스코스틸리온</t>
  </si>
  <si>
    <t>057050</t>
  </si>
  <si>
    <t>애경산업</t>
  </si>
  <si>
    <t>세원정공</t>
  </si>
  <si>
    <t>077500</t>
  </si>
  <si>
    <t>024090</t>
  </si>
  <si>
    <t>아세아제지</t>
  </si>
  <si>
    <t>내부지분율</t>
  </si>
  <si>
    <t>032830</t>
  </si>
  <si>
    <t>샘표식품</t>
  </si>
  <si>
    <t>케이씨텍</t>
  </si>
  <si>
    <t>삼화전기</t>
  </si>
  <si>
    <t>노루페인트</t>
  </si>
  <si>
    <t>진양폴리우레탄</t>
  </si>
  <si>
    <t>하나제약</t>
  </si>
  <si>
    <t>경상북도</t>
  </si>
  <si>
    <t>082640</t>
  </si>
  <si>
    <t>000500</t>
  </si>
  <si>
    <t>의약품 제조업</t>
  </si>
  <si>
    <t>282330</t>
  </si>
  <si>
    <t>039490</t>
  </si>
  <si>
    <t>쿠쿠홈시스</t>
  </si>
  <si>
    <t>009410</t>
  </si>
  <si>
    <t>248170</t>
  </si>
  <si>
    <t>003220</t>
  </si>
  <si>
    <t>014680</t>
  </si>
  <si>
    <t>006110</t>
  </si>
  <si>
    <t>한미글로벌</t>
  </si>
  <si>
    <t>아파트 건설</t>
  </si>
  <si>
    <t>상신브레이크</t>
  </si>
  <si>
    <t>002760</t>
  </si>
  <si>
    <t>003410</t>
  </si>
  <si>
    <t>동일산업</t>
  </si>
  <si>
    <t>039570</t>
  </si>
  <si>
    <t>경상남도</t>
  </si>
  <si>
    <t>004430</t>
  </si>
  <si>
    <t>003650</t>
  </si>
  <si>
    <t>001200</t>
  </si>
  <si>
    <t>017810</t>
  </si>
  <si>
    <t>제일연마</t>
  </si>
  <si>
    <t>전기 통신업</t>
  </si>
  <si>
    <t>생명보험상품</t>
  </si>
  <si>
    <t>005870</t>
  </si>
  <si>
    <t>동아타이어</t>
  </si>
  <si>
    <t>033780</t>
  </si>
  <si>
    <t>기타 금융업</t>
  </si>
  <si>
    <t>026940</t>
  </si>
  <si>
    <t>003670</t>
  </si>
  <si>
    <t>002600</t>
  </si>
  <si>
    <t>006090</t>
  </si>
  <si>
    <t>069730</t>
  </si>
  <si>
    <t>LG유플러스</t>
  </si>
  <si>
    <t>008260</t>
  </si>
  <si>
    <t>284740</t>
  </si>
  <si>
    <t>삼화콘덴서공업</t>
  </si>
  <si>
    <t>001080</t>
  </si>
  <si>
    <t>효성티앤씨</t>
  </si>
  <si>
    <t>사조오양</t>
  </si>
  <si>
    <t>044450</t>
  </si>
  <si>
    <t>조세납부(%)</t>
  </si>
  <si>
    <t>033270</t>
  </si>
  <si>
    <t>박원호 조윤형</t>
  </si>
  <si>
    <t>005390</t>
  </si>
  <si>
    <t>001270</t>
  </si>
  <si>
    <t>064960</t>
  </si>
  <si>
    <t>남해화학</t>
  </si>
  <si>
    <t>대성에너지</t>
  </si>
  <si>
    <t>합섬섬유로프</t>
  </si>
  <si>
    <t>086280</t>
  </si>
  <si>
    <t>티케이지휴켐스</t>
  </si>
  <si>
    <t>004080</t>
  </si>
  <si>
    <t>에너지경화수지</t>
  </si>
  <si>
    <t>금융업(종금)</t>
  </si>
  <si>
    <t>000430</t>
  </si>
  <si>
    <t>코리아써키트</t>
  </si>
  <si>
    <t>서울특별시</t>
  </si>
  <si>
    <t>미래에셋증권</t>
  </si>
  <si>
    <t>자이에스앤디</t>
  </si>
  <si>
    <t>삼원강재</t>
  </si>
  <si>
    <t>041650</t>
  </si>
  <si>
    <t>DSR제강</t>
  </si>
  <si>
    <t>다올투자증권</t>
  </si>
  <si>
    <t>016740</t>
  </si>
  <si>
    <t>남광토건</t>
  </si>
  <si>
    <t>동양생명</t>
  </si>
  <si>
    <t>017040</t>
  </si>
  <si>
    <t>005720</t>
  </si>
  <si>
    <t>134790</t>
  </si>
  <si>
    <t>CJ씨푸드</t>
  </si>
  <si>
    <t>003230</t>
  </si>
  <si>
    <t>014530</t>
  </si>
  <si>
    <t>002780</t>
  </si>
  <si>
    <t>170900</t>
  </si>
  <si>
    <t>007810</t>
  </si>
  <si>
    <t>화천기공</t>
  </si>
  <si>
    <t>애경케미칼</t>
  </si>
  <si>
    <t>자료처리, 호스팅, 포털 및 기타 인터넷 정보매개 서비스업</t>
  </si>
  <si>
    <t>http://emartcompany.com/ko/main.do</t>
  </si>
  <si>
    <t>공사수입,주택분양,건설산업부문 설계,감리 등 엔지니어링서비스</t>
  </si>
  <si>
    <t>PPG,PU RESIN,우레탄수지,대향막박리재,반도체 CM PAD,Polyether Polyol,산업용기초화학제품,화공약품 제조,판매</t>
  </si>
  <si>
    <t>의약품(삐콤씨, 안티푸라민, 렉라자, 로수바미브, 코푸시럽 등), 생활용품(유한락스, 해피홈, 유한젠), 동물약품</t>
  </si>
  <si>
    <t>자동차용 재생타이어튜브,솔리드타이어,고무부품,골프볼,와이어로프소재,특수강선,열처리도금선,건자재 제조,판매,수출입</t>
  </si>
  <si>
    <t>자동차,중장비 부품(크랭크샤프트,트랙링크조립체,커넥팅로드,중장비롤러류),기어,동력전달장치,단조가공품,단조품 제조</t>
  </si>
  <si>
    <t>식품향료,식품첨가물,화학제품,껌베이스(자일리톨,에리스리톨),담배향료 제조,판매</t>
  </si>
  <si>
    <t>기계설비공사, 스마트홈, 지능형 빌딩, SOC, 인테리어, 조경, 시설관리</t>
  </si>
  <si>
    <t>탄산칼륨,가성칼륨,가성카리,탄산카리(무기화합물),MDF(가공목재) 제조,도매</t>
  </si>
  <si>
    <t>차량용스프링,기계부속,시트,타이어체인,합성수지제품,철도용스파이크 제조,도매</t>
  </si>
  <si>
    <t>직선운동시스템,메카트로시스템,기타정밀 자동화기기 제조,판매/전자상거래,인터넷 관련 s/w,h/w 개발,판매,유지보수</t>
  </si>
  <si>
    <t>토공사,철근콘크리트공사,포장공사,미장방수공사,상하수도공사,수중공사,비계구조물해체공사/골재,아스콘 제조,판매,중기임대</t>
  </si>
  <si>
    <t>여성용 내의류(화운데이션,란제리,블래지어),환자,노령자용 파자마,남성용 내의류 제조</t>
  </si>
  <si>
    <t>홈타민 진생연질60C(비타민제),항암제,항생제,순환기계,해열진통제,소화기계약품 제조</t>
  </si>
  <si>
    <t>수배전반,가스절연개폐장치,빌딩자동화시스템,중앙감시반,자동제어반 제조,도소매,무역</t>
  </si>
  <si>
    <t>봉강,합금철,철근,마봉강,냉간압조용선재,주조,지선,주강,다이아몬드공구 제조,도매</t>
  </si>
  <si>
    <t>부동산 관리, 정보통신 공사, 아파트 AS 및 옵션 제품 공급, 건축물 시공 및 분양</t>
  </si>
  <si>
    <t>자동차,철강,기계,선박,플랜트,컴퓨터,전자제품 수출,수출입대행/자원(탄광,유전) 개발</t>
  </si>
  <si>
    <t>지주회사/의약품,화공약품,농예약품,위생용품,의료용구,식품,전기전자기구,부품 제조,판매</t>
  </si>
  <si>
    <t>생석회,소석회,석회비료 제조,판매/비금속광물 광업/산업폐기물 재생처리/휴게소 운영</t>
  </si>
  <si>
    <t>정밀기기(육해공군관련전자제어시스템,열영상감시장비,탐지추적장치,전투지휘체계시스템) 제조</t>
  </si>
  <si>
    <t>일반의약품(원비디,영비천,아진탈,디세텔,노루모산),항암제(베타-이뮤난),전문의약품 제조,판매,수출입</t>
  </si>
  <si>
    <t>과산화수소,라텍스,요소수지,수소액화탄산,차아황산소다 제조,판매,디지털카메라용 인화필름 제조,수출</t>
  </si>
  <si>
    <t>인쇄회로기판(PCB)용 전해동박(ACF,UCF),에폭시용 동박,전해콘덴서용 알루미늄박 제조,판매</t>
  </si>
  <si>
    <t>전분,라이신,물엿,과당,포도당,MSG및 사료,조미료,항생제,핵산,커피 제조,도매/토목공사,건축공사</t>
  </si>
  <si>
    <t>두부류,생면류,나물류,냉동류,조미류,김치류,묵류,녹즙,과채음료,건강보조식품 판매,제조,생식품 수출</t>
  </si>
  <si>
    <t>의약품(해열소염진통제,진해거담제,동맥경화용제,혈압강하제 등), 건강기능식품(프로바이오틱스 등)</t>
  </si>
  <si>
    <t>CNC선반,CNC밀링,연마기(금속공작기계),MC공작기계,COPY밀링기계,주방품 제조,도매</t>
  </si>
  <si>
    <t>합성고무 SBR(스티렌부타디엔러버),BR(폴리부타디엔러버),합성수지,BD,라텍스 제조,도소매</t>
  </si>
  <si>
    <t>지류펄프 보관창고 운영/화물취급,화물운송알선,물류컨설팅/종합쇼핑몰운영,통신판매,인터넷백화점</t>
  </si>
  <si>
    <t>윤활유,유동파라핀,왁스,방수용시트,아스팔트 제조/수입자동차,부품 도매/가스충전,산업설비 청소</t>
  </si>
  <si>
    <t>화공약품.엔지니어링 플라스틱,페놀계제품,석유화학제품 판매/철재가구,사무목재가구 제조/교육사업</t>
  </si>
  <si>
    <t>시멘트,시멘트반제품 제조,판매/콘도미니엄,스키장,종합레저관광산업,체육진흥사업,사업서비스</t>
  </si>
  <si>
    <t>자동차부품(서스펜션모듈,전장품,속옵서버,에어백,트로틀바디,너클),방산품(총포) 제조,도매</t>
  </si>
  <si>
    <t>휘핑크림,인스턴트이스트,프루츠칵테일,크림치즈,견과류,건조과일 제조,판매/주택 신축,판매</t>
  </si>
  <si>
    <t>개인휴대통신서비스,음성서비스,데이터서비스,부가통신/단말기 도소매/프로그램 개발,자료제공</t>
  </si>
  <si>
    <t>건축공사,토목공사,전기공사,기계설비공사/비금속,철구조물 제조,판매/여객,자동차 운송,항만하역</t>
  </si>
  <si>
    <t>자동차A/S용 부품,컨테이너,특수중기,산업기계제품 생산,판매,부품모듈화,부품수출사업,환경/플랜트사업,특수중기부문(컨테이너)</t>
  </si>
  <si>
    <t>탄소섬유(카본프리프레그(낚시대,테니스라켓,골프 Shaft,스포츠레저용품)),합성수지,글라스페이퍼,LNG선박용 단열판넬 제조,도매</t>
  </si>
  <si>
    <t>열간압연제품(평강,봉강,특수이형강,환강,자동차용 겹판스프링) 제조,판매</t>
  </si>
  <si>
    <t>치과용기자재(방사선장치,전기진단장치),주사침 도소매,제조/부동산 임대</t>
  </si>
  <si>
    <t>농약(잡초발생전 토양처리형 밭잡초약,부메랑,주움,그라목손) 제조,도매</t>
  </si>
  <si>
    <t>자동차부품(제동,구동장치),프랜지(관이음쇠),철구조물,산업기계 제조</t>
  </si>
  <si>
    <t>소맥분,토코밀,프리믹스,밀가루조제품,제분부산물 제조/파스타 수입,판매</t>
  </si>
  <si>
    <t>http://https://company.skcarrental.com</t>
  </si>
  <si>
    <t>반도체검사장비,전자부품,레저용품,석제품 제조,판매,오파,부동산임대업</t>
  </si>
  <si>
    <t>원양어업(참치,명태,휠레트,연육,명란,새우),어획물 판매/직물 수출</t>
  </si>
  <si>
    <t>폴리머첨가제(PVC안정제,산화방지제),폴리우레탄수지,프라스틱첨가제 제조</t>
  </si>
  <si>
    <t>측정, 시험, 항해, 제어 및 기타 정밀기기 제조업; 광학기기 제외</t>
  </si>
  <si>
    <t>자동차 브레이크 슈 어셈블리,브레이크패드 제조/군납업,무역/부동산 임대</t>
  </si>
  <si>
    <t>전기변환장치(광커넥터,통신용콘넥터,정밀압착단자설계) 제조,무역(수출)</t>
  </si>
  <si>
    <t>수정진동자,수정발진기,초음파지연선,MCF,축수나사 제조,도매,수출입</t>
  </si>
  <si>
    <t>가정용 전기기구(선풍기,난로,세탁기),전자기구,연구기구 제조,수출입</t>
  </si>
  <si>
    <t>원양어업/수산물가공(게맛살) 제조,수출입/냉동 및 냉장보관/부동산 임대</t>
  </si>
  <si>
    <t>소프트웨어(핵심망솔루션,무선데이터솔루션,요소기술) 개발,유지보수,무역</t>
  </si>
  <si>
    <t>정보시스템구축 및 유지보수, 포장재제조 및 가공, 지류가공 및 판매</t>
  </si>
  <si>
    <t>골판지원지,석고보드원지,크라프트원지,라이나원지,라이너지 제조,판매</t>
  </si>
  <si>
    <t>오르토프탈산디옥틸</t>
  </si>
  <si>
    <t>기타 전문 도매업</t>
  </si>
  <si>
    <t>기부금(100)</t>
  </si>
  <si>
    <t>연,아연괴 제조,판매</t>
  </si>
  <si>
    <t>프레스, 합금철</t>
  </si>
  <si>
    <t>승용자동차 임대</t>
  </si>
  <si>
    <t>치킨 프랜차이즈</t>
  </si>
  <si>
    <t>치과용 기기 제조업</t>
  </si>
  <si>
    <t>기타 식품 제조업</t>
  </si>
  <si>
    <t>금융 지원 서비스업</t>
  </si>
  <si>
    <t>기초 화학물질 제조업</t>
  </si>
  <si>
    <t>채동석, 임재영</t>
  </si>
  <si>
    <t>한국수출포장공업</t>
  </si>
  <si>
    <t>기타 전자부품 제조업</t>
  </si>
  <si>
    <t>알부민외 제조,판매</t>
  </si>
  <si>
    <t>운송장비 임대업</t>
  </si>
  <si>
    <t>증권업,종합금융</t>
  </si>
  <si>
    <t>석유 정제품 제조업</t>
  </si>
  <si>
    <t>기타 화학제품 제조업</t>
  </si>
  <si>
    <t>의료용 기기 제조업</t>
  </si>
  <si>
    <t>봉제의복 제조업</t>
  </si>
  <si>
    <t>식약/섬유/종이업</t>
  </si>
  <si>
    <t>관계사채무보증액(%)</t>
  </si>
  <si>
    <t>오순택, 오승민</t>
  </si>
  <si>
    <t>염병만, 염병진</t>
  </si>
  <si>
    <t>1차 철강 제조업</t>
  </si>
  <si>
    <t>전기 및 통신 공사업</t>
  </si>
  <si>
    <t>고무제품 제조업</t>
  </si>
  <si>
    <t>매출액
(천원)</t>
  </si>
  <si>
    <t>증권업,부동산 임대</t>
  </si>
  <si>
    <t>1차 비철금속 제조업</t>
  </si>
  <si>
    <t>자산총계
(천원)</t>
  </si>
  <si>
    <t>전기전자/기계업</t>
  </si>
  <si>
    <t>금속/비금속/화학업</t>
  </si>
  <si>
    <t>이건영, 송인석</t>
  </si>
  <si>
    <t>전자부품 제조업</t>
  </si>
  <si>
    <t>송재호, 나윤호</t>
  </si>
  <si>
    <t>정밀유도무기 등</t>
  </si>
  <si>
    <t>교육훈련비증가율(%)</t>
  </si>
  <si>
    <t>여성채용비율(%)</t>
  </si>
  <si>
    <t>8. 조세납부(2점)</t>
  </si>
  <si>
    <t>시멘트(크링카)</t>
  </si>
  <si>
    <t>자본총계
(천원)</t>
  </si>
  <si>
    <t>투표제(100)</t>
  </si>
  <si>
    <t>황수 (단독대표)</t>
  </si>
  <si>
    <t>여성채용비율(100)</t>
  </si>
  <si>
    <t>줄기세포치료제,화장품</t>
  </si>
  <si>
    <t>최현만, 이만열</t>
  </si>
  <si>
    <t>매트리스 및 가구제품</t>
  </si>
  <si>
    <t>조용일, 이성재</t>
  </si>
  <si>
    <t>근속연수
(100)</t>
  </si>
  <si>
    <t>타이어 및 튜브</t>
  </si>
  <si>
    <t>품질안전인증(100)</t>
  </si>
  <si>
    <t>1인당 교육훈련비</t>
  </si>
  <si>
    <t>불성실공시 (100)</t>
  </si>
  <si>
    <t>조세납부(100)</t>
  </si>
  <si>
    <t>금융보험/부동산 임대</t>
  </si>
  <si>
    <t>고용인력 증가율(%)</t>
  </si>
  <si>
    <t>복리후생
(100)</t>
  </si>
  <si>
    <t>영업이익
(천원)</t>
  </si>
  <si>
    <t>임금보상수준(100)</t>
  </si>
  <si>
    <t>신세계인터내셔날</t>
  </si>
  <si>
    <t>대표이사 염태순</t>
  </si>
  <si>
    <t>라머스 예룬 피터</t>
  </si>
  <si>
    <t>항생제,순환기제</t>
  </si>
  <si>
    <t>유승환, 이현탁</t>
  </si>
  <si>
    <t>B2B 전자상거래</t>
  </si>
  <si>
    <t>비정규직비율
(%)</t>
  </si>
  <si>
    <t>협력사관계(100)</t>
  </si>
  <si>
    <t>최낙현, 강호성</t>
  </si>
  <si>
    <t>화학섬유 제조업</t>
  </si>
  <si>
    <t>임경태, 김웅종</t>
  </si>
  <si>
    <t>스티렌, 자이데나</t>
  </si>
  <si>
    <t>화합물,화학제품 제조</t>
  </si>
  <si>
    <t>사내복지기금(100)</t>
  </si>
  <si>
    <t>상품 종합 도매업</t>
  </si>
  <si>
    <t>플라스틱제품 제조업</t>
  </si>
  <si>
    <t>김효일, 박세종</t>
  </si>
  <si>
    <t>위험성(100)</t>
  </si>
  <si>
    <t>콘덴서(축전기) 제조</t>
  </si>
  <si>
    <t>오영주, 박종온</t>
  </si>
  <si>
    <t>이의평, 이성원</t>
  </si>
  <si>
    <t>적정성(100)</t>
  </si>
  <si>
    <t>김충식 대표이사</t>
  </si>
  <si>
    <t>소비성지출(100)</t>
  </si>
  <si>
    <t>전문경영인정도(%)</t>
  </si>
  <si>
    <t>관계사출자(%)</t>
  </si>
  <si>
    <t>6. 금산분리(4점)</t>
  </si>
  <si>
    <t>대표이사 조욱제</t>
  </si>
  <si>
    <t>화공약품, 안경렌즈</t>
  </si>
  <si>
    <t>콘덴서 제조,판매</t>
  </si>
  <si>
    <t>조인회, 정재열</t>
  </si>
  <si>
    <t>삼성화재해상보험</t>
  </si>
  <si>
    <t>부채총계
(천원)</t>
  </si>
  <si>
    <t>서재희 대표집행임원</t>
  </si>
  <si>
    <t>사업보고서
바로가기</t>
  </si>
  <si>
    <t>원종석, 황성엽</t>
  </si>
  <si>
    <t>이휘령, 김석일</t>
  </si>
  <si>
    <t>보험대리 및 중개업</t>
  </si>
  <si>
    <t>정의선, 조성환</t>
  </si>
  <si>
    <t>생명보험,부동산 임대</t>
  </si>
  <si>
    <t>변재상, 김재식</t>
  </si>
  <si>
    <t>휴니드테크놀러지스</t>
  </si>
  <si>
    <t>비스킷, 스낵, 당과</t>
  </si>
  <si>
    <t>윤요현, 박서영</t>
  </si>
  <si>
    <t>손해보험(자동차보험)</t>
  </si>
  <si>
    <t>사외이사비율(%)</t>
  </si>
  <si>
    <t>당기순이익
(천원)</t>
  </si>
  <si>
    <t>금산분리(100)</t>
  </si>
  <si>
    <t>진영환, 진주완</t>
  </si>
  <si>
    <t>스낵 등 과자류</t>
  </si>
  <si>
    <t>연구개발지출(%)</t>
  </si>
  <si>
    <t>딜라트렌,리피로우</t>
  </si>
  <si>
    <t>기타 정보 서비스업</t>
  </si>
  <si>
    <t>김영진, 백진기</t>
  </si>
  <si>
    <t>비제조/서비스업</t>
  </si>
  <si>
    <t>아파트건설,토목공사,건축공사,포장공사,전기공사,무역/중장비 대여</t>
  </si>
  <si>
    <t>http://www.shinyoungwacoal.co.kr/</t>
  </si>
  <si>
    <t>와이어로프,각종 경강선,철선제품,PC강선,아연도 강연선 제조</t>
  </si>
  <si>
    <t>http://securities.miraeasset.com</t>
  </si>
  <si>
    <t>써니전자</t>
  </si>
  <si>
    <t>한일시멘트</t>
  </si>
  <si>
    <t>KTcs</t>
  </si>
  <si>
    <t>체인화 편의점</t>
  </si>
  <si>
    <t>032560</t>
  </si>
  <si>
    <t>주요제품</t>
  </si>
  <si>
    <t>한솔피엔에스</t>
  </si>
  <si>
    <t>145720</t>
  </si>
  <si>
    <t>053690</t>
  </si>
  <si>
    <t>현대해상</t>
  </si>
  <si>
    <t>005500</t>
  </si>
  <si>
    <t>306200</t>
  </si>
  <si>
    <t>정 중 규</t>
  </si>
  <si>
    <t>020150</t>
  </si>
  <si>
    <t>264900</t>
  </si>
  <si>
    <t>DL건설</t>
  </si>
  <si>
    <t>234080</t>
  </si>
  <si>
    <t>NI스틸</t>
  </si>
  <si>
    <t>대구광역시</t>
  </si>
  <si>
    <t>001260</t>
  </si>
  <si>
    <t>013360</t>
  </si>
  <si>
    <t>002170</t>
  </si>
  <si>
    <t>009470</t>
  </si>
  <si>
    <t>KPX케미칼</t>
  </si>
  <si>
    <t>267290</t>
  </si>
  <si>
    <t>103140</t>
  </si>
  <si>
    <t>015230</t>
  </si>
  <si>
    <t>충청북도</t>
  </si>
  <si>
    <t>화성산업</t>
  </si>
  <si>
    <t>000020</t>
  </si>
  <si>
    <t>전라북도</t>
  </si>
  <si>
    <t>003160</t>
  </si>
  <si>
    <t>339770</t>
  </si>
  <si>
    <t>기부금(%)</t>
  </si>
  <si>
    <t>034590</t>
  </si>
  <si>
    <t>004770</t>
  </si>
  <si>
    <t>유나이티드</t>
  </si>
  <si>
    <t>000720</t>
  </si>
  <si>
    <t>001820</t>
  </si>
  <si>
    <t>삼호개발</t>
  </si>
  <si>
    <t>신성통상</t>
  </si>
  <si>
    <t>앤드류김</t>
  </si>
  <si>
    <t>도시가스</t>
  </si>
  <si>
    <t>대원제약</t>
  </si>
  <si>
    <t>058430</t>
  </si>
  <si>
    <t>진흥기업</t>
  </si>
  <si>
    <t>029780</t>
  </si>
  <si>
    <t>류진, 박우동</t>
  </si>
  <si>
    <t>SNT모티브</t>
  </si>
  <si>
    <t>미원상사</t>
  </si>
  <si>
    <t>003690</t>
  </si>
  <si>
    <t>전라남도</t>
  </si>
  <si>
    <t>210540</t>
  </si>
  <si>
    <t>업종별 평균</t>
  </si>
  <si>
    <t>스포츠의류</t>
  </si>
  <si>
    <t>002200</t>
  </si>
  <si>
    <t>인천광역시</t>
  </si>
  <si>
    <t>법정사외이사수</t>
  </si>
  <si>
    <t>000540</t>
  </si>
  <si>
    <t>케이티앤지</t>
  </si>
  <si>
    <t>금융업(증권)</t>
  </si>
  <si>
    <t>068270</t>
  </si>
  <si>
    <t>크라운제과</t>
  </si>
  <si>
    <t>광주신세계</t>
  </si>
  <si>
    <t>한일현대시멘트</t>
  </si>
  <si>
    <t>011330</t>
  </si>
  <si>
    <t>001560</t>
  </si>
  <si>
    <t>산업용고무제품, 종합고무부품</t>
  </si>
  <si>
    <t>연구개발지출
(100)</t>
  </si>
  <si>
    <t>신발 및 신발 부분품 제조업</t>
  </si>
  <si>
    <t>생명보험</t>
  </si>
  <si>
    <t>세이브존I&amp;C</t>
  </si>
  <si>
    <t>일진전기</t>
  </si>
  <si>
    <t>삼양식품</t>
  </si>
  <si>
    <t>대표자명</t>
  </si>
  <si>
    <t>009290</t>
  </si>
  <si>
    <t>태경케미컬</t>
  </si>
  <si>
    <t>069960</t>
  </si>
  <si>
    <t>006390</t>
  </si>
  <si>
    <t>이재광,조광식</t>
  </si>
  <si>
    <t>동화약품</t>
  </si>
  <si>
    <t>삼익THK</t>
  </si>
  <si>
    <t>삼성에스디에스</t>
  </si>
  <si>
    <t>현대차증권</t>
  </si>
  <si>
    <t>005800</t>
  </si>
  <si>
    <t>280360</t>
  </si>
  <si>
    <t>계면활성제, 황산및분황</t>
  </si>
  <si>
    <t>교육훈련비증가가율(100)</t>
  </si>
  <si>
    <t>대규모기업집단지정
(100)</t>
  </si>
  <si>
    <t>시멘트, 레미콘, 레미탈</t>
  </si>
  <si>
    <t>IT서비스, 물류BPO</t>
  </si>
  <si>
    <t>http://www.ssangyongcement.co.kr</t>
  </si>
  <si>
    <t>전동기, 발전기 및 전기 변환 · 공급 · 제어 장치 제조업</t>
  </si>
  <si>
    <t>http://www.hyundaielevator.co.kr</t>
  </si>
  <si>
    <t>http://www.samsungengineering.co.kr</t>
  </si>
  <si>
    <t>건축 설계,감리/건축공사,토목공사,설비공사,전기공사,안전공사</t>
  </si>
  <si>
    <t>전산실운영, 시스템구축, 전산장비 납품, SOC/건축 사업</t>
  </si>
  <si>
    <t>전자부품(알루미늄 전해콘덴서),전기이중층콘덴서,센서 제조,도매</t>
  </si>
  <si>
    <t>http://www.lxinternational.co.kr</t>
  </si>
  <si>
    <t>승용차,중대형버스,트럭,민수특수차량,군수차량 제조,판매,정비</t>
  </si>
  <si>
    <t>http://www.aekyungchemical.co.kr</t>
  </si>
  <si>
    <t>염소·셀룰로스계열, 암모니아 계열, 전자재료 등 화학제품 제조</t>
  </si>
  <si>
    <t>Age 20's,루나, 트리오, 2080치약, 순샘, 제트 등</t>
  </si>
  <si>
    <t>피혁원단,혁제운동화,혁제장갑,혁제스포츠용품 제조,상품중개,무역</t>
  </si>
  <si>
    <t>산업용기프라스틱제품(플라스틱 파렛트,시트 파렛트) 제조,판매</t>
  </si>
  <si>
    <t>의약품(게보린,세트라졸,염산나록손) 제조,판매,수출입,약초재배</t>
  </si>
  <si>
    <t>메리야스,란제리 제조,도매/건축공사/부동산 임대,분양,공급</t>
  </si>
  <si>
    <t>토목공사,건축공사,기전공사,측량설계시공,용역/철구조물 제조</t>
  </si>
  <si>
    <t>058850</t>
  </si>
  <si>
    <t>배상돈,박광호</t>
  </si>
  <si>
    <t>025000</t>
  </si>
  <si>
    <t>002240</t>
  </si>
  <si>
    <t>HDC랩스</t>
  </si>
  <si>
    <t>어로 어업</t>
  </si>
  <si>
    <t>030210</t>
  </si>
  <si>
    <t>유한양행</t>
  </si>
  <si>
    <t>삼성생명</t>
  </si>
  <si>
    <t>울산광역시</t>
  </si>
  <si>
    <t>더존비즈온</t>
  </si>
  <si>
    <t>012030</t>
  </si>
  <si>
    <t>005940</t>
  </si>
  <si>
    <t>001720</t>
  </si>
  <si>
    <t>일성건설</t>
  </si>
  <si>
    <t>031430</t>
  </si>
  <si>
    <t>신영증권</t>
  </si>
  <si>
    <t>000850</t>
  </si>
  <si>
    <t>김상헌,황덕환</t>
  </si>
  <si>
    <t>담배 제조업</t>
  </si>
  <si>
    <t>용접재료</t>
  </si>
  <si>
    <t>214320</t>
  </si>
  <si>
    <t>008420</t>
  </si>
  <si>
    <t>139480</t>
  </si>
  <si>
    <t>016360</t>
  </si>
  <si>
    <t>대창단조</t>
  </si>
  <si>
    <t>298020</t>
  </si>
  <si>
    <t>충청남도</t>
  </si>
  <si>
    <t>002310</t>
  </si>
  <si>
    <t>117580</t>
  </si>
  <si>
    <t>004250</t>
  </si>
  <si>
    <t>아세아시멘트</t>
  </si>
  <si>
    <t>009680</t>
  </si>
  <si>
    <t>026960</t>
  </si>
  <si>
    <t>004890</t>
  </si>
  <si>
    <t>완제의약품</t>
  </si>
  <si>
    <t>재 보험업</t>
  </si>
  <si>
    <t>이종원,최진엽</t>
  </si>
  <si>
    <t>001120</t>
  </si>
  <si>
    <t>134380</t>
  </si>
  <si>
    <t>키움증권</t>
  </si>
  <si>
    <t>002810</t>
  </si>
  <si>
    <t>동아에스티</t>
  </si>
  <si>
    <t>경실련
업종</t>
  </si>
  <si>
    <t>페인트 제조</t>
  </si>
  <si>
    <t>연료전지</t>
  </si>
  <si>
    <t>상품 중개업</t>
  </si>
  <si>
    <t>183190</t>
  </si>
  <si>
    <t>두산퓨얼셀</t>
  </si>
  <si>
    <t>006890</t>
  </si>
  <si>
    <t>012750</t>
  </si>
  <si>
    <t>011150</t>
  </si>
  <si>
    <t>068400</t>
  </si>
  <si>
    <t>백승호,백승열</t>
  </si>
  <si>
    <t>047040</t>
  </si>
  <si>
    <t>111770</t>
  </si>
  <si>
    <t>현대글로비스</t>
  </si>
  <si>
    <t>016800</t>
  </si>
  <si>
    <t>241590</t>
  </si>
  <si>
    <t>018670</t>
  </si>
  <si>
    <t>NH투자증권</t>
  </si>
  <si>
    <t>010420</t>
  </si>
  <si>
    <t>007570</t>
  </si>
  <si>
    <t>002840</t>
  </si>
  <si>
    <t>한미약품</t>
  </si>
  <si>
    <t>042700</t>
  </si>
  <si>
    <t>경동도시가스</t>
  </si>
  <si>
    <t>307950</t>
  </si>
  <si>
    <t>005380</t>
  </si>
  <si>
    <t>한솔케미칼</t>
  </si>
  <si>
    <t>도화엔지니어링</t>
  </si>
  <si>
    <t>텔코웨어</t>
  </si>
  <si>
    <t>018260</t>
  </si>
  <si>
    <t>032640</t>
  </si>
  <si>
    <t>한화시스템</t>
  </si>
  <si>
    <t>001500</t>
  </si>
  <si>
    <t>013580</t>
  </si>
  <si>
    <t>281820</t>
  </si>
  <si>
    <t>085620</t>
  </si>
  <si>
    <t>025820</t>
  </si>
  <si>
    <t>013000</t>
  </si>
  <si>
    <t>SK하이닉스</t>
  </si>
  <si>
    <t>012330</t>
  </si>
  <si>
    <t>금융업(보험)</t>
  </si>
  <si>
    <t>161000</t>
  </si>
  <si>
    <t>한국단자공업</t>
  </si>
  <si>
    <t>부산광역시</t>
  </si>
  <si>
    <t>092440</t>
  </si>
  <si>
    <t>001130</t>
  </si>
  <si>
    <t>광주광역시</t>
  </si>
  <si>
    <t>이연제약</t>
  </si>
  <si>
    <t>계룡건설산업</t>
  </si>
  <si>
    <t>103590</t>
  </si>
  <si>
    <t>021240</t>
  </si>
  <si>
    <t>037710</t>
  </si>
  <si>
    <t>006280</t>
  </si>
  <si>
    <t>105630</t>
  </si>
  <si>
    <t>102460</t>
  </si>
  <si>
    <t>155660</t>
  </si>
  <si>
    <t>001880</t>
  </si>
  <si>
    <t>011070</t>
  </si>
  <si>
    <t>DB손해보험</t>
  </si>
  <si>
    <t>004490</t>
  </si>
  <si>
    <t>010130</t>
  </si>
  <si>
    <t>현대오토에버</t>
  </si>
  <si>
    <t>000270</t>
  </si>
  <si>
    <t>종합 소매업</t>
  </si>
  <si>
    <t>002700</t>
  </si>
  <si>
    <t>영원무역</t>
  </si>
  <si>
    <t>동남합성</t>
  </si>
  <si>
    <t>일양약품</t>
  </si>
  <si>
    <t>조선선재</t>
  </si>
  <si>
    <t>종목코드</t>
  </si>
  <si>
    <t>롯데정밀화학</t>
  </si>
  <si>
    <t>그린케미칼</t>
  </si>
  <si>
    <t>093050</t>
  </si>
  <si>
    <t>002140</t>
  </si>
  <si>
    <t>004000</t>
  </si>
  <si>
    <t>002390</t>
  </si>
  <si>
    <t>317400</t>
  </si>
  <si>
    <t>271560</t>
  </si>
  <si>
    <t>가온전선</t>
  </si>
  <si>
    <t>고려제강</t>
  </si>
  <si>
    <t>282690</t>
  </si>
  <si>
    <t>000100</t>
  </si>
  <si>
    <t>336260</t>
  </si>
  <si>
    <t>영보화학</t>
  </si>
  <si>
    <t>005830</t>
  </si>
  <si>
    <t>황금에스티</t>
  </si>
  <si>
    <t>002150</t>
  </si>
  <si>
    <t>이창원,이원준</t>
  </si>
  <si>
    <t>015890</t>
  </si>
  <si>
    <t>001450</t>
  </si>
  <si>
    <t>삼성증권</t>
  </si>
  <si>
    <t>089470</t>
  </si>
  <si>
    <t>244920</t>
  </si>
  <si>
    <t>해상 운송업</t>
  </si>
  <si>
    <t>태경비케이</t>
  </si>
  <si>
    <t>120030</t>
  </si>
  <si>
    <t>185750</t>
  </si>
  <si>
    <t>005960</t>
  </si>
  <si>
    <t>002460</t>
  </si>
  <si>
    <t>한올바이오파마</t>
  </si>
  <si>
    <t>029460</t>
  </si>
  <si>
    <t>010100</t>
  </si>
  <si>
    <t>001510</t>
  </si>
  <si>
    <t>김 대 환</t>
  </si>
  <si>
    <t>001680</t>
  </si>
  <si>
    <t>013890</t>
  </si>
  <si>
    <t>004970</t>
  </si>
  <si>
    <t>023450</t>
  </si>
  <si>
    <t>광동제약</t>
  </si>
  <si>
    <t>SIMPAC</t>
  </si>
  <si>
    <t>손해보험</t>
  </si>
  <si>
    <t>003090</t>
  </si>
  <si>
    <t>쌍용씨앤이</t>
  </si>
  <si>
    <t>가구 제조업</t>
  </si>
  <si>
    <t>001460</t>
  </si>
  <si>
    <t>천연가스</t>
  </si>
  <si>
    <t>유공압기기 등</t>
  </si>
  <si>
    <t>122900</t>
  </si>
  <si>
    <t>대원강업</t>
  </si>
  <si>
    <t>유안타증권</t>
  </si>
  <si>
    <t>제강용 정련제(프락스),카바이드,중질탈산칼슘 제조,판매/고속도로휴게소 운영</t>
  </si>
  <si>
    <t>용융아연도금강판,용융알루미늄도금강판,칼라도장강판,냉연강판 가공,제조,도매</t>
  </si>
  <si>
    <t>라면,스낵,유제품,장유,식용유,사료,향신료,건강음료(루이보스 티) 제조,도매</t>
  </si>
  <si>
    <t>에너지
효율(100점)</t>
  </si>
  <si>
    <t>가성소다,합성염산 제조,판매</t>
  </si>
  <si>
    <t>의약품,식음료 제조,도매</t>
  </si>
  <si>
    <t>의약품 제조,판매,수출입</t>
  </si>
  <si>
    <t>음·식료품 및 담배 도매업</t>
  </si>
  <si>
    <t>회사채
신용등급
(100)</t>
  </si>
  <si>
    <t>장홍선, 장선우 (각자대표)</t>
  </si>
  <si>
    <t>김정돈, 박미령 (각자대표)</t>
  </si>
  <si>
    <t>특수 목적용 기계 제조업</t>
  </si>
  <si>
    <t>건축공사,토목공사,전기공사</t>
  </si>
  <si>
    <t>각자대표이사 권영두, 권영렬</t>
  </si>
  <si>
    <t>일반 목적용 기계 제조업</t>
  </si>
  <si>
    <t>9. 법인세 추징
(2점)</t>
  </si>
  <si>
    <t>정수기, 공기청정기 등</t>
  </si>
  <si>
    <t>금융업, 서비스, 부동산</t>
  </si>
  <si>
    <t>남궁범, 모리야 키요시</t>
  </si>
  <si>
    <t>금융관련법 준수(100)</t>
  </si>
  <si>
    <t>전자금융거래법 준수(100)</t>
  </si>
  <si>
    <t>비이온계면활성제 제조,도매</t>
  </si>
  <si>
    <t>기타 비금속 광물제품 제조업</t>
  </si>
  <si>
    <t>램시마, 트룩시마, 허쥬마</t>
  </si>
  <si>
    <t>기타 금속 가공제품 제조업</t>
  </si>
  <si>
    <t>소비자 개인정보보호(100)</t>
  </si>
  <si>
    <t>소유지배
괴리도
(%)</t>
  </si>
  <si>
    <t>고용관련 정부포상(100)</t>
  </si>
  <si>
    <t>종합건설업(토목공사,도로공사,건축공사,관급공사,환경공사,상하수도공사,하수종말처리공사)/부동산 임대,매매</t>
  </si>
  <si>
    <t>고용인력 증가율(100)</t>
  </si>
  <si>
    <t>이이문, 주종대 (각자대표)</t>
  </si>
  <si>
    <t>그외 기타 개인 서비스업</t>
  </si>
  <si>
    <t>영상 및 음향기기 제조업</t>
  </si>
  <si>
    <t>백화점,할인점(E마트)</t>
  </si>
  <si>
    <t>금융분쟁조정신청건수(100)</t>
  </si>
  <si>
    <t>소유지배
괴리도
(100)</t>
  </si>
  <si>
    <t>2. 에너지효율(1점)</t>
  </si>
  <si>
    <t>환경법 위반
(100점)</t>
  </si>
  <si>
    <t>6.환경법 위반
(3점)</t>
  </si>
  <si>
    <t>관계사
출자금액
(100)</t>
  </si>
  <si>
    <t>11. 우리사주제도
(1점)</t>
  </si>
  <si>
    <t>소비자관련법 준수
(100)</t>
  </si>
  <si>
    <t>윤활유,그리스 제조,도매</t>
  </si>
  <si>
    <t>보험 및 연금관련 서비스업</t>
  </si>
  <si>
    <t>소프트웨어 개발 및 공급업</t>
  </si>
  <si>
    <t>무기 및 총포탄 제조업</t>
  </si>
  <si>
    <t>우리사주제도
(100)</t>
  </si>
  <si>
    <t>시멘트, 레미콘, 몰탈</t>
  </si>
  <si>
    <t>법인세 추징
(100)</t>
  </si>
  <si>
    <t>비정규직비율(100점)</t>
  </si>
  <si>
    <t>1인당교육훈련비
(100)</t>
  </si>
  <si>
    <t>Baek, Bok-In</t>
  </si>
  <si>
    <t>절연선 및 케이블 제조업</t>
  </si>
  <si>
    <t>스테인레스 냉연, 열연</t>
  </si>
  <si>
    <t>조문수, 이명화 공동대표이사</t>
  </si>
  <si>
    <t>박정호, 곽노정 (각자대표)</t>
  </si>
  <si>
    <t>일차전지 및 축전지 제조업</t>
  </si>
  <si>
    <t>기성복, 의류, 잡화, 제조</t>
  </si>
  <si>
    <t>기타 사업지원 서비스업</t>
  </si>
  <si>
    <t>유가증권 매매,중개,인수</t>
  </si>
  <si>
    <t>정연택, 정동우(각자 대표)</t>
  </si>
  <si>
    <t>기타 운송관련 서비스업</t>
  </si>
  <si>
    <t>통신 및 방송 장비 제조업</t>
  </si>
  <si>
    <t>경비, 경호 및 탐정업</t>
  </si>
  <si>
    <t>시트 커버 및 시트 원단</t>
  </si>
  <si>
    <t>부동산 임대 및 공급업</t>
  </si>
  <si>
    <t>공정거래법위반(100)</t>
  </si>
  <si>
    <t>도시가스 공급/가스설비공사</t>
  </si>
  <si>
    <t>개인 및 가정용품 임대업</t>
  </si>
  <si>
    <t>강준석,김형준(각자대표)</t>
  </si>
  <si>
    <t>유창수, 고경모(각자 대표)</t>
  </si>
  <si>
    <t>환경경영 보고 
(100점)</t>
  </si>
  <si>
    <t>직물직조 및 직물제품 제조업</t>
  </si>
  <si>
    <t>이사회
참여도
(100)</t>
  </si>
  <si>
    <t>껌,캔디,초코,비스켓,빙과</t>
  </si>
  <si>
    <t>PC강선,선재 2차제품,와이어로프,비드와이어,SC(Surpass Coat) Stand,각종선재 제조,도매</t>
  </si>
  <si>
    <t>렌탈 서비스(정수기,비데, 필터교환 등), 가정용기기 도매,판매,제조,폐기물처리설비,수출(정수기,청정기)</t>
  </si>
  <si>
    <t>http://www.daesungenergy.com</t>
  </si>
  <si>
    <t>http://www.jw-lifescience.co.kr</t>
  </si>
  <si>
    <t>PCM(칼라강판),라미네이트강판,산업용필름 제조,판매</t>
  </si>
  <si>
    <t>http://www.hyundaicorp.co.kr</t>
  </si>
  <si>
    <t>의약품(소화제,크라포란,라식스)제조,도매,부동산 임대</t>
  </si>
  <si>
    <t>합성수지(PP컴파운딩가공,자동차범퍼,내장제) 제조,도소매</t>
  </si>
  <si>
    <t>http://www.samwon-steel.co.kr</t>
  </si>
  <si>
    <t>http://www.hansollogistics.com</t>
  </si>
  <si>
    <t>토목설계,건축설계,종합감리전문업,종합기술용역,엔지니어링</t>
  </si>
  <si>
    <t>자동차용 기화기(캬브레타,다이캐스트,연료펌프) 제조,판매</t>
  </si>
  <si>
    <t>유가증권의매매,위탁매매,유가증권의 중개,대리/부동산 임대</t>
  </si>
  <si>
    <t>http://www.hansolchemical.com</t>
  </si>
  <si>
    <t>대형할인점(백화점)/부동산 임대/주차장,문화센터 운영</t>
  </si>
  <si>
    <t>http://WWW.HANILHDCEMENT.COM</t>
  </si>
  <si>
    <t>계면활성제,분황,황산,도료첨가제,프라스틱첨가제 제조</t>
  </si>
  <si>
    <t>화물운송주선,화물포장,자동차 수리/산업용 기계장비 임대</t>
  </si>
  <si>
    <t>동판.조,황동판.조,인청동판.조 제조,임가공/부동산 임대</t>
  </si>
  <si>
    <t>http://www.hyundai-autoever.com</t>
  </si>
  <si>
    <t>http://www.ilsungconst.co.kr</t>
  </si>
  <si>
    <t>도로건설공사,토목공사,건축공사,조경공사/부동산 임대,매매</t>
  </si>
  <si>
    <t>산업설비,건물,구축물,토목시설의 설계,시공,공사감리</t>
  </si>
  <si>
    <t>http://www.dlconstruction.co.kr</t>
  </si>
  <si>
    <t>반도체 후공정장비,반도체금형 제조/부동산 매매,임대</t>
  </si>
  <si>
    <t>알루미늄박지,은박지,은박가공품,알페이스트 제조,도매,수출</t>
  </si>
  <si>
    <t>대표이사 회장 허용삼 대표이사 사장 허정훈(각자대표이사)</t>
  </si>
  <si>
    <t>http://www.taekyungchem.co.kr</t>
  </si>
  <si>
    <t>http://www.chosunwelding.com</t>
  </si>
  <si>
    <t>http://www.dongbangagro.co.kr</t>
  </si>
  <si>
    <t>http://www.samsungcard.co.kr</t>
  </si>
  <si>
    <t>컨택센터서비스, Cloud솔루션, CDN, 프로젝터판매</t>
  </si>
  <si>
    <t>http://www.hdc-hyundaiep.com/</t>
  </si>
  <si>
    <t>섬유, 산업자재, 화학, 중공업, 건설, 무역,금융 등</t>
  </si>
  <si>
    <t>기초수액, TPN, 특수수액, HEMO, 영양수액 등</t>
  </si>
  <si>
    <t>http://www.lottefinechem.com</t>
  </si>
  <si>
    <t>http://www.miwonchemicals.com</t>
  </si>
  <si>
    <t>http://www.moonbaesteel.co.kr</t>
  </si>
  <si>
    <t>http://www.hsenterprise.co.kr</t>
  </si>
  <si>
    <t>http://www.samjinpharm.co.kr</t>
  </si>
  <si>
    <t>http://www.doosanfuelcell.com</t>
  </si>
  <si>
    <t>여성의류,금속 액세서리,신발,가방,선글라스 제조,판매</t>
  </si>
  <si>
    <t>조재천</t>
  </si>
  <si>
    <t>김성은</t>
  </si>
  <si>
    <t>상장일</t>
  </si>
  <si>
    <t>디아이</t>
  </si>
  <si>
    <t>HUF</t>
  </si>
  <si>
    <t>INR</t>
  </si>
  <si>
    <t>PLN</t>
  </si>
  <si>
    <t>코웨이</t>
  </si>
  <si>
    <t>박경원</t>
  </si>
  <si>
    <t>김지찬</t>
  </si>
  <si>
    <t>디씨엠</t>
  </si>
  <si>
    <t>보락</t>
  </si>
  <si>
    <t>경기도</t>
  </si>
  <si>
    <t>결산월</t>
  </si>
  <si>
    <t>차성남</t>
  </si>
  <si>
    <t>최성원</t>
  </si>
  <si>
    <t>윤영준</t>
  </si>
  <si>
    <t>회사명</t>
  </si>
  <si>
    <t>지역</t>
  </si>
  <si>
    <t>홍석빈</t>
  </si>
  <si>
    <t>RUB</t>
  </si>
  <si>
    <t>김종원</t>
  </si>
  <si>
    <t>대상</t>
  </si>
  <si>
    <t>하형수</t>
  </si>
  <si>
    <t>이승준</t>
  </si>
  <si>
    <t>양준화</t>
  </si>
  <si>
    <t>보험업</t>
  </si>
  <si>
    <t>남경환</t>
  </si>
  <si>
    <t>강덕영</t>
  </si>
  <si>
    <t>신세계</t>
  </si>
  <si>
    <t>유재순</t>
  </si>
  <si>
    <t>LF</t>
  </si>
  <si>
    <t>차상권</t>
  </si>
  <si>
    <t>전영묵</t>
  </si>
  <si>
    <t>09월</t>
  </si>
  <si>
    <t>백화점</t>
  </si>
  <si>
    <t>서승우</t>
  </si>
  <si>
    <t>김치헌</t>
  </si>
  <si>
    <t>임정배</t>
  </si>
  <si>
    <t>정기련</t>
  </si>
  <si>
    <t>조상종</t>
  </si>
  <si>
    <t>윤진호</t>
  </si>
  <si>
    <t>윤춘성</t>
  </si>
  <si>
    <t>대현</t>
  </si>
  <si>
    <t>김현수</t>
  </si>
  <si>
    <t>정영채</t>
  </si>
  <si>
    <t>성기학</t>
  </si>
  <si>
    <t>임민규</t>
  </si>
  <si>
    <t>윤현도</t>
  </si>
  <si>
    <t>이동훈</t>
  </si>
  <si>
    <t>윤병석</t>
  </si>
  <si>
    <t>녹십자</t>
  </si>
  <si>
    <t>최용주</t>
  </si>
  <si>
    <t>철강</t>
  </si>
  <si>
    <t>황일문</t>
  </si>
  <si>
    <t>장제상</t>
  </si>
  <si>
    <t>심재범</t>
  </si>
  <si>
    <t>백종훈</t>
  </si>
  <si>
    <t>신현균</t>
  </si>
  <si>
    <t>정철동</t>
  </si>
  <si>
    <t>조성국</t>
  </si>
  <si>
    <t>윤재춘</t>
  </si>
  <si>
    <t>퍼시스</t>
  </si>
  <si>
    <t>삼양사</t>
  </si>
  <si>
    <t>김용석</t>
  </si>
  <si>
    <t>방림</t>
  </si>
  <si>
    <t>이재규</t>
  </si>
  <si>
    <t>박치웅</t>
  </si>
  <si>
    <t>03월</t>
  </si>
  <si>
    <t>금한태</t>
  </si>
  <si>
    <t>두올</t>
  </si>
  <si>
    <t>간장</t>
  </si>
  <si>
    <t>DB</t>
  </si>
  <si>
    <t>박권일</t>
  </si>
  <si>
    <t>김용우</t>
  </si>
  <si>
    <t>모토닉</t>
  </si>
  <si>
    <t>정윤석</t>
  </si>
  <si>
    <t>06월</t>
  </si>
  <si>
    <t>장석훈</t>
  </si>
  <si>
    <t>강관</t>
  </si>
  <si>
    <t>박진선</t>
  </si>
  <si>
    <t>김태수</t>
  </si>
  <si>
    <t>이영식</t>
  </si>
  <si>
    <t>대웅</t>
  </si>
  <si>
    <t>시디즈</t>
  </si>
  <si>
    <t>박현철</t>
  </si>
  <si>
    <t>곽동신</t>
  </si>
  <si>
    <t>김상환</t>
  </si>
  <si>
    <t>박상신</t>
  </si>
  <si>
    <t>덴티움</t>
  </si>
  <si>
    <t>김민영</t>
  </si>
  <si>
    <t>원종규</t>
  </si>
  <si>
    <t>풀무원</t>
  </si>
  <si>
    <t>백정완</t>
  </si>
  <si>
    <t>표경원</t>
  </si>
  <si>
    <t>홍원학</t>
  </si>
  <si>
    <t>이윤환</t>
  </si>
  <si>
    <t>조흥</t>
  </si>
  <si>
    <t>허은철</t>
  </si>
  <si>
    <t>의자</t>
  </si>
  <si>
    <t>강희석</t>
  </si>
  <si>
    <t>서재환</t>
  </si>
  <si>
    <t>최진식</t>
  </si>
  <si>
    <t>기아</t>
  </si>
  <si>
    <t>동서</t>
  </si>
  <si>
    <t>최병민</t>
  </si>
  <si>
    <t>이용우</t>
  </si>
  <si>
    <t>유필상</t>
  </si>
  <si>
    <t>궈밍쩡</t>
  </si>
  <si>
    <t>이용익</t>
  </si>
  <si>
    <t>박원환</t>
  </si>
  <si>
    <t>에스원</t>
  </si>
  <si>
    <t>김성태</t>
  </si>
  <si>
    <t>남인봉</t>
  </si>
  <si>
    <t>오리온</t>
  </si>
  <si>
    <t>이승용</t>
  </si>
  <si>
    <t>한독</t>
  </si>
  <si>
    <t>EUR</t>
  </si>
  <si>
    <t>광고업</t>
  </si>
  <si>
    <t>파미셀</t>
  </si>
  <si>
    <t>손영식</t>
  </si>
  <si>
    <t>지누스</t>
  </si>
  <si>
    <t>김호운</t>
  </si>
  <si>
    <t>전근식</t>
  </si>
  <si>
    <t>임규준</t>
  </si>
  <si>
    <t>이장원</t>
  </si>
  <si>
    <t>기우성</t>
  </si>
  <si>
    <t>풍산</t>
  </si>
  <si>
    <t>황현식</t>
  </si>
  <si>
    <t>업종</t>
  </si>
  <si>
    <t>증권업</t>
  </si>
  <si>
    <t>설탕</t>
  </si>
  <si>
    <t>황현순</t>
  </si>
  <si>
    <t>윤석빈</t>
  </si>
  <si>
    <t>MXN</t>
  </si>
  <si>
    <t>엔피씨</t>
  </si>
  <si>
    <t>박기환</t>
  </si>
  <si>
    <t>김치형</t>
  </si>
  <si>
    <t>김대환</t>
  </si>
  <si>
    <t>임재택</t>
  </si>
  <si>
    <t>의약품</t>
  </si>
  <si>
    <t>김영주</t>
  </si>
  <si>
    <t>이노션</t>
  </si>
  <si>
    <t>신흥</t>
  </si>
  <si>
    <t>서정식</t>
  </si>
  <si>
    <t>이효율</t>
  </si>
  <si>
    <t>유니드</t>
  </si>
  <si>
    <t>황규호</t>
  </si>
  <si>
    <t>최병철</t>
  </si>
  <si>
    <t>윤양수</t>
  </si>
  <si>
    <t>케이씨</t>
  </si>
  <si>
    <t>장원영</t>
  </si>
  <si>
    <t>12월</t>
  </si>
  <si>
    <t>이마트</t>
  </si>
  <si>
    <t>황성우</t>
  </si>
  <si>
    <t>MYR</t>
  </si>
  <si>
    <t>이건준</t>
  </si>
  <si>
    <t>김민덕</t>
  </si>
  <si>
    <t>어성철</t>
  </si>
  <si>
    <t>엄관석</t>
  </si>
  <si>
    <t>이계영</t>
  </si>
  <si>
    <t>신종석</t>
  </si>
  <si>
    <t>JPY</t>
  </si>
  <si>
    <t>김종현</t>
  </si>
  <si>
    <t>심재형</t>
  </si>
  <si>
    <t>종근당</t>
  </si>
  <si>
    <t>이현덕</t>
  </si>
  <si>
    <t>CAD</t>
  </si>
  <si>
    <t>구본학</t>
  </si>
  <si>
    <t>장세준</t>
  </si>
  <si>
    <t>017800</t>
  </si>
  <si>
    <t>090350</t>
  </si>
  <si>
    <t>LG이노텍</t>
  </si>
  <si>
    <t>무점포 소매업</t>
  </si>
  <si>
    <t>163560</t>
  </si>
  <si>
    <t>한국종합기술</t>
  </si>
  <si>
    <t>인천도시가스</t>
  </si>
  <si>
    <t>세종특별자치시</t>
  </si>
  <si>
    <t>007590</t>
  </si>
  <si>
    <t>025860</t>
  </si>
  <si>
    <t>010960</t>
  </si>
  <si>
    <t>011760</t>
  </si>
  <si>
    <t>경실련 업종</t>
  </si>
  <si>
    <t>293480</t>
  </si>
  <si>
    <t>016590</t>
  </si>
  <si>
    <t>극동유화</t>
  </si>
  <si>
    <t>006740</t>
  </si>
  <si>
    <t>동일고무벨트</t>
  </si>
  <si>
    <t>002990</t>
  </si>
  <si>
    <t>토목 건설업</t>
  </si>
  <si>
    <t>동부건설</t>
  </si>
  <si>
    <t>세우글로벌</t>
  </si>
  <si>
    <t>011780</t>
  </si>
  <si>
    <t>유니퀘스트</t>
  </si>
  <si>
    <t>건물 건설업</t>
  </si>
  <si>
    <t>002690</t>
  </si>
  <si>
    <t>012510</t>
  </si>
  <si>
    <t>016090</t>
  </si>
  <si>
    <t>총임원수(명)</t>
  </si>
  <si>
    <t>272210</t>
  </si>
  <si>
    <t>미원화학</t>
  </si>
  <si>
    <t>대형마트</t>
  </si>
  <si>
    <t>003610</t>
  </si>
  <si>
    <t>신라교역</t>
  </si>
  <si>
    <t>020000</t>
  </si>
  <si>
    <t>백광산업</t>
  </si>
  <si>
    <t>028050</t>
  </si>
  <si>
    <t>삼양통상</t>
  </si>
  <si>
    <t>023350</t>
  </si>
  <si>
    <t>017960</t>
  </si>
  <si>
    <t>005680</t>
  </si>
  <si>
    <t>078000</t>
  </si>
  <si>
    <t>014580</t>
  </si>
  <si>
    <t>삼성카드</t>
  </si>
  <si>
    <t>009160</t>
  </si>
  <si>
    <t>128940</t>
  </si>
  <si>
    <t>300720</t>
  </si>
  <si>
    <t>079550</t>
  </si>
  <si>
    <t>고려아연</t>
  </si>
  <si>
    <t>025540</t>
  </si>
  <si>
    <t>디와이파워</t>
  </si>
  <si>
    <t>신대양제지</t>
  </si>
  <si>
    <t>006800</t>
  </si>
  <si>
    <t>069260</t>
  </si>
  <si>
    <t>009420</t>
  </si>
  <si>
    <t>한남희,하상용</t>
  </si>
  <si>
    <t>한세실업</t>
  </si>
  <si>
    <t>014440</t>
  </si>
  <si>
    <t>삼진제약</t>
  </si>
  <si>
    <t>000660</t>
  </si>
  <si>
    <t>오영주, 박진</t>
  </si>
  <si>
    <t>145990</t>
  </si>
  <si>
    <t>현대모비스</t>
  </si>
  <si>
    <t>삼영무역</t>
  </si>
  <si>
    <t>018250</t>
  </si>
  <si>
    <t>대한제분</t>
  </si>
  <si>
    <t>현대코퍼레이션</t>
  </si>
  <si>
    <t>002960</t>
  </si>
  <si>
    <t>현대건설</t>
  </si>
  <si>
    <t>제일기획</t>
  </si>
  <si>
    <t>현대엘리베이터</t>
  </si>
  <si>
    <t>000810</t>
  </si>
  <si>
    <t>의류 완제품</t>
  </si>
  <si>
    <t>김형웅, 배원</t>
  </si>
  <si>
    <t>008700</t>
  </si>
  <si>
    <t>현대백화점</t>
  </si>
  <si>
    <t>적정성의 합</t>
  </si>
  <si>
    <t>009180</t>
  </si>
  <si>
    <t>효성 ITX</t>
  </si>
  <si>
    <t>021820</t>
  </si>
  <si>
    <t>001750</t>
  </si>
  <si>
    <t>한솔로지스틱스</t>
  </si>
  <si>
    <t>004380</t>
  </si>
  <si>
    <t>현대자동차</t>
  </si>
  <si>
    <t>대우건설</t>
  </si>
  <si>
    <t>268280</t>
  </si>
  <si>
    <t>대전광역시</t>
  </si>
  <si>
    <t>한미반도체</t>
  </si>
  <si>
    <t>현대홈쇼핑</t>
  </si>
  <si>
    <t>001340</t>
  </si>
  <si>
    <t>미창석유공업</t>
  </si>
  <si>
    <t>005690</t>
  </si>
  <si>
    <t>삼영전자공업</t>
  </si>
  <si>
    <t>금호건설</t>
  </si>
  <si>
    <t>이구산업</t>
  </si>
  <si>
    <t>023000</t>
  </si>
  <si>
    <t>014830</t>
  </si>
  <si>
    <t>송원산업</t>
  </si>
  <si>
    <t>홈페이지</t>
  </si>
  <si>
    <t>LIG넥스원</t>
  </si>
  <si>
    <t>한국쉘석유</t>
  </si>
  <si>
    <t>067830</t>
  </si>
  <si>
    <t>반도체 제조업</t>
  </si>
  <si>
    <t>강병중, 강호찬, 배중열</t>
  </si>
  <si>
    <t>수산물 가공 및 저장 처리업</t>
  </si>
  <si>
    <t>관계사채무보증액(100)</t>
  </si>
  <si>
    <t>자동차 신품 부품 제조업</t>
  </si>
  <si>
    <t>곽근호, 서성식, 조규남</t>
  </si>
  <si>
    <t>전력선,통신케이블 제조,도매,수출입</t>
  </si>
  <si>
    <t>http://www.hi.co.kr</t>
  </si>
  <si>
    <t>http://www.di.co.kr</t>
  </si>
  <si>
    <t>정순옥, 유용환 (각자 대표이사)</t>
  </si>
  <si>
    <t>법인세차감전
계속사업이익
(천원)</t>
  </si>
  <si>
    <t>반도체,컴퓨터,통신기기 제조,도매</t>
  </si>
  <si>
    <t>피혁 제조,도매,무역,부동산임대</t>
  </si>
  <si>
    <t>환경법 위반
(등급 A/B/C/D)</t>
  </si>
  <si>
    <t>http://www.s1.co.kr</t>
  </si>
  <si>
    <t>유가증권 매매,위탁매매,인수,주선</t>
  </si>
  <si>
    <t>김영봉, 신현돈(각자 대표이사)</t>
  </si>
  <si>
    <t>스틸파이프,철강재임가공 제조,도매</t>
  </si>
  <si>
    <t>자동차부품(차체류,램프류) 제조</t>
  </si>
  <si>
    <t>문덕식,강운식 (각자 대표이사)</t>
  </si>
  <si>
    <t>오규식, 김상균 (각자 대표이사)</t>
  </si>
  <si>
    <t>저우궈단(Jou, Gwo-Duan)</t>
  </si>
  <si>
    <t>대표이사 김영훈 대표이사 윤홍식</t>
  </si>
  <si>
    <t>홍사승, 이현준 (각자)대표집행임원</t>
  </si>
  <si>
    <t>http://www.ekdp.com</t>
  </si>
  <si>
    <t>권혁홍, 이상천(각자 대표이사)</t>
  </si>
  <si>
    <t>금융소비자보호 실태평가(100)</t>
  </si>
  <si>
    <t>가죽, 가방 및 유사제품 제조업</t>
  </si>
  <si>
    <t>연료용 가스 제조 및 배관공급업</t>
  </si>
  <si>
    <t>http://hmsec.com</t>
  </si>
  <si>
    <t>홍하종, 홍석빈 (각자 대표이사)</t>
  </si>
  <si>
    <t>1. 대규모기업집단지정(2점)</t>
  </si>
  <si>
    <t>http://www.kkpc.com</t>
  </si>
  <si>
    <t>내화물, 생석회, 음극재 및 양극재</t>
  </si>
  <si>
    <t>김민정,정구일 (각자 대표이사)</t>
  </si>
  <si>
    <t>반도체, 디스플레이 제조 장비</t>
  </si>
  <si>
    <t>변동준, 김성수(각자 대표이사)</t>
  </si>
  <si>
    <t>응용 소프트웨어 개발 및 공급업</t>
  </si>
  <si>
    <t>송호성,최준영(각자 대표이사)</t>
  </si>
  <si>
    <t>환경관련 인증 및 수상
(100)</t>
  </si>
  <si>
    <t>드라이아이스,액체탄산,고체탄산 제조</t>
  </si>
  <si>
    <t>칼라TV,오디오,비디오 제조,도매</t>
  </si>
  <si>
    <t>유가증권 매매,중개,대리,인수</t>
  </si>
  <si>
    <t>유가증권의 매매,위탁매매,인수주선</t>
  </si>
  <si>
    <t>전장열, 김영교(각자 대표이사)</t>
  </si>
  <si>
    <t>의약품 제조,도매/부동산 임대</t>
  </si>
  <si>
    <t>자동차용 엔진 및 자동차 제조업</t>
  </si>
  <si>
    <t>안월환, 김영길(각자 대표이사)</t>
  </si>
  <si>
    <t>내화, 비내화 요업제품 제조업</t>
  </si>
  <si>
    <t>기계장비 및 관련 물품 도매업</t>
  </si>
  <si>
    <t>골판지상자,골판지원지 제조,판매</t>
  </si>
  <si>
    <t>정형락, 제후석 (각자 대표이사)</t>
  </si>
  <si>
    <t>골판지원지,지관원지,라이나원지 제조</t>
  </si>
  <si>
    <t>http://www.dsr.com</t>
  </si>
  <si>
    <t>장애인고용 의무 이행(100)</t>
  </si>
  <si>
    <t>http://www.nhqv.com</t>
  </si>
  <si>
    <t>산재다발 및 중대사고발생
(100)</t>
  </si>
  <si>
    <t>반도체직접회로 도매,무역,제조</t>
  </si>
  <si>
    <t>전화번호검색 데이타제공/콜센터 운영</t>
  </si>
  <si>
    <t>소비자불만
상담건수
(100)</t>
  </si>
  <si>
    <t>사무용 가구,의자,책상,캐비넷 제조</t>
  </si>
  <si>
    <t>http://www.ktng.com</t>
  </si>
  <si>
    <t>http://www.hdec.kr</t>
  </si>
  <si>
    <t>정교선, 임대규(각자 대표이사)</t>
  </si>
  <si>
    <t>http://www.dwku.com</t>
  </si>
  <si>
    <t>광고대행 및 광고물의 제작 등</t>
  </si>
  <si>
    <t>7. 사회 공헌 인증
(1점)</t>
  </si>
  <si>
    <t>양호근, 최동규 (각자 대표이사)</t>
  </si>
  <si>
    <t>http://www.ket.com</t>
  </si>
  <si>
    <t>컴퓨터 프로그래밍, 시스템 통합 및 관리</t>
  </si>
  <si>
    <t>곡물가공품, 전분 및 전분제품 제조업</t>
  </si>
  <si>
    <t>http://www.hafeed.co.kr</t>
  </si>
  <si>
    <t>http://www.dongsuh.com</t>
  </si>
  <si>
    <t>http://www.kdgas.co.kr</t>
  </si>
  <si>
    <t>http://www.simpac.co.kr</t>
  </si>
  <si>
    <t>http://www.ktcs.co.kr</t>
  </si>
  <si>
    <t>http://www.se-won.co.kr</t>
  </si>
  <si>
    <t>양준영, 최재호, 이찬수(각자대표이사)</t>
  </si>
  <si>
    <t>http://www.kiswire.com</t>
  </si>
  <si>
    <t>골판지, 종이 상자 및 종이용기 제조업</t>
  </si>
  <si>
    <t>http://www.kumhoenc.com</t>
  </si>
  <si>
    <t>액화석유가스,가스기기 판매,수입,저장</t>
  </si>
  <si>
    <t>http://www.kmec.co.kr</t>
  </si>
  <si>
    <t>http://www.dsrcorp.com</t>
  </si>
  <si>
    <t>컴퓨터 프로그래밍, 시스템 통합 및 관리업</t>
  </si>
  <si>
    <t>http://www.sks.co.kr</t>
  </si>
  <si>
    <t>식품 유통, 다류 및 연포장재 제조 등</t>
  </si>
  <si>
    <t>http://home.byc.co.kr</t>
  </si>
  <si>
    <t>http://www.ktb.co.kr</t>
  </si>
  <si>
    <t>섬유, 의복, 신발 및 가죽제품 소매업</t>
  </si>
  <si>
    <t>http://www.dbinc.co.kr</t>
  </si>
  <si>
    <t>http://www.skhynix.com</t>
  </si>
  <si>
    <t>http://www.uplus.co.kr</t>
  </si>
  <si>
    <t>http://www.skgas.co.kr/</t>
  </si>
  <si>
    <t>http://www.dongil.co.kr</t>
  </si>
  <si>
    <t>http://kyochonfnb.com</t>
  </si>
  <si>
    <t>http://www.lignex1.com</t>
  </si>
  <si>
    <t>http://www.lfcorp.com</t>
  </si>
  <si>
    <t>http://www.drbworld.com</t>
  </si>
  <si>
    <t>http://power.dy.co.kr</t>
  </si>
  <si>
    <t>http://www.songwon.com</t>
  </si>
  <si>
    <t>http://www.pkic.co.kr</t>
  </si>
  <si>
    <t>http://www.mwc.co.kr</t>
  </si>
  <si>
    <t>http://www.idual.co.kr</t>
  </si>
  <si>
    <t>http://www.kdoc.co.kr</t>
  </si>
  <si>
    <t>http://www.korgc.com</t>
  </si>
  <si>
    <t>http://www.dcf.co.kr</t>
  </si>
  <si>
    <t>http://www.donga.co.kr</t>
  </si>
  <si>
    <t>http://www.gccorp.com</t>
  </si>
  <si>
    <t>http://www.douzone.com</t>
  </si>
  <si>
    <t>http://www.kia.co.kr</t>
  </si>
  <si>
    <t>기반조성 및 시설물 축조관련 전문공사업</t>
  </si>
  <si>
    <t>http://www.kishin.com</t>
  </si>
  <si>
    <t>http://www.dohwa.co.kr</t>
  </si>
  <si>
    <t>http://www.sama-al.com</t>
  </si>
  <si>
    <t>http://www.krcon.co.kr</t>
  </si>
  <si>
    <t>http://www.sangsin.com</t>
  </si>
  <si>
    <t>비료, 농약 및 살균, 살충제 제조업</t>
  </si>
  <si>
    <t>http://www.idbins.com</t>
  </si>
  <si>
    <t>http://www.npc.co.kr</t>
  </si>
  <si>
    <t>http://reyonpharm.co.kr</t>
  </si>
  <si>
    <t>http://www.ilyang.co.kr</t>
  </si>
  <si>
    <t>섬유, 의복, 신발 및 가죽제품 소매</t>
  </si>
  <si>
    <t>http://www.icgas.co.kr</t>
  </si>
  <si>
    <t>http://www.leeku.net</t>
  </si>
  <si>
    <t>PC강연선, 경강선, 도금선, 마봉강</t>
  </si>
  <si>
    <t>유가증권매매,유가증권위탁매매,유가증권인수</t>
  </si>
  <si>
    <t>http://www.sla.co.kr</t>
  </si>
  <si>
    <t>배합사료,플라스틱용기 제조/부동산 임대</t>
  </si>
  <si>
    <t>http://www.samwha.com</t>
  </si>
  <si>
    <t>http://www.nhchem.co.kr</t>
  </si>
  <si>
    <t>http://www.sidiz.com</t>
  </si>
  <si>
    <t>http://www.bks.co.kr</t>
  </si>
  <si>
    <t>http://www.unid.co.kr</t>
  </si>
  <si>
    <t>연마석,다이아몬드공구 제조,도소매/주택건설</t>
  </si>
  <si>
    <t>http://www.hcr4u.com</t>
  </si>
  <si>
    <t>http://www.samwha.co.kr</t>
  </si>
  <si>
    <t>http://www.gbattery.com</t>
  </si>
  <si>
    <t>http://www.bolak.co.kr</t>
  </si>
  <si>
    <t>http://www.shinil.co.kr</t>
  </si>
  <si>
    <t>http://www.youngbo.com</t>
  </si>
  <si>
    <t>기초 의약물질 및 생물학적 제제 제조업</t>
  </si>
  <si>
    <t>http://www.kct.co.kr</t>
  </si>
  <si>
    <t>http://www.ssts.co.kr</t>
  </si>
  <si>
    <t>http://www.hcarbon.com</t>
  </si>
  <si>
    <t>http://www.sunny.co.kr</t>
  </si>
  <si>
    <t>http://www.kcg.co.kr</t>
  </si>
  <si>
    <t>http://www.kup.co.kr</t>
  </si>
  <si>
    <t>아파트건설,토목공사,건축공사,국내도급공사</t>
  </si>
  <si>
    <t>광고 대행/광고물,영화 제작,인쇄,출판</t>
  </si>
  <si>
    <t>http://www.taeyoung.com</t>
  </si>
  <si>
    <t>정지선, 장호진, 김형종 (각자대표)</t>
  </si>
  <si>
    <t>http://www.poscocnc.com</t>
  </si>
  <si>
    <t>허남각, 허준홍 (2인 각자 대표이사)</t>
  </si>
  <si>
    <t>http://www.innocean.com</t>
  </si>
  <si>
    <t>폴리우레탄,폴리우레탄스폰지 제조,판매</t>
  </si>
  <si>
    <t>종합건설/여객운송,관광/부동산 임대,분양</t>
  </si>
  <si>
    <t>골판지용 골심지,라이너지 제조,수출입</t>
  </si>
  <si>
    <t>http://www.uni-chem.net</t>
  </si>
  <si>
    <t>http://www.pangrim.com</t>
  </si>
  <si>
    <t>http://www.bkmp.co.kr</t>
  </si>
  <si>
    <t>유가증권의 매매, 위탁, 인수, 주선</t>
  </si>
  <si>
    <t>http://www.ckdpharm.com</t>
  </si>
  <si>
    <t>http://www.shell.co.kr</t>
  </si>
  <si>
    <t>http://www.yuhan.co.kr</t>
  </si>
  <si>
    <t>http://www.sajooy.com</t>
  </si>
  <si>
    <t>http://www.aname.co.kr</t>
  </si>
  <si>
    <t>http://www.sempio.com</t>
  </si>
  <si>
    <t>손해보험의 원수,재보험,운용자산의 투자활동</t>
  </si>
  <si>
    <t>http://www.xisnd.com/</t>
  </si>
  <si>
    <t>오유인, 오현수, 추헌주 (각자 대표)</t>
  </si>
  <si>
    <t>http://www.hygood.co.kr</t>
  </si>
  <si>
    <t>http://www.yp21.co.kr</t>
  </si>
  <si>
    <t>http://www.eugenefn.com</t>
  </si>
  <si>
    <t>http://www.glovis.net</t>
  </si>
  <si>
    <t>토목설계,건축설계,감리,측량/토목건축공사</t>
  </si>
  <si>
    <t>http://www.fursys.co.kr</t>
  </si>
  <si>
    <t>http://www.hwangkum.com</t>
  </si>
  <si>
    <t>http://www.hwacheon.com</t>
  </si>
  <si>
    <t>http://www.kecc.co.kr</t>
  </si>
  <si>
    <t>http://www.hansae.com</t>
  </si>
  <si>
    <t>http://www.zinus.co.kr</t>
  </si>
  <si>
    <t>http://www.crown.co.kr</t>
  </si>
  <si>
    <t>http://www.kctech.co.kr</t>
  </si>
  <si>
    <t>http://www.hanall.co.kr</t>
  </si>
  <si>
    <t>잎담배,제조담배,홍삼,홍삼제품 제조,판매</t>
  </si>
  <si>
    <t>http://www.huchems.com</t>
  </si>
  <si>
    <t>http://www.cheil.co.kr</t>
  </si>
  <si>
    <t>http://www,cuckoo.co.kr</t>
  </si>
  <si>
    <t>http://www.kiwoom.com</t>
  </si>
  <si>
    <t>http://www.mobis.co.kr</t>
  </si>
  <si>
    <t>TV홈쇼핑 도소매/홈쇼핑프로그램 제작</t>
  </si>
  <si>
    <t>http://www.hanaph.co.kr</t>
  </si>
  <si>
    <t>http://www.hyundai.com</t>
  </si>
  <si>
    <t>http://www.huneed.com</t>
  </si>
  <si>
    <t>http://www.hwasung.com</t>
  </si>
  <si>
    <t>http://www.handok.co.kr</t>
  </si>
  <si>
    <t>http://www.hmall.com</t>
  </si>
  <si>
    <t>정의선, 장재훈, 이동석(각자 대표이사)</t>
  </si>
  <si>
    <t>정몽혁, 김원갑, 장안석(각자대표이사)</t>
  </si>
  <si>
    <t>http://www.daehyun.co.kr</t>
  </si>
  <si>
    <t>http://www.motonic.co.kr</t>
  </si>
  <si>
    <t>인쇄회로기판,Module 제조/부동산(건물) 임대</t>
  </si>
  <si>
    <t>http://www.samyangcorp.com</t>
  </si>
  <si>
    <t>http://www.dentium.co.kr</t>
  </si>
  <si>
    <t>http://dbcon.dongbu.co.kr</t>
  </si>
  <si>
    <t>P/C혼방직물,면방적,각종사류,직물류 제조,도소매</t>
  </si>
  <si>
    <t>http://www.nexencorp.co.kr</t>
  </si>
  <si>
    <t>전자,기계,화공,유류.금속,의류 수출입,도소매</t>
  </si>
  <si>
    <t>http://www.manhorope.com</t>
  </si>
  <si>
    <t>http://www.myangel.co.kr</t>
  </si>
  <si>
    <t>http://www.miramer.co.kr</t>
  </si>
  <si>
    <t>와이어로프,합성섬유로프,특수강선 제조,수출,임대</t>
  </si>
  <si>
    <t>http://www.dongnamchem.com</t>
  </si>
  <si>
    <t>http://www.celltrion.com</t>
  </si>
  <si>
    <t>http://www.gaoncable.com</t>
  </si>
  <si>
    <t>http://www.samsungfire.com</t>
  </si>
  <si>
    <t>건축기술, 엔지니어링 및 관련 기술 서비스업</t>
  </si>
  <si>
    <t>http://home.e-hyundai.com</t>
  </si>
  <si>
    <t>http://www.bookook.co.kr</t>
  </si>
  <si>
    <t>윤활유,고무배합유,전기절연유 제조,판매,수출입</t>
  </si>
  <si>
    <t>http://life.miraeasset.com</t>
  </si>
  <si>
    <t>http://www.dongil-steel.com</t>
  </si>
  <si>
    <t>http://www.michang.co.kr</t>
  </si>
  <si>
    <t>http://www.samsungpop.com</t>
  </si>
  <si>
    <t>http://www.savezone.co.kr</t>
  </si>
  <si>
    <t>계면활성제,정밀화학품 제조,도매/부동산 임대</t>
  </si>
  <si>
    <t>http://www.samickthk.co.kr</t>
  </si>
  <si>
    <t>http://www.samsungsds.com</t>
  </si>
  <si>
    <t>시멘트, 석회, 플라스터 및 그 제품 제조업</t>
  </si>
  <si>
    <t>http://www.asiapaper.co.kr</t>
  </si>
  <si>
    <t>http://www.orionworld.com</t>
  </si>
  <si>
    <t>http://www.sewoo21.co.kr</t>
  </si>
  <si>
    <t>http://www.samyangfoods.com</t>
  </si>
  <si>
    <t>http://www.aekyung.co.kr</t>
  </si>
  <si>
    <t>http://www.samsunglife.com</t>
  </si>
  <si>
    <t>부가통신 서비스(경비),안전관리용역,CCTV카메라</t>
  </si>
  <si>
    <t>http://www.sikorea.co.kr</t>
  </si>
  <si>
    <t>철강재중 판재류(후판,박판,무늬강판) 제조,도매</t>
  </si>
  <si>
    <t>http://www.imarketkorea.com</t>
  </si>
  <si>
    <t>가교발포폴리에틸렌(아티론,영보드) 제조,판매</t>
  </si>
  <si>
    <t>http://www.dong-wha.co.kr</t>
  </si>
  <si>
    <t>http://www.shinyoung.com</t>
  </si>
  <si>
    <t>http://www.dcmcorp.co.kr</t>
  </si>
  <si>
    <t>자동차용 및 산업용 축전지(연축전지) 제조,판매</t>
  </si>
  <si>
    <t>http://www.chinhung.co.kr</t>
  </si>
  <si>
    <t>http://www.seahsteel.co.kr</t>
  </si>
  <si>
    <t>http://www.samhodev.co.kr/</t>
  </si>
  <si>
    <t>http://www.grinding.co.kr</t>
  </si>
  <si>
    <t>http://www.shinsegae.com</t>
  </si>
  <si>
    <t>http://www.samyangts.com</t>
  </si>
  <si>
    <t>무선통신기기,군납용무전기,위성방송수신기 제조</t>
  </si>
  <si>
    <t>가스/Chemical 공급 장치 등 제조 및 판매</t>
  </si>
  <si>
    <t>http://www.koreanre.co.kr</t>
  </si>
  <si>
    <t>http://www.pulmuone.co.kr</t>
  </si>
  <si>
    <t>의류,악세사리(모자,벨트,가방) 도매/의류 제조</t>
  </si>
  <si>
    <t>http://www.choheung.co.kr</t>
  </si>
  <si>
    <t>http://www.keppack.co.kr</t>
  </si>
  <si>
    <t>http://www.handsome.co.kr</t>
  </si>
  <si>
    <t>구조용 금속제품, 탱크 및 증기발생기 제조업</t>
  </si>
  <si>
    <t>http://company.coway.com</t>
  </si>
  <si>
    <t>http://www.yuantakorea.com</t>
  </si>
  <si>
    <t>http://www.uniquest.co.kr</t>
  </si>
  <si>
    <t>http://www.samyoung.co.kr</t>
  </si>
  <si>
    <t>http://www.hyosungitx.com</t>
  </si>
  <si>
    <t>http://www.dygroup.co.kr</t>
  </si>
  <si>
    <t>http://www.samyung.co.kr</t>
  </si>
  <si>
    <t>http://www.poongsan.co.kr</t>
  </si>
  <si>
    <t>http://hanwhasystems.com</t>
  </si>
  <si>
    <t>http://www.pharmicell.com</t>
  </si>
  <si>
    <t>http://www.hyosungtnc.com</t>
  </si>
  <si>
    <t>http://www.telcoware.com</t>
  </si>
  <si>
    <t>http://www.insurance.co.kr</t>
  </si>
  <si>
    <t>http://www.hansolpns.com</t>
  </si>
  <si>
    <t>http://www.hanmisemi.com</t>
  </si>
  <si>
    <t>건축공사,주택공사,토목공사,포장공사,전기공사</t>
  </si>
  <si>
    <t>http://www.asiacement.co.kr</t>
  </si>
  <si>
    <t>http://www.daewonpharm.com</t>
  </si>
  <si>
    <t>http://www.daesang.co.kr</t>
  </si>
  <si>
    <t>http://www.lginnotek.co.kr</t>
  </si>
  <si>
    <t>http://www.taekyung.co.kr</t>
  </si>
  <si>
    <t>6. 사회공헌 전담조직
및 프로그램
(1점)</t>
  </si>
  <si>
    <t>http://www.dongahtire.co.kr</t>
  </si>
  <si>
    <t>http://www.kpxchemical.com</t>
  </si>
  <si>
    <t>http://www.chinyangpoly.kr</t>
  </si>
  <si>
    <t>몰드베이스,금형부품,정밀기계기구 제조,도매,무역</t>
  </si>
  <si>
    <t>http://www.cjseafood.net</t>
  </si>
  <si>
    <t>http://www.koreazinc.co.kr</t>
  </si>
  <si>
    <t>http://www.dhflour.co.kr</t>
  </si>
  <si>
    <t>http://www.sntdaewoo.com</t>
  </si>
  <si>
    <t>http://www.hanilcement.com</t>
  </si>
  <si>
    <t>여성의류 및 악세사리류 제조,도매,유통(백화점)</t>
  </si>
  <si>
    <t>http://www.bgfretail.com</t>
  </si>
  <si>
    <t>자동차보험,화재보험,해상보험,특종보험,장기보험</t>
  </si>
  <si>
    <t>http://www.hanmiparsons.com</t>
  </si>
  <si>
    <t>http://www.shinhung.co.kr</t>
  </si>
  <si>
    <t>비료(요소,복합비료),공업제품원료 제조,도매</t>
  </si>
  <si>
    <t>http://www.daewoong.com/</t>
  </si>
  <si>
    <t>수산물(어묵,맛살)가공품 도매,원양수산업,수출입</t>
  </si>
  <si>
    <t>http://www.namkwang.co.kr</t>
  </si>
  <si>
    <t>http://www.gjshinsegae.com</t>
  </si>
  <si>
    <r>
      <t>U</t>
    </r>
    <r>
      <rPr>
        <sz val="11"/>
        <color rgb="FF000000"/>
        <rFont val="맑은 고딕"/>
        <family val="3"/>
        <charset val="129"/>
      </rPr>
      <t>SD</t>
    </r>
  </si>
  <si>
    <t>내부지분율
(100점)</t>
    <phoneticPr fontId="16" type="noConversion"/>
  </si>
  <si>
    <t>BGF리테일</t>
    <phoneticPr fontId="16" type="noConversion"/>
  </si>
  <si>
    <t>1. 내부지분율
(제조·비제조3점/금융4점)</t>
    <phoneticPr fontId="16" type="noConversion"/>
  </si>
  <si>
    <t>2.소유지배괴리도
(제조·비제조4점/금융5점)</t>
    <phoneticPr fontId="16" type="noConversion"/>
  </si>
  <si>
    <t>3.전문경영인정도
(제조·비제조2점/금융3점)</t>
    <phoneticPr fontId="16" type="noConversion"/>
  </si>
  <si>
    <t>법정사외이사수 (%)
(총자산 2조원 기준)</t>
    <phoneticPr fontId="16" type="noConversion"/>
  </si>
  <si>
    <t>4. 사외이사비율
(제조·비제조1점/금융2점)</t>
    <phoneticPr fontId="16" type="noConversion"/>
  </si>
  <si>
    <t>5. 이사회 참여
(제조·비제조1점/금융2점)</t>
    <phoneticPr fontId="16" type="noConversion"/>
  </si>
  <si>
    <r>
      <t xml:space="preserve">급여
</t>
    </r>
    <r>
      <rPr>
        <sz val="11"/>
        <color rgb="FFFF0000"/>
        <rFont val="맑은 고딕"/>
        <family val="3"/>
        <charset val="129"/>
      </rPr>
      <t>(천원)</t>
    </r>
    <phoneticPr fontId="16" type="noConversion"/>
  </si>
  <si>
    <r>
      <t xml:space="preserve">퇴직급여
</t>
    </r>
    <r>
      <rPr>
        <sz val="11"/>
        <color rgb="FFFF0000"/>
        <rFont val="맑은 고딕"/>
        <family val="3"/>
        <charset val="129"/>
      </rPr>
      <t>(천원)</t>
    </r>
    <phoneticPr fontId="16" type="noConversion"/>
  </si>
  <si>
    <t>인건비
(천원)</t>
    <phoneticPr fontId="16" type="noConversion"/>
  </si>
  <si>
    <r>
      <t xml:space="preserve">접대비/교재비
</t>
    </r>
    <r>
      <rPr>
        <sz val="11"/>
        <color rgb="FFFF0000"/>
        <rFont val="맑은 고딕"/>
        <family val="3"/>
        <charset val="129"/>
      </rPr>
      <t>(천원)</t>
    </r>
    <phoneticPr fontId="16" type="noConversion"/>
  </si>
  <si>
    <t>소비성지출(%)
(접대비/인건비)</t>
    <phoneticPr fontId="16" type="noConversion"/>
  </si>
  <si>
    <t>소비성지출 편차
(소비성지출-평균)</t>
    <phoneticPr fontId="16" type="noConversion"/>
  </si>
  <si>
    <r>
      <rPr>
        <sz val="11"/>
        <color rgb="FF0000FF"/>
        <rFont val="맑은 고딕"/>
        <family val="3"/>
        <charset val="129"/>
      </rPr>
      <t>연구개발비</t>
    </r>
    <r>
      <rPr>
        <sz val="11"/>
        <color rgb="FF00B0F0"/>
        <rFont val="맑은 고딕"/>
        <family val="3"/>
        <charset val="129"/>
      </rPr>
      <t xml:space="preserve">
</t>
    </r>
    <r>
      <rPr>
        <sz val="11"/>
        <color rgb="FFFF0000"/>
        <rFont val="맑은 고딕"/>
        <family val="3"/>
        <charset val="129"/>
      </rPr>
      <t>(천원)</t>
    </r>
    <phoneticPr fontId="16" type="noConversion"/>
  </si>
  <si>
    <t>7.연구개발
(제조·비제조2점/금융1점)</t>
    <phoneticPr fontId="16" type="noConversion"/>
  </si>
  <si>
    <t>6. 소비성지출
(모두 2점)</t>
    <phoneticPr fontId="16" type="noConversion"/>
  </si>
  <si>
    <t>8. 설비투자
(모두 2점)</t>
    <phoneticPr fontId="16" type="noConversion"/>
  </si>
  <si>
    <t>설비투자액
(천원)</t>
    <phoneticPr fontId="16" type="noConversion"/>
  </si>
  <si>
    <t>매출대비 업종별 설비투자액 상위(%)</t>
    <phoneticPr fontId="16" type="noConversion"/>
  </si>
  <si>
    <t>업종별 설비투자액
(100점)</t>
    <phoneticPr fontId="16" type="noConversion"/>
  </si>
  <si>
    <t>평가대상 제외</t>
    <phoneticPr fontId="16" type="noConversion"/>
  </si>
  <si>
    <t>위험성
(%)</t>
    <phoneticPr fontId="16" type="noConversion"/>
  </si>
  <si>
    <t>위험성
(100점)</t>
    <phoneticPr fontId="16" type="noConversion"/>
  </si>
  <si>
    <t>10. 고정이하 여신/
자산/위험가중자산비율
(금융업 4점/제조·비제조 제외)</t>
    <phoneticPr fontId="16" type="noConversion"/>
  </si>
  <si>
    <t>9. 부채비율
(제조·비제조1.5점/금융업 제외)</t>
    <phoneticPr fontId="16" type="noConversion"/>
  </si>
  <si>
    <t>11. 회사채
신용등급
(제조·비제조1.5점/금융3점)</t>
    <phoneticPr fontId="16" type="noConversion"/>
  </si>
  <si>
    <t>12. 관계사 출자금액
(제조·비제조 3점/금융4점)</t>
    <phoneticPr fontId="16" type="noConversion"/>
  </si>
  <si>
    <r>
      <rPr>
        <sz val="11"/>
        <color rgb="FF0000FF"/>
        <rFont val="맑은 고딕"/>
        <family val="3"/>
        <charset val="129"/>
      </rPr>
      <t xml:space="preserve">관계사 출자금액
</t>
    </r>
    <r>
      <rPr>
        <sz val="11"/>
        <color rgb="FFFF0000"/>
        <rFont val="맑은 고딕"/>
        <family val="3"/>
        <charset val="129"/>
      </rPr>
      <t>(천원)</t>
    </r>
    <phoneticPr fontId="16" type="noConversion"/>
  </si>
  <si>
    <r>
      <rPr>
        <sz val="11"/>
        <color rgb="FF0000FF"/>
        <rFont val="맑은 고딕"/>
        <family val="3"/>
        <charset val="129"/>
      </rPr>
      <t xml:space="preserve">관계사 채무보증액
</t>
    </r>
    <r>
      <rPr>
        <sz val="11"/>
        <color rgb="FFFF0000"/>
        <rFont val="맑은 고딕"/>
        <family val="3"/>
        <charset val="129"/>
      </rPr>
      <t>(천원)</t>
    </r>
    <phoneticPr fontId="16" type="noConversion"/>
  </si>
  <si>
    <t>건전성
(제조·비제조 25점/금융업 35점)</t>
    <phoneticPr fontId="16" type="noConversion"/>
  </si>
  <si>
    <t>KRW</t>
    <phoneticPr fontId="16" type="noConversion"/>
  </si>
  <si>
    <t>AUD</t>
    <phoneticPr fontId="16" type="noConversion"/>
  </si>
  <si>
    <t>GBP</t>
    <phoneticPr fontId="16" type="noConversion"/>
  </si>
  <si>
    <t>KWD</t>
    <phoneticPr fontId="16" type="noConversion"/>
  </si>
  <si>
    <t>QAR</t>
    <phoneticPr fontId="16" type="noConversion"/>
  </si>
  <si>
    <t>TRY</t>
    <phoneticPr fontId="16" type="noConversion"/>
  </si>
  <si>
    <t>SAR</t>
    <phoneticPr fontId="16" type="noConversion"/>
  </si>
  <si>
    <t>THB</t>
    <phoneticPr fontId="16" type="noConversion"/>
  </si>
  <si>
    <t>KZT</t>
    <phoneticPr fontId="16" type="noConversion"/>
  </si>
  <si>
    <t>VND</t>
    <phoneticPr fontId="16" type="noConversion"/>
  </si>
  <si>
    <t>HKD</t>
    <phoneticPr fontId="16" type="noConversion"/>
  </si>
  <si>
    <t>IQD</t>
    <phoneticPr fontId="16" type="noConversion"/>
  </si>
  <si>
    <t>AED</t>
    <phoneticPr fontId="16" type="noConversion"/>
  </si>
  <si>
    <t>1=</t>
    <phoneticPr fontId="16" type="noConversion"/>
  </si>
  <si>
    <t>기준 환율(원)</t>
    <phoneticPr fontId="16" type="noConversion"/>
  </si>
  <si>
    <t>CNY (RMB, CNH)</t>
    <phoneticPr fontId="16" type="noConversion"/>
  </si>
  <si>
    <t>폴란드 즈워티</t>
    <phoneticPr fontId="16" type="noConversion"/>
  </si>
  <si>
    <t>일본 엔화</t>
    <phoneticPr fontId="16" type="noConversion"/>
  </si>
  <si>
    <t>인도 루피</t>
    <phoneticPr fontId="16" type="noConversion"/>
  </si>
  <si>
    <t>러시아 루블</t>
    <phoneticPr fontId="16" type="noConversion"/>
  </si>
  <si>
    <t>멕시코 페소</t>
    <phoneticPr fontId="16" type="noConversion"/>
  </si>
  <si>
    <t>헝가리 포린트</t>
    <phoneticPr fontId="16" type="noConversion"/>
  </si>
  <si>
    <t>말레이지아 링깃</t>
    <phoneticPr fontId="16" type="noConversion"/>
  </si>
  <si>
    <t>캐나다 달러</t>
    <phoneticPr fontId="16" type="noConversion"/>
  </si>
  <si>
    <t>호주 달러</t>
    <phoneticPr fontId="16" type="noConversion"/>
  </si>
  <si>
    <t>중국 위안화</t>
    <phoneticPr fontId="16" type="noConversion"/>
  </si>
  <si>
    <t>유럽 유로화</t>
    <phoneticPr fontId="16" type="noConversion"/>
  </si>
  <si>
    <t>미국 미화</t>
    <phoneticPr fontId="16" type="noConversion"/>
  </si>
  <si>
    <t>영국 파운드 스털링</t>
    <phoneticPr fontId="16" type="noConversion"/>
  </si>
  <si>
    <t>쿠웨이트 디나르</t>
    <phoneticPr fontId="16" type="noConversion"/>
  </si>
  <si>
    <t>카타르 리얄</t>
    <phoneticPr fontId="16" type="noConversion"/>
  </si>
  <si>
    <t>터키 리라</t>
    <phoneticPr fontId="16" type="noConversion"/>
  </si>
  <si>
    <t>사우디 리얄</t>
    <phoneticPr fontId="16" type="noConversion"/>
  </si>
  <si>
    <t>태국 밧</t>
    <phoneticPr fontId="16" type="noConversion"/>
  </si>
  <si>
    <t>카자흐스탄 텡게</t>
    <phoneticPr fontId="16" type="noConversion"/>
  </si>
  <si>
    <t>베트남 동</t>
    <phoneticPr fontId="16" type="noConversion"/>
  </si>
  <si>
    <t>홍콩 달러</t>
    <phoneticPr fontId="16" type="noConversion"/>
  </si>
  <si>
    <t>이라크 디나르</t>
    <phoneticPr fontId="16" type="noConversion"/>
  </si>
  <si>
    <t>아랍에밀레이트 디르함</t>
    <phoneticPr fontId="16" type="noConversion"/>
  </si>
  <si>
    <t>IDR</t>
    <phoneticPr fontId="16" type="noConversion"/>
  </si>
  <si>
    <t>인도네시아 루피아</t>
    <phoneticPr fontId="16" type="noConversion"/>
  </si>
  <si>
    <t>PHP</t>
    <phoneticPr fontId="16" type="noConversion"/>
  </si>
  <si>
    <t>SGD</t>
    <phoneticPr fontId="16" type="noConversion"/>
  </si>
  <si>
    <t>필리핀 페소</t>
    <phoneticPr fontId="16" type="noConversion"/>
  </si>
  <si>
    <t>싱가포르 달러</t>
    <phoneticPr fontId="16" type="noConversion"/>
  </si>
  <si>
    <t>13. 관계사채무보증
(제조·비제조2점/금융3점)</t>
    <phoneticPr fontId="16" type="noConversion"/>
  </si>
  <si>
    <t>협력사관계(적발수 합계)</t>
    <phoneticPr fontId="16" type="noConversion"/>
  </si>
  <si>
    <t>금융관련법 준수 (적발수 합계)</t>
    <phoneticPr fontId="16" type="noConversion"/>
  </si>
  <si>
    <t>5. 전자금융거래법 준수(금융업만 1점 / 제조·비제조 제외)</t>
    <phoneticPr fontId="16" type="noConversion"/>
  </si>
  <si>
    <t>8. 적정성
(1점)</t>
    <phoneticPr fontId="16" type="noConversion"/>
  </si>
  <si>
    <t>7. 불성실공시
(2점)</t>
    <phoneticPr fontId="16" type="noConversion"/>
  </si>
  <si>
    <t>투표제
합계</t>
    <phoneticPr fontId="16" type="noConversion"/>
  </si>
  <si>
    <t>10. 투표제
(1점)</t>
    <phoneticPr fontId="16" type="noConversion"/>
  </si>
  <si>
    <t>1. 장애인고용 의무 이행
(1점)</t>
    <phoneticPr fontId="16" type="noConversion"/>
  </si>
  <si>
    <t>3. 고용인력 증가율
(4점)</t>
    <phoneticPr fontId="16" type="noConversion"/>
  </si>
  <si>
    <t>2. 여성채용비율
(1점)</t>
    <phoneticPr fontId="16" type="noConversion"/>
  </si>
  <si>
    <t>신규여성 채용자 수
(순증가)</t>
    <phoneticPr fontId="16" type="noConversion"/>
  </si>
  <si>
    <t>신규채용자 수
(순증가)</t>
    <phoneticPr fontId="16" type="noConversion"/>
  </si>
  <si>
    <t>신규 채용자 수
(순증가)</t>
    <phoneticPr fontId="16" type="noConversion"/>
  </si>
  <si>
    <t>고용관련정부포상
총 건수
(합계)</t>
    <phoneticPr fontId="16" type="noConversion"/>
  </si>
  <si>
    <t>4. 고용관련 정부포상
(1점)</t>
    <phoneticPr fontId="16" type="noConversion"/>
  </si>
  <si>
    <t>5. 기부금
(4점)</t>
    <phoneticPr fontId="16" type="noConversion"/>
  </si>
  <si>
    <t>사회공헌 전담 및 추진조직 평점화
(50점)</t>
    <phoneticPr fontId="16" type="noConversion"/>
  </si>
  <si>
    <t>사회공헌 프로그램 평점화
(50점)</t>
    <phoneticPr fontId="16" type="noConversion"/>
  </si>
  <si>
    <t>사회공헌 전담조직 및 프로그램
(합계 100점)</t>
    <phoneticPr fontId="16" type="noConversion"/>
  </si>
  <si>
    <t>인증 합계
(총 건수 합계)</t>
    <phoneticPr fontId="16" type="noConversion"/>
  </si>
  <si>
    <t>사회공헌 인증
(100)</t>
    <phoneticPr fontId="16" type="noConversion"/>
  </si>
  <si>
    <t>사회공헌
(15점)</t>
    <phoneticPr fontId="16" type="noConversion"/>
  </si>
  <si>
    <r>
      <t xml:space="preserve">서비스품질우수기업
인증
</t>
    </r>
    <r>
      <rPr>
        <u/>
        <sz val="11"/>
        <color rgb="FFFF0000"/>
        <rFont val="맑은 고딕"/>
        <family val="3"/>
        <charset val="129"/>
      </rPr>
      <t>(유=1/무=0)</t>
    </r>
    <phoneticPr fontId="16" type="noConversion"/>
  </si>
  <si>
    <t>1. 서비스품질 우수기업
(1점)</t>
    <phoneticPr fontId="16" type="noConversion"/>
  </si>
  <si>
    <t>서비스품질인증
(100)</t>
    <phoneticPr fontId="16" type="noConversion"/>
  </si>
  <si>
    <r>
      <rPr>
        <u/>
        <sz val="11"/>
        <color rgb="FF0000FF"/>
        <rFont val="맑은 고딕"/>
        <family val="3"/>
        <charset val="129"/>
      </rPr>
      <t>소비자중심경영인증</t>
    </r>
    <r>
      <rPr>
        <u/>
        <sz val="11"/>
        <color rgb="FF0563C1"/>
        <rFont val="맑은 고딕"/>
        <family val="3"/>
        <charset val="129"/>
      </rPr>
      <t xml:space="preserve">
</t>
    </r>
    <r>
      <rPr>
        <u/>
        <sz val="11"/>
        <color rgb="FFFF0000"/>
        <rFont val="맑은 고딕"/>
        <family val="3"/>
        <charset val="129"/>
      </rPr>
      <t>(유=1/무=0)</t>
    </r>
    <phoneticPr fontId="16" type="noConversion"/>
  </si>
  <si>
    <t>소비자중심경영인증
(100)</t>
    <phoneticPr fontId="16" type="noConversion"/>
  </si>
  <si>
    <t>2. 소비자중심경영인증
(1점)</t>
    <phoneticPr fontId="16" type="noConversion"/>
  </si>
  <si>
    <r>
      <rPr>
        <u/>
        <sz val="11"/>
        <color rgb="FF0000FF"/>
        <rFont val="맑은 고딕"/>
        <family val="3"/>
        <charset val="129"/>
      </rPr>
      <t>ISMS-P 인증</t>
    </r>
    <r>
      <rPr>
        <u/>
        <sz val="11"/>
        <color rgb="FF0039F0"/>
        <rFont val="맑은 고딕"/>
        <family val="3"/>
        <charset val="129"/>
      </rPr>
      <t xml:space="preserve">
</t>
    </r>
    <r>
      <rPr>
        <u/>
        <sz val="11"/>
        <color rgb="FFFF0000"/>
        <rFont val="맑은 고딕"/>
        <family val="3"/>
        <charset val="129"/>
      </rPr>
      <t>(유=1,무=0)</t>
    </r>
    <phoneticPr fontId="16" type="noConversion"/>
  </si>
  <si>
    <r>
      <rPr>
        <sz val="10"/>
        <color rgb="FF0000FF"/>
        <rFont val="맑은 고딕"/>
        <family val="3"/>
        <charset val="129"/>
      </rPr>
      <t>개인정보 유출 사고</t>
    </r>
    <r>
      <rPr>
        <sz val="10"/>
        <color rgb="FF0039F0"/>
        <rFont val="맑은 고딕"/>
        <family val="3"/>
        <charset val="129"/>
      </rPr>
      <t xml:space="preserve">
</t>
    </r>
    <r>
      <rPr>
        <sz val="10"/>
        <color rgb="FFFF0000"/>
        <rFont val="맑은 고딕"/>
        <family val="3"/>
        <charset val="129"/>
      </rPr>
      <t>(유=1,무=0)</t>
    </r>
    <phoneticPr fontId="16" type="noConversion"/>
  </si>
  <si>
    <t>3. 소비자 개인정보보호
(1점)</t>
    <phoneticPr fontId="16" type="noConversion"/>
  </si>
  <si>
    <t>4. 소비자불만상담건수
(제조·비제조4점/금융3점)</t>
    <phoneticPr fontId="16" type="noConversion"/>
  </si>
  <si>
    <t>5. 금융분쟁 조정신청
(금융만 3점/제조·비제조 제외)</t>
    <phoneticPr fontId="16" type="noConversion"/>
  </si>
  <si>
    <t>6.금융소비자보호 실태평가
(금융만 3점/제조·비제조 제외)</t>
    <phoneticPr fontId="16" type="noConversion"/>
  </si>
  <si>
    <t>소비자관련법 위반 건수
총건수(합계)</t>
    <phoneticPr fontId="16" type="noConversion"/>
  </si>
  <si>
    <r>
      <t xml:space="preserve">품질 ISO9001
인증
</t>
    </r>
    <r>
      <rPr>
        <sz val="10"/>
        <color rgb="FFFF0000"/>
        <rFont val="맑은 고딕"/>
        <family val="3"/>
        <charset val="129"/>
      </rPr>
      <t>(유/무)</t>
    </r>
    <phoneticPr fontId="16" type="noConversion"/>
  </si>
  <si>
    <r>
      <t xml:space="preserve">정보통신 TL9000
인증
</t>
    </r>
    <r>
      <rPr>
        <sz val="10"/>
        <color rgb="FFFF0000"/>
        <rFont val="맑은 고딕"/>
        <family val="3"/>
        <charset val="129"/>
      </rPr>
      <t>(유/무)</t>
    </r>
    <phoneticPr fontId="16" type="noConversion"/>
  </si>
  <si>
    <r>
      <t xml:space="preserve">식품안전 ISO22000
인증
</t>
    </r>
    <r>
      <rPr>
        <sz val="10"/>
        <color rgb="FFFF0000"/>
        <rFont val="맑은 고딕"/>
        <family val="3"/>
        <charset val="129"/>
      </rPr>
      <t>(유/무)</t>
    </r>
    <phoneticPr fontId="16" type="noConversion"/>
  </si>
  <si>
    <r>
      <t xml:space="preserve">정보보안 ISO27001
인증
</t>
    </r>
    <r>
      <rPr>
        <sz val="10"/>
        <color rgb="FFFF0000"/>
        <rFont val="맑은 고딕"/>
        <family val="3"/>
        <charset val="129"/>
      </rPr>
      <t>(유/무)</t>
    </r>
    <phoneticPr fontId="16" type="noConversion"/>
  </si>
  <si>
    <t>7. 소비자관련법준수
(제조·비제조5점/금융2점)</t>
    <phoneticPr fontId="16" type="noConversion"/>
  </si>
  <si>
    <t>8. 품질안전인증
(제조·비제조3점/금융1점)</t>
    <phoneticPr fontId="16" type="noConversion"/>
  </si>
  <si>
    <r>
      <t xml:space="preserve">사회공헌
보고서
</t>
    </r>
    <r>
      <rPr>
        <sz val="10"/>
        <color rgb="FFFF0000"/>
        <rFont val="맑은 고딕"/>
        <family val="3"/>
        <charset val="129"/>
      </rPr>
      <t>(유/무)</t>
    </r>
    <phoneticPr fontId="16" type="noConversion"/>
  </si>
  <si>
    <r>
      <t xml:space="preserve">환경경영
보고서
</t>
    </r>
    <r>
      <rPr>
        <sz val="10"/>
        <color rgb="FFFF0000"/>
        <rFont val="맑은 고딕"/>
        <family val="3"/>
        <charset val="129"/>
      </rPr>
      <t>(유/무)</t>
    </r>
    <phoneticPr fontId="16" type="noConversion"/>
  </si>
  <si>
    <r>
      <t xml:space="preserve">지속가능
보고서
</t>
    </r>
    <r>
      <rPr>
        <u/>
        <sz val="10"/>
        <color rgb="FFFF0000"/>
        <rFont val="맑은 고딕"/>
        <family val="3"/>
        <charset val="129"/>
      </rPr>
      <t>(유/무)</t>
    </r>
    <phoneticPr fontId="16" type="noConversion"/>
  </si>
  <si>
    <r>
      <t xml:space="preserve">ESCO 
인증기업
</t>
    </r>
    <r>
      <rPr>
        <u/>
        <sz val="10"/>
        <color rgb="FFFF0000"/>
        <rFont val="맑은 고딕"/>
        <family val="3"/>
        <charset val="129"/>
      </rPr>
      <t>(유/무)</t>
    </r>
    <phoneticPr fontId="16" type="noConversion"/>
  </si>
  <si>
    <r>
      <t xml:space="preserve">에너지고효율인증
</t>
    </r>
    <r>
      <rPr>
        <sz val="10"/>
        <color rgb="FFFF0000"/>
        <rFont val="맑은 고딕"/>
        <family val="3"/>
        <charset val="129"/>
      </rPr>
      <t>(유/무)</t>
    </r>
    <phoneticPr fontId="16" type="noConversion"/>
  </si>
  <si>
    <t>인증
합계</t>
    <phoneticPr fontId="16" type="noConversion"/>
  </si>
  <si>
    <r>
      <t xml:space="preserve">환경투자실적
</t>
    </r>
    <r>
      <rPr>
        <sz val="10"/>
        <color rgb="FFFF0000"/>
        <rFont val="맑은 고딕"/>
        <family val="3"/>
        <charset val="129"/>
      </rPr>
      <t>(천원)</t>
    </r>
    <phoneticPr fontId="16" type="noConversion"/>
  </si>
  <si>
    <r>
      <t xml:space="preserve">환경경영방침
</t>
    </r>
    <r>
      <rPr>
        <sz val="10"/>
        <color rgb="FFFF0000"/>
        <rFont val="맑은 고딕"/>
        <family val="3"/>
        <charset val="129"/>
      </rPr>
      <t>(유/무)</t>
    </r>
    <phoneticPr fontId="16" type="noConversion"/>
  </si>
  <si>
    <t>환경투자
(100점)</t>
    <phoneticPr fontId="16" type="noConversion"/>
  </si>
  <si>
    <t>환경보호프로그램
(100점)</t>
    <phoneticPr fontId="16" type="noConversion"/>
  </si>
  <si>
    <t>공정성
(모두 20점)</t>
    <phoneticPr fontId="16" type="noConversion"/>
  </si>
  <si>
    <t>3. 협력사관계
(제조·비제조만3점/금융 제외)</t>
    <phoneticPr fontId="16" type="noConversion"/>
  </si>
  <si>
    <t>4. 금융관련법 준수
(금융업만5점/제조·비제조 제외)</t>
    <phoneticPr fontId="16" type="noConversion"/>
  </si>
  <si>
    <t>소비자보호
(모두 15점)</t>
    <phoneticPr fontId="16" type="noConversion"/>
  </si>
  <si>
    <r>
      <t xml:space="preserve">폐기물감량화 우수사업장
</t>
    </r>
    <r>
      <rPr>
        <sz val="10"/>
        <color rgb="FFFF0000"/>
        <rFont val="맑은 고딕"/>
        <family val="3"/>
        <charset val="129"/>
      </rPr>
      <t>(유/무)</t>
    </r>
    <phoneticPr fontId="16" type="noConversion"/>
  </si>
  <si>
    <r>
      <t xml:space="preserve">자원순환선도기업 우수사업장
</t>
    </r>
    <r>
      <rPr>
        <sz val="10"/>
        <color rgb="FFFF0000"/>
        <rFont val="맑은 고딕"/>
        <family val="3"/>
        <charset val="129"/>
      </rPr>
      <t>(유/무)</t>
    </r>
    <phoneticPr fontId="16" type="noConversion"/>
  </si>
  <si>
    <r>
      <t xml:space="preserve">ISO14001
인증
</t>
    </r>
    <r>
      <rPr>
        <sz val="10"/>
        <color rgb="FFFF0000"/>
        <rFont val="맑은 고딕"/>
        <family val="3"/>
        <charset val="129"/>
      </rPr>
      <t>(유/무)</t>
    </r>
    <phoneticPr fontId="16" type="noConversion"/>
  </si>
  <si>
    <r>
      <t xml:space="preserve">녹색경영대상
</t>
    </r>
    <r>
      <rPr>
        <sz val="10"/>
        <color rgb="FFFF0000"/>
        <rFont val="맑은 고딕"/>
        <family val="3"/>
        <charset val="129"/>
      </rPr>
      <t>(유/무)</t>
    </r>
    <phoneticPr fontId="16" type="noConversion"/>
  </si>
  <si>
    <r>
      <t xml:space="preserve">UN글로벌컴팩트 가입
</t>
    </r>
    <r>
      <rPr>
        <u/>
        <sz val="10"/>
        <color rgb="FFFF0000"/>
        <rFont val="맑은 고딕"/>
        <family val="3"/>
        <charset val="129"/>
      </rPr>
      <t>(유/무)</t>
    </r>
    <phoneticPr fontId="16" type="noConversion"/>
  </si>
  <si>
    <t>환경관련 인증 및 수상
총건수 (합계)</t>
    <phoneticPr fontId="16" type="noConversion"/>
  </si>
  <si>
    <t>5. 환경관련인증및수상
(2점)</t>
    <phoneticPr fontId="16" type="noConversion"/>
  </si>
  <si>
    <t>1. 환경경영보고
(1점)</t>
    <phoneticPr fontId="16" type="noConversion"/>
  </si>
  <si>
    <t>3. 환경투자
(2점)</t>
    <phoneticPr fontId="16" type="noConversion"/>
  </si>
  <si>
    <t>4. 환경보호프로그램
(1점)</t>
    <phoneticPr fontId="16" type="noConversion"/>
  </si>
  <si>
    <r>
      <t xml:space="preserve">중대재해 발생 사업장
</t>
    </r>
    <r>
      <rPr>
        <sz val="10"/>
        <color rgb="FFFF0000"/>
        <rFont val="맑은 고딕"/>
        <family val="3"/>
        <charset val="129"/>
      </rPr>
      <t>(유/무)</t>
    </r>
    <phoneticPr fontId="16" type="noConversion"/>
  </si>
  <si>
    <r>
      <t xml:space="preserve">사망재해 2명 이상 발생 사업장
</t>
    </r>
    <r>
      <rPr>
        <sz val="10"/>
        <color rgb="FFFF0000"/>
        <rFont val="맑은 고딕"/>
        <family val="3"/>
        <charset val="129"/>
      </rPr>
      <t>(유/무)</t>
    </r>
    <phoneticPr fontId="16" type="noConversion"/>
  </si>
  <si>
    <r>
      <t xml:space="preserve">산재발생 미보고 사업장
</t>
    </r>
    <r>
      <rPr>
        <sz val="10"/>
        <color rgb="FFFF0000"/>
        <rFont val="맑은 고딕"/>
        <family val="3"/>
        <charset val="129"/>
      </rPr>
      <t>(유/무)</t>
    </r>
    <phoneticPr fontId="16" type="noConversion"/>
  </si>
  <si>
    <r>
      <t xml:space="preserve">중대산업사고 발생 사업장
</t>
    </r>
    <r>
      <rPr>
        <sz val="10"/>
        <color rgb="FFFF0000"/>
        <rFont val="맑은 고딕"/>
        <family val="3"/>
        <charset val="129"/>
      </rPr>
      <t>(유/무)</t>
    </r>
    <phoneticPr fontId="16" type="noConversion"/>
  </si>
  <si>
    <t>산재다발 및 중대사고발생
총건수 (합계)</t>
    <phoneticPr fontId="16" type="noConversion"/>
  </si>
  <si>
    <r>
      <t xml:space="preserve">산업안전보건대회 포상
</t>
    </r>
    <r>
      <rPr>
        <sz val="10"/>
        <color rgb="FFFF0000"/>
        <rFont val="맑은 고딕"/>
        <family val="3"/>
        <charset val="129"/>
      </rPr>
      <t>(유/무)</t>
    </r>
    <phoneticPr fontId="16" type="noConversion"/>
  </si>
  <si>
    <t>작업장 보건 및 안전 인증 및 수상
총건수 (합계)</t>
    <phoneticPr fontId="16" type="noConversion"/>
  </si>
  <si>
    <t>안전관련인증수상
(100)</t>
    <phoneticPr fontId="16" type="noConversion"/>
  </si>
  <si>
    <r>
      <t xml:space="preserve">당기교육훈련비
</t>
    </r>
    <r>
      <rPr>
        <sz val="10"/>
        <color rgb="FFFF0000"/>
        <rFont val="맑은 고딕"/>
        <family val="3"/>
        <charset val="129"/>
      </rPr>
      <t>(천원)</t>
    </r>
    <phoneticPr fontId="16" type="noConversion"/>
  </si>
  <si>
    <r>
      <t xml:space="preserve">전기교육훈련비
</t>
    </r>
    <r>
      <rPr>
        <sz val="10"/>
        <color rgb="FFFF0000"/>
        <rFont val="맑은 고딕"/>
        <family val="3"/>
        <charset val="129"/>
      </rPr>
      <t>(천원)</t>
    </r>
    <phoneticPr fontId="16" type="noConversion"/>
  </si>
  <si>
    <t>3. 1인당교육훈련비
(제조·비제조1점/금융업2점)</t>
    <phoneticPr fontId="16" type="noConversion"/>
  </si>
  <si>
    <t>1. 산재다발 및 중대사고발생
(제조·비제조만3점/금융업 제외)</t>
    <phoneticPr fontId="16" type="noConversion"/>
  </si>
  <si>
    <t>2. 안전관련 인증수상
(제조·비제조만0.5점/금융업 제외)</t>
    <phoneticPr fontId="16" type="noConversion"/>
  </si>
  <si>
    <t>4. 교육훈련비
증가율
(제조·비제조1점/금융업2점)</t>
    <phoneticPr fontId="16" type="noConversion"/>
  </si>
  <si>
    <t>5. 임금보상수준
(1점)</t>
    <phoneticPr fontId="16" type="noConversion"/>
  </si>
  <si>
    <r>
      <t xml:space="preserve">복리후생비
</t>
    </r>
    <r>
      <rPr>
        <sz val="10"/>
        <color rgb="FFFF0000"/>
        <rFont val="맑은 고딕"/>
        <family val="3"/>
        <charset val="129"/>
      </rPr>
      <t>(천원)</t>
    </r>
    <phoneticPr fontId="16" type="noConversion"/>
  </si>
  <si>
    <t>매출액 대비 복리후생(%)</t>
    <phoneticPr fontId="16" type="noConversion"/>
  </si>
  <si>
    <t>매출액 대비 임금보상수준(%)</t>
    <phoneticPr fontId="16" type="noConversion"/>
  </si>
  <si>
    <t>6. 복리후생
(제조·비제조0.5점/금융업1점)</t>
    <phoneticPr fontId="16" type="noConversion"/>
  </si>
  <si>
    <r>
      <t xml:space="preserve">사내근로복지기금
</t>
    </r>
    <r>
      <rPr>
        <sz val="10"/>
        <color rgb="FFFF0000"/>
        <rFont val="맑은 고딕"/>
        <family val="3"/>
        <charset val="129"/>
      </rPr>
      <t>(유/무)</t>
    </r>
    <phoneticPr fontId="16" type="noConversion"/>
  </si>
  <si>
    <t>7. 근속연수
(제조·비제조0.5점/금융업1점)</t>
    <phoneticPr fontId="16" type="noConversion"/>
  </si>
  <si>
    <t>8. 사내복지기금
(제조·비제조0.5점/금융업1점)</t>
    <phoneticPr fontId="16" type="noConversion"/>
  </si>
  <si>
    <t>10. 비정규직비율
(3점)</t>
    <phoneticPr fontId="16" type="noConversion"/>
  </si>
  <si>
    <t>직원만족
(모두 15점)</t>
    <phoneticPr fontId="16" type="noConversion"/>
  </si>
  <si>
    <r>
      <t xml:space="preserve">S마크 안전인증
</t>
    </r>
    <r>
      <rPr>
        <u/>
        <sz val="10"/>
        <color rgb="FFFF0000"/>
        <rFont val="맑은 고딕"/>
        <family val="3"/>
        <charset val="129"/>
      </rPr>
      <t>(유/무)</t>
    </r>
    <phoneticPr fontId="16" type="noConversion"/>
  </si>
  <si>
    <t>9. 노사관계 관련 재재
(3점)</t>
    <phoneticPr fontId="16" type="noConversion"/>
  </si>
  <si>
    <t>1. 건전성
(제조·비제조 25점/금융업 35점)</t>
    <phoneticPr fontId="16" type="noConversion"/>
  </si>
  <si>
    <t>2. 공정성
(모두 20점)</t>
    <phoneticPr fontId="16" type="noConversion"/>
  </si>
  <si>
    <t>3. 사회공헌
(15점)</t>
    <phoneticPr fontId="16" type="noConversion"/>
  </si>
  <si>
    <t>4. 소비자보호
(모두 15점)</t>
    <phoneticPr fontId="16" type="noConversion"/>
  </si>
  <si>
    <t>6. 직원만족
(모두 15점)</t>
    <phoneticPr fontId="16" type="noConversion"/>
  </si>
  <si>
    <t>환경경영
(제조·비제조만 10점/금융 제외)</t>
    <phoneticPr fontId="16" type="noConversion"/>
  </si>
  <si>
    <t>5. 환경경영
(제조·비제조 10점/금융업 제외)</t>
    <phoneticPr fontId="16" type="noConversion"/>
  </si>
  <si>
    <t>총점
(모두 100점)</t>
    <phoneticPr fontId="16" type="noConversion"/>
  </si>
  <si>
    <t>BYC</t>
  </si>
  <si>
    <t>지주회사</t>
  </si>
  <si>
    <t>CJ대한통운</t>
  </si>
  <si>
    <t>000120</t>
  </si>
  <si>
    <t>도로 화물 운송업</t>
  </si>
  <si>
    <t>Contract Logistics, 포워딩, 항만하역, 해운, 택배국제특송, SCM Consulting</t>
  </si>
  <si>
    <t>강신호,민영학(각자대표)</t>
  </si>
  <si>
    <t>http://www.cjlogistics.com</t>
  </si>
  <si>
    <t>김정웅, 박태준(각자대표)</t>
  </si>
  <si>
    <t>CJ제일제당</t>
  </si>
  <si>
    <t>097950</t>
  </si>
  <si>
    <t>설탕,소맥분,조미식품,육가공식품(돈육,돼지비계,돼지식용설육),대두가공식품,사료,의약품,생활화학제품 제조,도매,무역/통신판매</t>
  </si>
  <si>
    <t>손경식, 최은석 (각자 대표이사)</t>
  </si>
  <si>
    <t>http://www.cj.co.kr</t>
  </si>
  <si>
    <t>김정남, 정종표</t>
  </si>
  <si>
    <t>DL</t>
  </si>
  <si>
    <t>000210</t>
  </si>
  <si>
    <t>http://www.dlholdings.co.kr</t>
  </si>
  <si>
    <t>곽수윤</t>
  </si>
  <si>
    <t>DL이앤씨</t>
  </si>
  <si>
    <t>375500</t>
  </si>
  <si>
    <t>토목 건설 사업</t>
  </si>
  <si>
    <t>마창민</t>
  </si>
  <si>
    <t>DN오토모티브</t>
  </si>
  <si>
    <t>007340</t>
  </si>
  <si>
    <t>자동차용 밧데리</t>
  </si>
  <si>
    <t>김상헌 김인환</t>
  </si>
  <si>
    <t>http://www.dnautomotive.com</t>
  </si>
  <si>
    <t>DSR</t>
  </si>
  <si>
    <t>F&amp;F</t>
  </si>
  <si>
    <t>383220</t>
  </si>
  <si>
    <t>MLB, MLB KIDS, DISCOVERY 등 패션의류제품</t>
  </si>
  <si>
    <t>김창수</t>
  </si>
  <si>
    <t>http://www.fnf.co.kr</t>
  </si>
  <si>
    <t>GS건설</t>
  </si>
  <si>
    <t>006360</t>
  </si>
  <si>
    <t>토목공사,건축공사,주택공사,산업플랜트공사,리모델링공사,시설물유지관리공사/산업설비설계,감리 용역,수출입/에너지관리 진단,연구개발</t>
  </si>
  <si>
    <t>허창수, 임병용(각자 대표이사)</t>
  </si>
  <si>
    <t>http://www.gsconst.co.kr/</t>
  </si>
  <si>
    <t>GS리테일</t>
  </si>
  <si>
    <t>001250</t>
  </si>
  <si>
    <t>수출입업(시멘트,철강금속,전기전자,섬유,기계화학),상품중개,광업,채석업/하수처리 서비스/부동산 임대</t>
  </si>
  <si>
    <t>이영환</t>
  </si>
  <si>
    <t>http://www.gsgcorp.com</t>
  </si>
  <si>
    <t>http://www.hdc-labs.com/</t>
  </si>
  <si>
    <t>HDC현대EP</t>
  </si>
  <si>
    <t>HDC현대산업개발</t>
  </si>
  <si>
    <t>294870</t>
  </si>
  <si>
    <t>외주주택, 자체공사, 일반건축, 토목 등</t>
  </si>
  <si>
    <t>최익훈, 정익희, 김회언 (각자 대표이사)</t>
  </si>
  <si>
    <t>http://www.hdc-dvp.com</t>
  </si>
  <si>
    <t>HD현대에너지솔루션</t>
  </si>
  <si>
    <t>322000</t>
  </si>
  <si>
    <t>태양광 셀·모듈, PV시스템, ESS</t>
  </si>
  <si>
    <t>박종환</t>
  </si>
  <si>
    <t>http://www.hd-hyundaies.co.kr/</t>
  </si>
  <si>
    <t>HL D&amp;I</t>
  </si>
  <si>
    <t>014790</t>
  </si>
  <si>
    <t>토목,건축,전기,환경사업,준설공사,포장공사,주택,중기임대</t>
  </si>
  <si>
    <t>홍석화</t>
  </si>
  <si>
    <t>http://www.halla.co.kr</t>
  </si>
  <si>
    <t>HMM</t>
  </si>
  <si>
    <t>011200</t>
  </si>
  <si>
    <t>정기,부정기,전용선,콘테이너선,자동차선,LNG선 해운</t>
  </si>
  <si>
    <t>김경배</t>
  </si>
  <si>
    <t>http://www.hmm21.com</t>
  </si>
  <si>
    <t>JW생명과학</t>
  </si>
  <si>
    <t>KG스틸</t>
  </si>
  <si>
    <t>016380</t>
  </si>
  <si>
    <t>철강재(냉연강판,아연도강판,칼라강판,석도강판,선재류,강관,형강,봉강),비철금속 제조,도매</t>
  </si>
  <si>
    <t>박성희</t>
  </si>
  <si>
    <t>http://kg-steel.co.kr</t>
  </si>
  <si>
    <t>KSS해운</t>
  </si>
  <si>
    <t>특수화물해상운송(액화가스,LPG,암모니아,VCM,석유화학제품 등), 선박대여</t>
  </si>
  <si>
    <t>박찬도</t>
  </si>
  <si>
    <t>http://www.kssline.com</t>
  </si>
  <si>
    <t>KTis</t>
  </si>
  <si>
    <t>058860</t>
  </si>
  <si>
    <t>114전화번호안내, 고객센터</t>
  </si>
  <si>
    <t>윤경근</t>
  </si>
  <si>
    <t>http://www.ktis.co.kr</t>
  </si>
  <si>
    <t>LG생활건강</t>
  </si>
  <si>
    <t>051900</t>
  </si>
  <si>
    <t>화장품,생활용품 제조,도매</t>
  </si>
  <si>
    <t>이정애</t>
  </si>
  <si>
    <t>http://www.lghnh.com</t>
  </si>
  <si>
    <t>LX인터내셔널</t>
  </si>
  <si>
    <t>이창환</t>
  </si>
  <si>
    <t>PI첨단소재</t>
  </si>
  <si>
    <t>178920</t>
  </si>
  <si>
    <t>PI(Polyimide)제품</t>
  </si>
  <si>
    <t>송금수</t>
  </si>
  <si>
    <t>http://www.pimaterials.com</t>
  </si>
  <si>
    <t>SGC에너지</t>
  </si>
  <si>
    <t>005090</t>
  </si>
  <si>
    <t>전기업</t>
  </si>
  <si>
    <t>증기, 전기, REC(신재생에너지공급인증서)</t>
  </si>
  <si>
    <t>이우성, 박준영, 이복영</t>
  </si>
  <si>
    <t>http://www.sgcenergy.co.kr</t>
  </si>
  <si>
    <t>SHD</t>
  </si>
  <si>
    <t>001770</t>
  </si>
  <si>
    <t>석도강판,표면처리강판 제조,임가공,판매</t>
  </si>
  <si>
    <t>신종호</t>
  </si>
  <si>
    <t>http://www.shinhwatp.co.kr</t>
  </si>
  <si>
    <t>SK가스</t>
  </si>
  <si>
    <t>SK렌터카</t>
  </si>
  <si>
    <t>SK바이오사이언스</t>
  </si>
  <si>
    <t>302440</t>
  </si>
  <si>
    <t>백신 제품 및 제제</t>
  </si>
  <si>
    <t>안재용</t>
  </si>
  <si>
    <t>http://www.skbioscience.com</t>
  </si>
  <si>
    <t>SK이노베이션</t>
  </si>
  <si>
    <t>096770</t>
  </si>
  <si>
    <t>석유정제,석유화학제품,윤활유제품,아스팔트제품,의약중간체 제조,판매,유전개발,대체에너지사업</t>
  </si>
  <si>
    <t>김준</t>
  </si>
  <si>
    <t>http://www.SKinnovation.com</t>
  </si>
  <si>
    <t>SK증권</t>
  </si>
  <si>
    <t>김신, 전우종</t>
  </si>
  <si>
    <t>SK케미칼</t>
  </si>
  <si>
    <t>285130</t>
  </si>
  <si>
    <t>합성고무 및 플라스틱 물질 제조업</t>
  </si>
  <si>
    <t>PETG 수지, PET 수지, 바이오디젤, 백신</t>
  </si>
  <si>
    <t>김철, 안재현</t>
  </si>
  <si>
    <t>http://www.skchemicals.com</t>
  </si>
  <si>
    <t>SK텔레콤</t>
  </si>
  <si>
    <t>017670</t>
  </si>
  <si>
    <t>이동전화,무선호출서비스,부가통신</t>
  </si>
  <si>
    <t>유영상</t>
  </si>
  <si>
    <t>http://www.sktelecom.com</t>
  </si>
  <si>
    <t>SNT다이내믹스</t>
  </si>
  <si>
    <t>003570</t>
  </si>
  <si>
    <t>자동차부품(동력전달장치 등),공작기계(CNC선반 등),사출성형기 제조</t>
  </si>
  <si>
    <t>박재석</t>
  </si>
  <si>
    <t>http://www.hisntd.com</t>
  </si>
  <si>
    <t>권형순</t>
  </si>
  <si>
    <t>정 현</t>
  </si>
  <si>
    <t>갤럭시아에스엠</t>
  </si>
  <si>
    <t>011420</t>
  </si>
  <si>
    <t>스포츠 서비스업</t>
  </si>
  <si>
    <t>스포츠중계권,스포츠마케팅,광고</t>
  </si>
  <si>
    <t>이반석</t>
  </si>
  <si>
    <t>http://galaxiasme.com</t>
  </si>
  <si>
    <t>경농</t>
  </si>
  <si>
    <t>002100</t>
  </si>
  <si>
    <t>완제농약(잡초약,살충제,살균제) 제조</t>
  </si>
  <si>
    <t>이병만,이용진</t>
  </si>
  <si>
    <t>http://www.knco.co.kr</t>
  </si>
  <si>
    <t>한승구, 오태식, 윤길호</t>
  </si>
  <si>
    <t>최윤범, 박기덕</t>
  </si>
  <si>
    <t>광명전기</t>
  </si>
  <si>
    <t>교보증권</t>
  </si>
  <si>
    <t>030610</t>
  </si>
  <si>
    <t>박봉권, 이석기 (각자대표)</t>
  </si>
  <si>
    <t>http://www.iprovest.com</t>
  </si>
  <si>
    <t>교촌에프앤비</t>
  </si>
  <si>
    <t>금호석유화학</t>
  </si>
  <si>
    <t>기신정기</t>
  </si>
  <si>
    <t>은행 및 저축기관</t>
  </si>
  <si>
    <t>넥센</t>
  </si>
  <si>
    <t>이병철, 황준호 (각자 대표이사)</t>
  </si>
  <si>
    <t>대동</t>
  </si>
  <si>
    <t>000490</t>
  </si>
  <si>
    <t>경운기,트랙터,이앙기,바인더,수확기(콤바인),농업용엔진 및 부품 제조,판매</t>
  </si>
  <si>
    <t>김준식, 원유현</t>
  </si>
  <si>
    <t>http://www.daedong.co.kr</t>
  </si>
  <si>
    <t>대성산업</t>
  </si>
  <si>
    <t>128820</t>
  </si>
  <si>
    <t>연료 소매업</t>
  </si>
  <si>
    <t>주요소운영,기계판매 등</t>
  </si>
  <si>
    <t>김영대,이은우(공동대표)</t>
  </si>
  <si>
    <t>http://daewooenc.com</t>
  </si>
  <si>
    <t>대웅제약</t>
  </si>
  <si>
    <t>069620</t>
  </si>
  <si>
    <t>양약,의료기기 제조/화장품,의약부의품 도소매/부동산 임대</t>
  </si>
  <si>
    <t>전승호, 이창재</t>
  </si>
  <si>
    <t>http://www.daewoong.co.kr</t>
  </si>
  <si>
    <t>김항수</t>
  </si>
  <si>
    <t>대한전선</t>
  </si>
  <si>
    <t>001440</t>
  </si>
  <si>
    <t>전력선,통신케이블,적산계기,스텐레스압연제품,광케이블,초고압선,알루미늄 제조,도매/전기공사</t>
  </si>
  <si>
    <t>송종민</t>
  </si>
  <si>
    <t>http://www.taihan.com</t>
  </si>
  <si>
    <t>대한제강</t>
  </si>
  <si>
    <t>084010</t>
  </si>
  <si>
    <t>제강,철재,철근,환봉,마환봉,빌레트 제조</t>
  </si>
  <si>
    <t>이경백</t>
  </si>
  <si>
    <t>http://www.idaehan.com</t>
  </si>
  <si>
    <t>대한화섬</t>
  </si>
  <si>
    <t>003830</t>
  </si>
  <si>
    <t>화학섬유원사(FY,PTY,S.FIBER)제조</t>
  </si>
  <si>
    <t>정철현</t>
  </si>
  <si>
    <t>http://www.daehansf.co.kr</t>
  </si>
  <si>
    <t>강원특별자치도</t>
  </si>
  <si>
    <t>덕성</t>
  </si>
  <si>
    <t>004830</t>
  </si>
  <si>
    <t>플라스틱레쟈,합성수지,합성피혁 제조,도매</t>
  </si>
  <si>
    <t>이봉근, 김성진 (각자대표이사)</t>
  </si>
  <si>
    <t>http://www.duksung21.com</t>
  </si>
  <si>
    <t>박승우,곽준상,손영일,김덕구</t>
  </si>
  <si>
    <t>동방아그로</t>
  </si>
  <si>
    <t>윤진오</t>
  </si>
  <si>
    <t>동원F&amp;B</t>
  </si>
  <si>
    <t>049770</t>
  </si>
  <si>
    <t>참치캔,음료,냉동식품 제조,판매</t>
  </si>
  <si>
    <t>김성용</t>
  </si>
  <si>
    <t>http://www.dongwonfnb.com</t>
  </si>
  <si>
    <t>동원시스템즈</t>
  </si>
  <si>
    <t>014820</t>
  </si>
  <si>
    <t>포장용 플라스틱제품 제조 외</t>
  </si>
  <si>
    <t>장성학,조점근,서범원</t>
  </si>
  <si>
    <t>http://dongwonsystems.com/</t>
  </si>
  <si>
    <t>동일제강</t>
  </si>
  <si>
    <t>민세홍, 양영석, 김우진 (각자대표)</t>
  </si>
  <si>
    <t>유준하</t>
  </si>
  <si>
    <t>롯데렌탈</t>
  </si>
  <si>
    <t>089860</t>
  </si>
  <si>
    <t>렌터카, 카셰어링(그린카), 중고차매매, 일반렌탈(측정기,OA, 리프트 등)</t>
  </si>
  <si>
    <t>최진환</t>
  </si>
  <si>
    <t>http://www.lotterental.com/</t>
  </si>
  <si>
    <t>롯데에너지머티리얼즈</t>
  </si>
  <si>
    <t>김연섭</t>
  </si>
  <si>
    <t>http://www.lotteenergymaterials.com</t>
  </si>
  <si>
    <t>롯데웰푸드</t>
  </si>
  <si>
    <t>신동빈, 이영구, 이창엽</t>
  </si>
  <si>
    <t>http://www.lottewellfood.com</t>
  </si>
  <si>
    <t>모두투어리츠</t>
  </si>
  <si>
    <t>204210</t>
  </si>
  <si>
    <t>호텔 부동산 취득, 관리, 개량 및 처분</t>
  </si>
  <si>
    <t>최동주</t>
  </si>
  <si>
    <t>http://www.modetourreit.com</t>
  </si>
  <si>
    <t>문배철강</t>
  </si>
  <si>
    <t>미래에셋생명</t>
  </si>
  <si>
    <t>홍창식, 강신우(각자대표)</t>
  </si>
  <si>
    <t>미원에스씨</t>
  </si>
  <si>
    <t>김정만, 김태호 (각자대표)</t>
  </si>
  <si>
    <t>장영수</t>
  </si>
  <si>
    <t>부국증권</t>
  </si>
  <si>
    <t>부국철강</t>
  </si>
  <si>
    <t>사조씨푸드</t>
  </si>
  <si>
    <t>014710</t>
  </si>
  <si>
    <t>횟감용 참치 및 기타 일반수산물</t>
  </si>
  <si>
    <t>이창주</t>
  </si>
  <si>
    <t>http://www.sajosf.co.kr</t>
  </si>
  <si>
    <t>김상훈</t>
  </si>
  <si>
    <t>삼성SDI</t>
  </si>
  <si>
    <t>006400</t>
  </si>
  <si>
    <t>2차전지, 전자재료 제조 판매</t>
  </si>
  <si>
    <t>최윤호</t>
  </si>
  <si>
    <t>http://www.samsungsdi.co.kr</t>
  </si>
  <si>
    <t>028260</t>
  </si>
  <si>
    <t>도소매, 건설, 남자용 정장 제조업 등</t>
  </si>
  <si>
    <t>고정석, 오세철, 정해린</t>
  </si>
  <si>
    <t>http://www.samsungcnt.com</t>
  </si>
  <si>
    <t>삼성엔지니어링</t>
  </si>
  <si>
    <t>남궁홍</t>
  </si>
  <si>
    <t>삼성전기</t>
  </si>
  <si>
    <t>009150</t>
  </si>
  <si>
    <t>수동소자 (MLCC, Inductor, Chip Resistor 등), 모듈(카메라모듈, 통신모듈), 반도체패키지 기판</t>
  </si>
  <si>
    <t>장덕현</t>
  </si>
  <si>
    <t>http://www.sem.samsung.co.kr</t>
  </si>
  <si>
    <t>삼성전자</t>
  </si>
  <si>
    <t>005930</t>
  </si>
  <si>
    <t>통신 및 방송 장비 제조(무선) 제품, 반도체 제조(메모리) 제품, 전자부품 제조(디스플레이) 제품, 영상 및 음향기기 제조(영상기기) 제품 등</t>
  </si>
  <si>
    <t>한종희, 경계현</t>
  </si>
  <si>
    <t>http://www.samsung.com/sec</t>
  </si>
  <si>
    <t>김정수, 김동찬</t>
  </si>
  <si>
    <t>삼영</t>
  </si>
  <si>
    <t>003720</t>
  </si>
  <si>
    <t>합성수지(BOPP,캐파시타),PPC,랩,종이상자(카톤팩) 제조</t>
  </si>
  <si>
    <t>이석준, 조영한</t>
  </si>
  <si>
    <t>http://www.sycc.co.kr</t>
  </si>
  <si>
    <t>장범석, 박민희(각자대표)</t>
  </si>
  <si>
    <t>삼익악기</t>
  </si>
  <si>
    <t>002450</t>
  </si>
  <si>
    <t>악기 제조업</t>
  </si>
  <si>
    <t>피아노,기타,현악기,전자악기,동 부분품 제조,임대,도매</t>
  </si>
  <si>
    <t>김종섭, 이형국</t>
  </si>
  <si>
    <t>http://www.samick.co.kr</t>
  </si>
  <si>
    <t>서울도시가스</t>
  </si>
  <si>
    <t>017390</t>
  </si>
  <si>
    <t>도시가스공급,가스공급설비공사</t>
  </si>
  <si>
    <t>공동대표이사 박근원 공동대표이사 김진철</t>
  </si>
  <si>
    <t>http://www.seoulgas.co.kr</t>
  </si>
  <si>
    <t>선진</t>
  </si>
  <si>
    <t>136490</t>
  </si>
  <si>
    <t>동물용 사료 및 조제식품 제조업</t>
  </si>
  <si>
    <t>조제동물사료</t>
  </si>
  <si>
    <t>이범권</t>
  </si>
  <si>
    <t>세방</t>
  </si>
  <si>
    <t>004360</t>
  </si>
  <si>
    <t>도로운송,항만하역,창고,지게차 임대</t>
  </si>
  <si>
    <t>최종일</t>
  </si>
  <si>
    <t>http://www.sebang.com</t>
  </si>
  <si>
    <t>세방전지</t>
  </si>
  <si>
    <t>대표이사 김대웅</t>
  </si>
  <si>
    <t>안백순</t>
  </si>
  <si>
    <t>김현동, 이상준</t>
  </si>
  <si>
    <t>셀트리온</t>
  </si>
  <si>
    <t>솔루엠</t>
  </si>
  <si>
    <t>248070</t>
  </si>
  <si>
    <t>POWER, 3in1 Board, ESL 등</t>
  </si>
  <si>
    <t>전성호</t>
  </si>
  <si>
    <t>http://www.solu-m.com</t>
  </si>
  <si>
    <t>수산중공업</t>
  </si>
  <si>
    <t>017550</t>
  </si>
  <si>
    <t>유압브레이커,트럭크레인,플라즈마 파암장비,특장차,산업기계,건설기계 제조,도매</t>
  </si>
  <si>
    <t>정석현, 신수근(각자 대표이사)</t>
  </si>
  <si>
    <t>http://www.soosanheavy.com</t>
  </si>
  <si>
    <t>강성문</t>
  </si>
  <si>
    <t>윌리엄 김(KIM WILLIAM PAK)</t>
  </si>
  <si>
    <t>신영와코루</t>
  </si>
  <si>
    <t>아남전자</t>
  </si>
  <si>
    <t>아이에스동서</t>
  </si>
  <si>
    <t>010780</t>
  </si>
  <si>
    <t>타일,위생도기,콘크리트파일,P.C관,침목 제조,도매</t>
  </si>
  <si>
    <t>허석헌, 정원호, 김갑진, 이준길</t>
  </si>
  <si>
    <t>http://www.isdongseo.co.kr</t>
  </si>
  <si>
    <t>에스디바이오센서</t>
  </si>
  <si>
    <t>137310</t>
  </si>
  <si>
    <t>STANDARD Q 항원/항체 진단키트(COVID-19 진단키트)</t>
  </si>
  <si>
    <t>이효근,허태영</t>
  </si>
  <si>
    <t>http://sdbiosensor.co.kr/</t>
  </si>
  <si>
    <t>에스엘</t>
  </si>
  <si>
    <t>005850</t>
  </si>
  <si>
    <t>자동차부품(자동차램프, 전동화부품, 전자부품) 제조, 판매</t>
  </si>
  <si>
    <t>이성엽,김한영</t>
  </si>
  <si>
    <t>http://www.slworld.com</t>
  </si>
  <si>
    <t>에이플러스에셋</t>
  </si>
  <si>
    <t>자동차 판매업</t>
  </si>
  <si>
    <t>엠씨넥스</t>
  </si>
  <si>
    <t>097520</t>
  </si>
  <si>
    <t>모바일 카메라모듈,전장 카메라모듈,블랙박스,IP 카메라</t>
  </si>
  <si>
    <t>민동욱</t>
  </si>
  <si>
    <t>http://www.mcnex.co.kr</t>
  </si>
  <si>
    <t>영풍제지</t>
    <phoneticPr fontId="28" type="noConversion"/>
  </si>
  <si>
    <t>우진플라임</t>
  </si>
  <si>
    <t>049800</t>
  </si>
  <si>
    <t>플라스틱사출성형기 제조,판매</t>
  </si>
  <si>
    <t>김익환</t>
  </si>
  <si>
    <t>http://www.woojinplaimm.com</t>
  </si>
  <si>
    <t>웅진씽크빅</t>
  </si>
  <si>
    <t>095720</t>
  </si>
  <si>
    <t>초등 교육기관</t>
  </si>
  <si>
    <t>기타출판 제조/서적,교구,통신판매 도소매/부동산 임대/교구렌탈,컴퓨터운용관련서비스</t>
  </si>
  <si>
    <t>이재진</t>
  </si>
  <si>
    <t>http://www.wjthinkbig.com</t>
  </si>
  <si>
    <t>정의승, 이우일</t>
  </si>
  <si>
    <t>유니켐</t>
  </si>
  <si>
    <t>유진증권</t>
  </si>
  <si>
    <t>이수페타시스</t>
  </si>
  <si>
    <t>007660</t>
  </si>
  <si>
    <t>P.C.B(인쇄회로기판),M.L.B 제조</t>
  </si>
  <si>
    <t>최창복</t>
  </si>
  <si>
    <t>http://www.petasys.com</t>
  </si>
  <si>
    <t>정진혁</t>
  </si>
  <si>
    <t>인터지스</t>
  </si>
  <si>
    <t>129260</t>
  </si>
  <si>
    <t>화물운송,알선,하역</t>
  </si>
  <si>
    <t>박동호</t>
  </si>
  <si>
    <t>http://www.intergis.co.kr</t>
  </si>
  <si>
    <t>인팩</t>
  </si>
  <si>
    <t>023810</t>
  </si>
  <si>
    <t>자동차용 케이블,전자정보통신관련기기 제조,도매</t>
  </si>
  <si>
    <t>최웅선,최장돈</t>
  </si>
  <si>
    <t>http://www.infac.com</t>
  </si>
  <si>
    <t>일신석재</t>
  </si>
  <si>
    <t>007110</t>
  </si>
  <si>
    <t>건축자재, 철물 및 난방장치 도매업</t>
  </si>
  <si>
    <t>건축석 제조,도소매/석공예,석공사</t>
  </si>
  <si>
    <t>김학선</t>
  </si>
  <si>
    <t>http://www.ilshinstone.co.kr</t>
  </si>
  <si>
    <t>김동연, 정유석</t>
  </si>
  <si>
    <t>일진하이솔루스</t>
  </si>
  <si>
    <t>271940</t>
  </si>
  <si>
    <t>그외 기타 운송장비 제조업</t>
  </si>
  <si>
    <t>수소승용용기, 매연저감장치 등</t>
  </si>
  <si>
    <t>양성모</t>
  </si>
  <si>
    <t>http://hysolus.co.kr</t>
  </si>
  <si>
    <t>제주은행</t>
  </si>
  <si>
    <t>006220</t>
  </si>
  <si>
    <t>은행업무,외국환업무,신탁업무</t>
  </si>
  <si>
    <t>박우혁</t>
  </si>
  <si>
    <t>http://www.e-jejubank.com</t>
  </si>
  <si>
    <t>제주특별자치도</t>
  </si>
  <si>
    <t>조광피혁</t>
  </si>
  <si>
    <t>004700</t>
  </si>
  <si>
    <t>가죽(피혁원단,제화용원단,카시트용원단),가방,신발 제조,도매</t>
  </si>
  <si>
    <t>이연석</t>
  </si>
  <si>
    <t>http://www.chokwang.co.kr</t>
  </si>
  <si>
    <t>조비</t>
  </si>
  <si>
    <t>001550</t>
  </si>
  <si>
    <t>복합비료(연초용,수도용,시판용,특수작물용),양액재배용 비료,완효성 비료,부직포 제조,무역</t>
  </si>
  <si>
    <t>이승연</t>
  </si>
  <si>
    <t>http://www.chobi.co.kr</t>
  </si>
  <si>
    <t>진양산업</t>
  </si>
  <si>
    <t>003780</t>
  </si>
  <si>
    <t>합성수지,폴리우레탄스폰지 제조,도매,수출입</t>
  </si>
  <si>
    <t>조영태</t>
  </si>
  <si>
    <t>http://www.cyc1963.com</t>
  </si>
  <si>
    <t>카카오뱅크</t>
  </si>
  <si>
    <t>323410</t>
  </si>
  <si>
    <t>은행 및 금융서비스</t>
  </si>
  <si>
    <t>윤호영</t>
  </si>
  <si>
    <t>고상걸, 권홍빈(각자대표이사)</t>
  </si>
  <si>
    <t>케이씨씨</t>
  </si>
  <si>
    <t>002380</t>
  </si>
  <si>
    <t>건축용단열재,내외장재,스레트,밤라이트,암면,석고보드,판유리 제조</t>
  </si>
  <si>
    <t>정몽진, 정재훈</t>
  </si>
  <si>
    <t>http://www.kccworld.co.kr</t>
  </si>
  <si>
    <t>케이씨티시</t>
  </si>
  <si>
    <t>009070</t>
  </si>
  <si>
    <t>화물자동차운송,항만하역,창고보관,컨테이너조작,중량물해상운송</t>
  </si>
  <si>
    <t>류주환</t>
  </si>
  <si>
    <t>http://www.kctc.co.kr</t>
  </si>
  <si>
    <t>케이카</t>
  </si>
  <si>
    <t>381970</t>
  </si>
  <si>
    <t>오프라인 및 온라인 중고차 매매업</t>
  </si>
  <si>
    <t>정인국</t>
  </si>
  <si>
    <t>http://www.kcar.com</t>
  </si>
  <si>
    <t>케이티</t>
  </si>
  <si>
    <t>030200</t>
  </si>
  <si>
    <t>유무선통신사업,공중전기통신사업,인터넷,전자상거래,네트워크(전용회선,데이터통신,초고속사업 등)</t>
  </si>
  <si>
    <t>김영섭</t>
  </si>
  <si>
    <t>http://www.kt.com</t>
  </si>
  <si>
    <t>케이티스카이라이프</t>
  </si>
  <si>
    <t>053210</t>
  </si>
  <si>
    <t>텔레비전 방송업</t>
  </si>
  <si>
    <t>위성방송서비스</t>
  </si>
  <si>
    <t>양춘식</t>
  </si>
  <si>
    <t>http://www.ktskylife.co.kr</t>
  </si>
  <si>
    <t>코리안리</t>
  </si>
  <si>
    <t>코스모신소재</t>
  </si>
  <si>
    <t>005070</t>
  </si>
  <si>
    <t>이차전지양극활물질,기능성필름</t>
  </si>
  <si>
    <t>홍동환</t>
  </si>
  <si>
    <t>http://www.cosmoamt.com</t>
  </si>
  <si>
    <t>서장원</t>
  </si>
  <si>
    <t>크래프톤</t>
  </si>
  <si>
    <t>259960</t>
  </si>
  <si>
    <t>등 게임 소프트웨어</t>
  </si>
  <si>
    <t>김창한</t>
  </si>
  <si>
    <t>http://www.krafton.com</t>
  </si>
  <si>
    <t>태경산업</t>
  </si>
  <si>
    <t>김해련, 김민정, 박충기 (각자 대표이사)</t>
  </si>
  <si>
    <t>태영건설</t>
  </si>
  <si>
    <t>태평양물산</t>
  </si>
  <si>
    <t>007980</t>
  </si>
  <si>
    <t>봉제의류(자켓,파카,코트),침구 제조,우모가공,생활용품 도소매,무역</t>
  </si>
  <si>
    <t>임석원</t>
  </si>
  <si>
    <t>http://www.panpacific.co.kr</t>
  </si>
  <si>
    <t>테이팩스</t>
  </si>
  <si>
    <t>055490</t>
  </si>
  <si>
    <t>OCA, 2차전지용 테이프, 산업용 랩 등</t>
  </si>
  <si>
    <t>김상구</t>
  </si>
  <si>
    <t>http://tapex.co.kr</t>
  </si>
  <si>
    <t>김우찬</t>
  </si>
  <si>
    <t>팬오션</t>
  </si>
  <si>
    <t>028670</t>
  </si>
  <si>
    <t>해상화물운송(외항,운수보관)</t>
  </si>
  <si>
    <t>김홍국, 안중호(각자 대표이사)</t>
  </si>
  <si>
    <t>http://www.panocean.com</t>
  </si>
  <si>
    <t>퍼스텍</t>
  </si>
  <si>
    <t>010820</t>
  </si>
  <si>
    <t>방위산업제품,프린터,불소화합물,자동차용 매트 제조/얼굴인식시스템 개발</t>
  </si>
  <si>
    <t>손경석</t>
  </si>
  <si>
    <t>http://www.firsteccom.co.kr</t>
  </si>
  <si>
    <t>포스코퓨처엠</t>
  </si>
  <si>
    <t>김준형</t>
  </si>
  <si>
    <t>http://www.poscofuturem.com</t>
  </si>
  <si>
    <t>최태홍</t>
  </si>
  <si>
    <t>하이트진로</t>
  </si>
  <si>
    <t>000080</t>
  </si>
  <si>
    <t>알코올음료 제조업</t>
  </si>
  <si>
    <t>소주</t>
  </si>
  <si>
    <t>김인규</t>
  </si>
  <si>
    <t>http://www.hitejinro.com</t>
  </si>
  <si>
    <t>한국내화</t>
  </si>
  <si>
    <t>010040</t>
  </si>
  <si>
    <t>내화벽돌,내화몰탈,축로등 제조,판매</t>
  </si>
  <si>
    <t>변성희</t>
  </si>
  <si>
    <t>한국무브넥스</t>
  </si>
  <si>
    <t>http://www.koreamovenex.com</t>
  </si>
  <si>
    <t>한국주철관공업</t>
  </si>
  <si>
    <t>000970</t>
  </si>
  <si>
    <t>수도용주철관,강관 제조</t>
  </si>
  <si>
    <t>김길출, 김태형, 이창훈 (각자대표제)</t>
  </si>
  <si>
    <t>http://www.kcip.co.kr</t>
  </si>
  <si>
    <t>한국카본</t>
    <phoneticPr fontId="28" type="noConversion"/>
  </si>
  <si>
    <t>한국특강</t>
  </si>
  <si>
    <t>007280</t>
  </si>
  <si>
    <t>철강압연제품(앵글,이형형강,평철,환봉) 제조,판매</t>
  </si>
  <si>
    <t>한길구, 박성우</t>
  </si>
  <si>
    <t>http://www.ekosco.com</t>
  </si>
  <si>
    <t>박재현</t>
  </si>
  <si>
    <t>한섬</t>
  </si>
  <si>
    <t>김익환, 김경</t>
  </si>
  <si>
    <t>한신공영</t>
  </si>
  <si>
    <t>004960</t>
  </si>
  <si>
    <t>토목공사,건축공사,주택건설,유통업(백화점),문화교실,주차장</t>
  </si>
  <si>
    <t>최문규,선홍규(각자 대표이사)</t>
  </si>
  <si>
    <t>http://www.hanshinc.com</t>
  </si>
  <si>
    <t>한양증권</t>
  </si>
  <si>
    <t>정승원,박수진(공동대표이사)</t>
  </si>
  <si>
    <t>한전산업</t>
  </si>
  <si>
    <t>130660</t>
  </si>
  <si>
    <t>발전설비 운전·정비, 전기검침</t>
  </si>
  <si>
    <t>함흥규</t>
  </si>
  <si>
    <t>http://www.kepid.co.kr</t>
  </si>
  <si>
    <t>한진</t>
  </si>
  <si>
    <t>002320</t>
  </si>
  <si>
    <t>포장화물,택배산업,항만하역,고속버스사업,운수보관</t>
  </si>
  <si>
    <t>노삼석</t>
  </si>
  <si>
    <t>http://www.hanjin.com</t>
  </si>
  <si>
    <t>한컴라이프케어</t>
  </si>
  <si>
    <t>372910</t>
  </si>
  <si>
    <t>공기호흡기, 방독면, 보호복 등</t>
  </si>
  <si>
    <t>오병진</t>
  </si>
  <si>
    <t>http://www.hancomlifecare.com</t>
  </si>
  <si>
    <t>한화생명</t>
  </si>
  <si>
    <t>088350</t>
  </si>
  <si>
    <t>여승주</t>
  </si>
  <si>
    <t>http://www.hanwhalife.com</t>
  </si>
  <si>
    <t>한화손해보험</t>
  </si>
  <si>
    <t>000370</t>
  </si>
  <si>
    <t>나채범</t>
  </si>
  <si>
    <t>http://www.hwgeneralins.com/</t>
  </si>
  <si>
    <t>이규복</t>
  </si>
  <si>
    <t>현대로템</t>
  </si>
  <si>
    <t>064350</t>
  </si>
  <si>
    <t>철도장비 제조업</t>
  </si>
  <si>
    <t>철도차량, 특수중기, 산업기계</t>
  </si>
  <si>
    <t>이용배</t>
  </si>
  <si>
    <t>http://www.hyundai-rotem.co.kr</t>
  </si>
  <si>
    <t>화승알앤에이</t>
  </si>
  <si>
    <t>378850</t>
  </si>
  <si>
    <t>자동차용 고무제품</t>
  </si>
  <si>
    <t>김형진</t>
  </si>
  <si>
    <t>http://www.hsrna.com</t>
  </si>
  <si>
    <t>화승엔터프라이즈</t>
  </si>
  <si>
    <t>효성첨단소재</t>
  </si>
  <si>
    <t>298050</t>
  </si>
  <si>
    <t>PET타이어코드</t>
  </si>
  <si>
    <t>조용수</t>
  </si>
  <si>
    <t>http://www.hyosungadvancedmaterials.com</t>
  </si>
  <si>
    <t>후성</t>
  </si>
  <si>
    <t>093370</t>
  </si>
  <si>
    <t>불소화물 제조,도매</t>
  </si>
  <si>
    <t>허국</t>
  </si>
  <si>
    <t>http://www.foosungchem.com</t>
  </si>
  <si>
    <t>흥국화재</t>
  </si>
  <si>
    <t>https://dart.fss.or.kr/dsaf001/main.do?rcpNo=20230320000886</t>
    <phoneticPr fontId="16" type="noConversion"/>
  </si>
  <si>
    <t>https://dart.fss.or.kr/dsaf001/main.do?rcpNo=20230316001312</t>
    <phoneticPr fontId="16" type="noConversion"/>
  </si>
  <si>
    <t>https://dart.fss.or.kr/dsaf001/main.do?rcpNo=20230317000857</t>
    <phoneticPr fontId="16" type="noConversion"/>
  </si>
  <si>
    <t>https://dart.fss.or.kr/dsaf001/main.do?rcpNo=20230320000740</t>
    <phoneticPr fontId="16" type="noConversion"/>
  </si>
  <si>
    <t>https://dart.fss.or.kr/dsaf001/main.do?rcpNo=20230814001661</t>
    <phoneticPr fontId="16" type="noConversion"/>
  </si>
  <si>
    <t>https://dart.fss.or.kr/dsaf001/main.do?rcpNo=20230321001132</t>
    <phoneticPr fontId="16" type="noConversion"/>
  </si>
  <si>
    <t>https://dart.fss.or.kr/dsaf001/main.do?rcpNo=20230831001199</t>
    <phoneticPr fontId="16" type="noConversion"/>
  </si>
  <si>
    <t>https://dart.fss.or.kr/dsaf001/main.do?rcpNo=20230728000644</t>
    <phoneticPr fontId="16" type="noConversion"/>
  </si>
  <si>
    <t>https://dart.fss.or.kr/dsaf001/main.do?rcpNo=20230315000019</t>
    <phoneticPr fontId="16" type="noConversion"/>
  </si>
  <si>
    <t>https://dart.fss.or.kr/dsaf001/main.do?rcpNo=20230315001420</t>
    <phoneticPr fontId="16" type="noConversion"/>
  </si>
  <si>
    <t>https://www.dlenc.co.kr/main.do</t>
    <phoneticPr fontId="16" type="noConversion"/>
  </si>
  <si>
    <t>https://dart.fss.or.kr/dsaf001/main.do?rcpNo=20230322001200</t>
    <phoneticPr fontId="16" type="noConversion"/>
  </si>
  <si>
    <t>https://dart.fss.or.kr/dsaf001/main.do?rcpNo=20230320000736</t>
    <phoneticPr fontId="16" type="noConversion"/>
  </si>
  <si>
    <t>https://dart.fss.or.kr/dsaf001/main.do?rcpNo=20230320000604</t>
    <phoneticPr fontId="16" type="noConversion"/>
  </si>
  <si>
    <t>https://dart.fss.or.kr/dsaf001/main.do?rcpNo=20230831001367</t>
    <phoneticPr fontId="16" type="noConversion"/>
  </si>
  <si>
    <t>https://dart.fss.or.kr/dsaf001/main.do?rcpNo=20230316001014</t>
    <phoneticPr fontId="16" type="noConversion"/>
  </si>
  <si>
    <t>https://dart.fss.or.kr/dsaf001/main.do?rcpNo=20230315001215</t>
    <phoneticPr fontId="16" type="noConversion"/>
  </si>
  <si>
    <t>https://dart.fss.or.kr/dsaf001/main.do?rcpNo=20230316001339</t>
    <phoneticPr fontId="16" type="noConversion"/>
  </si>
  <si>
    <t>https://dart.fss.or.kr/dsaf001/main.do?rcpNo=20230315001033</t>
    <phoneticPr fontId="16" type="noConversion"/>
  </si>
  <si>
    <t>https://dart.fss.or.kr/dsaf001/main.do?rcpNo=20230713000082</t>
    <phoneticPr fontId="16" type="noConversion"/>
  </si>
  <si>
    <t>https://dart.fss.or.kr/dsaf001/main.do?rcpNo=20230317000301</t>
    <phoneticPr fontId="16" type="noConversion"/>
  </si>
  <si>
    <t>https://dart.fss.or.kr/dsaf001/main.do?rcpNo=20230315001407</t>
    <phoneticPr fontId="16" type="noConversion"/>
  </si>
  <si>
    <t>https://dart.fss.or.kr/dsaf001/main.do?rcpNo=20230714000061</t>
    <phoneticPr fontId="16" type="noConversion"/>
  </si>
  <si>
    <t>https://dart.fss.or.kr/dsaf001/main.do?rcpNo=20230321001126</t>
    <phoneticPr fontId="16" type="noConversion"/>
  </si>
  <si>
    <t>https://dart.fss.or.kr/dsaf001/main.do?rcpNo=20230315000071</t>
    <phoneticPr fontId="16" type="noConversion"/>
  </si>
  <si>
    <t>https://dart.fss.or.kr/dsaf001/main.do?rcpNo=20230316000950</t>
    <phoneticPr fontId="16" type="noConversion"/>
  </si>
  <si>
    <t>https://dart.fss.or.kr/dsaf001/main.do?rcpNo=20230316000684</t>
    <phoneticPr fontId="16" type="noConversion"/>
  </si>
  <si>
    <t>https://dart.fss.or.kr/dsaf001/main.do?rcpNo=20230322000776</t>
    <phoneticPr fontId="16" type="noConversion"/>
  </si>
  <si>
    <t>https://dart.fss.or.kr/dsaf001/main.do?rcpNo=20230323000613</t>
    <phoneticPr fontId="16" type="noConversion"/>
  </si>
  <si>
    <t>https://dart.fss.or.kr/dsaf001/main.do?rcpNo=20230320000688</t>
    <phoneticPr fontId="16" type="noConversion"/>
  </si>
  <si>
    <t>https://dart.fss.or.kr/dsaf001/main.do?rcpNo=20230320000833</t>
    <phoneticPr fontId="16" type="noConversion"/>
  </si>
  <si>
    <t>https://dart.fss.or.kr/dsaf001/main.do?rcpNo=20230302000615</t>
    <phoneticPr fontId="16" type="noConversion"/>
  </si>
  <si>
    <t>https://dart.fss.or.kr/dsaf001/main.do?rcpNo=20230222002549</t>
    <phoneticPr fontId="16" type="noConversion"/>
  </si>
  <si>
    <t>https://dart.fss.or.kr/dsaf001/main.do?rcpNo=20230317000276</t>
    <phoneticPr fontId="16" type="noConversion"/>
  </si>
  <si>
    <t>https://dart.fss.or.kr/dsaf001/main.do?rcpNo=20230315000850</t>
    <phoneticPr fontId="16" type="noConversion"/>
  </si>
  <si>
    <t>https://dart.fss.or.kr/dsaf001/main.do?rcpNo=20230315000964</t>
    <phoneticPr fontId="16" type="noConversion"/>
  </si>
  <si>
    <t>https://dart.fss.or.kr/dsaf001/main.do?rcpNo=20230316000724</t>
    <phoneticPr fontId="16" type="noConversion"/>
  </si>
  <si>
    <t>https://dart.fss.or.kr/dsaf001/main.do?rcpNo=20230315000084</t>
    <phoneticPr fontId="16" type="noConversion"/>
  </si>
  <si>
    <t>https://dart.fss.or.kr/dsaf001/main.do?rcpNo=20230309000859</t>
    <phoneticPr fontId="16" type="noConversion"/>
  </si>
  <si>
    <t>https://dart.fss.or.kr/dsaf001/main.do?rcpNo=20230321000569</t>
    <phoneticPr fontId="16" type="noConversion"/>
  </si>
  <si>
    <t>https://dart.fss.or.kr/dsaf001/main.do?rcpNo=20230320000844</t>
    <phoneticPr fontId="16" type="noConversion"/>
  </si>
  <si>
    <t>https://dart.fss.or.kr/dsaf001/main.do?rcpNo=20230315000990</t>
    <phoneticPr fontId="16" type="noConversion"/>
  </si>
  <si>
    <t>https://dart.fss.or.kr/dsaf001/main.do?rcpNo=20230320000162</t>
    <phoneticPr fontId="16" type="noConversion"/>
  </si>
  <si>
    <t>https://dart.fss.or.kr/dsaf001/main.do?rcpNo=20230317000869</t>
    <phoneticPr fontId="16" type="noConversion"/>
  </si>
  <si>
    <t>https://dart.fss.or.kr/dsaf001/main.do?rcpNo=20230322000906</t>
    <phoneticPr fontId="16" type="noConversion"/>
  </si>
  <si>
    <t>https://dart.fss.or.kr/dsaf001/main.do?rcpNo=20230324000127</t>
    <phoneticPr fontId="16" type="noConversion"/>
  </si>
  <si>
    <t>https://dart.fss.or.kr/dsaf001/main.do?rcpNo=20230320000964</t>
    <phoneticPr fontId="16" type="noConversion"/>
  </si>
  <si>
    <t>https://dart.fss.or.kr/dsaf001/main.do?rcpNo=20230320000235</t>
    <phoneticPr fontId="16" type="noConversion"/>
  </si>
  <si>
    <t>https://dart.fss.or.kr/dsaf001/main.do?rcpNo=20230321001209</t>
    <phoneticPr fontId="16" type="noConversion"/>
  </si>
  <si>
    <t>https://dart.fss.or.kr/dsaf001/main.do?rcpNo=20230220001625</t>
    <phoneticPr fontId="16" type="noConversion"/>
  </si>
  <si>
    <t>https://dart.fss.or.kr/dsaf001/main.do?rcpNo=20230220001611</t>
    <phoneticPr fontId="16" type="noConversion"/>
  </si>
  <si>
    <t>https://dart.fss.or.kr/dsaf001/main.do?rcpNo=20230315001078</t>
    <phoneticPr fontId="16" type="noConversion"/>
  </si>
  <si>
    <t>https://dart.fss.or.kr/dsaf001/main.do?rcpNo=20230322000815</t>
    <phoneticPr fontId="16" type="noConversion"/>
  </si>
  <si>
    <t>https://dart.fss.or.kr/dsaf001/main.do?rcpNo=20230322000774</t>
    <phoneticPr fontId="16" type="noConversion"/>
  </si>
  <si>
    <t>https://dart.fss.or.kr/dsaf001/main.do?rcpNo=20230314001158</t>
    <phoneticPr fontId="16" type="noConversion"/>
  </si>
  <si>
    <t>https://dart.fss.or.kr/dsaf001/main.do?rcpNo=20230320000720</t>
    <phoneticPr fontId="16" type="noConversion"/>
  </si>
  <si>
    <t>https://dart.fss.or.kr/dsaf001/main.do?rcpNo=20230316000629</t>
    <phoneticPr fontId="16" type="noConversion"/>
  </si>
  <si>
    <t>https://dart.fss.or.kr/dsaf001/main.do?rcpNo=20230309000731</t>
    <phoneticPr fontId="16" type="noConversion"/>
  </si>
  <si>
    <t>https://dart.fss.or.kr/dsaf001/main.do?rcpNo=20230316001326</t>
    <phoneticPr fontId="16" type="noConversion"/>
  </si>
  <si>
    <t>https://dart.fss.or.kr/dsaf001/main.do?rcpNo=20230321001353</t>
    <phoneticPr fontId="16" type="noConversion"/>
  </si>
  <si>
    <t>https://dart.fss.or.kr/dsaf001/main.do?rcpNo=20230321000645</t>
    <phoneticPr fontId="16" type="noConversion"/>
  </si>
  <si>
    <t>https://dart.fss.or.kr/dsaf001/main.do?rcpNo=20230314000982</t>
    <phoneticPr fontId="16" type="noConversion"/>
  </si>
  <si>
    <t>https://dart.fss.or.kr/dsaf001/main.do?rcpNo=20230314000692</t>
    <phoneticPr fontId="16" type="noConversion"/>
  </si>
  <si>
    <t>https://dart.fss.or.kr/dsaf001/main.do?rcpNo=20230322001068</t>
    <phoneticPr fontId="16" type="noConversion"/>
  </si>
  <si>
    <t>https://dart.fss.or.kr/dsaf001/main.do?rcpNo=20230314000467</t>
    <phoneticPr fontId="16" type="noConversion"/>
  </si>
  <si>
    <t>https://dart.fss.or.kr/dsaf001/main.do?rcpNo=20230323000821</t>
    <phoneticPr fontId="16" type="noConversion"/>
  </si>
  <si>
    <t>https://dart.fss.or.kr/dsaf001/main.do?rcpNo=20230320000409</t>
    <phoneticPr fontId="16" type="noConversion"/>
  </si>
  <si>
    <t>https://dart.fss.or.kr/dsaf001/main.do?rcpNo=20230316001213</t>
    <phoneticPr fontId="16" type="noConversion"/>
  </si>
  <si>
    <t>https://dart.fss.or.kr/dsaf001/main.do?rcpNo=20230608000512</t>
    <phoneticPr fontId="16" type="noConversion"/>
  </si>
  <si>
    <t>https://dart.fss.or.kr/dsaf001/main.do?rcpNo=20230309000734</t>
    <phoneticPr fontId="16" type="noConversion"/>
  </si>
  <si>
    <t>https://dart.fss.or.kr/dsaf001/main.do?rcpNo=20230712000089</t>
    <phoneticPr fontId="16" type="noConversion"/>
  </si>
  <si>
    <t>https://dart.fss.or.kr/dsaf001/main.do?rcpNo=20230316001430</t>
    <phoneticPr fontId="16" type="noConversion"/>
  </si>
  <si>
    <t>https://dart.fss.or.kr/dsaf001/main.do?rcpNo=20230321000737</t>
    <phoneticPr fontId="16" type="noConversion"/>
  </si>
  <si>
    <t>https://dart.fss.or.kr/dsaf001/main.do?rcpNo=20230316000929</t>
    <phoneticPr fontId="16" type="noConversion"/>
  </si>
  <si>
    <t>https://www.noroopaint.com/kor/index.asp?conntype=1</t>
    <phoneticPr fontId="16" type="noConversion"/>
  </si>
  <si>
    <t>https://dart.fss.or.kr/dsaf001/main.do?rcpNo=20230321001403</t>
    <phoneticPr fontId="16" type="noConversion"/>
  </si>
  <si>
    <t>https://dart.fss.or.kr/dsaf001/main.do?rcpNo=20230316000958</t>
    <phoneticPr fontId="16" type="noConversion"/>
  </si>
  <si>
    <t>https://dart.fss.or.kr/dsaf001/main.do?rcpNo=20230322000832</t>
    <phoneticPr fontId="16" type="noConversion"/>
  </si>
  <si>
    <t>https://dart.fss.or.kr/dsaf001/main.do?rcpNo=20230316001258</t>
    <phoneticPr fontId="16" type="noConversion"/>
  </si>
  <si>
    <t>https://dart.fss.or.kr/dsaf001/main.do?rcpNo=20230316000896</t>
    <phoneticPr fontId="16" type="noConversion"/>
  </si>
  <si>
    <t>http://www.daesung.co.kr</t>
    <phoneticPr fontId="16" type="noConversion"/>
  </si>
  <si>
    <t>https://dart.fss.or.kr/dsaf001/main.do?rcpNo=20230321000870</t>
    <phoneticPr fontId="16" type="noConversion"/>
  </si>
  <si>
    <t>https://dart.fss.or.kr/dsaf001/main.do?rcpNo=20230320000675</t>
    <phoneticPr fontId="16" type="noConversion"/>
  </si>
  <si>
    <t>https://dart.fss.or.kr/dsaf001/main.do?rcpNo=20230321000752</t>
    <phoneticPr fontId="16" type="noConversion"/>
  </si>
  <si>
    <t>https://dart.fss.or.kr/dsaf001/main.do?rcpNo=20230321000740</t>
    <phoneticPr fontId="16" type="noConversion"/>
  </si>
  <si>
    <t>https://dart.fss.or.kr/dsaf001/main.do?rcpNo=20230324000880</t>
    <phoneticPr fontId="16" type="noConversion"/>
  </si>
  <si>
    <t>https://dart.fss.or.kr/dsaf001/main.do?rcpNo=20230317000005</t>
    <phoneticPr fontId="16" type="noConversion"/>
  </si>
  <si>
    <t>https://dart.fss.or.kr/dsaf001/main.do?rcpNo=20230323000406</t>
    <phoneticPr fontId="16" type="noConversion"/>
  </si>
  <si>
    <t>https://dart.fss.or.kr/dsaf001/main.do?rcpNo=20230322001136</t>
    <phoneticPr fontId="16" type="noConversion"/>
  </si>
  <si>
    <t>https://dart.fss.or.kr/dsaf001/main.do?rcpNo=20230331003410</t>
    <phoneticPr fontId="16" type="noConversion"/>
  </si>
  <si>
    <t>https://dart.fss.or.kr/dsaf001/main.do?rcpNo=20230316001412</t>
    <phoneticPr fontId="16" type="noConversion"/>
  </si>
  <si>
    <t>https://dart.fss.or.kr/dsaf001/main.do?rcpNo=20230323001351</t>
    <phoneticPr fontId="16" type="noConversion"/>
  </si>
  <si>
    <t>https://dart.fss.or.kr/dsaf001/main.do?rcpNo=20230316001384</t>
    <phoneticPr fontId="16" type="noConversion"/>
  </si>
  <si>
    <t>https://dart.fss.or.kr/dsaf001/main.do?rcpNo=20230315001173</t>
    <phoneticPr fontId="16" type="noConversion"/>
  </si>
  <si>
    <t>https://dart.fss.or.kr/dsaf001/main.do?rcpNo=20230317000725</t>
    <phoneticPr fontId="16" type="noConversion"/>
  </si>
  <si>
    <t>https://dart.fss.or.kr/dsaf001/main.do?rcpNo=20230322001007</t>
    <phoneticPr fontId="16" type="noConversion"/>
  </si>
  <si>
    <t>https://dart.fss.or.kr/dsaf001/main.do?rcpNo=20230316001141</t>
    <phoneticPr fontId="16" type="noConversion"/>
  </si>
  <si>
    <t>https://dart.fss.or.kr/dsaf001/main.do?rcpNo=20230314001293</t>
    <phoneticPr fontId="16" type="noConversion"/>
  </si>
  <si>
    <t>https://dart.fss.or.kr/dsaf001/main.do?rcpNo=20230316000733</t>
    <phoneticPr fontId="16" type="noConversion"/>
  </si>
  <si>
    <t>https://dart.fss.or.kr/dsaf001/main.do?rcpNo=20230314001212</t>
    <phoneticPr fontId="16" type="noConversion"/>
  </si>
  <si>
    <t>https://dart.fss.or.kr/dsaf001/main.do?rcpNo=20230316000463</t>
    <phoneticPr fontId="16" type="noConversion"/>
  </si>
  <si>
    <t>https://dart.fss.or.kr/dsaf001/main.do?rcpNo=20230320001075</t>
    <phoneticPr fontId="16" type="noConversion"/>
  </si>
  <si>
    <t>https://dart.fss.or.kr/dsaf001/main.do?rcpNo=20230316000692</t>
    <phoneticPr fontId="16" type="noConversion"/>
  </si>
  <si>
    <t>https://dart.fss.or.kr/dsaf001/main.do?rcpNo=20230322001102</t>
    <phoneticPr fontId="16" type="noConversion"/>
  </si>
  <si>
    <t>https://dart.fss.or.kr/dsaf001/main.do?rcpNo=20230317000669</t>
    <phoneticPr fontId="16" type="noConversion"/>
  </si>
  <si>
    <t>https://dart.fss.or.kr/dsaf001/main.do?rcpNo=20230320000820</t>
    <phoneticPr fontId="16" type="noConversion"/>
  </si>
  <si>
    <t>https://dart.fss.or.kr/dsaf001/main.do?rcpNo=20230314000884</t>
    <phoneticPr fontId="16" type="noConversion"/>
  </si>
  <si>
    <t>https://dart.fss.or.kr/dsaf001/main.do?rcpNo=20230324000928</t>
    <phoneticPr fontId="16" type="noConversion"/>
  </si>
  <si>
    <t>https://dart.fss.or.kr/dsaf001/main.do?rcpNo=20230322001127</t>
    <phoneticPr fontId="16" type="noConversion"/>
  </si>
  <si>
    <t>https://dart.fss.or.kr/dsaf001/main.do?rcpNo=20230315001100</t>
    <phoneticPr fontId="16" type="noConversion"/>
  </si>
  <si>
    <t>https://dart.fss.or.kr/dsaf001/main.do?rcpNo=20230321001259</t>
    <phoneticPr fontId="16" type="noConversion"/>
  </si>
  <si>
    <t>https://dart.fss.or.kr/dsaf001/main.do?rcpNo=20230713000062</t>
    <phoneticPr fontId="16" type="noConversion"/>
  </si>
  <si>
    <t>https://dart.fss.or.kr/dsaf001/main.do?rcpNo=20230315000573</t>
    <phoneticPr fontId="16" type="noConversion"/>
  </si>
  <si>
    <t>https://dart.fss.or.kr/dsaf001/main.do?rcpNo=20230316001051</t>
    <phoneticPr fontId="16" type="noConversion"/>
  </si>
  <si>
    <t>https://dart.fss.or.kr/dsaf001/main.do?rcpNo=20230315001395</t>
    <phoneticPr fontId="16" type="noConversion"/>
  </si>
  <si>
    <t>https://dart.fss.or.kr/dsaf001/main.do?rcpNo=20230424000485</t>
    <phoneticPr fontId="16" type="noConversion"/>
  </si>
  <si>
    <t>https://dart.fss.or.kr/dsaf001/main.do?rcpNo=20230323001050</t>
    <phoneticPr fontId="16" type="noConversion"/>
  </si>
  <si>
    <t>https://dart.fss.or.kr/dsaf001/main.do?rcpNo=20230315000646</t>
    <phoneticPr fontId="16" type="noConversion"/>
  </si>
  <si>
    <t>https://dart.fss.or.kr/dsaf001/main.do?rcpNo=20230314001159</t>
    <phoneticPr fontId="16" type="noConversion"/>
  </si>
  <si>
    <t>https://dart.fss.or.kr/dsaf001/main.do?rcpNo=20220915000334</t>
    <phoneticPr fontId="16" type="noConversion"/>
  </si>
  <si>
    <t>https://dart.fss.or.kr/dsaf001/main.do?rcpNo=20230316000602</t>
    <phoneticPr fontId="16" type="noConversion"/>
  </si>
  <si>
    <t>https://dart.fss.or.kr/dsaf001/main.do?rcpNo=20230316000931</t>
    <phoneticPr fontId="16" type="noConversion"/>
  </si>
  <si>
    <t>https://dart.fss.or.kr/dsaf001/main.do?rcpNo=20230317001035</t>
    <phoneticPr fontId="16" type="noConversion"/>
  </si>
  <si>
    <t>https://dart.fss.or.kr/dsaf001/main.do?rcpNo=20230315001134</t>
    <phoneticPr fontId="16" type="noConversion"/>
  </si>
  <si>
    <t>https://dart.fss.or.kr/dsaf001/main.do?rcpNo=20230320000972</t>
    <phoneticPr fontId="16" type="noConversion"/>
  </si>
  <si>
    <t>https://dart.fss.or.kr/dsaf001/main.do?rcpNo=20230315001384</t>
    <phoneticPr fontId="16" type="noConversion"/>
  </si>
  <si>
    <t>https://dart.fss.or.kr/dsaf001/main.do?rcpNo=20230310000296</t>
    <phoneticPr fontId="16" type="noConversion"/>
  </si>
  <si>
    <t>https://dart.fss.or.kr/dsaf001/main.do?rcpNo=20230327000678</t>
    <phoneticPr fontId="16" type="noConversion"/>
  </si>
  <si>
    <t>https://dart.fss.or.kr/dsaf001/main.do?rcpNo=20221230000430</t>
    <phoneticPr fontId="16" type="noConversion"/>
  </si>
  <si>
    <t>https://dart.fss.or.kr/dsaf001/main.do?rcpNo=20230831001561</t>
    <phoneticPr fontId="16" type="noConversion"/>
  </si>
  <si>
    <t>https://dart.fss.or.kr/dsaf001/main.do?rcpNo=20230316000878</t>
    <phoneticPr fontId="16" type="noConversion"/>
  </si>
  <si>
    <t>https://dart.fss.or.kr/dsaf001/main.do?rcpNo=20230328000107</t>
    <phoneticPr fontId="16" type="noConversion"/>
  </si>
  <si>
    <t>https://dart.fss.or.kr/dsaf001/main.do?rcpNo=20230323000263</t>
    <phoneticPr fontId="16" type="noConversion"/>
  </si>
  <si>
    <t>https://dart.fss.or.kr/dsaf001/main.do?rcpNo=20230315001385</t>
    <phoneticPr fontId="16" type="noConversion"/>
  </si>
  <si>
    <t>https://dart.fss.or.kr/dsaf001/main.do?rcpNo=20230315001257</t>
    <phoneticPr fontId="16" type="noConversion"/>
  </si>
  <si>
    <t>https://dart.fss.or.kr/dsaf001/main.do?rcpNo=20230313000726</t>
    <phoneticPr fontId="16" type="noConversion"/>
  </si>
  <si>
    <t>삼성물산</t>
    <phoneticPr fontId="16" type="noConversion"/>
  </si>
  <si>
    <t>https://dart.fss.or.kr/dsaf001/main.do?rcpNo=20230309000761</t>
    <phoneticPr fontId="16" type="noConversion"/>
  </si>
  <si>
    <t>https://dart.fss.or.kr/dsaf001/main.do?rcpNo=20230308000737</t>
    <phoneticPr fontId="16" type="noConversion"/>
  </si>
  <si>
    <t>https://dart.fss.or.kr/dsaf001/main.do?rcpNo=20230307000606</t>
    <phoneticPr fontId="16" type="noConversion"/>
  </si>
  <si>
    <t>https://dart.fss.or.kr/dsaf001/main.do?rcpNo=20230831001403</t>
    <phoneticPr fontId="16" type="noConversion"/>
  </si>
  <si>
    <t>https://dart.fss.or.kr/dsaf001/main.do?rcpNo=20230307000653</t>
    <phoneticPr fontId="16" type="noConversion"/>
  </si>
  <si>
    <t>https://dart.fss.or.kr/dsaf001/main.do?rcpNo=20230307000542</t>
    <phoneticPr fontId="16" type="noConversion"/>
  </si>
  <si>
    <t>https://dart.fss.or.kr/dsaf001/main.do?rcpNo=20230309000572</t>
    <phoneticPr fontId="16" type="noConversion"/>
  </si>
  <si>
    <t>https://dart.fss.or.kr/dsaf001/main.do?rcpNo=20230308000723</t>
    <phoneticPr fontId="16" type="noConversion"/>
  </si>
  <si>
    <t>https://dart.fss.or.kr/dsaf001/main.do?rcpNo=20230309000772</t>
    <phoneticPr fontId="16" type="noConversion"/>
  </si>
  <si>
    <t>https://dart.fss.or.kr/dsaf001/main.do?rcpNo=20230315001212</t>
    <phoneticPr fontId="16" type="noConversion"/>
  </si>
  <si>
    <t>https://dart.fss.or.kr/dsaf001/main.do?rcpNo=20230315001060</t>
    <phoneticPr fontId="16" type="noConversion"/>
  </si>
  <si>
    <t>https://dart.fss.or.kr/dsaf001/main.do?rcpNo=20230321001381</t>
    <phoneticPr fontId="16" type="noConversion"/>
  </si>
  <si>
    <t>https://dart.fss.or.kr/dsaf001/main.do?rcpNo=20230315001242</t>
    <phoneticPr fontId="16" type="noConversion"/>
  </si>
  <si>
    <t>https://dart.fss.or.kr/dsaf001/main.do?rcpNo=20230713000197</t>
    <phoneticPr fontId="16" type="noConversion"/>
  </si>
  <si>
    <t>https://dart.fss.or.kr/dsaf001/main.do?rcpNo=20230524000304</t>
    <phoneticPr fontId="16" type="noConversion"/>
  </si>
  <si>
    <t>https://dart.fss.or.kr/dsaf001/main.do?rcpNo=20230316001053</t>
    <phoneticPr fontId="16" type="noConversion"/>
  </si>
  <si>
    <t>https://dart.fss.or.kr/dsaf001/main.do?rcpNo=20230314000085</t>
    <phoneticPr fontId="16" type="noConversion"/>
  </si>
  <si>
    <t>https://dart.fss.or.kr/dsaf001/main.do?rcpNo=20230316001338</t>
    <phoneticPr fontId="16" type="noConversion"/>
  </si>
  <si>
    <t>https://dart.fss.or.kr/dsaf001/main.do?rcpNo=20230322000313</t>
    <phoneticPr fontId="16" type="noConversion"/>
  </si>
  <si>
    <t>https://dart.fss.or.kr/dsaf001/main.do?rcpNo=20230410003453</t>
    <phoneticPr fontId="16" type="noConversion"/>
  </si>
  <si>
    <t>https://dart.fss.or.kr/dsaf001/main.do?rcpNo=20230320000375</t>
    <phoneticPr fontId="16" type="noConversion"/>
  </si>
  <si>
    <t>https://dart.fss.or.kr/dsaf001/main.do?rcpNo=20230316001182</t>
    <phoneticPr fontId="16" type="noConversion"/>
  </si>
  <si>
    <t>https://dart.fss.or.kr/dsaf001/main.do?rcpNo=20230316001232</t>
    <phoneticPr fontId="16" type="noConversion"/>
  </si>
  <si>
    <t>https://dart.fss.or.kr/dsaf001/main.do?rcpNo=20230317000349</t>
    <phoneticPr fontId="16" type="noConversion"/>
  </si>
  <si>
    <t>https://dart.fss.or.kr/dsaf001/main.do?rcpNo=20230310000633</t>
    <phoneticPr fontId="16" type="noConversion"/>
  </si>
  <si>
    <t>https://dart.fss.or.kr/dsaf001/main.do?rcpNo=20230315000963</t>
    <phoneticPr fontId="16" type="noConversion"/>
  </si>
  <si>
    <t>https://dart.fss.or.kr/dsaf001/main.do?rcpNo=20230323000638</t>
    <phoneticPr fontId="16" type="noConversion"/>
  </si>
  <si>
    <t>https://dart.fss.or.kr/dsaf001/main.do?rcpNo=20230316000928</t>
    <phoneticPr fontId="16" type="noConversion"/>
  </si>
  <si>
    <t>https://dart.fss.or.kr/dsaf001/main.do?rcpNo=20230308000717</t>
    <phoneticPr fontId="16" type="noConversion"/>
  </si>
  <si>
    <t>https://dart.fss.or.kr/dsaf001/main.do?rcpNo=20230314001166</t>
    <phoneticPr fontId="16" type="noConversion"/>
  </si>
  <si>
    <t>https://dart.fss.or.kr/dsaf001/main.do?rcpNo=20230724000235</t>
    <phoneticPr fontId="16" type="noConversion"/>
  </si>
  <si>
    <t>https://dart.fss.or.kr/dsaf001/main.do?rcpNo=20230228006867</t>
    <phoneticPr fontId="16" type="noConversion"/>
  </si>
  <si>
    <t>https://dart.fss.or.kr/dsaf001/main.do?rcpNo=20230316000461</t>
    <phoneticPr fontId="16" type="noConversion"/>
  </si>
  <si>
    <t>https://dart.fss.or.kr/dsaf001/main.do?rcpNo=20230320000842</t>
    <phoneticPr fontId="16" type="noConversion"/>
  </si>
  <si>
    <t>https://dart.fss.or.kr/dsaf001/main.do?rcpNo=20230320000954</t>
    <phoneticPr fontId="16" type="noConversion"/>
  </si>
  <si>
    <t>https://dart.fss.or.kr/dsaf001/main.do?rcpNo=20230302000104</t>
    <phoneticPr fontId="16" type="noConversion"/>
  </si>
  <si>
    <t>https://dart.fss.or.kr/dsaf001/main.do?rcpNo=20230323001156</t>
    <phoneticPr fontId="16" type="noConversion"/>
  </si>
  <si>
    <t>https://dart.fss.or.kr/dsaf001/main.do?rcpNo=20230316001196</t>
    <phoneticPr fontId="16" type="noConversion"/>
  </si>
  <si>
    <t>https://dart.fss.or.kr/dsaf001/main.do?rcpNo=20230322000910</t>
    <phoneticPr fontId="16" type="noConversion"/>
  </si>
  <si>
    <t>https://dart.fss.or.kr/dsaf001/main.do?rcpNo=20230315001315</t>
    <phoneticPr fontId="16" type="noConversion"/>
  </si>
  <si>
    <t>https://dart.fss.or.kr/dsaf001/main.do?rcpNo=20220920000318</t>
    <phoneticPr fontId="16" type="noConversion"/>
  </si>
  <si>
    <t>https://dart.fss.or.kr/dsaf001/main.do?rcpNo=20230315001319</t>
    <phoneticPr fontId="16" type="noConversion"/>
  </si>
  <si>
    <t>https://dart.fss.or.kr/dsaf001/main.do?rcpNo=20230314001079</t>
    <phoneticPr fontId="16" type="noConversion"/>
  </si>
  <si>
    <t>https://dart.fss.or.kr/dsaf001/main.do?rcpNo=20230316001089</t>
    <phoneticPr fontId="16" type="noConversion"/>
  </si>
  <si>
    <t>https://dart.fss.or.kr/dsaf001/main.do?rcpNo=20230615000542</t>
    <phoneticPr fontId="16" type="noConversion"/>
  </si>
  <si>
    <t>https://dart.fss.or.kr/dsaf001/main.do?rcpNo=20230323000459</t>
    <phoneticPr fontId="16" type="noConversion"/>
  </si>
  <si>
    <t>https://dart.fss.or.kr/dsaf001/main.do?rcpNo=20230411002838</t>
    <phoneticPr fontId="16" type="noConversion"/>
  </si>
  <si>
    <t>https://dart.fss.or.kr/dsaf001/main.do?rcpNo=20230321001494</t>
    <phoneticPr fontId="16" type="noConversion"/>
  </si>
  <si>
    <t>https://dart.fss.or.kr/dsaf001/main.do?rcpNo=20230317001042</t>
    <phoneticPr fontId="16" type="noConversion"/>
  </si>
  <si>
    <t>https://dart.fss.or.kr/dsaf001/main.do?rcpNo=20230316000657</t>
    <phoneticPr fontId="16" type="noConversion"/>
  </si>
  <si>
    <t>https://dart.fss.or.kr/dsaf001/main.do?rcpNo=20230315001378</t>
    <phoneticPr fontId="16" type="noConversion"/>
  </si>
  <si>
    <t>https://dart.fss.or.kr/dsaf001/main.do?rcpNo=20230309000717</t>
    <phoneticPr fontId="16" type="noConversion"/>
  </si>
  <si>
    <t>https://dart.fss.or.kr/dsaf001/main.do?rcpNo=20230322000722</t>
    <phoneticPr fontId="16" type="noConversion"/>
  </si>
  <si>
    <t>https://dart.fss.or.kr/dsaf001/main.do?rcpNo=20230323001296</t>
    <phoneticPr fontId="16" type="noConversion"/>
  </si>
  <si>
    <t>https://dart.fss.or.kr/dsaf001/main.do?rcpNo=20230315001190</t>
    <phoneticPr fontId="16" type="noConversion"/>
  </si>
  <si>
    <t>https://dart.fss.or.kr/dsaf001/main.do?rcpNo=20230320001088</t>
    <phoneticPr fontId="16" type="noConversion"/>
  </si>
  <si>
    <t>https://dart.fss.or.kr/dsaf001/main.do?rcpNo=20230515000371</t>
    <phoneticPr fontId="16" type="noConversion"/>
  </si>
  <si>
    <t>https://dart.fss.or.kr/dsaf001/main.do?rcpNo=20230321001134</t>
    <phoneticPr fontId="16" type="noConversion"/>
  </si>
  <si>
    <t>https://dart.fss.or.kr/dsaf001/main.do?rcpNo=20230307000691</t>
    <phoneticPr fontId="16" type="noConversion"/>
  </si>
  <si>
    <t>https://dart.fss.or.kr/dsaf001/main.do?rcpNo=20230321001261</t>
    <phoneticPr fontId="16" type="noConversion"/>
  </si>
  <si>
    <t>https://dart.fss.or.kr/dsaf001/main.do?rcpNo=20230323001360</t>
    <phoneticPr fontId="16" type="noConversion"/>
  </si>
  <si>
    <t>https://dart.fss.or.kr/dsaf001/main.do?rcpNo=20230314000700</t>
    <phoneticPr fontId="16" type="noConversion"/>
  </si>
  <si>
    <t>https://dart.fss.or.kr/dsaf001/main.do?rcpNo=20230315000345</t>
    <phoneticPr fontId="16" type="noConversion"/>
  </si>
  <si>
    <t>https://dart.fss.or.kr/dsaf001/main.do?rcpNo=20230321001365</t>
    <phoneticPr fontId="16" type="noConversion"/>
  </si>
  <si>
    <t>https://dart.fss.or.kr/dsaf001/main.do?rcpNo=20230712000496</t>
    <phoneticPr fontId="16" type="noConversion"/>
  </si>
  <si>
    <t>https://dart.fss.or.kr/dsaf001/main.do?rcpNo=20230315001259</t>
    <phoneticPr fontId="16" type="noConversion"/>
  </si>
  <si>
    <t>https://dart.fss.or.kr/dsaf001/main.do?rcpNo=20230322000913</t>
    <phoneticPr fontId="16" type="noConversion"/>
  </si>
  <si>
    <t>https://dart.fss.or.kr/dsaf001/main.do?rcpNo=20230316001571</t>
    <phoneticPr fontId="16" type="noConversion"/>
  </si>
  <si>
    <t>https://dart.fss.or.kr/dsaf001/main.do?rcpNo=20230317000918</t>
    <phoneticPr fontId="16" type="noConversion"/>
  </si>
  <si>
    <t>https://dart.fss.or.kr/dsaf001/main.do?rcpNo=20230308000675</t>
    <phoneticPr fontId="16" type="noConversion"/>
  </si>
  <si>
    <t>https://dart.fss.or.kr/dsaf001/main.do?rcpNo=20230329000065</t>
    <phoneticPr fontId="16" type="noConversion"/>
  </si>
  <si>
    <t>https://dart.fss.or.kr/dsaf001/main.do?rcpNo=20230323001413</t>
    <phoneticPr fontId="16" type="noConversion"/>
  </si>
  <si>
    <t>https://dart.fss.or.kr/dsaf001/main.do?rcpNo=20230314000094</t>
    <phoneticPr fontId="16" type="noConversion"/>
  </si>
  <si>
    <t>https://dart.fss.or.kr/dsaf001/main.do?rcpNo=20230315000887</t>
    <phoneticPr fontId="16" type="noConversion"/>
  </si>
  <si>
    <t>https://dart.fss.or.kr/dsaf001/main.do?rcpNo=20230315001431</t>
    <phoneticPr fontId="16" type="noConversion"/>
  </si>
  <si>
    <t>https://dart.fss.or.kr/dsaf001/main.do?rcpNo=20230315000658</t>
    <phoneticPr fontId="16" type="noConversion"/>
  </si>
  <si>
    <t>https://dart.fss.or.kr/dsaf001/main.do?rcpNo=20230322001078</t>
    <phoneticPr fontId="16" type="noConversion"/>
  </si>
  <si>
    <t>https://dart.fss.or.kr/dsaf001/main.do?rcpNo=20230321000409</t>
    <phoneticPr fontId="16" type="noConversion"/>
  </si>
  <si>
    <t>https://dart.fss.or.kr/dsaf001/main.do?rcpNo=20230323001183</t>
    <phoneticPr fontId="16" type="noConversion"/>
  </si>
  <si>
    <t>https://dart.fss.or.kr/dsaf001/main.do?rcpNo=20230323001335</t>
    <phoneticPr fontId="16" type="noConversion"/>
  </si>
  <si>
    <t>https://dart.fss.or.kr/dsaf001/main.do?rcpNo=20230309000433</t>
    <phoneticPr fontId="16" type="noConversion"/>
  </si>
  <si>
    <t>https://dart.fss.or.kr/dsaf001/main.do?rcpNo=20230320000322</t>
    <phoneticPr fontId="16" type="noConversion"/>
  </si>
  <si>
    <t>https://dart.fss.or.kr/dsaf001/main.do?rcpNo=20230322000936</t>
    <phoneticPr fontId="16" type="noConversion"/>
  </si>
  <si>
    <t>https://dart.fss.or.kr/dsaf001/main.do?rcpNo=20230317000389</t>
    <phoneticPr fontId="16" type="noConversion"/>
  </si>
  <si>
    <t>https://dart.fss.or.kr/dsaf001/main.do?rcpNo=20230323001151</t>
    <phoneticPr fontId="16" type="noConversion"/>
  </si>
  <si>
    <t>https://dart.fss.or.kr/dsaf001/main.do?rcpNo=20230316000222</t>
    <phoneticPr fontId="16" type="noConversion"/>
  </si>
  <si>
    <t>https://dart.fss.or.kr/dsaf001/main.do?rcpNo=20230315000560</t>
    <phoneticPr fontId="16" type="noConversion"/>
  </si>
  <si>
    <t>https://dart.fss.or.kr/dsaf001/main.do?rcpNo=20230315001068</t>
    <phoneticPr fontId="16" type="noConversion"/>
  </si>
  <si>
    <t>https://dart.fss.or.kr/dsaf001/main.do?rcpNo=20230714000214</t>
    <phoneticPr fontId="16" type="noConversion"/>
  </si>
  <si>
    <t>https://dart.fss.or.kr/dsaf001/main.do?rcpNo=20230308000451</t>
    <phoneticPr fontId="16" type="noConversion"/>
  </si>
  <si>
    <t>https://dart.fss.or.kr/dsaf001/main.do?rcpNo=20230321000389</t>
    <phoneticPr fontId="16" type="noConversion"/>
  </si>
  <si>
    <t>https://dart.fss.or.kr/dsaf001/main.do?rcpNo=20230314001271</t>
    <phoneticPr fontId="16" type="noConversion"/>
  </si>
  <si>
    <t>https://dart.fss.or.kr/dsaf001/main.do?rcpNo=20230316001017</t>
    <phoneticPr fontId="16" type="noConversion"/>
  </si>
  <si>
    <t>https://dart.fss.or.kr/dsaf001/main.do?rcpNo=20230322000622</t>
    <phoneticPr fontId="16" type="noConversion"/>
  </si>
  <si>
    <t>https://dart.fss.or.kr/dsaf001/main.do?rcpNo=20230331002546</t>
    <phoneticPr fontId="16" type="noConversion"/>
  </si>
  <si>
    <t>https://dart.fss.or.kr/dsaf001/main.do?rcpNo=20230309000626</t>
    <phoneticPr fontId="16" type="noConversion"/>
  </si>
  <si>
    <t>https://dart.fss.or.kr/dsaf001/main.do?rcpNo=20230316000376</t>
    <phoneticPr fontId="16" type="noConversion"/>
  </si>
  <si>
    <t>https://dart.fss.or.kr/dsaf001/main.do?rcpNo=20230315001428</t>
    <phoneticPr fontId="16" type="noConversion"/>
  </si>
  <si>
    <t>https://dart.fss.or.kr/dsaf001/main.do?rcpNo=20230308000725</t>
    <phoneticPr fontId="16" type="noConversion"/>
  </si>
  <si>
    <t>https://dart.fss.or.kr/dsaf001/main.do?rcpNo=20230306000422</t>
    <phoneticPr fontId="16" type="noConversion"/>
  </si>
  <si>
    <t>https://dart.fss.or.kr/dsaf001/main.do?rcpNo=20230320000418</t>
    <phoneticPr fontId="16" type="noConversion"/>
  </si>
  <si>
    <t>https://dart.fss.or.kr/dsaf001/main.do?rcpNo=20230321001298</t>
    <phoneticPr fontId="16" type="noConversion"/>
  </si>
  <si>
    <t>https://dart.fss.or.kr/dsaf001/main.do?rcpNo=20230321001309</t>
    <phoneticPr fontId="16" type="noConversion"/>
  </si>
  <si>
    <t>https://dart.fss.or.kr/dsaf001/main.do?rcpNo=20230316000762</t>
    <phoneticPr fontId="16" type="noConversion"/>
  </si>
  <si>
    <t>https://dart.fss.or.kr/dsaf001/main.do?rcpNo=20230321001167</t>
    <phoneticPr fontId="16" type="noConversion"/>
  </si>
  <si>
    <t>https://dart.fss.or.kr/dsaf001/main.do?rcpNo=20230316001262</t>
    <phoneticPr fontId="16" type="noConversion"/>
  </si>
  <si>
    <t>https://dart.fss.or.kr/dsaf001/main.do?rcpNo=20230407002574</t>
    <phoneticPr fontId="16" type="noConversion"/>
  </si>
  <si>
    <t>https://dart.fss.or.kr/dsaf001/main.do?rcpNo=20230323001449</t>
    <phoneticPr fontId="16" type="noConversion"/>
  </si>
  <si>
    <t>https://dart.fss.or.kr/dsaf001/main.do?rcpNo=20230323001208</t>
    <phoneticPr fontId="16" type="noConversion"/>
  </si>
  <si>
    <t>https://dart.fss.or.kr/dsaf001/main.do?rcpNo=20230320001005</t>
    <phoneticPr fontId="16" type="noConversion"/>
  </si>
  <si>
    <t>https://dart.fss.or.kr/dsaf001/main.do?rcpNo=20230317001037</t>
    <phoneticPr fontId="16" type="noConversion"/>
  </si>
  <si>
    <t>https://dart.fss.or.kr/dsaf001/main.do?rcpNo=20230323001465</t>
    <phoneticPr fontId="16" type="noConversion"/>
  </si>
  <si>
    <t>https://dart.fss.or.kr/dsaf001/main.do?rcpNo=20230315000297</t>
    <phoneticPr fontId="16" type="noConversion"/>
  </si>
  <si>
    <t>https://dart.fss.or.kr/dsaf001/main.do?rcpNo=20230321000862</t>
    <phoneticPr fontId="16" type="noConversion"/>
  </si>
  <si>
    <t>https://dart.fss.or.kr/dsaf001/main.do?rcpNo=20230403003576</t>
    <phoneticPr fontId="16" type="noConversion"/>
  </si>
  <si>
    <t>https://dart.fss.or.kr/dsaf001/main.do?rcpNo=20230331000007</t>
    <phoneticPr fontId="16" type="noConversion"/>
  </si>
  <si>
    <t>https://dart.fss.or.kr/dsaf001/main.do?rcpNo=20230320000728</t>
    <phoneticPr fontId="16" type="noConversion"/>
  </si>
  <si>
    <t>https://dart.fss.or.kr/dsaf001/main.do?rcpNo=20230320001037</t>
    <phoneticPr fontId="16" type="noConversion"/>
  </si>
  <si>
    <t>https://dart.fss.or.kr/dsaf001/main.do?rcpNo=20230316001157</t>
    <phoneticPr fontId="16" type="noConversion"/>
  </si>
  <si>
    <t>https://dart.fss.or.kr/dsaf001/main.do?rcpNo=20230323001143</t>
    <phoneticPr fontId="16" type="noConversion"/>
  </si>
  <si>
    <t>https://dart.fss.or.kr/dsaf001/main.do?rcpNo=20230314000862</t>
    <phoneticPr fontId="16" type="noConversion"/>
  </si>
  <si>
    <t>https://dart.fss.or.kr/dsaf001/main.do?rcpNo=20230317000233</t>
    <phoneticPr fontId="16" type="noConversion"/>
  </si>
  <si>
    <t>https://dart.fss.or.kr/dsaf001/main.do?rcpNo=20230322000780</t>
    <phoneticPr fontId="16" type="noConversion"/>
  </si>
  <si>
    <t>https://dart.fss.or.kr/dsaf001/main.do?rcpNo=20230310000763</t>
    <phoneticPr fontId="16" type="noConversion"/>
  </si>
  <si>
    <t>https://dart.fss.or.kr/dsaf001/main.do?rcpNo=20230316001321</t>
    <phoneticPr fontId="16" type="noConversion"/>
  </si>
  <si>
    <t>https://dart.fss.or.kr/dsaf001/main.do?rcpNo=20230316001190</t>
    <phoneticPr fontId="16" type="noConversion"/>
  </si>
  <si>
    <t>https://dart.fss.or.kr/dsaf001/main.do?rcpNo=20230314000892</t>
    <phoneticPr fontId="16" type="noConversion"/>
  </si>
  <si>
    <t>https://dart.fss.or.kr/dsaf001/main.do?rcpNo=20230321001130</t>
    <phoneticPr fontId="16" type="noConversion"/>
  </si>
  <si>
    <t>https://dart.fss.or.kr/dsaf001/main.do?rcpNo=20230321001315</t>
    <phoneticPr fontId="16" type="noConversion"/>
  </si>
  <si>
    <t>https://dart.fss.or.kr/dsaf001/main.do?rcpNo=20230316001331</t>
    <phoneticPr fontId="16" type="noConversion"/>
  </si>
  <si>
    <t>https://dart.fss.or.kr/dsaf001/main.do?rcpNo=20230313000443</t>
    <phoneticPr fontId="16" type="noConversion"/>
  </si>
  <si>
    <t>https://dart.fss.or.kr/dsaf001/main.do?rcpNo=20230317000751</t>
    <phoneticPr fontId="16" type="noConversion"/>
  </si>
  <si>
    <t>https://dart.fss.or.kr/dsaf001/main.do?rcpNo=20230322001245</t>
    <phoneticPr fontId="16" type="noConversion"/>
  </si>
  <si>
    <t>https://dart.fss.or.kr/dsaf001/main.do?rcpNo=20230316001467</t>
    <phoneticPr fontId="16" type="noConversion"/>
  </si>
  <si>
    <t>https://dart.fss.or.kr/dsaf001/main.do?rcpNo=20230712000281</t>
    <phoneticPr fontId="16" type="noConversion"/>
  </si>
  <si>
    <t>https://dart.fss.or.kr/dsaf001/main.do?rcpNo=20230316001349</t>
    <phoneticPr fontId="16" type="noConversion"/>
  </si>
  <si>
    <t>https://dart.fss.or.kr/dsaf001/main.do?rcpNo=20230320000791</t>
    <phoneticPr fontId="16" type="noConversion"/>
  </si>
  <si>
    <t>http://www.fskrc.co.kr</t>
    <phoneticPr fontId="16" type="noConversion"/>
  </si>
  <si>
    <t>https://dart.fss.or.kr/dsaf001/main.do?rcpNo=20230323000756</t>
    <phoneticPr fontId="16" type="noConversion"/>
  </si>
  <si>
    <t>https://dart.fss.or.kr/dsaf001/main.do?rcpNo=20230323000478</t>
    <phoneticPr fontId="16" type="noConversion"/>
  </si>
  <si>
    <t>https://dart.fss.or.kr/dsaf001/main.do?rcpNo=20230315000812</t>
    <phoneticPr fontId="16" type="noConversion"/>
  </si>
  <si>
    <t>https://dart.fss.or.kr/dsaf001/main.do?rcpNo=20230323000970</t>
    <phoneticPr fontId="16" type="noConversion"/>
  </si>
  <si>
    <t>https://dart.fss.or.kr/dsaf001/main.do?rcpNo=20230316001234</t>
    <phoneticPr fontId="16" type="noConversion"/>
  </si>
  <si>
    <t>https://dart.fss.or.kr/dsaf001/main.do?rcpNo=20230316000941</t>
    <phoneticPr fontId="16" type="noConversion"/>
  </si>
  <si>
    <t>https://dart.fss.or.kr/dsaf001/main.do?rcpNo=20230321001102</t>
    <phoneticPr fontId="16" type="noConversion"/>
  </si>
  <si>
    <t>https://dart.fss.or.kr/dsaf001/main.do?rcpNo=20230317000867</t>
    <phoneticPr fontId="16" type="noConversion"/>
  </si>
  <si>
    <t>https://dart.fss.or.kr/dsaf001/main.do?rcpNo=20230316000780</t>
    <phoneticPr fontId="16" type="noConversion"/>
  </si>
  <si>
    <t>https://dart.fss.or.kr/dsaf001/main.do?rcpNo=20230316001135</t>
    <phoneticPr fontId="16" type="noConversion"/>
  </si>
  <si>
    <t>https://dart.fss.or.kr/dsaf001/main.do?rcpNo=20230316001554</t>
    <phoneticPr fontId="16" type="noConversion"/>
  </si>
  <si>
    <t>https://dart.fss.or.kr/dsaf001/main.do?rcpNo=20230321001525</t>
    <phoneticPr fontId="16" type="noConversion"/>
  </si>
  <si>
    <t>https://dart.fss.or.kr/dsaf001/main.do?rcpNo=20230315001312</t>
    <phoneticPr fontId="16" type="noConversion"/>
  </si>
  <si>
    <t>https://dart.fss.or.kr/dsaf001/main.do?rcpNo=20230320000937</t>
    <phoneticPr fontId="16" type="noConversion"/>
  </si>
  <si>
    <t>https://dart.fss.or.kr/dsaf001/main.do?rcpNo=20230314000521</t>
    <phoneticPr fontId="16" type="noConversion"/>
  </si>
  <si>
    <t>https://dart.fss.or.kr/dsaf001/main.do?rcpNo=20230313000732</t>
    <phoneticPr fontId="16" type="noConversion"/>
  </si>
  <si>
    <t>https://dart.fss.or.kr/dsaf001/main.do?rcpNo=20230314001231</t>
    <phoneticPr fontId="16" type="noConversion"/>
  </si>
  <si>
    <t>https://dart.fss.or.kr/dsaf001/main.do?rcpNo=20230315001227</t>
    <phoneticPr fontId="16" type="noConversion"/>
  </si>
  <si>
    <t>https://dart.fss.or.kr/dsaf001/main.do?rcpNo=20230315000894</t>
    <phoneticPr fontId="16" type="noConversion"/>
  </si>
  <si>
    <t>https://dart.fss.or.kr/dsaf001/main.do?rcpNo=20230321000255</t>
    <phoneticPr fontId="16" type="noConversion"/>
  </si>
  <si>
    <t>https://dart.fss.or.kr/dsaf001/main.do?rcpNo=20230317000994</t>
    <phoneticPr fontId="16" type="noConversion"/>
  </si>
  <si>
    <t>https://dart.fss.or.kr/dsaf001/main.do?rcpNo=20230317000982</t>
    <phoneticPr fontId="16" type="noConversion"/>
  </si>
  <si>
    <t>https://dart.fss.or.kr/dsaf001/main.do?rcpNo=20230323001346</t>
    <phoneticPr fontId="16" type="noConversion"/>
  </si>
  <si>
    <t>https://dart.fss.or.kr/dsaf001/main.do?rcpNo=20230315001412</t>
    <phoneticPr fontId="16" type="noConversion"/>
  </si>
  <si>
    <t>https://dart.fss.or.kr/dsaf001/main.do?rcpNo=20230315000557</t>
    <phoneticPr fontId="16" type="noConversion"/>
  </si>
  <si>
    <t>https://dart.fss.or.kr/dsaf001/main.do?rcpNo=20230315001327</t>
    <phoneticPr fontId="16" type="noConversion"/>
  </si>
  <si>
    <t>https://dart.fss.or.kr/dsaf001/main.do?rcpNo=20230314001218</t>
    <phoneticPr fontId="16" type="noConversion"/>
  </si>
  <si>
    <t>https://dart.fss.or.kr/dsaf001/main.do?rcpNo=20230411001656</t>
    <phoneticPr fontId="16" type="noConversion"/>
  </si>
  <si>
    <t>https://dart.fss.or.kr/dsaf001/main.do?rcpNo=20230315001104</t>
    <phoneticPr fontId="16" type="noConversion"/>
  </si>
  <si>
    <t>https://dart.fss.or.kr/dsaf001/main.do?rcpNo=20230321001449</t>
    <phoneticPr fontId="16" type="noConversion"/>
  </si>
  <si>
    <t>https://dart.fss.or.kr/dsaf001/main.do?rcpNo=20230310001083</t>
    <phoneticPr fontId="16" type="noConversion"/>
  </si>
  <si>
    <t>https://dart.fss.or.kr/dsaf001/main.do?rcpNo=20230321001162</t>
    <phoneticPr fontId="16" type="noConversion"/>
  </si>
  <si>
    <t>https://dart.fss.or.kr/dsaf001/main.do?rcpNo=20230320001061</t>
    <phoneticPr fontId="16" type="noConversion"/>
  </si>
  <si>
    <t>https://dart.fss.or.kr/dsaf001/main.do?rcpNo=20230321001479</t>
    <phoneticPr fontId="16" type="noConversion"/>
  </si>
  <si>
    <t>https://dart.fss.or.kr/dsaf001/main.do?rcpNo=20230317000639</t>
    <phoneticPr fontId="16" type="noConversion"/>
  </si>
  <si>
    <t>https://dart.fss.or.kr/dsaf001/main.do?rcpNo=20230315001030</t>
    <phoneticPr fontId="16" type="noConversion"/>
  </si>
  <si>
    <t>https://dart.fss.or.kr/dsaf001/main.do?rcpNo=20230315000803</t>
    <phoneticPr fontId="16" type="noConversion"/>
  </si>
  <si>
    <t>https://dart.fss.or.kr/dsaf001/main.do?rcpNo=20230321001082</t>
    <phoneticPr fontId="16" type="noConversion"/>
  </si>
  <si>
    <t>https://dart.fss.or.kr/dsaf001/main.do?rcpNo=20230309000797</t>
    <phoneticPr fontId="16" type="noConversion"/>
  </si>
  <si>
    <t>https://dart.fss.or.kr/dsaf001/main.do?rcpNo=20230315001376</t>
    <phoneticPr fontId="16" type="noConversion"/>
  </si>
  <si>
    <t>https://dart.fss.or.kr/dsaf001/main.do?rcpNo=20230316001392</t>
    <phoneticPr fontId="16" type="noConversion"/>
  </si>
  <si>
    <t>https://dart.fss.or.kr/dsaf001/main.do?rcpNo=20230321000920</t>
    <phoneticPr fontId="16" type="noConversion"/>
  </si>
  <si>
    <t>https://dart.fss.or.kr/dsaf001/main.do?rcpNo=20230317000130</t>
    <phoneticPr fontId="16" type="noConversion"/>
  </si>
  <si>
    <t>https://dart.fss.or.kr/dsaf001/main.do?rcpNo=20230315000315</t>
    <phoneticPr fontId="16" type="noConversion"/>
  </si>
  <si>
    <t>https://dart.fss.or.kr/dsaf001/main.do?rcpNo=20230320000391</t>
    <phoneticPr fontId="16" type="noConversion"/>
  </si>
  <si>
    <t>https://dart.fss.or.kr/dsaf001/main.do?rcpNo=20230315001063</t>
    <phoneticPr fontId="16" type="noConversion"/>
  </si>
  <si>
    <t>https://dart.fss.or.kr/dsaf001/main.do?rcpNo=20230308000691</t>
    <phoneticPr fontId="16" type="noConversion"/>
  </si>
  <si>
    <t>https://dart.fss.or.kr/dsaf001/main.do?rcpNo=20230308000741</t>
    <phoneticPr fontId="16" type="noConversion"/>
  </si>
  <si>
    <t>https://dart.fss.or.kr/dsaf001/main.do?rcpNo=20230321000387</t>
    <phoneticPr fontId="16" type="noConversion"/>
  </si>
  <si>
    <t>https://dart.fss.or.kr/dsaf001/main.do?rcpNo=20230313000533</t>
    <phoneticPr fontId="16" type="noConversion"/>
  </si>
  <si>
    <t>https://dart.fss.or.kr/dsaf001/main.do?rcpNo=20230316001454</t>
    <phoneticPr fontId="16" type="noConversion"/>
  </si>
  <si>
    <t>https://www.sj.co.kr/</t>
    <phoneticPr fontId="16" type="noConversion"/>
  </si>
  <si>
    <t>https://www.aplusga.com/</t>
    <phoneticPr fontId="16" type="noConversion"/>
  </si>
  <si>
    <t>https://www.youngone.co.kr/</t>
    <phoneticPr fontId="16" type="noConversion"/>
  </si>
  <si>
    <t>http://www.iljinelectric.co.kr/main.jsp</t>
    <phoneticPr fontId="16" type="noConversion"/>
  </si>
  <si>
    <t>https://m.kakaobank.com/</t>
    <phoneticPr fontId="16" type="noConversion"/>
  </si>
  <si>
    <t>https://www.hanmi.co.kr/</t>
    <phoneticPr fontId="16" type="noConversion"/>
  </si>
  <si>
    <r>
      <t xml:space="preserve">발행주식
총수
</t>
    </r>
    <r>
      <rPr>
        <sz val="11"/>
        <color rgb="FFFF0000"/>
        <rFont val="맑은 고딕"/>
        <family val="3"/>
        <charset val="129"/>
      </rPr>
      <t>(보통주)</t>
    </r>
    <phoneticPr fontId="16" type="noConversion"/>
  </si>
  <si>
    <r>
      <t xml:space="preserve">자기주식수
</t>
    </r>
    <r>
      <rPr>
        <sz val="11"/>
        <color rgb="FFFF0000"/>
        <rFont val="맑은 고딕"/>
        <family val="3"/>
        <charset val="129"/>
      </rPr>
      <t>(보통주)</t>
    </r>
    <phoneticPr fontId="16" type="noConversion"/>
  </si>
  <si>
    <r>
      <t xml:space="preserve">동일인지분
</t>
    </r>
    <r>
      <rPr>
        <sz val="11"/>
        <color rgb="FFFF0000"/>
        <rFont val="맑은 고딕"/>
        <family val="3"/>
        <charset val="129"/>
      </rPr>
      <t>(주식수)</t>
    </r>
    <phoneticPr fontId="16" type="noConversion"/>
  </si>
  <si>
    <r>
      <t xml:space="preserve">친족지분
</t>
    </r>
    <r>
      <rPr>
        <sz val="11"/>
        <color rgb="FFFF0000"/>
        <rFont val="맑은 고딕"/>
        <family val="3"/>
        <charset val="129"/>
      </rPr>
      <t>(주식수)</t>
    </r>
    <phoneticPr fontId="16" type="noConversion"/>
  </si>
  <si>
    <r>
      <t xml:space="preserve">임원지분
</t>
    </r>
    <r>
      <rPr>
        <sz val="11"/>
        <color rgb="FFFF0000"/>
        <rFont val="맑은 고딕"/>
        <family val="3"/>
        <charset val="129"/>
      </rPr>
      <t>(주식수)</t>
    </r>
    <phoneticPr fontId="16" type="noConversion"/>
  </si>
  <si>
    <r>
      <t xml:space="preserve">비영리법인지분
</t>
    </r>
    <r>
      <rPr>
        <sz val="11"/>
        <color rgb="FFFF0000"/>
        <rFont val="맑은 고딕"/>
        <family val="3"/>
        <charset val="129"/>
      </rPr>
      <t>(주식수)</t>
    </r>
    <phoneticPr fontId="16" type="noConversion"/>
  </si>
  <si>
    <r>
      <t xml:space="preserve">계열회사지분
</t>
    </r>
    <r>
      <rPr>
        <sz val="11"/>
        <color rgb="FFFF0000"/>
        <rFont val="맑은 고딕"/>
        <family val="3"/>
        <charset val="129"/>
      </rPr>
      <t>(주식수)</t>
    </r>
    <phoneticPr fontId="16" type="noConversion"/>
  </si>
  <si>
    <r>
      <t xml:space="preserve">상호주
</t>
    </r>
    <r>
      <rPr>
        <sz val="11"/>
        <color rgb="FFFF0000"/>
        <rFont val="맑은 고딕"/>
        <family val="3"/>
        <charset val="129"/>
      </rPr>
      <t>(주식수)</t>
    </r>
    <phoneticPr fontId="16" type="noConversion"/>
  </si>
  <si>
    <r>
      <t xml:space="preserve">등기
임원수
</t>
    </r>
    <r>
      <rPr>
        <sz val="11"/>
        <color rgb="FFFF0000"/>
        <rFont val="맑은 고딕"/>
        <family val="3"/>
        <charset val="129"/>
      </rPr>
      <t>(명)</t>
    </r>
    <phoneticPr fontId="16" type="noConversion"/>
  </si>
  <si>
    <r>
      <t xml:space="preserve">미등기
임원수
</t>
    </r>
    <r>
      <rPr>
        <sz val="11"/>
        <color rgb="FFFF0000"/>
        <rFont val="맑은 고딕"/>
        <family val="3"/>
        <charset val="129"/>
      </rPr>
      <t>(명)</t>
    </r>
    <phoneticPr fontId="16" type="noConversion"/>
  </si>
  <si>
    <r>
      <t xml:space="preserve">사외이사수
</t>
    </r>
    <r>
      <rPr>
        <sz val="11"/>
        <color rgb="FFFF0000"/>
        <rFont val="맑은 고딕"/>
        <family val="3"/>
        <charset val="129"/>
      </rPr>
      <t>(명)</t>
    </r>
    <phoneticPr fontId="16" type="noConversion"/>
  </si>
  <si>
    <r>
      <t xml:space="preserve">이사회
개최건수
</t>
    </r>
    <r>
      <rPr>
        <sz val="11"/>
        <color rgb="FFFF0000"/>
        <rFont val="맑은 고딕"/>
        <family val="3"/>
        <charset val="129"/>
      </rPr>
      <t>(건)</t>
    </r>
    <phoneticPr fontId="16" type="noConversion"/>
  </si>
  <si>
    <r>
      <t xml:space="preserve">실제 누적 참석수
</t>
    </r>
    <r>
      <rPr>
        <sz val="11"/>
        <color rgb="FFFF0000"/>
        <rFont val="맑은 고딕"/>
        <family val="3"/>
        <charset val="129"/>
      </rPr>
      <t>(명)</t>
    </r>
    <phoneticPr fontId="16" type="noConversion"/>
  </si>
  <si>
    <r>
      <t xml:space="preserve">고정이하
여신비율
</t>
    </r>
    <r>
      <rPr>
        <sz val="11"/>
        <color rgb="FFFF0000"/>
        <rFont val="맑은 고딕"/>
        <family val="3"/>
        <charset val="129"/>
      </rPr>
      <t>(은행, 종금)
(%)</t>
    </r>
    <phoneticPr fontId="16" type="noConversion"/>
  </si>
  <si>
    <r>
      <t xml:space="preserve">고정이하
자산비율
</t>
    </r>
    <r>
      <rPr>
        <sz val="11"/>
        <color rgb="FFFF0000"/>
        <rFont val="맑은 고딕"/>
        <family val="3"/>
        <charset val="129"/>
      </rPr>
      <t>(증권)
(%)</t>
    </r>
    <phoneticPr fontId="16" type="noConversion"/>
  </si>
  <si>
    <r>
      <t xml:space="preserve">위험가중
자산비율
</t>
    </r>
    <r>
      <rPr>
        <sz val="11"/>
        <color rgb="FFFF0000"/>
        <rFont val="맑은 고딕"/>
        <family val="3"/>
        <charset val="129"/>
      </rPr>
      <t>(보험)
(%)</t>
    </r>
    <phoneticPr fontId="16" type="noConversion"/>
  </si>
  <si>
    <t>평가제외</t>
    <phoneticPr fontId="16" type="noConversion"/>
  </si>
  <si>
    <r>
      <t xml:space="preserve">비영리법인
법인명
</t>
    </r>
    <r>
      <rPr>
        <sz val="11"/>
        <color rgb="FFFF0000"/>
        <rFont val="맑은 고딕"/>
        <family val="3"/>
        <charset val="129"/>
      </rPr>
      <t>(입력)</t>
    </r>
    <phoneticPr fontId="16" type="noConversion"/>
  </si>
  <si>
    <r>
      <rPr>
        <sz val="11"/>
        <color rgb="FF0000FF"/>
        <rFont val="맑은 고딕"/>
        <family val="3"/>
        <charset val="129"/>
      </rPr>
      <t xml:space="preserve">유형자산 취득
</t>
    </r>
    <r>
      <rPr>
        <sz val="11"/>
        <color rgb="FFFF0000"/>
        <rFont val="맑은 고딕"/>
        <family val="3"/>
        <charset val="129"/>
      </rPr>
      <t>(천원)</t>
    </r>
    <phoneticPr fontId="16" type="noConversion"/>
  </si>
  <si>
    <r>
      <rPr>
        <sz val="11"/>
        <color rgb="FF0000FF"/>
        <rFont val="맑은 고딕"/>
        <family val="3"/>
        <charset val="129"/>
      </rPr>
      <t xml:space="preserve">유형자산 처분
</t>
    </r>
    <r>
      <rPr>
        <sz val="11"/>
        <color rgb="FFFF0000"/>
        <rFont val="맑은 고딕"/>
        <family val="3"/>
        <charset val="129"/>
      </rPr>
      <t>(천원)</t>
    </r>
    <phoneticPr fontId="16" type="noConversion"/>
  </si>
  <si>
    <r>
      <t>전기오류 수정이익 또는 수정손실</t>
    </r>
    <r>
      <rPr>
        <sz val="11"/>
        <color rgb="FFFF0000"/>
        <rFont val="맑은 고딕"/>
        <family val="3"/>
        <charset val="129"/>
      </rPr>
      <t>(유/무)</t>
    </r>
  </si>
  <si>
    <r>
      <t xml:space="preserve">장애인고용 의무 이행
</t>
    </r>
    <r>
      <rPr>
        <sz val="11"/>
        <color rgb="FFFF0000"/>
        <rFont val="맑은 고딕"/>
        <family val="3"/>
        <charset val="129"/>
      </rPr>
      <t>해당없음=1
불이행=0</t>
    </r>
    <phoneticPr fontId="16" type="noConversion"/>
  </si>
  <si>
    <r>
      <t xml:space="preserve">전기 여직원(정규직) 수
</t>
    </r>
    <r>
      <rPr>
        <sz val="11"/>
        <color rgb="FFFF0000"/>
        <rFont val="맑은 고딕"/>
        <family val="3"/>
        <charset val="129"/>
      </rPr>
      <t>(명)</t>
    </r>
    <phoneticPr fontId="16" type="noConversion"/>
  </si>
  <si>
    <r>
      <t xml:space="preserve">당기 여직원(정규직) 수
</t>
    </r>
    <r>
      <rPr>
        <sz val="11"/>
        <color rgb="FFFF0000"/>
        <rFont val="맑은 고딕"/>
        <family val="3"/>
        <charset val="129"/>
      </rPr>
      <t>(명)</t>
    </r>
    <phoneticPr fontId="16" type="noConversion"/>
  </si>
  <si>
    <r>
      <t xml:space="preserve">전기 직원(정규직) 수
</t>
    </r>
    <r>
      <rPr>
        <sz val="11"/>
        <color rgb="FFFF0000"/>
        <rFont val="맑은 고딕"/>
        <family val="3"/>
        <charset val="129"/>
      </rPr>
      <t>(명)</t>
    </r>
    <phoneticPr fontId="16" type="noConversion"/>
  </si>
  <si>
    <r>
      <t xml:space="preserve">당기 직원(정규직) 수
</t>
    </r>
    <r>
      <rPr>
        <sz val="11"/>
        <color rgb="FFFF0000"/>
        <rFont val="맑은 고딕"/>
        <family val="3"/>
        <charset val="129"/>
      </rPr>
      <t>(명)</t>
    </r>
    <phoneticPr fontId="16" type="noConversion"/>
  </si>
  <si>
    <r>
      <t xml:space="preserve">남녀고용평등 우수기업
</t>
    </r>
    <r>
      <rPr>
        <sz val="11"/>
        <color rgb="FFFF0000"/>
        <rFont val="맑은 고딕"/>
        <family val="3"/>
        <charset val="129"/>
      </rPr>
      <t>(유/무)</t>
    </r>
    <phoneticPr fontId="16" type="noConversion"/>
  </si>
  <si>
    <r>
      <t xml:space="preserve">일자리 창출 유공기업
</t>
    </r>
    <r>
      <rPr>
        <sz val="11"/>
        <color rgb="FFFF0000"/>
        <rFont val="맑은 고딕"/>
        <family val="3"/>
        <charset val="129"/>
      </rPr>
      <t>(유/무)</t>
    </r>
    <phoneticPr fontId="16" type="noConversion"/>
  </si>
  <si>
    <r>
      <t xml:space="preserve">노사문화 유공
</t>
    </r>
    <r>
      <rPr>
        <sz val="11"/>
        <color rgb="FFFF0000"/>
        <rFont val="맑은 고딕"/>
        <family val="3"/>
        <charset val="129"/>
      </rPr>
      <t>(유/무)</t>
    </r>
    <phoneticPr fontId="16" type="noConversion"/>
  </si>
  <si>
    <r>
      <t xml:space="preserve">근무혁신 우수기업
</t>
    </r>
    <r>
      <rPr>
        <sz val="11"/>
        <color rgb="FFFF0000"/>
        <rFont val="맑은 고딕"/>
        <family val="3"/>
        <charset val="129"/>
      </rPr>
      <t>(유/무)</t>
    </r>
    <phoneticPr fontId="16" type="noConversion"/>
  </si>
  <si>
    <r>
      <rPr>
        <sz val="11"/>
        <color rgb="FF0039F0"/>
        <rFont val="맑은 고딕"/>
        <family val="3"/>
        <charset val="129"/>
      </rPr>
      <t xml:space="preserve">기부금
</t>
    </r>
    <r>
      <rPr>
        <sz val="11"/>
        <color rgb="FFFF0000"/>
        <rFont val="맑은 고딕"/>
        <family val="3"/>
        <charset val="129"/>
      </rPr>
      <t>(천원)</t>
    </r>
    <phoneticPr fontId="16" type="noConversion"/>
  </si>
  <si>
    <r>
      <t xml:space="preserve">사회공헌 프로그램 내용
</t>
    </r>
    <r>
      <rPr>
        <sz val="11"/>
        <color rgb="FFFF0000"/>
        <rFont val="맑은 고딕"/>
        <family val="3"/>
        <charset val="129"/>
      </rPr>
      <t>(입력)</t>
    </r>
    <phoneticPr fontId="16" type="noConversion"/>
  </si>
  <si>
    <r>
      <rPr>
        <sz val="11"/>
        <color rgb="FF0039F0"/>
        <rFont val="맑은 고딕"/>
        <family val="3"/>
        <charset val="129"/>
      </rPr>
      <t xml:space="preserve">사회공헌
전담조직
</t>
    </r>
    <r>
      <rPr>
        <sz val="11"/>
        <color rgb="FFFF0000"/>
        <rFont val="맑은 고딕"/>
        <family val="3"/>
        <charset val="129"/>
      </rPr>
      <t>(유/무)</t>
    </r>
    <phoneticPr fontId="16" type="noConversion"/>
  </si>
  <si>
    <r>
      <rPr>
        <sz val="11"/>
        <color rgb="FF0039F0"/>
        <rFont val="맑은 고딕"/>
        <family val="3"/>
        <charset val="129"/>
      </rPr>
      <t xml:space="preserve">사회공헌
추진조직
</t>
    </r>
    <r>
      <rPr>
        <sz val="11"/>
        <color rgb="FFFF0000"/>
        <rFont val="맑은 고딕"/>
        <family val="3"/>
        <charset val="129"/>
      </rPr>
      <t>(유/무)</t>
    </r>
    <phoneticPr fontId="16" type="noConversion"/>
  </si>
  <si>
    <r>
      <rPr>
        <sz val="11"/>
        <color rgb="FF0039F0"/>
        <rFont val="맑은 고딕"/>
        <family val="3"/>
        <charset val="129"/>
      </rPr>
      <t xml:space="preserve">사회공헌
프로그램
</t>
    </r>
    <r>
      <rPr>
        <sz val="11"/>
        <color rgb="FFFF0000"/>
        <rFont val="맑은 고딕"/>
        <family val="3"/>
        <charset val="129"/>
      </rPr>
      <t>(건수)</t>
    </r>
    <phoneticPr fontId="16" type="noConversion"/>
  </si>
  <si>
    <r>
      <rPr>
        <sz val="11"/>
        <color rgb="FF0039F0"/>
        <rFont val="맑은 고딕"/>
        <family val="3"/>
        <charset val="129"/>
      </rPr>
      <t xml:space="preserve">지역사회
공헌 인정제
</t>
    </r>
    <r>
      <rPr>
        <sz val="11"/>
        <color rgb="FFFF0000"/>
        <rFont val="맑은 고딕"/>
        <family val="3"/>
        <charset val="129"/>
      </rPr>
      <t>(유/무)</t>
    </r>
    <phoneticPr fontId="16" type="noConversion"/>
  </si>
  <si>
    <r>
      <t xml:space="preserve">소비자불만상담건수
</t>
    </r>
    <r>
      <rPr>
        <u/>
        <sz val="11"/>
        <color rgb="FFFF0000"/>
        <rFont val="맑은 고딕"/>
        <family val="3"/>
        <charset val="129"/>
      </rPr>
      <t>(건수)</t>
    </r>
    <phoneticPr fontId="16" type="noConversion"/>
  </si>
  <si>
    <r>
      <t xml:space="preserve">금융분쟁조정신청건수
</t>
    </r>
    <r>
      <rPr>
        <u/>
        <sz val="11"/>
        <color rgb="FFFF0000"/>
        <rFont val="맑은 고딕"/>
        <family val="3"/>
        <charset val="129"/>
      </rPr>
      <t>(건수)</t>
    </r>
    <phoneticPr fontId="16" type="noConversion"/>
  </si>
  <si>
    <t>금융업 전체 금융분쟁조정신청건수 상위표준분표(%)</t>
    <phoneticPr fontId="16" type="noConversion"/>
  </si>
  <si>
    <r>
      <t xml:space="preserve">최근3개년 금융소비자보호 실태평가
</t>
    </r>
    <r>
      <rPr>
        <sz val="10"/>
        <color rgb="FFFF0000"/>
        <rFont val="맑은 고딕"/>
        <family val="3"/>
        <charset val="129"/>
      </rPr>
      <t>(우수/양호/보통/미흡/평가미대상)</t>
    </r>
    <phoneticPr fontId="16" type="noConversion"/>
  </si>
  <si>
    <r>
      <t xml:space="preserve">불공정약관
</t>
    </r>
    <r>
      <rPr>
        <sz val="10"/>
        <color rgb="FFFF0000"/>
        <rFont val="맑은 고딕"/>
        <family val="3"/>
        <charset val="129"/>
      </rPr>
      <t>(건수)</t>
    </r>
    <phoneticPr fontId="16" type="noConversion"/>
  </si>
  <si>
    <r>
      <t xml:space="preserve">전자상거래소비자보호법령위반
</t>
    </r>
    <r>
      <rPr>
        <sz val="10"/>
        <color rgb="FFFF0000"/>
        <rFont val="맑은 고딕"/>
        <family val="3"/>
        <charset val="129"/>
      </rPr>
      <t>(건수)</t>
    </r>
    <phoneticPr fontId="16" type="noConversion"/>
  </si>
  <si>
    <r>
      <t xml:space="preserve">청약확인 등 통지의무위반
</t>
    </r>
    <r>
      <rPr>
        <sz val="10"/>
        <color rgb="FFFF0000"/>
        <rFont val="맑은 고딕"/>
        <family val="3"/>
        <charset val="129"/>
      </rPr>
      <t>(건수)</t>
    </r>
    <phoneticPr fontId="16" type="noConversion"/>
  </si>
  <si>
    <r>
      <t xml:space="preserve">구매등 거부의사표시에대한 구매등 강요행위
</t>
    </r>
    <r>
      <rPr>
        <sz val="10"/>
        <color rgb="FFFF0000"/>
        <rFont val="맑은 고딕"/>
        <family val="3"/>
        <charset val="129"/>
      </rPr>
      <t>(건수)</t>
    </r>
    <phoneticPr fontId="16" type="noConversion"/>
  </si>
  <si>
    <r>
      <t xml:space="preserve">방문판매등에관한법령위반
</t>
    </r>
    <r>
      <rPr>
        <sz val="10"/>
        <color rgb="FFFF0000"/>
        <rFont val="맑은 고딕"/>
        <family val="3"/>
        <charset val="129"/>
      </rPr>
      <t>(건수)</t>
    </r>
    <phoneticPr fontId="16" type="noConversion"/>
  </si>
  <si>
    <r>
      <t xml:space="preserve">가맹사업거래의공정화에관한법령위반
</t>
    </r>
    <r>
      <rPr>
        <sz val="10"/>
        <color rgb="FFFF0000"/>
        <rFont val="맑은 고딕"/>
        <family val="3"/>
        <charset val="129"/>
      </rPr>
      <t>(건수)</t>
    </r>
    <phoneticPr fontId="16" type="noConversion"/>
  </si>
  <si>
    <r>
      <t xml:space="preserve">표시광고공정화에관한법률위반
</t>
    </r>
    <r>
      <rPr>
        <sz val="10"/>
        <color rgb="FFFF0000"/>
        <rFont val="맑은 고딕"/>
        <family val="3"/>
        <charset val="129"/>
      </rPr>
      <t>(건수)</t>
    </r>
    <phoneticPr fontId="16" type="noConversion"/>
  </si>
  <si>
    <r>
      <t xml:space="preserve">대규모유통업법
</t>
    </r>
    <r>
      <rPr>
        <sz val="10"/>
        <color rgb="FFFF0000"/>
        <rFont val="맑은 고딕"/>
        <family val="3"/>
        <charset val="129"/>
      </rPr>
      <t>(건수)</t>
    </r>
    <phoneticPr fontId="16" type="noConversion"/>
  </si>
  <si>
    <r>
      <t xml:space="preserve">환경보호
프로그램
</t>
    </r>
    <r>
      <rPr>
        <sz val="10"/>
        <color rgb="FFFF0000"/>
        <rFont val="맑은 고딕"/>
        <family val="3"/>
        <charset val="129"/>
      </rPr>
      <t>(건)</t>
    </r>
    <phoneticPr fontId="16" type="noConversion"/>
  </si>
  <si>
    <r>
      <t xml:space="preserve">비금전적 행정상 처분(시정명령, 시정권고, 경고 등)
</t>
    </r>
    <r>
      <rPr>
        <sz val="10"/>
        <color rgb="FFFF0000"/>
        <rFont val="맑은 고딕"/>
        <family val="3"/>
        <charset val="129"/>
      </rPr>
      <t>(유/무)</t>
    </r>
    <phoneticPr fontId="16" type="noConversion"/>
  </si>
  <si>
    <r>
      <t xml:space="preserve">금전적 행정상 처분 (과태료, 과징금, 이행강제금)
</t>
    </r>
    <r>
      <rPr>
        <sz val="10"/>
        <color rgb="FFFF0000"/>
        <rFont val="맑은 고딕"/>
        <family val="3"/>
        <charset val="129"/>
      </rPr>
      <t>(유/무)</t>
    </r>
    <phoneticPr fontId="16" type="noConversion"/>
  </si>
  <si>
    <r>
      <t xml:space="preserve">사법상 형벌 (벌금, 과료) 또는 입찰참가자격 제한
</t>
    </r>
    <r>
      <rPr>
        <sz val="10"/>
        <color rgb="FFFF0000"/>
        <rFont val="맑은 고딕"/>
        <family val="3"/>
        <charset val="129"/>
      </rPr>
      <t>(유/무)</t>
    </r>
    <phoneticPr fontId="16" type="noConversion"/>
  </si>
  <si>
    <r>
      <t xml:space="preserve">사법상 형벌 (벌금, 과료)
</t>
    </r>
    <r>
      <rPr>
        <sz val="10"/>
        <color rgb="FFFF0000"/>
        <rFont val="맑은 고딕"/>
        <family val="3"/>
        <charset val="129"/>
      </rPr>
      <t>(유/무)</t>
    </r>
    <phoneticPr fontId="16" type="noConversion"/>
  </si>
  <si>
    <t>노사관계 관련 제재(등급 A/B/C/D)</t>
    <phoneticPr fontId="16" type="noConversion"/>
  </si>
  <si>
    <r>
      <t xml:space="preserve">당기 
비정규직 수
</t>
    </r>
    <r>
      <rPr>
        <sz val="10"/>
        <color rgb="FFFF0000"/>
        <rFont val="맑은 고딕"/>
        <family val="3"/>
        <charset val="129"/>
      </rPr>
      <t>(명)</t>
    </r>
    <phoneticPr fontId="16" type="noConversion"/>
  </si>
  <si>
    <r>
      <t xml:space="preserve">우리사주조합 지분율
</t>
    </r>
    <r>
      <rPr>
        <sz val="10"/>
        <color rgb="FFFF0000"/>
        <rFont val="맑은 고딕"/>
        <family val="3"/>
        <charset val="129"/>
      </rPr>
      <t>(%)</t>
    </r>
    <phoneticPr fontId="16" type="noConversion"/>
  </si>
  <si>
    <t>2022.12.31. 기준</t>
    <phoneticPr fontId="16" type="noConversion"/>
  </si>
  <si>
    <t>통화</t>
    <phoneticPr fontId="16" type="noConversion"/>
  </si>
  <si>
    <t>원화 (천원)</t>
    <phoneticPr fontId="16" type="noConversion"/>
  </si>
  <si>
    <t>소유지분율</t>
    <phoneticPr fontId="16" type="noConversion"/>
  </si>
  <si>
    <t>의결지분율</t>
    <phoneticPr fontId="16" type="noConversion"/>
  </si>
  <si>
    <t>매출대비 업종별 설비투자율 표준편차</t>
    <phoneticPr fontId="16" type="noConversion"/>
  </si>
  <si>
    <t>(소수점 절상)</t>
    <phoneticPr fontId="16" type="noConversion"/>
  </si>
  <si>
    <t>전문경영인정도 평점화
(100)</t>
    <phoneticPr fontId="16" type="noConversion"/>
  </si>
  <si>
    <t>사외이사비율 평점화
(100)</t>
    <phoneticPr fontId="16" type="noConversion"/>
  </si>
  <si>
    <t>설비투자율(%)</t>
    <phoneticPr fontId="16" type="noConversion"/>
  </si>
  <si>
    <t>업종</t>
    <phoneticPr fontId="16" type="noConversion"/>
  </si>
  <si>
    <t>업종별 설비투자율 평균 (%)</t>
    <phoneticPr fontId="16" type="noConversion"/>
  </si>
  <si>
    <t>설비투자율 분산값</t>
    <phoneticPr fontId="16" type="noConversion"/>
  </si>
  <si>
    <t>해당없음</t>
    <phoneticPr fontId="16" type="noConversion"/>
  </si>
  <si>
    <r>
      <t xml:space="preserve">회사채신용등급
</t>
    </r>
    <r>
      <rPr>
        <sz val="11"/>
        <color rgb="FFFF0000"/>
        <rFont val="맑은 고딕"/>
        <family val="3"/>
        <charset val="129"/>
      </rPr>
      <t>(입력)</t>
    </r>
    <phoneticPr fontId="16" type="noConversion"/>
  </si>
  <si>
    <r>
      <t xml:space="preserve">6등급 분류
</t>
    </r>
    <r>
      <rPr>
        <sz val="11"/>
        <color rgb="FFFF0000"/>
        <rFont val="맑은 고딕"/>
        <family val="3"/>
        <charset val="129"/>
      </rPr>
      <t>(A ~ F)</t>
    </r>
    <phoneticPr fontId="16" type="noConversion"/>
  </si>
  <si>
    <r>
      <rPr>
        <u/>
        <sz val="11"/>
        <color rgb="FF0000FF"/>
        <rFont val="맑은 고딕"/>
        <family val="3"/>
        <charset val="129"/>
      </rPr>
      <t xml:space="preserve">농촌사회
공헌 인정제
</t>
    </r>
    <r>
      <rPr>
        <u/>
        <sz val="11"/>
        <color rgb="FFFF0000"/>
        <rFont val="맑은 고딕"/>
        <family val="3"/>
        <charset val="129"/>
      </rPr>
      <t>(유/무)</t>
    </r>
    <phoneticPr fontId="16" type="noConversion"/>
  </si>
  <si>
    <r>
      <rPr>
        <u/>
        <sz val="11"/>
        <color rgb="FF0000FF"/>
        <rFont val="맑은 고딕"/>
        <family val="3"/>
        <charset val="129"/>
      </rPr>
      <t xml:space="preserve">문화예술 후원
우수기업 인증
</t>
    </r>
    <r>
      <rPr>
        <u/>
        <sz val="11"/>
        <color rgb="FFFF0000"/>
        <rFont val="맑은 고딕"/>
        <family val="3"/>
        <charset val="129"/>
      </rPr>
      <t>(유/무)</t>
    </r>
    <phoneticPr fontId="16" type="noConversion"/>
  </si>
  <si>
    <t>인증유무
합계</t>
    <phoneticPr fontId="16" type="noConversion"/>
  </si>
  <si>
    <r>
      <rPr>
        <u/>
        <sz val="10"/>
        <color rgb="FF0000FF"/>
        <rFont val="맑은 고딕"/>
        <family val="3"/>
        <charset val="129"/>
      </rPr>
      <t xml:space="preserve">KOSHA-MS
안전보건경영시스템 인증
</t>
    </r>
    <r>
      <rPr>
        <u/>
        <sz val="10"/>
        <color rgb="FFFF0000"/>
        <rFont val="맑은 고딕"/>
        <family val="3"/>
        <charset val="129"/>
      </rPr>
      <t xml:space="preserve">(유/무)
</t>
    </r>
    <r>
      <rPr>
        <u/>
        <sz val="10"/>
        <color rgb="FF0563C1"/>
        <rFont val="맑은 고딕"/>
        <family val="3"/>
        <charset val="129"/>
      </rPr>
      <t xml:space="preserve">
</t>
    </r>
    <r>
      <rPr>
        <u/>
        <sz val="10"/>
        <color rgb="FF0000FF"/>
        <rFont val="맑은 고딕"/>
        <family val="3"/>
        <charset val="129"/>
      </rPr>
      <t>(*협조공문)</t>
    </r>
    <phoneticPr fontId="16" type="noConversion"/>
  </si>
  <si>
    <r>
      <t xml:space="preserve">당기전체
직원수
</t>
    </r>
    <r>
      <rPr>
        <sz val="10"/>
        <color rgb="FFFF0000"/>
        <rFont val="맑은 고딕"/>
        <family val="3"/>
        <charset val="129"/>
      </rPr>
      <t>(명)</t>
    </r>
    <phoneticPr fontId="16" type="noConversion"/>
  </si>
  <si>
    <t>급여
(천원)
(건전성 시트 참조)</t>
    <phoneticPr fontId="16" type="noConversion"/>
  </si>
  <si>
    <t>퇴직급여
(천원)
(건전성 시트 참조)</t>
    <phoneticPr fontId="16" type="noConversion"/>
  </si>
  <si>
    <t>인건비
(급여+퇴직급여)
(천원)</t>
    <phoneticPr fontId="16" type="noConversion"/>
  </si>
  <si>
    <r>
      <t xml:space="preserve">평균
근속연수
</t>
    </r>
    <r>
      <rPr>
        <sz val="10"/>
        <color rgb="FFFF0000"/>
        <rFont val="맑은 고딕"/>
        <family val="3"/>
        <charset val="129"/>
      </rPr>
      <t>(년)</t>
    </r>
    <phoneticPr fontId="16" type="noConversion"/>
  </si>
  <si>
    <t>내부지분수
(합계)</t>
    <phoneticPr fontId="16" type="noConversion"/>
  </si>
  <si>
    <r>
      <t xml:space="preserve">1%이상
주식보유
임원수
</t>
    </r>
    <r>
      <rPr>
        <sz val="11"/>
        <color rgb="FFFF0000"/>
        <rFont val="맑은 고딕"/>
        <family val="3"/>
        <charset val="129"/>
      </rPr>
      <t>(명)</t>
    </r>
    <phoneticPr fontId="16" type="noConversion"/>
  </si>
  <si>
    <t xml:space="preserve"> 총 누적
참석 수</t>
    <phoneticPr fontId="16" type="noConversion"/>
  </si>
  <si>
    <t>사외이사
참여도(%)</t>
    <phoneticPr fontId="16" type="noConversion"/>
  </si>
  <si>
    <r>
      <t xml:space="preserve">사업자번호
또는
법인등록번호
</t>
    </r>
    <r>
      <rPr>
        <sz val="10"/>
        <color rgb="FFFF0000"/>
        <rFont val="맑은 고딕"/>
        <family val="3"/>
        <charset val="129"/>
      </rPr>
      <t>(입력)</t>
    </r>
    <r>
      <rPr>
        <sz val="10"/>
        <color rgb="FF0000FF"/>
        <rFont val="맑은 고딕"/>
        <family val="3"/>
        <charset val="129"/>
      </rPr>
      <t xml:space="preserve">
(*협조공문)</t>
    </r>
    <phoneticPr fontId="16" type="noConversion"/>
  </si>
  <si>
    <t xml:space="preserve">(재)홍진기 법률연구재단; (재)비지에프복지재단	</t>
    <phoneticPr fontId="16" type="noConversion"/>
  </si>
  <si>
    <t>신한학원</t>
    <phoneticPr fontId="16" type="noConversion"/>
  </si>
  <si>
    <t>CJ나눔재단; CJ문화재단</t>
    <phoneticPr fontId="16" type="noConversion"/>
  </si>
  <si>
    <t>DB김준기문화재단</t>
    <phoneticPr fontId="16" type="noConversion"/>
  </si>
  <si>
    <t>(학)대림학원</t>
    <phoneticPr fontId="16" type="noConversion"/>
  </si>
  <si>
    <t>재단법인 남촌재단</t>
    <phoneticPr fontId="16" type="noConversion"/>
  </si>
  <si>
    <t>포니정장학재단</t>
    <phoneticPr fontId="16" type="noConversion"/>
  </si>
  <si>
    <t>(학)배달학원</t>
    <phoneticPr fontId="16" type="noConversion"/>
  </si>
  <si>
    <t>바른경제동인회</t>
    <phoneticPr fontId="16" type="noConversion"/>
  </si>
  <si>
    <t>엘지연암학원</t>
    <phoneticPr fontId="16" type="noConversion"/>
  </si>
  <si>
    <t>LG연암학원</t>
    <phoneticPr fontId="16" type="noConversion"/>
  </si>
  <si>
    <t>LG유플러스</t>
    <phoneticPr fontId="16" type="noConversion"/>
  </si>
  <si>
    <t>SHD</t>
    <phoneticPr fontId="16" type="noConversion"/>
  </si>
  <si>
    <t>(재)심팩최진식장학재단</t>
    <phoneticPr fontId="16" type="noConversion"/>
  </si>
  <si>
    <t>한국고등교육재단</t>
    <phoneticPr fontId="16" type="noConversion"/>
  </si>
  <si>
    <t>(재)운해장학재단</t>
    <phoneticPr fontId="16" type="noConversion"/>
  </si>
  <si>
    <t>계룡장학재단</t>
    <phoneticPr fontId="16" type="noConversion"/>
  </si>
  <si>
    <t>경원문화재단; 해주최씨준극경수기호종중</t>
    <phoneticPr fontId="16" type="noConversion"/>
  </si>
  <si>
    <t>재단법인 문화재단 1963</t>
    <phoneticPr fontId="16" type="noConversion"/>
  </si>
  <si>
    <t>가산문화재단</t>
    <phoneticPr fontId="16" type="noConversion"/>
  </si>
  <si>
    <t>KPX문화재단</t>
    <phoneticPr fontId="16" type="noConversion"/>
  </si>
  <si>
    <t>금호문화재단</t>
    <phoneticPr fontId="16" type="noConversion"/>
  </si>
  <si>
    <t>(재)목암과학장학재단</t>
    <phoneticPr fontId="16" type="noConversion"/>
  </si>
  <si>
    <t>대상문화재단</t>
    <phoneticPr fontId="16" type="noConversion"/>
  </si>
  <si>
    <t>대웅재단</t>
    <phoneticPr fontId="16" type="noConversion"/>
  </si>
  <si>
    <t>와이케이스틸사회복지재단</t>
    <phoneticPr fontId="16" type="noConversion"/>
  </si>
  <si>
    <t>학교법인 일주세화학원</t>
    <phoneticPr fontId="16" type="noConversion"/>
  </si>
  <si>
    <t>상주학원; 수석문화재단</t>
    <phoneticPr fontId="16" type="noConversion"/>
  </si>
  <si>
    <t>(재)고촌장학재단</t>
    <phoneticPr fontId="16" type="noConversion"/>
  </si>
  <si>
    <t>(재)동일문화장학재단</t>
    <phoneticPr fontId="16" type="noConversion"/>
  </si>
  <si>
    <t>(재)가송재단</t>
    <phoneticPr fontId="16" type="noConversion"/>
  </si>
  <si>
    <t>두산연강재단</t>
    <phoneticPr fontId="16" type="noConversion"/>
  </si>
  <si>
    <t>롯데장학재단</t>
    <phoneticPr fontId="16" type="noConversion"/>
  </si>
  <si>
    <t>학교법인 명지학원</t>
    <phoneticPr fontId="16" type="noConversion"/>
  </si>
  <si>
    <t>부국문화재단</t>
    <phoneticPr fontId="16" type="noConversion"/>
  </si>
  <si>
    <t>삼성문화재단; 삼성복지재단</t>
    <phoneticPr fontId="16" type="noConversion"/>
  </si>
  <si>
    <t>삼성문화재단; 삼성생명공익재단</t>
    <phoneticPr fontId="16" type="noConversion"/>
  </si>
  <si>
    <t>삼성문화재단</t>
    <phoneticPr fontId="16" type="noConversion"/>
  </si>
  <si>
    <t>수당재단</t>
    <phoneticPr fontId="16" type="noConversion"/>
  </si>
  <si>
    <t>삼양이건장학재단</t>
    <phoneticPr fontId="16" type="noConversion"/>
  </si>
  <si>
    <t>(재)삼익문화재단</t>
    <phoneticPr fontId="16" type="noConversion"/>
  </si>
  <si>
    <t>(재)삼호호미재단</t>
    <phoneticPr fontId="16" type="noConversion"/>
  </si>
  <si>
    <t>사회복지법인 세방이의순재단</t>
    <phoneticPr fontId="16" type="noConversion"/>
  </si>
  <si>
    <t>(재)세아해암학술장학재단; (재)세아이운형문화재단</t>
    <phoneticPr fontId="16" type="noConversion"/>
  </si>
  <si>
    <t>재단법인세원인재육성문화재단</t>
    <phoneticPr fontId="16" type="noConversion"/>
  </si>
  <si>
    <t>(재)퍼시스목훈재단</t>
    <phoneticPr fontId="16" type="noConversion"/>
  </si>
  <si>
    <t>신라문화장학재단</t>
    <phoneticPr fontId="16" type="noConversion"/>
  </si>
  <si>
    <t>(재)홍원문화재단</t>
    <phoneticPr fontId="16" type="noConversion"/>
  </si>
  <si>
    <t>재단법인 신흥연송학술재단</t>
    <phoneticPr fontId="16" type="noConversion"/>
  </si>
  <si>
    <t>문경학원</t>
    <phoneticPr fontId="16" type="noConversion"/>
  </si>
  <si>
    <t>(재)문암장학문화재단</t>
    <phoneticPr fontId="16" type="noConversion"/>
  </si>
  <si>
    <t>(재)에스엘서봉재단</t>
    <phoneticPr fontId="16" type="noConversion"/>
  </si>
  <si>
    <t>유나이티드문화재단</t>
    <phoneticPr fontId="16" type="noConversion"/>
  </si>
  <si>
    <t>유한재단 (동일인)</t>
    <phoneticPr fontId="16" type="noConversion"/>
  </si>
  <si>
    <t>현대차 정몽구재단</t>
    <phoneticPr fontId="16" type="noConversion"/>
  </si>
  <si>
    <t>(재)인주문화재단</t>
    <phoneticPr fontId="16" type="noConversion"/>
  </si>
  <si>
    <t>(재)세계평화통일가정연합유지재단</t>
    <phoneticPr fontId="16" type="noConversion"/>
  </si>
  <si>
    <t>재)일진학술문화재단</t>
    <phoneticPr fontId="16" type="noConversion"/>
  </si>
  <si>
    <t>(재)오뚜기함태호재단</t>
    <phoneticPr fontId="16" type="noConversion"/>
  </si>
  <si>
    <t>서전문화재단법인</t>
    <phoneticPr fontId="16" type="noConversion"/>
  </si>
  <si>
    <t>쿠쿠사회복지재단</t>
    <phoneticPr fontId="16" type="noConversion"/>
  </si>
  <si>
    <t>송원김영환 장학재단</t>
    <phoneticPr fontId="16" type="noConversion"/>
  </si>
  <si>
    <t>서암윤세영재단 (구.서암학술장학재단)</t>
    <phoneticPr fontId="16" type="noConversion"/>
  </si>
  <si>
    <t>재단법인 목훈재단</t>
    <phoneticPr fontId="16" type="noConversion"/>
  </si>
  <si>
    <t xml:space="preserve">(학)포항공과대학교 </t>
    <phoneticPr fontId="16" type="noConversion"/>
  </si>
  <si>
    <t>(재)하이트문화재단</t>
    <phoneticPr fontId="16" type="noConversion"/>
  </si>
  <si>
    <t>경원장학재단법인</t>
    <phoneticPr fontId="16" type="noConversion"/>
  </si>
  <si>
    <t>(재)김전</t>
    <phoneticPr fontId="16" type="noConversion"/>
  </si>
  <si>
    <t>재단법인 한독제석재단</t>
    <phoneticPr fontId="16" type="noConversion"/>
  </si>
  <si>
    <t>사회복지법인따뜻한동행</t>
    <phoneticPr fontId="16" type="noConversion"/>
  </si>
  <si>
    <t>한세예스24문화재단</t>
    <phoneticPr fontId="16" type="noConversion"/>
  </si>
  <si>
    <t>한양학원 (동일인)</t>
    <phoneticPr fontId="16" type="noConversion"/>
  </si>
  <si>
    <t>우덕재단</t>
    <phoneticPr fontId="16" type="noConversion"/>
  </si>
  <si>
    <t>한국자유총연맹</t>
    <phoneticPr fontId="16" type="noConversion"/>
  </si>
  <si>
    <t>정석인하학원</t>
    <phoneticPr fontId="16" type="noConversion"/>
  </si>
  <si>
    <t>현대차 정몽구 재단</t>
    <phoneticPr fontId="16" type="noConversion"/>
  </si>
  <si>
    <t>임당장학문화재단</t>
    <phoneticPr fontId="16" type="noConversion"/>
  </si>
  <si>
    <t>화성장학문화재단</t>
    <phoneticPr fontId="16" type="noConversion"/>
  </si>
  <si>
    <t>재단법인서암문화재단</t>
    <phoneticPr fontId="16" type="noConversion"/>
  </si>
  <si>
    <t>에이플러스에셋</t>
    <phoneticPr fontId="16" type="noConversion"/>
  </si>
  <si>
    <t>AA</t>
    <phoneticPr fontId="16" type="noConversion"/>
  </si>
  <si>
    <t>B</t>
  </si>
  <si>
    <t>F</t>
  </si>
  <si>
    <t>미공시</t>
    <phoneticPr fontId="16" type="noConversion"/>
  </si>
  <si>
    <t>A1, AA-</t>
    <phoneticPr fontId="16" type="noConversion"/>
  </si>
  <si>
    <t>A-</t>
    <phoneticPr fontId="16" type="noConversion"/>
  </si>
  <si>
    <t>D</t>
  </si>
  <si>
    <t>A1, AA</t>
    <phoneticPr fontId="16" type="noConversion"/>
  </si>
  <si>
    <t>A</t>
  </si>
  <si>
    <t>A</t>
    <phoneticPr fontId="16" type="noConversion"/>
  </si>
  <si>
    <t>AA-</t>
    <phoneticPr fontId="16" type="noConversion"/>
  </si>
  <si>
    <t>C</t>
  </si>
  <si>
    <t>A2-</t>
    <phoneticPr fontId="16" type="noConversion"/>
  </si>
  <si>
    <t>A1</t>
    <phoneticPr fontId="16" type="noConversion"/>
  </si>
  <si>
    <t>A+</t>
    <phoneticPr fontId="16" type="noConversion"/>
  </si>
  <si>
    <t>미평가</t>
    <phoneticPr fontId="16" type="noConversion"/>
  </si>
  <si>
    <t>BBB+</t>
    <phoneticPr fontId="16" type="noConversion"/>
  </si>
  <si>
    <t>E</t>
  </si>
  <si>
    <t>BBB+, BBB</t>
    <phoneticPr fontId="16" type="noConversion"/>
  </si>
  <si>
    <t>BBB-</t>
    <phoneticPr fontId="16" type="noConversion"/>
  </si>
  <si>
    <t>AA+</t>
    <phoneticPr fontId="16" type="noConversion"/>
  </si>
  <si>
    <t>A, A-</t>
    <phoneticPr fontId="16" type="noConversion"/>
  </si>
  <si>
    <t>AAA</t>
    <phoneticPr fontId="16" type="noConversion"/>
  </si>
  <si>
    <t>AA, BBB-, B</t>
    <phoneticPr fontId="16" type="noConversion"/>
  </si>
  <si>
    <t>A2, A</t>
    <phoneticPr fontId="16" type="noConversion"/>
  </si>
  <si>
    <t>BBB</t>
    <phoneticPr fontId="16" type="noConversion"/>
  </si>
  <si>
    <t>AA, BBB+</t>
    <phoneticPr fontId="16" type="noConversion"/>
  </si>
  <si>
    <t>A3+, A3</t>
    <phoneticPr fontId="16" type="noConversion"/>
  </si>
  <si>
    <t>BB, BB+</t>
    <phoneticPr fontId="16" type="noConversion"/>
  </si>
  <si>
    <t>A2+</t>
    <phoneticPr fontId="16" type="noConversion"/>
  </si>
  <si>
    <t>AA, A2+</t>
    <phoneticPr fontId="16" type="noConversion"/>
  </si>
  <si>
    <t>A3+</t>
    <phoneticPr fontId="16" type="noConversion"/>
  </si>
  <si>
    <t>BB, BBB-</t>
    <phoneticPr fontId="16" type="noConversion"/>
  </si>
  <si>
    <t>A2, AA-</t>
    <phoneticPr fontId="16" type="noConversion"/>
  </si>
  <si>
    <t>A1, AA+</t>
    <phoneticPr fontId="16" type="noConversion"/>
  </si>
  <si>
    <t>AA+, AA-</t>
    <phoneticPr fontId="16" type="noConversion"/>
  </si>
  <si>
    <t>BB+, BBB</t>
    <phoneticPr fontId="16" type="noConversion"/>
  </si>
  <si>
    <t>AAA, AA+</t>
    <phoneticPr fontId="16" type="noConversion"/>
  </si>
  <si>
    <t>BB+, BBB-</t>
    <phoneticPr fontId="16" type="noConversion"/>
  </si>
  <si>
    <t>BB+</t>
    <phoneticPr fontId="16" type="noConversion"/>
  </si>
  <si>
    <t>AA+, A2</t>
    <phoneticPr fontId="16" type="noConversion"/>
  </si>
  <si>
    <t>AA-, A+</t>
    <phoneticPr fontId="16" type="noConversion"/>
  </si>
  <si>
    <t>A, A-, A3</t>
    <phoneticPr fontId="16" type="noConversion"/>
  </si>
  <si>
    <t>e-4- (BBB)</t>
    <phoneticPr fontId="16" type="noConversion"/>
  </si>
  <si>
    <t>AA, A+</t>
    <phoneticPr fontId="16" type="noConversion"/>
  </si>
  <si>
    <t>e-30 (A)</t>
    <phoneticPr fontId="16" type="noConversion"/>
  </si>
  <si>
    <t>A+, A</t>
    <phoneticPr fontId="16" type="noConversion"/>
  </si>
  <si>
    <t>AA-</t>
    <phoneticPr fontId="16" type="noConversion"/>
  </si>
  <si>
    <t>A</t>
    <phoneticPr fontId="16" type="noConversion"/>
  </si>
  <si>
    <t>A1</t>
    <phoneticPr fontId="16" type="noConversion"/>
  </si>
  <si>
    <t>BBB</t>
    <phoneticPr fontId="16" type="noConversion"/>
  </si>
  <si>
    <t>A+</t>
    <phoneticPr fontId="16" type="noConversion"/>
  </si>
  <si>
    <t>A3</t>
    <phoneticPr fontId="16" type="noConversion"/>
  </si>
  <si>
    <t>BBB+, BBB</t>
    <phoneticPr fontId="16" type="noConversion"/>
  </si>
  <si>
    <t>A2</t>
    <phoneticPr fontId="16" type="noConversion"/>
  </si>
  <si>
    <t>BBB+</t>
    <phoneticPr fontId="16" type="noConversion"/>
  </si>
  <si>
    <t>A2, A</t>
    <phoneticPr fontId="16" type="noConversion"/>
  </si>
  <si>
    <t>A2, A, AAA, AA+</t>
    <phoneticPr fontId="16" type="noConversion"/>
  </si>
  <si>
    <t>AA</t>
    <phoneticPr fontId="16" type="noConversion"/>
  </si>
  <si>
    <t>A-, BBB+</t>
    <phoneticPr fontId="16" type="noConversion"/>
  </si>
  <si>
    <t>AA+</t>
    <phoneticPr fontId="16" type="noConversion"/>
  </si>
  <si>
    <t>A+, A</t>
    <phoneticPr fontId="16" type="noConversion"/>
  </si>
  <si>
    <t>A-</t>
    <phoneticPr fontId="16" type="noConversion"/>
  </si>
  <si>
    <t>A-, A</t>
    <phoneticPr fontId="16" type="noConversion"/>
  </si>
  <si>
    <t>A3-</t>
    <phoneticPr fontId="16" type="noConversion"/>
  </si>
  <si>
    <t>BBB-</t>
    <phoneticPr fontId="16" type="noConversion"/>
  </si>
  <si>
    <t>AA-, A</t>
    <phoneticPr fontId="16" type="noConversion"/>
  </si>
  <si>
    <t>A2, A+, A</t>
    <phoneticPr fontId="16" type="noConversion"/>
  </si>
  <si>
    <t>A2+</t>
    <phoneticPr fontId="16" type="noConversion"/>
  </si>
  <si>
    <t>BRL</t>
    <phoneticPr fontId="16" type="noConversion"/>
  </si>
  <si>
    <t>브라질 헤알</t>
    <phoneticPr fontId="16" type="noConversion"/>
  </si>
  <si>
    <t>비고 (천단위)</t>
    <phoneticPr fontId="16" type="noConversion"/>
  </si>
  <si>
    <t>BGF리테일</t>
  </si>
  <si>
    <t>삼성물산</t>
  </si>
  <si>
    <t>영풍제지</t>
  </si>
  <si>
    <t>한국카본</t>
  </si>
  <si>
    <t>https://dart.fss.or.kr/dsaf001/main.do?rcpNo=20230316001312</t>
  </si>
  <si>
    <t>https://dart.fss.or.kr/dsaf001/main.do?rcpNo=20230317000857</t>
  </si>
  <si>
    <t>https://dart.fss.or.kr/dsaf001/main.do?rcpNo=20230320000740</t>
  </si>
  <si>
    <t>https://dart.fss.or.kr/dsaf001/main.do?rcpNo=20230814001661</t>
  </si>
  <si>
    <t>https://dart.fss.or.kr/dsaf001/main.do?rcpNo=20230320000886</t>
    <phoneticPr fontId="16" type="noConversion"/>
  </si>
  <si>
    <t>https://dart.fss.or.kr/dsaf001/main.do?rcpNo=20230321001132</t>
    <phoneticPr fontId="16" type="noConversion"/>
  </si>
  <si>
    <t>https://dart.fss.or.kr/dsaf001/main.do?rcpNo=20230831001199</t>
    <phoneticPr fontId="16" type="noConversion"/>
  </si>
  <si>
    <t>https://dart.fss.or.kr/dsaf001/main.do?rcpNo=20230728000644</t>
    <phoneticPr fontId="16" type="noConversion"/>
  </si>
  <si>
    <t>https://dart.fss.or.kr/dsaf001/main.do?rcpNo=20230315000019</t>
    <phoneticPr fontId="16" type="noConversion"/>
  </si>
  <si>
    <t>https://dart.fss.or.kr/dsaf001/main.do?rcpNo=20230315001420</t>
    <phoneticPr fontId="16" type="noConversion"/>
  </si>
  <si>
    <t>https://dart.fss.or.kr/dsaf001/main.do?rcpNo=20230322001200</t>
    <phoneticPr fontId="16" type="noConversion"/>
  </si>
  <si>
    <t>https://dart.fss.or.kr/dsaf001/main.do?rcpNo=20230320000736</t>
    <phoneticPr fontId="16" type="noConversion"/>
  </si>
  <si>
    <t>https://dart.fss.or.kr/dsaf001/main.do?rcpNo=20230320000604</t>
    <phoneticPr fontId="16" type="noConversion"/>
  </si>
  <si>
    <t>https://dart.fss.or.kr/dsaf001/main.do?rcpNo=20230831001367</t>
    <phoneticPr fontId="16" type="noConversion"/>
  </si>
  <si>
    <t>https://dart.fss.or.kr/dsaf001/main.do?rcpNo=20230316001014</t>
    <phoneticPr fontId="16" type="noConversion"/>
  </si>
  <si>
    <t>https://dart.fss.or.kr/dsaf001/main.do?rcpNo=20230315001215</t>
    <phoneticPr fontId="16" type="noConversion"/>
  </si>
  <si>
    <t>https://dart.fss.or.kr/dsaf001/main.do?rcpNo=20230316001339</t>
    <phoneticPr fontId="16" type="noConversion"/>
  </si>
  <si>
    <t>https://dart.fss.or.kr/dsaf001/main.do?rcpNo=20230315001033</t>
    <phoneticPr fontId="16" type="noConversion"/>
  </si>
  <si>
    <t>https://dart.fss.or.kr/dsaf001/main.do?rcpNo=20230713000082</t>
    <phoneticPr fontId="16" type="noConversion"/>
  </si>
  <si>
    <t>https://dart.fss.or.kr/dsaf001/main.do?rcpNo=20230317000301</t>
    <phoneticPr fontId="16" type="noConversion"/>
  </si>
  <si>
    <t>https://dart.fss.or.kr/dsaf001/main.do?rcpNo=20230315001407</t>
    <phoneticPr fontId="16" type="noConversion"/>
  </si>
  <si>
    <t>https://dart.fss.or.kr/dsaf001/main.do?rcpNo=20230714000061</t>
    <phoneticPr fontId="16" type="noConversion"/>
  </si>
  <si>
    <t>https://dart.fss.or.kr/dsaf001/main.do?rcpNo=20230321001126</t>
    <phoneticPr fontId="16" type="noConversion"/>
  </si>
  <si>
    <t>https://dart.fss.or.kr/dsaf001/main.do?rcpNo=20230315000071</t>
    <phoneticPr fontId="16" type="noConversion"/>
  </si>
  <si>
    <t>https://dart.fss.or.kr/dsaf001/main.do?rcpNo=20230316000950</t>
    <phoneticPr fontId="16" type="noConversion"/>
  </si>
  <si>
    <t>https://dart.fss.or.kr/dsaf001/main.do?rcpNo=20230316000684</t>
    <phoneticPr fontId="16" type="noConversion"/>
  </si>
  <si>
    <t>https://dart.fss.or.kr/dsaf001/main.do?rcpNo=20230322000776</t>
    <phoneticPr fontId="16" type="noConversion"/>
  </si>
  <si>
    <t>https://dart.fss.or.kr/dsaf001/main.do?rcpNo=20230323000613</t>
    <phoneticPr fontId="16" type="noConversion"/>
  </si>
  <si>
    <t>https://dart.fss.or.kr/dsaf001/main.do?rcpNo=20230320000688</t>
    <phoneticPr fontId="16" type="noConversion"/>
  </si>
  <si>
    <t>https://dart.fss.or.kr/dsaf001/main.do?rcpNo=20230320000833</t>
    <phoneticPr fontId="16" type="noConversion"/>
  </si>
  <si>
    <t>https://dart.fss.or.kr/dsaf001/main.do?rcpNo=20230302000615</t>
    <phoneticPr fontId="16" type="noConversion"/>
  </si>
  <si>
    <t>https://dart.fss.or.kr/dsaf001/main.do?rcpNo=20230222002549</t>
    <phoneticPr fontId="16" type="noConversion"/>
  </si>
  <si>
    <t>https://dart.fss.or.kr/dsaf001/main.do?rcpNo=20230317000276</t>
    <phoneticPr fontId="16" type="noConversion"/>
  </si>
  <si>
    <t>https://dart.fss.or.kr/dsaf001/main.do?rcpNo=20230315000850</t>
    <phoneticPr fontId="16" type="noConversion"/>
  </si>
  <si>
    <t>https://dart.fss.or.kr/dsaf001/main.do?rcpNo=20230315000964</t>
    <phoneticPr fontId="16" type="noConversion"/>
  </si>
  <si>
    <t>https://dart.fss.or.kr/dsaf001/main.do?rcpNo=20230316000724</t>
    <phoneticPr fontId="16" type="noConversion"/>
  </si>
  <si>
    <t>https://dart.fss.or.kr/dsaf001/main.do?rcpNo=20230315000084</t>
    <phoneticPr fontId="16" type="noConversion"/>
  </si>
  <si>
    <t>https://dart.fss.or.kr/dsaf001/main.do?rcpNo=20230309000859</t>
    <phoneticPr fontId="16" type="noConversion"/>
  </si>
  <si>
    <t>https://dart.fss.or.kr/dsaf001/main.do?rcpNo=20230321000569</t>
    <phoneticPr fontId="16" type="noConversion"/>
  </si>
  <si>
    <t>https://dart.fss.or.kr/dsaf001/main.do?rcpNo=20230320000844</t>
    <phoneticPr fontId="16" type="noConversion"/>
  </si>
  <si>
    <t>https://dart.fss.or.kr/dsaf001/main.do?rcpNo=20230315000990</t>
    <phoneticPr fontId="16" type="noConversion"/>
  </si>
  <si>
    <t>https://dart.fss.or.kr/dsaf001/main.do?rcpNo=20230320000162</t>
    <phoneticPr fontId="16" type="noConversion"/>
  </si>
  <si>
    <t>https://dart.fss.or.kr/dsaf001/main.do?rcpNo=20230317000869</t>
    <phoneticPr fontId="16" type="noConversion"/>
  </si>
  <si>
    <t>https://dart.fss.or.kr/dsaf001/main.do?rcpNo=20230322000906</t>
    <phoneticPr fontId="16" type="noConversion"/>
  </si>
  <si>
    <t>https://dart.fss.or.kr/dsaf001/main.do?rcpNo=20230324000127</t>
    <phoneticPr fontId="16" type="noConversion"/>
  </si>
  <si>
    <t>https://dart.fss.or.kr/dsaf001/main.do?rcpNo=20230320000964</t>
    <phoneticPr fontId="16" type="noConversion"/>
  </si>
  <si>
    <t>https://dart.fss.or.kr/dsaf001/main.do?rcpNo=20230320000235</t>
    <phoneticPr fontId="16" type="noConversion"/>
  </si>
  <si>
    <t>https://dart.fss.or.kr/dsaf001/main.do?rcpNo=20230321001209</t>
    <phoneticPr fontId="16" type="noConversion"/>
  </si>
  <si>
    <t>https://dart.fss.or.kr/dsaf001/main.do?rcpNo=20230220001625</t>
    <phoneticPr fontId="16" type="noConversion"/>
  </si>
  <si>
    <t>https://dart.fss.or.kr/dsaf001/main.do?rcpNo=20230220001611</t>
    <phoneticPr fontId="16" type="noConversion"/>
  </si>
  <si>
    <t>https://dart.fss.or.kr/dsaf001/main.do?rcpNo=20230315001078</t>
    <phoneticPr fontId="16" type="noConversion"/>
  </si>
  <si>
    <t>https://dart.fss.or.kr/dsaf001/main.do?rcpNo=20230322000815</t>
    <phoneticPr fontId="16" type="noConversion"/>
  </si>
  <si>
    <t>https://dart.fss.or.kr/dsaf001/main.do?rcpNo=20230322000774</t>
    <phoneticPr fontId="16" type="noConversion"/>
  </si>
  <si>
    <t>https://dart.fss.or.kr/dsaf001/main.do?rcpNo=20230314001158</t>
    <phoneticPr fontId="16" type="noConversion"/>
  </si>
  <si>
    <t>https://dart.fss.or.kr/dsaf001/main.do?rcpNo=20230320000720</t>
    <phoneticPr fontId="16" type="noConversion"/>
  </si>
  <si>
    <t>https://dart.fss.or.kr/dsaf001/main.do?rcpNo=20230316000629</t>
    <phoneticPr fontId="16" type="noConversion"/>
  </si>
  <si>
    <t>https://dart.fss.or.kr/dsaf001/main.do?rcpNo=20230309000731</t>
    <phoneticPr fontId="16" type="noConversion"/>
  </si>
  <si>
    <t>https://dart.fss.or.kr/dsaf001/main.do?rcpNo=20230316001326</t>
    <phoneticPr fontId="16" type="noConversion"/>
  </si>
  <si>
    <t>https://dart.fss.or.kr/dsaf001/main.do?rcpNo=20230321001353</t>
    <phoneticPr fontId="16" type="noConversion"/>
  </si>
  <si>
    <t>https://dart.fss.or.kr/dsaf001/main.do?rcpNo=20230321000645</t>
    <phoneticPr fontId="16" type="noConversion"/>
  </si>
  <si>
    <t>https://dart.fss.or.kr/dsaf001/main.do?rcpNo=20230314000982</t>
    <phoneticPr fontId="16" type="noConversion"/>
  </si>
  <si>
    <t>https://dart.fss.or.kr/dsaf001/main.do?rcpNo=20230314000692</t>
    <phoneticPr fontId="16" type="noConversion"/>
  </si>
  <si>
    <t>https://dart.fss.or.kr/dsaf001/main.do?rcpNo=20230322001068</t>
    <phoneticPr fontId="16" type="noConversion"/>
  </si>
  <si>
    <t>https://dart.fss.or.kr/dsaf001/main.do?rcpNo=20230314000467</t>
    <phoneticPr fontId="16" type="noConversion"/>
  </si>
  <si>
    <t>https://dart.fss.or.kr/dsaf001/main.do?rcpNo=20230323000821</t>
    <phoneticPr fontId="16" type="noConversion"/>
  </si>
  <si>
    <t>https://dart.fss.or.kr/dsaf001/main.do?rcpNo=20230320000409</t>
    <phoneticPr fontId="16" type="noConversion"/>
  </si>
  <si>
    <t>https://dart.fss.or.kr/dsaf001/main.do?rcpNo=20230316001213</t>
    <phoneticPr fontId="16" type="noConversion"/>
  </si>
  <si>
    <t>https://dart.fss.or.kr/dsaf001/main.do?rcpNo=20230608000512</t>
    <phoneticPr fontId="16" type="noConversion"/>
  </si>
  <si>
    <t>https://dart.fss.or.kr/dsaf001/main.do?rcpNo=20230309000734</t>
    <phoneticPr fontId="16" type="noConversion"/>
  </si>
  <si>
    <t>https://dart.fss.or.kr/dsaf001/main.do?rcpNo=20230712000089</t>
    <phoneticPr fontId="16" type="noConversion"/>
  </si>
  <si>
    <t>https://dart.fss.or.kr/dsaf001/main.do?rcpNo=20230316001430</t>
    <phoneticPr fontId="16" type="noConversion"/>
  </si>
  <si>
    <t>https://dart.fss.or.kr/dsaf001/main.do?rcpNo=20230321000737</t>
    <phoneticPr fontId="16" type="noConversion"/>
  </si>
  <si>
    <t>https://dart.fss.or.kr/dsaf001/main.do?rcpNo=20230316000929</t>
    <phoneticPr fontId="16" type="noConversion"/>
  </si>
  <si>
    <t>https://dart.fss.or.kr/dsaf001/main.do?rcpNo=20230321001403</t>
    <phoneticPr fontId="16" type="noConversion"/>
  </si>
  <si>
    <t>https://dart.fss.or.kr/dsaf001/main.do?rcpNo=20230316000958</t>
    <phoneticPr fontId="16" type="noConversion"/>
  </si>
  <si>
    <t>https://dart.fss.or.kr/dsaf001/main.do?rcpNo=20230322000832</t>
    <phoneticPr fontId="16" type="noConversion"/>
  </si>
  <si>
    <t>https://dart.fss.or.kr/dsaf001/main.do?rcpNo=20230316001258</t>
    <phoneticPr fontId="16" type="noConversion"/>
  </si>
  <si>
    <t>https://dart.fss.or.kr/dsaf001/main.do?rcpNo=20230316000896</t>
    <phoneticPr fontId="16" type="noConversion"/>
  </si>
  <si>
    <t>https://dart.fss.or.kr/dsaf001/main.do?rcpNo=20230321000870</t>
    <phoneticPr fontId="16" type="noConversion"/>
  </si>
  <si>
    <t>https://dart.fss.or.kr/dsaf001/main.do?rcpNo=20230320000675</t>
    <phoneticPr fontId="16" type="noConversion"/>
  </si>
  <si>
    <t>https://dart.fss.or.kr/dsaf001/main.do?rcpNo=20230321000752</t>
    <phoneticPr fontId="16" type="noConversion"/>
  </si>
  <si>
    <t>https://dart.fss.or.kr/dsaf001/main.do?rcpNo=20230321000740</t>
    <phoneticPr fontId="16" type="noConversion"/>
  </si>
  <si>
    <t>https://dart.fss.or.kr/dsaf001/main.do?rcpNo=20230324000880</t>
    <phoneticPr fontId="16" type="noConversion"/>
  </si>
  <si>
    <t>https://dart.fss.or.kr/dsaf001/main.do?rcpNo=20230317000005</t>
    <phoneticPr fontId="16" type="noConversion"/>
  </si>
  <si>
    <t>https://dart.fss.or.kr/dsaf001/main.do?rcpNo=20230323000406</t>
    <phoneticPr fontId="16" type="noConversion"/>
  </si>
  <si>
    <t>https://dart.fss.or.kr/dsaf001/main.do?rcpNo=20230322001136</t>
    <phoneticPr fontId="16" type="noConversion"/>
  </si>
  <si>
    <t>https://dart.fss.or.kr/dsaf001/main.do?rcpNo=20230331003410</t>
    <phoneticPr fontId="16" type="noConversion"/>
  </si>
  <si>
    <t>https://dart.fss.or.kr/dsaf001/main.do?rcpNo=20230316001412</t>
    <phoneticPr fontId="16" type="noConversion"/>
  </si>
  <si>
    <t>https://dart.fss.or.kr/dsaf001/main.do?rcpNo=20230323001351</t>
    <phoneticPr fontId="16" type="noConversion"/>
  </si>
  <si>
    <t>https://dart.fss.or.kr/dsaf001/main.do?rcpNo=20230316001384</t>
    <phoneticPr fontId="16" type="noConversion"/>
  </si>
  <si>
    <t>https://dart.fss.or.kr/dsaf001/main.do?rcpNo=20230315001173</t>
    <phoneticPr fontId="16" type="noConversion"/>
  </si>
  <si>
    <t>https://dart.fss.or.kr/dsaf001/main.do?rcpNo=20230317000725</t>
    <phoneticPr fontId="16" type="noConversion"/>
  </si>
  <si>
    <t>https://dart.fss.or.kr/dsaf001/main.do?rcpNo=20230322001007</t>
    <phoneticPr fontId="16" type="noConversion"/>
  </si>
  <si>
    <t>https://dart.fss.or.kr/dsaf001/main.do?rcpNo=20230316001141</t>
    <phoneticPr fontId="16" type="noConversion"/>
  </si>
  <si>
    <t>https://dart.fss.or.kr/dsaf001/main.do?rcpNo=20230314001293</t>
    <phoneticPr fontId="16" type="noConversion"/>
  </si>
  <si>
    <t>https://dart.fss.or.kr/dsaf001/main.do?rcpNo=20230316000733</t>
    <phoneticPr fontId="16" type="noConversion"/>
  </si>
  <si>
    <t>https://dart.fss.or.kr/dsaf001/main.do?rcpNo=20230314001212</t>
    <phoneticPr fontId="16" type="noConversion"/>
  </si>
  <si>
    <t>https://dart.fss.or.kr/dsaf001/main.do?rcpNo=20230316000463</t>
    <phoneticPr fontId="16" type="noConversion"/>
  </si>
  <si>
    <t>https://dart.fss.or.kr/dsaf001/main.do?rcpNo=20230320001075</t>
    <phoneticPr fontId="16" type="noConversion"/>
  </si>
  <si>
    <t>https://dart.fss.or.kr/dsaf001/main.do?rcpNo=20230316000692</t>
    <phoneticPr fontId="16" type="noConversion"/>
  </si>
  <si>
    <t>https://dart.fss.or.kr/dsaf001/main.do?rcpNo=20230322001102</t>
    <phoneticPr fontId="16" type="noConversion"/>
  </si>
  <si>
    <t>https://dart.fss.or.kr/dsaf001/main.do?rcpNo=20230317000669</t>
    <phoneticPr fontId="16" type="noConversion"/>
  </si>
  <si>
    <t>https://dart.fss.or.kr/dsaf001/main.do?rcpNo=20230320000820</t>
    <phoneticPr fontId="16" type="noConversion"/>
  </si>
  <si>
    <t>https://dart.fss.or.kr/dsaf001/main.do?rcpNo=20230314000884</t>
    <phoneticPr fontId="16" type="noConversion"/>
  </si>
  <si>
    <t>https://dart.fss.or.kr/dsaf001/main.do?rcpNo=20230324000928</t>
    <phoneticPr fontId="16" type="noConversion"/>
  </si>
  <si>
    <t>https://dart.fss.or.kr/dsaf001/main.do?rcpNo=20230322001127</t>
    <phoneticPr fontId="16" type="noConversion"/>
  </si>
  <si>
    <t>https://dart.fss.or.kr/dsaf001/main.do?rcpNo=20230315001100</t>
    <phoneticPr fontId="16" type="noConversion"/>
  </si>
  <si>
    <t>https://dart.fss.or.kr/dsaf001/main.do?rcpNo=20230321001259</t>
    <phoneticPr fontId="16" type="noConversion"/>
  </si>
  <si>
    <t>https://dart.fss.or.kr/dsaf001/main.do?rcpNo=20230713000062</t>
    <phoneticPr fontId="16" type="noConversion"/>
  </si>
  <si>
    <t>https://dart.fss.or.kr/dsaf001/main.do?rcpNo=20230315000573</t>
    <phoneticPr fontId="16" type="noConversion"/>
  </si>
  <si>
    <t>https://dart.fss.or.kr/dsaf001/main.do?rcpNo=20230316001051</t>
    <phoneticPr fontId="16" type="noConversion"/>
  </si>
  <si>
    <t>https://dart.fss.or.kr/dsaf001/main.do?rcpNo=20230315001395</t>
    <phoneticPr fontId="16" type="noConversion"/>
  </si>
  <si>
    <t>https://dart.fss.or.kr/dsaf001/main.do?rcpNo=20230424000485</t>
    <phoneticPr fontId="16" type="noConversion"/>
  </si>
  <si>
    <t>https://dart.fss.or.kr/dsaf001/main.do?rcpNo=20230323001050</t>
    <phoneticPr fontId="16" type="noConversion"/>
  </si>
  <si>
    <t>https://dart.fss.or.kr/dsaf001/main.do?rcpNo=20230315000646</t>
    <phoneticPr fontId="16" type="noConversion"/>
  </si>
  <si>
    <t>https://dart.fss.or.kr/dsaf001/main.do?rcpNo=20230314001159</t>
    <phoneticPr fontId="16" type="noConversion"/>
  </si>
  <si>
    <t>https://dart.fss.or.kr/dsaf001/main.do?rcpNo=20220915000334</t>
    <phoneticPr fontId="16" type="noConversion"/>
  </si>
  <si>
    <t>https://dart.fss.or.kr/dsaf001/main.do?rcpNo=20230316000602</t>
    <phoneticPr fontId="16" type="noConversion"/>
  </si>
  <si>
    <t>https://dart.fss.or.kr/dsaf001/main.do?rcpNo=20230316000931</t>
    <phoneticPr fontId="16" type="noConversion"/>
  </si>
  <si>
    <t>https://dart.fss.or.kr/dsaf001/main.do?rcpNo=20230317001035</t>
    <phoneticPr fontId="16" type="noConversion"/>
  </si>
  <si>
    <t>https://dart.fss.or.kr/dsaf001/main.do?rcpNo=20230315001134</t>
    <phoneticPr fontId="16" type="noConversion"/>
  </si>
  <si>
    <t>https://dart.fss.or.kr/dsaf001/main.do?rcpNo=20230320000972</t>
    <phoneticPr fontId="16" type="noConversion"/>
  </si>
  <si>
    <t>https://dart.fss.or.kr/dsaf001/main.do?rcpNo=20230315001384</t>
    <phoneticPr fontId="16" type="noConversion"/>
  </si>
  <si>
    <t>https://dart.fss.or.kr/dsaf001/main.do?rcpNo=20230310000296</t>
    <phoneticPr fontId="16" type="noConversion"/>
  </si>
  <si>
    <t>https://dart.fss.or.kr/dsaf001/main.do?rcpNo=20230327000678</t>
    <phoneticPr fontId="16" type="noConversion"/>
  </si>
  <si>
    <t>https://dart.fss.or.kr/dsaf001/main.do?rcpNo=20221230000430</t>
    <phoneticPr fontId="16" type="noConversion"/>
  </si>
  <si>
    <t>https://dart.fss.or.kr/dsaf001/main.do?rcpNo=20230831001561</t>
    <phoneticPr fontId="16" type="noConversion"/>
  </si>
  <si>
    <t>https://dart.fss.or.kr/dsaf001/main.do?rcpNo=20230316000878</t>
    <phoneticPr fontId="16" type="noConversion"/>
  </si>
  <si>
    <t>https://dart.fss.or.kr/dsaf001/main.do?rcpNo=20230328000107</t>
    <phoneticPr fontId="16" type="noConversion"/>
  </si>
  <si>
    <t>https://dart.fss.or.kr/dsaf001/main.do?rcpNo=20230323000263</t>
    <phoneticPr fontId="16" type="noConversion"/>
  </si>
  <si>
    <t>https://dart.fss.or.kr/dsaf001/main.do?rcpNo=20230315001385</t>
    <phoneticPr fontId="16" type="noConversion"/>
  </si>
  <si>
    <t>https://dart.fss.or.kr/dsaf001/main.do?rcpNo=20230315001257</t>
    <phoneticPr fontId="16" type="noConversion"/>
  </si>
  <si>
    <t>https://dart.fss.or.kr/dsaf001/main.do?rcpNo=20230313000726</t>
    <phoneticPr fontId="16" type="noConversion"/>
  </si>
  <si>
    <t>https://dart.fss.or.kr/dsaf001/main.do?rcpNo=20230309000761</t>
    <phoneticPr fontId="16" type="noConversion"/>
  </si>
  <si>
    <t>https://dart.fss.or.kr/dsaf001/main.do?rcpNo=20230308000737</t>
    <phoneticPr fontId="16" type="noConversion"/>
  </si>
  <si>
    <t>https://dart.fss.or.kr/dsaf001/main.do?rcpNo=20230307000606</t>
    <phoneticPr fontId="16" type="noConversion"/>
  </si>
  <si>
    <t>https://dart.fss.or.kr/dsaf001/main.do?rcpNo=20230831001403</t>
    <phoneticPr fontId="16" type="noConversion"/>
  </si>
  <si>
    <t>https://dart.fss.or.kr/dsaf001/main.do?rcpNo=20230307000653</t>
    <phoneticPr fontId="16" type="noConversion"/>
  </si>
  <si>
    <t>https://dart.fss.or.kr/dsaf001/main.do?rcpNo=20230307000542</t>
    <phoneticPr fontId="16" type="noConversion"/>
  </si>
  <si>
    <t>https://dart.fss.or.kr/dsaf001/main.do?rcpNo=20230309000572</t>
    <phoneticPr fontId="16" type="noConversion"/>
  </si>
  <si>
    <t>https://dart.fss.or.kr/dsaf001/main.do?rcpNo=20230308000723</t>
    <phoneticPr fontId="16" type="noConversion"/>
  </si>
  <si>
    <t>https://dart.fss.or.kr/dsaf001/main.do?rcpNo=20230309000772</t>
    <phoneticPr fontId="16" type="noConversion"/>
  </si>
  <si>
    <t>https://dart.fss.or.kr/dsaf001/main.do?rcpNo=20230315001212</t>
    <phoneticPr fontId="16" type="noConversion"/>
  </si>
  <si>
    <t>https://dart.fss.or.kr/dsaf001/main.do?rcpNo=20230315001060</t>
    <phoneticPr fontId="16" type="noConversion"/>
  </si>
  <si>
    <t>https://dart.fss.or.kr/dsaf001/main.do?rcpNo=20230321001381</t>
    <phoneticPr fontId="16" type="noConversion"/>
  </si>
  <si>
    <t>https://dart.fss.or.kr/dsaf001/main.do?rcpNo=20230315001242</t>
    <phoneticPr fontId="16" type="noConversion"/>
  </si>
  <si>
    <t>https://dart.fss.or.kr/dsaf001/main.do?rcpNo=20230713000197</t>
    <phoneticPr fontId="16" type="noConversion"/>
  </si>
  <si>
    <t>https://dart.fss.or.kr/dsaf001/main.do?rcpNo=20230524000304</t>
    <phoneticPr fontId="16" type="noConversion"/>
  </si>
  <si>
    <t>https://dart.fss.or.kr/dsaf001/main.do?rcpNo=20230316001053</t>
    <phoneticPr fontId="16" type="noConversion"/>
  </si>
  <si>
    <t>https://dart.fss.or.kr/dsaf001/main.do?rcpNo=20230314000085</t>
    <phoneticPr fontId="16" type="noConversion"/>
  </si>
  <si>
    <t>https://dart.fss.or.kr/dsaf001/main.do?rcpNo=20230316001338</t>
    <phoneticPr fontId="16" type="noConversion"/>
  </si>
  <si>
    <t>https://dart.fss.or.kr/dsaf001/main.do?rcpNo=20230322000313</t>
    <phoneticPr fontId="16" type="noConversion"/>
  </si>
  <si>
    <t>https://dart.fss.or.kr/dsaf001/main.do?rcpNo=20230410003453</t>
    <phoneticPr fontId="16" type="noConversion"/>
  </si>
  <si>
    <t>https://dart.fss.or.kr/dsaf001/main.do?rcpNo=20230320000375</t>
    <phoneticPr fontId="16" type="noConversion"/>
  </si>
  <si>
    <t>https://dart.fss.or.kr/dsaf001/main.do?rcpNo=20230316001182</t>
    <phoneticPr fontId="16" type="noConversion"/>
  </si>
  <si>
    <t>https://dart.fss.or.kr/dsaf001/main.do?rcpNo=20230316001232</t>
    <phoneticPr fontId="16" type="noConversion"/>
  </si>
  <si>
    <t>https://dart.fss.or.kr/dsaf001/main.do?rcpNo=20230317000349</t>
    <phoneticPr fontId="16" type="noConversion"/>
  </si>
  <si>
    <t>https://dart.fss.or.kr/dsaf001/main.do?rcpNo=20230310000633</t>
    <phoneticPr fontId="16" type="noConversion"/>
  </si>
  <si>
    <t>https://dart.fss.or.kr/dsaf001/main.do?rcpNo=20230315000963</t>
    <phoneticPr fontId="16" type="noConversion"/>
  </si>
  <si>
    <t>https://dart.fss.or.kr/dsaf001/main.do?rcpNo=20230323000638</t>
    <phoneticPr fontId="16" type="noConversion"/>
  </si>
  <si>
    <t>https://dart.fss.or.kr/dsaf001/main.do?rcpNo=20230316000928</t>
    <phoneticPr fontId="16" type="noConversion"/>
  </si>
  <si>
    <t>https://dart.fss.or.kr/dsaf001/main.do?rcpNo=20230308000717</t>
    <phoneticPr fontId="16" type="noConversion"/>
  </si>
  <si>
    <t>https://dart.fss.or.kr/dsaf001/main.do?rcpNo=20230314001166</t>
    <phoneticPr fontId="16" type="noConversion"/>
  </si>
  <si>
    <t>https://dart.fss.or.kr/dsaf001/main.do?rcpNo=20230724000235</t>
    <phoneticPr fontId="16" type="noConversion"/>
  </si>
  <si>
    <t>https://dart.fss.or.kr/dsaf001/main.do?rcpNo=20230228006867</t>
    <phoneticPr fontId="16" type="noConversion"/>
  </si>
  <si>
    <t>https://dart.fss.or.kr/dsaf001/main.do?rcpNo=20230316000461</t>
    <phoneticPr fontId="16" type="noConversion"/>
  </si>
  <si>
    <t>https://dart.fss.or.kr/dsaf001/main.do?rcpNo=20230320000842</t>
    <phoneticPr fontId="16" type="noConversion"/>
  </si>
  <si>
    <t>https://dart.fss.or.kr/dsaf001/main.do?rcpNo=20230320000954</t>
    <phoneticPr fontId="16" type="noConversion"/>
  </si>
  <si>
    <t>https://dart.fss.or.kr/dsaf001/main.do?rcpNo=20230302000104</t>
    <phoneticPr fontId="16" type="noConversion"/>
  </si>
  <si>
    <t>https://dart.fss.or.kr/dsaf001/main.do?rcpNo=20230323001156</t>
    <phoneticPr fontId="16" type="noConversion"/>
  </si>
  <si>
    <t>https://dart.fss.or.kr/dsaf001/main.do?rcpNo=20230316001196</t>
    <phoneticPr fontId="16" type="noConversion"/>
  </si>
  <si>
    <t>https://dart.fss.or.kr/dsaf001/main.do?rcpNo=20230322000910</t>
    <phoneticPr fontId="16" type="noConversion"/>
  </si>
  <si>
    <t>https://dart.fss.or.kr/dsaf001/main.do?rcpNo=20230315001315</t>
    <phoneticPr fontId="16" type="noConversion"/>
  </si>
  <si>
    <t>https://dart.fss.or.kr/dsaf001/main.do?rcpNo=20220920000318</t>
    <phoneticPr fontId="16" type="noConversion"/>
  </si>
  <si>
    <t>https://dart.fss.or.kr/dsaf001/main.do?rcpNo=20230315001319</t>
    <phoneticPr fontId="16" type="noConversion"/>
  </si>
  <si>
    <t>https://dart.fss.or.kr/dsaf001/main.do?rcpNo=20230314001079</t>
    <phoneticPr fontId="16" type="noConversion"/>
  </si>
  <si>
    <t>https://dart.fss.or.kr/dsaf001/main.do?rcpNo=20230316001089</t>
    <phoneticPr fontId="16" type="noConversion"/>
  </si>
  <si>
    <t>https://dart.fss.or.kr/dsaf001/main.do?rcpNo=20230615000542</t>
    <phoneticPr fontId="16" type="noConversion"/>
  </si>
  <si>
    <t>https://dart.fss.or.kr/dsaf001/main.do?rcpNo=20230323000459</t>
    <phoneticPr fontId="16" type="noConversion"/>
  </si>
  <si>
    <t>https://dart.fss.or.kr/dsaf001/main.do?rcpNo=20230411002838</t>
    <phoneticPr fontId="16" type="noConversion"/>
  </si>
  <si>
    <t>https://dart.fss.or.kr/dsaf001/main.do?rcpNo=20230321001494</t>
    <phoneticPr fontId="16" type="noConversion"/>
  </si>
  <si>
    <t>https://dart.fss.or.kr/dsaf001/main.do?rcpNo=20230317001042</t>
    <phoneticPr fontId="16" type="noConversion"/>
  </si>
  <si>
    <t>https://dart.fss.or.kr/dsaf001/main.do?rcpNo=20230316000657</t>
    <phoneticPr fontId="16" type="noConversion"/>
  </si>
  <si>
    <t>https://dart.fss.or.kr/dsaf001/main.do?rcpNo=20230315001378</t>
    <phoneticPr fontId="16" type="noConversion"/>
  </si>
  <si>
    <t>https://dart.fss.or.kr/dsaf001/main.do?rcpNo=20230309000717</t>
    <phoneticPr fontId="16" type="noConversion"/>
  </si>
  <si>
    <t>https://dart.fss.or.kr/dsaf001/main.do?rcpNo=20230322000722</t>
    <phoneticPr fontId="16" type="noConversion"/>
  </si>
  <si>
    <t>https://dart.fss.or.kr/dsaf001/main.do?rcpNo=20230323001296</t>
    <phoneticPr fontId="16" type="noConversion"/>
  </si>
  <si>
    <t>https://dart.fss.or.kr/dsaf001/main.do?rcpNo=20230315001190</t>
    <phoneticPr fontId="16" type="noConversion"/>
  </si>
  <si>
    <t>https://dart.fss.or.kr/dsaf001/main.do?rcpNo=20230320001088</t>
    <phoneticPr fontId="16" type="noConversion"/>
  </si>
  <si>
    <t>https://dart.fss.or.kr/dsaf001/main.do?rcpNo=20230515000371</t>
    <phoneticPr fontId="16" type="noConversion"/>
  </si>
  <si>
    <t>https://dart.fss.or.kr/dsaf001/main.do?rcpNo=20230321001134</t>
    <phoneticPr fontId="16" type="noConversion"/>
  </si>
  <si>
    <t>https://dart.fss.or.kr/dsaf001/main.do?rcpNo=20230307000691</t>
    <phoneticPr fontId="16" type="noConversion"/>
  </si>
  <si>
    <t>https://dart.fss.or.kr/dsaf001/main.do?rcpNo=20230321001261</t>
    <phoneticPr fontId="16" type="noConversion"/>
  </si>
  <si>
    <t>https://dart.fss.or.kr/dsaf001/main.do?rcpNo=20230323001360</t>
    <phoneticPr fontId="16" type="noConversion"/>
  </si>
  <si>
    <t>https://dart.fss.or.kr/dsaf001/main.do?rcpNo=20230314000700</t>
    <phoneticPr fontId="16" type="noConversion"/>
  </si>
  <si>
    <t>https://dart.fss.or.kr/dsaf001/main.do?rcpNo=20230315000345</t>
    <phoneticPr fontId="16" type="noConversion"/>
  </si>
  <si>
    <t>https://dart.fss.or.kr/dsaf001/main.do?rcpNo=20230321001365</t>
    <phoneticPr fontId="16" type="noConversion"/>
  </si>
  <si>
    <t>https://dart.fss.or.kr/dsaf001/main.do?rcpNo=20230712000496</t>
    <phoneticPr fontId="16" type="noConversion"/>
  </si>
  <si>
    <t>https://dart.fss.or.kr/dsaf001/main.do?rcpNo=20230315001259</t>
    <phoneticPr fontId="16" type="noConversion"/>
  </si>
  <si>
    <t>https://dart.fss.or.kr/dsaf001/main.do?rcpNo=20230322000913</t>
    <phoneticPr fontId="16" type="noConversion"/>
  </si>
  <si>
    <t>https://dart.fss.or.kr/dsaf001/main.do?rcpNo=20230316001571</t>
    <phoneticPr fontId="16" type="noConversion"/>
  </si>
  <si>
    <t>https://dart.fss.or.kr/dsaf001/main.do?rcpNo=20230317000918</t>
    <phoneticPr fontId="16" type="noConversion"/>
  </si>
  <si>
    <t>https://dart.fss.or.kr/dsaf001/main.do?rcpNo=20230308000675</t>
    <phoneticPr fontId="16" type="noConversion"/>
  </si>
  <si>
    <t>https://dart.fss.or.kr/dsaf001/main.do?rcpNo=20230329000065</t>
    <phoneticPr fontId="16" type="noConversion"/>
  </si>
  <si>
    <t>https://dart.fss.or.kr/dsaf001/main.do?rcpNo=20230323001413</t>
    <phoneticPr fontId="16" type="noConversion"/>
  </si>
  <si>
    <t>https://dart.fss.or.kr/dsaf001/main.do?rcpNo=20230314000094</t>
    <phoneticPr fontId="16" type="noConversion"/>
  </si>
  <si>
    <t>https://dart.fss.or.kr/dsaf001/main.do?rcpNo=20230315000887</t>
    <phoneticPr fontId="16" type="noConversion"/>
  </si>
  <si>
    <t>https://dart.fss.or.kr/dsaf001/main.do?rcpNo=20230315001431</t>
    <phoneticPr fontId="16" type="noConversion"/>
  </si>
  <si>
    <t>https://dart.fss.or.kr/dsaf001/main.do?rcpNo=20230315000658</t>
    <phoneticPr fontId="16" type="noConversion"/>
  </si>
  <si>
    <t>https://dart.fss.or.kr/dsaf001/main.do?rcpNo=20230322001078</t>
    <phoneticPr fontId="16" type="noConversion"/>
  </si>
  <si>
    <t>https://dart.fss.or.kr/dsaf001/main.do?rcpNo=20230321000409</t>
    <phoneticPr fontId="16" type="noConversion"/>
  </si>
  <si>
    <t>https://dart.fss.or.kr/dsaf001/main.do?rcpNo=20230323001183</t>
    <phoneticPr fontId="16" type="noConversion"/>
  </si>
  <si>
    <t>https://dart.fss.or.kr/dsaf001/main.do?rcpNo=20230323001335</t>
    <phoneticPr fontId="16" type="noConversion"/>
  </si>
  <si>
    <t>https://dart.fss.or.kr/dsaf001/main.do?rcpNo=20230309000433</t>
    <phoneticPr fontId="16" type="noConversion"/>
  </si>
  <si>
    <t>https://dart.fss.or.kr/dsaf001/main.do?rcpNo=20230320000322</t>
    <phoneticPr fontId="16" type="noConversion"/>
  </si>
  <si>
    <t>https://dart.fss.or.kr/dsaf001/main.do?rcpNo=20230322000936</t>
    <phoneticPr fontId="16" type="noConversion"/>
  </si>
  <si>
    <t>https://dart.fss.or.kr/dsaf001/main.do?rcpNo=20230317000389</t>
    <phoneticPr fontId="16" type="noConversion"/>
  </si>
  <si>
    <t>https://dart.fss.or.kr/dsaf001/main.do?rcpNo=20230323001151</t>
    <phoneticPr fontId="16" type="noConversion"/>
  </si>
  <si>
    <t>https://dart.fss.or.kr/dsaf001/main.do?rcpNo=20230316000222</t>
    <phoneticPr fontId="16" type="noConversion"/>
  </si>
  <si>
    <t>https://dart.fss.or.kr/dsaf001/main.do?rcpNo=20230315000560</t>
    <phoneticPr fontId="16" type="noConversion"/>
  </si>
  <si>
    <t>https://dart.fss.or.kr/dsaf001/main.do?rcpNo=20230315001068</t>
    <phoneticPr fontId="16" type="noConversion"/>
  </si>
  <si>
    <t>https://dart.fss.or.kr/dsaf001/main.do?rcpNo=20230714000214</t>
    <phoneticPr fontId="16" type="noConversion"/>
  </si>
  <si>
    <t>https://dart.fss.or.kr/dsaf001/main.do?rcpNo=20230308000451</t>
    <phoneticPr fontId="16" type="noConversion"/>
  </si>
  <si>
    <t>https://dart.fss.or.kr/dsaf001/main.do?rcpNo=20230321000389</t>
    <phoneticPr fontId="16" type="noConversion"/>
  </si>
  <si>
    <t>https://dart.fss.or.kr/dsaf001/main.do?rcpNo=20230314001271</t>
    <phoneticPr fontId="16" type="noConversion"/>
  </si>
  <si>
    <t>https://dart.fss.or.kr/dsaf001/main.do?rcpNo=20230316001017</t>
    <phoneticPr fontId="16" type="noConversion"/>
  </si>
  <si>
    <t>https://dart.fss.or.kr/dsaf001/main.do?rcpNo=20230322000622</t>
    <phoneticPr fontId="16" type="noConversion"/>
  </si>
  <si>
    <t>https://dart.fss.or.kr/dsaf001/main.do?rcpNo=20230331002546</t>
    <phoneticPr fontId="16" type="noConversion"/>
  </si>
  <si>
    <t>https://dart.fss.or.kr/dsaf001/main.do?rcpNo=20230309000626</t>
    <phoneticPr fontId="16" type="noConversion"/>
  </si>
  <si>
    <t>https://dart.fss.or.kr/dsaf001/main.do?rcpNo=20230316000376</t>
    <phoneticPr fontId="16" type="noConversion"/>
  </si>
  <si>
    <t>https://dart.fss.or.kr/dsaf001/main.do?rcpNo=20230315001428</t>
    <phoneticPr fontId="16" type="noConversion"/>
  </si>
  <si>
    <t>https://dart.fss.or.kr/dsaf001/main.do?rcpNo=20230308000725</t>
    <phoneticPr fontId="16" type="noConversion"/>
  </si>
  <si>
    <t>https://dart.fss.or.kr/dsaf001/main.do?rcpNo=20230306000422</t>
    <phoneticPr fontId="16" type="noConversion"/>
  </si>
  <si>
    <t>https://dart.fss.or.kr/dsaf001/main.do?rcpNo=20230320000418</t>
    <phoneticPr fontId="16" type="noConversion"/>
  </si>
  <si>
    <t>https://dart.fss.or.kr/dsaf001/main.do?rcpNo=20230321001298</t>
    <phoneticPr fontId="16" type="noConversion"/>
  </si>
  <si>
    <t>https://dart.fss.or.kr/dsaf001/main.do?rcpNo=20230321001309</t>
    <phoneticPr fontId="16" type="noConversion"/>
  </si>
  <si>
    <t>https://dart.fss.or.kr/dsaf001/main.do?rcpNo=20230316000762</t>
    <phoneticPr fontId="16" type="noConversion"/>
  </si>
  <si>
    <t>https://dart.fss.or.kr/dsaf001/main.do?rcpNo=20230321001167</t>
    <phoneticPr fontId="16" type="noConversion"/>
  </si>
  <si>
    <t>https://dart.fss.or.kr/dsaf001/main.do?rcpNo=20230316001262</t>
    <phoneticPr fontId="16" type="noConversion"/>
  </si>
  <si>
    <t>https://dart.fss.or.kr/dsaf001/main.do?rcpNo=20230407002574</t>
    <phoneticPr fontId="16" type="noConversion"/>
  </si>
  <si>
    <t>https://dart.fss.or.kr/dsaf001/main.do?rcpNo=20230323001449</t>
    <phoneticPr fontId="16" type="noConversion"/>
  </si>
  <si>
    <t>https://dart.fss.or.kr/dsaf001/main.do?rcpNo=20230323001208</t>
    <phoneticPr fontId="16" type="noConversion"/>
  </si>
  <si>
    <t>https://dart.fss.or.kr/dsaf001/main.do?rcpNo=20230320001005</t>
    <phoneticPr fontId="16" type="noConversion"/>
  </si>
  <si>
    <t>https://dart.fss.or.kr/dsaf001/main.do?rcpNo=20230317001037</t>
    <phoneticPr fontId="16" type="noConversion"/>
  </si>
  <si>
    <t>https://dart.fss.or.kr/dsaf001/main.do?rcpNo=20230323001465</t>
    <phoneticPr fontId="16" type="noConversion"/>
  </si>
  <si>
    <t>https://dart.fss.or.kr/dsaf001/main.do?rcpNo=20230315000297</t>
    <phoneticPr fontId="16" type="noConversion"/>
  </si>
  <si>
    <t>https://dart.fss.or.kr/dsaf001/main.do?rcpNo=20230321000862</t>
    <phoneticPr fontId="16" type="noConversion"/>
  </si>
  <si>
    <t>https://dart.fss.or.kr/dsaf001/main.do?rcpNo=20230403003576</t>
    <phoneticPr fontId="16" type="noConversion"/>
  </si>
  <si>
    <t>https://dart.fss.or.kr/dsaf001/main.do?rcpNo=20230331000007</t>
    <phoneticPr fontId="16" type="noConversion"/>
  </si>
  <si>
    <t>https://dart.fss.or.kr/dsaf001/main.do?rcpNo=20230320000728</t>
    <phoneticPr fontId="16" type="noConversion"/>
  </si>
  <si>
    <t>https://dart.fss.or.kr/dsaf001/main.do?rcpNo=20230320001037</t>
    <phoneticPr fontId="16" type="noConversion"/>
  </si>
  <si>
    <t>https://dart.fss.or.kr/dsaf001/main.do?rcpNo=20230316001157</t>
    <phoneticPr fontId="16" type="noConversion"/>
  </si>
  <si>
    <t>https://dart.fss.or.kr/dsaf001/main.do?rcpNo=20230323001143</t>
    <phoneticPr fontId="16" type="noConversion"/>
  </si>
  <si>
    <t>https://dart.fss.or.kr/dsaf001/main.do?rcpNo=20230314000862</t>
    <phoneticPr fontId="16" type="noConversion"/>
  </si>
  <si>
    <t>https://dart.fss.or.kr/dsaf001/main.do?rcpNo=20230317000233</t>
    <phoneticPr fontId="16" type="noConversion"/>
  </si>
  <si>
    <t>https://dart.fss.or.kr/dsaf001/main.do?rcpNo=20230322000780</t>
    <phoneticPr fontId="16" type="noConversion"/>
  </si>
  <si>
    <t>https://dart.fss.or.kr/dsaf001/main.do?rcpNo=20230310000763</t>
    <phoneticPr fontId="16" type="noConversion"/>
  </si>
  <si>
    <t>https://dart.fss.or.kr/dsaf001/main.do?rcpNo=20230316001321</t>
    <phoneticPr fontId="16" type="noConversion"/>
  </si>
  <si>
    <t>https://dart.fss.or.kr/dsaf001/main.do?rcpNo=20230316001190</t>
    <phoneticPr fontId="16" type="noConversion"/>
  </si>
  <si>
    <t>https://dart.fss.or.kr/dsaf001/main.do?rcpNo=20230314000892</t>
    <phoneticPr fontId="16" type="noConversion"/>
  </si>
  <si>
    <t>https://dart.fss.or.kr/dsaf001/main.do?rcpNo=20230321001130</t>
    <phoneticPr fontId="16" type="noConversion"/>
  </si>
  <si>
    <t>https://dart.fss.or.kr/dsaf001/main.do?rcpNo=20230321001315</t>
    <phoneticPr fontId="16" type="noConversion"/>
  </si>
  <si>
    <t>https://dart.fss.or.kr/dsaf001/main.do?rcpNo=20230316001331</t>
    <phoneticPr fontId="16" type="noConversion"/>
  </si>
  <si>
    <t>https://dart.fss.or.kr/dsaf001/main.do?rcpNo=20230313000443</t>
    <phoneticPr fontId="16" type="noConversion"/>
  </si>
  <si>
    <t>https://dart.fss.or.kr/dsaf001/main.do?rcpNo=20230317000751</t>
    <phoneticPr fontId="16" type="noConversion"/>
  </si>
  <si>
    <t>https://dart.fss.or.kr/dsaf001/main.do?rcpNo=20230322001245</t>
    <phoneticPr fontId="16" type="noConversion"/>
  </si>
  <si>
    <t>https://dart.fss.or.kr/dsaf001/main.do?rcpNo=20230316001467</t>
    <phoneticPr fontId="16" type="noConversion"/>
  </si>
  <si>
    <t>https://dart.fss.or.kr/dsaf001/main.do?rcpNo=20230712000281</t>
    <phoneticPr fontId="16" type="noConversion"/>
  </si>
  <si>
    <t>https://dart.fss.or.kr/dsaf001/main.do?rcpNo=20230316001349</t>
    <phoneticPr fontId="16" type="noConversion"/>
  </si>
  <si>
    <t>https://dart.fss.or.kr/dsaf001/main.do?rcpNo=20230320000791</t>
    <phoneticPr fontId="16" type="noConversion"/>
  </si>
  <si>
    <t>https://dart.fss.or.kr/dsaf001/main.do?rcpNo=20230323000756</t>
    <phoneticPr fontId="16" type="noConversion"/>
  </si>
  <si>
    <t>https://dart.fss.or.kr/dsaf001/main.do?rcpNo=20230323000478</t>
    <phoneticPr fontId="16" type="noConversion"/>
  </si>
  <si>
    <t>https://dart.fss.or.kr/dsaf001/main.do?rcpNo=20230315000812</t>
    <phoneticPr fontId="16" type="noConversion"/>
  </si>
  <si>
    <t>https://dart.fss.or.kr/dsaf001/main.do?rcpNo=20230323000970</t>
    <phoneticPr fontId="16" type="noConversion"/>
  </si>
  <si>
    <t>https://dart.fss.or.kr/dsaf001/main.do?rcpNo=20230316001234</t>
    <phoneticPr fontId="16" type="noConversion"/>
  </si>
  <si>
    <t>https://dart.fss.or.kr/dsaf001/main.do?rcpNo=20230316000941</t>
    <phoneticPr fontId="16" type="noConversion"/>
  </si>
  <si>
    <t>https://dart.fss.or.kr/dsaf001/main.do?rcpNo=20230321001102</t>
    <phoneticPr fontId="16" type="noConversion"/>
  </si>
  <si>
    <t>https://dart.fss.or.kr/dsaf001/main.do?rcpNo=20230317000867</t>
    <phoneticPr fontId="16" type="noConversion"/>
  </si>
  <si>
    <t>https://dart.fss.or.kr/dsaf001/main.do?rcpNo=20230316000780</t>
    <phoneticPr fontId="16" type="noConversion"/>
  </si>
  <si>
    <t>https://dart.fss.or.kr/dsaf001/main.do?rcpNo=20230316001135</t>
    <phoneticPr fontId="16" type="noConversion"/>
  </si>
  <si>
    <t>https://dart.fss.or.kr/dsaf001/main.do?rcpNo=20230316001554</t>
    <phoneticPr fontId="16" type="noConversion"/>
  </si>
  <si>
    <t>https://dart.fss.or.kr/dsaf001/main.do?rcpNo=20230321001525</t>
    <phoneticPr fontId="16" type="noConversion"/>
  </si>
  <si>
    <t>https://dart.fss.or.kr/dsaf001/main.do?rcpNo=20230315001312</t>
    <phoneticPr fontId="16" type="noConversion"/>
  </si>
  <si>
    <t>https://dart.fss.or.kr/dsaf001/main.do?rcpNo=20230320000937</t>
    <phoneticPr fontId="16" type="noConversion"/>
  </si>
  <si>
    <t>https://dart.fss.or.kr/dsaf001/main.do?rcpNo=20230314000521</t>
    <phoneticPr fontId="16" type="noConversion"/>
  </si>
  <si>
    <t>https://dart.fss.or.kr/dsaf001/main.do?rcpNo=20230313000732</t>
    <phoneticPr fontId="16" type="noConversion"/>
  </si>
  <si>
    <t>https://dart.fss.or.kr/dsaf001/main.do?rcpNo=20230314001231</t>
    <phoneticPr fontId="16" type="noConversion"/>
  </si>
  <si>
    <t>https://dart.fss.or.kr/dsaf001/main.do?rcpNo=20230315001227</t>
    <phoneticPr fontId="16" type="noConversion"/>
  </si>
  <si>
    <t>https://dart.fss.or.kr/dsaf001/main.do?rcpNo=20230315000894</t>
    <phoneticPr fontId="16" type="noConversion"/>
  </si>
  <si>
    <t>https://dart.fss.or.kr/dsaf001/main.do?rcpNo=20230321000255</t>
    <phoneticPr fontId="16" type="noConversion"/>
  </si>
  <si>
    <t>https://dart.fss.or.kr/dsaf001/main.do?rcpNo=20230317000994</t>
    <phoneticPr fontId="16" type="noConversion"/>
  </si>
  <si>
    <t>https://dart.fss.or.kr/dsaf001/main.do?rcpNo=20230317000982</t>
    <phoneticPr fontId="16" type="noConversion"/>
  </si>
  <si>
    <t>https://dart.fss.or.kr/dsaf001/main.do?rcpNo=20230323001346</t>
    <phoneticPr fontId="16" type="noConversion"/>
  </si>
  <si>
    <t>https://dart.fss.or.kr/dsaf001/main.do?rcpNo=20230315001412</t>
    <phoneticPr fontId="16" type="noConversion"/>
  </si>
  <si>
    <t>https://dart.fss.or.kr/dsaf001/main.do?rcpNo=20230315000557</t>
    <phoneticPr fontId="16" type="noConversion"/>
  </si>
  <si>
    <t>https://dart.fss.or.kr/dsaf001/main.do?rcpNo=20230315001327</t>
    <phoneticPr fontId="16" type="noConversion"/>
  </si>
  <si>
    <t>https://dart.fss.or.kr/dsaf001/main.do?rcpNo=20230314001218</t>
    <phoneticPr fontId="16" type="noConversion"/>
  </si>
  <si>
    <t>https://dart.fss.or.kr/dsaf001/main.do?rcpNo=20230411001656</t>
    <phoneticPr fontId="16" type="noConversion"/>
  </si>
  <si>
    <t>https://dart.fss.or.kr/dsaf001/main.do?rcpNo=20230315001104</t>
    <phoneticPr fontId="16" type="noConversion"/>
  </si>
  <si>
    <t>https://dart.fss.or.kr/dsaf001/main.do?rcpNo=20230321001449</t>
    <phoneticPr fontId="16" type="noConversion"/>
  </si>
  <si>
    <t>https://dart.fss.or.kr/dsaf001/main.do?rcpNo=20230310001083</t>
    <phoneticPr fontId="16" type="noConversion"/>
  </si>
  <si>
    <t>https://dart.fss.or.kr/dsaf001/main.do?rcpNo=20230321001162</t>
    <phoneticPr fontId="16" type="noConversion"/>
  </si>
  <si>
    <t>https://dart.fss.or.kr/dsaf001/main.do?rcpNo=20230320001061</t>
    <phoneticPr fontId="16" type="noConversion"/>
  </si>
  <si>
    <t>https://dart.fss.or.kr/dsaf001/main.do?rcpNo=20230321001479</t>
    <phoneticPr fontId="16" type="noConversion"/>
  </si>
  <si>
    <t>https://dart.fss.or.kr/dsaf001/main.do?rcpNo=20230317000639</t>
    <phoneticPr fontId="16" type="noConversion"/>
  </si>
  <si>
    <t>https://dart.fss.or.kr/dsaf001/main.do?rcpNo=20230315001030</t>
    <phoneticPr fontId="16" type="noConversion"/>
  </si>
  <si>
    <t>https://dart.fss.or.kr/dsaf001/main.do?rcpNo=20230315000803</t>
    <phoneticPr fontId="16" type="noConversion"/>
  </si>
  <si>
    <t>https://dart.fss.or.kr/dsaf001/main.do?rcpNo=20230321001082</t>
    <phoneticPr fontId="16" type="noConversion"/>
  </si>
  <si>
    <t>https://dart.fss.or.kr/dsaf001/main.do?rcpNo=20230309000797</t>
    <phoneticPr fontId="16" type="noConversion"/>
  </si>
  <si>
    <t>https://dart.fss.or.kr/dsaf001/main.do?rcpNo=20230315001376</t>
    <phoneticPr fontId="16" type="noConversion"/>
  </si>
  <si>
    <t>https://dart.fss.or.kr/dsaf001/main.do?rcpNo=20230316001392</t>
    <phoneticPr fontId="16" type="noConversion"/>
  </si>
  <si>
    <t>https://dart.fss.or.kr/dsaf001/main.do?rcpNo=20230321000920</t>
    <phoneticPr fontId="16" type="noConversion"/>
  </si>
  <si>
    <t>https://dart.fss.or.kr/dsaf001/main.do?rcpNo=20230317000130</t>
    <phoneticPr fontId="16" type="noConversion"/>
  </si>
  <si>
    <t>https://dart.fss.or.kr/dsaf001/main.do?rcpNo=20230315000315</t>
    <phoneticPr fontId="16" type="noConversion"/>
  </si>
  <si>
    <t>https://dart.fss.or.kr/dsaf001/main.do?rcpNo=20230320000391</t>
    <phoneticPr fontId="16" type="noConversion"/>
  </si>
  <si>
    <t>https://dart.fss.or.kr/dsaf001/main.do?rcpNo=20230315001063</t>
    <phoneticPr fontId="16" type="noConversion"/>
  </si>
  <si>
    <t>https://dart.fss.or.kr/dsaf001/main.do?rcpNo=20230308000691</t>
    <phoneticPr fontId="16" type="noConversion"/>
  </si>
  <si>
    <t>https://dart.fss.or.kr/dsaf001/main.do?rcpNo=20230308000741</t>
    <phoneticPr fontId="16" type="noConversion"/>
  </si>
  <si>
    <t>https://dart.fss.or.kr/dsaf001/main.do?rcpNo=20230321000387</t>
    <phoneticPr fontId="16" type="noConversion"/>
  </si>
  <si>
    <t>https://dart.fss.or.kr/dsaf001/main.do?rcpNo=20230313000533</t>
    <phoneticPr fontId="16" type="noConversion"/>
  </si>
  <si>
    <t>https://dart.fss.or.kr/dsaf001/main.do?rcpNo=20230316001454</t>
    <phoneticPr fontId="16" type="noConversion"/>
  </si>
  <si>
    <t>합계 (원화, 천단위)</t>
    <phoneticPr fontId="16" type="noConversion"/>
  </si>
  <si>
    <r>
      <t xml:space="preserve">대규모기업집단지정
</t>
    </r>
    <r>
      <rPr>
        <sz val="11"/>
        <color rgb="FFFF0000"/>
        <rFont val="맑은 고딕"/>
        <family val="3"/>
        <charset val="129"/>
      </rPr>
      <t>(유/무)</t>
    </r>
  </si>
  <si>
    <r>
      <t xml:space="preserve">시장지배적지위남용
</t>
    </r>
    <r>
      <rPr>
        <sz val="11"/>
        <color rgb="FFFF0000"/>
        <rFont val="맑은 고딕"/>
        <family val="3"/>
        <charset val="129"/>
      </rPr>
      <t>(건수)</t>
    </r>
  </si>
  <si>
    <r>
      <t xml:space="preserve">경제력집중억제(상호출자위반 등)
</t>
    </r>
    <r>
      <rPr>
        <sz val="11"/>
        <color rgb="FFFF0000"/>
        <rFont val="맑은 고딕"/>
        <family val="3"/>
        <charset val="129"/>
      </rPr>
      <t>(건수)</t>
    </r>
  </si>
  <si>
    <r>
      <t xml:space="preserve">부당한 공동행위(담합)
</t>
    </r>
    <r>
      <rPr>
        <sz val="11"/>
        <color rgb="FFFF0000"/>
        <rFont val="맑은 고딕"/>
        <family val="3"/>
        <charset val="129"/>
      </rPr>
      <t>(건수)</t>
    </r>
  </si>
  <si>
    <r>
      <t xml:space="preserve">사업자단체 금지행위(판매조건결정 등)
</t>
    </r>
    <r>
      <rPr>
        <sz val="11"/>
        <color rgb="FFFF0000"/>
        <rFont val="맑은 고딕"/>
        <family val="3"/>
        <charset val="129"/>
      </rPr>
      <t>(건수)</t>
    </r>
  </si>
  <si>
    <r>
      <t xml:space="preserve">기업결합 제한규정
</t>
    </r>
    <r>
      <rPr>
        <sz val="11"/>
        <color rgb="FFFF0000"/>
        <rFont val="맑은 고딕"/>
        <family val="3"/>
        <charset val="129"/>
      </rPr>
      <t>(건수)</t>
    </r>
  </si>
  <si>
    <r>
      <t xml:space="preserve">부당한 지원행위
</t>
    </r>
    <r>
      <rPr>
        <sz val="11"/>
        <color rgb="FFFF0000"/>
        <rFont val="맑은 고딕"/>
        <family val="3"/>
        <charset val="129"/>
      </rPr>
      <t>(건수)</t>
    </r>
  </si>
  <si>
    <r>
      <t xml:space="preserve">불공정거래행위
</t>
    </r>
    <r>
      <rPr>
        <sz val="11"/>
        <color rgb="FFFF0000"/>
        <rFont val="맑은 고딕"/>
        <family val="3"/>
        <charset val="129"/>
      </rPr>
      <t>(건수)</t>
    </r>
  </si>
  <si>
    <t>공정거래법 준수
(적발수 합계)</t>
  </si>
  <si>
    <t>2. 공정거래법위반
(제조·비제조5점/금융2점)</t>
  </si>
  <si>
    <r>
      <t xml:space="preserve">불공정하도급 거래행위
</t>
    </r>
    <r>
      <rPr>
        <sz val="11"/>
        <color rgb="FFFF0000"/>
        <rFont val="맑은 고딕"/>
        <family val="3"/>
        <charset val="129"/>
      </rPr>
      <t>(건수)</t>
    </r>
  </si>
  <si>
    <r>
      <t xml:space="preserve">재판매가격 유지행위
</t>
    </r>
    <r>
      <rPr>
        <sz val="11"/>
        <color rgb="FFFF0000"/>
        <rFont val="맑은 고딕"/>
        <family val="3"/>
        <charset val="129"/>
      </rPr>
      <t>(건수)</t>
    </r>
  </si>
  <si>
    <r>
      <t xml:space="preserve">은행법 위반
</t>
    </r>
    <r>
      <rPr>
        <sz val="11"/>
        <color rgb="FFFF0000"/>
        <rFont val="맑은 고딕"/>
        <family val="3"/>
        <charset val="129"/>
      </rPr>
      <t>(건수)</t>
    </r>
  </si>
  <si>
    <r>
      <t xml:space="preserve">보험업법 위반
</t>
    </r>
    <r>
      <rPr>
        <sz val="11"/>
        <color rgb="FFFF0000"/>
        <rFont val="맑은 고딕"/>
        <family val="3"/>
        <charset val="129"/>
      </rPr>
      <t>(건수)</t>
    </r>
  </si>
  <si>
    <r>
      <t xml:space="preserve">기타
</t>
    </r>
    <r>
      <rPr>
        <sz val="11"/>
        <color rgb="FFFF0000"/>
        <rFont val="맑은 고딕"/>
        <family val="3"/>
        <charset val="129"/>
      </rPr>
      <t>(건수)</t>
    </r>
  </si>
  <si>
    <r>
      <t xml:space="preserve">위반내용
</t>
    </r>
    <r>
      <rPr>
        <sz val="11"/>
        <color rgb="FFFF0000"/>
        <rFont val="맑은 고딕"/>
        <family val="3"/>
        <charset val="129"/>
      </rPr>
      <t>(입력)</t>
    </r>
  </si>
  <si>
    <r>
      <t xml:space="preserve">전자금융거래법 위반
</t>
    </r>
    <r>
      <rPr>
        <sz val="11"/>
        <color rgb="FFFF0000"/>
        <rFont val="맑은 고딕"/>
        <family val="3"/>
        <charset val="129"/>
      </rPr>
      <t>(건수)</t>
    </r>
  </si>
  <si>
    <r>
      <t xml:space="preserve">위반 내용
</t>
    </r>
    <r>
      <rPr>
        <sz val="11"/>
        <color rgb="FFFF0000"/>
        <rFont val="맑은 고딕"/>
        <family val="3"/>
        <charset val="129"/>
      </rPr>
      <t>(입력)</t>
    </r>
  </si>
  <si>
    <r>
      <t xml:space="preserve">금산분리
</t>
    </r>
    <r>
      <rPr>
        <sz val="11"/>
        <color rgb="FFFF0000"/>
        <rFont val="맑은 고딕"/>
        <family val="3"/>
        <charset val="129"/>
      </rPr>
      <t>(유/무)</t>
    </r>
  </si>
  <si>
    <r>
      <t xml:space="preserve">불성실공시
</t>
    </r>
    <r>
      <rPr>
        <sz val="11"/>
        <color rgb="FFFF0000"/>
        <rFont val="맑은 고딕"/>
        <family val="3"/>
        <charset val="129"/>
      </rPr>
      <t>(적발건수)</t>
    </r>
  </si>
  <si>
    <r>
      <t xml:space="preserve">불성실공시 내용
</t>
    </r>
    <r>
      <rPr>
        <sz val="11"/>
        <color rgb="FFFF0000"/>
        <rFont val="맑은 고딕"/>
        <family val="3"/>
        <charset val="129"/>
      </rPr>
      <t>(입력)</t>
    </r>
  </si>
  <si>
    <r>
      <t xml:space="preserve">감사보고서 적정여부
</t>
    </r>
    <r>
      <rPr>
        <sz val="10"/>
        <color rgb="FFFF0000"/>
        <rFont val="맑은 고딕"/>
        <family val="3"/>
        <charset val="129"/>
      </rPr>
      <t>유=적정아님
무=적정</t>
    </r>
  </si>
  <si>
    <r>
      <t xml:space="preserve">사업보고서 정정
</t>
    </r>
    <r>
      <rPr>
        <sz val="11"/>
        <color rgb="FFFF0000"/>
        <rFont val="맑은 고딕"/>
        <family val="3"/>
        <charset val="129"/>
      </rPr>
      <t>(유/무)</t>
    </r>
  </si>
  <si>
    <r>
      <t xml:space="preserve">법인세 추징
</t>
    </r>
    <r>
      <rPr>
        <sz val="11"/>
        <color rgb="FFFF0000"/>
        <rFont val="맑은 고딕"/>
        <family val="3"/>
        <charset val="129"/>
      </rPr>
      <t>(유/무)</t>
    </r>
  </si>
  <si>
    <r>
      <t xml:space="preserve">집중투표제 여부
</t>
    </r>
    <r>
      <rPr>
        <sz val="11"/>
        <color rgb="FFFF0000"/>
        <rFont val="맑은 고딕"/>
        <family val="3"/>
        <charset val="129"/>
      </rPr>
      <t>(유/무)</t>
    </r>
  </si>
  <si>
    <r>
      <t xml:space="preserve">서면투표제 여부
</t>
    </r>
    <r>
      <rPr>
        <sz val="11"/>
        <color rgb="FFFF0000"/>
        <rFont val="맑은 고딕"/>
        <family val="3"/>
        <charset val="129"/>
      </rPr>
      <t>(유/무)</t>
    </r>
  </si>
  <si>
    <r>
      <t xml:space="preserve">전자투표제 여부
</t>
    </r>
    <r>
      <rPr>
        <sz val="11"/>
        <color rgb="FFFF0000"/>
        <rFont val="맑은 고딕"/>
        <family val="3"/>
        <charset val="129"/>
      </rPr>
      <t>(유/무)</t>
    </r>
  </si>
  <si>
    <t>https://dart.fss.or.kr/dsaf001/main.do?rcpNo=20230320000886</t>
  </si>
  <si>
    <t>평가제외</t>
  </si>
  <si>
    <t>https://dart.fss.or.kr/dsaf001/main.do?rcpNo=20230321001132</t>
  </si>
  <si>
    <t>https://dart.fss.or.kr/dsaf001/main.do?rcpNo=20230831001199</t>
  </si>
  <si>
    <t>https://dart.fss.or.kr/dsaf001/main.do?rcpNo=20230728000644</t>
  </si>
  <si>
    <t>https://dart.fss.or.kr/dsaf001/main.do?rcpNo=20230315000019</t>
  </si>
  <si>
    <t>https://dart.fss.or.kr/dsaf001/main.do?rcpNo=20230315001420</t>
  </si>
  <si>
    <t>https://www.dlenc.co.kr/main.do</t>
  </si>
  <si>
    <t>https://dart.fss.or.kr/dsaf001/main.do?rcpNo=20230322001200</t>
  </si>
  <si>
    <t>https://dart.fss.or.kr/dsaf001/main.do?rcpNo=20230320000736</t>
  </si>
  <si>
    <t>https://dart.fss.or.kr/dsaf001/main.do?rcpNo=20230320000604</t>
  </si>
  <si>
    <t>https://dart.fss.or.kr/dsaf001/main.do?rcpNo=20230831001367</t>
  </si>
  <si>
    <t>https://dart.fss.or.kr/dsaf001/main.do?rcpNo=20230316001014</t>
  </si>
  <si>
    <t>https://dart.fss.or.kr/dsaf001/main.do?rcpNo=20230315001215</t>
  </si>
  <si>
    <t>https://dart.fss.or.kr/dsaf001/main.do?rcpNo=20230316001339</t>
  </si>
  <si>
    <t>https://dart.fss.or.kr/dsaf001/main.do?rcpNo=20230315001033</t>
  </si>
  <si>
    <t>https://dart.fss.or.kr/dsaf001/main.do?rcpNo=20230713000082</t>
  </si>
  <si>
    <t>동대문구 용두1구역 6지구 공공재개발 시공사 선정 공정공시 불이행</t>
  </si>
  <si>
    <t>https://dart.fss.or.kr/dsaf001/main.do?rcpNo=20230317000301</t>
  </si>
  <si>
    <t>https://dart.fss.or.kr/dsaf001/main.do?rcpNo=20230315001407</t>
  </si>
  <si>
    <t>https://dart.fss.or.kr/dsaf001/main.do?rcpNo=20230714000061</t>
  </si>
  <si>
    <t>https://dart.fss.or.kr/dsaf001/main.do?rcpNo=20230321001126</t>
  </si>
  <si>
    <t>https://dart.fss.or.kr/dsaf001/main.do?rcpNo=20230315000071</t>
  </si>
  <si>
    <t>https://dart.fss.or.kr/dsaf001/main.do?rcpNo=20230316000950</t>
  </si>
  <si>
    <t>https://dart.fss.or.kr/dsaf001/main.do?rcpNo=20230316000684</t>
  </si>
  <si>
    <t>https://dart.fss.or.kr/dsaf001/main.do?rcpNo=20230322000776</t>
  </si>
  <si>
    <t>https://dart.fss.or.kr/dsaf001/main.do?rcpNo=20230323000613</t>
  </si>
  <si>
    <t>https://dart.fss.or.kr/dsaf001/main.do?rcpNo=20230320000688</t>
  </si>
  <si>
    <t>https://dart.fss.or.kr/dsaf001/main.do?rcpNo=20230320000833</t>
  </si>
  <si>
    <t>'21년 4분기 연결재무제표 기준 영업(잠정)실적 공정공시 불이행</t>
  </si>
  <si>
    <t>https://dart.fss.or.kr/dsaf001/main.do?rcpNo=20230302000615</t>
  </si>
  <si>
    <t>https://dart.fss.or.kr/dsaf001/main.do?rcpNo=20230222002549</t>
  </si>
  <si>
    <t>https://dart.fss.or.kr/dsaf001/main.do?rcpNo=20230317000276</t>
  </si>
  <si>
    <t>https://dart.fss.or.kr/dsaf001/main.do?rcpNo=20230315000850</t>
  </si>
  <si>
    <t>https://dart.fss.or.kr/dsaf001/main.do?rcpNo=20230315000964</t>
  </si>
  <si>
    <t>https://dart.fss.or.kr/dsaf001/main.do?rcpNo=20230316000724</t>
  </si>
  <si>
    <t>https://dart.fss.or.kr/dsaf001/main.do?rcpNo=20230315000084</t>
  </si>
  <si>
    <t>https://dart.fss.or.kr/dsaf001/mai0n.do?rcpNo=20230309000859</t>
  </si>
  <si>
    <t>https://dart.fss.or.kr/dsaf001/main.do?rcpNo=20230321000569</t>
  </si>
  <si>
    <t>https://dart.fss.or.kr/dsaf001/main.do?rcpNo=20230320000844</t>
  </si>
  <si>
    <t>https://dart.fss.or.kr/dsaf001/main.do?rcpNo=20230315000990</t>
  </si>
  <si>
    <t>https://dart.fss.or.kr/dsaf001/main.do?rcpNo=20230320000162</t>
  </si>
  <si>
    <t>https://dart.fss.or.kr/dsaf001/main.do?rcpNo=20230317000869</t>
  </si>
  <si>
    <t>https://dart.fss.or.kr/dsaf001/main.do?rcpNo=20230322000906</t>
  </si>
  <si>
    <t>https://dart.fss.or.kr/dsaf001/main.do?rcpNo=20230324000127</t>
  </si>
  <si>
    <t>https://dart.fss.or.kr/dsaf001/main.do?rcpNo=20230320000964</t>
  </si>
  <si>
    <t>https://dart.fss.or.kr/dsaf001/main.do?rcpNo=20230320000235</t>
  </si>
  <si>
    <t>https://dart.fss.or.kr/dsaf001/main.do?rcpNo=20230321001209</t>
  </si>
  <si>
    <t>https://dart.fss.or.kr/dsaf001/main.do?rcpNo=20230220001625</t>
  </si>
  <si>
    <t>https://dart.fss.or.kr/dsaf001/main.do?rcpNo=20230220001611</t>
  </si>
  <si>
    <t>https://dart.fss.or.kr/dsaf001/main.do?rcpNo=20230315001078</t>
  </si>
  <si>
    <t>https://dart.fss.or.kr/dsaf001/main.do?rcpNo=20230322000815</t>
  </si>
  <si>
    <t>https://dart.fss.or.kr/dsaf001/main.do?rcpNo=20230322000774</t>
  </si>
  <si>
    <t>https://dart.fss.or.kr/dsaf001/main.do?rcpNo=20230314001158</t>
  </si>
  <si>
    <t>https://dart.fss.or.kr/dsaf001/main.do?rcpNo=20230320000720</t>
  </si>
  <si>
    <t>https://dart.fss.or.kr/dsaf001/main.do?rcpNo=20230316000629</t>
  </si>
  <si>
    <t>https://dart.fss.or.kr/dsaf001/main.do?rcpNo=20230309000731</t>
  </si>
  <si>
    <t>https://dart.fss.or.kr/dsaf001/main.do?rcpNo=20230316001326</t>
  </si>
  <si>
    <t>https://dart.fss.or.kr/dsaf001/main.do?rcpNo=20230321001353</t>
  </si>
  <si>
    <t>https://dart.fss.or.kr/dsaf001/main.do?rcpNo=20230321000645</t>
  </si>
  <si>
    <t>https://dart.fss.or.kr/dsaf001/main.do?rcpNo=20230314000982</t>
  </si>
  <si>
    <t>https://dart.fss.or.kr/dsaf001/main.do?rcpNo=20230314000692</t>
  </si>
  <si>
    <t>https://dart.fss.or.kr/dsaf001/main.do?rcpNo=20230322001068</t>
  </si>
  <si>
    <t>https://dart.fss.or.kr/dsaf001/main.do?rcpNo=20230314000467</t>
  </si>
  <si>
    <t>https://dart.fss.or.kr/dsaf001/main.do?rcpNo=20230323000821</t>
  </si>
  <si>
    <t>https://dart.fss.or.kr/dsaf001/main.do?rcpNo=20230320000409</t>
  </si>
  <si>
    <t>https://dart.fss.or.kr/dsaf001/main.do?rcpNo=20230316001213</t>
  </si>
  <si>
    <t>https://dart.fss.or.kr/dsaf001/main.do?rcpNo=20230608000512</t>
  </si>
  <si>
    <t>https://dart.fss.or.kr/dsaf001/main.do?rcpNo=20230309000734</t>
  </si>
  <si>
    <t>https://dart.fss.or.kr/dsaf001/main.do?rcpNo=20230712000089</t>
  </si>
  <si>
    <t>https://dart.fss.or.kr/dsaf001/main.do?rcpNo=20230316001430</t>
  </si>
  <si>
    <t>https://dart.fss.or.kr/dsaf001/main.do?rcpNo=20230321000737</t>
  </si>
  <si>
    <t>https://dart.fss.or.kr/dsaf001/main.do?rcpNo=20230316000929</t>
  </si>
  <si>
    <t>https://www.noroopaint.com/kor/index.asp?conntype=1</t>
  </si>
  <si>
    <t>https://dart.fss.or.kr/dsaf001/main.do?rcpNo=20230321001403</t>
  </si>
  <si>
    <t>https://dart.fss.or.kr/dsaf001/main.do?rcpNo=20230316000958</t>
  </si>
  <si>
    <t>https://dart.fss.or.kr/dsaf001/main.do?rcpNo=20230322000832</t>
  </si>
  <si>
    <t>https://dart.fss.or.kr/dsaf001/main.do?rcpNo=20230316001258</t>
  </si>
  <si>
    <t>https://dart.fss.or.kr/dsaf001/main.do?rcpNo=20230316000896</t>
  </si>
  <si>
    <t>http://www.daesung.co.kr</t>
  </si>
  <si>
    <t>https://dart.fss.or.kr/dsaf001/main.do?rcpNo=20230321000870</t>
  </si>
  <si>
    <t>https://dart.fss.or.kr/dsaf001/main.do?rcpNo=20230320000675</t>
  </si>
  <si>
    <t>https://dart.fss.or.kr/dsaf001/main.do?rcpNo=20230321000752</t>
  </si>
  <si>
    <t>https://dart.fss.or.kr/dsaf001/main.do?rcpNo=20230321000740</t>
  </si>
  <si>
    <t>https://dart.fss.or.kr/dsaf001/main.do?rcpNo=20230324000880</t>
  </si>
  <si>
    <t>https://dart.fss.or.kr/dsaf001/main.do?rcpNo=20230317000005</t>
  </si>
  <si>
    <t>https://dart.fss.or.kr/dsaf001/main.do?rcpNo=20230323000406</t>
  </si>
  <si>
    <t>https://dart.fss.or.kr/dsaf001/main.do?rcpNo=20230322001136</t>
  </si>
  <si>
    <t>https://dart.fss.or.kr/dsaf001/main.do?rcpNo=20230331003410</t>
  </si>
  <si>
    <t>https://dart.fss.or.kr/dsaf001/main.do?rcpNo=20230316001412</t>
  </si>
  <si>
    <t>https://dart.fss.or.kr/dsaf001/main.do?rcpNo=20230323001351</t>
  </si>
  <si>
    <t>https://dart.fss.or.kr/dsaf001/main.do?rcpNo=20230316001384</t>
  </si>
  <si>
    <t>https://dart.fss.or.kr/dsaf001/mai0n.do?rcpNo=20230315001173</t>
  </si>
  <si>
    <t>https://dart.fss.or.kr/dsaf001/main.do?rcpNo=20230317000725</t>
  </si>
  <si>
    <t>https://dart.fss.or.kr/dsaf001/main.do?rcpNo=20230322001007</t>
  </si>
  <si>
    <t>https://dart.fss.or.kr/dsaf001/main.do?rcpNo=20230316001141</t>
  </si>
  <si>
    <t>https://dart.fss.or.kr/dsaf001/main.do?rcpNo=20230314001293</t>
  </si>
  <si>
    <t>https://dart.fss.or.kr/dsaf001/main.do?rcpNo=20230316000733</t>
  </si>
  <si>
    <t>https://dart.fss.or.kr/dsaf001/main.do?rcpNo=20230314001212</t>
  </si>
  <si>
    <t>https://dart.fss.or.kr/dsaf001/main.do?rcpNo=20230316000463</t>
  </si>
  <si>
    <t>https://dart.fss.or.kr/dsaf001/main.do?rcpNo=20230320001075</t>
  </si>
  <si>
    <t>https://dart.fss.or.kr/dsaf001/main.do?rcpNo=20230316000692</t>
  </si>
  <si>
    <t>https://dart.fss.or.kr/dsaf001/main.do?rcpNo=20230322001102</t>
  </si>
  <si>
    <t>https://dart.fss.or.kr/dsaf001/main.do?rcpNo=20230317000669</t>
  </si>
  <si>
    <t>https://dart.fss.or.kr/dsaf001/main.do?rcpNo=20230320000820</t>
  </si>
  <si>
    <t>https://dart.fss.or.kr/dsaf001/main.do?rcpNo=20230314000884</t>
  </si>
  <si>
    <t>https://dart.fss.or.kr/dsaf001/main.do?rcpNo=20230324000928</t>
  </si>
  <si>
    <t>https://dart.fss.or.kr/dsaf001/main.do?rcpNo=20230322001127</t>
  </si>
  <si>
    <t>https://dart.fss.or.kr/dsaf001/main.do?rcpNo=20230315001100</t>
  </si>
  <si>
    <t>https://dart.fss.or.kr/dsaf001/main.do?rcpNo=20230321001259</t>
  </si>
  <si>
    <t>https://dart.fss.or.kr/dsaf001/main.do?rcpNo=20230713000062</t>
  </si>
  <si>
    <t>https://dart.fss.or.kr/dsaf001/main.do?rcpNo=20230315000573</t>
  </si>
  <si>
    <t>https://dart.fss.or.kr/dsaf001/main.do?rcpNo=20230316001051</t>
  </si>
  <si>
    <t>https://dart.fss.or.kr/dsaf001/main.do?rcpNo=20230315001395</t>
  </si>
  <si>
    <t>https://dart.fss.or.kr/dsaf001/main.do?rcpNo=20230424000485</t>
  </si>
  <si>
    <t>https://dart.fss.or.kr/dsaf001/main.do?rcpNo=20230323001050</t>
  </si>
  <si>
    <t>https://dart.fss.or.kr/dsaf001/main.do?rcpNo=20230315000646</t>
  </si>
  <si>
    <t>https://dart.fss.or.kr/dsaf001/main.do?rcpNo=20230314001159</t>
  </si>
  <si>
    <t>https://dart.fss.or.kr/dsaf001/main.do?rcpNo=20220915000334</t>
  </si>
  <si>
    <t>https://dart.fss.or.kr/dsaf001/main.do?rcpNo=20230310000920</t>
  </si>
  <si>
    <t>https://dart.fss.or.kr/dsaf001/main.do?rcpNo=20230316000602</t>
  </si>
  <si>
    <t>https://dart.fss.or.kr/dsaf001/main.do?rcpNo=20230316000931</t>
  </si>
  <si>
    <t>https://dart.fss.or.kr/dsaf001/main.do?rcpNo=20230317001035</t>
  </si>
  <si>
    <t>https://dart.fss.or.kr/dsaf001/main.do?rcpNo=20230315001134</t>
  </si>
  <si>
    <t>https://dart.fss.or.kr/dsaf001/main.do?rcpNo=20230320000972</t>
  </si>
  <si>
    <t>https://dart.fss.or.kr/dsaf001/main.do?rcpNo=20230315001384</t>
  </si>
  <si>
    <t>https://dart.fss.or.kr/dsaf001/main.do?rcpNo=20230310000296</t>
  </si>
  <si>
    <t>https://dart.fss.or.kr/dsaf001/main.do?rcpNo=20230327000678</t>
  </si>
  <si>
    <t>https://dart.fss.or.kr/dsaf001/main.do?rcpNo=20221230000430</t>
  </si>
  <si>
    <t>https://dart.fss.or.kr/dsaf001/main.do?rcpNo=20230831001561</t>
  </si>
  <si>
    <t>https://dart.fss.or.kr/dsaf001/main.do?rcpNo=20230316000878</t>
  </si>
  <si>
    <t>https://dart.fss.or.kr/dsaf001/main.do?rcpNo=20230328000107</t>
  </si>
  <si>
    <t>https://dart.fss.or.kr/dsaf001/main.do?rcpNo=20230323000263</t>
  </si>
  <si>
    <t>https://dart.fss.or.kr/dsaf001/main.do?rcpNo=20230315001385</t>
  </si>
  <si>
    <t>https://dart.fss.or.kr/dsaf001/main.do?rcpNo=20230315001257</t>
  </si>
  <si>
    <t>https://dart.fss.or.kr/dsaf001/main.do?rcpNo=20230313000726</t>
  </si>
  <si>
    <t>https://dart.fss.or.kr/dsaf001/main.do?rcpNo=20230309000761</t>
  </si>
  <si>
    <t>https://dart.fss.or.kr/dsaf001/main.do?rcpNo=20230308000737</t>
  </si>
  <si>
    <t>https://dart.fss.or.kr/dsaf001/main.do?rcpNo=20230307000606</t>
  </si>
  <si>
    <t>https://dart.fss.or.kr/dsaf001/main.do?rcpNo=20230831001403</t>
  </si>
  <si>
    <t>https://dart.fss.or.kr/dsaf001/main.do?rcpNo=20230307000653</t>
  </si>
  <si>
    <t>https://dart.fss.or.kr/dsaf001/main.do?rcpNo=20230307000542</t>
  </si>
  <si>
    <t>https://dart.fss.or.kr/dsaf001/main.do?rcpNo=20230309000572</t>
  </si>
  <si>
    <t>영리 목적의 광고성 정보 전송 제한 위반 (정보통신망법 제50조 1항, 4항) 선관주의 의무 위반
(전자금융거래법 제21조 제1항)</t>
  </si>
  <si>
    <t>https://dart.fss.or.kr/dsaf001/main.do?rcpNo=20230308000723</t>
  </si>
  <si>
    <t>https://dart.fss.or.kr/dsaf001/main.do?rcpNo=20230309000772</t>
  </si>
  <si>
    <t>독점규제 및 공정거래에 관한 법률 제40조 제1항 제3호 및 제8호 독점규제 및 공정거래에 관한 법률 제40조 제1항 제8호</t>
  </si>
  <si>
    <t>https://dart.fss.or.kr/dsaf001/mai0n.do?rcpNo=20230315001212</t>
  </si>
  <si>
    <t>https://dart.fss.or.kr/dsaf001/main.do?rcpNo=20230315001060</t>
  </si>
  <si>
    <t>https://dart.fss.or.kr/dsaf001/main.do?rcpNo=20230321001381</t>
  </si>
  <si>
    <t>https://dart.fss.or.kr/dsaf001/main.do?rcpNo=20230315001242</t>
  </si>
  <si>
    <t>https://dart.fss.or.kr/dsaf001/main.do?rcpNo=20230713000197</t>
  </si>
  <si>
    <t>https://dart.fss.or.kr/dsaf001/main.do?rcpNo=20230524000304</t>
  </si>
  <si>
    <t>https://dart.fss.or.kr/dsaf001/main.do?rcpNo=20230316001053</t>
  </si>
  <si>
    <t>https://dart.fss.or.kr/dsaf001/main.do?rcpNo=20230314000085</t>
  </si>
  <si>
    <t>https://dart.fss.or.kr/dsaf001/main.do?rcpNo=20230316001338</t>
  </si>
  <si>
    <t>https://dart.fss.or.kr/dsaf001/mai0n.do?rcpNo=20230322000313</t>
  </si>
  <si>
    <t>https://dart.fss.or.kr/dsaf001/main.do?rcpNo=20230410003453</t>
  </si>
  <si>
    <t>https://dart.fss.or.kr/dsaf001/main.do?rcpNo=20230320000375</t>
  </si>
  <si>
    <t>https://dart.fss.or.kr/dsaf001/main.do?rcpNo=20230316001182</t>
  </si>
  <si>
    <t>https://dart.fss.or.kr/dsaf001/main.do?rcpNo=20230316001232</t>
  </si>
  <si>
    <t>https://dart.fss.or.kr/dsaf001/main.do?rcpNo=20230317000349</t>
  </si>
  <si>
    <t>https://dart.fss.or.kr/dsaf001/main.do?rcpNo=20230310000633</t>
  </si>
  <si>
    <t>https://dart.fss.or.kr/dsaf001/main.do?rcpNo=20230315000963</t>
  </si>
  <si>
    <t>https://dart.fss.or.kr/dsaf001/main.do?rcpNo=20230323000638</t>
  </si>
  <si>
    <t>https://www.sj.co.kr/</t>
  </si>
  <si>
    <t>https://dart.fss.or.kr/dsaf001/main.do?rcpNo=20230316000928</t>
  </si>
  <si>
    <t>https://dart.fss.or.kr/dsaf001/main.do?rcpNo=20230308000717</t>
  </si>
  <si>
    <t>https://dart.fss.or.kr/dsaf001/main.do?rcpNo=20230314001166</t>
  </si>
  <si>
    <t>https://dart.fss.or.kr/dsaf001/main.do?rcpNo=20230724000235</t>
  </si>
  <si>
    <t>https://dart.fss.or.kr/dsaf001/main.do?rcpNo=20230228006867</t>
  </si>
  <si>
    <t>https://dart.fss.or.kr/dsaf001/main.do?rcpNo=20230316000461</t>
  </si>
  <si>
    <t>https://dart.fss.or.kr/dsaf001/main.do?rcpNo=20230320000842</t>
  </si>
  <si>
    <t>https://dart.fss.or.kr/dsaf001/main.do?rcpNo=20230320000954</t>
  </si>
  <si>
    <t>https://dart.fss.or.kr/dsaf001/main.do?rcpNo=20230302000104</t>
  </si>
  <si>
    <t>https://dart.fss.or.kr/dsaf001/main.do?rcpNo=20230323001156</t>
  </si>
  <si>
    <t>https://dart.fss.or.kr/dsaf001/main.do?rcpNo=20230316001196</t>
  </si>
  <si>
    <t>https://dart.fss.or.kr/dsaf001/main.do?rcpNo=20230322000910</t>
  </si>
  <si>
    <t>https://dart.fss.or.kr/dsaf001/main.do?rcpNo=20230315001315</t>
  </si>
  <si>
    <t>https://dart.fss.or.kr/dsaf001/main.do?rcpNo=20220920000318</t>
  </si>
  <si>
    <t>https://dart.fss.or.kr/dsaf001/main.do?rcpNo=20230315001319</t>
  </si>
  <si>
    <t>https://dart.fss.or.kr/dsaf001/main.do?rcpNo=20230314001079</t>
  </si>
  <si>
    <t>https://dart.fss.or.kr/dsaf001/main.do?rcpNo=20230316001089</t>
  </si>
  <si>
    <t>https://dart.fss.or.kr/dsaf001/main.do?rcpNo=20230615000542</t>
  </si>
  <si>
    <t>https://dart.fss.or.kr/dsaf001/main.do?rcpNo=20230323000459</t>
  </si>
  <si>
    <t>https://dart.fss.or.kr/dsaf001/main.do?rcpNo=20230411002838</t>
  </si>
  <si>
    <t>https://dart.fss.or.kr/dsaf001/main.do?rcpNo=20230321001494</t>
  </si>
  <si>
    <t>https://dart.fss.or.kr/dsaf001/main.do?rcpNo=20230317001042</t>
  </si>
  <si>
    <t>https://dart.fss.or.kr/dsaf001/main.do?rcpNo=20230316000657</t>
  </si>
  <si>
    <t>https://dart.fss.or.kr/dsaf001/main.do?rcpNo=20230315001378</t>
  </si>
  <si>
    <t>https://dart.fss.or.kr/dsaf001/main.do?rcpNo=20230309000717</t>
  </si>
  <si>
    <t>https://dart.fss.or.kr/dsaf001/main.do?rcpNo=20230322000722</t>
  </si>
  <si>
    <t>https://dart.fss.or.kr/dsaf001/main.do?rcpNo=20230323001296</t>
  </si>
  <si>
    <t>https://dart.fss.or.kr/dsaf001/main.do?rcpNo=20230315001190</t>
  </si>
  <si>
    <t>https://dart.fss.or.kr/dsaf001/main.do?rcpNo=20230320001088</t>
  </si>
  <si>
    <t>https://dart.fss.or.kr/dsaf001/main.do?rcpNo=20230515000371</t>
  </si>
  <si>
    <t>소송등의 제기ㆍ신청(일정금액 이상의 청구)('22.01.07) 사실의 지연공시('22.01.10)</t>
  </si>
  <si>
    <t>https://dart.fss.or.kr/dsaf001/main.do?rcpNo=20230321001134</t>
  </si>
  <si>
    <t>https://dart.fss.or.kr/dsaf001/main.do?rcpNo=20230307000691</t>
  </si>
  <si>
    <t>https://dart.fss.or.kr/dsaf001/main.do?rcpNo=20230321001261</t>
  </si>
  <si>
    <t>https://www.aplusga.com/</t>
  </si>
  <si>
    <t>https://dart.fss.or.kr/dsaf001/main.do?rcpNo=20230323001360</t>
  </si>
  <si>
    <t>https://dart.fss.or.kr/dsaf001/main.do?rcpNo=20230314000700</t>
  </si>
  <si>
    <t>https://dart.fss.or.kr/dsaf001/main.do?rcpNo=20230315000345</t>
  </si>
  <si>
    <t>https://dart.fss.or.kr/dsaf001/main.do?rcpNo=20230321001365</t>
  </si>
  <si>
    <t>https://www.youngone.co.kr/</t>
  </si>
  <si>
    <t>https://dart.fss.or.kr/dsaf001/main.do?rcpNo=20230712000496</t>
  </si>
  <si>
    <t>https://dart.fss.or.kr/dsaf001/main.do?rcpNo=20230315001259</t>
  </si>
  <si>
    <t>https://dart.fss.or.kr/dsaf001/main.do?rcpNo=20230322000913</t>
  </si>
  <si>
    <t>https://dart.fss.or.kr/dsaf001/main.do?rcpNo=20230316001571</t>
  </si>
  <si>
    <t>https://dart.fss.or.kr/dsaf001/main.do?rcpNo=20230317000918</t>
  </si>
  <si>
    <t>https://dart.fss.or.kr/dsaf001/main.do?rcpNo=20230308000675</t>
  </si>
  <si>
    <t>https://dart.fss.or.kr/dsaf001/main.do?rcpNo=20230329000065</t>
  </si>
  <si>
    <t>https://dart.fss.or.kr/dsaf001/main.do?rcpNo=20230323001413</t>
  </si>
  <si>
    <t>https://dart.fss.or.kr/dsaf001/main.do?rcpNo=20230314000094</t>
  </si>
  <si>
    <t>https://dart.fss.or.kr/dsaf001/main.do?rcpNo=20230315000887</t>
  </si>
  <si>
    <t> 전자금융거래의 안정성 확보의무 위반</t>
  </si>
  <si>
    <t>https://dart.fss.or.kr/dsaf001/main.do?rcpNo=20230315001431</t>
  </si>
  <si>
    <t>https://dart.fss.or.kr/dsaf001/main.do?rcpNo=20230315000658</t>
  </si>
  <si>
    <t>https://dart.fss.or.kr/dsaf001/main.do?rcpNo=20230322001078</t>
  </si>
  <si>
    <t>https://dart.fss.or.kr/dsaf001/main.do?rcpNo=20230321000409</t>
  </si>
  <si>
    <t>https://dart.fss.or.kr/dsaf001/main.do?rcpNo=20230323001183</t>
  </si>
  <si>
    <t>https://dart.fss.or.kr/dsaf001/main.do?rcpNo=20230323001335</t>
  </si>
  <si>
    <t>https://dart.fss.or.kr/dsaf001/main.do?rcpNo=20230309000433</t>
  </si>
  <si>
    <t>https://dart.fss.or.kr/dsaf001/main.do?rcpNo=20230320000322</t>
  </si>
  <si>
    <t>https://dart.fss.or.kr/dsaf001/main.do?rcpNo=20230322000936</t>
  </si>
  <si>
    <t>https://dart.fss.or.kr/dsaf001/main.do?rcpNo=20230317000389</t>
  </si>
  <si>
    <t>단일판매·공급계약 해지사실('21.05.21)의 지연공시('22.02.07)</t>
  </si>
  <si>
    <t>https://dart.fss.or.kr/dsaf001/main.do?rcpNo=20230323001151</t>
  </si>
  <si>
    <t>https://dart.fss.or.kr/dsaf001/main.do?rcpNo=20230316000222</t>
  </si>
  <si>
    <t>https://dart.fss.or.kr/dsaf001/main.do?rcpNo=20230315000560</t>
  </si>
  <si>
    <t>http://www.iljinelectric.co.kr/main.jsp</t>
  </si>
  <si>
    <t>https://dart.fss.or.kr/dsaf001/main.do?rcpNo=20230315001068</t>
  </si>
  <si>
    <t>https://dart.fss.or.kr/dsaf001/main.do?rcpNo=20230714000214</t>
  </si>
  <si>
    <t>https://dart.fss.or.kr/dsaf001/main.do?rcpNo=20230308000451</t>
  </si>
  <si>
    <t>https://dart.fss.or.kr/dsaf001/main.do?rcpNo=20230321000389</t>
  </si>
  <si>
    <t>https://dart.fss.or.kr/dsaf001/main.do?rcpNo=20230314001271</t>
  </si>
  <si>
    <t>https://dart.fss.or.kr/dsaf001/main.do?rcpNo=20230316001017</t>
  </si>
  <si>
    <t>https://dart.fss.or.kr/dsaf001/main.do?rcpNo=20230322000622</t>
  </si>
  <si>
    <t>https://dart.fss.or.kr/dsaf001/main.do?rcpNo=20230331002546</t>
  </si>
  <si>
    <t>https://dart.fss.or.kr/dsaf001/main.do?rcpNo=20230309000626</t>
  </si>
  <si>
    <t>https://dart.fss.or.kr/dsaf001/main.do?rcpNo=20230316000376</t>
  </si>
  <si>
    <t>https://dart.fss.or.kr/dsaf001/main.do?rcpNo=20230315001428</t>
  </si>
  <si>
    <t>https://dart.fss.or.kr/dsaf001/main.do?rcpNo=20230308000725</t>
  </si>
  <si>
    <t>https://dart.fss.or.kr/dsaf001/main.do?rcpNo=20230306000422</t>
  </si>
  <si>
    <t>https://dart.fss.or.kr/dsaf001/main.do?rcpNo=20230320000418</t>
  </si>
  <si>
    <t>https://dart.fss.or.kr/dsaf001/main.do?rcpNo=20230321001298</t>
  </si>
  <si>
    <t>https://m.kakaobank.com/</t>
  </si>
  <si>
    <t>전자금융거래의 안정성 확보의무 위반 전자금융거래 약관 변경시 보고의무 및 고객 통지의무 등 위반</t>
  </si>
  <si>
    <t>https://dart.fss.or.kr/dsaf001/main.do?rcpNo=20230321001309</t>
  </si>
  <si>
    <t>https://dart.fss.or.kr/dsaf001/main.do?rcpNo=20230316000762</t>
  </si>
  <si>
    <t>https://dart.fss.or.kr/dsaf001/main.do?rcpNo=20230321001167</t>
  </si>
  <si>
    <t>https://dart.fss.or.kr/dsaf001/main.do?rcpNo=20230316001262</t>
  </si>
  <si>
    <t>https://dart.fss.or.kr/dsaf001/main.do?rcpNo=20230407002574</t>
  </si>
  <si>
    <t>https://dart.fss.or.kr/dsaf001/main.do?rcpNo=20230323001449</t>
  </si>
  <si>
    <t>https://dart.fss.or.kr/dsaf001/main.do?rcpNo=20230323001208</t>
  </si>
  <si>
    <t>https://dart.fss.or.kr/dsaf001/main.do?rcpNo=20230320001005</t>
  </si>
  <si>
    <t>https://dart.fss.or.kr/dsaf001/main.do?rcpNo=20230317001037</t>
  </si>
  <si>
    <t>https://dart.fss.or.kr/dsaf001/main.do?rcpNo=20230323001465</t>
  </si>
  <si>
    <t>https://dart.fss.or.kr/dsaf001/main.do?rcpNo=20230315000297</t>
  </si>
  <si>
    <t>https://dart.fss.or.kr/dsaf001/main.do?rcpNo=20230321000862</t>
  </si>
  <si>
    <t>https://dart.fss.or.kr/dsaf001/main.do?rcpNo=20230403003576</t>
  </si>
  <si>
    <t>https://dart.fss.or.kr/dsaf001/mai0n.do?rcpNo=20230331000007</t>
  </si>
  <si>
    <t>https://dart.fss.or.kr/dsaf001/main.do?rcpNo=20230320000728</t>
  </si>
  <si>
    <t>https://dart.fss.or.kr/dsaf001/main.do?rcpNo=20230320001037</t>
  </si>
  <si>
    <t>https://dart.fss.or.kr/dsaf001/main.do?rcpNo=20230316001157</t>
  </si>
  <si>
    <t>https://dart.fss.or.kr/dsaf001/main.do?rcpNo=20230323001143</t>
  </si>
  <si>
    <t>https://dart.fss.or.kr/dsaf001/main.do?rcpNo=20230314000862</t>
  </si>
  <si>
    <t>https://dart.fss.or.kr/dsaf001/main.do?rcpNo=20230317000233</t>
  </si>
  <si>
    <t>https://dart.fss.or.kr/dsaf001/main.do?rcpNo=20230322000780</t>
  </si>
  <si>
    <t>https://dart.fss.or.kr/dsaf001/main.do?rcpNo=20230310000763</t>
  </si>
  <si>
    <t>https://dart.fss.or.kr/dsaf001/main.do?rcpNo=20230316001321</t>
  </si>
  <si>
    <t>https://dart.fss.or.kr/dsaf001/main.do?rcpNo=20230316001190</t>
  </si>
  <si>
    <t>https://dart.fss.or.kr/dsaf001/main.do?rcpNo=20230314000892</t>
  </si>
  <si>
    <t>https://dart.fss.or.kr/dsaf001/main.do?rcpNo=20230321001130</t>
  </si>
  <si>
    <t>https://dart.fss.or.kr/dsaf001/main.do?rcpNo=20230321001315</t>
  </si>
  <si>
    <t>https://dart.fss.or.kr/dsaf001/main.do?rcpNo=20230316001331</t>
  </si>
  <si>
    <t>https://dart.fss.or.kr/dsaf001/main.do?rcpNo=20230313000443</t>
  </si>
  <si>
    <t>https://dart.fss.or.kr/dsaf001/main.do?rcpNo=20230317000751</t>
  </si>
  <si>
    <t>https://dart.fss.or.kr/dsaf001/main.do?rcpNo=20230322001245</t>
  </si>
  <si>
    <t>https://dart.fss.or.kr/dsaf001/main.do?rcpNo=20230316001467</t>
  </si>
  <si>
    <t>https://dart.fss.or.kr/dsaf001/main.do?rcpNo=20230712000281</t>
  </si>
  <si>
    <t>https://dart.fss.or.kr/dsaf001/main.do?rcpNo=20230316001349</t>
  </si>
  <si>
    <t>https://dart.fss.or.kr/dsaf001/main.do?rcpNo=20230320000791</t>
  </si>
  <si>
    <t>http://www.fskrc.co.kr</t>
  </si>
  <si>
    <t>https://dart.fss.or.kr/dsaf001/main.do?rcpNo=20230323000756</t>
  </si>
  <si>
    <t>https://dart.fss.or.kr/dsaf001/main.do?rcpNo=20230323000478</t>
  </si>
  <si>
    <t>https://dart.fss.or.kr/dsaf001/main.do?rcpNo=20230315000812</t>
  </si>
  <si>
    <t>https://dart.fss.or.kr/dsaf001/main.do?rcpNo=20230323000970</t>
  </si>
  <si>
    <t>https://dart.fss.or.kr/dsaf001/main.do?rcpNo=20230316001234</t>
  </si>
  <si>
    <t>https://dart.fss.or.kr/dsaf001/main.do?rcpNo=20230316000941</t>
  </si>
  <si>
    <t>https://dart.fss.or.kr/dsaf001/main.do?rcpNo=20230321001102</t>
  </si>
  <si>
    <t>https://dart.fss.or.kr/dsaf001/main.do?rcpNo=20230317000867</t>
  </si>
  <si>
    <t>https://dart.fss.or.kr/dsaf001/main.do?rcpNo=20230316000780</t>
  </si>
  <si>
    <t>https://dart.fss.or.kr/dsaf001/main.do?rcpNo=20230316001135</t>
  </si>
  <si>
    <t>https://dart.fss.or.kr/dsaf001/main.do?rcpNo=20230316001554</t>
  </si>
  <si>
    <t>https://dart.fss.or.kr/dsaf001/main.do?rcpNo=20230321001525</t>
  </si>
  <si>
    <t>https://www.hanmi.co.kr/</t>
  </si>
  <si>
    <t>https://dart.fss.or.kr/dsaf001/main.do?rcpNo=20230315001312</t>
  </si>
  <si>
    <t>https://dart.fss.or.kr/dsaf001/main.do?rcpNo=20230320000937</t>
  </si>
  <si>
    <t>https://dart.fss.or.kr/dsaf001/main.do?rcpNo=20230314000521</t>
  </si>
  <si>
    <t>https://dart.fss.or.kr/dsaf001/main.do?rcpNo=20230313000732</t>
  </si>
  <si>
    <t>https://dart.fss.or.kr/dsaf001/main.do?rcpNo=20230314001231</t>
  </si>
  <si>
    <t>https://dart.fss.or.kr/dsaf001/main.do?rcpNo=20230315001227</t>
  </si>
  <si>
    <t>https://dart.fss.or.kr/dsaf001/main.do?rcpNo=20230315000894</t>
  </si>
  <si>
    <t>https://dart.fss.or.kr/dsaf001/main.do?rcpNo=20230321000255</t>
  </si>
  <si>
    <t>https://dart.fss.or.kr/dsaf001/main.do?rcpNo=20230317000994</t>
  </si>
  <si>
    <t>https://dart.fss.or.kr/dsaf001/main.do?rcpNo=20230317000982</t>
  </si>
  <si>
    <t>https://dart.fss.or.kr/dsaf001/main.do?rcpNo=20230323001346</t>
  </si>
  <si>
    <t>https://dart.fss.or.kr/dsaf001/main.do?rcpNo=20230315001412</t>
  </si>
  <si>
    <t>https://dart.fss.or.kr/dsaf001/main.do?rcpNo=20230315000557</t>
  </si>
  <si>
    <t>https://dart.fss.or.kr/dsaf001/main.do?rcpNo=20230315001327</t>
  </si>
  <si>
    <t>https://dart.fss.or.kr/dsaf001/main.do?rcpNo=20230314001218</t>
  </si>
  <si>
    <t>https://dart.fss.or.kr/dsaf001/main.do?rcpNo=20230411001656</t>
  </si>
  <si>
    <t>https://dart.fss.or.kr/dsaf001/main.do?rcpNo=20230315001104</t>
  </si>
  <si>
    <t>https://dart.fss.or.kr/dsaf001/main.do?rcpNo=20230321001449</t>
  </si>
  <si>
    <t>https://dart.fss.or.kr/dsaf001/main.do?rcpNo=20230310001083</t>
  </si>
  <si>
    <t>https://dart.fss.or.kr/dsaf001/main.do?rcpNo=20230321001162</t>
  </si>
  <si>
    <t>https://dart.fss.or.kr/dsaf001/main.do?rcpNo=20230320001061</t>
  </si>
  <si>
    <t>https://dart.fss.or.kr/dsaf001/main.do?rcpNo=20230321001479</t>
  </si>
  <si>
    <t>https://dart.fss.or.kr/dsaf001/main.do?rcpNo=20230317000639</t>
  </si>
  <si>
    <t>https://dart.fss.or.kr/dsaf001/main.do?rcpNo=20230315001030</t>
  </si>
  <si>
    <t>https://dart.fss.or.kr/dsaf001/main.do?rcpNo=20230315000803</t>
  </si>
  <si>
    <t>https://dart.fss.or.kr/dsaf001/main.do?rcpNo=20230321001082</t>
  </si>
  <si>
    <t>https://dart.fss.or.kr/dsaf001/main.do?rcpNo=20230309000797</t>
  </si>
  <si>
    <t>https://dart.fss.or.kr/dsaf001/main.do?rcpNo=20230315001376</t>
  </si>
  <si>
    <t>https://dart.fss.or.kr/dsaf001/main.do?rcpNo=20230316001392</t>
  </si>
  <si>
    <t>https://dart.fss.or.kr/dsaf001/main.do?rcpNo=20230321000920</t>
  </si>
  <si>
    <t>https://dart.fss.or.kr/dsaf001/main.do?rcpNo=20230317000130</t>
  </si>
  <si>
    <t>https://dart.fss.or.kr/dsaf001/main.do?rcpNo=20230315000315</t>
  </si>
  <si>
    <t>https://dart.fss.or.kr/dsaf001/main.do?rcpNo=20230320000391</t>
  </si>
  <si>
    <t>https://dart.fss.or.kr/dsaf001/main.do?rcpNo=20230315001063</t>
  </si>
  <si>
    <t>https://dart.fss.or.kr/dsaf001/main.do?rcpNo=20230308000691</t>
  </si>
  <si>
    <t>https://dart.fss.or.kr/dsaf001/main.do?rcpNo=20230308000741</t>
  </si>
  <si>
    <t>https://dart.fss.or.kr/dsaf001/main.do?rcpNo=20230321000387</t>
  </si>
  <si>
    <t>https://dart.fss.or.kr/dsaf001/main.do?rcpNo=20230313000533</t>
  </si>
  <si>
    <t>https://dart.fss.or.kr/dsaf001/main.do?rcpNo=20230316001454</t>
  </si>
  <si>
    <t>금융업(증권)</t>
    <phoneticPr fontId="16" type="noConversion"/>
  </si>
  <si>
    <t>[자본시장법 제71조 제7호] 정보교류 차단 의무 위반  [자본시장법 제71조 제7호] 정보교류 차단 의무 위반 [자본시장법 제85조 제5호 및 제8호]
 장외파생상품을 이용한 집합투자재산간 거래금지 위반
 [자본시장법 제192조 제2항 제5호] 사모단독펀드 해지 의무 위반  [공정거래법 제11조의2 및 동 규정 시행령 제17조의8]
 - 대규모내부거래에 대한 이사회 의결 및 공시 위반 [독점규제 및 공정거래에 관한 법률] 제11조의2
 - 대규모내부거래의 이사회 의결 및 공시 위반
 [자본시장법 제85조 제5호 및 제8호]
 장외파생상품을 이용한 집합투자재산간 거래금지 위반
 [자본시장법 제192조 제2항 제5호] 사모단독펀드 해지 의무 위반</t>
    <phoneticPr fontId="16" type="noConversion"/>
  </si>
  <si>
    <t>없음</t>
    <phoneticPr fontId="16" type="noConversion"/>
  </si>
  <si>
    <t>자본시장과금융투자업에 관한 법류 제119조 1항 및 제429조 제1항 제2호 및 자본시장조사 업무규정 제25조</t>
    <phoneticPr fontId="16" type="noConversion"/>
  </si>
  <si>
    <t>기타</t>
    <phoneticPr fontId="16" type="noConversion"/>
  </si>
  <si>
    <t>프로그램매매 호가 미표시 위반
(「코스닥시장 업무규정」 제2조, 제9조, 「시장감시규정」 제28조)</t>
    <phoneticPr fontId="16" type="noConversion"/>
  </si>
  <si>
    <t>-</t>
    <phoneticPr fontId="16" type="noConversion"/>
  </si>
  <si>
    <t>893-88-00792</t>
    <phoneticPr fontId="16" type="noConversion"/>
  </si>
  <si>
    <t>118-81-03063</t>
    <phoneticPr fontId="16" type="noConversion"/>
  </si>
  <si>
    <t>110-81-05034</t>
    <phoneticPr fontId="16" type="noConversion"/>
  </si>
  <si>
    <t>229-81-12289</t>
    <phoneticPr fontId="16" type="noConversion"/>
  </si>
  <si>
    <t>104-86-09535</t>
    <phoneticPr fontId="16" type="noConversion"/>
  </si>
  <si>
    <t>211-81-19938</t>
    <phoneticPr fontId="16" type="noConversion"/>
  </si>
  <si>
    <t>116-81-35007</t>
    <phoneticPr fontId="16" type="noConversion"/>
  </si>
  <si>
    <t>102-81-34561</t>
    <phoneticPr fontId="16" type="noConversion"/>
  </si>
  <si>
    <t>676-87-01904</t>
    <phoneticPr fontId="16" type="noConversion"/>
  </si>
  <si>
    <t>621-81-01580</t>
    <phoneticPr fontId="16" type="noConversion"/>
  </si>
  <si>
    <t>617-81-00224</t>
    <phoneticPr fontId="16" type="noConversion"/>
  </si>
  <si>
    <t>617-81-02687</t>
    <phoneticPr fontId="16" type="noConversion"/>
  </si>
  <si>
    <t>153-81-02451</t>
    <phoneticPr fontId="16" type="noConversion"/>
  </si>
  <si>
    <t>104-81-18121</t>
    <phoneticPr fontId="16" type="noConversion"/>
  </si>
  <si>
    <t>116-81-18745</t>
    <phoneticPr fontId="16" type="noConversion"/>
  </si>
  <si>
    <t>120-81-93646</t>
    <phoneticPr fontId="16" type="noConversion"/>
  </si>
  <si>
    <t>311-81-13651</t>
    <phoneticPr fontId="16" type="noConversion"/>
  </si>
  <si>
    <t>334-86-00815</t>
    <phoneticPr fontId="16" type="noConversion"/>
  </si>
  <si>
    <t>118-81-22037</t>
    <phoneticPr fontId="16" type="noConversion"/>
  </si>
  <si>
    <t>215-81-40656</t>
    <phoneticPr fontId="16" type="noConversion"/>
  </si>
  <si>
    <t>202-81-46197</t>
    <phoneticPr fontId="16" type="noConversion"/>
  </si>
  <si>
    <t>133-81-25692</t>
    <phoneticPr fontId="16" type="noConversion"/>
  </si>
  <si>
    <t>120-81-42676</t>
    <phoneticPr fontId="16" type="noConversion"/>
  </si>
  <si>
    <t>110-81-33923</t>
    <phoneticPr fontId="16" type="noConversion"/>
  </si>
  <si>
    <t>101-81-34423</t>
    <phoneticPr fontId="16" type="noConversion"/>
  </si>
  <si>
    <t>314-81-42683</t>
    <phoneticPr fontId="16" type="noConversion"/>
  </si>
  <si>
    <t>101-81-71660</t>
    <phoneticPr fontId="16" type="noConversion"/>
  </si>
  <si>
    <t>211-87-87724</t>
    <phoneticPr fontId="16" type="noConversion"/>
  </si>
  <si>
    <t>107-81-98143</t>
    <phoneticPr fontId="16" type="noConversion"/>
  </si>
  <si>
    <t>220-81-39938</t>
    <phoneticPr fontId="16" type="noConversion"/>
  </si>
  <si>
    <t>105-81-74316</t>
    <phoneticPr fontId="16" type="noConversion"/>
  </si>
  <si>
    <t>215-86-35051</t>
    <phoneticPr fontId="16" type="noConversion"/>
  </si>
  <si>
    <t>116-81-18686</t>
    <phoneticPr fontId="16" type="noConversion"/>
  </si>
  <si>
    <t>214-81-71272</t>
    <phoneticPr fontId="16" type="noConversion"/>
  </si>
  <si>
    <t>301-81-97858</t>
    <phoneticPr fontId="16" type="noConversion"/>
  </si>
  <si>
    <t>214-81-89700</t>
    <phoneticPr fontId="16" type="noConversion"/>
  </si>
  <si>
    <t>134-81-29352</t>
    <phoneticPr fontId="16" type="noConversion"/>
  </si>
  <si>
    <t>122-81-00819</t>
    <phoneticPr fontId="16" type="noConversion"/>
  </si>
  <si>
    <t>116-81-12528</t>
    <phoneticPr fontId="16" type="noConversion"/>
  </si>
  <si>
    <t>113-81-32864</t>
    <phoneticPr fontId="16" type="noConversion"/>
  </si>
  <si>
    <t>818-86-00991</t>
    <phoneticPr fontId="16" type="noConversion"/>
  </si>
  <si>
    <t>101-86-32319</t>
    <phoneticPr fontId="16" type="noConversion"/>
  </si>
  <si>
    <t>846-81-00915</t>
    <phoneticPr fontId="16" type="noConversion"/>
  </si>
  <si>
    <t>104-81-37225</t>
    <phoneticPr fontId="16" type="noConversion"/>
  </si>
  <si>
    <t>126-81-03725</t>
    <phoneticPr fontId="16" type="noConversion"/>
  </si>
  <si>
    <t>105-81-32752</t>
    <phoneticPr fontId="16" type="noConversion"/>
  </si>
  <si>
    <t>621-81-47887</t>
    <phoneticPr fontId="16" type="noConversion"/>
  </si>
  <si>
    <t>123-81-00049</t>
    <phoneticPr fontId="16" type="noConversion"/>
  </si>
  <si>
    <t>134-81-02367</t>
    <phoneticPr fontId="16" type="noConversion"/>
  </si>
  <si>
    <t>214-81-08779</t>
    <phoneticPr fontId="16" type="noConversion"/>
  </si>
  <si>
    <t>143-81-32491</t>
    <phoneticPr fontId="16" type="noConversion"/>
  </si>
  <si>
    <t>314-81-07954</t>
    <phoneticPr fontId="16" type="noConversion"/>
  </si>
  <si>
    <t>604-81-00024</t>
    <phoneticPr fontId="16" type="noConversion"/>
  </si>
  <si>
    <t>211-81-11260</t>
    <phoneticPr fontId="16" type="noConversion"/>
  </si>
  <si>
    <t>617-81-00049</t>
    <phoneticPr fontId="16" type="noConversion"/>
  </si>
  <si>
    <t>113-81-08888</t>
    <phoneticPr fontId="16" type="noConversion"/>
  </si>
  <si>
    <t>134-81-04007</t>
    <phoneticPr fontId="16" type="noConversion"/>
  </si>
  <si>
    <t>410-81-27563</t>
    <phoneticPr fontId="16" type="noConversion"/>
  </si>
  <si>
    <t>513-81-16574</t>
    <phoneticPr fontId="16" type="noConversion"/>
  </si>
  <si>
    <t>316-81-03672</t>
    <phoneticPr fontId="16" type="noConversion"/>
  </si>
  <si>
    <t>621-81-00510</t>
    <phoneticPr fontId="16" type="noConversion"/>
  </si>
  <si>
    <t>104-81-31309</t>
    <phoneticPr fontId="16" type="noConversion"/>
  </si>
  <si>
    <t>102-81-31147</t>
    <phoneticPr fontId="16" type="noConversion"/>
  </si>
  <si>
    <t>139-81-16717</t>
    <phoneticPr fontId="16" type="noConversion"/>
  </si>
  <si>
    <t>119-81-02316</t>
    <phoneticPr fontId="16" type="noConversion"/>
  </si>
  <si>
    <t>120-81-01995</t>
    <phoneticPr fontId="16" type="noConversion"/>
  </si>
  <si>
    <t>201-81-45104</t>
    <phoneticPr fontId="16" type="noConversion"/>
  </si>
  <si>
    <t>618-81-15827</t>
    <phoneticPr fontId="16" type="noConversion"/>
  </si>
  <si>
    <t>123-86-06034</t>
    <phoneticPr fontId="16" type="noConversion"/>
  </si>
  <si>
    <t>303-81-17108</t>
    <phoneticPr fontId="16" type="noConversion"/>
  </si>
  <si>
    <t>514-81-06690</t>
    <phoneticPr fontId="16" type="noConversion"/>
  </si>
  <si>
    <t>109-81-14886</t>
    <phoneticPr fontId="16" type="noConversion"/>
  </si>
  <si>
    <t>101-86-56344</t>
    <phoneticPr fontId="16" type="noConversion"/>
  </si>
  <si>
    <t>504-81-83652</t>
    <phoneticPr fontId="16" type="noConversion"/>
  </si>
  <si>
    <t>104-81-58180</t>
    <phoneticPr fontId="16" type="noConversion"/>
  </si>
  <si>
    <t>129-81-00178</t>
    <phoneticPr fontId="16" type="noConversion"/>
  </si>
  <si>
    <t>124-86-01143</t>
    <phoneticPr fontId="16" type="noConversion"/>
  </si>
  <si>
    <t>104-81-15560</t>
    <phoneticPr fontId="16" type="noConversion"/>
  </si>
  <si>
    <t>207-81-36336</t>
    <phoneticPr fontId="16" type="noConversion"/>
  </si>
  <si>
    <t>606-81-30107</t>
    <phoneticPr fontId="16" type="noConversion"/>
  </si>
  <si>
    <t>119-81-10062</t>
    <phoneticPr fontId="16" type="noConversion"/>
  </si>
  <si>
    <t>603-81-13259</t>
    <phoneticPr fontId="16" type="noConversion"/>
  </si>
  <si>
    <t>104-81-04345</t>
    <phoneticPr fontId="16" type="noConversion"/>
  </si>
  <si>
    <t>203-81-43612</t>
    <phoneticPr fontId="16" type="noConversion"/>
  </si>
  <si>
    <t>211-81-19302</t>
    <phoneticPr fontId="16" type="noConversion"/>
  </si>
  <si>
    <t>134-81-08473</t>
    <phoneticPr fontId="16" type="noConversion"/>
  </si>
  <si>
    <t>123-81-00243</t>
    <phoneticPr fontId="16" type="noConversion"/>
  </si>
  <si>
    <t>123-81-57732</t>
    <phoneticPr fontId="16" type="noConversion"/>
  </si>
  <si>
    <t>211-81-08009</t>
    <phoneticPr fontId="16" type="noConversion"/>
  </si>
  <si>
    <t>122-81-17945</t>
    <phoneticPr fontId="16" type="noConversion"/>
  </si>
  <si>
    <t>112-81-30484</t>
    <phoneticPr fontId="16" type="noConversion"/>
  </si>
  <si>
    <t>201-81-45685</t>
    <phoneticPr fontId="16" type="noConversion"/>
  </si>
  <si>
    <t>105-81-38440</t>
    <phoneticPr fontId="16" type="noConversion"/>
  </si>
  <si>
    <t>204-86-40122</t>
    <phoneticPr fontId="16" type="noConversion"/>
  </si>
  <si>
    <t>601-86-00898</t>
    <phoneticPr fontId="16" type="noConversion"/>
  </si>
  <si>
    <t>214-86-68729</t>
    <phoneticPr fontId="16" type="noConversion"/>
  </si>
  <si>
    <t>123-81-15163</t>
    <phoneticPr fontId="16" type="noConversion"/>
  </si>
  <si>
    <t>621-81-97752</t>
    <phoneticPr fontId="16" type="noConversion"/>
  </si>
  <si>
    <t>502-81-00015</t>
    <phoneticPr fontId="16" type="noConversion"/>
  </si>
  <si>
    <t>113-81-07346</t>
    <phoneticPr fontId="16" type="noConversion"/>
  </si>
  <si>
    <t>110-81-00102</t>
    <phoneticPr fontId="16" type="noConversion"/>
  </si>
  <si>
    <t>773-88-01177</t>
    <phoneticPr fontId="16" type="noConversion"/>
  </si>
  <si>
    <t>220-81-23514</t>
    <phoneticPr fontId="16" type="noConversion"/>
  </si>
  <si>
    <t>621-81-16744</t>
    <phoneticPr fontId="16" type="noConversion"/>
  </si>
  <si>
    <t>211-81-24974</t>
    <phoneticPr fontId="16" type="noConversion"/>
  </si>
  <si>
    <t>609-86-22391</t>
    <phoneticPr fontId="16" type="noConversion"/>
  </si>
  <si>
    <t>214-87-79183</t>
    <phoneticPr fontId="16" type="noConversion"/>
  </si>
  <si>
    <t>403-81-03729</t>
    <phoneticPr fontId="16" type="noConversion"/>
  </si>
  <si>
    <t>186-81-00924</t>
    <phoneticPr fontId="16" type="noConversion"/>
  </si>
  <si>
    <t>610-81-00029</t>
    <phoneticPr fontId="16" type="noConversion"/>
  </si>
  <si>
    <t>606-81-08662</t>
    <phoneticPr fontId="16" type="noConversion"/>
  </si>
  <si>
    <t>101-81-02940</t>
    <phoneticPr fontId="16" type="noConversion"/>
  </si>
  <si>
    <t>116-81-00532</t>
    <phoneticPr fontId="16" type="noConversion"/>
  </si>
  <si>
    <t>134-81-02843</t>
    <phoneticPr fontId="16" type="noConversion"/>
  </si>
  <si>
    <t>778-87-00797</t>
    <phoneticPr fontId="16" type="noConversion"/>
  </si>
  <si>
    <t>610-86-04700</t>
    <phoneticPr fontId="16" type="noConversion"/>
  </si>
  <si>
    <t>601-81-08046</t>
    <phoneticPr fontId="16" type="noConversion"/>
  </si>
  <si>
    <t>107-81-11490</t>
    <phoneticPr fontId="16" type="noConversion"/>
  </si>
  <si>
    <t>113-81-01094</t>
    <phoneticPr fontId="16" type="noConversion"/>
  </si>
  <si>
    <t>124-81-34203</t>
    <phoneticPr fontId="16" type="noConversion"/>
  </si>
  <si>
    <t>410-81-05725</t>
    <phoneticPr fontId="16" type="noConversion"/>
  </si>
  <si>
    <t>120-81-16542</t>
    <phoneticPr fontId="16" type="noConversion"/>
  </si>
  <si>
    <t>104-81-27881</t>
    <phoneticPr fontId="16" type="noConversion"/>
  </si>
  <si>
    <t>124-81-31282</t>
    <phoneticPr fontId="16" type="noConversion"/>
  </si>
  <si>
    <t>202-81-45975</t>
    <phoneticPr fontId="16" type="noConversion"/>
  </si>
  <si>
    <t>110-81-28774</t>
    <phoneticPr fontId="16" type="noConversion"/>
  </si>
  <si>
    <t>120-81-56184</t>
    <phoneticPr fontId="16" type="noConversion"/>
  </si>
  <si>
    <t>124-81-00979</t>
    <phoneticPr fontId="16" type="noConversion"/>
  </si>
  <si>
    <t>124-81-00998</t>
    <phoneticPr fontId="16" type="noConversion"/>
  </si>
  <si>
    <t>123-81-01882</t>
    <phoneticPr fontId="16" type="noConversion"/>
  </si>
  <si>
    <t>102-81-05450</t>
    <phoneticPr fontId="16" type="noConversion"/>
  </si>
  <si>
    <t>220-81-30276</t>
    <phoneticPr fontId="16" type="noConversion"/>
  </si>
  <si>
    <t>113-81-06556</t>
    <phoneticPr fontId="16" type="noConversion"/>
  </si>
  <si>
    <t>105-81-55304</t>
    <phoneticPr fontId="16" type="noConversion"/>
  </si>
  <si>
    <t>129-81-00372</t>
    <phoneticPr fontId="16" type="noConversion"/>
  </si>
  <si>
    <t>506-81-12319</t>
    <phoneticPr fontId="16" type="noConversion"/>
  </si>
  <si>
    <t>503-81-10869</t>
    <phoneticPr fontId="16" type="noConversion"/>
  </si>
  <si>
    <t>122-81-01045</t>
    <phoneticPr fontId="16" type="noConversion"/>
  </si>
  <si>
    <t>105-81-00769</t>
    <phoneticPr fontId="16" type="noConversion"/>
  </si>
  <si>
    <t>220-81-14806</t>
    <phoneticPr fontId="16" type="noConversion"/>
  </si>
  <si>
    <t>315-81-00390</t>
    <phoneticPr fontId="16" type="noConversion"/>
  </si>
  <si>
    <t>135-81-02429</t>
    <phoneticPr fontId="16" type="noConversion"/>
  </si>
  <si>
    <t>514-81-03617</t>
    <phoneticPr fontId="16" type="noConversion"/>
  </si>
  <si>
    <t>446-87-00473</t>
    <phoneticPr fontId="16" type="noConversion"/>
  </si>
  <si>
    <t>109-81-31605</t>
    <phoneticPr fontId="16" type="noConversion"/>
  </si>
  <si>
    <t>126-86-36352</t>
    <phoneticPr fontId="16" type="noConversion"/>
  </si>
  <si>
    <t>617-81-03842</t>
    <phoneticPr fontId="16" type="noConversion"/>
  </si>
  <si>
    <t>220-81-00490</t>
    <phoneticPr fontId="16" type="noConversion"/>
  </si>
  <si>
    <t>568-86-01173</t>
    <phoneticPr fontId="16" type="noConversion"/>
  </si>
  <si>
    <t>107-81-07055</t>
    <phoneticPr fontId="16" type="noConversion"/>
  </si>
  <si>
    <t>503-81-11081</t>
    <phoneticPr fontId="16" type="noConversion"/>
  </si>
  <si>
    <t>210-81-41081</t>
    <phoneticPr fontId="16" type="noConversion"/>
  </si>
  <si>
    <t>133-81-23603</t>
    <phoneticPr fontId="16" type="noConversion"/>
  </si>
  <si>
    <t>490-81-00105</t>
    <phoneticPr fontId="16" type="noConversion"/>
  </si>
  <si>
    <t>610-81-07100</t>
    <phoneticPr fontId="16" type="noConversion"/>
  </si>
  <si>
    <t>124-81-31958</t>
    <phoneticPr fontId="16" type="noConversion"/>
  </si>
  <si>
    <t>215-87-48121</t>
    <phoneticPr fontId="16" type="noConversion"/>
  </si>
  <si>
    <t>134-81-02858</t>
    <phoneticPr fontId="16" type="noConversion"/>
  </si>
  <si>
    <t>219-81-00919</t>
    <phoneticPr fontId="16" type="noConversion"/>
  </si>
  <si>
    <t>104-81-01106</t>
    <phoneticPr fontId="16" type="noConversion"/>
  </si>
  <si>
    <t>201-81-32195</t>
    <phoneticPr fontId="16" type="noConversion"/>
  </si>
  <si>
    <t>201-81-53657</t>
    <phoneticPr fontId="16" type="noConversion"/>
  </si>
  <si>
    <t>119-81-01559</t>
    <phoneticPr fontId="16" type="noConversion"/>
  </si>
  <si>
    <t>134-81-25389</t>
    <phoneticPr fontId="16" type="noConversion"/>
  </si>
  <si>
    <t>114-81-43063</t>
    <phoneticPr fontId="16" type="noConversion"/>
  </si>
  <si>
    <t>202-81-33033</t>
    <phoneticPr fontId="16" type="noConversion"/>
  </si>
  <si>
    <t>113-81-06968</t>
    <phoneticPr fontId="16" type="noConversion"/>
  </si>
  <si>
    <t>122-81-02613</t>
    <phoneticPr fontId="16" type="noConversion"/>
  </si>
  <si>
    <t>220-88-64630</t>
    <phoneticPr fontId="16" type="noConversion"/>
  </si>
  <si>
    <t>220-81-02052</t>
    <phoneticPr fontId="16" type="noConversion"/>
  </si>
  <si>
    <t>104-81-58502</t>
    <phoneticPr fontId="16" type="noConversion"/>
  </si>
  <si>
    <t>211-86-31577</t>
    <phoneticPr fontId="16" type="noConversion"/>
  </si>
  <si>
    <t>113-81-11573</t>
    <phoneticPr fontId="16" type="noConversion"/>
  </si>
  <si>
    <t>113-86-63305</t>
    <phoneticPr fontId="16" type="noConversion"/>
  </si>
  <si>
    <t>135-86-13315</t>
    <phoneticPr fontId="16" type="noConversion"/>
  </si>
  <si>
    <t>504-81-00078</t>
    <phoneticPr fontId="16" type="noConversion"/>
  </si>
  <si>
    <t>208-81-13302</t>
    <phoneticPr fontId="16" type="noConversion"/>
  </si>
  <si>
    <t>134-81-26904</t>
    <phoneticPr fontId="16" type="noConversion"/>
  </si>
  <si>
    <t>119-81-77345</t>
    <phoneticPr fontId="16" type="noConversion"/>
  </si>
  <si>
    <t>314-81-01120</t>
    <phoneticPr fontId="16" type="noConversion"/>
  </si>
  <si>
    <t>104-86-21617</t>
    <phoneticPr fontId="16" type="noConversion"/>
  </si>
  <si>
    <t>125-81-00424</t>
    <phoneticPr fontId="16" type="noConversion"/>
  </si>
  <si>
    <t>709-81-00727</t>
    <phoneticPr fontId="16" type="noConversion"/>
  </si>
  <si>
    <t>131-81-39905</t>
    <phoneticPr fontId="16" type="noConversion"/>
  </si>
  <si>
    <t>141-81-09131</t>
    <phoneticPr fontId="16" type="noConversion"/>
  </si>
  <si>
    <t>307-81-05244</t>
    <phoneticPr fontId="16" type="noConversion"/>
  </si>
  <si>
    <t>104-81-24846</t>
    <phoneticPr fontId="16" type="noConversion"/>
  </si>
  <si>
    <t>134-81-03920</t>
    <phoneticPr fontId="16" type="noConversion"/>
  </si>
  <si>
    <t>120-81-56132</t>
    <phoneticPr fontId="16" type="noConversion"/>
  </si>
  <si>
    <t>118-81-00601</t>
    <phoneticPr fontId="16" type="noConversion"/>
  </si>
  <si>
    <t>134-81-02580</t>
    <phoneticPr fontId="16" type="noConversion"/>
  </si>
  <si>
    <t>220-87-09310</t>
    <phoneticPr fontId="16" type="noConversion"/>
  </si>
  <si>
    <t>206-86-50913</t>
    <phoneticPr fontId="16" type="noConversion"/>
  </si>
  <si>
    <t>514-81-16131</t>
    <phoneticPr fontId="16" type="noConversion"/>
  </si>
  <si>
    <t>106-81-00516</t>
    <phoneticPr fontId="16" type="noConversion"/>
  </si>
  <si>
    <t>137-81-02459</t>
    <phoneticPr fontId="16" type="noConversion"/>
  </si>
  <si>
    <t>601-81-00739</t>
    <phoneticPr fontId="16" type="noConversion"/>
  </si>
  <si>
    <t>134-81-02412</t>
    <phoneticPr fontId="16" type="noConversion"/>
  </si>
  <si>
    <t>105-81-29640</t>
    <phoneticPr fontId="16" type="noConversion"/>
  </si>
  <si>
    <t>214-81-94289</t>
    <phoneticPr fontId="16" type="noConversion"/>
  </si>
  <si>
    <t>209-81-00872</t>
    <phoneticPr fontId="16" type="noConversion"/>
  </si>
  <si>
    <t>124-86-67922</t>
    <phoneticPr fontId="16" type="noConversion"/>
  </si>
  <si>
    <t>402-81-98956</t>
    <phoneticPr fontId="16" type="noConversion"/>
  </si>
  <si>
    <t>120-86-03362</t>
    <phoneticPr fontId="16" type="noConversion"/>
  </si>
  <si>
    <t>202-81-45960</t>
    <phoneticPr fontId="16" type="noConversion"/>
  </si>
  <si>
    <t>506-81-07010</t>
    <phoneticPr fontId="16" type="noConversion"/>
  </si>
  <si>
    <t>315-81-07132</t>
    <phoneticPr fontId="16" type="noConversion"/>
  </si>
  <si>
    <t>214-81-08783</t>
    <phoneticPr fontId="16" type="noConversion"/>
  </si>
  <si>
    <t>506-81-70186</t>
    <phoneticPr fontId="16" type="noConversion"/>
  </si>
  <si>
    <t>113-81-06497</t>
    <phoneticPr fontId="16" type="noConversion"/>
  </si>
  <si>
    <t>110-86-08069</t>
    <phoneticPr fontId="16" type="noConversion"/>
  </si>
  <si>
    <t>124-81-28792</t>
    <phoneticPr fontId="16" type="noConversion"/>
  </si>
  <si>
    <t>102-81-34256</t>
    <phoneticPr fontId="16" type="noConversion"/>
  </si>
  <si>
    <t>125-81-18884</t>
    <phoneticPr fontId="16" type="noConversion"/>
  </si>
  <si>
    <t>106-81-32769</t>
    <phoneticPr fontId="16" type="noConversion"/>
  </si>
  <si>
    <t>120-81-05593</t>
    <phoneticPr fontId="16" type="noConversion"/>
  </si>
  <si>
    <t>214-81-70045</t>
    <phoneticPr fontId="16" type="noConversion"/>
  </si>
  <si>
    <t>612-81-53314</t>
    <phoneticPr fontId="16" type="noConversion"/>
  </si>
  <si>
    <t>201-81-10323</t>
    <phoneticPr fontId="16" type="noConversion"/>
  </si>
  <si>
    <t>787-87-00729</t>
    <phoneticPr fontId="16" type="noConversion"/>
  </si>
  <si>
    <t>102-81-42945</t>
    <phoneticPr fontId="16" type="noConversion"/>
  </si>
  <si>
    <t>117-81-31120</t>
    <phoneticPr fontId="16" type="noConversion"/>
  </si>
  <si>
    <t>306-81-30866</t>
    <phoneticPr fontId="16" type="noConversion"/>
  </si>
  <si>
    <t>134-81-07528</t>
    <phoneticPr fontId="16" type="noConversion"/>
  </si>
  <si>
    <t>137-81-01917</t>
    <phoneticPr fontId="16" type="noConversion"/>
  </si>
  <si>
    <t>307-81-06054</t>
    <phoneticPr fontId="16" type="noConversion"/>
  </si>
  <si>
    <t>590-87-00993</t>
    <phoneticPr fontId="16" type="noConversion"/>
  </si>
  <si>
    <t>411-87-00569</t>
    <phoneticPr fontId="16" type="noConversion"/>
  </si>
  <si>
    <t>220-87-45316</t>
    <phoneticPr fontId="16" type="noConversion"/>
  </si>
  <si>
    <t>109-81-27101</t>
    <phoneticPr fontId="16" type="noConversion"/>
  </si>
  <si>
    <t>124-81-30662</t>
    <phoneticPr fontId="16" type="noConversion"/>
  </si>
  <si>
    <t>220-81-10227</t>
    <phoneticPr fontId="16" type="noConversion"/>
  </si>
  <si>
    <t>105-81-74543</t>
    <phoneticPr fontId="16" type="noConversion"/>
  </si>
  <si>
    <t>134-81-05011</t>
    <phoneticPr fontId="16" type="noConversion"/>
  </si>
  <si>
    <t>139-81-15931</t>
    <phoneticPr fontId="16" type="noConversion"/>
  </si>
  <si>
    <t>120-81-97865</t>
    <phoneticPr fontId="16" type="noConversion"/>
  </si>
  <si>
    <t>201-81-76228</t>
    <phoneticPr fontId="16" type="noConversion"/>
  </si>
  <si>
    <t>314-81-00664</t>
    <phoneticPr fontId="16" type="noConversion"/>
  </si>
  <si>
    <t>104-81-19101</t>
    <phoneticPr fontId="16" type="noConversion"/>
  </si>
  <si>
    <t>609-81-01805</t>
    <phoneticPr fontId="16" type="noConversion"/>
  </si>
  <si>
    <t>215-81-20534</t>
    <phoneticPr fontId="16" type="noConversion"/>
  </si>
  <si>
    <t>506-81-05517</t>
    <phoneticPr fontId="16" type="noConversion"/>
  </si>
  <si>
    <t>506-81-01452</t>
    <phoneticPr fontId="16" type="noConversion"/>
  </si>
  <si>
    <t>315-81-01744</t>
    <phoneticPr fontId="16" type="noConversion"/>
  </si>
  <si>
    <t>125-81-75323</t>
    <phoneticPr fontId="16" type="noConversion"/>
  </si>
  <si>
    <t>124-81-37632</t>
    <phoneticPr fontId="16" type="noConversion"/>
  </si>
  <si>
    <t>214-81-00777</t>
    <phoneticPr fontId="16" type="noConversion"/>
  </si>
  <si>
    <t>622-81-06900</t>
    <phoneticPr fontId="16" type="noConversion"/>
  </si>
  <si>
    <t>139-81-13632</t>
    <phoneticPr fontId="16" type="noConversion"/>
  </si>
  <si>
    <t>620-81-00079</t>
    <phoneticPr fontId="16" type="noConversion"/>
  </si>
  <si>
    <t>214-81-44931</t>
    <phoneticPr fontId="16" type="noConversion"/>
  </si>
  <si>
    <t>617-81-00016</t>
    <phoneticPr fontId="16" type="noConversion"/>
  </si>
  <si>
    <t>129-81-20591</t>
    <phoneticPr fontId="16" type="noConversion"/>
  </si>
  <si>
    <t>603-81-04347</t>
    <phoneticPr fontId="16" type="noConversion"/>
  </si>
  <si>
    <t>615-81-01585</t>
    <phoneticPr fontId="16" type="noConversion"/>
  </si>
  <si>
    <t>606-81-01728</t>
    <phoneticPr fontId="16" type="noConversion"/>
  </si>
  <si>
    <t>220-81-00530</t>
    <phoneticPr fontId="16" type="noConversion"/>
  </si>
  <si>
    <t>220-81-33593</t>
    <phoneticPr fontId="16" type="noConversion"/>
  </si>
  <si>
    <t>137-81-02051</t>
    <phoneticPr fontId="16" type="noConversion"/>
  </si>
  <si>
    <t>124-87-00613</t>
    <phoneticPr fontId="16" type="noConversion"/>
  </si>
  <si>
    <t>120-81-26337</t>
    <phoneticPr fontId="16" type="noConversion"/>
  </si>
  <si>
    <t>137-81-92214</t>
    <phoneticPr fontId="16" type="noConversion"/>
  </si>
  <si>
    <t>102-81-41359</t>
    <phoneticPr fontId="16" type="noConversion"/>
  </si>
  <si>
    <t>102-81-34955</t>
    <phoneticPr fontId="16" type="noConversion"/>
  </si>
  <si>
    <t>120-81-59861</t>
    <phoneticPr fontId="16" type="noConversion"/>
  </si>
  <si>
    <t>114-81-04605</t>
    <phoneticPr fontId="16" type="noConversion"/>
  </si>
  <si>
    <t>306-81-05479</t>
    <phoneticPr fontId="16" type="noConversion"/>
  </si>
  <si>
    <t>463-87-01012</t>
    <phoneticPr fontId="16" type="noConversion"/>
  </si>
  <si>
    <t>214-81-24240</t>
    <phoneticPr fontId="16" type="noConversion"/>
  </si>
  <si>
    <t>203-81-58148</t>
    <phoneticPr fontId="16" type="noConversion"/>
  </si>
  <si>
    <t>201-81-02823</t>
    <phoneticPr fontId="16" type="noConversion"/>
  </si>
  <si>
    <t>135-81-21955</t>
    <phoneticPr fontId="16" type="noConversion"/>
  </si>
  <si>
    <t>513-81-17175</t>
    <phoneticPr fontId="16" type="noConversion"/>
  </si>
  <si>
    <t>101-81-16293</t>
    <phoneticPr fontId="16" type="noConversion"/>
  </si>
  <si>
    <t>106-81-97118</t>
    <phoneticPr fontId="16" type="noConversion"/>
  </si>
  <si>
    <t>609-81-37486</t>
    <phoneticPr fontId="16" type="noConversion"/>
  </si>
  <si>
    <t>101-81-16406</t>
    <phoneticPr fontId="16" type="noConversion"/>
  </si>
  <si>
    <t>211-87-21455</t>
    <phoneticPr fontId="16" type="noConversion"/>
  </si>
  <si>
    <t>126-81-04267</t>
    <phoneticPr fontId="16" type="noConversion"/>
  </si>
  <si>
    <t>104-81-53190</t>
    <phoneticPr fontId="16" type="noConversion"/>
  </si>
  <si>
    <t>101-81-09147</t>
    <phoneticPr fontId="16" type="noConversion"/>
  </si>
  <si>
    <t>101-81-16269</t>
    <phoneticPr fontId="16" type="noConversion"/>
  </si>
  <si>
    <t>211-86-76540</t>
    <phoneticPr fontId="16" type="noConversion"/>
  </si>
  <si>
    <t>501-81-00050</t>
    <phoneticPr fontId="16" type="noConversion"/>
  </si>
  <si>
    <t>305-86-40935</t>
    <phoneticPr fontId="16" type="noConversion"/>
  </si>
  <si>
    <t>685-81-00299</t>
    <phoneticPr fontId="16" type="noConversion"/>
  </si>
  <si>
    <t>410-81-00996</t>
    <phoneticPr fontId="16" type="noConversion"/>
  </si>
  <si>
    <t>107-81-18697</t>
    <phoneticPr fontId="16" type="noConversion"/>
  </si>
  <si>
    <t>120-81-73505</t>
    <phoneticPr fontId="16" type="noConversion"/>
  </si>
  <si>
    <t>198-87-00929</t>
    <phoneticPr fontId="16" type="noConversion"/>
  </si>
  <si>
    <t>880-87-01070</t>
    <phoneticPr fontId="16" type="noConversion"/>
  </si>
  <si>
    <t>134-86-34812</t>
    <phoneticPr fontId="16" type="noConversion"/>
  </si>
  <si>
    <t>123-81-06174</t>
    <phoneticPr fontId="16" type="noConversion"/>
  </si>
  <si>
    <t>놔사관계 위반
(100점)</t>
    <phoneticPr fontId="16" type="noConversion"/>
  </si>
  <si>
    <t>양호</t>
    <phoneticPr fontId="16" type="noConversion"/>
  </si>
  <si>
    <t>평가미대상</t>
    <phoneticPr fontId="16" type="noConversion"/>
  </si>
  <si>
    <t>보통</t>
    <phoneticPr fontId="16" type="noConversion"/>
  </si>
  <si>
    <t>당기 법인세
(천원)</t>
    <phoneticPr fontId="16" type="noConversion"/>
  </si>
  <si>
    <t>아동보호,재난 구호 지원, 발달장애 일자리 지원, 취약계층 자립 지원</t>
  </si>
  <si>
    <t>소외계층 나눔, 환경보호</t>
  </si>
  <si>
    <t>소외계층 지원, 사회 안전망 구축, 스포츠 지원</t>
  </si>
  <si>
    <t>모금, 집수리, 봉사</t>
  </si>
  <si>
    <t>지역사회, 문화교류, 생필품 지원</t>
  </si>
  <si>
    <t>복지, 의료, 장애인 고용</t>
  </si>
  <si>
    <t>환경,지역상생,인재육성,안전보건</t>
  </si>
  <si>
    <t>소외계층,취약계층,장애인 지원</t>
  </si>
  <si>
    <t>기부</t>
  </si>
  <si>
    <t>취약계층,환경보호,지역상생</t>
  </si>
  <si>
    <t>교육지원,취약계층,지역상생</t>
  </si>
  <si>
    <t>보훈,지역상생,소외계층,해외봉사</t>
  </si>
  <si>
    <t>환경,취약계층,문화,지역상생</t>
  </si>
  <si>
    <t>환경,취약계층,지역상생</t>
  </si>
  <si>
    <t>교육,취약계층,장애인 지원</t>
  </si>
  <si>
    <t>장학,환경,지역상생</t>
  </si>
  <si>
    <t>교육,문화체육,지역상생</t>
  </si>
  <si>
    <t>취약계층,교육,지역상생</t>
  </si>
  <si>
    <t>교육,환경,지역상생</t>
  </si>
  <si>
    <t>교육.아동건강,지역상생</t>
  </si>
  <si>
    <t>취약계층,문화,지역상생</t>
  </si>
  <si>
    <t>아동건강,교육,지역상생</t>
  </si>
  <si>
    <t>장애인,교육,환경</t>
  </si>
  <si>
    <t>복지,교육,문화체육,사회안전,해외봉사</t>
  </si>
  <si>
    <t>문화예술,소외계층</t>
  </si>
  <si>
    <t>지역상생,환경</t>
  </si>
  <si>
    <t>환경</t>
  </si>
  <si>
    <t>지역사회,취약계층</t>
  </si>
  <si>
    <t>주거,취약계층</t>
  </si>
  <si>
    <t>환경,문화,지역상생</t>
  </si>
  <si>
    <t>기금,취약계층</t>
  </si>
  <si>
    <t>지역사회</t>
  </si>
  <si>
    <t>건강,환경,지역상생,문화</t>
  </si>
  <si>
    <t>소외계층,지역상생</t>
  </si>
  <si>
    <t>건강,지역상생</t>
  </si>
  <si>
    <t>취약계층</t>
  </si>
  <si>
    <t>취약계층,아동,사회안전</t>
  </si>
  <si>
    <t>아동,건강,소외계층</t>
  </si>
  <si>
    <t>취약계층,환경</t>
  </si>
  <si>
    <t>장학,사회복지</t>
  </si>
  <si>
    <t>지역상생</t>
  </si>
  <si>
    <t>교육,체육,건강</t>
  </si>
  <si>
    <t>교육,지역상생</t>
  </si>
  <si>
    <t>장학,기부</t>
  </si>
  <si>
    <t>장학,체육,지역상생</t>
  </si>
  <si>
    <t>문화,지역상생,환경,교육</t>
  </si>
  <si>
    <t>환경,취약계층,장학</t>
  </si>
  <si>
    <t>취약계층,문화</t>
  </si>
  <si>
    <t>소외계층,아동,사회안전</t>
  </si>
  <si>
    <t>소외계층,의료,장학</t>
  </si>
  <si>
    <t>아동,문화,지역상생</t>
  </si>
  <si>
    <t>취약계층,지역상생</t>
  </si>
  <si>
    <t>지역상생,사회봉사,교육</t>
  </si>
  <si>
    <t>장학,사회봉사,지역상생</t>
  </si>
  <si>
    <t>장학,소외계층</t>
  </si>
  <si>
    <t>지역상생,소외계층</t>
  </si>
  <si>
    <t>장학,문화</t>
  </si>
  <si>
    <t>문화</t>
  </si>
  <si>
    <t>기부,아동</t>
  </si>
  <si>
    <t>건강,지역상생,장학</t>
  </si>
  <si>
    <t>소외계층,체육</t>
  </si>
  <si>
    <t>의료</t>
  </si>
  <si>
    <t>사회봉사,소외계층,환경</t>
  </si>
  <si>
    <t>장애인,의료</t>
  </si>
  <si>
    <t>기부,의료,장학</t>
  </si>
  <si>
    <t>장학,보건,문화</t>
  </si>
  <si>
    <t>체육,문화,취약계층</t>
  </si>
  <si>
    <t>아동,문화</t>
  </si>
  <si>
    <t>장학,아동,취약계층</t>
  </si>
  <si>
    <t>장학,지역상생,취약계층</t>
  </si>
  <si>
    <t>안전,환경,장학</t>
  </si>
  <si>
    <t>취약계층,사회봉사,환경</t>
  </si>
  <si>
    <t>장학,문화,사회봉사</t>
  </si>
  <si>
    <t>장학,사회봉사,의료</t>
  </si>
  <si>
    <t>문화,의료,장학</t>
  </si>
  <si>
    <t>사회봉사,취약계층,장애인</t>
  </si>
  <si>
    <t>문화,의료,지역상생</t>
  </si>
  <si>
    <t>아동,여성,지역상생</t>
  </si>
  <si>
    <t>모금</t>
  </si>
  <si>
    <t>장학,체육</t>
  </si>
  <si>
    <t>장학,문화,군장병</t>
  </si>
  <si>
    <t>사회봉사,교육,지역상생</t>
  </si>
  <si>
    <t>소외계층,안전</t>
  </si>
  <si>
    <t>안전,청년,환경</t>
  </si>
  <si>
    <t>취약계층,장애인</t>
  </si>
  <si>
    <t>의료,취약계층,지역상생</t>
  </si>
  <si>
    <t>사회봉사,인재육성</t>
  </si>
  <si>
    <t>장학,아동,문화</t>
  </si>
  <si>
    <t>교육</t>
  </si>
  <si>
    <t>다문화,체육,사회봉사</t>
  </si>
  <si>
    <t>아동청소년,지역상생</t>
  </si>
  <si>
    <t>장학,지역상생</t>
  </si>
  <si>
    <t>교육,지역상생,장애인</t>
  </si>
  <si>
    <t>아동,취약계층,문화</t>
  </si>
  <si>
    <t>http://www.dlholdings.co.kr</t>
    <phoneticPr fontId="16" type="noConversion"/>
  </si>
  <si>
    <t>http://www.dnautomotive.com</t>
    <phoneticPr fontId="16" type="noConversion"/>
  </si>
  <si>
    <t>DL이앤씨</t>
    <phoneticPr fontId="16" type="noConversion"/>
  </si>
  <si>
    <t>주거환경개헌, 임직원 봉사, 문화지원, 환경보호, 교육지원
https://www.dlenc.co.kr/sustainability/social/ActVideoList.do</t>
    <phoneticPr fontId="16" type="noConversion"/>
  </si>
  <si>
    <t>소셜벤처 EQ4ALL 지원, 청각장애인과 수어의 이해, 아바타 수어 기술, 베리어프리 키오스크, 농가족 수어교육
https://www.dnautomotive.com/sub/business/contribution.asp</t>
    <phoneticPr fontId="16" type="noConversion"/>
  </si>
  <si>
    <t>태양광 랜턴 나눔키트 조립 봉사활동, 꿈키움 원더워크, 지역별 환경정화 봉사활동을 통한 실천, 빛 반사카드 배포, 교통안전시설물 설치, 노란발자국 설치 활동, 어린이 교통안전교육, 독거 어르신 냉난방기 지원사업, 블루/실버/오렌지택배, 장애인 일자리 확대, 온기꾸러미 전달 활동, 구세군 자선모금물품 택배배송 지원, CJ도너스캠프 공부방 아동들과 CJ임직원이 함께하는 요리대회, 어린이날 100주년 기념 CJ도너스캠프 온라인 운동회
https://www.cjlogistics.com/ko/page/sustainability/social</t>
    <phoneticPr fontId="16" type="noConversion"/>
  </si>
  <si>
    <t>http://www.fnf.co.kr</t>
    <phoneticPr fontId="16" type="noConversion"/>
  </si>
  <si>
    <t>친환경 물품 후원, The 좋은 드림 스쿨/꿈꾸는 소녀, 환경보전기금조성, 산불 피해 복구 성금, 기부금</t>
    <phoneticPr fontId="16" type="noConversion"/>
  </si>
  <si>
    <t>http://www.gsconst.co.kr/</t>
    <phoneticPr fontId="16" type="noConversion"/>
  </si>
  <si>
    <t>Hope Food Pack, CJ제일제당 나눔냉장고, 햇반용기 수거 캠페인, 반려해변 해양 환경정화, 장애인 자립지원 굿윌스토어, 재난재해 긴급 구호 식품 지원, 꿈키움 원더워크, 꿈키움 아카데미
https://www.cj.co.kr/kr/aboutus/sustainability/contribution-social</t>
    <phoneticPr fontId="16" type="noConversion"/>
  </si>
  <si>
    <t>꿈과 희망의 공부방, 즐거운 방과후 교실, 위기가정 여학생 여성용품 지원, 저소득층 우수재원 장학금 및 결손아동 학습지원비 지원, 갤러리 시선, 꿈과 희망의 놀이터
https://www.gsenc.com/Management/Contribute/Contribute.aspx</t>
    <phoneticPr fontId="16" type="noConversion"/>
  </si>
  <si>
    <t>http://www.gsgcorp.com</t>
    <phoneticPr fontId="16" type="noConversion"/>
  </si>
  <si>
    <t>http://www.hdc-dvp.com</t>
    <phoneticPr fontId="16" type="noConversion"/>
  </si>
  <si>
    <t>http://www.hd-hyundaies.co.kr/</t>
    <phoneticPr fontId="16" type="noConversion"/>
  </si>
  <si>
    <t>심포니 작은 도서관, 주거환경개선, 희망의 집 짓기, 벽화그리기, 포니정 재단, 포니정 혁신상, 학술지원 프로그램, 장학 프로그램
https://www.hdc-dvp.com/sustainability/social.do</t>
    <phoneticPr fontId="16" type="noConversion"/>
  </si>
  <si>
    <t>에코크리에이터 / 에코소셜임팩트, 업사이클링 친구 캠페인 / 바자회, 저소득/학대 아동 및 가족 심리 지원, 무지개 상자 오케스트라, 몸짱 소방관 달력, FC서울 다문화 가정 아동 축구교실/화성시 다문화
가족 지원, GS나누미 봉사, 푸드뱅크 기부, 러브러브 펀드, 북드림캠페인 / 헌혈캠페인, 재해재난 지원, 사회적기업 판로지원, 기술연구지원
https://www.gsretail.com/gsretail/ko/esg/sharing#;</t>
    <phoneticPr fontId="16" type="noConversion"/>
  </si>
  <si>
    <t>지역 태양광 발전 사업 지원, 지역 봉사활동. 소이면 노인회 지원, 소이면 국토 대청결
https://www.hd-hyundaies.co.kr/invest/social.do</t>
    <phoneticPr fontId="16" type="noConversion"/>
  </si>
  <si>
    <t>http://www.halla.co.kr</t>
    <phoneticPr fontId="16" type="noConversion"/>
  </si>
  <si>
    <t>현장인근 공공시설 및 복지시설지원, 지역환경정화활동 / 자연보고회 개최, 다일공동체 내 영세노인 및 노숙자 지원, 외국인대상 우리농수산물 외국인 병원지원, 외국인 대상 의료품 지원, 볼링회 : 외국인 노동자와 볼링게임, 축구회 : 장애인 축구회와 축구 시합, 마라톤회 : 보육원 및 소년소녀가장 초청 5km 달리기, 산악회 : 소년소녀가장, 보육원 등 1일 캠프, 사진동호회 : 보육원 및 소년소녀 가장 사진촬영, HL 안양 아이스하키단 후원
https://www.hldni.com/html/managing/csr.asp</t>
    <phoneticPr fontId="16" type="noConversion"/>
  </si>
  <si>
    <t>http://kg-steel.co.kr</t>
    <phoneticPr fontId="16" type="noConversion"/>
  </si>
  <si>
    <t>http://www.hmm21.com</t>
    <phoneticPr fontId="16" type="noConversion"/>
  </si>
  <si>
    <t>폐로프 자원순환 프로젝트, 인천항 폐PET 자원순환 프로젝트, 반려해변 정화활동, 어린이병원 환아 지원, 국내외 아동 1:1 자매결연 후원, 물품기부 캠페인, 어린이ㆍ청소년 상선체험 학습, 국제 구호물품 운송 후원, 국내외 재난 기부, 해외법인 사회공헌활동
https://www.hmm21.com/company/esg/sustainability.do</t>
    <phoneticPr fontId="16" type="noConversion"/>
  </si>
  <si>
    <t>http://www.ktis.co.kr</t>
    <phoneticPr fontId="16" type="noConversion"/>
  </si>
  <si>
    <t>지역사회 공헌기금, 지역아동센터/노인복지시설 봉사활동, 취약계층 노인 지원 활동, 대국민 구호 활동, 산불 지원, 여성청소년 지원, 수어전담 고객센터
https://www.ktis.co.kr/html/esg/infodirectors.html</t>
    <phoneticPr fontId="16" type="noConversion"/>
  </si>
  <si>
    <t>KTis</t>
    <phoneticPr fontId="16" type="noConversion"/>
  </si>
  <si>
    <t>http://www.lghnh.com</t>
    <phoneticPr fontId="16" type="noConversion"/>
  </si>
  <si>
    <t>기후변화 대응을 위한 미래세대 육성, 빌려쓰는 지구스쿨 메타버스 오픈, 여성장애인 맞춤형 보조기기 지원 ‘날개 달기’, 반짝반짝 페리오, 후 메세나 활동, ‘더 히스토리 오브 후’, 문화재지킴이 활동, LG생활건강 내추럴 뷰티 Live 크리에이터 양성, 서울환경영화제 후원</t>
    <phoneticPr fontId="16" type="noConversion"/>
  </si>
  <si>
    <t>http://www.pimaterials.com</t>
    <phoneticPr fontId="16" type="noConversion"/>
  </si>
  <si>
    <t>http://www.sgcenergy.co.kr</t>
    <phoneticPr fontId="16" type="noConversion"/>
  </si>
  <si>
    <r>
      <t>어려운 학생들을 위한 희망 나눔 프로젝트, 건강한 내일을 위한 청소년 인라인 스케이트 보급 사업 후원, 청소년 멘토링 캠프 지원, 임직원과 함께하는 문화체험 활동, 아동보호소의 영</t>
    </r>
    <r>
      <rPr>
        <sz val="11"/>
        <color rgb="FF000000"/>
        <rFont val="Yu Gothic"/>
        <family val="2"/>
        <charset val="128"/>
      </rPr>
      <t>･</t>
    </r>
    <r>
      <rPr>
        <sz val="11"/>
        <color rgb="FF000000"/>
        <rFont val="맑은 고딕"/>
        <family val="3"/>
        <charset val="129"/>
      </rPr>
      <t>유아들을 위한 정기 자원봉사, 지역 어르신을 위한 경로잔치, 효도관광 지원 / 독거 노인 시설을 방문하여 물품 후원, 지역 취약계층을 위한 긴급의료비 후원, 지역협회 및 단체활동</t>
    </r>
    <r>
      <rPr>
        <sz val="11"/>
        <color rgb="FF000000"/>
        <rFont val="맑은 고딕"/>
        <family val="3"/>
        <charset val="129"/>
      </rPr>
      <t xml:space="preserve">
file:///C:/Users/hcjun/Downloads/1690761188919_32c8f43f-a5f8-4688-83ef-03024ae23e53..pdf</t>
    </r>
    <phoneticPr fontId="16" type="noConversion"/>
  </si>
  <si>
    <t>SGC숲 만들기, 사랑의 1004운동, 사랑의 쌀기탁 지원, 발전소 주변지역 지원
http://www.sgcenergy.co.kr/06_invest/2022SGC_SR_kor/index.html#page=55</t>
    <phoneticPr fontId="16" type="noConversion"/>
  </si>
  <si>
    <t>http://www.shinhwatp.co.kr</t>
    <phoneticPr fontId="16" type="noConversion"/>
  </si>
  <si>
    <t>http://www.skbioscience.com</t>
    <phoneticPr fontId="16" type="noConversion"/>
  </si>
  <si>
    <t>http://www.SKinnovation.com</t>
    <phoneticPr fontId="16" type="noConversion"/>
  </si>
  <si>
    <t>장학금 지원을 통한 인재 육성, 글로벌 바이오 인력양성 허브, 친환경 봉사활동, 행복한 그린 스쿨, 희망메이커, 지역사회 후원, 지관서가(止觀書架), 글로벌 바이오 업계 동반성장 지원, Bio Venture 성장 지원, 박만훈상(賞) 시상식 개최, 기초연구 지원
https://esg.skbioscience.com/kr/coporate_philanthropy</t>
    <phoneticPr fontId="16" type="noConversion"/>
  </si>
  <si>
    <t>사회적기업 및 소셜벤처 육성, 인프라와 역량 공유를 통한 지원, 메콩지역 맹그로브숲 복원사업(Plant for the Planet), 베트남 환경인식개선 교육프로그램, 자발적 탄소배출권 등록(SK Voluntary Carbon Reduction), 아그위그 캠페인(I Green We Green), 산해진미(山海眞美) 캠페인 , 지역사회 환경보존 활동 , 1% 행복나눔기금 , 자원봉사, 전국 발달장애인 음악축제(GMF, Great Music Festival) , Charity Night Gala 2021(주한대사부인회 자선행사), 사회안전망(Safety Net) 구축, 고속도로 휴게소 ‘휴(休)-사이클‘ 캠페인, 주유소 동네응급처치소 운영, 화물차 운전자를 위한 ‘내트럭하우스’ 운영 , 청각 장애인 채용 확대를 위한 ‘고요한 택시'
https://www.skinnovation.com/esg_report/T/2/2021%20SKI%20Performance%20Report_kr_%EC%82%AC%ED%9A%8C%EC%A0%81%EA%B0%80%EC%B9%98.pdf</t>
    <phoneticPr fontId="16" type="noConversion"/>
  </si>
  <si>
    <t>http://www.skchemicals.com</t>
    <phoneticPr fontId="16" type="noConversion"/>
  </si>
  <si>
    <t>SK케미칼 자원봉사단, 행복한 Green School, 치매인지개선프로그램, 희망메이커, 플라스틱 순환생태계 플랫폼 ‘이음(EUUM)’, Project Lab</t>
    <phoneticPr fontId="16" type="noConversion"/>
  </si>
  <si>
    <t>http://www.sktelecom.com</t>
    <phoneticPr fontId="16" type="noConversion"/>
  </si>
  <si>
    <t>행복크레딧, 레드커넥트, 전국 지진 감지 센서 네트워크 구축, 국민 안전을 지키는 ‘재난문자’ 서비스 구축, ESG 혁신펀드 조성, ESG 및 AI 혁신 스타트업 육성, T 데이 이벤트, 열린 멤버십 프로그램, T 딜 서비스
https://www.sktelecom.com/view/esg/contribution.do</t>
    <phoneticPr fontId="16" type="noConversion"/>
  </si>
  <si>
    <t>http://www.hisntd.com</t>
    <phoneticPr fontId="16" type="noConversion"/>
  </si>
  <si>
    <t>미래인재 육성을 위한 장학사업, 친환경활동, 더불어 살기 활동</t>
    <phoneticPr fontId="16" type="noConversion"/>
  </si>
  <si>
    <t>http://galaxiasme.com</t>
    <phoneticPr fontId="16" type="noConversion"/>
  </si>
  <si>
    <t>http://www.knco.co.kr</t>
    <phoneticPr fontId="16" type="noConversion"/>
  </si>
  <si>
    <t>조비 경농 장학재단, 사랑의 쌀나누기, 농촌마을과 함께하는 행복나눔</t>
    <phoneticPr fontId="16" type="noConversion"/>
  </si>
  <si>
    <t>http://www.iprovest.com</t>
    <phoneticPr fontId="16" type="noConversion"/>
  </si>
  <si>
    <t>드림이사회봉사단, 드림이특별주간봉사활동, 고객/가족봉사활동, 드림이희망기부</t>
    <phoneticPr fontId="16" type="noConversion"/>
  </si>
  <si>
    <t>http://www.daedong.co.kr</t>
    <phoneticPr fontId="16" type="noConversion"/>
  </si>
  <si>
    <t>ESG상생 오픈이노베이션</t>
    <phoneticPr fontId="16" type="noConversion"/>
  </si>
  <si>
    <t>해강 대성장학회, 디큐브아트센터 (지역사회 문화공연), 후원 프로그램</t>
    <phoneticPr fontId="16" type="noConversion"/>
  </si>
  <si>
    <t>http://www.daewoong.co.kr</t>
    <phoneticPr fontId="16" type="noConversion"/>
  </si>
  <si>
    <t>임직원 참여 봉사활동, 임직원 자녀 봉사활동 지원, 숲속 짝꿍 마당, 봉사활동 참여 인센티브 제도, 의료비·의약품 기부 현황, 니코프리 스쿨 캠페인, 무장애 놀이터 건립, 배리어 프리(Barrier-Free) 청각 장애자 영화 자막 제작, 희망 걸음 캠페인</t>
    <phoneticPr fontId="16" type="noConversion"/>
  </si>
  <si>
    <t>http://www.taihan.com</t>
    <phoneticPr fontId="16" type="noConversion"/>
  </si>
  <si>
    <t>주니어 전기교실, 목소리 기부, 정기 사회공헌 활동, 당진시 나눔장터, 1사 1연안 활동, 멸종 위기종 보호 활동, 폐 건전지 교환 켐페인, 호반사랑 나눔이</t>
    <phoneticPr fontId="16" type="noConversion"/>
  </si>
  <si>
    <t>http://www.idaehan.com</t>
    <phoneticPr fontId="16" type="noConversion"/>
  </si>
  <si>
    <t>http://www.daehansf.co.kr</t>
    <phoneticPr fontId="16" type="noConversion"/>
  </si>
  <si>
    <t>아름다운가게 나눔바자회, 아름다운가게 나눔보따리, 그룹홈 문화체험 캠프, 사랑의 집수리 활동, 일주학술문화재단, 공공언어 한글연구총서 발간, 작가와 함께하는 미술교실, 문화예술 심포지엄 지원, 예원학교 후원</t>
    <phoneticPr fontId="16" type="noConversion"/>
  </si>
  <si>
    <t>http://www.duksung21.com</t>
    <phoneticPr fontId="16" type="noConversion"/>
  </si>
  <si>
    <t>http://www.dongwonfnb.com</t>
    <phoneticPr fontId="16" type="noConversion"/>
  </si>
  <si>
    <t>어린이 교통안전 캠페인, 비영리재단과의 사회공헌 MOU, 튀르키예∙시리아 ‘할랄 참치’ 기부, ‘실종아동 찾기’ 캠페인, 농촌지역 및 소외이웃 기부, 고양이 사료 3t 동물보호단체에 기부, 지속가능한 해양 생태계 위한 ‘튜나런’ 개최</t>
    <phoneticPr fontId="16" type="noConversion"/>
  </si>
  <si>
    <t>http://dongwonsystems.com/</t>
    <phoneticPr fontId="16" type="noConversion"/>
  </si>
  <si>
    <t>동원육영재단</t>
    <phoneticPr fontId="16" type="noConversion"/>
  </si>
  <si>
    <t>http://www.lotterental.com/</t>
    <phoneticPr fontId="16" type="noConversion"/>
  </si>
  <si>
    <t>친환경 기부 드라이빙 캠페인, mom편한 동행, 장애아동시설 차량 경정비 지원, 장애아동 차량 이동 지원(Dream Car), 장애아동 생활시설 정기 방문, 핸즈온(Hands-on) 봉사활동, 행복 더하기 나눔 활동</t>
    <phoneticPr fontId="16" type="noConversion"/>
  </si>
  <si>
    <t>http://www.sajosf.co.kr</t>
    <phoneticPr fontId="16" type="noConversion"/>
  </si>
  <si>
    <t>취암장학재단, 정기기부</t>
    <phoneticPr fontId="16" type="noConversion"/>
  </si>
  <si>
    <t>http://www.samsungsdi.co.kr</t>
    <phoneticPr fontId="16" type="noConversion"/>
  </si>
  <si>
    <t>청년 SW 아카데미, 드림클래스, 주니어 SW 아카데미, 희망디딤돌, 푸른코끼리, 스마트스쿨, 환경 문제 해결, 지역기여</t>
    <phoneticPr fontId="16" type="noConversion"/>
  </si>
  <si>
    <t>http://www.samsungcnt.com</t>
    <phoneticPr fontId="16" type="noConversion"/>
  </si>
  <si>
    <t>주니어물산아카데미, 매칭그랜트를 통한 국내외 청소년 지원, 주니어건설아카데미, HEART FOR EYE, Green Walk 캠페인, 모든 가능성을 위한 : 모가챌린지, 장애아동 미술교육 프로그램, 환아 지원 프로그램, 1사 1촌 결연 활동, 삼성빌리지 사업, 취약계층 지원 활동, 사회적 기업 지원, 지역사회 복지시설 지원</t>
    <phoneticPr fontId="16" type="noConversion"/>
  </si>
  <si>
    <t>http://www.sem.samsung.co.kr</t>
    <phoneticPr fontId="16" type="noConversion"/>
  </si>
  <si>
    <t>푸른코끼리, 청년 SW 아카데미, 드림클래스, 희망디딤돌, 환경문제해결, 도농상생, 임직원 봉사활동, 임직원 기부 후원</t>
    <phoneticPr fontId="16" type="noConversion"/>
  </si>
  <si>
    <t>http://www.samsung.com/sec</t>
    <phoneticPr fontId="16" type="noConversion"/>
  </si>
  <si>
    <t xml:space="preserve">삼성 청년 SW 아카데미, 삼성 드림클래스, 삼성 스마트스쿨, 삼성 주니어 SW 아카데미, 삼성 희망디딤돌, 푸른코끼리, 삼성 솔브포 투모로우, 삼성 이노베이션 캠퍼스, 나눔 키오스크, 스마트공장 구축, 스타트업 지원: C-Lab Outside, </t>
    <phoneticPr fontId="16" type="noConversion"/>
  </si>
  <si>
    <t>http://www.sycc.co.kr</t>
    <phoneticPr fontId="16" type="noConversion"/>
  </si>
  <si>
    <t>http://www.samick.co.kr</t>
    <phoneticPr fontId="16" type="noConversion"/>
  </si>
  <si>
    <t>http://www.seoulgas.co.kr</t>
    <phoneticPr fontId="16" type="noConversion"/>
  </si>
  <si>
    <t>장학회</t>
    <phoneticPr fontId="16" type="noConversion"/>
  </si>
  <si>
    <t xml:space="preserve"> 지역자치활동 참여, 요양원 후원 행사</t>
    <phoneticPr fontId="16" type="noConversion"/>
  </si>
  <si>
    <t>http://www.sebang.com</t>
    <phoneticPr fontId="16" type="noConversion"/>
  </si>
  <si>
    <t>희망스위치ON, 차량 지원 사업, 취약계층 지원, 장학금 지원사업, 세방 벼룩시장 임직원 기부, 긴급 구호 활동</t>
    <phoneticPr fontId="16" type="noConversion"/>
  </si>
  <si>
    <t>http://www.solu-m.com</t>
    <phoneticPr fontId="16" type="noConversion"/>
  </si>
  <si>
    <t>http://www.soosanheavy.com</t>
    <phoneticPr fontId="16" type="noConversion"/>
  </si>
  <si>
    <t>http://www.isdongseo.co.kr</t>
    <phoneticPr fontId="16" type="noConversion"/>
  </si>
  <si>
    <t>희망을 미래로 장학금, 교육환경 개선 지킴이, 범죄피해위기 가정 긴급지원, 소외계층 지원 및 돌봄, 코로나 19 극복을 위한 구호물품 지원, 취약계층 혹한기 냉방기 및 난방용품 지원</t>
    <phoneticPr fontId="16" type="noConversion"/>
  </si>
  <si>
    <t>http://sdbiosensor.co.kr/</t>
    <phoneticPr fontId="16" type="noConversion"/>
  </si>
  <si>
    <t>http://www.slworld.com</t>
    <phoneticPr fontId="16" type="noConversion"/>
  </si>
  <si>
    <t>협력사 직무아카데미 운영 및 기술 지도, 협력사 상생기금 운영, ESG 경영 및 지원, SL 협력회 등, 우수협력사 포상</t>
    <phoneticPr fontId="16" type="noConversion"/>
  </si>
  <si>
    <t>http://www.mcnex.co.kr</t>
    <phoneticPr fontId="16" type="noConversion"/>
  </si>
  <si>
    <t>http://www.woojinplaimm.com</t>
    <phoneticPr fontId="16" type="noConversion"/>
  </si>
  <si>
    <t>http://www.wjthinkbig.com</t>
    <phoneticPr fontId="16" type="noConversion"/>
  </si>
  <si>
    <t>소아암 어린이 후원, 소아암 어린이 글그림 공모전, 국립한글박물관 후원, 군인가족 교육복지 지원, 육군용사를 위한 신간도서 기증, 수학 글로벌 대중화 후원 활동, 다문화 음악방송 &amp; 가족지원, 수학·과학·예술 영재 장학사업, 희귀난치성 환아 지원</t>
    <phoneticPr fontId="16" type="noConversion"/>
  </si>
  <si>
    <t>http://www.petasys.com</t>
    <phoneticPr fontId="16" type="noConversion"/>
  </si>
  <si>
    <t>불우이웃돕기 성금 모금, 전산 기기 기증</t>
    <phoneticPr fontId="16" type="noConversion"/>
  </si>
  <si>
    <t>http://www.intergis.co.kr</t>
    <phoneticPr fontId="16" type="noConversion"/>
  </si>
  <si>
    <t>http://www.infac.com</t>
    <phoneticPr fontId="16" type="noConversion"/>
  </si>
  <si>
    <t>글로벌 사회공헌 활동</t>
    <phoneticPr fontId="16" type="noConversion"/>
  </si>
  <si>
    <t>http://www.ilshinstone.co.kr</t>
    <phoneticPr fontId="16" type="noConversion"/>
  </si>
  <si>
    <t>http://hysolus.co.kr</t>
    <phoneticPr fontId="16" type="noConversion"/>
  </si>
  <si>
    <t>지역인재 일자리 창출, 산단연합 사회공헌활동 : 환경기술인 협회 환경 정화 활동 참여, 지역사회 나눔실천</t>
    <phoneticPr fontId="16" type="noConversion"/>
  </si>
  <si>
    <t>http://www.e-jejubank.com</t>
    <phoneticPr fontId="16" type="noConversion"/>
  </si>
  <si>
    <t>1부점 1사회봉사단체 활동, 저소득층자녀 장학금, 다문화가정과 함께 하는 행사, 불우이웃돕기 등 기부 활동, 경로식당, 요양원, 보육원 봉사활동, 사랑의 송편나누기, 산타 원정대, 신용회복위원회 지원, 지역아동센터문화체험활동, 씨네하트데이, 제주메세나협회, 제주육상연맹 후원, 재일제주인 1세대를 위한 특별모금 지원, 바다정화활동, 1단체 1오름 가꾸기 운동, 금융소비자보호, 청소년 금융경제교육, 제은푸르미 활동 등</t>
    <phoneticPr fontId="16" type="noConversion"/>
  </si>
  <si>
    <t>http://www.chokwang.co.kr</t>
    <phoneticPr fontId="16" type="noConversion"/>
  </si>
  <si>
    <t>http://www.chobi.co.kr</t>
    <phoneticPr fontId="16" type="noConversion"/>
  </si>
  <si>
    <t>http://www.cyc1963.com</t>
    <phoneticPr fontId="16" type="noConversion"/>
  </si>
  <si>
    <t>보이스피싱 피해자 지원 및 금융 사회 안전망 구축을 위한 핀테크 스타트업 지원, 지역사회 소상공인 및 취약계층 지원 등, 금융감독원 연계 1사1교 금융교육, 자립준비청년 대상 맞춤형 금융교육, 어르신 대상 금융사기 예방 교육 등, 청소년 문화·예술 향유 증진 지원, 동계 스포츠 유망주 후원, 중증 발달 장애인 및 이공계 장애대학생 지원 등, 탄소 배출 절감 도시 숲 조성, 코트디부아르 재활용 플라스틱 벽돌 학교 지원 등</t>
    <phoneticPr fontId="16" type="noConversion"/>
  </si>
  <si>
    <t>http://www.kccworld.co.kr</t>
    <phoneticPr fontId="16" type="noConversion"/>
  </si>
  <si>
    <t>노후주택 개선 '새뜰마을' 사업, 저층주거지 환경개선 '온(溫)동네 숲으로' 사업, 공간개선지원 ‘반딧불 하우스’ 사업, 1사 1촌 / 1사 1교, 임직원 봉사 ‘행복나눔 봉사단’, 사랑의 열매 ‘희망 2023나눔 캠페인’ 7억원 기부,  ‘산불 피해’ 강원 고성군에 소나무 1000그루 식수, 해비타트와 손잡고 귀국 고려인 여성쉼터 조성, 파주 헤이리 마을에 청소년 창작공간 개관, 민사고 10명에 故정상영 명예회장 ‘영혜장학금</t>
    <phoneticPr fontId="16" type="noConversion"/>
  </si>
  <si>
    <t>http://www.kctc.co.kr</t>
    <phoneticPr fontId="16" type="noConversion"/>
  </si>
  <si>
    <t>환경정화 생태복원활동, 노인요양센터 봉사활동</t>
    <phoneticPr fontId="16" type="noConversion"/>
  </si>
  <si>
    <t>http://www.kcar.com</t>
    <phoneticPr fontId="16" type="noConversion"/>
  </si>
  <si>
    <t>http://www.kt.com</t>
    <phoneticPr fontId="16" type="noConversion"/>
  </si>
  <si>
    <t>광화문 원팀, 랜선야학, IT서포터즈, 사랑의 봉사단, 장학사업</t>
    <phoneticPr fontId="16" type="noConversion"/>
  </si>
  <si>
    <t>http://www.ktskylife.co.kr</t>
    <phoneticPr fontId="16" type="noConversion"/>
  </si>
  <si>
    <t>사랑의 안테나, 사랑의 디딤돌, 사랑의 봉사단</t>
    <phoneticPr fontId="16" type="noConversion"/>
  </si>
  <si>
    <t>http://www.cosmoamt.com</t>
    <phoneticPr fontId="16" type="noConversion"/>
  </si>
  <si>
    <t>http://www.krafton.com</t>
    <phoneticPr fontId="16" type="noConversion"/>
  </si>
  <si>
    <t xml:space="preserve">크래프톤 정글,  매칭 그랜트,  게임제너레이션 </t>
    <phoneticPr fontId="16" type="noConversion"/>
  </si>
  <si>
    <t>http://www.panpacific.co.kr</t>
    <phoneticPr fontId="16" type="noConversion"/>
  </si>
  <si>
    <t>http://tapex.co.kr</t>
    <phoneticPr fontId="16" type="noConversion"/>
  </si>
  <si>
    <t>희망나눔마라톤 (기부), 한국백혈병어린이재단 헌혈증서 기증, 푸른아시아 재단 나눔기금 기부, 지역사회 후원, 환경보전을 위한 ESG 캠페인 : 비치코밍 &amp; 폐전기ㆍ전자제품 회수</t>
    <phoneticPr fontId="16" type="noConversion"/>
  </si>
  <si>
    <t>http://www.panocean.com</t>
    <phoneticPr fontId="16" type="noConversion"/>
  </si>
  <si>
    <t>에코클린봉사단, 국립서울현충원 묘역 헌화, 사회공헌 마일리지 제도</t>
    <phoneticPr fontId="16" type="noConversion"/>
  </si>
  <si>
    <t>http://www.firsteccom.co.kr</t>
    <phoneticPr fontId="16" type="noConversion"/>
  </si>
  <si>
    <t>http://www.hitejinro.com</t>
    <phoneticPr fontId="16" type="noConversion"/>
  </si>
  <si>
    <t>소방청 협약에 따른 국민안전 캠페인, 소방유가족 후원 등,  해양수산부 협약•바다가꾸기 사업 ‘반려해변’ , 청년 자립 지원 사업 베이커리 카페 ‘두껍베이커리’ 광주점, 창원점 후원, 서울시 협약, 서울 5대 ‘쪽방촌 후원’ 사회복지기관 이동차량 기부•사회복지기관 후원 등</t>
    <phoneticPr fontId="16" type="noConversion"/>
  </si>
  <si>
    <t>&lt;모내기 봉사활동 1&gt;, &lt;지역행사 지원활동&gt;</t>
    <phoneticPr fontId="16" type="noConversion"/>
  </si>
  <si>
    <t>http://www.kcip.co.kr</t>
    <phoneticPr fontId="16" type="noConversion"/>
  </si>
  <si>
    <t>http://www.ekosco.com</t>
    <phoneticPr fontId="16" type="noConversion"/>
  </si>
  <si>
    <t>http://www.hanshinc.com</t>
    <phoneticPr fontId="16" type="noConversion"/>
  </si>
  <si>
    <t>http://www.kepid.co.kr</t>
    <phoneticPr fontId="16" type="noConversion"/>
  </si>
  <si>
    <t>http://www.hanjin.com</t>
    <phoneticPr fontId="16" type="noConversion"/>
  </si>
  <si>
    <t>지역특산물 공동마케팅, 내지갑속선물, 한진 원클릭 서비스, Swoop, 실종아동찾기 캠페인, 한진 Love Connect 캠페인, 운송기사 대상 무료 음료 냉장고, 농촌 일손 돕기, 국립현충원 봉사활동</t>
    <phoneticPr fontId="16" type="noConversion"/>
  </si>
  <si>
    <t>http://www.hancomlifecare.com</t>
    <phoneticPr fontId="16" type="noConversion"/>
  </si>
  <si>
    <t>http://www.hanwhalife.com</t>
    <phoneticPr fontId="16" type="noConversion"/>
  </si>
  <si>
    <t>드림플러스, 글로벌 인재 육성, 한화생명 경제교실, 맘스케어 캠페인, 청년 돌봄 프로그램, 만화예술 사회공헌, 글로벌 사회공헌, 한화생명 봉사단, 공익 캠페인</t>
    <phoneticPr fontId="16" type="noConversion"/>
  </si>
  <si>
    <t>http://www.hyundai-rotem.co.kr</t>
    <phoneticPr fontId="16" type="noConversion"/>
  </si>
  <si>
    <t>철길타고 찾아가는 소외이웃, 해외진출지역을 중심으로 실시하는 글로벌 사회공헌, 3사랑회 직장인 나눔 캠페인, 비타민 봉사회 희망의 집 고치기, 그린 비타민, 1사 1하천, 1사 1촌</t>
    <phoneticPr fontId="16" type="noConversion"/>
  </si>
  <si>
    <t>http://www.hsrna.com</t>
    <phoneticPr fontId="16" type="noConversion"/>
  </si>
  <si>
    <t>http://www.hwgeneralins.com/</t>
    <phoneticPr fontId="16" type="noConversion"/>
  </si>
  <si>
    <t xml:space="preserve">밝은세상 만들기 기금, 서울안전한마당, 어린이 생활안전교육 ‘안전365’, 위기탈출안전교육, 아이즈업(Eyes up)! 보행안전교육, 서울시 화재피해 위기가정 지원사업, 광역시 재난위기가정 지원사업, 자동차보상, 홀몸어르신을 위한 ‘마음잇는 봉사’, </t>
    <phoneticPr fontId="16" type="noConversion"/>
  </si>
  <si>
    <t>화승 꿈틀 프로젝트, 기부 및 봉사</t>
    <phoneticPr fontId="16" type="noConversion"/>
  </si>
  <si>
    <t>http://www.hyosungadvancedmaterials.com</t>
    <phoneticPr fontId="16" type="noConversion"/>
  </si>
  <si>
    <t>장생포 초등학교와 자매결연, 1사 1촌 자매결연, 해양 생태계 보호활동, 베트남법인은 불우이웃,독거노인,노동자, 맹인연합회 등 지역 인근마을 이웃에게 필요한 도움을 지속적으로 지원</t>
    <phoneticPr fontId="16" type="noConversion"/>
  </si>
  <si>
    <t>http://www.foosungchem.com</t>
    <phoneticPr fontId="16" type="noConversion"/>
  </si>
  <si>
    <t>없음</t>
    <phoneticPr fontId="16" type="noConversion"/>
  </si>
  <si>
    <r>
      <t xml:space="preserve">자본시장과 금융투자업에 관한 법률 위반
</t>
    </r>
    <r>
      <rPr>
        <sz val="11"/>
        <color rgb="FFFF0000"/>
        <rFont val="맑은 고딕"/>
        <family val="3"/>
        <charset val="129"/>
      </rPr>
      <t>(건수)</t>
    </r>
    <phoneticPr fontId="16" type="noConversion"/>
  </si>
  <si>
    <t>(보험업법 제127조의 3, 제196조(과징금) 제1항 제9호)</t>
    <phoneticPr fontId="16" type="noConversion"/>
  </si>
  <si>
    <t> 증권 인수업무 등에 관한 규정 위반(증권인수업무에 관한 규정 제9조 제8항)</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</si>
</sst>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1" formatCode="_-* #,##0_-;\-* #,##0_-;_-* &quot;-&quot;_-;_-@_-"/>
    <numFmt numFmtId="176" formatCode="0.00_);[Red]\(0.00\)"/>
    <numFmt numFmtId="177" formatCode="#,##0.00_);[Red]\(#,##0.00\)"/>
    <numFmt numFmtId="178" formatCode="#,##0.00_ ;[Red]\-#,##0.00\ "/>
    <numFmt numFmtId="179" formatCode="#,##0_ ;[Red]\-#,##0\ "/>
    <numFmt numFmtId="180" formatCode="#,##0;[Red]#,##0"/>
    <numFmt numFmtId="181" formatCode="#,##0.00;[Red]#,##0.00"/>
    <numFmt numFmtId="182" formatCode="#,##0_);\(#,##0\)"/>
    <numFmt numFmtId="183" formatCode="#,##0.00_);\(#,##0.00\)"/>
    <numFmt numFmtId="184" formatCode="#,##0_);[Red]\(#,##0\)"/>
    <numFmt numFmtId="185" formatCode="#,##0_ "/>
    <numFmt numFmtId="186" formatCode="#,##0.00_ "/>
    <numFmt numFmtId="187" formatCode="0_);[Red]\(0\)"/>
    <numFmt numFmtId="188" formatCode="#,##0.0_ ;[Red]\-#,##0.0\ "/>
    <numFmt numFmtId="189" formatCode="yyyy&quot;년&quot;\ m&quot;월&quot;\ d&quot;일&quot;;@"/>
  </numFmts>
  <fonts count="38" x14ac:knownFonts="1">
    <font>
      <sz val="11"/>
      <color rgb="FF000000"/>
      <name val="맑은 고딕"/>
    </font>
    <font>
      <sz val="11"/>
      <color rgb="FF000000"/>
      <name val="맑은 고딕"/>
      <family val="3"/>
      <charset val="129"/>
    </font>
    <font>
      <u/>
      <sz val="11"/>
      <color rgb="FF0563C1"/>
      <name val="맑은 고딕"/>
      <family val="3"/>
      <charset val="129"/>
    </font>
    <font>
      <sz val="11"/>
      <color rgb="FF006100"/>
      <name val="맑은 고딕"/>
      <family val="3"/>
      <charset val="129"/>
    </font>
    <font>
      <b/>
      <sz val="11"/>
      <color rgb="FF000000"/>
      <name val="맑은 고딕"/>
      <family val="3"/>
      <charset val="129"/>
    </font>
    <font>
      <sz val="11"/>
      <color rgb="FF0000FF"/>
      <name val="맑은 고딕"/>
      <family val="3"/>
      <charset val="129"/>
    </font>
    <font>
      <sz val="11"/>
      <color rgb="FFFF0000"/>
      <name val="맑은 고딕"/>
      <family val="3"/>
      <charset val="129"/>
    </font>
    <font>
      <sz val="11"/>
      <color rgb="FF0039F0"/>
      <name val="맑은 고딕"/>
      <family val="3"/>
      <charset val="129"/>
    </font>
    <font>
      <sz val="11"/>
      <color rgb="FF0070C0"/>
      <name val="맑은 고딕"/>
      <family val="3"/>
      <charset val="129"/>
    </font>
    <font>
      <b/>
      <sz val="10"/>
      <color rgb="FF000000"/>
      <name val="맑은 고딕"/>
      <family val="3"/>
      <charset val="129"/>
    </font>
    <font>
      <u/>
      <sz val="11"/>
      <color rgb="FF0039F0"/>
      <name val="맑은 고딕"/>
      <family val="3"/>
      <charset val="129"/>
    </font>
    <font>
      <sz val="10"/>
      <color rgb="FF0039F0"/>
      <name val="맑은 고딕"/>
      <family val="3"/>
      <charset val="129"/>
    </font>
    <font>
      <sz val="11"/>
      <color rgb="FF00B0F0"/>
      <name val="맑은 고딕"/>
      <family val="3"/>
      <charset val="129"/>
    </font>
    <font>
      <u/>
      <sz val="11"/>
      <color rgb="FF0000FF"/>
      <name val="맑은 고딕"/>
      <family val="3"/>
      <charset val="129"/>
    </font>
    <font>
      <sz val="11"/>
      <color rgb="FF000000"/>
      <name val="맑은 고딕"/>
      <family val="3"/>
      <charset val="129"/>
    </font>
    <font>
      <u/>
      <sz val="11"/>
      <color theme="11"/>
      <name val="맑은 고딕"/>
      <family val="3"/>
      <charset val="129"/>
    </font>
    <font>
      <sz val="8"/>
      <name val="돋움"/>
      <family val="3"/>
      <charset val="129"/>
    </font>
    <font>
      <b/>
      <sz val="11"/>
      <color theme="1"/>
      <name val="맑은 고딕"/>
      <family val="3"/>
      <charset val="129"/>
    </font>
    <font>
      <sz val="11"/>
      <color theme="1"/>
      <name val="맑은 고딕"/>
      <family val="3"/>
      <charset val="129"/>
    </font>
    <font>
      <u/>
      <sz val="11"/>
      <color rgb="FFFF0000"/>
      <name val="맑은 고딕"/>
      <family val="3"/>
      <charset val="129"/>
    </font>
    <font>
      <sz val="10"/>
      <color rgb="FFFF0000"/>
      <name val="맑은 고딕"/>
      <family val="3"/>
      <charset val="129"/>
    </font>
    <font>
      <sz val="10"/>
      <color rgb="FF0000FF"/>
      <name val="맑은 고딕"/>
      <family val="3"/>
      <charset val="129"/>
    </font>
    <font>
      <b/>
      <sz val="10"/>
      <color theme="1"/>
      <name val="맑은 고딕"/>
      <family val="3"/>
      <charset val="129"/>
    </font>
    <font>
      <u/>
      <sz val="10"/>
      <color rgb="FF0000FF"/>
      <name val="맑은 고딕"/>
      <family val="3"/>
      <charset val="129"/>
    </font>
    <font>
      <u/>
      <sz val="10"/>
      <color rgb="FFFF0000"/>
      <name val="맑은 고딕"/>
      <family val="3"/>
      <charset val="129"/>
    </font>
    <font>
      <u/>
      <sz val="10"/>
      <color rgb="FF0563C1"/>
      <name val="맑은 고딕"/>
      <family val="3"/>
      <charset val="129"/>
    </font>
    <font>
      <b/>
      <sz val="10"/>
      <color theme="0"/>
      <name val="맑은 고딕"/>
      <family val="3"/>
      <charset val="129"/>
    </font>
    <font>
      <b/>
      <sz val="11"/>
      <color theme="0"/>
      <name val="맑은 고딕"/>
      <family val="3"/>
      <charset val="129"/>
    </font>
    <font>
      <sz val="8"/>
      <name val="맑은 고딕"/>
      <family val="3"/>
      <charset val="129"/>
      <scheme val="minor"/>
    </font>
    <font>
      <sz val="11"/>
      <color rgb="FFFF0000"/>
      <name val="Arial"/>
      <family val="2"/>
    </font>
    <font>
      <sz val="11"/>
      <color rgb="FF000000"/>
      <name val="굴림"/>
      <family val="3"/>
      <charset val="129"/>
    </font>
    <font>
      <sz val="9"/>
      <color indexed="81"/>
      <name val="Tahoma"/>
      <family val="2"/>
    </font>
    <font>
      <b/>
      <sz val="9"/>
      <color indexed="81"/>
      <name val="Tahoma"/>
      <family val="2"/>
    </font>
    <font>
      <sz val="9"/>
      <color indexed="81"/>
      <name val="돋움"/>
      <family val="3"/>
      <charset val="129"/>
    </font>
    <font>
      <sz val="10"/>
      <color rgb="FF3D3D3D"/>
      <name val="돋움체"/>
      <family val="3"/>
      <charset val="129"/>
    </font>
    <font>
      <sz val="10"/>
      <color rgb="FF000000"/>
      <name val="맑은 고딕"/>
      <family val="3"/>
      <charset val="129"/>
    </font>
    <font>
      <sz val="9"/>
      <color rgb="FF000000"/>
      <name val="맑은 고딕"/>
      <family val="3"/>
      <charset val="129"/>
    </font>
    <font>
      <sz val="11"/>
      <color rgb="FF000000"/>
      <name val="Yu Gothic"/>
      <family val="2"/>
      <charset val="128"/>
    </font>
  </fonts>
  <fills count="21">
    <fill>
      <patternFill patternType="none"/>
    </fill>
    <fill>
      <patternFill patternType="gray125"/>
    </fill>
    <fill>
      <patternFill patternType="solid">
        <fgColor rgb="FFC6EFCE"/>
        <bgColor indexed="64"/>
      </patternFill>
    </fill>
    <fill>
      <patternFill patternType="solid">
        <fgColor rgb="FF66FF66"/>
        <bgColor indexed="64"/>
      </patternFill>
    </fill>
    <fill>
      <patternFill patternType="solid">
        <fgColor rgb="FFFF99FF"/>
        <bgColor indexed="64"/>
      </patternFill>
    </fill>
    <fill>
      <patternFill patternType="solid">
        <fgColor rgb="FFF2F2F2"/>
        <bgColor indexed="64"/>
      </patternFill>
    </fill>
    <fill>
      <patternFill patternType="solid">
        <fgColor rgb="FFE7E6E6"/>
        <bgColor indexed="64"/>
      </patternFill>
    </fill>
    <fill>
      <patternFill patternType="solid">
        <fgColor rgb="FFFFF2CC"/>
        <bgColor indexed="64"/>
      </patternFill>
    </fill>
    <fill>
      <patternFill patternType="solid">
        <fgColor rgb="FFFF0000"/>
        <bgColor indexed="64"/>
      </patternFill>
    </fill>
    <fill>
      <patternFill patternType="solid">
        <fgColor rgb="FF00B0F0"/>
        <bgColor indexed="64"/>
      </patternFill>
    </fill>
    <fill>
      <patternFill patternType="solid">
        <fgColor rgb="FF00B0F0"/>
        <bgColor rgb="FF000000"/>
      </patternFill>
    </fill>
    <fill>
      <patternFill patternType="solid">
        <fgColor rgb="FFFF0000"/>
        <bgColor rgb="FF000000"/>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7"/>
        <bgColor indexed="64"/>
      </patternFill>
    </fill>
    <fill>
      <patternFill patternType="solid">
        <fgColor rgb="FF00B050"/>
        <bgColor rgb="FF000000"/>
      </patternFill>
    </fill>
    <fill>
      <patternFill patternType="solid">
        <fgColor rgb="FFC00000"/>
        <bgColor indexed="64"/>
      </patternFill>
    </fill>
    <fill>
      <patternFill patternType="solid">
        <fgColor rgb="FF002060"/>
        <bgColor indexed="64"/>
      </patternFill>
    </fill>
    <fill>
      <patternFill patternType="solid">
        <fgColor theme="1"/>
        <bgColor indexed="64"/>
      </patternFill>
    </fill>
    <fill>
      <patternFill patternType="solid">
        <fgColor theme="0" tint="-0.3499862666707357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bottom/>
      <diagonal/>
    </border>
  </borders>
  <cellStyleXfs count="13">
    <xf numFmtId="0" fontId="0" fillId="0" borderId="0">
      <alignment vertical="center"/>
    </xf>
    <xf numFmtId="41" fontId="14" fillId="0" borderId="0">
      <alignment vertical="center"/>
    </xf>
    <xf numFmtId="0" fontId="15" fillId="0" borderId="0" applyNumberFormat="0" applyFill="0" applyBorder="0" applyAlignment="0" applyProtection="0">
      <alignment vertical="center"/>
    </xf>
    <xf numFmtId="0" fontId="2" fillId="0" borderId="0">
      <alignment vertical="center"/>
    </xf>
    <xf numFmtId="0" fontId="3" fillId="2" borderId="0">
      <alignment vertical="center"/>
    </xf>
    <xf numFmtId="9" fontId="14" fillId="0" borderId="0">
      <alignment vertical="center"/>
    </xf>
    <xf numFmtId="41" fontId="14" fillId="0" borderId="0">
      <alignment vertical="center"/>
    </xf>
    <xf numFmtId="0" fontId="14" fillId="0" borderId="0">
      <alignment vertical="center"/>
    </xf>
    <xf numFmtId="0" fontId="1" fillId="0" borderId="0">
      <alignment vertical="center"/>
    </xf>
    <xf numFmtId="41" fontId="1" fillId="0" borderId="0">
      <alignment vertical="center"/>
    </xf>
    <xf numFmtId="9" fontId="1" fillId="0" borderId="0">
      <alignment vertical="center"/>
    </xf>
    <xf numFmtId="41" fontId="1" fillId="0" borderId="0">
      <alignment vertical="center"/>
    </xf>
    <xf numFmtId="0" fontId="1" fillId="0" borderId="0">
      <alignment vertical="center"/>
    </xf>
  </cellStyleXfs>
  <cellXfs count="456">
    <xf numFmtId="0" fontId="0" fillId="0" borderId="0" xfId="0">
      <alignment vertical="center"/>
    </xf>
    <xf numFmtId="0" fontId="2" fillId="0" borderId="0" xfId="3">
      <alignment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4" borderId="0" xfId="0" applyFont="1" applyFill="1" applyAlignment="1">
      <alignment horizontal="center" vertical="center" wrapText="1"/>
    </xf>
    <xf numFmtId="49" fontId="0" fillId="0" borderId="2" xfId="0" applyNumberFormat="1" applyBorder="1" applyAlignment="1">
      <alignment horizontal="center" vertical="center"/>
    </xf>
    <xf numFmtId="0" fontId="4" fillId="3" borderId="3" xfId="0" applyFont="1" applyFill="1" applyBorder="1" applyAlignment="1">
      <alignment horizontal="center" vertical="center"/>
    </xf>
    <xf numFmtId="0" fontId="0" fillId="0" borderId="3" xfId="0" applyBorder="1">
      <alignment vertical="center"/>
    </xf>
    <xf numFmtId="3" fontId="0" fillId="0" borderId="3" xfId="0" applyNumberFormat="1" applyBorder="1" applyAlignment="1">
      <alignment vertical="center" wrapText="1"/>
    </xf>
    <xf numFmtId="0" fontId="4" fillId="3" borderId="4" xfId="0" applyFont="1" applyFill="1" applyBorder="1" applyAlignment="1">
      <alignment horizontal="center" vertical="center" wrapText="1"/>
    </xf>
    <xf numFmtId="0" fontId="0" fillId="6" borderId="0" xfId="0" applyFill="1">
      <alignment vertical="center"/>
    </xf>
    <xf numFmtId="0" fontId="4" fillId="4" borderId="3" xfId="0" applyFont="1" applyFill="1" applyBorder="1" applyAlignment="1">
      <alignment horizontal="center" vertical="center" wrapText="1"/>
    </xf>
    <xf numFmtId="0" fontId="2" fillId="0" borderId="3" xfId="3" applyBorder="1">
      <alignment vertical="center"/>
    </xf>
    <xf numFmtId="49" fontId="0" fillId="0" borderId="3" xfId="0" applyNumberFormat="1" applyBorder="1" applyAlignment="1">
      <alignment horizontal="center" vertical="center"/>
    </xf>
    <xf numFmtId="41" fontId="0" fillId="0" borderId="3" xfId="1" applyFont="1" applyBorder="1" applyProtection="1">
      <alignment vertical="center"/>
      <protection locked="0"/>
    </xf>
    <xf numFmtId="41" fontId="0" fillId="0" borderId="0" xfId="1" applyFont="1">
      <alignment vertical="center"/>
    </xf>
    <xf numFmtId="0" fontId="0" fillId="0" borderId="0" xfId="0" applyAlignment="1">
      <alignment horizontal="center" vertical="center"/>
    </xf>
    <xf numFmtId="0" fontId="4" fillId="0" borderId="0" xfId="0" applyFont="1">
      <alignment vertical="center"/>
    </xf>
    <xf numFmtId="176" fontId="4" fillId="9" borderId="3" xfId="4" applyNumberFormat="1" applyFont="1" applyFill="1" applyBorder="1" applyAlignment="1" applyProtection="1">
      <alignment horizontal="center" vertical="center" wrapText="1"/>
      <protection locked="0"/>
    </xf>
    <xf numFmtId="0" fontId="1" fillId="0" borderId="3" xfId="0" applyFont="1" applyBorder="1">
      <alignment vertical="center"/>
    </xf>
    <xf numFmtId="49" fontId="5" fillId="7" borderId="3" xfId="4" applyNumberFormat="1" applyFont="1" applyFill="1" applyBorder="1" applyAlignment="1" applyProtection="1">
      <alignment horizontal="center" vertical="center" wrapText="1"/>
      <protection locked="0"/>
    </xf>
    <xf numFmtId="180" fontId="5" fillId="7" borderId="3" xfId="1" applyNumberFormat="1" applyFont="1" applyFill="1" applyBorder="1" applyAlignment="1" applyProtection="1">
      <alignment horizontal="center" vertical="center" wrapText="1"/>
      <protection locked="0"/>
    </xf>
    <xf numFmtId="180" fontId="4" fillId="14" borderId="3" xfId="4" applyNumberFormat="1" applyFont="1" applyFill="1" applyBorder="1" applyAlignment="1">
      <alignment horizontal="center" vertical="center" wrapText="1"/>
    </xf>
    <xf numFmtId="181" fontId="4" fillId="14" borderId="3" xfId="4" applyNumberFormat="1" applyFont="1" applyFill="1" applyBorder="1" applyAlignment="1">
      <alignment horizontal="center" vertical="center" wrapText="1"/>
    </xf>
    <xf numFmtId="181" fontId="4" fillId="9" borderId="3" xfId="4" applyNumberFormat="1" applyFont="1" applyFill="1" applyBorder="1" applyAlignment="1" applyProtection="1">
      <alignment horizontal="center" vertical="center" wrapText="1"/>
      <protection locked="0"/>
    </xf>
    <xf numFmtId="181" fontId="4" fillId="9" borderId="3" xfId="7" applyNumberFormat="1" applyFont="1" applyFill="1" applyBorder="1" applyProtection="1">
      <alignment vertical="center"/>
      <protection locked="0"/>
    </xf>
    <xf numFmtId="178" fontId="4" fillId="9" borderId="3" xfId="4" applyNumberFormat="1" applyFont="1" applyFill="1" applyBorder="1" applyAlignment="1" applyProtection="1">
      <alignment horizontal="center" vertical="center" wrapText="1"/>
      <protection locked="0"/>
    </xf>
    <xf numFmtId="178" fontId="17" fillId="14" borderId="3" xfId="4" applyNumberFormat="1" applyFont="1" applyFill="1" applyBorder="1" applyAlignment="1">
      <alignment horizontal="center" vertical="center" wrapText="1"/>
    </xf>
    <xf numFmtId="178" fontId="4" fillId="14" borderId="3" xfId="4" applyNumberFormat="1" applyFont="1" applyFill="1" applyBorder="1" applyAlignment="1">
      <alignment horizontal="center" vertical="center" wrapText="1"/>
    </xf>
    <xf numFmtId="178" fontId="4" fillId="9" borderId="3" xfId="7" applyNumberFormat="1" applyFont="1" applyFill="1" applyBorder="1" applyProtection="1">
      <alignment vertical="center"/>
      <protection locked="0"/>
    </xf>
    <xf numFmtId="182" fontId="5" fillId="7" borderId="3" xfId="4" applyNumberFormat="1" applyFont="1" applyFill="1" applyBorder="1" applyAlignment="1" applyProtection="1">
      <alignment horizontal="center" vertical="center" wrapText="1"/>
      <protection locked="0"/>
    </xf>
    <xf numFmtId="182" fontId="0" fillId="0" borderId="3" xfId="0" applyNumberFormat="1" applyBorder="1" applyProtection="1">
      <alignment vertical="center"/>
      <protection locked="0"/>
    </xf>
    <xf numFmtId="182" fontId="17" fillId="14" borderId="3" xfId="4" applyNumberFormat="1" applyFont="1" applyFill="1" applyBorder="1" applyAlignment="1" applyProtection="1">
      <alignment horizontal="center" vertical="center" wrapText="1"/>
      <protection locked="0"/>
    </xf>
    <xf numFmtId="183" fontId="17" fillId="14" borderId="3" xfId="4" applyNumberFormat="1" applyFont="1" applyFill="1" applyBorder="1" applyAlignment="1">
      <alignment horizontal="center" vertical="center" wrapText="1"/>
    </xf>
    <xf numFmtId="183" fontId="0" fillId="0" borderId="3" xfId="0" applyNumberFormat="1" applyBorder="1">
      <alignment vertical="center"/>
    </xf>
    <xf numFmtId="182" fontId="4" fillId="14" borderId="3" xfId="4" applyNumberFormat="1" applyFont="1" applyFill="1" applyBorder="1" applyAlignment="1">
      <alignment horizontal="center" vertical="center" wrapText="1"/>
    </xf>
    <xf numFmtId="183" fontId="4" fillId="9" borderId="3" xfId="4" applyNumberFormat="1" applyFont="1" applyFill="1" applyBorder="1" applyAlignment="1" applyProtection="1">
      <alignment horizontal="center" vertical="center" wrapText="1"/>
      <protection locked="0"/>
    </xf>
    <xf numFmtId="183" fontId="4" fillId="9" borderId="3" xfId="7" applyNumberFormat="1" applyFont="1" applyFill="1" applyBorder="1" applyProtection="1">
      <alignment vertical="center"/>
      <protection locked="0"/>
    </xf>
    <xf numFmtId="179" fontId="5" fillId="7" borderId="3" xfId="4" applyNumberFormat="1" applyFont="1" applyFill="1" applyBorder="1" applyAlignment="1" applyProtection="1">
      <alignment horizontal="center" vertical="center" wrapText="1"/>
      <protection locked="0"/>
    </xf>
    <xf numFmtId="179" fontId="17" fillId="14" borderId="3" xfId="4" applyNumberFormat="1" applyFont="1" applyFill="1" applyBorder="1" applyAlignment="1">
      <alignment horizontal="center" vertical="center" wrapText="1"/>
    </xf>
    <xf numFmtId="179" fontId="4" fillId="14" borderId="3" xfId="4" applyNumberFormat="1" applyFont="1" applyFill="1" applyBorder="1" applyAlignment="1">
      <alignment horizontal="center" vertical="center" wrapText="1"/>
    </xf>
    <xf numFmtId="179" fontId="4" fillId="14" borderId="3" xfId="4" applyNumberFormat="1" applyFont="1" applyFill="1" applyBorder="1" applyAlignment="1" applyProtection="1">
      <alignment horizontal="center" vertical="center" wrapText="1"/>
      <protection locked="0"/>
    </xf>
    <xf numFmtId="178" fontId="4" fillId="0" borderId="3" xfId="0" applyNumberFormat="1" applyFont="1" applyBorder="1">
      <alignment vertical="center"/>
    </xf>
    <xf numFmtId="179" fontId="17" fillId="14" borderId="3" xfId="4" applyNumberFormat="1" applyFont="1" applyFill="1" applyBorder="1" applyAlignment="1" applyProtection="1">
      <alignment horizontal="center" vertical="center" wrapText="1"/>
      <protection locked="0"/>
    </xf>
    <xf numFmtId="179" fontId="0" fillId="0" borderId="3" xfId="1" applyNumberFormat="1" applyFont="1" applyBorder="1" applyProtection="1">
      <alignment vertical="center"/>
      <protection locked="0"/>
    </xf>
    <xf numFmtId="178" fontId="4" fillId="14" borderId="3" xfId="4" applyNumberFormat="1" applyFont="1" applyFill="1" applyBorder="1" applyAlignment="1" applyProtection="1">
      <alignment horizontal="center" vertical="center" wrapText="1"/>
      <protection locked="0"/>
    </xf>
    <xf numFmtId="178" fontId="17" fillId="9" borderId="3" xfId="7" applyNumberFormat="1" applyFont="1" applyFill="1" applyBorder="1" applyProtection="1">
      <alignment vertical="center"/>
      <protection locked="0"/>
    </xf>
    <xf numFmtId="179" fontId="12" fillId="7" borderId="3" xfId="4" applyNumberFormat="1" applyFont="1" applyFill="1" applyBorder="1" applyAlignment="1" applyProtection="1">
      <alignment horizontal="center" vertical="center" wrapText="1"/>
      <protection locked="0"/>
    </xf>
    <xf numFmtId="179" fontId="4" fillId="9" borderId="3" xfId="4" applyNumberFormat="1" applyFont="1" applyFill="1" applyBorder="1" applyAlignment="1">
      <alignment horizontal="center" vertical="center" wrapText="1"/>
    </xf>
    <xf numFmtId="178" fontId="17" fillId="14" borderId="3" xfId="5" applyNumberFormat="1" applyFont="1" applyFill="1" applyBorder="1" applyAlignment="1">
      <alignment horizontal="center" vertical="center" wrapText="1"/>
    </xf>
    <xf numFmtId="179" fontId="18" fillId="0" borderId="3" xfId="7" applyNumberFormat="1" applyFont="1" applyBorder="1" applyProtection="1">
      <alignment vertical="center"/>
      <protection locked="0"/>
    </xf>
    <xf numFmtId="179" fontId="18" fillId="0" borderId="3" xfId="0" applyNumberFormat="1" applyFont="1" applyBorder="1">
      <alignment vertical="center"/>
    </xf>
    <xf numFmtId="179" fontId="17" fillId="14" borderId="3" xfId="1" applyNumberFormat="1" applyFont="1" applyFill="1" applyBorder="1" applyAlignment="1">
      <alignment horizontal="center" vertical="center" wrapText="1"/>
    </xf>
    <xf numFmtId="179" fontId="1" fillId="0" borderId="3" xfId="0" applyNumberFormat="1" applyFont="1" applyBorder="1">
      <alignment vertical="center"/>
    </xf>
    <xf numFmtId="178" fontId="4" fillId="9" borderId="3" xfId="7" applyNumberFormat="1" applyFont="1" applyFill="1" applyBorder="1">
      <alignment vertical="center"/>
    </xf>
    <xf numFmtId="177" fontId="4" fillId="14" borderId="3" xfId="4" applyNumberFormat="1" applyFont="1" applyFill="1" applyBorder="1" applyAlignment="1">
      <alignment horizontal="center" vertical="center" wrapText="1"/>
    </xf>
    <xf numFmtId="176" fontId="4" fillId="14" borderId="3" xfId="4" applyNumberFormat="1" applyFont="1" applyFill="1" applyBorder="1" applyAlignment="1">
      <alignment horizontal="center" vertical="center" wrapText="1"/>
    </xf>
    <xf numFmtId="176" fontId="4" fillId="9" borderId="3" xfId="7" applyNumberFormat="1" applyFont="1" applyFill="1" applyBorder="1" applyProtection="1">
      <alignment vertical="center"/>
      <protection locked="0"/>
    </xf>
    <xf numFmtId="178" fontId="5" fillId="7" borderId="3" xfId="4" applyNumberFormat="1" applyFont="1" applyFill="1" applyBorder="1" applyAlignment="1" applyProtection="1">
      <alignment horizontal="center" vertical="center" wrapText="1"/>
      <protection locked="0"/>
    </xf>
    <xf numFmtId="181" fontId="4" fillId="15" borderId="3" xfId="7" applyNumberFormat="1" applyFont="1" applyFill="1" applyBorder="1" applyProtection="1">
      <alignment vertical="center"/>
      <protection locked="0"/>
    </xf>
    <xf numFmtId="178" fontId="4" fillId="15" borderId="3" xfId="7" applyNumberFormat="1" applyFont="1" applyFill="1" applyBorder="1" applyProtection="1">
      <alignment vertical="center"/>
      <protection locked="0"/>
    </xf>
    <xf numFmtId="183" fontId="4" fillId="15" borderId="3" xfId="7" applyNumberFormat="1" applyFont="1" applyFill="1" applyBorder="1" applyProtection="1">
      <alignment vertical="center"/>
      <protection locked="0"/>
    </xf>
    <xf numFmtId="178" fontId="17" fillId="15" borderId="3" xfId="0" applyNumberFormat="1" applyFont="1" applyFill="1" applyBorder="1">
      <alignment vertical="center"/>
    </xf>
    <xf numFmtId="0" fontId="17" fillId="14" borderId="3" xfId="4" applyFont="1" applyFill="1" applyBorder="1" applyAlignment="1" applyProtection="1">
      <alignment horizontal="center" vertical="center" wrapText="1"/>
      <protection locked="0"/>
    </xf>
    <xf numFmtId="176" fontId="4" fillId="13" borderId="3" xfId="7" applyNumberFormat="1" applyFont="1" applyFill="1" applyBorder="1" applyProtection="1">
      <alignment vertical="center"/>
      <protection locked="0"/>
    </xf>
    <xf numFmtId="182" fontId="0" fillId="0" borderId="0" xfId="0" applyNumberFormat="1">
      <alignment vertical="center"/>
    </xf>
    <xf numFmtId="183" fontId="0" fillId="0" borderId="0" xfId="0" applyNumberFormat="1">
      <alignment vertical="center"/>
    </xf>
    <xf numFmtId="182" fontId="0" fillId="0" borderId="0" xfId="0" applyNumberFormat="1" applyAlignment="1">
      <alignment horizontal="center" vertical="center"/>
    </xf>
    <xf numFmtId="184" fontId="0" fillId="0" borderId="0" xfId="0" applyNumberFormat="1">
      <alignment vertical="center"/>
    </xf>
    <xf numFmtId="178" fontId="4" fillId="13" borderId="3" xfId="7" applyNumberFormat="1" applyFont="1" applyFill="1" applyBorder="1" applyProtection="1">
      <alignment vertical="center"/>
      <protection locked="0"/>
    </xf>
    <xf numFmtId="178" fontId="17" fillId="8" borderId="3" xfId="4" applyNumberFormat="1" applyFont="1" applyFill="1" applyBorder="1" applyAlignment="1">
      <alignment horizontal="center" vertical="center" wrapText="1"/>
    </xf>
    <xf numFmtId="178" fontId="17" fillId="8" borderId="3" xfId="7" applyNumberFormat="1" applyFont="1" applyFill="1" applyBorder="1">
      <alignment vertical="center"/>
    </xf>
    <xf numFmtId="0" fontId="4" fillId="14" borderId="3" xfId="0" applyFont="1" applyFill="1" applyBorder="1" applyAlignment="1">
      <alignment horizontal="center" vertical="center" wrapText="1"/>
    </xf>
    <xf numFmtId="182" fontId="4" fillId="14" borderId="3" xfId="0" applyNumberFormat="1" applyFont="1" applyFill="1" applyBorder="1" applyAlignment="1">
      <alignment horizontal="center" vertical="center" wrapText="1"/>
    </xf>
    <xf numFmtId="182" fontId="0" fillId="0" borderId="0" xfId="0" applyNumberFormat="1" applyAlignment="1">
      <alignment horizontal="right" vertical="center"/>
    </xf>
    <xf numFmtId="183" fontId="0" fillId="0" borderId="0" xfId="0" applyNumberFormat="1" applyAlignment="1">
      <alignment horizontal="right" vertical="center"/>
    </xf>
    <xf numFmtId="183" fontId="4" fillId="9" borderId="6" xfId="0" applyNumberFormat="1" applyFont="1" applyFill="1" applyBorder="1" applyAlignment="1">
      <alignment horizontal="right" vertical="center"/>
    </xf>
    <xf numFmtId="182" fontId="4" fillId="9" borderId="3" xfId="0" applyNumberFormat="1" applyFont="1" applyFill="1" applyBorder="1" applyAlignment="1" applyProtection="1">
      <alignment horizontal="center" vertical="center" wrapText="1"/>
      <protection locked="0"/>
    </xf>
    <xf numFmtId="49" fontId="0" fillId="13" borderId="3" xfId="0" applyNumberFormat="1" applyFill="1" applyBorder="1" applyAlignment="1">
      <alignment horizontal="center" vertical="center"/>
    </xf>
    <xf numFmtId="183" fontId="4" fillId="9" borderId="3" xfId="0" applyNumberFormat="1" applyFont="1" applyFill="1" applyBorder="1" applyAlignment="1" applyProtection="1">
      <alignment horizontal="center" vertical="center" wrapText="1"/>
      <protection locked="0"/>
    </xf>
    <xf numFmtId="183" fontId="4" fillId="13" borderId="3" xfId="0" applyNumberFormat="1" applyFont="1" applyFill="1" applyBorder="1" applyProtection="1">
      <alignment vertical="center"/>
      <protection locked="0"/>
    </xf>
    <xf numFmtId="183" fontId="4" fillId="9" borderId="6" xfId="0" applyNumberFormat="1" applyFont="1" applyFill="1" applyBorder="1" applyProtection="1">
      <alignment vertical="center"/>
      <protection locked="0"/>
    </xf>
    <xf numFmtId="183" fontId="4" fillId="15" borderId="3" xfId="0" applyNumberFormat="1" applyFont="1" applyFill="1" applyBorder="1">
      <alignment vertical="center"/>
    </xf>
    <xf numFmtId="0" fontId="4" fillId="14" borderId="4" xfId="0" applyFont="1" applyFill="1" applyBorder="1" applyAlignment="1">
      <alignment horizontal="center" vertical="center" wrapText="1"/>
    </xf>
    <xf numFmtId="185" fontId="4" fillId="9" borderId="3" xfId="0" applyNumberFormat="1" applyFont="1" applyFill="1" applyBorder="1" applyAlignment="1" applyProtection="1">
      <alignment horizontal="center" vertical="center" wrapText="1"/>
      <protection locked="0"/>
    </xf>
    <xf numFmtId="185" fontId="0" fillId="0" borderId="0" xfId="0" applyNumberFormat="1">
      <alignment vertical="center"/>
    </xf>
    <xf numFmtId="186" fontId="4" fillId="13" borderId="3" xfId="0" applyNumberFormat="1" applyFont="1" applyFill="1" applyBorder="1">
      <alignment vertical="center"/>
    </xf>
    <xf numFmtId="185" fontId="4" fillId="14" borderId="3" xfId="0" applyNumberFormat="1" applyFont="1" applyFill="1" applyBorder="1" applyAlignment="1">
      <alignment horizontal="center" vertical="center" wrapText="1"/>
    </xf>
    <xf numFmtId="182" fontId="4" fillId="9" borderId="3" xfId="0" applyNumberFormat="1" applyFont="1" applyFill="1" applyBorder="1" applyAlignment="1">
      <alignment horizontal="center" vertical="center" wrapText="1"/>
    </xf>
    <xf numFmtId="183" fontId="4" fillId="9" borderId="3" xfId="0" applyNumberFormat="1" applyFont="1" applyFill="1" applyBorder="1">
      <alignment vertical="center"/>
    </xf>
    <xf numFmtId="183" fontId="4" fillId="9" borderId="3" xfId="0" applyNumberFormat="1" applyFont="1" applyFill="1" applyBorder="1" applyProtection="1">
      <alignment vertical="center"/>
      <protection locked="0"/>
    </xf>
    <xf numFmtId="182" fontId="4" fillId="14" borderId="3" xfId="0" applyNumberFormat="1" applyFont="1" applyFill="1" applyBorder="1" applyAlignment="1" applyProtection="1">
      <alignment horizontal="center" vertical="center" wrapText="1"/>
      <protection locked="0"/>
    </xf>
    <xf numFmtId="182" fontId="17" fillId="9" borderId="3" xfId="0" applyNumberFormat="1" applyFont="1" applyFill="1" applyBorder="1" applyAlignment="1">
      <alignment horizontal="center" vertical="center" wrapText="1"/>
    </xf>
    <xf numFmtId="183" fontId="17" fillId="9" borderId="3" xfId="0" applyNumberFormat="1" applyFont="1" applyFill="1" applyBorder="1" applyAlignment="1">
      <alignment horizontal="right" vertical="center"/>
    </xf>
    <xf numFmtId="182" fontId="17" fillId="0" borderId="0" xfId="0" applyNumberFormat="1" applyFont="1" applyAlignment="1">
      <alignment horizontal="right" vertical="center"/>
    </xf>
    <xf numFmtId="0" fontId="17" fillId="9" borderId="3" xfId="0" applyFont="1" applyFill="1" applyBorder="1" applyAlignment="1">
      <alignment horizontal="center" vertical="center" wrapText="1"/>
    </xf>
    <xf numFmtId="0" fontId="18" fillId="0" borderId="0" xfId="0" applyFont="1">
      <alignment vertical="center"/>
    </xf>
    <xf numFmtId="0" fontId="17" fillId="0" borderId="0" xfId="0" applyFont="1">
      <alignment vertical="center"/>
    </xf>
    <xf numFmtId="2" fontId="17" fillId="9" borderId="3" xfId="0" applyNumberFormat="1" applyFont="1" applyFill="1" applyBorder="1" applyAlignment="1">
      <alignment horizontal="right" vertical="center"/>
    </xf>
    <xf numFmtId="0" fontId="17" fillId="8" borderId="3" xfId="0" applyFont="1" applyFill="1" applyBorder="1" applyAlignment="1" applyProtection="1">
      <alignment horizontal="center" vertical="center" wrapText="1"/>
      <protection locked="0"/>
    </xf>
    <xf numFmtId="183" fontId="17" fillId="8" borderId="3" xfId="0" applyNumberFormat="1" applyFont="1" applyFill="1" applyBorder="1" applyAlignment="1" applyProtection="1">
      <alignment horizontal="right" vertical="center"/>
      <protection locked="0"/>
    </xf>
    <xf numFmtId="182" fontId="7" fillId="7" borderId="3" xfId="7" applyNumberFormat="1" applyFont="1" applyFill="1" applyBorder="1" applyAlignment="1">
      <alignment horizontal="center" vertical="center" wrapText="1"/>
    </xf>
    <xf numFmtId="182" fontId="4" fillId="14" borderId="3" xfId="7" applyNumberFormat="1" applyFont="1" applyFill="1" applyBorder="1" applyAlignment="1" applyProtection="1">
      <alignment horizontal="center" vertical="center" wrapText="1"/>
      <protection locked="0"/>
    </xf>
    <xf numFmtId="182" fontId="4" fillId="9" borderId="3" xfId="7" applyNumberFormat="1" applyFont="1" applyFill="1" applyBorder="1" applyAlignment="1">
      <alignment horizontal="center" vertical="center" wrapText="1"/>
    </xf>
    <xf numFmtId="182" fontId="14" fillId="0" borderId="3" xfId="7" applyNumberFormat="1" applyBorder="1">
      <alignment vertical="center"/>
    </xf>
    <xf numFmtId="182" fontId="14" fillId="0" borderId="3" xfId="7" applyNumberFormat="1" applyBorder="1" applyProtection="1">
      <alignment vertical="center"/>
      <protection locked="0"/>
    </xf>
    <xf numFmtId="183" fontId="4" fillId="9" borderId="3" xfId="7" applyNumberFormat="1" applyFont="1" applyFill="1" applyBorder="1">
      <alignment vertical="center"/>
    </xf>
    <xf numFmtId="179" fontId="5" fillId="7" borderId="3" xfId="1" applyNumberFormat="1" applyFont="1" applyFill="1" applyBorder="1" applyAlignment="1" applyProtection="1">
      <alignment horizontal="center" vertical="center" wrapText="1"/>
      <protection locked="0"/>
    </xf>
    <xf numFmtId="179" fontId="17" fillId="14" borderId="3" xfId="7" applyNumberFormat="1" applyFont="1" applyFill="1" applyBorder="1" applyAlignment="1" applyProtection="1">
      <alignment horizontal="center" vertical="center" wrapText="1"/>
      <protection locked="0"/>
    </xf>
    <xf numFmtId="179" fontId="4" fillId="14" borderId="3" xfId="7" applyNumberFormat="1" applyFont="1" applyFill="1" applyBorder="1" applyAlignment="1" applyProtection="1">
      <alignment horizontal="center" vertical="center" wrapText="1"/>
      <protection locked="0"/>
    </xf>
    <xf numFmtId="179" fontId="17" fillId="14" borderId="3" xfId="7" applyNumberFormat="1" applyFont="1" applyFill="1" applyBorder="1" applyAlignment="1">
      <alignment horizontal="center" vertical="center" wrapText="1"/>
    </xf>
    <xf numFmtId="179" fontId="0" fillId="0" borderId="0" xfId="1" applyNumberFormat="1" applyFont="1">
      <alignment vertical="center"/>
    </xf>
    <xf numFmtId="179" fontId="0" fillId="0" borderId="0" xfId="0" applyNumberFormat="1">
      <alignment vertical="center"/>
    </xf>
    <xf numFmtId="179" fontId="18" fillId="0" borderId="0" xfId="0" applyNumberFormat="1" applyFont="1">
      <alignment vertical="center"/>
    </xf>
    <xf numFmtId="179" fontId="17" fillId="9" borderId="3" xfId="7" applyNumberFormat="1" applyFont="1" applyFill="1" applyBorder="1" applyAlignment="1">
      <alignment horizontal="center" vertical="center" wrapText="1"/>
    </xf>
    <xf numFmtId="178" fontId="17" fillId="9" borderId="3" xfId="7" applyNumberFormat="1" applyFont="1" applyFill="1" applyBorder="1">
      <alignment vertical="center"/>
    </xf>
    <xf numFmtId="179" fontId="4" fillId="14" borderId="3" xfId="7" applyNumberFormat="1" applyFont="1" applyFill="1" applyBorder="1" applyAlignment="1">
      <alignment horizontal="center" vertical="center" wrapText="1"/>
    </xf>
    <xf numFmtId="179" fontId="4" fillId="9" borderId="3" xfId="7" applyNumberFormat="1" applyFont="1" applyFill="1" applyBorder="1" applyAlignment="1">
      <alignment horizontal="center" vertical="center" wrapText="1"/>
    </xf>
    <xf numFmtId="179" fontId="0" fillId="0" borderId="0" xfId="1" applyNumberFormat="1" applyFont="1" applyAlignment="1">
      <alignment horizontal="right" vertical="center"/>
    </xf>
    <xf numFmtId="179" fontId="0" fillId="0" borderId="0" xfId="0" applyNumberFormat="1" applyAlignment="1">
      <alignment horizontal="right" vertical="center"/>
    </xf>
    <xf numFmtId="178" fontId="4" fillId="14" borderId="3" xfId="7" applyNumberFormat="1" applyFont="1" applyFill="1" applyBorder="1" applyAlignment="1">
      <alignment horizontal="center" vertical="center" wrapText="1"/>
    </xf>
    <xf numFmtId="178" fontId="0" fillId="0" borderId="0" xfId="0" applyNumberFormat="1" applyAlignment="1">
      <alignment horizontal="right" vertical="center"/>
    </xf>
    <xf numFmtId="179" fontId="18" fillId="0" borderId="3" xfId="1" applyNumberFormat="1" applyFont="1" applyBorder="1" applyAlignment="1" applyProtection="1">
      <alignment horizontal="right" vertical="center"/>
      <protection locked="0"/>
    </xf>
    <xf numFmtId="178" fontId="17" fillId="9" borderId="3" xfId="7" applyNumberFormat="1" applyFont="1" applyFill="1" applyBorder="1" applyAlignment="1">
      <alignment horizontal="right" vertical="center"/>
    </xf>
    <xf numFmtId="182" fontId="4" fillId="14" borderId="3" xfId="7" applyNumberFormat="1" applyFont="1" applyFill="1" applyBorder="1" applyAlignment="1">
      <alignment horizontal="center" vertical="center" wrapText="1"/>
    </xf>
    <xf numFmtId="182" fontId="17" fillId="14" borderId="3" xfId="7" applyNumberFormat="1" applyFont="1" applyFill="1" applyBorder="1" applyAlignment="1" applyProtection="1">
      <alignment horizontal="center" vertical="center" wrapText="1"/>
      <protection locked="0"/>
    </xf>
    <xf numFmtId="182" fontId="17" fillId="14" borderId="3" xfId="7" applyNumberFormat="1" applyFont="1" applyFill="1" applyBorder="1" applyAlignment="1">
      <alignment horizontal="center" vertical="center" wrapText="1"/>
    </xf>
    <xf numFmtId="182" fontId="18" fillId="0" borderId="0" xfId="0" applyNumberFormat="1" applyFont="1">
      <alignment vertical="center"/>
    </xf>
    <xf numFmtId="182" fontId="17" fillId="9" borderId="3" xfId="7" applyNumberFormat="1" applyFont="1" applyFill="1" applyBorder="1" applyAlignment="1">
      <alignment horizontal="center" vertical="center" wrapText="1"/>
    </xf>
    <xf numFmtId="183" fontId="17" fillId="9" borderId="3" xfId="7" applyNumberFormat="1" applyFont="1" applyFill="1" applyBorder="1">
      <alignment vertical="center"/>
    </xf>
    <xf numFmtId="182" fontId="8" fillId="7" borderId="3" xfId="7" applyNumberFormat="1" applyFont="1" applyFill="1" applyBorder="1" applyAlignment="1" applyProtection="1">
      <alignment horizontal="center" vertical="center" wrapText="1"/>
      <protection locked="0"/>
    </xf>
    <xf numFmtId="183" fontId="17" fillId="14" borderId="3" xfId="7" applyNumberFormat="1" applyFont="1" applyFill="1" applyBorder="1" applyAlignment="1">
      <alignment horizontal="center" vertical="center" wrapText="1"/>
    </xf>
    <xf numFmtId="182" fontId="7" fillId="7" borderId="3" xfId="7" applyNumberFormat="1" applyFont="1" applyFill="1" applyBorder="1" applyAlignment="1" applyProtection="1">
      <alignment horizontal="center" vertical="center" wrapText="1"/>
      <protection locked="0"/>
    </xf>
    <xf numFmtId="182" fontId="0" fillId="0" borderId="3" xfId="7" applyNumberFormat="1" applyFont="1" applyBorder="1" applyProtection="1">
      <alignment vertical="center"/>
      <protection locked="0"/>
    </xf>
    <xf numFmtId="179" fontId="4" fillId="8" borderId="3" xfId="7" applyNumberFormat="1" applyFont="1" applyFill="1" applyBorder="1" applyAlignment="1">
      <alignment horizontal="center" vertical="center" wrapText="1"/>
    </xf>
    <xf numFmtId="178" fontId="0" fillId="0" borderId="0" xfId="0" applyNumberFormat="1">
      <alignment vertical="center"/>
    </xf>
    <xf numFmtId="178" fontId="4" fillId="8" borderId="3" xfId="7" applyNumberFormat="1" applyFont="1" applyFill="1" applyBorder="1">
      <alignment vertical="center"/>
    </xf>
    <xf numFmtId="182" fontId="10" fillId="7" borderId="3" xfId="3" applyNumberFormat="1" applyFont="1" applyFill="1" applyBorder="1" applyAlignment="1" applyProtection="1">
      <alignment horizontal="center" vertical="center" wrapText="1"/>
      <protection locked="0"/>
    </xf>
    <xf numFmtId="182" fontId="2" fillId="7" borderId="3" xfId="3" applyNumberFormat="1" applyFill="1" applyBorder="1" applyAlignment="1" applyProtection="1">
      <alignment horizontal="center" vertical="center" wrapText="1"/>
      <protection locked="0"/>
    </xf>
    <xf numFmtId="182" fontId="13" fillId="7" borderId="3" xfId="3" applyNumberFormat="1" applyFont="1" applyFill="1" applyBorder="1" applyAlignment="1" applyProtection="1">
      <alignment horizontal="center" vertical="center" wrapText="1"/>
      <protection locked="0"/>
    </xf>
    <xf numFmtId="2" fontId="4" fillId="13" borderId="3" xfId="0" applyNumberFormat="1" applyFont="1" applyFill="1" applyBorder="1">
      <alignment vertical="center"/>
    </xf>
    <xf numFmtId="182" fontId="21" fillId="7" borderId="3" xfId="0" applyNumberFormat="1" applyFont="1" applyFill="1" applyBorder="1" applyAlignment="1" applyProtection="1">
      <alignment horizontal="center" vertical="center" wrapText="1"/>
      <protection locked="0"/>
    </xf>
    <xf numFmtId="182" fontId="9" fillId="14" borderId="3" xfId="0" applyNumberFormat="1" applyFont="1" applyFill="1" applyBorder="1" applyAlignment="1">
      <alignment horizontal="center" vertical="center" wrapText="1"/>
    </xf>
    <xf numFmtId="182" fontId="9" fillId="9" borderId="3" xfId="0" applyNumberFormat="1" applyFont="1" applyFill="1" applyBorder="1" applyAlignment="1">
      <alignment horizontal="center" vertical="center" wrapText="1"/>
    </xf>
    <xf numFmtId="182" fontId="0" fillId="0" borderId="0" xfId="2" applyNumberFormat="1" applyFont="1" applyFill="1">
      <alignment vertical="center"/>
    </xf>
    <xf numFmtId="182" fontId="23" fillId="7" borderId="3" xfId="3" applyNumberFormat="1" applyFont="1" applyFill="1" applyBorder="1" applyAlignment="1" applyProtection="1">
      <alignment horizontal="center" vertical="center" wrapText="1"/>
      <protection locked="0"/>
    </xf>
    <xf numFmtId="182" fontId="11" fillId="7" borderId="3" xfId="0" applyNumberFormat="1" applyFont="1" applyFill="1" applyBorder="1" applyAlignment="1" applyProtection="1">
      <alignment horizontal="center" vertical="center" wrapText="1"/>
      <protection locked="0"/>
    </xf>
    <xf numFmtId="182" fontId="9" fillId="16" borderId="3" xfId="0" applyNumberFormat="1" applyFont="1" applyFill="1" applyBorder="1" applyAlignment="1">
      <alignment horizontal="center" vertical="center" wrapText="1"/>
    </xf>
    <xf numFmtId="182" fontId="9" fillId="10" borderId="3" xfId="0" applyNumberFormat="1" applyFont="1" applyFill="1" applyBorder="1" applyAlignment="1">
      <alignment horizontal="center" vertical="center" wrapText="1"/>
    </xf>
    <xf numFmtId="182" fontId="9" fillId="16" borderId="3" xfId="0" applyNumberFormat="1" applyFont="1" applyFill="1" applyBorder="1" applyAlignment="1" applyProtection="1">
      <alignment horizontal="center" vertical="center" wrapText="1"/>
      <protection locked="0"/>
    </xf>
    <xf numFmtId="182" fontId="9" fillId="10" borderId="3" xfId="0" applyNumberFormat="1" applyFont="1" applyFill="1" applyBorder="1" applyAlignment="1" applyProtection="1">
      <alignment horizontal="center" vertical="center" wrapText="1"/>
      <protection locked="0"/>
    </xf>
    <xf numFmtId="178" fontId="9" fillId="11" borderId="3" xfId="0" applyNumberFormat="1" applyFont="1" applyFill="1" applyBorder="1" applyAlignment="1" applyProtection="1">
      <alignment horizontal="center" vertical="center" wrapText="1"/>
      <protection locked="0"/>
    </xf>
    <xf numFmtId="182" fontId="21" fillId="7" borderId="3" xfId="1" applyNumberFormat="1" applyFont="1" applyFill="1" applyBorder="1" applyAlignment="1" applyProtection="1">
      <alignment horizontal="center" vertical="center" wrapText="1"/>
      <protection locked="0"/>
    </xf>
    <xf numFmtId="182" fontId="0" fillId="0" borderId="3" xfId="1" applyNumberFormat="1" applyFont="1" applyBorder="1" applyProtection="1">
      <alignment vertical="center"/>
      <protection locked="0"/>
    </xf>
    <xf numFmtId="182" fontId="0" fillId="0" borderId="0" xfId="1" applyNumberFormat="1" applyFont="1">
      <alignment vertical="center"/>
    </xf>
    <xf numFmtId="187" fontId="0" fillId="0" borderId="0" xfId="0" applyNumberFormat="1">
      <alignment vertical="center"/>
    </xf>
    <xf numFmtId="188" fontId="0" fillId="0" borderId="0" xfId="0" applyNumberFormat="1">
      <alignment vertical="center"/>
    </xf>
    <xf numFmtId="187" fontId="4" fillId="3" borderId="1" xfId="0" applyNumberFormat="1" applyFont="1" applyFill="1" applyBorder="1" applyAlignment="1">
      <alignment horizontal="center" vertical="center"/>
    </xf>
    <xf numFmtId="187" fontId="4" fillId="3" borderId="3" xfId="0" applyNumberFormat="1" applyFont="1" applyFill="1" applyBorder="1" applyAlignment="1">
      <alignment horizontal="center" vertical="center"/>
    </xf>
    <xf numFmtId="183" fontId="1" fillId="0" borderId="3" xfId="0" applyNumberFormat="1" applyFont="1" applyBorder="1">
      <alignment vertical="center"/>
    </xf>
    <xf numFmtId="183" fontId="9" fillId="10" borderId="3" xfId="0" applyNumberFormat="1" applyFont="1" applyFill="1" applyBorder="1" applyAlignment="1">
      <alignment horizontal="center" vertical="center" wrapText="1"/>
    </xf>
    <xf numFmtId="183" fontId="4" fillId="0" borderId="3" xfId="0" applyNumberFormat="1" applyFont="1" applyBorder="1">
      <alignment vertical="center"/>
    </xf>
    <xf numFmtId="176" fontId="4" fillId="8" borderId="3" xfId="0" applyNumberFormat="1" applyFont="1" applyFill="1" applyBorder="1" applyProtection="1">
      <alignment vertical="center"/>
      <protection locked="0"/>
    </xf>
    <xf numFmtId="183" fontId="17" fillId="17" borderId="3" xfId="4" applyNumberFormat="1" applyFont="1" applyFill="1" applyBorder="1" applyAlignment="1">
      <alignment horizontal="center" vertical="center" wrapText="1"/>
    </xf>
    <xf numFmtId="183" fontId="17" fillId="13" borderId="3" xfId="0" applyNumberFormat="1" applyFont="1" applyFill="1" applyBorder="1" applyAlignment="1" applyProtection="1">
      <alignment horizontal="center" vertical="center" wrapText="1"/>
      <protection locked="0"/>
    </xf>
    <xf numFmtId="183" fontId="4" fillId="12" borderId="3" xfId="7" applyNumberFormat="1" applyFont="1" applyFill="1" applyBorder="1" applyAlignment="1">
      <alignment horizontal="center" vertical="center" wrapText="1"/>
    </xf>
    <xf numFmtId="183" fontId="22" fillId="14" borderId="3" xfId="7" applyNumberFormat="1" applyFont="1" applyFill="1" applyBorder="1" applyAlignment="1">
      <alignment horizontal="center" vertical="center" wrapText="1"/>
    </xf>
    <xf numFmtId="183" fontId="9" fillId="10" borderId="3" xfId="0" applyNumberFormat="1" applyFont="1" applyFill="1" applyBorder="1" applyAlignment="1" applyProtection="1">
      <alignment horizontal="center" vertical="center" wrapText="1"/>
      <protection locked="0"/>
    </xf>
    <xf numFmtId="183" fontId="26" fillId="18" borderId="3" xfId="7" applyNumberFormat="1" applyFont="1" applyFill="1" applyBorder="1" applyAlignment="1">
      <alignment horizontal="center" vertical="center" wrapText="1"/>
    </xf>
    <xf numFmtId="183" fontId="4" fillId="0" borderId="0" xfId="0" applyNumberFormat="1" applyFont="1">
      <alignment vertical="center"/>
    </xf>
    <xf numFmtId="183" fontId="27" fillId="19" borderId="3" xfId="0" applyNumberFormat="1" applyFont="1" applyFill="1" applyBorder="1" applyAlignment="1">
      <alignment horizontal="center" vertical="center" wrapText="1"/>
    </xf>
    <xf numFmtId="187" fontId="1" fillId="0" borderId="3" xfId="0" applyNumberFormat="1" applyFont="1" applyBorder="1">
      <alignment vertical="center"/>
    </xf>
    <xf numFmtId="49" fontId="1" fillId="0" borderId="3" xfId="0" applyNumberFormat="1" applyFont="1" applyBorder="1" applyAlignment="1">
      <alignment horizontal="center" vertical="center"/>
    </xf>
    <xf numFmtId="180" fontId="1" fillId="0" borderId="3" xfId="1" applyNumberFormat="1" applyFont="1" applyBorder="1" applyProtection="1">
      <alignment vertical="center"/>
      <protection locked="0"/>
    </xf>
    <xf numFmtId="49" fontId="1" fillId="0" borderId="3" xfId="6" applyNumberFormat="1" applyFont="1" applyBorder="1" applyAlignment="1" applyProtection="1">
      <alignment horizontal="left" vertical="center"/>
      <protection locked="0"/>
    </xf>
    <xf numFmtId="180" fontId="1" fillId="14" borderId="3" xfId="6" applyNumberFormat="1" applyFont="1" applyFill="1" applyBorder="1">
      <alignment vertical="center"/>
    </xf>
    <xf numFmtId="181" fontId="1" fillId="14" borderId="3" xfId="7" applyNumberFormat="1" applyFont="1" applyFill="1" applyBorder="1">
      <alignment vertical="center"/>
    </xf>
    <xf numFmtId="178" fontId="1" fillId="14" borderId="3" xfId="7" applyNumberFormat="1" applyFont="1" applyFill="1" applyBorder="1">
      <alignment vertical="center"/>
    </xf>
    <xf numFmtId="179" fontId="1" fillId="14" borderId="3" xfId="7" applyNumberFormat="1" applyFont="1" applyFill="1" applyBorder="1" applyAlignment="1">
      <alignment horizontal="right" vertical="center"/>
    </xf>
    <xf numFmtId="182" fontId="1" fillId="0" borderId="3" xfId="0" applyNumberFormat="1" applyFont="1" applyBorder="1" applyProtection="1">
      <alignment vertical="center"/>
      <protection locked="0"/>
    </xf>
    <xf numFmtId="182" fontId="1" fillId="14" borderId="3" xfId="0" applyNumberFormat="1" applyFont="1" applyFill="1" applyBorder="1" applyProtection="1">
      <alignment vertical="center"/>
      <protection locked="0"/>
    </xf>
    <xf numFmtId="183" fontId="1" fillId="14" borderId="3" xfId="7" applyNumberFormat="1" applyFont="1" applyFill="1" applyBorder="1">
      <alignment vertical="center"/>
    </xf>
    <xf numFmtId="182" fontId="1" fillId="14" borderId="3" xfId="7" applyNumberFormat="1" applyFont="1" applyFill="1" applyBorder="1" applyAlignment="1">
      <alignment horizontal="right" vertical="center"/>
    </xf>
    <xf numFmtId="179" fontId="1" fillId="0" borderId="3" xfId="0" applyNumberFormat="1" applyFont="1" applyBorder="1" applyAlignment="1" applyProtection="1">
      <alignment horizontal="right" vertical="center"/>
      <protection locked="0"/>
    </xf>
    <xf numFmtId="179" fontId="1" fillId="14" borderId="3" xfId="0" applyNumberFormat="1" applyFont="1" applyFill="1" applyBorder="1" applyAlignment="1">
      <alignment horizontal="right" vertical="center"/>
    </xf>
    <xf numFmtId="178" fontId="1" fillId="14" borderId="3" xfId="7" applyNumberFormat="1" applyFont="1" applyFill="1" applyBorder="1" applyAlignment="1">
      <alignment horizontal="right" vertical="center"/>
    </xf>
    <xf numFmtId="179" fontId="1" fillId="0" borderId="3" xfId="0" applyNumberFormat="1" applyFont="1" applyBorder="1" applyProtection="1">
      <alignment vertical="center"/>
      <protection locked="0"/>
    </xf>
    <xf numFmtId="179" fontId="1" fillId="14" borderId="3" xfId="0" applyNumberFormat="1" applyFont="1" applyFill="1" applyBorder="1">
      <alignment vertical="center"/>
    </xf>
    <xf numFmtId="179" fontId="1" fillId="14" borderId="3" xfId="0" applyNumberFormat="1" applyFont="1" applyFill="1" applyBorder="1" applyProtection="1">
      <alignment vertical="center"/>
      <protection locked="0"/>
    </xf>
    <xf numFmtId="179" fontId="1" fillId="0" borderId="3" xfId="1" applyNumberFormat="1" applyFont="1" applyBorder="1" applyProtection="1">
      <alignment vertical="center"/>
      <protection locked="0"/>
    </xf>
    <xf numFmtId="179" fontId="1" fillId="14" borderId="3" xfId="7" applyNumberFormat="1" applyFont="1" applyFill="1" applyBorder="1" applyProtection="1">
      <alignment vertical="center"/>
      <protection locked="0"/>
    </xf>
    <xf numFmtId="178" fontId="1" fillId="14" borderId="3" xfId="7" applyNumberFormat="1" applyFont="1" applyFill="1" applyBorder="1" applyProtection="1">
      <alignment vertical="center"/>
      <protection locked="0"/>
    </xf>
    <xf numFmtId="178" fontId="1" fillId="14" borderId="3" xfId="0" applyNumberFormat="1" applyFont="1" applyFill="1" applyBorder="1">
      <alignment vertical="center"/>
    </xf>
    <xf numFmtId="178" fontId="1" fillId="14" borderId="3" xfId="5" applyNumberFormat="1" applyFont="1" applyFill="1" applyBorder="1">
      <alignment vertical="center"/>
    </xf>
    <xf numFmtId="179" fontId="1" fillId="0" borderId="3" xfId="7" applyNumberFormat="1" applyFont="1" applyBorder="1" applyProtection="1">
      <alignment vertical="center"/>
      <protection locked="0"/>
    </xf>
    <xf numFmtId="179" fontId="1" fillId="14" borderId="3" xfId="7" applyNumberFormat="1" applyFont="1" applyFill="1" applyBorder="1">
      <alignment vertical="center"/>
    </xf>
    <xf numFmtId="177" fontId="1" fillId="14" borderId="3" xfId="7" applyNumberFormat="1" applyFont="1" applyFill="1" applyBorder="1">
      <alignment vertical="center"/>
    </xf>
    <xf numFmtId="176" fontId="1" fillId="14" borderId="3" xfId="7" applyNumberFormat="1" applyFont="1" applyFill="1" applyBorder="1">
      <alignment vertical="center"/>
    </xf>
    <xf numFmtId="0" fontId="1" fillId="14" borderId="3" xfId="1" applyNumberFormat="1" applyFont="1" applyFill="1" applyBorder="1" applyProtection="1">
      <alignment vertical="center"/>
      <protection locked="0"/>
    </xf>
    <xf numFmtId="179" fontId="1" fillId="0" borderId="3" xfId="6" applyNumberFormat="1" applyFont="1" applyBorder="1" applyProtection="1">
      <alignment vertical="center"/>
      <protection locked="0"/>
    </xf>
    <xf numFmtId="0" fontId="1" fillId="6" borderId="3" xfId="0" applyFont="1" applyFill="1" applyBorder="1">
      <alignment vertical="center"/>
    </xf>
    <xf numFmtId="180" fontId="1" fillId="0" borderId="3" xfId="1" applyNumberFormat="1" applyFont="1" applyBorder="1">
      <alignment vertical="center"/>
    </xf>
    <xf numFmtId="49" fontId="1" fillId="0" borderId="3" xfId="0" applyNumberFormat="1" applyFont="1" applyBorder="1">
      <alignment vertical="center"/>
    </xf>
    <xf numFmtId="182" fontId="1" fillId="0" borderId="3" xfId="0" applyNumberFormat="1" applyFont="1" applyBorder="1">
      <alignment vertical="center"/>
    </xf>
    <xf numFmtId="3" fontId="1" fillId="0" borderId="8" xfId="7" applyNumberFormat="1" applyFont="1" applyBorder="1" applyAlignment="1">
      <alignment vertical="center" wrapText="1"/>
    </xf>
    <xf numFmtId="3" fontId="1" fillId="0" borderId="1" xfId="0" applyNumberFormat="1" applyFont="1" applyBorder="1" applyAlignment="1">
      <alignment vertical="center" wrapText="1"/>
    </xf>
    <xf numFmtId="180" fontId="1" fillId="0" borderId="3" xfId="1" applyNumberFormat="1" applyFont="1" applyBorder="1" applyAlignment="1">
      <alignment horizontal="right" vertical="center"/>
    </xf>
    <xf numFmtId="49" fontId="1" fillId="0" borderId="3" xfId="0" applyNumberFormat="1" applyFont="1" applyBorder="1" applyAlignment="1">
      <alignment horizontal="right" vertical="center"/>
    </xf>
    <xf numFmtId="181" fontId="1" fillId="0" borderId="3" xfId="0" applyNumberFormat="1" applyFont="1" applyBorder="1">
      <alignment vertical="center"/>
    </xf>
    <xf numFmtId="178" fontId="1" fillId="0" borderId="3" xfId="0" applyNumberFormat="1" applyFont="1" applyBorder="1">
      <alignment vertical="center"/>
    </xf>
    <xf numFmtId="182" fontId="1" fillId="14" borderId="3" xfId="0" applyNumberFormat="1" applyFont="1" applyFill="1" applyBorder="1">
      <alignment vertical="center"/>
    </xf>
    <xf numFmtId="179" fontId="1" fillId="0" borderId="3" xfId="0" applyNumberFormat="1" applyFont="1" applyBorder="1" applyAlignment="1">
      <alignment horizontal="right" vertical="center"/>
    </xf>
    <xf numFmtId="179" fontId="1" fillId="0" borderId="3" xfId="1" applyNumberFormat="1" applyFont="1" applyBorder="1">
      <alignment vertical="center"/>
    </xf>
    <xf numFmtId="0" fontId="1" fillId="0" borderId="3" xfId="0" applyFont="1" applyBorder="1" applyAlignment="1">
      <alignment vertical="center" wrapText="1"/>
    </xf>
    <xf numFmtId="187" fontId="1" fillId="0" borderId="3" xfId="7" applyNumberFormat="1" applyFont="1" applyBorder="1" applyAlignment="1">
      <alignment horizontal="center" vertical="center" wrapText="1"/>
    </xf>
    <xf numFmtId="0" fontId="1" fillId="0" borderId="3" xfId="0" applyFont="1" applyBorder="1" applyAlignment="1">
      <alignment horizontal="center"/>
    </xf>
    <xf numFmtId="0" fontId="1" fillId="0" borderId="3" xfId="0" applyFont="1" applyBorder="1" applyAlignment="1"/>
    <xf numFmtId="189" fontId="1" fillId="0" borderId="3" xfId="0" applyNumberFormat="1" applyFont="1" applyBorder="1" applyAlignment="1">
      <alignment horizontal="center"/>
    </xf>
    <xf numFmtId="187" fontId="1" fillId="0" borderId="3" xfId="0" applyNumberFormat="1" applyFont="1" applyBorder="1" applyAlignment="1">
      <alignment horizontal="center" vertical="center" wrapText="1"/>
    </xf>
    <xf numFmtId="3" fontId="1" fillId="0" borderId="9" xfId="0" applyNumberFormat="1" applyFont="1" applyBorder="1" applyAlignment="1">
      <alignment vertical="center" wrapText="1"/>
    </xf>
    <xf numFmtId="0" fontId="1" fillId="13" borderId="3" xfId="0" applyFont="1" applyFill="1" applyBorder="1" applyAlignment="1">
      <alignment horizontal="center"/>
    </xf>
    <xf numFmtId="49" fontId="0" fillId="0" borderId="3" xfId="0" applyNumberFormat="1" applyBorder="1" applyAlignment="1">
      <alignment horizontal="center" vertical="top"/>
    </xf>
    <xf numFmtId="0" fontId="1" fillId="0" borderId="10" xfId="0" applyFont="1" applyBorder="1" applyAlignment="1"/>
    <xf numFmtId="189" fontId="1" fillId="0" borderId="10" xfId="0" applyNumberFormat="1" applyFont="1" applyBorder="1" applyAlignment="1">
      <alignment horizontal="center"/>
    </xf>
    <xf numFmtId="3" fontId="1" fillId="0" borderId="11" xfId="0" applyNumberFormat="1" applyFont="1" applyBorder="1" applyAlignment="1">
      <alignment vertical="center" wrapText="1"/>
    </xf>
    <xf numFmtId="3" fontId="1" fillId="0" borderId="12" xfId="0" applyNumberFormat="1" applyFont="1" applyBorder="1" applyAlignment="1">
      <alignment vertical="center" wrapText="1"/>
    </xf>
    <xf numFmtId="187" fontId="0" fillId="0" borderId="1" xfId="0" applyNumberFormat="1" applyBorder="1" applyAlignment="1">
      <alignment horizontal="center" vertical="center" wrapText="1"/>
    </xf>
    <xf numFmtId="0" fontId="0" fillId="0" borderId="3" xfId="0" applyBorder="1" applyAlignment="1"/>
    <xf numFmtId="189" fontId="0" fillId="0" borderId="3" xfId="0" applyNumberFormat="1" applyBorder="1" applyAlignment="1">
      <alignment horizontal="center"/>
    </xf>
    <xf numFmtId="0" fontId="1" fillId="0" borderId="6" xfId="0" applyFont="1" applyBorder="1" applyAlignment="1"/>
    <xf numFmtId="189" fontId="1" fillId="0" borderId="6" xfId="0" applyNumberFormat="1" applyFont="1" applyBorder="1" applyAlignment="1">
      <alignment horizontal="center"/>
    </xf>
    <xf numFmtId="3" fontId="1" fillId="0" borderId="8" xfId="0" applyNumberFormat="1" applyFont="1" applyBorder="1" applyAlignment="1">
      <alignment vertical="center" wrapText="1"/>
    </xf>
    <xf numFmtId="3" fontId="1" fillId="0" borderId="7" xfId="0" applyNumberFormat="1" applyFont="1" applyBorder="1" applyAlignment="1">
      <alignment vertical="center" wrapText="1"/>
    </xf>
    <xf numFmtId="180" fontId="1" fillId="0" borderId="3" xfId="0" applyNumberFormat="1" applyFont="1" applyBorder="1">
      <alignment vertical="center"/>
    </xf>
    <xf numFmtId="178" fontId="1" fillId="20" borderId="3" xfId="0" applyNumberFormat="1" applyFont="1" applyFill="1" applyBorder="1">
      <alignment vertical="center"/>
    </xf>
    <xf numFmtId="178" fontId="1" fillId="0" borderId="3" xfId="0" applyNumberFormat="1" applyFont="1" applyBorder="1" applyAlignment="1">
      <alignment horizontal="center" vertical="center"/>
    </xf>
    <xf numFmtId="49" fontId="1" fillId="0" borderId="3" xfId="7" applyNumberFormat="1" applyFont="1" applyBorder="1" applyAlignment="1" applyProtection="1">
      <alignment horizontal="center" vertical="center"/>
      <protection locked="0"/>
    </xf>
    <xf numFmtId="179" fontId="1" fillId="0" borderId="3" xfId="1" applyNumberFormat="1" applyFont="1" applyBorder="1" applyAlignment="1">
      <alignment horizontal="center" vertical="center"/>
    </xf>
    <xf numFmtId="178" fontId="4" fillId="9" borderId="3" xfId="7" applyNumberFormat="1" applyFont="1" applyFill="1" applyBorder="1" applyAlignment="1" applyProtection="1">
      <alignment horizontal="center" vertical="center"/>
      <protection locked="0"/>
    </xf>
    <xf numFmtId="178" fontId="4" fillId="15" borderId="3" xfId="7" applyNumberFormat="1" applyFont="1" applyFill="1" applyBorder="1" applyAlignment="1" applyProtection="1">
      <alignment horizontal="center" vertical="center"/>
      <protection locked="0"/>
    </xf>
    <xf numFmtId="179" fontId="18" fillId="14" borderId="3" xfId="0" applyNumberFormat="1" applyFont="1" applyFill="1" applyBorder="1" applyAlignment="1" applyProtection="1">
      <alignment horizontal="right" vertical="center"/>
      <protection locked="0"/>
    </xf>
    <xf numFmtId="0" fontId="1" fillId="20" borderId="3" xfId="0" applyFont="1" applyFill="1" applyBorder="1" applyAlignment="1">
      <alignment horizontal="center" vertical="center"/>
    </xf>
    <xf numFmtId="179" fontId="1" fillId="20" borderId="3" xfId="7" applyNumberFormat="1" applyFont="1" applyFill="1" applyBorder="1" applyAlignment="1" applyProtection="1">
      <alignment horizontal="center" vertical="center"/>
      <protection locked="0"/>
    </xf>
    <xf numFmtId="0" fontId="1" fillId="20" borderId="3" xfId="0" applyFont="1" applyFill="1" applyBorder="1">
      <alignment vertical="center"/>
    </xf>
    <xf numFmtId="178" fontId="1" fillId="20" borderId="3" xfId="7" applyNumberFormat="1" applyFont="1" applyFill="1" applyBorder="1" applyAlignment="1" applyProtection="1">
      <alignment horizontal="center" vertical="center"/>
      <protection locked="0"/>
    </xf>
    <xf numFmtId="182" fontId="0" fillId="14" borderId="3" xfId="0" applyNumberFormat="1" applyFill="1" applyBorder="1" applyAlignment="1">
      <alignment horizontal="right" vertical="center"/>
    </xf>
    <xf numFmtId="182" fontId="0" fillId="14" borderId="3" xfId="0" applyNumberFormat="1" applyFill="1" applyBorder="1">
      <alignment vertical="center"/>
    </xf>
    <xf numFmtId="182" fontId="1" fillId="20" borderId="3" xfId="0" applyNumberFormat="1" applyFont="1" applyFill="1" applyBorder="1" applyAlignment="1" applyProtection="1">
      <alignment horizontal="center" vertical="center"/>
      <protection locked="0"/>
    </xf>
    <xf numFmtId="0" fontId="0" fillId="14" borderId="3" xfId="0" applyFill="1" applyBorder="1">
      <alignment vertical="center"/>
    </xf>
    <xf numFmtId="0" fontId="0" fillId="14" borderId="4" xfId="0" applyFill="1" applyBorder="1">
      <alignment vertical="center"/>
    </xf>
    <xf numFmtId="185" fontId="0" fillId="14" borderId="3" xfId="0" applyNumberFormat="1" applyFill="1" applyBorder="1">
      <alignment vertical="center"/>
    </xf>
    <xf numFmtId="182" fontId="0" fillId="14" borderId="3" xfId="0" applyNumberFormat="1" applyFill="1" applyBorder="1" applyProtection="1">
      <alignment vertical="center"/>
      <protection locked="0"/>
    </xf>
    <xf numFmtId="182" fontId="1" fillId="14" borderId="3" xfId="0" applyNumberFormat="1" applyFont="1" applyFill="1" applyBorder="1" applyAlignment="1">
      <alignment horizontal="right" vertical="center"/>
    </xf>
    <xf numFmtId="182" fontId="14" fillId="14" borderId="3" xfId="7" applyNumberFormat="1" applyFill="1" applyBorder="1" applyProtection="1">
      <alignment vertical="center"/>
      <protection locked="0"/>
    </xf>
    <xf numFmtId="179" fontId="14" fillId="14" borderId="3" xfId="7" applyNumberFormat="1" applyFill="1" applyBorder="1" applyProtection="1">
      <alignment vertical="center"/>
      <protection locked="0"/>
    </xf>
    <xf numFmtId="178" fontId="14" fillId="14" borderId="3" xfId="7" applyNumberFormat="1" applyFill="1" applyBorder="1">
      <alignment vertical="center"/>
    </xf>
    <xf numFmtId="179" fontId="18" fillId="14" borderId="3" xfId="7" applyNumberFormat="1" applyFont="1" applyFill="1" applyBorder="1" applyAlignment="1">
      <alignment horizontal="right" vertical="center"/>
    </xf>
    <xf numFmtId="178" fontId="18" fillId="14" borderId="3" xfId="7" applyNumberFormat="1" applyFont="1" applyFill="1" applyBorder="1" applyAlignment="1">
      <alignment horizontal="right" vertical="center"/>
    </xf>
    <xf numFmtId="182" fontId="5" fillId="7" borderId="3" xfId="7" applyNumberFormat="1" applyFont="1" applyFill="1" applyBorder="1" applyAlignment="1" applyProtection="1">
      <alignment horizontal="center" vertical="center" wrapText="1"/>
      <protection locked="0"/>
    </xf>
    <xf numFmtId="182" fontId="18" fillId="14" borderId="3" xfId="7" applyNumberFormat="1" applyFont="1" applyFill="1" applyBorder="1">
      <alignment vertical="center"/>
    </xf>
    <xf numFmtId="183" fontId="14" fillId="14" borderId="3" xfId="7" applyNumberFormat="1" applyFill="1" applyBorder="1">
      <alignment vertical="center"/>
    </xf>
    <xf numFmtId="182" fontId="0" fillId="14" borderId="3" xfId="7" applyNumberFormat="1" applyFont="1" applyFill="1" applyBorder="1" applyProtection="1">
      <alignment vertical="center"/>
      <protection locked="0"/>
    </xf>
    <xf numFmtId="178" fontId="4" fillId="13" borderId="3" xfId="0" applyNumberFormat="1" applyFont="1" applyFill="1" applyBorder="1" applyAlignment="1">
      <alignment horizontal="right" vertical="center"/>
    </xf>
    <xf numFmtId="0" fontId="1" fillId="0" borderId="3" xfId="0" applyFont="1" applyBorder="1" applyAlignment="1">
      <alignment horizontal="center" vertical="center"/>
    </xf>
    <xf numFmtId="0" fontId="18" fillId="14" borderId="3" xfId="0" applyFont="1" applyFill="1" applyBorder="1" applyAlignment="1">
      <alignment horizontal="center" vertical="center"/>
    </xf>
    <xf numFmtId="182" fontId="0" fillId="14" borderId="5" xfId="0" applyNumberFormat="1" applyFill="1" applyBorder="1">
      <alignment vertical="center"/>
    </xf>
    <xf numFmtId="182" fontId="18" fillId="14" borderId="3" xfId="0" applyNumberFormat="1" applyFont="1" applyFill="1" applyBorder="1">
      <alignment vertical="center"/>
    </xf>
    <xf numFmtId="183" fontId="18" fillId="14" borderId="3" xfId="0" applyNumberFormat="1" applyFont="1" applyFill="1" applyBorder="1">
      <alignment vertical="center"/>
    </xf>
    <xf numFmtId="182" fontId="21" fillId="7" borderId="3" xfId="0" applyNumberFormat="1" applyFont="1" applyFill="1" applyBorder="1" applyAlignment="1">
      <alignment horizontal="center" vertical="center" wrapText="1"/>
    </xf>
    <xf numFmtId="182" fontId="1" fillId="0" borderId="0" xfId="0" applyNumberFormat="1" applyFont="1">
      <alignment vertical="center"/>
    </xf>
    <xf numFmtId="182" fontId="1" fillId="0" borderId="0" xfId="0" applyNumberFormat="1" applyFont="1" applyAlignment="1">
      <alignment horizontal="center" vertical="center"/>
    </xf>
    <xf numFmtId="182" fontId="1" fillId="14" borderId="3" xfId="0" applyNumberFormat="1" applyFont="1" applyFill="1" applyBorder="1" applyAlignment="1">
      <alignment horizontal="center" vertical="center"/>
    </xf>
    <xf numFmtId="49" fontId="22" fillId="16" borderId="3" xfId="0" applyNumberFormat="1" applyFont="1" applyFill="1" applyBorder="1" applyAlignment="1" applyProtection="1">
      <alignment horizontal="center" vertical="center" wrapText="1"/>
      <protection locked="0"/>
    </xf>
    <xf numFmtId="3" fontId="1" fillId="0" borderId="2" xfId="0" applyNumberFormat="1" applyFont="1" applyBorder="1" applyAlignment="1">
      <alignment vertical="center" wrapText="1"/>
    </xf>
    <xf numFmtId="182" fontId="1" fillId="20" borderId="3" xfId="0" applyNumberFormat="1" applyFont="1" applyFill="1" applyBorder="1" applyAlignment="1">
      <alignment horizontal="center" vertical="center"/>
    </xf>
    <xf numFmtId="182" fontId="0" fillId="20" borderId="3" xfId="0" applyNumberFormat="1" applyFill="1" applyBorder="1">
      <alignment vertical="center"/>
    </xf>
    <xf numFmtId="41" fontId="0" fillId="14" borderId="3" xfId="1" applyFont="1" applyFill="1" applyBorder="1" applyProtection="1">
      <alignment vertical="center"/>
      <protection locked="0"/>
    </xf>
    <xf numFmtId="177" fontId="0" fillId="0" borderId="0" xfId="0" applyNumberFormat="1">
      <alignment vertical="center"/>
    </xf>
    <xf numFmtId="184" fontId="0" fillId="3" borderId="3" xfId="0" applyNumberFormat="1" applyFill="1" applyBorder="1">
      <alignment vertical="center"/>
    </xf>
    <xf numFmtId="184" fontId="0" fillId="0" borderId="3" xfId="0" applyNumberFormat="1" applyBorder="1">
      <alignment vertical="center"/>
    </xf>
    <xf numFmtId="184" fontId="4" fillId="3" borderId="3" xfId="7" applyNumberFormat="1" applyFont="1" applyFill="1" applyBorder="1">
      <alignment vertical="center"/>
    </xf>
    <xf numFmtId="184" fontId="14" fillId="3" borderId="3" xfId="7" applyNumberFormat="1" applyFill="1" applyBorder="1">
      <alignment vertical="center"/>
    </xf>
    <xf numFmtId="177" fontId="6" fillId="3" borderId="3" xfId="7" applyNumberFormat="1" applyFont="1" applyFill="1" applyBorder="1">
      <alignment vertical="center"/>
    </xf>
    <xf numFmtId="184" fontId="1" fillId="3" borderId="3" xfId="7" applyNumberFormat="1" applyFont="1" applyFill="1" applyBorder="1">
      <alignment vertical="center"/>
    </xf>
    <xf numFmtId="177" fontId="29" fillId="3" borderId="3" xfId="7" applyNumberFormat="1" applyFont="1" applyFill="1" applyBorder="1">
      <alignment vertical="center"/>
    </xf>
    <xf numFmtId="184" fontId="1" fillId="3" borderId="3" xfId="7" quotePrefix="1" applyNumberFormat="1" applyFont="1" applyFill="1" applyBorder="1">
      <alignment vertical="center"/>
    </xf>
    <xf numFmtId="184" fontId="1" fillId="3" borderId="3" xfId="0" applyNumberFormat="1" applyFont="1" applyFill="1" applyBorder="1">
      <alignment vertical="center"/>
    </xf>
    <xf numFmtId="177" fontId="18" fillId="3" borderId="3" xfId="7" applyNumberFormat="1" applyFont="1" applyFill="1" applyBorder="1">
      <alignment vertical="center"/>
    </xf>
    <xf numFmtId="184" fontId="4" fillId="3" borderId="3" xfId="7" applyNumberFormat="1" applyFont="1" applyFill="1" applyBorder="1" applyAlignment="1">
      <alignment horizontal="right" vertical="center"/>
    </xf>
    <xf numFmtId="177" fontId="4" fillId="3" borderId="3" xfId="7" applyNumberFormat="1" applyFont="1" applyFill="1" applyBorder="1" applyAlignment="1">
      <alignment horizontal="center" vertical="center"/>
    </xf>
    <xf numFmtId="184" fontId="4" fillId="3" borderId="3" xfId="7" applyNumberFormat="1" applyFont="1" applyFill="1" applyBorder="1" applyAlignment="1">
      <alignment horizontal="left" vertical="center"/>
    </xf>
    <xf numFmtId="178" fontId="1" fillId="14" borderId="3" xfId="0" applyNumberFormat="1" applyFont="1" applyFill="1" applyBorder="1" applyAlignment="1">
      <alignment horizontal="right" vertical="center"/>
    </xf>
    <xf numFmtId="178" fontId="17" fillId="14" borderId="3" xfId="4" applyNumberFormat="1" applyFont="1" applyFill="1" applyBorder="1" applyAlignment="1" applyProtection="1">
      <alignment horizontal="center" vertical="center" wrapText="1"/>
      <protection locked="0"/>
    </xf>
    <xf numFmtId="178" fontId="1" fillId="14" borderId="3" xfId="7" applyNumberFormat="1" applyFont="1" applyFill="1" applyBorder="1" applyAlignment="1">
      <alignment horizontal="center" vertical="center"/>
    </xf>
    <xf numFmtId="178" fontId="1" fillId="20" borderId="3" xfId="0" applyNumberFormat="1" applyFont="1" applyFill="1" applyBorder="1" applyAlignment="1">
      <alignment horizontal="center" vertical="center"/>
    </xf>
    <xf numFmtId="0" fontId="1" fillId="20" borderId="6" xfId="0" applyFont="1" applyFill="1" applyBorder="1" applyAlignment="1" applyProtection="1">
      <alignment horizontal="center" vertical="center"/>
      <protection locked="0"/>
    </xf>
    <xf numFmtId="0" fontId="0" fillId="20" borderId="3" xfId="0" applyFill="1" applyBorder="1" applyProtection="1">
      <alignment vertical="center"/>
      <protection locked="0"/>
    </xf>
    <xf numFmtId="0" fontId="2" fillId="7" borderId="3" xfId="3" applyFill="1" applyBorder="1" applyAlignment="1">
      <alignment horizontal="center" vertical="center" wrapText="1"/>
    </xf>
    <xf numFmtId="3" fontId="1" fillId="0" borderId="3" xfId="0" applyNumberFormat="1" applyFont="1" applyBorder="1">
      <alignment vertical="center"/>
    </xf>
    <xf numFmtId="3" fontId="30" fillId="0" borderId="0" xfId="0" applyNumberFormat="1" applyFont="1">
      <alignment vertical="center"/>
    </xf>
    <xf numFmtId="179" fontId="1" fillId="8" borderId="3" xfId="0" applyNumberFormat="1" applyFont="1" applyFill="1" applyBorder="1">
      <alignment vertical="center"/>
    </xf>
    <xf numFmtId="179" fontId="1" fillId="12" borderId="3" xfId="1" applyNumberFormat="1" applyFont="1" applyFill="1" applyBorder="1" applyProtection="1">
      <alignment vertical="center"/>
      <protection locked="0"/>
    </xf>
    <xf numFmtId="179" fontId="1" fillId="12" borderId="3" xfId="0" applyNumberFormat="1" applyFont="1" applyFill="1" applyBorder="1">
      <alignment vertical="center"/>
    </xf>
    <xf numFmtId="179" fontId="1" fillId="12" borderId="3" xfId="7" applyNumberFormat="1" applyFont="1" applyFill="1" applyBorder="1" applyProtection="1">
      <alignment vertical="center"/>
      <protection locked="0"/>
    </xf>
    <xf numFmtId="0" fontId="1" fillId="12" borderId="3" xfId="0" applyFont="1" applyFill="1" applyBorder="1" applyAlignment="1">
      <alignment vertical="center" wrapText="1"/>
    </xf>
    <xf numFmtId="178" fontId="1" fillId="12" borderId="3" xfId="0" applyNumberFormat="1" applyFont="1" applyFill="1" applyBorder="1">
      <alignment vertical="center"/>
    </xf>
    <xf numFmtId="184" fontId="0" fillId="0" borderId="3" xfId="0" applyNumberFormat="1" applyBorder="1" applyAlignment="1">
      <alignment horizontal="right" vertical="center"/>
    </xf>
    <xf numFmtId="0" fontId="0" fillId="3" borderId="0" xfId="0" applyFill="1">
      <alignment vertical="center"/>
    </xf>
    <xf numFmtId="184" fontId="0" fillId="3" borderId="0" xfId="0" applyNumberFormat="1" applyFill="1">
      <alignment vertical="center"/>
    </xf>
    <xf numFmtId="184" fontId="0" fillId="3" borderId="0" xfId="0" applyNumberFormat="1" applyFill="1" applyAlignment="1">
      <alignment horizontal="center" vertical="center"/>
    </xf>
    <xf numFmtId="184" fontId="1" fillId="0" borderId="3" xfId="0" applyNumberFormat="1" applyFont="1" applyBorder="1">
      <alignment vertical="center"/>
    </xf>
    <xf numFmtId="0" fontId="4" fillId="3" borderId="3" xfId="8" applyFont="1" applyFill="1" applyBorder="1" applyAlignment="1">
      <alignment horizontal="center" vertical="center" wrapText="1"/>
    </xf>
    <xf numFmtId="49" fontId="1" fillId="0" borderId="2" xfId="8" applyNumberFormat="1" applyBorder="1" applyAlignment="1">
      <alignment horizontal="center" vertical="center"/>
    </xf>
    <xf numFmtId="0" fontId="4" fillId="4" borderId="3" xfId="8" applyFont="1" applyFill="1" applyBorder="1" applyAlignment="1">
      <alignment horizontal="center" vertical="center" wrapText="1"/>
    </xf>
    <xf numFmtId="49" fontId="1" fillId="0" borderId="3" xfId="8" applyNumberFormat="1" applyBorder="1" applyAlignment="1">
      <alignment horizontal="center" vertical="center"/>
    </xf>
    <xf numFmtId="0" fontId="7" fillId="7" borderId="3" xfId="8" applyFont="1" applyFill="1" applyBorder="1" applyAlignment="1" applyProtection="1">
      <alignment horizontal="center" vertical="center" wrapText="1"/>
      <protection locked="0"/>
    </xf>
    <xf numFmtId="176" fontId="9" fillId="9" borderId="3" xfId="12" applyNumberFormat="1" applyFont="1" applyFill="1" applyBorder="1" applyAlignment="1" applyProtection="1">
      <alignment horizontal="center" vertical="center" wrapText="1"/>
      <protection locked="0"/>
    </xf>
    <xf numFmtId="178" fontId="9" fillId="9" borderId="3" xfId="12" applyNumberFormat="1" applyFont="1" applyFill="1" applyBorder="1" applyAlignment="1" applyProtection="1">
      <alignment horizontal="center" vertical="center" wrapText="1"/>
      <protection locked="0"/>
    </xf>
    <xf numFmtId="178" fontId="9" fillId="8" borderId="3" xfId="12" applyNumberFormat="1" applyFont="1" applyFill="1" applyBorder="1" applyAlignment="1">
      <alignment horizontal="center" vertical="center" wrapText="1"/>
    </xf>
    <xf numFmtId="178" fontId="4" fillId="9" borderId="3" xfId="12" applyNumberFormat="1" applyFont="1" applyFill="1" applyBorder="1" applyProtection="1">
      <alignment vertical="center"/>
      <protection locked="0"/>
    </xf>
    <xf numFmtId="176" fontId="4" fillId="9" borderId="3" xfId="12" applyNumberFormat="1" applyFont="1" applyFill="1" applyBorder="1" applyProtection="1">
      <alignment vertical="center"/>
      <protection locked="0"/>
    </xf>
    <xf numFmtId="178" fontId="4" fillId="15" borderId="3" xfId="12" applyNumberFormat="1" applyFont="1" applyFill="1" applyBorder="1" applyProtection="1">
      <alignment vertical="center"/>
      <protection locked="0"/>
    </xf>
    <xf numFmtId="37" fontId="5" fillId="7" borderId="3" xfId="8" applyNumberFormat="1" applyFont="1" applyFill="1" applyBorder="1" applyAlignment="1" applyProtection="1">
      <alignment horizontal="center" vertical="center" wrapText="1"/>
      <protection locked="0"/>
    </xf>
    <xf numFmtId="37" fontId="4" fillId="14" borderId="3" xfId="8" applyNumberFormat="1" applyFont="1" applyFill="1" applyBorder="1" applyAlignment="1">
      <alignment horizontal="center" vertical="center" wrapText="1"/>
    </xf>
    <xf numFmtId="37" fontId="1" fillId="0" borderId="3" xfId="8" applyNumberFormat="1" applyBorder="1" applyAlignment="1" applyProtection="1">
      <alignment horizontal="right" vertical="center"/>
      <protection locked="0"/>
    </xf>
    <xf numFmtId="39" fontId="4" fillId="9" borderId="3" xfId="8" applyNumberFormat="1" applyFont="1" applyFill="1" applyBorder="1" applyAlignment="1">
      <alignment horizontal="center" vertical="center" wrapText="1"/>
    </xf>
    <xf numFmtId="37" fontId="5" fillId="7" borderId="5" xfId="8" applyNumberFormat="1" applyFont="1" applyFill="1" applyBorder="1" applyAlignment="1" applyProtection="1">
      <alignment horizontal="center" vertical="center" wrapText="1"/>
      <protection locked="0"/>
    </xf>
    <xf numFmtId="49" fontId="1" fillId="13" borderId="3" xfId="8" applyNumberFormat="1" applyFill="1" applyBorder="1" applyAlignment="1">
      <alignment horizontal="center" vertical="center"/>
    </xf>
    <xf numFmtId="39" fontId="4" fillId="9" borderId="3" xfId="8" applyNumberFormat="1" applyFont="1" applyFill="1" applyBorder="1" applyAlignment="1" applyProtection="1">
      <alignment horizontal="center" vertical="center" wrapText="1"/>
      <protection locked="0"/>
    </xf>
    <xf numFmtId="49" fontId="5" fillId="7" borderId="3" xfId="8" applyNumberFormat="1" applyFont="1" applyFill="1" applyBorder="1" applyAlignment="1" applyProtection="1">
      <alignment horizontal="center" vertical="center" wrapText="1"/>
      <protection locked="0"/>
    </xf>
    <xf numFmtId="185" fontId="5" fillId="7" borderId="3" xfId="8" applyNumberFormat="1" applyFont="1" applyFill="1" applyBorder="1" applyAlignment="1" applyProtection="1">
      <alignment horizontal="center" vertical="center" wrapText="1"/>
      <protection locked="0"/>
    </xf>
    <xf numFmtId="37" fontId="7" fillId="7" borderId="3" xfId="8" applyNumberFormat="1" applyFont="1" applyFill="1" applyBorder="1" applyAlignment="1" applyProtection="1">
      <alignment horizontal="center" vertical="center" wrapText="1"/>
      <protection locked="0"/>
    </xf>
    <xf numFmtId="179" fontId="13" fillId="7" borderId="3" xfId="3" applyNumberFormat="1" applyFont="1" applyFill="1" applyBorder="1" applyAlignment="1" applyProtection="1">
      <alignment horizontal="center" vertical="center" wrapText="1"/>
      <protection locked="0"/>
    </xf>
    <xf numFmtId="179" fontId="9" fillId="14" borderId="3" xfId="12" applyNumberFormat="1" applyFont="1" applyFill="1" applyBorder="1" applyAlignment="1" applyProtection="1">
      <alignment horizontal="center" vertical="center" wrapText="1"/>
      <protection locked="0"/>
    </xf>
    <xf numFmtId="179" fontId="9" fillId="9" borderId="3" xfId="12" applyNumberFormat="1" applyFont="1" applyFill="1" applyBorder="1" applyAlignment="1" applyProtection="1">
      <alignment horizontal="center" vertical="center" wrapText="1"/>
      <protection locked="0"/>
    </xf>
    <xf numFmtId="179" fontId="17" fillId="14" borderId="3" xfId="3" applyNumberFormat="1" applyFont="1" applyFill="1" applyBorder="1" applyAlignment="1" applyProtection="1">
      <alignment horizontal="center" vertical="center" wrapText="1"/>
      <protection locked="0"/>
    </xf>
    <xf numFmtId="0" fontId="21" fillId="7" borderId="3" xfId="12" applyFont="1" applyFill="1" applyBorder="1" applyAlignment="1" applyProtection="1">
      <alignment horizontal="center" vertical="center" wrapText="1"/>
      <protection locked="0"/>
    </xf>
    <xf numFmtId="176" fontId="22" fillId="14" borderId="3" xfId="12" applyNumberFormat="1" applyFont="1" applyFill="1" applyBorder="1" applyAlignment="1">
      <alignment horizontal="center" vertical="center" wrapText="1"/>
    </xf>
    <xf numFmtId="178" fontId="22" fillId="8" borderId="3" xfId="12" applyNumberFormat="1" applyFont="1" applyFill="1" applyBorder="1" applyAlignment="1">
      <alignment horizontal="center" vertical="center" wrapText="1"/>
    </xf>
    <xf numFmtId="176" fontId="17" fillId="8" borderId="3" xfId="12" applyNumberFormat="1" applyFont="1" applyFill="1" applyBorder="1">
      <alignment vertical="center"/>
    </xf>
    <xf numFmtId="0" fontId="9" fillId="14" borderId="3" xfId="12" applyFont="1" applyFill="1" applyBorder="1" applyAlignment="1">
      <alignment horizontal="center" vertical="center" wrapText="1"/>
    </xf>
    <xf numFmtId="178" fontId="9" fillId="14" borderId="3" xfId="12" applyNumberFormat="1" applyFont="1" applyFill="1" applyBorder="1" applyAlignment="1">
      <alignment horizontal="center" vertical="center" wrapText="1"/>
    </xf>
    <xf numFmtId="179" fontId="21" fillId="7" borderId="3" xfId="12" applyNumberFormat="1" applyFont="1" applyFill="1" applyBorder="1" applyAlignment="1" applyProtection="1">
      <alignment horizontal="center" vertical="center" wrapText="1"/>
      <protection locked="0"/>
    </xf>
    <xf numFmtId="179" fontId="9" fillId="14" borderId="3" xfId="12" applyNumberFormat="1" applyFont="1" applyFill="1" applyBorder="1" applyAlignment="1">
      <alignment horizontal="center" vertical="center" wrapText="1"/>
    </xf>
    <xf numFmtId="188" fontId="9" fillId="14" borderId="3" xfId="12" applyNumberFormat="1" applyFont="1" applyFill="1" applyBorder="1" applyAlignment="1">
      <alignment horizontal="center" vertical="center" wrapText="1"/>
    </xf>
    <xf numFmtId="0" fontId="22" fillId="14" borderId="3" xfId="12" applyFont="1" applyFill="1" applyBorder="1" applyAlignment="1" applyProtection="1">
      <alignment horizontal="center" vertical="center" wrapText="1"/>
      <protection locked="0"/>
    </xf>
    <xf numFmtId="176" fontId="9" fillId="14" borderId="3" xfId="12" applyNumberFormat="1" applyFont="1" applyFill="1" applyBorder="1" applyAlignment="1">
      <alignment horizontal="center" vertical="center" wrapText="1"/>
    </xf>
    <xf numFmtId="176" fontId="4" fillId="15" borderId="3" xfId="12" applyNumberFormat="1" applyFont="1" applyFill="1" applyBorder="1" applyProtection="1">
      <alignment vertical="center"/>
      <protection locked="0"/>
    </xf>
    <xf numFmtId="176" fontId="17" fillId="9" borderId="3" xfId="12" applyNumberFormat="1" applyFont="1" applyFill="1" applyBorder="1" applyProtection="1">
      <alignment vertical="center"/>
      <protection locked="0"/>
    </xf>
    <xf numFmtId="176" fontId="4" fillId="8" borderId="3" xfId="12" applyNumberFormat="1" applyFont="1" applyFill="1" applyBorder="1">
      <alignment vertical="center"/>
    </xf>
    <xf numFmtId="0" fontId="1" fillId="0" borderId="3" xfId="8" applyBorder="1" applyAlignment="1">
      <alignment horizontal="center"/>
    </xf>
    <xf numFmtId="0" fontId="1" fillId="0" borderId="3" xfId="8" applyBorder="1" applyAlignment="1"/>
    <xf numFmtId="189" fontId="1" fillId="0" borderId="3" xfId="8" applyNumberFormat="1" applyBorder="1" applyAlignment="1">
      <alignment horizontal="center"/>
    </xf>
    <xf numFmtId="0" fontId="1" fillId="13" borderId="3" xfId="8" applyFill="1" applyBorder="1" applyAlignment="1">
      <alignment horizontal="center"/>
    </xf>
    <xf numFmtId="49" fontId="1" fillId="0" borderId="3" xfId="8" applyNumberFormat="1" applyBorder="1" applyAlignment="1">
      <alignment horizontal="center" vertical="top"/>
    </xf>
    <xf numFmtId="0" fontId="1" fillId="0" borderId="10" xfId="8" applyBorder="1" applyAlignment="1"/>
    <xf numFmtId="189" fontId="1" fillId="0" borderId="10" xfId="8" applyNumberFormat="1" applyBorder="1" applyAlignment="1">
      <alignment horizontal="center"/>
    </xf>
    <xf numFmtId="0" fontId="1" fillId="0" borderId="6" xfId="8" applyBorder="1" applyAlignment="1"/>
    <xf numFmtId="189" fontId="1" fillId="0" borderId="6" xfId="8" applyNumberFormat="1" applyBorder="1" applyAlignment="1">
      <alignment horizontal="center"/>
    </xf>
    <xf numFmtId="37" fontId="1" fillId="20" borderId="3" xfId="8" applyNumberFormat="1" applyFill="1" applyBorder="1" applyAlignment="1" applyProtection="1">
      <alignment horizontal="center" vertical="center"/>
      <protection locked="0"/>
    </xf>
    <xf numFmtId="178" fontId="1" fillId="14" borderId="3" xfId="12" applyNumberFormat="1" applyFill="1" applyBorder="1">
      <alignment vertical="center"/>
    </xf>
    <xf numFmtId="0" fontId="4" fillId="20" borderId="6" xfId="12" applyFont="1" applyFill="1" applyBorder="1" applyProtection="1">
      <alignment vertical="center"/>
      <protection locked="0"/>
    </xf>
    <xf numFmtId="0" fontId="4" fillId="20" borderId="3" xfId="12" applyFont="1" applyFill="1" applyBorder="1" applyProtection="1">
      <alignment vertical="center"/>
      <protection locked="0"/>
    </xf>
    <xf numFmtId="0" fontId="1" fillId="14" borderId="3" xfId="12" applyFill="1" applyBorder="1" applyAlignment="1">
      <alignment horizontal="right" vertical="center"/>
    </xf>
    <xf numFmtId="188" fontId="1" fillId="14" borderId="3" xfId="12" applyNumberFormat="1" applyFill="1" applyBorder="1">
      <alignment vertical="center"/>
    </xf>
    <xf numFmtId="176" fontId="1" fillId="14" borderId="3" xfId="12" applyNumberFormat="1" applyFill="1" applyBorder="1">
      <alignment vertical="center"/>
    </xf>
    <xf numFmtId="0" fontId="1" fillId="20" borderId="6" xfId="8" applyFill="1" applyBorder="1" applyAlignment="1" applyProtection="1">
      <alignment horizontal="center" vertical="center"/>
      <protection locked="0"/>
    </xf>
    <xf numFmtId="0" fontId="23" fillId="7" borderId="3" xfId="3" applyFont="1" applyFill="1" applyBorder="1" applyAlignment="1">
      <alignment horizontal="center" vertical="center" wrapText="1"/>
    </xf>
    <xf numFmtId="0" fontId="21" fillId="20" borderId="3" xfId="12" applyFont="1" applyFill="1" applyBorder="1" applyAlignment="1">
      <alignment horizontal="center" vertical="center" wrapText="1"/>
    </xf>
    <xf numFmtId="49" fontId="1" fillId="0" borderId="3" xfId="8" applyNumberFormat="1" applyBorder="1">
      <alignment vertical="center"/>
    </xf>
    <xf numFmtId="49" fontId="0" fillId="0" borderId="0" xfId="0" applyNumberFormat="1">
      <alignment vertical="center"/>
    </xf>
    <xf numFmtId="0" fontId="0" fillId="0" borderId="0" xfId="0" applyAlignment="1">
      <alignment vertical="center" wrapText="1"/>
    </xf>
    <xf numFmtId="0" fontId="1" fillId="0" borderId="3" xfId="8" applyBorder="1">
      <alignment vertical="center"/>
    </xf>
    <xf numFmtId="187" fontId="1" fillId="0" borderId="3" xfId="12" applyNumberFormat="1" applyBorder="1" applyAlignment="1">
      <alignment horizontal="center" vertical="center"/>
    </xf>
    <xf numFmtId="3" fontId="1" fillId="0" borderId="8" xfId="12" applyNumberFormat="1" applyBorder="1">
      <alignment vertical="center"/>
    </xf>
    <xf numFmtId="3" fontId="1" fillId="0" borderId="1" xfId="8" applyNumberFormat="1" applyBorder="1">
      <alignment vertical="center"/>
    </xf>
    <xf numFmtId="37" fontId="1" fillId="0" borderId="3" xfId="8" applyNumberFormat="1" applyBorder="1" applyProtection="1">
      <alignment vertical="center"/>
      <protection locked="0"/>
    </xf>
    <xf numFmtId="37" fontId="1" fillId="0" borderId="3" xfId="8" applyNumberFormat="1" applyBorder="1">
      <alignment vertical="center"/>
    </xf>
    <xf numFmtId="0" fontId="0" fillId="5" borderId="0" xfId="0" applyFill="1">
      <alignment vertical="center"/>
    </xf>
    <xf numFmtId="187" fontId="1" fillId="0" borderId="3" xfId="8" applyNumberFormat="1" applyBorder="1" applyAlignment="1">
      <alignment horizontal="center" vertical="center"/>
    </xf>
    <xf numFmtId="3" fontId="1" fillId="0" borderId="9" xfId="8" applyNumberFormat="1" applyBorder="1">
      <alignment vertical="center"/>
    </xf>
    <xf numFmtId="0" fontId="34" fillId="0" borderId="0" xfId="8" applyFont="1">
      <alignment vertical="center"/>
    </xf>
    <xf numFmtId="3" fontId="1" fillId="0" borderId="11" xfId="8" applyNumberFormat="1" applyBorder="1">
      <alignment vertical="center"/>
    </xf>
    <xf numFmtId="3" fontId="1" fillId="0" borderId="12" xfId="8" applyNumberFormat="1" applyBorder="1">
      <alignment vertical="center"/>
    </xf>
    <xf numFmtId="187" fontId="1" fillId="0" borderId="1" xfId="8" applyNumberFormat="1" applyBorder="1" applyAlignment="1">
      <alignment horizontal="center" vertical="center"/>
    </xf>
    <xf numFmtId="3" fontId="1" fillId="0" borderId="3" xfId="8" applyNumberFormat="1" applyBorder="1">
      <alignment vertical="center"/>
    </xf>
    <xf numFmtId="3" fontId="1" fillId="0" borderId="8" xfId="8" applyNumberFormat="1" applyBorder="1">
      <alignment vertical="center"/>
    </xf>
    <xf numFmtId="3" fontId="1" fillId="0" borderId="7" xfId="8" applyNumberFormat="1" applyBorder="1">
      <alignment vertical="center"/>
    </xf>
    <xf numFmtId="0" fontId="1" fillId="0" borderId="0" xfId="8">
      <alignment vertical="center"/>
    </xf>
    <xf numFmtId="0" fontId="1" fillId="0" borderId="1" xfId="8" applyBorder="1">
      <alignment vertical="center"/>
    </xf>
    <xf numFmtId="0" fontId="35" fillId="0" borderId="0" xfId="8" applyFont="1">
      <alignment vertical="center"/>
    </xf>
    <xf numFmtId="0" fontId="36" fillId="0" borderId="0" xfId="8" applyFont="1">
      <alignment vertical="center"/>
    </xf>
    <xf numFmtId="0" fontId="1" fillId="0" borderId="0" xfId="0" applyFont="1">
      <alignment vertical="center"/>
    </xf>
    <xf numFmtId="49" fontId="1" fillId="0" borderId="0" xfId="0" applyNumberFormat="1" applyFont="1">
      <alignment vertical="center"/>
    </xf>
    <xf numFmtId="185" fontId="1" fillId="0" borderId="3" xfId="8" applyNumberFormat="1" applyBorder="1">
      <alignment vertical="center"/>
    </xf>
    <xf numFmtId="185" fontId="1" fillId="0" borderId="0" xfId="0" applyNumberFormat="1" applyFont="1">
      <alignment vertical="center"/>
    </xf>
    <xf numFmtId="182" fontId="21" fillId="7" borderId="3" xfId="12" applyNumberFormat="1" applyFont="1" applyFill="1" applyBorder="1" applyAlignment="1" applyProtection="1">
      <alignment horizontal="center" vertical="center" wrapText="1"/>
      <protection locked="0"/>
    </xf>
    <xf numFmtId="182" fontId="9" fillId="14" borderId="3" xfId="12" applyNumberFormat="1" applyFont="1" applyFill="1" applyBorder="1" applyAlignment="1">
      <alignment horizontal="center" vertical="center" wrapText="1"/>
    </xf>
    <xf numFmtId="182" fontId="9" fillId="9" borderId="3" xfId="12" applyNumberFormat="1" applyFont="1" applyFill="1" applyBorder="1" applyAlignment="1" applyProtection="1">
      <alignment horizontal="center" vertical="center" wrapText="1"/>
      <protection locked="0"/>
    </xf>
    <xf numFmtId="183" fontId="9" fillId="14" borderId="3" xfId="12" applyNumberFormat="1" applyFont="1" applyFill="1" applyBorder="1" applyAlignment="1">
      <alignment horizontal="center" vertical="center" wrapText="1"/>
    </xf>
    <xf numFmtId="183" fontId="21" fillId="7" borderId="3" xfId="12" applyNumberFormat="1" applyFont="1" applyFill="1" applyBorder="1" applyAlignment="1" applyProtection="1">
      <alignment horizontal="center" vertical="center" wrapText="1"/>
      <protection locked="0"/>
    </xf>
    <xf numFmtId="183" fontId="9" fillId="9" borderId="3" xfId="12" applyNumberFormat="1" applyFont="1" applyFill="1" applyBorder="1" applyAlignment="1">
      <alignment horizontal="center" vertical="center" wrapText="1"/>
    </xf>
    <xf numFmtId="182" fontId="9" fillId="14" borderId="3" xfId="12" applyNumberFormat="1" applyFont="1" applyFill="1" applyBorder="1" applyAlignment="1" applyProtection="1">
      <alignment horizontal="center" vertical="center" wrapText="1"/>
      <protection locked="0"/>
    </xf>
    <xf numFmtId="182" fontId="9" fillId="9" borderId="3" xfId="12" applyNumberFormat="1" applyFont="1" applyFill="1" applyBorder="1" applyAlignment="1">
      <alignment horizontal="center" vertical="center" wrapText="1"/>
    </xf>
    <xf numFmtId="182" fontId="1" fillId="0" borderId="3" xfId="12" applyNumberFormat="1" applyBorder="1" applyAlignment="1" applyProtection="1">
      <alignment vertical="center" wrapText="1"/>
      <protection locked="0"/>
    </xf>
    <xf numFmtId="182" fontId="1" fillId="0" borderId="3" xfId="12" applyNumberFormat="1" applyBorder="1" applyProtection="1">
      <alignment vertical="center"/>
      <protection locked="0"/>
    </xf>
    <xf numFmtId="182" fontId="1" fillId="14" borderId="3" xfId="12" applyNumberFormat="1" applyFill="1" applyBorder="1">
      <alignment vertical="center"/>
    </xf>
    <xf numFmtId="183" fontId="4" fillId="9" borderId="3" xfId="12" applyNumberFormat="1" applyFont="1" applyFill="1" applyBorder="1" applyProtection="1">
      <alignment vertical="center"/>
      <protection locked="0"/>
    </xf>
    <xf numFmtId="183" fontId="1" fillId="14" borderId="3" xfId="12" applyNumberFormat="1" applyFill="1" applyBorder="1">
      <alignment vertical="center"/>
    </xf>
    <xf numFmtId="179" fontId="0" fillId="14" borderId="3" xfId="12" applyNumberFormat="1" applyFont="1" applyFill="1" applyBorder="1" applyProtection="1">
      <alignment vertical="center"/>
      <protection locked="0"/>
    </xf>
    <xf numFmtId="183" fontId="1" fillId="0" borderId="3" xfId="12" applyNumberFormat="1" applyBorder="1" applyProtection="1">
      <alignment vertical="center"/>
      <protection locked="0"/>
    </xf>
    <xf numFmtId="182" fontId="0" fillId="14" borderId="3" xfId="12" applyNumberFormat="1" applyFont="1" applyFill="1" applyBorder="1" applyAlignment="1">
      <alignment horizontal="right" vertical="center"/>
    </xf>
    <xf numFmtId="183" fontId="1" fillId="14" borderId="3" xfId="12" applyNumberFormat="1" applyFill="1" applyBorder="1" applyProtection="1">
      <alignment vertical="center"/>
      <protection locked="0"/>
    </xf>
    <xf numFmtId="182" fontId="0" fillId="14" borderId="3" xfId="12" applyNumberFormat="1" applyFont="1" applyFill="1" applyBorder="1" applyAlignment="1" applyProtection="1">
      <alignment horizontal="right" vertical="center"/>
      <protection locked="0"/>
    </xf>
    <xf numFmtId="183" fontId="4" fillId="9" borderId="3" xfId="12" applyNumberFormat="1" applyFont="1" applyFill="1" applyBorder="1">
      <alignment vertical="center"/>
    </xf>
    <xf numFmtId="183" fontId="0" fillId="0" borderId="3" xfId="12" applyNumberFormat="1" applyFont="1" applyBorder="1" applyProtection="1">
      <alignment vertical="center"/>
      <protection locked="0"/>
    </xf>
    <xf numFmtId="183" fontId="0" fillId="14" borderId="3" xfId="12" applyNumberFormat="1" applyFont="1" applyFill="1" applyBorder="1">
      <alignment vertical="center"/>
    </xf>
    <xf numFmtId="183" fontId="4" fillId="15" borderId="3" xfId="12" applyNumberFormat="1" applyFont="1" applyFill="1" applyBorder="1" applyProtection="1">
      <alignment vertical="center"/>
      <protection locked="0"/>
    </xf>
    <xf numFmtId="41" fontId="0" fillId="8" borderId="3" xfId="1" applyFont="1" applyFill="1" applyBorder="1" applyProtection="1">
      <alignment vertical="center"/>
      <protection locked="0"/>
    </xf>
    <xf numFmtId="182" fontId="1" fillId="0" borderId="3" xfId="1" applyNumberFormat="1" applyFont="1" applyBorder="1" applyProtection="1">
      <alignment vertical="center"/>
      <protection locked="0"/>
    </xf>
    <xf numFmtId="182" fontId="0" fillId="8" borderId="3" xfId="1" applyNumberFormat="1" applyFont="1" applyFill="1" applyBorder="1" applyProtection="1">
      <alignment vertical="center"/>
      <protection locked="0"/>
    </xf>
    <xf numFmtId="182" fontId="1" fillId="8" borderId="3" xfId="1" applyNumberFormat="1" applyFont="1" applyFill="1" applyBorder="1" applyProtection="1">
      <alignment vertical="center"/>
      <protection locked="0"/>
    </xf>
    <xf numFmtId="179" fontId="0" fillId="8" borderId="3" xfId="1" applyNumberFormat="1" applyFont="1" applyFill="1" applyBorder="1" applyProtection="1">
      <alignment vertical="center"/>
      <protection locked="0"/>
    </xf>
    <xf numFmtId="178" fontId="6" fillId="14" borderId="3" xfId="12" applyNumberFormat="1" applyFont="1" applyFill="1" applyBorder="1">
      <alignment vertical="center"/>
    </xf>
    <xf numFmtId="182" fontId="11" fillId="7" borderId="3" xfId="12" applyNumberFormat="1" applyFont="1" applyFill="1" applyBorder="1" applyAlignment="1">
      <alignment horizontal="center" vertical="center" wrapText="1"/>
    </xf>
    <xf numFmtId="182" fontId="21" fillId="7" borderId="5" xfId="12" applyNumberFormat="1" applyFont="1" applyFill="1" applyBorder="1" applyAlignment="1" applyProtection="1">
      <alignment horizontal="center" vertical="center" wrapText="1"/>
      <protection locked="0"/>
    </xf>
    <xf numFmtId="182" fontId="22" fillId="14" borderId="3" xfId="12" applyNumberFormat="1" applyFont="1" applyFill="1" applyBorder="1" applyAlignment="1">
      <alignment horizontal="center" vertical="center" wrapText="1"/>
    </xf>
    <xf numFmtId="182" fontId="1" fillId="14" borderId="3" xfId="12" applyNumberFormat="1" applyFill="1" applyBorder="1" applyAlignment="1">
      <alignment vertical="center" wrapText="1"/>
    </xf>
    <xf numFmtId="182" fontId="1" fillId="0" borderId="3" xfId="12" applyNumberFormat="1" applyBorder="1">
      <alignment vertical="center"/>
    </xf>
    <xf numFmtId="182" fontId="1" fillId="14" borderId="5" xfId="12" applyNumberFormat="1" applyFill="1" applyBorder="1">
      <alignment vertical="center"/>
    </xf>
    <xf numFmtId="182" fontId="1" fillId="0" borderId="3" xfId="12" applyNumberFormat="1" applyBorder="1" applyAlignment="1" applyProtection="1">
      <alignment horizontal="right" vertical="center"/>
      <protection locked="0"/>
    </xf>
    <xf numFmtId="182" fontId="1" fillId="14" borderId="3" xfId="12" applyNumberFormat="1" applyFill="1" applyBorder="1" applyAlignment="1">
      <alignment horizontal="right" vertical="center"/>
    </xf>
    <xf numFmtId="183" fontId="4" fillId="9" borderId="3" xfId="12" applyNumberFormat="1" applyFont="1" applyFill="1" applyBorder="1" applyAlignment="1" applyProtection="1">
      <alignment horizontal="right" vertical="center"/>
      <protection locked="0"/>
    </xf>
    <xf numFmtId="0" fontId="1" fillId="20" borderId="6" xfId="12" applyFill="1" applyBorder="1" applyAlignment="1" applyProtection="1">
      <alignment horizontal="center" vertical="center"/>
      <protection locked="0"/>
    </xf>
    <xf numFmtId="183" fontId="4" fillId="15" borderId="3" xfId="12" applyNumberFormat="1" applyFont="1" applyFill="1" applyBorder="1" applyAlignment="1" applyProtection="1">
      <alignment horizontal="right" vertical="center"/>
      <protection locked="0"/>
    </xf>
    <xf numFmtId="179" fontId="1" fillId="0" borderId="3" xfId="12" applyNumberFormat="1" applyBorder="1" applyAlignment="1" applyProtection="1">
      <alignment horizontal="right" vertical="center"/>
      <protection locked="0"/>
    </xf>
    <xf numFmtId="179" fontId="1" fillId="14" borderId="3" xfId="12" applyNumberFormat="1" applyFill="1" applyBorder="1" applyAlignment="1" applyProtection="1">
      <alignment horizontal="right" vertical="center"/>
      <protection locked="0"/>
    </xf>
    <xf numFmtId="183" fontId="4" fillId="13" borderId="3" xfId="12" applyNumberFormat="1" applyFont="1" applyFill="1" applyBorder="1" applyProtection="1">
      <alignment vertical="center"/>
      <protection locked="0"/>
    </xf>
    <xf numFmtId="179" fontId="1" fillId="0" borderId="0" xfId="1" applyNumberFormat="1" applyFont="1" applyAlignment="1">
      <alignment horizontal="right" vertical="center"/>
    </xf>
    <xf numFmtId="182" fontId="1" fillId="8" borderId="3" xfId="7" applyNumberFormat="1" applyFont="1" applyFill="1" applyBorder="1" applyProtection="1">
      <alignment vertical="center"/>
      <protection locked="0"/>
    </xf>
    <xf numFmtId="179" fontId="18" fillId="14" borderId="3" xfId="7" applyNumberFormat="1" applyFont="1" applyFill="1" applyBorder="1" applyAlignment="1" applyProtection="1">
      <alignment horizontal="center" vertical="center" wrapText="1"/>
      <protection locked="0"/>
    </xf>
    <xf numFmtId="182" fontId="1" fillId="0" borderId="3" xfId="12" applyNumberFormat="1" applyBorder="1" applyAlignment="1" applyProtection="1">
      <alignment horizontal="center" vertical="center"/>
      <protection locked="0"/>
    </xf>
    <xf numFmtId="0" fontId="25" fillId="7" borderId="3" xfId="3" applyFont="1" applyFill="1" applyBorder="1" applyAlignment="1">
      <alignment horizontal="center" vertical="center" wrapText="1"/>
    </xf>
    <xf numFmtId="182" fontId="1" fillId="20" borderId="3" xfId="12" applyNumberFormat="1" applyFill="1" applyBorder="1" applyAlignment="1" applyProtection="1">
      <alignment horizontal="center" vertical="center"/>
      <protection locked="0"/>
    </xf>
    <xf numFmtId="182" fontId="1" fillId="20" borderId="13" xfId="12" applyNumberFormat="1" applyFill="1" applyBorder="1" applyAlignment="1" applyProtection="1">
      <alignment horizontal="center" vertical="center"/>
      <protection locked="0"/>
    </xf>
    <xf numFmtId="182" fontId="1" fillId="20" borderId="10" xfId="0" applyNumberFormat="1" applyFont="1" applyFill="1" applyBorder="1" applyAlignment="1">
      <alignment horizontal="center" vertical="center"/>
    </xf>
    <xf numFmtId="182" fontId="1" fillId="0" borderId="3" xfId="7" applyNumberFormat="1" applyFont="1" applyBorder="1" applyProtection="1">
      <alignment vertical="center"/>
      <protection locked="0"/>
    </xf>
    <xf numFmtId="182" fontId="14" fillId="12" borderId="3" xfId="7" applyNumberFormat="1" applyFill="1" applyBorder="1" applyProtection="1">
      <alignment vertical="center"/>
      <protection locked="0"/>
    </xf>
    <xf numFmtId="37" fontId="1" fillId="0" borderId="3" xfId="8" applyNumberFormat="1" applyBorder="1" applyAlignment="1">
      <alignment horizontal="center" vertical="center"/>
    </xf>
    <xf numFmtId="187" fontId="0" fillId="0" borderId="3" xfId="0" applyNumberFormat="1" applyBorder="1" applyAlignment="1">
      <alignment horizontal="center" vertical="center" wrapText="1"/>
    </xf>
    <xf numFmtId="187" fontId="1" fillId="0" borderId="1" xfId="0" applyNumberFormat="1" applyFont="1" applyBorder="1" applyAlignment="1">
      <alignment horizontal="center" vertical="center" wrapText="1"/>
    </xf>
    <xf numFmtId="0" fontId="1" fillId="0" borderId="2" xfId="0" applyFont="1" applyBorder="1" applyAlignment="1">
      <alignment horizontal="center"/>
    </xf>
    <xf numFmtId="184" fontId="1" fillId="3" borderId="3" xfId="0" applyNumberFormat="1" applyFont="1" applyFill="1" applyBorder="1" applyAlignment="1">
      <alignment horizontal="right" vertical="center"/>
    </xf>
    <xf numFmtId="184" fontId="4" fillId="3" borderId="4" xfId="7" applyNumberFormat="1" applyFont="1" applyFill="1" applyBorder="1" applyAlignment="1">
      <alignment horizontal="center" vertical="center"/>
    </xf>
    <xf numFmtId="184" fontId="4" fillId="3" borderId="5" xfId="7" applyNumberFormat="1" applyFont="1" applyFill="1" applyBorder="1" applyAlignment="1">
      <alignment horizontal="center" vertical="center"/>
    </xf>
  </cellXfs>
  <cellStyles count="13">
    <cellStyle name="백분율 2" xfId="5"/>
    <cellStyle name="백분율 2 2" xfId="10"/>
    <cellStyle name="쉼표 [0]" xfId="1" builtinId="6"/>
    <cellStyle name="쉼표 [0] 2" xfId="6"/>
    <cellStyle name="쉼표 [0] 2 2" xfId="11"/>
    <cellStyle name="쉼표 [0] 3" xfId="9"/>
    <cellStyle name="열어 본 하이퍼링크" xfId="2" builtinId="9"/>
    <cellStyle name="좋음 2" xfId="4"/>
    <cellStyle name="표준" xfId="0" builtinId="0"/>
    <cellStyle name="표준 2" xfId="7"/>
    <cellStyle name="표준 2 2" xfId="12"/>
    <cellStyle name="표준 3" xfId="8"/>
    <cellStyle name="하이퍼링크" xfId="3" builtinId="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FF2CC"/>
      <color rgb="FF66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정호철" id="{02238782-F4B9-40E8-A3B0-02E93E3799AE}" userId="S::hcjung@ccej.or.kr::800af3d3-5658-4488-94b0-1ba2878b01ab"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2" dT="2023-12-28T05:43:57.87" personId="{02238782-F4B9-40E8-A3B0-02E93E3799AE}" id="{1363C775-377A-45B9-9A1F-E559AB259536}">
    <text>동일인</text>
  </threadedComment>
  <threadedComment ref="BG2" dT="2024-01-05T07:42:54.39" personId="{02238782-F4B9-40E8-A3B0-02E93E3799AE}" id="{D6919D1E-3BDE-4D30-A465-3058FE4B8C72}">
    <text>미공시</text>
  </threadedComment>
  <threadedComment ref="BG5" dT="2024-01-05T07:42:54.39" personId="{02238782-F4B9-40E8-A3B0-02E93E3799AE}" id="{09F30FF4-C1AC-4F4F-9EA0-4224551D7814}">
    <text>미공시</text>
  </threadedComment>
  <threadedComment ref="AM6" dT="2023-12-28T05:43:57.87" personId="{02238782-F4B9-40E8-A3B0-02E93E3799AE}" id="{1598FC38-C421-411E-8741-8A43B0D30AAE}">
    <text>동일인</text>
  </threadedComment>
  <threadedComment ref="BG6" dT="2024-01-05T07:42:54.39" personId="{02238782-F4B9-40E8-A3B0-02E93E3799AE}" id="{057779F6-1BA0-4CE1-8239-3A7A77B0230E}">
    <text>미공시</text>
  </threadedComment>
  <threadedComment ref="BG7" dT="2024-01-05T07:42:54.39" personId="{02238782-F4B9-40E8-A3B0-02E93E3799AE}" id="{7EE5FBC2-1D41-458E-A6B3-3074B421AC51}">
    <text>미공시</text>
  </threadedComment>
  <threadedComment ref="BG8" dT="2024-01-05T07:42:54.39" personId="{02238782-F4B9-40E8-A3B0-02E93E3799AE}" id="{0A5E9F16-57A8-4B0A-89BC-A20DDD3619B9}">
    <text>미공시</text>
  </threadedComment>
  <threadedComment ref="AM9" dT="2023-12-28T05:43:57.87" personId="{02238782-F4B9-40E8-A3B0-02E93E3799AE}" id="{30203850-E9A4-46EB-BEBA-41F2FFBD791E}">
    <text>동일인</text>
  </threadedComment>
  <threadedComment ref="BG9" dT="2024-01-05T07:42:54.39" personId="{02238782-F4B9-40E8-A3B0-02E93E3799AE}" id="{DCB99972-FEF8-4CB8-83FD-B28BE593A527}">
    <text>미공시</text>
  </threadedComment>
  <threadedComment ref="AM11" dT="2023-12-28T05:43:57.87" personId="{02238782-F4B9-40E8-A3B0-02E93E3799AE}" id="{6D8D4446-9994-45D4-A3AE-8B8C40198F14}">
    <text>동일인</text>
  </threadedComment>
  <threadedComment ref="BG11" dT="2024-01-05T07:42:54.39" personId="{02238782-F4B9-40E8-A3B0-02E93E3799AE}" id="{BEBC05E6-7583-4873-850A-BBF994DC165E}">
    <text>미공시</text>
  </threadedComment>
  <threadedComment ref="BG13" dT="2024-01-05T07:42:54.39" personId="{02238782-F4B9-40E8-A3B0-02E93E3799AE}" id="{E40F2B61-756C-4A5C-900C-8CBFE46DF064}">
    <text>미공시</text>
  </threadedComment>
  <threadedComment ref="BG16" dT="2024-01-05T07:42:54.39" personId="{02238782-F4B9-40E8-A3B0-02E93E3799AE}" id="{B5038562-A383-402B-8EDB-42F695F97C2C}">
    <text>미공시</text>
  </threadedComment>
  <threadedComment ref="AM19" dT="2023-12-28T05:43:57.87" personId="{02238782-F4B9-40E8-A3B0-02E93E3799AE}" id="{EFCD694C-F6CB-458F-8691-438C5E25E6A6}">
    <text>동일인</text>
  </threadedComment>
  <threadedComment ref="BG20" dT="2024-01-05T07:42:54.39" personId="{02238782-F4B9-40E8-A3B0-02E93E3799AE}" id="{57E43298-CB28-41BB-8DBD-6A702B7D341D}">
    <text>미공시</text>
  </threadedComment>
  <threadedComment ref="BG21" dT="2024-01-05T07:42:54.39" personId="{02238782-F4B9-40E8-A3B0-02E93E3799AE}" id="{A7E5A2E1-9C58-49CA-96F8-65435011CD6A}">
    <text>미공시</text>
  </threadedComment>
  <threadedComment ref="BG23" dT="2024-01-05T07:42:54.39" personId="{02238782-F4B9-40E8-A3B0-02E93E3799AE}" id="{AC653055-7293-4BF9-8794-6CFE469BB799}">
    <text>미공시</text>
  </threadedComment>
  <threadedComment ref="AM24" dT="2023-12-28T05:43:57.87" personId="{02238782-F4B9-40E8-A3B0-02E93E3799AE}" id="{8B4343B7-E7E7-463B-9C1C-133E2804667F}">
    <text>동일인</text>
  </threadedComment>
  <threadedComment ref="AM25" dT="2023-12-28T05:43:57.87" personId="{02238782-F4B9-40E8-A3B0-02E93E3799AE}" id="{C6E0409B-350D-40E1-A62A-D8541C2F8BA4}">
    <text>동일인</text>
  </threadedComment>
  <threadedComment ref="BG25" dT="2024-01-05T07:42:54.39" personId="{02238782-F4B9-40E8-A3B0-02E93E3799AE}" id="{CDAD6FB6-7D7E-45C8-9F50-034AFB908227}">
    <text>미공시</text>
  </threadedComment>
  <threadedComment ref="AM26" dT="2023-12-28T05:43:57.87" personId="{02238782-F4B9-40E8-A3B0-02E93E3799AE}" id="{1C1653E9-794F-4366-8004-1EF918FDF292}">
    <text>동일인</text>
  </threadedComment>
  <threadedComment ref="BG27" dT="2024-01-05T07:42:54.39" personId="{02238782-F4B9-40E8-A3B0-02E93E3799AE}" id="{1010DE91-0CCF-4BE6-85B1-2249AD8477E6}">
    <text>미공시</text>
  </threadedComment>
  <threadedComment ref="BG29" dT="2024-01-05T07:42:54.39" personId="{02238782-F4B9-40E8-A3B0-02E93E3799AE}" id="{B11AB497-1602-4DC8-8045-BBBAEEACE0AD}">
    <text>미공시</text>
  </threadedComment>
  <threadedComment ref="BG30" dT="2024-01-05T07:42:54.39" personId="{02238782-F4B9-40E8-A3B0-02E93E3799AE}" id="{C3FDF245-89F5-400A-9951-8BB4342A592F}">
    <text>미공시</text>
  </threadedComment>
  <threadedComment ref="BG31" dT="2024-01-05T07:42:54.39" personId="{02238782-F4B9-40E8-A3B0-02E93E3799AE}" id="{02A1BD00-B8A4-4E7A-81C1-A18ADCABD3A1}">
    <text>미공시</text>
  </threadedComment>
  <threadedComment ref="BG32" dT="2024-01-05T07:42:54.39" personId="{02238782-F4B9-40E8-A3B0-02E93E3799AE}" id="{CE990E61-BB8D-4A85-996E-505CABF3D942}">
    <text>미공시</text>
  </threadedComment>
  <threadedComment ref="BG33" dT="2024-01-05T07:42:54.39" personId="{02238782-F4B9-40E8-A3B0-02E93E3799AE}" id="{2ACD3646-5534-4AB9-A875-08176C42194F}">
    <text>미공시</text>
  </threadedComment>
  <threadedComment ref="AM34" dT="2023-12-28T05:43:57.87" personId="{02238782-F4B9-40E8-A3B0-02E93E3799AE}" id="{93A4E789-2CEA-410D-BF42-41EF780ADDF0}">
    <text>동일인</text>
  </threadedComment>
  <threadedComment ref="BG34" dT="2024-01-05T07:42:54.39" personId="{02238782-F4B9-40E8-A3B0-02E93E3799AE}" id="{83560815-D5AA-4AD7-8245-175B614904D2}">
    <text>미공시</text>
  </threadedComment>
  <threadedComment ref="BG35" dT="2024-01-05T07:42:54.39" personId="{02238782-F4B9-40E8-A3B0-02E93E3799AE}" id="{DE59BBAB-B7AE-439B-840C-61BFF33A6F56}">
    <text>미공시</text>
  </threadedComment>
  <threadedComment ref="BG41" dT="2024-01-05T07:42:54.39" personId="{02238782-F4B9-40E8-A3B0-02E93E3799AE}" id="{01C8DF5B-5B59-45AA-8B6B-1F5811BE5A31}">
    <text>미공시</text>
  </threadedComment>
  <threadedComment ref="AM42" dT="2023-12-28T05:43:57.87" personId="{02238782-F4B9-40E8-A3B0-02E93E3799AE}" id="{5C21B511-FD86-4CC7-BF13-B816AF28FBE7}">
    <text>동일인</text>
  </threadedComment>
  <threadedComment ref="AM45" dT="2023-12-28T05:43:57.87" personId="{02238782-F4B9-40E8-A3B0-02E93E3799AE}" id="{8B7A496D-67E3-4D78-BDA5-76774455D9CA}">
    <text>동일인</text>
  </threadedComment>
  <threadedComment ref="BG45" dT="2024-01-05T07:42:54.39" personId="{02238782-F4B9-40E8-A3B0-02E93E3799AE}" id="{F240C808-9CFD-4DEE-844D-45D3DB69D0C9}">
    <text>미공시</text>
  </threadedComment>
  <threadedComment ref="AM48" dT="2023-12-28T05:43:57.87" personId="{02238782-F4B9-40E8-A3B0-02E93E3799AE}" id="{6C24BBB7-E3B5-453A-B84B-B9AF252BF8B6}">
    <text>동일인</text>
  </threadedComment>
  <threadedComment ref="BG48" dT="2024-01-05T07:42:54.39" personId="{02238782-F4B9-40E8-A3B0-02E93E3799AE}" id="{1EF48D21-648A-4926-ADA5-304C45AB8F85}">
    <text>미공시</text>
  </threadedComment>
  <threadedComment ref="AM49" dT="2023-12-28T05:43:57.87" personId="{02238782-F4B9-40E8-A3B0-02E93E3799AE}" id="{EC02E09A-8227-4F5C-ADDE-1469E0BFDCD0}">
    <text>동일인</text>
  </threadedComment>
  <threadedComment ref="BG49" dT="2024-01-05T07:42:54.39" personId="{02238782-F4B9-40E8-A3B0-02E93E3799AE}" id="{4F101EC8-D2F4-4BDA-AB82-BC0A382A36DF}">
    <text>미공시</text>
  </threadedComment>
  <threadedComment ref="BG54" dT="2024-01-05T07:42:54.39" personId="{02238782-F4B9-40E8-A3B0-02E93E3799AE}" id="{E11D4755-42FE-43E0-B0FC-AA780CDD4990}">
    <text>미공시</text>
  </threadedComment>
  <threadedComment ref="BG55" dT="2024-01-05T07:42:54.39" personId="{02238782-F4B9-40E8-A3B0-02E93E3799AE}" id="{4D8D55B6-B9F1-445E-A12C-4198AA8EACD5}">
    <text>미공시</text>
  </threadedComment>
  <threadedComment ref="V58" dT="2023-12-11T08:03:24.63" personId="{02238782-F4B9-40E8-A3B0-02E93E3799AE}" id="{1B9F2F82-5F46-4FD6-AA4B-F5FD3D6FC8CC}">
    <text>https://img.seoul.co.kr//img/upload/2015/06/17/SSI_20150617204304.jpg</text>
    <extLst>
      <x:ext xmlns:xltc2="http://schemas.microsoft.com/office/spreadsheetml/2020/threadedcomments2" uri="{F7C98A9C-CBB3-438F-8F68-D28B6AF4A901}">
        <xltc2:checksum>86387656</xltc2:checksum>
        <xltc2:hyperlink startIndex="0" length="69" url="https://img.seoul.co.kr//img/upload/2015/06/17/SSI_20150617204304.jpg"/>
      </x:ext>
    </extLst>
  </threadedComment>
  <threadedComment ref="BG62" dT="2024-01-05T07:42:54.39" personId="{02238782-F4B9-40E8-A3B0-02E93E3799AE}" id="{DCED92F3-4489-4FF9-8095-FCA5D5D955DB}">
    <text>미공시</text>
  </threadedComment>
  <threadedComment ref="BG65" dT="2024-01-05T07:42:54.39" personId="{02238782-F4B9-40E8-A3B0-02E93E3799AE}" id="{307832C3-A370-4FB4-AD40-8072E6BD2739}">
    <text>미공시</text>
  </threadedComment>
  <threadedComment ref="BG72" dT="2024-01-05T07:42:54.39" personId="{02238782-F4B9-40E8-A3B0-02E93E3799AE}" id="{9A883C27-F53B-4B8E-944C-5162EA0E3EF4}">
    <text>미공시</text>
  </threadedComment>
  <threadedComment ref="AM74" dT="2023-12-28T05:43:57.87" personId="{02238782-F4B9-40E8-A3B0-02E93E3799AE}" id="{DCE6152C-7C6A-4DA5-A88A-E11C74C2006C}">
    <text>동일인</text>
  </threadedComment>
  <threadedComment ref="AM75" dT="2023-12-28T05:43:57.87" personId="{02238782-F4B9-40E8-A3B0-02E93E3799AE}" id="{1A4AB699-F602-460C-9D4B-E4CA1089067E}">
    <text>동일인</text>
  </threadedComment>
  <threadedComment ref="BG75" dT="2024-01-05T07:42:54.39" personId="{02238782-F4B9-40E8-A3B0-02E93E3799AE}" id="{FC7ED292-91A1-4BC4-ABC2-F8EFBB4475E7}">
    <text>미공시</text>
  </threadedComment>
  <threadedComment ref="AM78" dT="2023-12-28T05:43:57.87" personId="{02238782-F4B9-40E8-A3B0-02E93E3799AE}" id="{8FA6BB9B-F3FB-48EC-A976-D73CF746F013}">
    <text>동일인</text>
  </threadedComment>
  <threadedComment ref="AM80" dT="2023-12-28T05:43:57.87" personId="{02238782-F4B9-40E8-A3B0-02E93E3799AE}" id="{A6086166-15C2-469F-B75E-61DFE20E7D1B}">
    <text>동일인</text>
  </threadedComment>
  <threadedComment ref="BG81" dT="2024-01-05T07:42:54.39" personId="{02238782-F4B9-40E8-A3B0-02E93E3799AE}" id="{DA2DC55A-A11C-45C9-9F01-16149C649135}">
    <text>미공시</text>
  </threadedComment>
  <threadedComment ref="AM83" dT="2023-12-28T05:43:57.87" personId="{02238782-F4B9-40E8-A3B0-02E93E3799AE}" id="{4B92259B-C4CE-4C05-B91A-DD175257AC36}">
    <text>동일인</text>
  </threadedComment>
  <threadedComment ref="BG87" dT="2024-01-05T07:42:54.39" personId="{02238782-F4B9-40E8-A3B0-02E93E3799AE}" id="{D23BB55C-8777-48F5-BB74-390CC53129A6}">
    <text>미공시</text>
  </threadedComment>
  <threadedComment ref="Z89" dT="2023-12-12T02:37:41.70" personId="{02238782-F4B9-40E8-A3B0-02E93E3799AE}" id="{A6A5A886-5E6D-4F69-9ED7-0EF75A5789EF}">
    <text>리빙소프트㈜ 특수관계 회사</text>
  </threadedComment>
  <threadedComment ref="BG91" dT="2024-01-05T07:42:54.39" personId="{02238782-F4B9-40E8-A3B0-02E93E3799AE}" id="{2B01CE05-286B-4C5D-819D-496371601877}">
    <text>미공시</text>
  </threadedComment>
  <threadedComment ref="BG102" dT="2024-01-05T07:42:54.39" personId="{02238782-F4B9-40E8-A3B0-02E93E3799AE}" id="{95B69CCE-56AE-4F2D-9E5A-60CB688CCAA1}">
    <text>미공시</text>
  </threadedComment>
  <threadedComment ref="BG108" dT="2024-01-05T07:42:54.39" personId="{02238782-F4B9-40E8-A3B0-02E93E3799AE}" id="{B9D8B373-3648-4D75-B9DF-9D5BDF2817F0}">
    <text>미공시</text>
  </threadedComment>
  <threadedComment ref="BG109" dT="2024-01-05T07:42:54.39" personId="{02238782-F4B9-40E8-A3B0-02E93E3799AE}" id="{BC6FC427-9A9F-4589-B57E-45F885468D56}">
    <text>미공시</text>
  </threadedComment>
  <threadedComment ref="BG115" dT="2024-01-05T07:42:54.39" personId="{02238782-F4B9-40E8-A3B0-02E93E3799AE}" id="{C4A8F22A-619C-4F5B-A451-2FEF05878FA0}">
    <text>미공시</text>
  </threadedComment>
  <threadedComment ref="BG117" dT="2024-01-05T07:42:54.39" personId="{02238782-F4B9-40E8-A3B0-02E93E3799AE}" id="{87D019FC-7CDC-47E9-B858-F59515348C77}">
    <text>미공시</text>
  </threadedComment>
  <threadedComment ref="BG121" dT="2024-01-05T07:42:54.39" personId="{02238782-F4B9-40E8-A3B0-02E93E3799AE}" id="{064D7E80-9CD7-47F3-A5A3-FA96D8D6FC4B}">
    <text>미공시</text>
  </threadedComment>
  <threadedComment ref="AM122" dT="2023-12-28T05:43:57.87" personId="{02238782-F4B9-40E8-A3B0-02E93E3799AE}" id="{C416B066-F52D-421A-9246-ACAA63076587}">
    <text>동일인</text>
  </threadedComment>
  <threadedComment ref="AZ131" dT="2024-01-03T01:09:59.73" personId="{02238782-F4B9-40E8-A3B0-02E93E3799AE}" id="{6B5F3CAE-D77E-403F-9AD6-4C7006AD0E0F}">
    <text>미공시, 최하점</text>
  </threadedComment>
  <threadedComment ref="AM132" dT="2023-12-28T05:43:57.87" personId="{02238782-F4B9-40E8-A3B0-02E93E3799AE}" id="{765F4B66-DF96-421F-B97D-DE73E9C52AF6}">
    <text>동일인</text>
  </threadedComment>
  <threadedComment ref="AM133" dT="2023-12-28T05:43:57.87" personId="{02238782-F4B9-40E8-A3B0-02E93E3799AE}" id="{4ED1F575-3656-4A1C-8012-1FA0C1B0E1C6}">
    <text>동일인</text>
  </threadedComment>
  <threadedComment ref="BG134" dT="2024-01-05T07:42:54.39" personId="{02238782-F4B9-40E8-A3B0-02E93E3799AE}" id="{D78E6A82-D0FD-4C58-B3E5-CCBEF0F04CCF}">
    <text>미공시</text>
  </threadedComment>
  <threadedComment ref="BG135" dT="2024-01-05T07:42:54.39" personId="{02238782-F4B9-40E8-A3B0-02E93E3799AE}" id="{AF363200-6D1A-4FC0-AF1E-8A3C833371CF}">
    <text>미공시</text>
  </threadedComment>
  <threadedComment ref="BG136" dT="2024-01-05T07:42:54.39" personId="{02238782-F4B9-40E8-A3B0-02E93E3799AE}" id="{7974EBB4-83CE-4D4B-A8DE-4204FF22331B}">
    <text>미공시</text>
  </threadedComment>
  <threadedComment ref="BG138" dT="2024-01-05T07:42:54.39" personId="{02238782-F4B9-40E8-A3B0-02E93E3799AE}" id="{293FC0E2-D125-4F51-B932-465B090A014E}">
    <text>미공시</text>
  </threadedComment>
  <threadedComment ref="BG139" dT="2024-01-05T07:42:54.39" personId="{02238782-F4B9-40E8-A3B0-02E93E3799AE}" id="{F6DF46EC-4089-45AA-B822-37AC3BCD0578}">
    <text>미공시</text>
  </threadedComment>
  <threadedComment ref="BG140" dT="2024-01-05T07:42:54.39" personId="{02238782-F4B9-40E8-A3B0-02E93E3799AE}" id="{77EB030F-C9A6-4817-A4AB-936DCBF174DF}">
    <text>미공시</text>
  </threadedComment>
  <threadedComment ref="BG141" dT="2024-01-05T07:42:54.39" personId="{02238782-F4B9-40E8-A3B0-02E93E3799AE}" id="{DDE55258-E532-4BFC-BF7E-807851020452}">
    <text>미공시</text>
  </threadedComment>
  <threadedComment ref="BG142" dT="2024-01-05T07:42:54.39" personId="{02238782-F4B9-40E8-A3B0-02E93E3799AE}" id="{819F3C36-194F-4C1E-A22C-49C30EC4E367}">
    <text>미공시</text>
  </threadedComment>
  <threadedComment ref="BG143" dT="2024-01-05T07:42:54.39" personId="{02238782-F4B9-40E8-A3B0-02E93E3799AE}" id="{05D35DC3-C6D4-47A7-87CA-E8E6D381160A}">
    <text>미공시</text>
  </threadedComment>
  <threadedComment ref="AM145" dT="2023-12-28T05:43:57.87" personId="{02238782-F4B9-40E8-A3B0-02E93E3799AE}" id="{CE1ED0A2-0554-49A2-A1AD-B623D88DD628}">
    <text>동일인</text>
  </threadedComment>
  <threadedComment ref="BG145" dT="2024-01-05T07:42:54.39" personId="{02238782-F4B9-40E8-A3B0-02E93E3799AE}" id="{21973121-DFC5-4EB4-B5F3-0289D9DF2229}">
    <text>미공시</text>
  </threadedComment>
  <threadedComment ref="BG146" dT="2024-01-05T07:42:54.39" personId="{02238782-F4B9-40E8-A3B0-02E93E3799AE}" id="{F16CED8E-7348-46D0-A069-643F05CEC30F}">
    <text>미공시</text>
  </threadedComment>
  <threadedComment ref="BS146" dT="2024-01-09T02:14:32.09" personId="{02238782-F4B9-40E8-A3B0-02E93E3799AE}" id="{A93896F4-1AA2-4CB2-AF0E-BB0C57276604}">
    <text>관계사 인수합병</text>
  </threadedComment>
  <threadedComment ref="W150" dT="2023-12-15T08:39:25.29" personId="{02238782-F4B9-40E8-A3B0-02E93E3799AE}" id="{479FE27C-40CD-42B2-B70D-EAE2AC6AB01C}">
    <text>주주현황 누락공시</text>
  </threadedComment>
  <threadedComment ref="BG150" dT="2024-01-05T07:42:54.39" personId="{02238782-F4B9-40E8-A3B0-02E93E3799AE}" id="{AD1F552E-7365-431B-B565-318D04A13787}">
    <text>미공시</text>
  </threadedComment>
  <threadedComment ref="BG153" dT="2024-01-05T07:42:54.39" personId="{02238782-F4B9-40E8-A3B0-02E93E3799AE}" id="{3F806AE0-6F95-42C3-843C-17BA56AADC7F}">
    <text>미공시</text>
  </threadedComment>
  <threadedComment ref="BG157" dT="2024-01-05T07:42:54.39" personId="{02238782-F4B9-40E8-A3B0-02E93E3799AE}" id="{A33B1602-A921-40DD-8EF1-C6178097215C}">
    <text>미공시</text>
  </threadedComment>
  <threadedComment ref="AM159" dT="2023-12-28T05:43:57.87" personId="{02238782-F4B9-40E8-A3B0-02E93E3799AE}" id="{8B8D2046-8A44-4767-B882-77DAA92A8B93}">
    <text>동일인</text>
  </threadedComment>
  <threadedComment ref="AM161" dT="2023-12-27T08:30:04.65" personId="{02238782-F4B9-40E8-A3B0-02E93E3799AE}" id="{9556784E-5E19-4DAC-AE2A-4564E795DB3D}">
    <text>모회사 대주주</text>
  </threadedComment>
  <threadedComment ref="AM163" dT="2023-12-27T08:30:04.65" personId="{02238782-F4B9-40E8-A3B0-02E93E3799AE}" id="{9FCA69C1-1A04-4FDA-B3BD-A959C0EDF08D}">
    <text>모회사 대주주</text>
  </threadedComment>
  <threadedComment ref="BG164" dT="2024-01-05T07:42:54.39" personId="{02238782-F4B9-40E8-A3B0-02E93E3799AE}" id="{AB677D50-687A-40DE-B27E-4160D43E6E90}">
    <text>미공시</text>
  </threadedComment>
  <threadedComment ref="BG166" dT="2024-01-05T07:42:54.39" personId="{02238782-F4B9-40E8-A3B0-02E93E3799AE}" id="{3BEDAC0D-4A5A-494B-8334-F4F48C423B1A}">
    <text>미공시</text>
  </threadedComment>
  <threadedComment ref="AM168" dT="2023-12-28T05:43:57.87" personId="{02238782-F4B9-40E8-A3B0-02E93E3799AE}" id="{BB969D74-3DCB-4105-9B51-BA6228386F4B}">
    <text>동일인</text>
  </threadedComment>
  <threadedComment ref="BG169" dT="2024-01-05T07:42:54.39" personId="{02238782-F4B9-40E8-A3B0-02E93E3799AE}" id="{8ED93382-2818-4675-A534-3FE9B03ED3F4}">
    <text>미공시</text>
  </threadedComment>
  <threadedComment ref="AZ172" dT="2024-01-03T01:09:59.73" personId="{02238782-F4B9-40E8-A3B0-02E93E3799AE}" id="{95E6F649-D1C1-4315-BBD6-E25F70A989E1}">
    <text>미공시, 최하점</text>
  </threadedComment>
  <threadedComment ref="BG172" dT="2024-01-05T07:42:54.39" personId="{02238782-F4B9-40E8-A3B0-02E93E3799AE}" id="{CBAD5D76-0E89-43E1-ACAC-98AE2EE99DB7}">
    <text>미공시</text>
  </threadedComment>
  <threadedComment ref="AM174" dT="2023-12-28T05:43:57.87" personId="{02238782-F4B9-40E8-A3B0-02E93E3799AE}" id="{B8A3EB19-C8FB-48D7-A3BA-A62E01160C06}">
    <text>동일인</text>
  </threadedComment>
  <threadedComment ref="BG176" dT="2024-01-05T07:42:54.39" personId="{02238782-F4B9-40E8-A3B0-02E93E3799AE}" id="{3FA85298-373A-4935-A208-03497A1FEE47}">
    <text>미공시</text>
  </threadedComment>
  <threadedComment ref="BG180" dT="2024-01-05T07:42:54.39" personId="{02238782-F4B9-40E8-A3B0-02E93E3799AE}" id="{7B75E94F-69C7-43CC-9806-574EA1F21BA0}">
    <text>미공시</text>
  </threadedComment>
  <threadedComment ref="BG181" dT="2024-01-05T07:42:54.39" personId="{02238782-F4B9-40E8-A3B0-02E93E3799AE}" id="{77C31D1D-BF55-4203-B0CE-BE2B3CD866B8}">
    <text>미공시</text>
  </threadedComment>
  <threadedComment ref="AM182" dT="2023-12-28T05:43:57.87" personId="{02238782-F4B9-40E8-A3B0-02E93E3799AE}" id="{54A8F48D-0BE8-4F0E-B398-7D496807483B}">
    <text>동일인 홍사승</text>
  </threadedComment>
  <threadedComment ref="AM186" dT="2023-12-28T05:43:57.87" personId="{02238782-F4B9-40E8-A3B0-02E93E3799AE}" id="{A679A229-E65C-49CE-A844-B972C66B26A1}">
    <text>동일인</text>
  </threadedComment>
  <threadedComment ref="AM187" dT="2023-12-28T05:43:57.87" personId="{02238782-F4B9-40E8-A3B0-02E93E3799AE}" id="{FBB4A37F-5D4E-4D96-8317-507A85B5616B}">
    <text>동일인</text>
  </threadedComment>
  <threadedComment ref="BG193" dT="2024-01-05T07:42:54.39" personId="{02238782-F4B9-40E8-A3B0-02E93E3799AE}" id="{D981B269-6DB5-402B-964A-A49650C026B0}">
    <text>미공시</text>
  </threadedComment>
  <threadedComment ref="BO194" dT="2024-01-05T07:42:54.39" personId="{02238782-F4B9-40E8-A3B0-02E93E3799AE}" id="{E5E5D94A-89D5-4D80-A271-2C1FF970E8A2}">
    <text>미공시</text>
  </threadedComment>
  <threadedComment ref="CH194" dT="2024-03-21T04:49:56.67" personId="{02238782-F4B9-40E8-A3B0-02E93E3799AE}" id="{E6E7626D-FD42-4D77-B772-7E9A7D25B911}">
    <text>수기계산 : 신용위험 / 총자산</text>
  </threadedComment>
  <threadedComment ref="V195" dT="2023-12-12T08:51:53.73" personId="{02238782-F4B9-40E8-A3B0-02E93E3799AE}" id="{9FE81FB8-360E-4D57-B725-B010A8B78D6E}">
    <text>엔디케이㈜ 총수일가</text>
  </threadedComment>
  <threadedComment ref="AM198" dT="2023-12-28T05:43:57.87" personId="{02238782-F4B9-40E8-A3B0-02E93E3799AE}" id="{E7EB978E-B6E1-48D4-90B5-E56CECC6D186}">
    <text>동일인</text>
  </threadedComment>
  <threadedComment ref="BG199" dT="2024-01-05T07:42:54.39" personId="{02238782-F4B9-40E8-A3B0-02E93E3799AE}" id="{7778566B-A02F-4003-BA7E-06E6E6CA574B}">
    <text>미공시</text>
  </threadedComment>
  <threadedComment ref="BG200" dT="2024-01-05T07:42:54.39" personId="{02238782-F4B9-40E8-A3B0-02E93E3799AE}" id="{F9856E52-9911-4237-BDB6-31147DFC5854}">
    <text>미공시</text>
  </threadedComment>
  <threadedComment ref="AM202" dT="2023-12-28T01:24:00.88" personId="{02238782-F4B9-40E8-A3B0-02E93E3799AE}" id="{08238575-7988-45EF-A644-0912559412DC}">
    <text>윤형덕, 윤새봄 동일인 간주</text>
  </threadedComment>
  <threadedComment ref="BO202" dT="2024-01-09T03:47:16.52" personId="{02238782-F4B9-40E8-A3B0-02E93E3799AE}" id="{803F3D45-C2D1-47D6-B9D4-1E5E94BD8E5F}">
    <text>100% 정부보조금</text>
  </threadedComment>
  <threadedComment ref="V205" dT="2023-12-28T01:31:57.62" personId="{02238782-F4B9-40E8-A3B0-02E93E3799AE}" id="{BB90150E-FB99-487F-8049-C94FAC4ADD79}">
    <text>이조영 (누락공시) 친족 간주</text>
  </threadedComment>
  <threadedComment ref="U209" dT="2023-12-13T00:39:35.35" personId="{02238782-F4B9-40E8-A3B0-02E93E3799AE}" id="{CACEB50B-55AC-424D-B789-A88D05BC332D}">
    <text>비영리법인 동일인</text>
  </threadedComment>
  <threadedComment ref="X209" dT="2023-12-13T00:39:45.32" personId="{02238782-F4B9-40E8-A3B0-02E93E3799AE}" id="{30C6D8C4-3DB1-46D2-AB5E-9B955C2BD371}">
    <text>비영리법인 동일인</text>
  </threadedComment>
  <threadedComment ref="BG212" dT="2024-01-05T07:42:54.39" personId="{02238782-F4B9-40E8-A3B0-02E93E3799AE}" id="{2821B4DB-5159-4B00-A078-08FEFEDA57CE}">
    <text>미공시</text>
  </threadedComment>
  <threadedComment ref="AM213" dT="2023-12-28T01:52:12.85" personId="{02238782-F4B9-40E8-A3B0-02E93E3799AE}" id="{41FD9E2A-551C-482F-93BC-78D56B783927}">
    <text>동일인</text>
  </threadedComment>
  <threadedComment ref="BG214" dT="2024-01-05T07:42:54.39" personId="{02238782-F4B9-40E8-A3B0-02E93E3799AE}" id="{7B666811-B07E-4080-B765-5C0AD82702A7}">
    <text>미공시</text>
  </threadedComment>
  <threadedComment ref="U219" dT="2023-12-13T02:27:17.61" personId="{02238782-F4B9-40E8-A3B0-02E93E3799AE}" id="{D910770C-3EF4-4A14-906D-C3491538A2D6}">
    <text>비영리법인 동일인</text>
  </threadedComment>
  <threadedComment ref="X219" dT="2023-12-13T02:27:26.97" personId="{02238782-F4B9-40E8-A3B0-02E93E3799AE}" id="{41CD9D6E-642C-40E5-AC3B-C429F82A8BFF}">
    <text>비영리법인 동일인</text>
  </threadedComment>
  <threadedComment ref="AM221" dT="2023-12-28T01:52:12.85" personId="{02238782-F4B9-40E8-A3B0-02E93E3799AE}" id="{09ACAC0B-C124-4811-9779-0E8BCF377A1A}">
    <text>동일인</text>
  </threadedComment>
  <threadedComment ref="BG221" dT="2024-01-05T07:42:54.39" personId="{02238782-F4B9-40E8-A3B0-02E93E3799AE}" id="{5E3B60AD-1FEF-46AC-95D9-4536ED526581}">
    <text>미공시</text>
  </threadedComment>
  <threadedComment ref="BG222" dT="2024-01-05T07:42:54.39" personId="{02238782-F4B9-40E8-A3B0-02E93E3799AE}" id="{ABA697DC-A8B2-489E-86A3-9ADF676D4A46}">
    <text>미공시</text>
  </threadedComment>
  <threadedComment ref="BG223" dT="2024-01-05T07:42:54.39" personId="{02238782-F4B9-40E8-A3B0-02E93E3799AE}" id="{06140B27-352D-4940-8422-4FCB5A69258A}">
    <text>미공시</text>
  </threadedComment>
  <threadedComment ref="BG225" dT="2024-01-05T07:42:54.39" personId="{02238782-F4B9-40E8-A3B0-02E93E3799AE}" id="{F05533F6-FF09-4D51-9C8D-C9CCAB1F4A33}">
    <text>미공시</text>
  </threadedComment>
  <threadedComment ref="BG226" dT="2024-01-05T07:42:54.39" personId="{02238782-F4B9-40E8-A3B0-02E93E3799AE}" id="{5185537F-6934-4118-ABFC-F87CC1F71D3E}">
    <text>미공시</text>
  </threadedComment>
  <threadedComment ref="AM228" dT="2023-12-28T02:12:07.47" personId="{02238782-F4B9-40E8-A3B0-02E93E3799AE}" id="{582E2BF9-19D8-4AF0-9000-A44B50DDE264}">
    <text>동일인</text>
  </threadedComment>
  <threadedComment ref="BG228" dT="2024-01-05T07:42:54.39" personId="{02238782-F4B9-40E8-A3B0-02E93E3799AE}" id="{A7802D31-A8F5-4362-9088-7B55BEE0DAE4}">
    <text>미공시</text>
  </threadedComment>
  <threadedComment ref="BG231" dT="2024-01-05T07:42:54.39" personId="{02238782-F4B9-40E8-A3B0-02E93E3799AE}" id="{E1BB5AC0-5511-49B2-ADA0-B960A1946CA5}">
    <text>미공시</text>
  </threadedComment>
  <threadedComment ref="BG232" dT="2024-01-05T07:42:54.39" personId="{02238782-F4B9-40E8-A3B0-02E93E3799AE}" id="{7C84CF9C-8F7C-4FE2-A8CD-AB7F147D193B}">
    <text>미공시</text>
  </threadedComment>
  <threadedComment ref="AM234" dT="2023-12-28T02:12:07.47" personId="{02238782-F4B9-40E8-A3B0-02E93E3799AE}" id="{C5B073D7-8143-4175-A3E9-EFE5DFBF880A}">
    <text>동일인</text>
  </threadedComment>
  <threadedComment ref="BG236" dT="2024-01-05T07:42:54.39" personId="{02238782-F4B9-40E8-A3B0-02E93E3799AE}" id="{91EAB4F8-59B4-45D0-92A4-66FC05E85FCE}">
    <text>미공시</text>
  </threadedComment>
  <threadedComment ref="BG238" dT="2024-01-05T07:42:54.39" personId="{02238782-F4B9-40E8-A3B0-02E93E3799AE}" id="{D2722FEC-E54E-42BE-AED4-94933C19138A}">
    <text>미공시</text>
  </threadedComment>
  <threadedComment ref="U242" dT="2023-12-13T03:14:20.17" personId="{02238782-F4B9-40E8-A3B0-02E93E3799AE}" id="{0A38F90C-2306-458C-B0F6-A3E50C1CB403}">
    <text>국민연금 대주주 동일인 없음</text>
  </threadedComment>
  <threadedComment ref="BG242" dT="2024-01-05T07:42:54.39" personId="{02238782-F4B9-40E8-A3B0-02E93E3799AE}" id="{7B98606F-D2F1-460D-AA4A-A5464BDCF7E3}">
    <text>미공시</text>
  </threadedComment>
  <threadedComment ref="BG243" dT="2024-01-05T07:42:54.39" personId="{02238782-F4B9-40E8-A3B0-02E93E3799AE}" id="{CBF7C7D6-C1F8-4379-A813-6D3C04FF14D1}">
    <text>미공시</text>
  </threadedComment>
  <threadedComment ref="U244" dT="2023-12-13T03:14:20.17" personId="{02238782-F4B9-40E8-A3B0-02E93E3799AE}" id="{3C87149F-2A29-4025-A24F-C36B7DA30C01}">
    <text>국민연금 대주주 동일인 없음</text>
  </threadedComment>
  <threadedComment ref="BG244" dT="2024-01-05T07:42:54.39" personId="{02238782-F4B9-40E8-A3B0-02E93E3799AE}" id="{D4471454-AD69-40C1-B6A3-7FF4B9DB54FB}">
    <text>미공시</text>
  </threadedComment>
  <threadedComment ref="BG246" dT="2024-01-05T07:42:54.39" personId="{02238782-F4B9-40E8-A3B0-02E93E3799AE}" id="{037BFE83-ED7D-4EF4-B96A-8260412C25CB}">
    <text>미공시</text>
  </threadedComment>
  <threadedComment ref="AM247" dT="2023-12-28T02:12:07.47" personId="{02238782-F4B9-40E8-A3B0-02E93E3799AE}" id="{9F79F242-94AA-4884-A81B-5B7FD4D0B34C}">
    <text>동일인</text>
  </threadedComment>
  <threadedComment ref="AM248" dT="2023-12-28T02:12:07.47" personId="{02238782-F4B9-40E8-A3B0-02E93E3799AE}" id="{228A28FF-78FA-4350-8A5B-BF8922D590A6}">
    <text>동일인</text>
  </threadedComment>
  <threadedComment ref="BG248" dT="2024-01-05T07:42:54.39" personId="{02238782-F4B9-40E8-A3B0-02E93E3799AE}" id="{A4EA06E6-7D38-4F9B-93DF-0C3240DC7061}">
    <text>미공시</text>
  </threadedComment>
  <threadedComment ref="BG249" dT="2024-01-05T07:42:54.39" personId="{02238782-F4B9-40E8-A3B0-02E93E3799AE}" id="{6AF1A160-E8A9-46C0-B0A2-F2C78BCB34DE}">
    <text>미공시</text>
  </threadedComment>
  <threadedComment ref="AM250" dT="2023-12-28T03:04:25.17" personId="{02238782-F4B9-40E8-A3B0-02E93E3799AE}" id="{4783B2A9-72A2-4D91-A093-D1780D169969}">
    <text>동일인</text>
  </threadedComment>
  <threadedComment ref="BG250" dT="2024-01-05T07:42:54.39" personId="{02238782-F4B9-40E8-A3B0-02E93E3799AE}" id="{7EC092AF-B6A9-40C7-B4BD-1FD55A7BFB42}">
    <text>미공시</text>
  </threadedComment>
  <threadedComment ref="BG251" dT="2024-01-05T07:42:54.39" personId="{02238782-F4B9-40E8-A3B0-02E93E3799AE}" id="{9AEB3888-A633-448A-8AFB-8BF9DB12D0B6}">
    <text>미공시</text>
  </threadedComment>
  <threadedComment ref="AM252" dT="2023-12-28T03:04:25.17" personId="{02238782-F4B9-40E8-A3B0-02E93E3799AE}" id="{30DFD5C3-1DE6-4778-9DFD-0D57F147A7AF}">
    <text>동일인</text>
  </threadedComment>
  <threadedComment ref="AM255" dT="2023-12-28T03:13:53.36" personId="{02238782-F4B9-40E8-A3B0-02E93E3799AE}" id="{DB2864B9-9F76-4EFF-BEAD-77B13FA3B060}">
    <text>동일인</text>
  </threadedComment>
  <threadedComment ref="V256" dT="2023-12-28T03:16:41.45" personId="{02238782-F4B9-40E8-A3B0-02E93E3799AE}" id="{82D9D844-5ADD-4CE8-9195-ECA0ABB54CDD}">
    <text>윤영만 누락공시 친족 간주</text>
  </threadedComment>
  <threadedComment ref="BG256" dT="2024-01-05T07:42:54.39" personId="{02238782-F4B9-40E8-A3B0-02E93E3799AE}" id="{B347E410-89F2-4A3E-8277-152D70298FFA}">
    <text>미공시</text>
  </threadedComment>
  <threadedComment ref="V258" dT="2023-12-28T03:28:26.68" personId="{02238782-F4B9-40E8-A3B0-02E93E3799AE}" id="{0C1A2258-7B33-463F-BF12-036EAC74937E}">
    <text>Dart 공시 오류</text>
  </threadedComment>
  <threadedComment ref="BG260" dT="2024-01-05T07:42:54.39" personId="{02238782-F4B9-40E8-A3B0-02E93E3799AE}" id="{BC97818D-84AF-478D-9FB0-CFBB69247BAE}">
    <text>미공시</text>
  </threadedComment>
  <threadedComment ref="BG261" dT="2024-01-05T07:42:54.39" personId="{02238782-F4B9-40E8-A3B0-02E93E3799AE}" id="{AB95D4A3-AFFB-4990-B293-D348F79AEC84}">
    <text>미공시</text>
  </threadedComment>
  <threadedComment ref="AM262" dT="2023-12-28T03:13:53.36" personId="{02238782-F4B9-40E8-A3B0-02E93E3799AE}" id="{DD26A401-21AA-4CE9-9030-67BCAAC90D39}">
    <text>동일인</text>
  </threadedComment>
  <threadedComment ref="BG262" dT="2024-01-05T07:42:54.39" personId="{02238782-F4B9-40E8-A3B0-02E93E3799AE}" id="{17DD53AD-C8E6-4A7E-B4C0-8CA812B0A026}">
    <text>미공시</text>
  </threadedComment>
  <threadedComment ref="AM264" dT="2023-12-28T03:45:25.89" personId="{02238782-F4B9-40E8-A3B0-02E93E3799AE}" id="{8EFFCE6C-6399-47A7-B12A-B45F49D4E0AB}">
    <text>동일인 미등기(누락공시)</text>
  </threadedComment>
  <threadedComment ref="BG266" dT="2024-01-05T07:42:54.39" personId="{02238782-F4B9-40E8-A3B0-02E93E3799AE}" id="{CC2C9C91-E467-4CCA-B55C-1E276AC5EFE4}">
    <text>미공시</text>
  </threadedComment>
  <threadedComment ref="BG267" dT="2024-01-05T07:42:54.39" personId="{02238782-F4B9-40E8-A3B0-02E93E3799AE}" id="{EE88E609-6ABB-48F4-9077-F495DCBD0149}">
    <text>미공시</text>
  </threadedComment>
  <threadedComment ref="AM268" dT="2023-12-28T03:54:02.27" personId="{02238782-F4B9-40E8-A3B0-02E93E3799AE}" id="{AD71F9DC-FBFA-4496-BC4E-60F97025A18A}">
    <text>동일인</text>
  </threadedComment>
  <threadedComment ref="BG270" dT="2024-01-05T07:42:54.39" personId="{02238782-F4B9-40E8-A3B0-02E93E3799AE}" id="{FAA1DE87-26D8-4A0A-BE4E-BADD80368900}">
    <text>미공시</text>
  </threadedComment>
  <threadedComment ref="BG276" dT="2024-01-05T07:42:54.39" personId="{02238782-F4B9-40E8-A3B0-02E93E3799AE}" id="{B5D9B18A-AE6A-4A93-AED9-8AD822FBF3F6}">
    <text>미공시</text>
  </threadedComment>
  <threadedComment ref="AM279" dT="2023-12-28T03:54:02.27" personId="{02238782-F4B9-40E8-A3B0-02E93E3799AE}" id="{A9849BB4-8C5F-4F74-B5EE-D059B21AE962}">
    <text>동일인</text>
  </threadedComment>
  <threadedComment ref="BG279" dT="2024-01-05T07:42:54.39" personId="{02238782-F4B9-40E8-A3B0-02E93E3799AE}" id="{7D201F6F-8118-4606-9C38-DF250D1DBB98}">
    <text>미공시</text>
  </threadedComment>
  <threadedComment ref="BG280" dT="2024-01-05T07:42:54.39" personId="{02238782-F4B9-40E8-A3B0-02E93E3799AE}" id="{4690EE75-2249-4945-A97D-67DF4695180D}">
    <text>미공시</text>
  </threadedComment>
  <threadedComment ref="BG281" dT="2024-01-05T07:42:54.39" personId="{02238782-F4B9-40E8-A3B0-02E93E3799AE}" id="{DDFE23F5-507D-4A6E-B61A-0B3D89A7FE66}">
    <text>미공시</text>
  </threadedComment>
  <threadedComment ref="AM283" dT="2023-12-28T04:16:31.29" personId="{02238782-F4B9-40E8-A3B0-02E93E3799AE}" id="{8B39F20F-7E3F-460A-80F6-F52C3AB97A30}">
    <text>동일인</text>
  </threadedComment>
  <threadedComment ref="BG283" dT="2024-01-05T07:42:54.39" personId="{02238782-F4B9-40E8-A3B0-02E93E3799AE}" id="{4119FDE4-8202-465B-96F2-487846BCF4A0}">
    <text>미공시</text>
  </threadedComment>
  <threadedComment ref="U290" dT="2023-12-13T04:41:14.86" personId="{02238782-F4B9-40E8-A3B0-02E93E3799AE}" id="{5D5389B4-32D9-469A-AC40-7FB696A1BD3B}">
    <text>비영리재단 동일인</text>
  </threadedComment>
  <threadedComment ref="X290" dT="2023-12-13T04:41:22.58" personId="{02238782-F4B9-40E8-A3B0-02E93E3799AE}" id="{86FB6F40-5D25-419E-AAB2-EFB4353D13A4}">
    <text>비영리재단 동일인</text>
  </threadedComment>
  <threadedComment ref="AM291" dT="2023-12-28T04:16:31.29" personId="{02238782-F4B9-40E8-A3B0-02E93E3799AE}" id="{5DEB3A49-B018-417B-A552-256306589CE8}">
    <text>동일인</text>
  </threadedComment>
  <threadedComment ref="AM293" dT="2023-12-28T04:32:09.39" personId="{02238782-F4B9-40E8-A3B0-02E93E3799AE}" id="{B945D2B9-AC3A-4E5B-8181-4E8E8D15D280}">
    <text>동일인</text>
  </threadedComment>
  <threadedComment ref="U294" dT="2023-12-13T04:45:55.71" personId="{02238782-F4B9-40E8-A3B0-02E93E3799AE}" id="{8DF2325D-408A-4C5B-A13C-2088E74FC6A6}">
    <text>비영리법인 동일인</text>
  </threadedComment>
  <threadedComment ref="X294" dT="2023-12-13T04:41:22.58" personId="{02238782-F4B9-40E8-A3B0-02E93E3799AE}" id="{E8D5F6A9-CD6D-47E5-9822-A52E8347323B}">
    <text>비영리재단 동일인</text>
  </threadedComment>
  <threadedComment ref="BG294" dT="2024-01-05T07:42:54.39" personId="{02238782-F4B9-40E8-A3B0-02E93E3799AE}" id="{C61B2AF0-9A07-40BA-BA8F-B1972E35A85D}">
    <text>미공시</text>
  </threadedComment>
  <threadedComment ref="AM295" dT="2023-12-28T04:35:20.84" personId="{02238782-F4B9-40E8-A3B0-02E93E3799AE}" id="{127FF1FF-6C16-4740-8C67-7F54E70A5178}">
    <text>동일인</text>
  </threadedComment>
  <threadedComment ref="AM296" dT="2023-12-28T04:35:20.84" personId="{02238782-F4B9-40E8-A3B0-02E93E3799AE}" id="{878EEF45-0465-455A-AAC6-F991A5DE58F8}">
    <text>동일인</text>
  </threadedComment>
  <threadedComment ref="BG297" dT="2024-01-05T07:42:54.39" personId="{02238782-F4B9-40E8-A3B0-02E93E3799AE}" id="{C8FB953B-5F9B-43E9-BBF7-6F4C09296889}">
    <text>미공시</text>
  </threadedComment>
  <threadedComment ref="BG298" dT="2024-01-05T07:42:54.39" personId="{02238782-F4B9-40E8-A3B0-02E93E3799AE}" id="{BD459021-FC2F-456D-A458-DCAD362882AB}">
    <text>미공시</text>
  </threadedComment>
  <threadedComment ref="AM299" dT="2023-12-28T04:35:20.84" personId="{02238782-F4B9-40E8-A3B0-02E93E3799AE}" id="{B82C7843-CE79-41F0-B778-B8E82683B9CF}">
    <text>동일인</text>
  </threadedComment>
  <threadedComment ref="BG299" dT="2024-01-05T07:42:54.39" personId="{02238782-F4B9-40E8-A3B0-02E93E3799AE}" id="{FC76C6FE-205F-4953-A6D9-EAADC47B5F68}">
    <text>미공시</text>
  </threadedComment>
  <threadedComment ref="BG300" dT="2024-01-05T07:42:54.39" personId="{02238782-F4B9-40E8-A3B0-02E93E3799AE}" id="{E18A9112-EDF4-4A34-81F0-40A0B18D6A9D}">
    <text>미공시</text>
  </threadedComment>
  <threadedComment ref="BG301" dT="2024-01-05T07:42:54.39" personId="{02238782-F4B9-40E8-A3B0-02E93E3799AE}" id="{70E5FB8A-8BCD-4EB7-9F0C-19FD8B98D3B2}">
    <text>미공시</text>
  </threadedComment>
  <threadedComment ref="AM303" dT="2023-12-28T05:02:23.83" personId="{02238782-F4B9-40E8-A3B0-02E93E3799AE}" id="{6BEBC09C-C280-4FCF-87BC-AFA4D786DDF8}">
    <text>동일인</text>
  </threadedComment>
  <threadedComment ref="BG303" dT="2024-01-05T07:42:54.39" personId="{02238782-F4B9-40E8-A3B0-02E93E3799AE}" id="{6B3191BA-5CF0-4FAC-900D-0554B802718E}">
    <text>미공시</text>
  </threadedComment>
  <threadedComment ref="BG305" dT="2024-01-05T07:42:54.39" personId="{02238782-F4B9-40E8-A3B0-02E93E3799AE}" id="{C7D89C97-339F-4D21-9C6A-0D6BD35B866A}">
    <text>미공시</text>
  </threadedComment>
  <threadedComment ref="BG306" dT="2024-01-05T07:42:54.39" personId="{02238782-F4B9-40E8-A3B0-02E93E3799AE}" id="{2E2A3CCF-15A4-4BF6-9B79-17A8D73C0C8B}">
    <text>미공시</text>
  </threadedComment>
  <threadedComment ref="BG307" dT="2024-01-05T07:42:54.39" personId="{02238782-F4B9-40E8-A3B0-02E93E3799AE}" id="{BE24A110-7440-4BD6-B3C4-B496B326983E}">
    <text>미공시</text>
  </threadedComment>
  <threadedComment ref="BG310" dT="2024-01-05T07:42:54.39" personId="{02238782-F4B9-40E8-A3B0-02E93E3799AE}" id="{EA8531C6-15F7-4D8A-B7B9-1E11F0C5D6BA}">
    <text>미공시</text>
  </threadedComment>
  <threadedComment ref="AM311" dT="2023-12-28T05:02:23.83" personId="{02238782-F4B9-40E8-A3B0-02E93E3799AE}" id="{97174992-4E19-42BE-81E5-A38E8B29EE57}">
    <text>동일인</text>
  </threadedComment>
  <threadedComment ref="AM314" dT="2023-12-28T05:02:23.83" personId="{02238782-F4B9-40E8-A3B0-02E93E3799AE}" id="{97082AF4-E7D3-4545-93C4-94114B21A4D1}">
    <text>동일인</text>
  </threadedComment>
  <threadedComment ref="BG314" dT="2024-01-05T07:42:54.39" personId="{02238782-F4B9-40E8-A3B0-02E93E3799AE}" id="{C03F4171-23DF-4CA2-B231-DF80BC96FBE6}">
    <text>미공시</text>
  </threadedComment>
  <threadedComment ref="BG318" dT="2024-01-05T07:42:54.39" personId="{02238782-F4B9-40E8-A3B0-02E93E3799AE}" id="{6E2B18E8-3EDB-43A4-B168-5AF8CA993709}">
    <text>미공시</text>
  </threadedComment>
  <threadedComment ref="BG319" dT="2024-01-05T07:42:54.39" personId="{02238782-F4B9-40E8-A3B0-02E93E3799AE}" id="{77557DA8-2AF7-4F8B-879C-C4F6DF03F1B1}">
    <text>미공시</text>
  </threadedComment>
  <threadedComment ref="BG320" dT="2024-01-05T07:42:54.39" personId="{02238782-F4B9-40E8-A3B0-02E93E3799AE}" id="{A6681BFA-3510-462A-BDBD-5A24940B2780}">
    <text>미공시</text>
  </threadedComment>
  <threadedComment ref="BG321" dT="2024-01-05T07:42:54.39" personId="{02238782-F4B9-40E8-A3B0-02E93E3799AE}" id="{84AD4B5E-DD71-4E55-960E-4A93E26ABC3F}">
    <text>미공시</text>
  </threadedComment>
  <threadedComment ref="BG322" dT="2024-01-05T07:42:54.39" personId="{02238782-F4B9-40E8-A3B0-02E93E3799AE}" id="{0D08E14D-C106-4649-BF82-974E2A475241}">
    <text>미공시</text>
  </threadedComment>
</ThreadedComments>
</file>

<file path=xl/threadedComments/threadedComment2.xml><?xml version="1.0" encoding="utf-8"?>
<ThreadedComments xmlns="http://schemas.microsoft.com/office/spreadsheetml/2018/threadedcomments" xmlns:x="http://schemas.openxmlformats.org/spreadsheetml/2006/main">
  <threadedComment ref="KI5" dT="2024-03-25T07:23:04.81" personId="{02238782-F4B9-40E8-A3B0-02E93E3799AE}" id="{175DD9CB-FEC3-4540-AEBB-FE6F3B14DB1B}">
    <text>독일 마르크 고정환율 1.95583 </text>
  </threadedComment>
</ThreadedComments>
</file>

<file path=xl/threadedComments/threadedComment3.xml><?xml version="1.0" encoding="utf-8"?>
<ThreadedComments xmlns="http://schemas.microsoft.com/office/spreadsheetml/2018/threadedcomments" xmlns:x="http://schemas.openxmlformats.org/spreadsheetml/2006/main">
  <threadedComment ref="AP16" dT="2024-03-26T04:13:53.52" personId="{02238782-F4B9-40E8-A3B0-02E93E3799AE}" id="{2DF06D3A-2A3C-46EF-93E4-7E0DE62472CD}">
    <text>미공시</text>
  </threadedComment>
  <threadedComment ref="AP33" dT="2024-03-26T04:13:53.52" personId="{02238782-F4B9-40E8-A3B0-02E93E3799AE}" id="{5DA805AA-EA73-41D8-A2AD-9247AC3EE593}">
    <text>미공시</text>
  </threadedComment>
  <threadedComment ref="AP35" dT="2024-03-26T04:13:53.52" personId="{02238782-F4B9-40E8-A3B0-02E93E3799AE}" id="{6BD54F14-EBC1-4515-A970-4B59F5C3998B}">
    <text>미공시</text>
  </threadedComment>
  <threadedComment ref="AP37" dT="2024-03-26T04:13:53.52" personId="{02238782-F4B9-40E8-A3B0-02E93E3799AE}" id="{B1620C22-765E-4A26-8D19-9348DBC23EF5}">
    <text>미공시</text>
  </threadedComment>
  <threadedComment ref="AP40" dT="2024-03-26T04:13:53.52" personId="{02238782-F4B9-40E8-A3B0-02E93E3799AE}" id="{D9038C50-054E-4FEE-BDF7-19CF9A06C139}">
    <text>미공시</text>
  </threadedComment>
  <threadedComment ref="AP66" dT="2024-03-26T04:13:53.52" personId="{02238782-F4B9-40E8-A3B0-02E93E3799AE}" id="{34C70D64-2BF2-4D31-A727-42030A7D1B9E}">
    <text>미공시</text>
  </threadedComment>
  <threadedComment ref="AP67" dT="2024-03-26T04:13:53.52" personId="{02238782-F4B9-40E8-A3B0-02E93E3799AE}" id="{07169700-B1A0-449E-ADE7-1C41F55B4DF6}">
    <text>미공시</text>
  </threadedComment>
  <threadedComment ref="AP71" dT="2024-03-26T04:13:53.52" personId="{02238782-F4B9-40E8-A3B0-02E93E3799AE}" id="{02764B03-84C3-4270-B43C-E268FB0B2B5B}">
    <text>미공시</text>
  </threadedComment>
  <threadedComment ref="AP87" dT="2024-03-26T04:13:53.52" personId="{02238782-F4B9-40E8-A3B0-02E93E3799AE}" id="{9063B0DF-3FD1-4204-80E3-DED40F7CA883}">
    <text>미공시</text>
  </threadedComment>
  <threadedComment ref="AP93" dT="2024-03-26T04:13:53.52" personId="{02238782-F4B9-40E8-A3B0-02E93E3799AE}" id="{310B7D4E-37B4-4108-9702-E66974E2254C}">
    <text>미공시</text>
  </threadedComment>
  <threadedComment ref="AP98" dT="2024-03-26T04:13:53.52" personId="{02238782-F4B9-40E8-A3B0-02E93E3799AE}" id="{B0E50DE2-4DEA-49AE-95D0-017512F9880E}">
    <text>미공시</text>
  </threadedComment>
  <threadedComment ref="AP107" dT="2024-03-26T04:13:53.52" personId="{02238782-F4B9-40E8-A3B0-02E93E3799AE}" id="{542C2A2C-32D3-419D-B61E-C43309943857}">
    <text>미공시</text>
  </threadedComment>
  <threadedComment ref="AP112" dT="2024-03-26T04:13:53.52" personId="{02238782-F4B9-40E8-A3B0-02E93E3799AE}" id="{84C819F4-6352-422A-9461-7623710EBDA1}">
    <text>미공시</text>
  </threadedComment>
  <threadedComment ref="AP119" dT="2024-03-26T04:13:53.52" personId="{02238782-F4B9-40E8-A3B0-02E93E3799AE}" id="{CBB693C0-A059-4A80-9DCC-40F0F0357061}">
    <text>미공시</text>
  </threadedComment>
  <threadedComment ref="AP120" dT="2024-03-26T04:13:53.52" personId="{02238782-F4B9-40E8-A3B0-02E93E3799AE}" id="{3CED49D6-A546-47E1-B8EB-EFA39DC097A1}">
    <text>미공시</text>
  </threadedComment>
  <threadedComment ref="AP127" dT="2024-03-26T04:13:53.52" personId="{02238782-F4B9-40E8-A3B0-02E93E3799AE}" id="{403497A2-F24C-4DFD-BEB5-BE5F4D299EDF}">
    <text>미공시</text>
  </threadedComment>
  <threadedComment ref="AP129" dT="2024-03-26T04:13:53.52" personId="{02238782-F4B9-40E8-A3B0-02E93E3799AE}" id="{711017E5-4B60-46F2-B305-5F45D309EDBF}">
    <text>미공시</text>
  </threadedComment>
  <threadedComment ref="AP157" dT="2024-03-26T04:13:53.52" personId="{02238782-F4B9-40E8-A3B0-02E93E3799AE}" id="{C3EE51B6-AB84-4E3A-9ECF-54404CAA3FE8}">
    <text>미공시</text>
  </threadedComment>
  <threadedComment ref="AP199" dT="2024-03-26T04:13:53.52" personId="{02238782-F4B9-40E8-A3B0-02E93E3799AE}" id="{011BBCAB-5EF0-40FA-AE74-CE836D30611A}">
    <text>미공시</text>
  </threadedComment>
  <threadedComment ref="AP227" dT="2024-03-26T04:13:53.52" personId="{02238782-F4B9-40E8-A3B0-02E93E3799AE}" id="{E6223D57-6343-4029-92EF-DF4677526BBC}">
    <text>미공시</text>
  </threadedComment>
  <threadedComment ref="AP228" dT="2024-03-26T04:13:53.52" personId="{02238782-F4B9-40E8-A3B0-02E93E3799AE}" id="{62CDF088-0E64-42C9-B643-411E288589B9}">
    <text>미공시</text>
  </threadedComment>
  <threadedComment ref="AP229" dT="2024-03-26T04:13:53.52" personId="{02238782-F4B9-40E8-A3B0-02E93E3799AE}" id="{180523A4-2216-4FD1-80D5-0EA6C3512E78}">
    <text>미공시</text>
  </threadedComment>
  <threadedComment ref="AP232" dT="2024-03-26T04:13:53.52" personId="{02238782-F4B9-40E8-A3B0-02E93E3799AE}" id="{B3030269-CBEC-45D4-82BF-1A1E7CA84994}">
    <text>미공시</text>
  </threadedComment>
  <threadedComment ref="AP233" dT="2024-03-26T04:13:53.52" personId="{02238782-F4B9-40E8-A3B0-02E93E3799AE}" id="{6925C3E9-F8E6-4BEA-88EF-029FF1B18C7D}">
    <text>미공시</text>
  </threadedComment>
  <threadedComment ref="AP234" dT="2024-03-26T04:13:53.52" personId="{02238782-F4B9-40E8-A3B0-02E93E3799AE}" id="{3A22FE8C-CC57-4E27-ABD6-CF6396203619}">
    <text>미공시</text>
  </threadedComment>
  <threadedComment ref="AP248" dT="2024-03-26T04:13:53.52" personId="{02238782-F4B9-40E8-A3B0-02E93E3799AE}" id="{A5349780-0313-4177-9495-91D44C98FDAC}">
    <text>미공시</text>
  </threadedComment>
  <threadedComment ref="AP262" dT="2024-03-26T04:13:53.52" personId="{02238782-F4B9-40E8-A3B0-02E93E3799AE}" id="{22DE7531-1A64-4B8D-944C-F4D76104FF84}">
    <text>미공시</text>
  </threadedComment>
  <threadedComment ref="AP263" dT="2024-03-26T04:13:53.52" personId="{02238782-F4B9-40E8-A3B0-02E93E3799AE}" id="{32DAB3A5-299B-4988-9B3A-712FF3C413F1}">
    <text>미공시</text>
  </threadedComment>
  <threadedComment ref="AP279" dT="2024-03-26T04:13:53.52" personId="{02238782-F4B9-40E8-A3B0-02E93E3799AE}" id="{E9314449-2A68-4C6F-B2AE-BD3C2D252CB4}">
    <text>미공시</text>
  </threadedComment>
  <threadedComment ref="AP285" dT="2024-03-26T04:13:53.52" personId="{02238782-F4B9-40E8-A3B0-02E93E3799AE}" id="{BFC1420C-9847-4132-BD22-4614678D3C21}">
    <text>미공시</text>
  </threadedComment>
  <threadedComment ref="AP305" dT="2024-03-26T04:13:53.52" personId="{02238782-F4B9-40E8-A3B0-02E93E3799AE}" id="{5E930C10-09F9-46FA-91A0-D0732777C6D8}">
    <text>미공시</text>
  </threadedComment>
  <threadedComment ref="AP308" dT="2024-03-26T04:13:53.52" personId="{02238782-F4B9-40E8-A3B0-02E93E3799AE}" id="{1921A503-7884-4E9E-80DA-4BE6B481BB61}">
    <text>미공시</text>
  </threadedComment>
  <threadedComment ref="AP314" dT="2024-03-26T04:13:53.52" personId="{02238782-F4B9-40E8-A3B0-02E93E3799AE}" id="{C994AB62-0D6F-4287-AFE7-A5C1FD6777F4}">
    <text>미공시</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art.fss.or.kr/dsaf001/main.do?rcpNo=20230323001050" TargetMode="External"/><Relationship Id="rId299" Type="http://schemas.openxmlformats.org/officeDocument/2006/relationships/hyperlink" Target="https://dart.fss.or.kr/dsaf001/main.do?rcpNo=20230315001327" TargetMode="External"/><Relationship Id="rId303" Type="http://schemas.openxmlformats.org/officeDocument/2006/relationships/hyperlink" Target="https://dart.fss.or.kr/dsaf001/main.do?rcpNo=20230321001449" TargetMode="External"/><Relationship Id="rId21" Type="http://schemas.openxmlformats.org/officeDocument/2006/relationships/hyperlink" Target="https://dart.fss.or.kr/dsaf001/main.do?rcpNo=20230315001407" TargetMode="External"/><Relationship Id="rId42" Type="http://schemas.openxmlformats.org/officeDocument/2006/relationships/hyperlink" Target="https://dart.fss.or.kr/dsaf001/main.do?rcpNo=20230320000162" TargetMode="External"/><Relationship Id="rId63" Type="http://schemas.openxmlformats.org/officeDocument/2006/relationships/hyperlink" Target="https://dart.fss.or.kr/dsaf001/main.do?rcpNo=20230322001068" TargetMode="External"/><Relationship Id="rId84" Type="http://schemas.openxmlformats.org/officeDocument/2006/relationships/hyperlink" Target="https://dart.fss.or.kr/dsaf001/main.do?rcpNo=20230324000880" TargetMode="External"/><Relationship Id="rId138" Type="http://schemas.openxmlformats.org/officeDocument/2006/relationships/hyperlink" Target="https://dart.fss.or.kr/dsaf001/main.do?rcpNo=20230307000606" TargetMode="External"/><Relationship Id="rId159" Type="http://schemas.openxmlformats.org/officeDocument/2006/relationships/hyperlink" Target="https://dart.fss.or.kr/dsaf001/main.do?rcpNo=20230317000349" TargetMode="External"/><Relationship Id="rId324" Type="http://schemas.openxmlformats.org/officeDocument/2006/relationships/hyperlink" Target="https://dart.fss.or.kr/dsaf001/main.do?rcpNo=20230316001454" TargetMode="External"/><Relationship Id="rId170" Type="http://schemas.openxmlformats.org/officeDocument/2006/relationships/hyperlink" Target="https://dart.fss.or.kr/dsaf001/main.do?rcpNo=20230320000954" TargetMode="External"/><Relationship Id="rId191" Type="http://schemas.openxmlformats.org/officeDocument/2006/relationships/hyperlink" Target="https://dart.fss.or.kr/dsaf001/main.do?rcpNo=20230320001088" TargetMode="External"/><Relationship Id="rId205" Type="http://schemas.openxmlformats.org/officeDocument/2006/relationships/hyperlink" Target="https://dart.fss.or.kr/dsaf001/main.do?rcpNo=20230308000675" TargetMode="External"/><Relationship Id="rId226" Type="http://schemas.openxmlformats.org/officeDocument/2006/relationships/hyperlink" Target="https://dart.fss.or.kr/dsaf001/main.do?rcpNo=20230321000389" TargetMode="External"/><Relationship Id="rId247" Type="http://schemas.openxmlformats.org/officeDocument/2006/relationships/hyperlink" Target="https://dart.fss.or.kr/dsaf001/main.do?rcpNo=20230323001465" TargetMode="External"/><Relationship Id="rId107" Type="http://schemas.openxmlformats.org/officeDocument/2006/relationships/hyperlink" Target="https://dart.fss.or.kr/dsaf001/main.do?rcpNo=20230314000884" TargetMode="External"/><Relationship Id="rId268" Type="http://schemas.openxmlformats.org/officeDocument/2006/relationships/hyperlink" Target="https://dart.fss.or.kr/dsaf001/main.do?rcpNo=20230322001245" TargetMode="External"/><Relationship Id="rId289" Type="http://schemas.openxmlformats.org/officeDocument/2006/relationships/hyperlink" Target="https://dart.fss.or.kr/dsaf001/main.do?rcpNo=20230313000732" TargetMode="External"/><Relationship Id="rId11" Type="http://schemas.openxmlformats.org/officeDocument/2006/relationships/hyperlink" Target="https://dart.fss.or.kr/dsaf001/main.do?rcpNo=20230322001200" TargetMode="External"/><Relationship Id="rId32" Type="http://schemas.openxmlformats.org/officeDocument/2006/relationships/hyperlink" Target="https://dart.fss.or.kr/dsaf001/main.do?rcpNo=20230222002549" TargetMode="External"/><Relationship Id="rId53" Type="http://schemas.openxmlformats.org/officeDocument/2006/relationships/hyperlink" Target="https://dart.fss.or.kr/dsaf001/main.do?rcpNo=20230322000774" TargetMode="External"/><Relationship Id="rId74" Type="http://schemas.openxmlformats.org/officeDocument/2006/relationships/hyperlink" Target="https://dart.fss.or.kr/dsaf001/main.do?rcpNo=20230321001403" TargetMode="External"/><Relationship Id="rId128" Type="http://schemas.openxmlformats.org/officeDocument/2006/relationships/hyperlink" Target="https://dart.fss.or.kr/dsaf001/main.do?rcpNo=20230327000678" TargetMode="External"/><Relationship Id="rId149" Type="http://schemas.openxmlformats.org/officeDocument/2006/relationships/hyperlink" Target="https://dart.fss.or.kr/dsaf001/main.do?rcpNo=20230713000197" TargetMode="External"/><Relationship Id="rId314" Type="http://schemas.openxmlformats.org/officeDocument/2006/relationships/hyperlink" Target="https://dart.fss.or.kr/dsaf001/main.do?rcpNo=20230316001392" TargetMode="External"/><Relationship Id="rId5" Type="http://schemas.openxmlformats.org/officeDocument/2006/relationships/hyperlink" Target="https://dart.fss.or.kr/dsaf001/main.do?rcpNo=20230814001661" TargetMode="External"/><Relationship Id="rId95" Type="http://schemas.openxmlformats.org/officeDocument/2006/relationships/hyperlink" Target="https://dart.fss.or.kr/dsaf001/main.do?rcpNo=20230317000725" TargetMode="External"/><Relationship Id="rId160" Type="http://schemas.openxmlformats.org/officeDocument/2006/relationships/hyperlink" Target="https://dart.fss.or.kr/dsaf001/main.do?rcpNo=20230310000633" TargetMode="External"/><Relationship Id="rId181" Type="http://schemas.openxmlformats.org/officeDocument/2006/relationships/hyperlink" Target="https://dart.fss.or.kr/dsaf001/main.do?rcpNo=20230323000459" TargetMode="External"/><Relationship Id="rId216" Type="http://schemas.openxmlformats.org/officeDocument/2006/relationships/hyperlink" Target="https://dart.fss.or.kr/dsaf001/main.do?rcpNo=20230323001183" TargetMode="External"/><Relationship Id="rId237" Type="http://schemas.openxmlformats.org/officeDocument/2006/relationships/hyperlink" Target="https://dart.fss.or.kr/dsaf001/main.do?rcpNo=20230321001298" TargetMode="External"/><Relationship Id="rId258" Type="http://schemas.openxmlformats.org/officeDocument/2006/relationships/hyperlink" Target="https://dart.fss.or.kr/dsaf001/main.do?rcpNo=20230322000780" TargetMode="External"/><Relationship Id="rId279" Type="http://schemas.openxmlformats.org/officeDocument/2006/relationships/hyperlink" Target="https://dart.fss.or.kr/dsaf001/main.do?rcpNo=20230316000941" TargetMode="External"/><Relationship Id="rId22" Type="http://schemas.openxmlformats.org/officeDocument/2006/relationships/hyperlink" Target="https://dart.fss.or.kr/dsaf001/main.do?rcpNo=20230714000061" TargetMode="External"/><Relationship Id="rId43" Type="http://schemas.openxmlformats.org/officeDocument/2006/relationships/hyperlink" Target="https://dart.fss.or.kr/dsaf001/main.do?rcpNo=20230317000869" TargetMode="External"/><Relationship Id="rId64" Type="http://schemas.openxmlformats.org/officeDocument/2006/relationships/hyperlink" Target="https://dart.fss.or.kr/dsaf001/main.do?rcpNo=20230314000467" TargetMode="External"/><Relationship Id="rId118" Type="http://schemas.openxmlformats.org/officeDocument/2006/relationships/hyperlink" Target="https://dart.fss.or.kr/dsaf001/main.do?rcpNo=20230315000646" TargetMode="External"/><Relationship Id="rId139" Type="http://schemas.openxmlformats.org/officeDocument/2006/relationships/hyperlink" Target="https://dart.fss.or.kr/dsaf001/main.do?rcpNo=20230831001403" TargetMode="External"/><Relationship Id="rId290" Type="http://schemas.openxmlformats.org/officeDocument/2006/relationships/hyperlink" Target="https://dart.fss.or.kr/dsaf001/main.do?rcpNo=20230314001231" TargetMode="External"/><Relationship Id="rId304" Type="http://schemas.openxmlformats.org/officeDocument/2006/relationships/hyperlink" Target="https://dart.fss.or.kr/dsaf001/main.do?rcpNo=20230310001083" TargetMode="External"/><Relationship Id="rId325" Type="http://schemas.openxmlformats.org/officeDocument/2006/relationships/hyperlink" Target="https://dart.fss.or.kr/dsaf001/main.do?rcpNo=20230309000761" TargetMode="External"/><Relationship Id="rId85" Type="http://schemas.openxmlformats.org/officeDocument/2006/relationships/hyperlink" Target="https://dart.fss.or.kr/dsaf001/main.do?rcpNo=20230317000005" TargetMode="External"/><Relationship Id="rId150" Type="http://schemas.openxmlformats.org/officeDocument/2006/relationships/hyperlink" Target="https://dart.fss.or.kr/dsaf001/main.do?rcpNo=20230524000304" TargetMode="External"/><Relationship Id="rId171" Type="http://schemas.openxmlformats.org/officeDocument/2006/relationships/hyperlink" Target="https://dart.fss.or.kr/dsaf001/main.do?rcpNo=20230302000104" TargetMode="External"/><Relationship Id="rId192" Type="http://schemas.openxmlformats.org/officeDocument/2006/relationships/hyperlink" Target="https://dart.fss.or.kr/dsaf001/main.do?rcpNo=20230515000371" TargetMode="External"/><Relationship Id="rId206" Type="http://schemas.openxmlformats.org/officeDocument/2006/relationships/hyperlink" Target="https://dart.fss.or.kr/dsaf001/main.do?rcpNo=20230329000065" TargetMode="External"/><Relationship Id="rId227" Type="http://schemas.openxmlformats.org/officeDocument/2006/relationships/hyperlink" Target="https://dart.fss.or.kr/dsaf001/main.do?rcpNo=20230314001271" TargetMode="External"/><Relationship Id="rId248" Type="http://schemas.openxmlformats.org/officeDocument/2006/relationships/hyperlink" Target="https://dart.fss.or.kr/dsaf001/main.do?rcpNo=20230315000297" TargetMode="External"/><Relationship Id="rId269" Type="http://schemas.openxmlformats.org/officeDocument/2006/relationships/hyperlink" Target="https://dart.fss.or.kr/dsaf001/main.do?rcpNo=20230316001467" TargetMode="External"/><Relationship Id="rId12" Type="http://schemas.openxmlformats.org/officeDocument/2006/relationships/hyperlink" Target="https://dart.fss.or.kr/dsaf001/main.do?rcpNo=20230320000736" TargetMode="External"/><Relationship Id="rId33" Type="http://schemas.openxmlformats.org/officeDocument/2006/relationships/hyperlink" Target="https://dart.fss.or.kr/dsaf001/main.do?rcpNo=20230317000276" TargetMode="External"/><Relationship Id="rId108" Type="http://schemas.openxmlformats.org/officeDocument/2006/relationships/hyperlink" Target="https://dart.fss.or.kr/dsaf001/main.do?rcpNo=20230324000928" TargetMode="External"/><Relationship Id="rId129" Type="http://schemas.openxmlformats.org/officeDocument/2006/relationships/hyperlink" Target="https://dart.fss.or.kr/dsaf001/main.do?rcpNo=20221230000430" TargetMode="External"/><Relationship Id="rId280" Type="http://schemas.openxmlformats.org/officeDocument/2006/relationships/hyperlink" Target="https://dart.fss.or.kr/dsaf001/main.do?rcpNo=20230321001102" TargetMode="External"/><Relationship Id="rId315" Type="http://schemas.openxmlformats.org/officeDocument/2006/relationships/hyperlink" Target="https://dart.fss.or.kr/dsaf001/main.do?rcpNo=20230321000920" TargetMode="External"/><Relationship Id="rId54" Type="http://schemas.openxmlformats.org/officeDocument/2006/relationships/hyperlink" Target="https://dart.fss.or.kr/dsaf001/main.do?rcpNo=20230314001158" TargetMode="External"/><Relationship Id="rId75" Type="http://schemas.openxmlformats.org/officeDocument/2006/relationships/hyperlink" Target="https://dart.fss.or.kr/dsaf001/main.do?rcpNo=20230316000958" TargetMode="External"/><Relationship Id="rId96" Type="http://schemas.openxmlformats.org/officeDocument/2006/relationships/hyperlink" Target="https://dart.fss.or.kr/dsaf001/main.do?rcpNo=20230322001007" TargetMode="External"/><Relationship Id="rId140" Type="http://schemas.openxmlformats.org/officeDocument/2006/relationships/hyperlink" Target="https://dart.fss.or.kr/dsaf001/main.do?rcpNo=20230307000653" TargetMode="External"/><Relationship Id="rId161" Type="http://schemas.openxmlformats.org/officeDocument/2006/relationships/hyperlink" Target="https://dart.fss.or.kr/dsaf001/main.do?rcpNo=20230315000963" TargetMode="External"/><Relationship Id="rId182" Type="http://schemas.openxmlformats.org/officeDocument/2006/relationships/hyperlink" Target="https://dart.fss.or.kr/dsaf001/main.do?rcpNo=20230411002838" TargetMode="External"/><Relationship Id="rId217" Type="http://schemas.openxmlformats.org/officeDocument/2006/relationships/hyperlink" Target="https://dart.fss.or.kr/dsaf001/main.do?rcpNo=20230320000322" TargetMode="External"/><Relationship Id="rId6" Type="http://schemas.openxmlformats.org/officeDocument/2006/relationships/hyperlink" Target="https://dart.fss.or.kr/dsaf001/main.do?rcpNo=20230321001132" TargetMode="External"/><Relationship Id="rId238" Type="http://schemas.openxmlformats.org/officeDocument/2006/relationships/hyperlink" Target="https://dart.fss.or.kr/dsaf001/main.do?rcpNo=20230321001309" TargetMode="External"/><Relationship Id="rId259" Type="http://schemas.openxmlformats.org/officeDocument/2006/relationships/hyperlink" Target="https://dart.fss.or.kr/dsaf001/main.do?rcpNo=20230310000763" TargetMode="External"/><Relationship Id="rId23" Type="http://schemas.openxmlformats.org/officeDocument/2006/relationships/hyperlink" Target="https://dart.fss.or.kr/dsaf001/main.do?rcpNo=20230321001126" TargetMode="External"/><Relationship Id="rId119" Type="http://schemas.openxmlformats.org/officeDocument/2006/relationships/hyperlink" Target="https://dart.fss.or.kr/dsaf001/main.do?rcpNo=20230314001159" TargetMode="External"/><Relationship Id="rId270" Type="http://schemas.openxmlformats.org/officeDocument/2006/relationships/hyperlink" Target="https://dart.fss.or.kr/dsaf001/main.do?rcpNo=20230712000281" TargetMode="External"/><Relationship Id="rId291" Type="http://schemas.openxmlformats.org/officeDocument/2006/relationships/hyperlink" Target="https://dart.fss.or.kr/dsaf001/main.do?rcpNo=20230315001227" TargetMode="External"/><Relationship Id="rId305" Type="http://schemas.openxmlformats.org/officeDocument/2006/relationships/hyperlink" Target="https://dart.fss.or.kr/dsaf001/main.do?rcpNo=20230321001162" TargetMode="External"/><Relationship Id="rId326" Type="http://schemas.openxmlformats.org/officeDocument/2006/relationships/hyperlink" Target="https://www.sj.co.kr/" TargetMode="External"/><Relationship Id="rId44" Type="http://schemas.openxmlformats.org/officeDocument/2006/relationships/hyperlink" Target="https://dart.fss.or.kr/dsaf001/main.do?rcpNo=20230322000906" TargetMode="External"/><Relationship Id="rId65" Type="http://schemas.openxmlformats.org/officeDocument/2006/relationships/hyperlink" Target="https://dart.fss.or.kr/dsaf001/main.do?rcpNo=20230323000821" TargetMode="External"/><Relationship Id="rId86" Type="http://schemas.openxmlformats.org/officeDocument/2006/relationships/hyperlink" Target="https://dart.fss.or.kr/dsaf001/main.do?rcpNo=20230323000406" TargetMode="External"/><Relationship Id="rId130" Type="http://schemas.openxmlformats.org/officeDocument/2006/relationships/hyperlink" Target="https://dart.fss.or.kr/dsaf001/main.do?rcpNo=20230831001561" TargetMode="External"/><Relationship Id="rId151" Type="http://schemas.openxmlformats.org/officeDocument/2006/relationships/hyperlink" Target="https://dart.fss.or.kr/dsaf001/main.do?rcpNo=20230316001053" TargetMode="External"/><Relationship Id="rId172" Type="http://schemas.openxmlformats.org/officeDocument/2006/relationships/hyperlink" Target="https://dart.fss.or.kr/dsaf001/main.do?rcpNo=20230323001156" TargetMode="External"/><Relationship Id="rId193" Type="http://schemas.openxmlformats.org/officeDocument/2006/relationships/hyperlink" Target="https://dart.fss.or.kr/dsaf001/main.do?rcpNo=20230321001134" TargetMode="External"/><Relationship Id="rId207" Type="http://schemas.openxmlformats.org/officeDocument/2006/relationships/hyperlink" Target="https://dart.fss.or.kr/dsaf001/main.do?rcpNo=20230323001413" TargetMode="External"/><Relationship Id="rId228" Type="http://schemas.openxmlformats.org/officeDocument/2006/relationships/hyperlink" Target="https://dart.fss.or.kr/dsaf001/main.do?rcpNo=20230316001017" TargetMode="External"/><Relationship Id="rId249" Type="http://schemas.openxmlformats.org/officeDocument/2006/relationships/hyperlink" Target="https://dart.fss.or.kr/dsaf001/main.do?rcpNo=20230321000862" TargetMode="External"/><Relationship Id="rId13" Type="http://schemas.openxmlformats.org/officeDocument/2006/relationships/hyperlink" Target="https://dart.fss.or.kr/dsaf001/main.do?rcpNo=20230320000604" TargetMode="External"/><Relationship Id="rId109" Type="http://schemas.openxmlformats.org/officeDocument/2006/relationships/hyperlink" Target="https://dart.fss.or.kr/dsaf001/main.do?rcpNo=20230322001127" TargetMode="External"/><Relationship Id="rId260" Type="http://schemas.openxmlformats.org/officeDocument/2006/relationships/hyperlink" Target="https://dart.fss.or.kr/dsaf001/main.do?rcpNo=20230316001321" TargetMode="External"/><Relationship Id="rId281" Type="http://schemas.openxmlformats.org/officeDocument/2006/relationships/hyperlink" Target="https://dart.fss.or.kr/dsaf001/main.do?rcpNo=20230317000867" TargetMode="External"/><Relationship Id="rId316" Type="http://schemas.openxmlformats.org/officeDocument/2006/relationships/hyperlink" Target="https://dart.fss.or.kr/dsaf001/main.do?rcpNo=20230317000130" TargetMode="External"/><Relationship Id="rId34" Type="http://schemas.openxmlformats.org/officeDocument/2006/relationships/hyperlink" Target="https://dart.fss.or.kr/dsaf001/main.do?rcpNo=20230315000850" TargetMode="External"/><Relationship Id="rId55" Type="http://schemas.openxmlformats.org/officeDocument/2006/relationships/hyperlink" Target="https://dart.fss.or.kr/dsaf001/main.do?rcpNo=20230320000720" TargetMode="External"/><Relationship Id="rId76" Type="http://schemas.openxmlformats.org/officeDocument/2006/relationships/hyperlink" Target="https://dart.fss.or.kr/dsaf001/main.do?rcpNo=20230322000832" TargetMode="External"/><Relationship Id="rId97" Type="http://schemas.openxmlformats.org/officeDocument/2006/relationships/hyperlink" Target="https://dart.fss.or.kr/dsaf001/main.do?rcpNo=20230316001141" TargetMode="External"/><Relationship Id="rId120" Type="http://schemas.openxmlformats.org/officeDocument/2006/relationships/hyperlink" Target="https://dart.fss.or.kr/dsaf001/main.do?rcpNo=20220915000334" TargetMode="External"/><Relationship Id="rId141" Type="http://schemas.openxmlformats.org/officeDocument/2006/relationships/hyperlink" Target="https://dart.fss.or.kr/dsaf001/main.do?rcpNo=20230307000542" TargetMode="External"/><Relationship Id="rId7" Type="http://schemas.openxmlformats.org/officeDocument/2006/relationships/hyperlink" Target="https://dart.fss.or.kr/dsaf001/main.do?rcpNo=20230831001199" TargetMode="External"/><Relationship Id="rId162" Type="http://schemas.openxmlformats.org/officeDocument/2006/relationships/hyperlink" Target="https://dart.fss.or.kr/dsaf001/main.do?rcpNo=20230323000638" TargetMode="External"/><Relationship Id="rId183" Type="http://schemas.openxmlformats.org/officeDocument/2006/relationships/hyperlink" Target="https://dart.fss.or.kr/dsaf001/main.do?rcpNo=20230321001494" TargetMode="External"/><Relationship Id="rId218" Type="http://schemas.openxmlformats.org/officeDocument/2006/relationships/hyperlink" Target="https://dart.fss.or.kr/dsaf001/main.do?rcpNo=20230322000936" TargetMode="External"/><Relationship Id="rId239" Type="http://schemas.openxmlformats.org/officeDocument/2006/relationships/hyperlink" Target="https://dart.fss.or.kr/dsaf001/main.do?rcpNo=20230316000762" TargetMode="External"/><Relationship Id="rId250" Type="http://schemas.openxmlformats.org/officeDocument/2006/relationships/hyperlink" Target="https://dart.fss.or.kr/dsaf001/main.do?rcpNo=20230403003576" TargetMode="External"/><Relationship Id="rId271" Type="http://schemas.openxmlformats.org/officeDocument/2006/relationships/hyperlink" Target="https://dart.fss.or.kr/dsaf001/main.do?rcpNo=20230316001349" TargetMode="External"/><Relationship Id="rId292" Type="http://schemas.openxmlformats.org/officeDocument/2006/relationships/hyperlink" Target="https://dart.fss.or.kr/dsaf001/main.do?rcpNo=20230315000894" TargetMode="External"/><Relationship Id="rId306" Type="http://schemas.openxmlformats.org/officeDocument/2006/relationships/hyperlink" Target="https://dart.fss.or.kr/dsaf001/main.do?rcpNo=20230320001061" TargetMode="External"/><Relationship Id="rId24" Type="http://schemas.openxmlformats.org/officeDocument/2006/relationships/hyperlink" Target="https://dart.fss.or.kr/dsaf001/main.do?rcpNo=20230315000071" TargetMode="External"/><Relationship Id="rId45" Type="http://schemas.openxmlformats.org/officeDocument/2006/relationships/hyperlink" Target="https://dart.fss.or.kr/dsaf001/main.do?rcpNo=20230324000127" TargetMode="External"/><Relationship Id="rId66" Type="http://schemas.openxmlformats.org/officeDocument/2006/relationships/hyperlink" Target="https://dart.fss.or.kr/dsaf001/main.do?rcpNo=20230320000409" TargetMode="External"/><Relationship Id="rId87" Type="http://schemas.openxmlformats.org/officeDocument/2006/relationships/hyperlink" Target="https://www.noroopaint.com/kor/index.asp?conntype=1" TargetMode="External"/><Relationship Id="rId110" Type="http://schemas.openxmlformats.org/officeDocument/2006/relationships/hyperlink" Target="https://dart.fss.or.kr/dsaf001/main.do?rcpNo=20230315001100" TargetMode="External"/><Relationship Id="rId131" Type="http://schemas.openxmlformats.org/officeDocument/2006/relationships/hyperlink" Target="https://dart.fss.or.kr/dsaf001/main.do?rcpNo=20230316000878" TargetMode="External"/><Relationship Id="rId327" Type="http://schemas.openxmlformats.org/officeDocument/2006/relationships/hyperlink" Target="https://www.aplusga.com/" TargetMode="External"/><Relationship Id="rId152" Type="http://schemas.openxmlformats.org/officeDocument/2006/relationships/hyperlink" Target="https://dart.fss.or.kr/dsaf001/main.do?rcpNo=20230314000085" TargetMode="External"/><Relationship Id="rId173" Type="http://schemas.openxmlformats.org/officeDocument/2006/relationships/hyperlink" Target="https://dart.fss.or.kr/dsaf001/main.do?rcpNo=20230316001196" TargetMode="External"/><Relationship Id="rId194" Type="http://schemas.openxmlformats.org/officeDocument/2006/relationships/hyperlink" Target="https://dart.fss.or.kr/dsaf001/main.do?rcpNo=20230307000691" TargetMode="External"/><Relationship Id="rId208" Type="http://schemas.openxmlformats.org/officeDocument/2006/relationships/hyperlink" Target="https://dart.fss.or.kr/dsaf001/main.do?rcpNo=20230314000094" TargetMode="External"/><Relationship Id="rId229" Type="http://schemas.openxmlformats.org/officeDocument/2006/relationships/hyperlink" Target="https://dart.fss.or.kr/dsaf001/main.do?rcpNo=20230322000622" TargetMode="External"/><Relationship Id="rId240" Type="http://schemas.openxmlformats.org/officeDocument/2006/relationships/hyperlink" Target="https://dart.fss.or.kr/dsaf001/main.do?rcpNo=20230321001167" TargetMode="External"/><Relationship Id="rId261" Type="http://schemas.openxmlformats.org/officeDocument/2006/relationships/hyperlink" Target="https://dart.fss.or.kr/dsaf001/main.do?rcpNo=20230316001190" TargetMode="External"/><Relationship Id="rId14" Type="http://schemas.openxmlformats.org/officeDocument/2006/relationships/hyperlink" Target="https://dart.fss.or.kr/dsaf001/main.do?rcpNo=20230831001367" TargetMode="External"/><Relationship Id="rId35" Type="http://schemas.openxmlformats.org/officeDocument/2006/relationships/hyperlink" Target="https://dart.fss.or.kr/dsaf001/main.do?rcpNo=20230315000964" TargetMode="External"/><Relationship Id="rId56" Type="http://schemas.openxmlformats.org/officeDocument/2006/relationships/hyperlink" Target="https://dart.fss.or.kr/dsaf001/main.do?rcpNo=20230316000629" TargetMode="External"/><Relationship Id="rId77" Type="http://schemas.openxmlformats.org/officeDocument/2006/relationships/hyperlink" Target="https://dart.fss.or.kr/dsaf001/main.do?rcpNo=20230316001258" TargetMode="External"/><Relationship Id="rId100" Type="http://schemas.openxmlformats.org/officeDocument/2006/relationships/hyperlink" Target="https://dart.fss.or.kr/dsaf001/main.do?rcpNo=20230314001212" TargetMode="External"/><Relationship Id="rId282" Type="http://schemas.openxmlformats.org/officeDocument/2006/relationships/hyperlink" Target="https://dart.fss.or.kr/dsaf001/main.do?rcpNo=20230316000780" TargetMode="External"/><Relationship Id="rId317" Type="http://schemas.openxmlformats.org/officeDocument/2006/relationships/hyperlink" Target="https://dart.fss.or.kr/dsaf001/main.do?rcpNo=20230315000315" TargetMode="External"/><Relationship Id="rId8" Type="http://schemas.openxmlformats.org/officeDocument/2006/relationships/hyperlink" Target="https://dart.fss.or.kr/dsaf001/main.do?rcpNo=20230728000644" TargetMode="External"/><Relationship Id="rId51" Type="http://schemas.openxmlformats.org/officeDocument/2006/relationships/hyperlink" Target="https://dart.fss.or.kr/dsaf001/main.do?rcpNo=20230315001078" TargetMode="External"/><Relationship Id="rId72" Type="http://schemas.openxmlformats.org/officeDocument/2006/relationships/hyperlink" Target="https://dart.fss.or.kr/dsaf001/main.do?rcpNo=20230321000737" TargetMode="External"/><Relationship Id="rId93" Type="http://schemas.openxmlformats.org/officeDocument/2006/relationships/hyperlink" Target="https://dart.fss.or.kr/dsaf001/main.do?rcpNo=20230316001384" TargetMode="External"/><Relationship Id="rId98" Type="http://schemas.openxmlformats.org/officeDocument/2006/relationships/hyperlink" Target="https://dart.fss.or.kr/dsaf001/main.do?rcpNo=20230314001293" TargetMode="External"/><Relationship Id="rId121" Type="http://schemas.openxmlformats.org/officeDocument/2006/relationships/hyperlink" Target="https://dart.fss.or.kr/dsaf001/main.do?rcpNo=20230316000602" TargetMode="External"/><Relationship Id="rId142" Type="http://schemas.openxmlformats.org/officeDocument/2006/relationships/hyperlink" Target="https://dart.fss.or.kr/dsaf001/main.do?rcpNo=20230309000572" TargetMode="External"/><Relationship Id="rId163" Type="http://schemas.openxmlformats.org/officeDocument/2006/relationships/hyperlink" Target="https://dart.fss.or.kr/dsaf001/main.do?rcpNo=20230316000928" TargetMode="External"/><Relationship Id="rId184" Type="http://schemas.openxmlformats.org/officeDocument/2006/relationships/hyperlink" Target="https://dart.fss.or.kr/dsaf001/main.do?rcpNo=20230317001042" TargetMode="External"/><Relationship Id="rId189" Type="http://schemas.openxmlformats.org/officeDocument/2006/relationships/hyperlink" Target="https://dart.fss.or.kr/dsaf001/main.do?rcpNo=20230323001296" TargetMode="External"/><Relationship Id="rId219" Type="http://schemas.openxmlformats.org/officeDocument/2006/relationships/hyperlink" Target="https://dart.fss.or.kr/dsaf001/main.do?rcpNo=20230317000389" TargetMode="External"/><Relationship Id="rId3" Type="http://schemas.openxmlformats.org/officeDocument/2006/relationships/hyperlink" Target="https://dart.fss.or.kr/dsaf001/main.do?rcpNo=20230317000857" TargetMode="External"/><Relationship Id="rId214" Type="http://schemas.openxmlformats.org/officeDocument/2006/relationships/hyperlink" Target="https://dart.fss.or.kr/dsaf001/main.do?rcpNo=20230323001335" TargetMode="External"/><Relationship Id="rId230" Type="http://schemas.openxmlformats.org/officeDocument/2006/relationships/hyperlink" Target="https://dart.fss.or.kr/dsaf001/main.do?rcpNo=20230331002546" TargetMode="External"/><Relationship Id="rId235" Type="http://schemas.openxmlformats.org/officeDocument/2006/relationships/hyperlink" Target="https://dart.fss.or.kr/dsaf001/main.do?rcpNo=20230306000422" TargetMode="External"/><Relationship Id="rId251" Type="http://schemas.openxmlformats.org/officeDocument/2006/relationships/hyperlink" Target="https://dart.fss.or.kr/dsaf001/main.do?rcpNo=20230331000007" TargetMode="External"/><Relationship Id="rId256" Type="http://schemas.openxmlformats.org/officeDocument/2006/relationships/hyperlink" Target="https://dart.fss.or.kr/dsaf001/main.do?rcpNo=20230314000862" TargetMode="External"/><Relationship Id="rId277" Type="http://schemas.openxmlformats.org/officeDocument/2006/relationships/hyperlink" Target="https://dart.fss.or.kr/dsaf001/main.do?rcpNo=20230323000970" TargetMode="External"/><Relationship Id="rId298" Type="http://schemas.openxmlformats.org/officeDocument/2006/relationships/hyperlink" Target="https://dart.fss.or.kr/dsaf001/main.do?rcpNo=20230315000557" TargetMode="External"/><Relationship Id="rId25" Type="http://schemas.openxmlformats.org/officeDocument/2006/relationships/hyperlink" Target="https://dart.fss.or.kr/dsaf001/main.do?rcpNo=20230316000950" TargetMode="External"/><Relationship Id="rId46" Type="http://schemas.openxmlformats.org/officeDocument/2006/relationships/hyperlink" Target="https://dart.fss.or.kr/dsaf001/main.do?rcpNo=20230320000964" TargetMode="External"/><Relationship Id="rId67" Type="http://schemas.openxmlformats.org/officeDocument/2006/relationships/hyperlink" Target="https://dart.fss.or.kr/dsaf001/main.do?rcpNo=20230316001213" TargetMode="External"/><Relationship Id="rId116" Type="http://schemas.openxmlformats.org/officeDocument/2006/relationships/hyperlink" Target="https://dart.fss.or.kr/dsaf001/main.do?rcpNo=20230424000485" TargetMode="External"/><Relationship Id="rId137" Type="http://schemas.openxmlformats.org/officeDocument/2006/relationships/hyperlink" Target="https://dart.fss.or.kr/dsaf001/main.do?rcpNo=20230308000737" TargetMode="External"/><Relationship Id="rId158" Type="http://schemas.openxmlformats.org/officeDocument/2006/relationships/hyperlink" Target="https://dart.fss.or.kr/dsaf001/main.do?rcpNo=20230316001232" TargetMode="External"/><Relationship Id="rId272" Type="http://schemas.openxmlformats.org/officeDocument/2006/relationships/hyperlink" Target="https://dart.fss.or.kr/dsaf001/main.do?rcpNo=20230320000791" TargetMode="External"/><Relationship Id="rId293" Type="http://schemas.openxmlformats.org/officeDocument/2006/relationships/hyperlink" Target="https://dart.fss.or.kr/dsaf001/main.do?rcpNo=20230321000255" TargetMode="External"/><Relationship Id="rId302" Type="http://schemas.openxmlformats.org/officeDocument/2006/relationships/hyperlink" Target="https://dart.fss.or.kr/dsaf001/main.do?rcpNo=20230315001104" TargetMode="External"/><Relationship Id="rId307" Type="http://schemas.openxmlformats.org/officeDocument/2006/relationships/hyperlink" Target="https://dart.fss.or.kr/dsaf001/main.do?rcpNo=20230321001479" TargetMode="External"/><Relationship Id="rId323" Type="http://schemas.openxmlformats.org/officeDocument/2006/relationships/hyperlink" Target="https://dart.fss.or.kr/dsaf001/main.do?rcpNo=20230313000533" TargetMode="External"/><Relationship Id="rId328" Type="http://schemas.openxmlformats.org/officeDocument/2006/relationships/hyperlink" Target="https://www.youngone.co.kr/" TargetMode="External"/><Relationship Id="rId20" Type="http://schemas.openxmlformats.org/officeDocument/2006/relationships/hyperlink" Target="https://dart.fss.or.kr/dsaf001/main.do?rcpNo=20230317000301" TargetMode="External"/><Relationship Id="rId41" Type="http://schemas.openxmlformats.org/officeDocument/2006/relationships/hyperlink" Target="https://dart.fss.or.kr/dsaf001/main.do?rcpNo=20230315000990" TargetMode="External"/><Relationship Id="rId62" Type="http://schemas.openxmlformats.org/officeDocument/2006/relationships/hyperlink" Target="https://dart.fss.or.kr/dsaf001/main.do?rcpNo=20230314000692" TargetMode="External"/><Relationship Id="rId83" Type="http://schemas.openxmlformats.org/officeDocument/2006/relationships/hyperlink" Target="https://dart.fss.or.kr/dsaf001/main.do?rcpNo=20230321000740" TargetMode="External"/><Relationship Id="rId88" Type="http://schemas.openxmlformats.org/officeDocument/2006/relationships/hyperlink" Target="https://www.dlenc.co.kr/main.do" TargetMode="External"/><Relationship Id="rId111" Type="http://schemas.openxmlformats.org/officeDocument/2006/relationships/hyperlink" Target="https://dart.fss.or.kr/dsaf001/main.do?rcpNo=20230321001259" TargetMode="External"/><Relationship Id="rId132" Type="http://schemas.openxmlformats.org/officeDocument/2006/relationships/hyperlink" Target="https://dart.fss.or.kr/dsaf001/main.do?rcpNo=20230328000107" TargetMode="External"/><Relationship Id="rId153" Type="http://schemas.openxmlformats.org/officeDocument/2006/relationships/hyperlink" Target="https://dart.fss.or.kr/dsaf001/main.do?rcpNo=20230316001338" TargetMode="External"/><Relationship Id="rId174" Type="http://schemas.openxmlformats.org/officeDocument/2006/relationships/hyperlink" Target="https://dart.fss.or.kr/dsaf001/main.do?rcpNo=20230322000910" TargetMode="External"/><Relationship Id="rId179" Type="http://schemas.openxmlformats.org/officeDocument/2006/relationships/hyperlink" Target="https://dart.fss.or.kr/dsaf001/main.do?rcpNo=20230316001089" TargetMode="External"/><Relationship Id="rId195" Type="http://schemas.openxmlformats.org/officeDocument/2006/relationships/hyperlink" Target="https://dart.fss.or.kr/dsaf001/main.do?rcpNo=20230321001261" TargetMode="External"/><Relationship Id="rId209" Type="http://schemas.openxmlformats.org/officeDocument/2006/relationships/hyperlink" Target="https://dart.fss.or.kr/dsaf001/main.do?rcpNo=20230315000887" TargetMode="External"/><Relationship Id="rId190" Type="http://schemas.openxmlformats.org/officeDocument/2006/relationships/hyperlink" Target="https://dart.fss.or.kr/dsaf001/main.do?rcpNo=20230315001190" TargetMode="External"/><Relationship Id="rId204" Type="http://schemas.openxmlformats.org/officeDocument/2006/relationships/hyperlink" Target="https://dart.fss.or.kr/dsaf001/main.do?rcpNo=20230317000918" TargetMode="External"/><Relationship Id="rId220" Type="http://schemas.openxmlformats.org/officeDocument/2006/relationships/hyperlink" Target="https://dart.fss.or.kr/dsaf001/main.do?rcpNo=20230323001151" TargetMode="External"/><Relationship Id="rId225" Type="http://schemas.openxmlformats.org/officeDocument/2006/relationships/hyperlink" Target="https://dart.fss.or.kr/dsaf001/main.do?rcpNo=20230308000451" TargetMode="External"/><Relationship Id="rId241" Type="http://schemas.openxmlformats.org/officeDocument/2006/relationships/hyperlink" Target="https://dart.fss.or.kr/dsaf001/main.do?rcpNo=20230316001262" TargetMode="External"/><Relationship Id="rId246" Type="http://schemas.openxmlformats.org/officeDocument/2006/relationships/hyperlink" Target="https://dart.fss.or.kr/dsaf001/main.do?rcpNo=20230317001037" TargetMode="External"/><Relationship Id="rId267" Type="http://schemas.openxmlformats.org/officeDocument/2006/relationships/hyperlink" Target="https://dart.fss.or.kr/dsaf001/main.do?rcpNo=20230317000751" TargetMode="External"/><Relationship Id="rId288" Type="http://schemas.openxmlformats.org/officeDocument/2006/relationships/hyperlink" Target="https://dart.fss.or.kr/dsaf001/main.do?rcpNo=20230314000521" TargetMode="External"/><Relationship Id="rId15" Type="http://schemas.openxmlformats.org/officeDocument/2006/relationships/hyperlink" Target="https://dart.fss.or.kr/dsaf001/main.do?rcpNo=20230316001014" TargetMode="External"/><Relationship Id="rId36" Type="http://schemas.openxmlformats.org/officeDocument/2006/relationships/hyperlink" Target="https://dart.fss.or.kr/dsaf001/main.do?rcpNo=20230316000724" TargetMode="External"/><Relationship Id="rId57" Type="http://schemas.openxmlformats.org/officeDocument/2006/relationships/hyperlink" Target="https://dart.fss.or.kr/dsaf001/main.do?rcpNo=20230309000731" TargetMode="External"/><Relationship Id="rId106" Type="http://schemas.openxmlformats.org/officeDocument/2006/relationships/hyperlink" Target="https://dart.fss.or.kr/dsaf001/main.do?rcpNo=20230320000820" TargetMode="External"/><Relationship Id="rId127" Type="http://schemas.openxmlformats.org/officeDocument/2006/relationships/hyperlink" Target="https://dart.fss.or.kr/dsaf001/main.do?rcpNo=20230310000296" TargetMode="External"/><Relationship Id="rId262" Type="http://schemas.openxmlformats.org/officeDocument/2006/relationships/hyperlink" Target="https://dart.fss.or.kr/dsaf001/main.do?rcpNo=20230314000892" TargetMode="External"/><Relationship Id="rId283" Type="http://schemas.openxmlformats.org/officeDocument/2006/relationships/hyperlink" Target="https://dart.fss.or.kr/dsaf001/main.do?rcpNo=20230316001135" TargetMode="External"/><Relationship Id="rId313" Type="http://schemas.openxmlformats.org/officeDocument/2006/relationships/hyperlink" Target="https://dart.fss.or.kr/dsaf001/main.do?rcpNo=20230315001376" TargetMode="External"/><Relationship Id="rId318" Type="http://schemas.openxmlformats.org/officeDocument/2006/relationships/hyperlink" Target="https://dart.fss.or.kr/dsaf001/main.do?rcpNo=20230320000391" TargetMode="External"/><Relationship Id="rId10" Type="http://schemas.openxmlformats.org/officeDocument/2006/relationships/hyperlink" Target="https://dart.fss.or.kr/dsaf001/main.do?rcpNo=20230315001420" TargetMode="External"/><Relationship Id="rId31" Type="http://schemas.openxmlformats.org/officeDocument/2006/relationships/hyperlink" Target="https://dart.fss.or.kr/dsaf001/main.do?rcpNo=20230302000615" TargetMode="External"/><Relationship Id="rId52" Type="http://schemas.openxmlformats.org/officeDocument/2006/relationships/hyperlink" Target="https://dart.fss.or.kr/dsaf001/main.do?rcpNo=20230322000815" TargetMode="External"/><Relationship Id="rId73" Type="http://schemas.openxmlformats.org/officeDocument/2006/relationships/hyperlink" Target="https://dart.fss.or.kr/dsaf001/main.do?rcpNo=20230316000929" TargetMode="External"/><Relationship Id="rId78" Type="http://schemas.openxmlformats.org/officeDocument/2006/relationships/hyperlink" Target="https://dart.fss.or.kr/dsaf001/main.do?rcpNo=20230316000896" TargetMode="External"/><Relationship Id="rId94" Type="http://schemas.openxmlformats.org/officeDocument/2006/relationships/hyperlink" Target="https://dart.fss.or.kr/dsaf001/main.do?rcpNo=20230315001173" TargetMode="External"/><Relationship Id="rId99" Type="http://schemas.openxmlformats.org/officeDocument/2006/relationships/hyperlink" Target="https://dart.fss.or.kr/dsaf001/main.do?rcpNo=20230316000733" TargetMode="External"/><Relationship Id="rId101" Type="http://schemas.openxmlformats.org/officeDocument/2006/relationships/hyperlink" Target="https://dart.fss.or.kr/dsaf001/main.do?rcpNo=20230316000463" TargetMode="External"/><Relationship Id="rId122" Type="http://schemas.openxmlformats.org/officeDocument/2006/relationships/hyperlink" Target="https://dart.fss.or.kr/dsaf001/main.do?rcpNo=20230316000931" TargetMode="External"/><Relationship Id="rId143" Type="http://schemas.openxmlformats.org/officeDocument/2006/relationships/hyperlink" Target="https://dart.fss.or.kr/dsaf001/main.do?rcpNo=20230308000723" TargetMode="External"/><Relationship Id="rId148" Type="http://schemas.openxmlformats.org/officeDocument/2006/relationships/hyperlink" Target="https://dart.fss.or.kr/dsaf001/main.do?rcpNo=20230315001242" TargetMode="External"/><Relationship Id="rId164" Type="http://schemas.openxmlformats.org/officeDocument/2006/relationships/hyperlink" Target="https://dart.fss.or.kr/dsaf001/main.do?rcpNo=20230308000717" TargetMode="External"/><Relationship Id="rId169" Type="http://schemas.openxmlformats.org/officeDocument/2006/relationships/hyperlink" Target="https://dart.fss.or.kr/dsaf001/main.do?rcpNo=20230320000842" TargetMode="External"/><Relationship Id="rId185" Type="http://schemas.openxmlformats.org/officeDocument/2006/relationships/hyperlink" Target="https://dart.fss.or.kr/dsaf001/main.do?rcpNo=20230316000657" TargetMode="External"/><Relationship Id="rId334" Type="http://schemas.microsoft.com/office/2017/10/relationships/threadedComment" Target="../threadedComments/threadedComment1.xml"/><Relationship Id="rId4" Type="http://schemas.openxmlformats.org/officeDocument/2006/relationships/hyperlink" Target="https://dart.fss.or.kr/dsaf001/main.do?rcpNo=20230320000740" TargetMode="External"/><Relationship Id="rId9" Type="http://schemas.openxmlformats.org/officeDocument/2006/relationships/hyperlink" Target="https://dart.fss.or.kr/dsaf001/main.do?rcpNo=20230315000019" TargetMode="External"/><Relationship Id="rId180" Type="http://schemas.openxmlformats.org/officeDocument/2006/relationships/hyperlink" Target="https://dart.fss.or.kr/dsaf001/main.do?rcpNo=20230615000542" TargetMode="External"/><Relationship Id="rId210" Type="http://schemas.openxmlformats.org/officeDocument/2006/relationships/hyperlink" Target="https://dart.fss.or.kr/dsaf001/main.do?rcpNo=20230315001431" TargetMode="External"/><Relationship Id="rId215" Type="http://schemas.openxmlformats.org/officeDocument/2006/relationships/hyperlink" Target="https://dart.fss.or.kr/dsaf001/main.do?rcpNo=20230309000433" TargetMode="External"/><Relationship Id="rId236" Type="http://schemas.openxmlformats.org/officeDocument/2006/relationships/hyperlink" Target="https://dart.fss.or.kr/dsaf001/main.do?rcpNo=20230320000418" TargetMode="External"/><Relationship Id="rId257" Type="http://schemas.openxmlformats.org/officeDocument/2006/relationships/hyperlink" Target="https://dart.fss.or.kr/dsaf001/main.do?rcpNo=20230317000233" TargetMode="External"/><Relationship Id="rId278" Type="http://schemas.openxmlformats.org/officeDocument/2006/relationships/hyperlink" Target="https://dart.fss.or.kr/dsaf001/main.do?rcpNo=20230316001234" TargetMode="External"/><Relationship Id="rId26" Type="http://schemas.openxmlformats.org/officeDocument/2006/relationships/hyperlink" Target="https://dart.fss.or.kr/dsaf001/main.do?rcpNo=20230316000684" TargetMode="External"/><Relationship Id="rId231" Type="http://schemas.openxmlformats.org/officeDocument/2006/relationships/hyperlink" Target="https://dart.fss.or.kr/dsaf001/main.do?rcpNo=20230309000626" TargetMode="External"/><Relationship Id="rId252" Type="http://schemas.openxmlformats.org/officeDocument/2006/relationships/hyperlink" Target="https://dart.fss.or.kr/dsaf001/main.do?rcpNo=20230320000728" TargetMode="External"/><Relationship Id="rId273" Type="http://schemas.openxmlformats.org/officeDocument/2006/relationships/hyperlink" Target="http://www.fskrc.co.kr/" TargetMode="External"/><Relationship Id="rId294" Type="http://schemas.openxmlformats.org/officeDocument/2006/relationships/hyperlink" Target="https://dart.fss.or.kr/dsaf001/main.do?rcpNo=20230317000994" TargetMode="External"/><Relationship Id="rId308" Type="http://schemas.openxmlformats.org/officeDocument/2006/relationships/hyperlink" Target="https://dart.fss.or.kr/dsaf001/main.do?rcpNo=20230317000639" TargetMode="External"/><Relationship Id="rId329" Type="http://schemas.openxmlformats.org/officeDocument/2006/relationships/hyperlink" Target="http://www.iljinelectric.co.kr/main.jsp" TargetMode="External"/><Relationship Id="rId47" Type="http://schemas.openxmlformats.org/officeDocument/2006/relationships/hyperlink" Target="https://dart.fss.or.kr/dsaf001/main.do?rcpNo=20230320000235" TargetMode="External"/><Relationship Id="rId68" Type="http://schemas.openxmlformats.org/officeDocument/2006/relationships/hyperlink" Target="https://dart.fss.or.kr/dsaf001/main.do?rcpNo=20230608000512" TargetMode="External"/><Relationship Id="rId89" Type="http://schemas.openxmlformats.org/officeDocument/2006/relationships/hyperlink" Target="https://dart.fss.or.kr/dsaf001/main.do?rcpNo=20230322001136" TargetMode="External"/><Relationship Id="rId112" Type="http://schemas.openxmlformats.org/officeDocument/2006/relationships/hyperlink" Target="https://dart.fss.or.kr/dsaf001/main.do?rcpNo=20230713000062" TargetMode="External"/><Relationship Id="rId133" Type="http://schemas.openxmlformats.org/officeDocument/2006/relationships/hyperlink" Target="https://dart.fss.or.kr/dsaf001/main.do?rcpNo=20230323000263" TargetMode="External"/><Relationship Id="rId154" Type="http://schemas.openxmlformats.org/officeDocument/2006/relationships/hyperlink" Target="https://dart.fss.or.kr/dsaf001/main.do?rcpNo=20230322000313" TargetMode="External"/><Relationship Id="rId175" Type="http://schemas.openxmlformats.org/officeDocument/2006/relationships/hyperlink" Target="https://dart.fss.or.kr/dsaf001/main.do?rcpNo=20230315001315" TargetMode="External"/><Relationship Id="rId196" Type="http://schemas.openxmlformats.org/officeDocument/2006/relationships/hyperlink" Target="https://dart.fss.or.kr/dsaf001/main.do?rcpNo=20230323001360" TargetMode="External"/><Relationship Id="rId200" Type="http://schemas.openxmlformats.org/officeDocument/2006/relationships/hyperlink" Target="https://dart.fss.or.kr/dsaf001/main.do?rcpNo=20230712000496" TargetMode="External"/><Relationship Id="rId16" Type="http://schemas.openxmlformats.org/officeDocument/2006/relationships/hyperlink" Target="https://dart.fss.or.kr/dsaf001/main.do?rcpNo=20230315001215" TargetMode="External"/><Relationship Id="rId221" Type="http://schemas.openxmlformats.org/officeDocument/2006/relationships/hyperlink" Target="https://dart.fss.or.kr/dsaf001/main.do?rcpNo=20230316000222" TargetMode="External"/><Relationship Id="rId242" Type="http://schemas.openxmlformats.org/officeDocument/2006/relationships/hyperlink" Target="https://dart.fss.or.kr/dsaf001/main.do?rcpNo=20230407002574" TargetMode="External"/><Relationship Id="rId263" Type="http://schemas.openxmlformats.org/officeDocument/2006/relationships/hyperlink" Target="https://dart.fss.or.kr/dsaf001/main.do?rcpNo=20230321001130" TargetMode="External"/><Relationship Id="rId284" Type="http://schemas.openxmlformats.org/officeDocument/2006/relationships/hyperlink" Target="https://dart.fss.or.kr/dsaf001/main.do?rcpNo=20230316001554" TargetMode="External"/><Relationship Id="rId319" Type="http://schemas.openxmlformats.org/officeDocument/2006/relationships/hyperlink" Target="https://dart.fss.or.kr/dsaf001/main.do?rcpNo=20230315001063" TargetMode="External"/><Relationship Id="rId37" Type="http://schemas.openxmlformats.org/officeDocument/2006/relationships/hyperlink" Target="https://dart.fss.or.kr/dsaf001/main.do?rcpNo=20230315000084" TargetMode="External"/><Relationship Id="rId58" Type="http://schemas.openxmlformats.org/officeDocument/2006/relationships/hyperlink" Target="https://dart.fss.or.kr/dsaf001/main.do?rcpNo=20230316001326" TargetMode="External"/><Relationship Id="rId79" Type="http://schemas.openxmlformats.org/officeDocument/2006/relationships/hyperlink" Target="http://www.daesung.co.kr/" TargetMode="External"/><Relationship Id="rId102" Type="http://schemas.openxmlformats.org/officeDocument/2006/relationships/hyperlink" Target="https://dart.fss.or.kr/dsaf001/main.do?rcpNo=20230320001075" TargetMode="External"/><Relationship Id="rId123" Type="http://schemas.openxmlformats.org/officeDocument/2006/relationships/hyperlink" Target="https://dart.fss.or.kr/dsaf001/main.do?rcpNo=20230317001035" TargetMode="External"/><Relationship Id="rId144" Type="http://schemas.openxmlformats.org/officeDocument/2006/relationships/hyperlink" Target="https://dart.fss.or.kr/dsaf001/main.do?rcpNo=20230309000772" TargetMode="External"/><Relationship Id="rId330" Type="http://schemas.openxmlformats.org/officeDocument/2006/relationships/hyperlink" Target="https://m.kakaobank.com/" TargetMode="External"/><Relationship Id="rId90" Type="http://schemas.openxmlformats.org/officeDocument/2006/relationships/hyperlink" Target="https://dart.fss.or.kr/dsaf001/main.do?rcpNo=20230331003410" TargetMode="External"/><Relationship Id="rId165" Type="http://schemas.openxmlformats.org/officeDocument/2006/relationships/hyperlink" Target="https://dart.fss.or.kr/dsaf001/main.do?rcpNo=20230314001166" TargetMode="External"/><Relationship Id="rId186" Type="http://schemas.openxmlformats.org/officeDocument/2006/relationships/hyperlink" Target="https://dart.fss.or.kr/dsaf001/main.do?rcpNo=20230315001378" TargetMode="External"/><Relationship Id="rId211" Type="http://schemas.openxmlformats.org/officeDocument/2006/relationships/hyperlink" Target="https://dart.fss.or.kr/dsaf001/main.do?rcpNo=20230315000658" TargetMode="External"/><Relationship Id="rId232" Type="http://schemas.openxmlformats.org/officeDocument/2006/relationships/hyperlink" Target="https://dart.fss.or.kr/dsaf001/main.do?rcpNo=20230316000376" TargetMode="External"/><Relationship Id="rId253" Type="http://schemas.openxmlformats.org/officeDocument/2006/relationships/hyperlink" Target="https://dart.fss.or.kr/dsaf001/main.do?rcpNo=20230320001037" TargetMode="External"/><Relationship Id="rId274" Type="http://schemas.openxmlformats.org/officeDocument/2006/relationships/hyperlink" Target="https://dart.fss.or.kr/dsaf001/main.do?rcpNo=20230323000756" TargetMode="External"/><Relationship Id="rId295" Type="http://schemas.openxmlformats.org/officeDocument/2006/relationships/hyperlink" Target="https://dart.fss.or.kr/dsaf001/main.do?rcpNo=20230317000982" TargetMode="External"/><Relationship Id="rId309" Type="http://schemas.openxmlformats.org/officeDocument/2006/relationships/hyperlink" Target="https://dart.fss.or.kr/dsaf001/main.do?rcpNo=20230315001030" TargetMode="External"/><Relationship Id="rId27" Type="http://schemas.openxmlformats.org/officeDocument/2006/relationships/hyperlink" Target="https://dart.fss.or.kr/dsaf001/main.do?rcpNo=20230322000776" TargetMode="External"/><Relationship Id="rId48" Type="http://schemas.openxmlformats.org/officeDocument/2006/relationships/hyperlink" Target="https://dart.fss.or.kr/dsaf001/main.do?rcpNo=20230321001209" TargetMode="External"/><Relationship Id="rId69" Type="http://schemas.openxmlformats.org/officeDocument/2006/relationships/hyperlink" Target="https://dart.fss.or.kr/dsaf001/main.do?rcpNo=20230309000734" TargetMode="External"/><Relationship Id="rId113" Type="http://schemas.openxmlformats.org/officeDocument/2006/relationships/hyperlink" Target="https://dart.fss.or.kr/dsaf001/main.do?rcpNo=20230315000573" TargetMode="External"/><Relationship Id="rId134" Type="http://schemas.openxmlformats.org/officeDocument/2006/relationships/hyperlink" Target="https://dart.fss.or.kr/dsaf001/main.do?rcpNo=20230315001385" TargetMode="External"/><Relationship Id="rId320" Type="http://schemas.openxmlformats.org/officeDocument/2006/relationships/hyperlink" Target="https://dart.fss.or.kr/dsaf001/main.do?rcpNo=20230308000691" TargetMode="External"/><Relationship Id="rId80" Type="http://schemas.openxmlformats.org/officeDocument/2006/relationships/hyperlink" Target="https://dart.fss.or.kr/dsaf001/main.do?rcpNo=20230321000870" TargetMode="External"/><Relationship Id="rId155" Type="http://schemas.openxmlformats.org/officeDocument/2006/relationships/hyperlink" Target="https://dart.fss.or.kr/dsaf001/main.do?rcpNo=20230410003453" TargetMode="External"/><Relationship Id="rId176" Type="http://schemas.openxmlformats.org/officeDocument/2006/relationships/hyperlink" Target="https://dart.fss.or.kr/dsaf001/main.do?rcpNo=20220920000318" TargetMode="External"/><Relationship Id="rId197" Type="http://schemas.openxmlformats.org/officeDocument/2006/relationships/hyperlink" Target="https://dart.fss.or.kr/dsaf001/main.do?rcpNo=20230314000700" TargetMode="External"/><Relationship Id="rId201" Type="http://schemas.openxmlformats.org/officeDocument/2006/relationships/hyperlink" Target="https://dart.fss.or.kr/dsaf001/main.do?rcpNo=20230315001259" TargetMode="External"/><Relationship Id="rId222" Type="http://schemas.openxmlformats.org/officeDocument/2006/relationships/hyperlink" Target="https://dart.fss.or.kr/dsaf001/main.do?rcpNo=20230315000560" TargetMode="External"/><Relationship Id="rId243" Type="http://schemas.openxmlformats.org/officeDocument/2006/relationships/hyperlink" Target="https://dart.fss.or.kr/dsaf001/main.do?rcpNo=20230323001449" TargetMode="External"/><Relationship Id="rId264" Type="http://schemas.openxmlformats.org/officeDocument/2006/relationships/hyperlink" Target="https://dart.fss.or.kr/dsaf001/main.do?rcpNo=20230321001315" TargetMode="External"/><Relationship Id="rId285" Type="http://schemas.openxmlformats.org/officeDocument/2006/relationships/hyperlink" Target="https://dart.fss.or.kr/dsaf001/main.do?rcpNo=20230321001525" TargetMode="External"/><Relationship Id="rId17" Type="http://schemas.openxmlformats.org/officeDocument/2006/relationships/hyperlink" Target="https://dart.fss.or.kr/dsaf001/main.do?rcpNo=20230316001339" TargetMode="External"/><Relationship Id="rId38" Type="http://schemas.openxmlformats.org/officeDocument/2006/relationships/hyperlink" Target="https://dart.fss.or.kr/dsaf001/main.do?rcpNo=20230309000859" TargetMode="External"/><Relationship Id="rId59" Type="http://schemas.openxmlformats.org/officeDocument/2006/relationships/hyperlink" Target="https://dart.fss.or.kr/dsaf001/main.do?rcpNo=20230321001353" TargetMode="External"/><Relationship Id="rId103" Type="http://schemas.openxmlformats.org/officeDocument/2006/relationships/hyperlink" Target="https://dart.fss.or.kr/dsaf001/main.do?rcpNo=20230316000692" TargetMode="External"/><Relationship Id="rId124" Type="http://schemas.openxmlformats.org/officeDocument/2006/relationships/hyperlink" Target="https://dart.fss.or.kr/dsaf001/main.do?rcpNo=20230315001134" TargetMode="External"/><Relationship Id="rId310" Type="http://schemas.openxmlformats.org/officeDocument/2006/relationships/hyperlink" Target="https://dart.fss.or.kr/dsaf001/main.do?rcpNo=20230315000803" TargetMode="External"/><Relationship Id="rId70" Type="http://schemas.openxmlformats.org/officeDocument/2006/relationships/hyperlink" Target="https://dart.fss.or.kr/dsaf001/main.do?rcpNo=20230712000089" TargetMode="External"/><Relationship Id="rId91" Type="http://schemas.openxmlformats.org/officeDocument/2006/relationships/hyperlink" Target="https://dart.fss.or.kr/dsaf001/main.do?rcpNo=20230316001412" TargetMode="External"/><Relationship Id="rId145" Type="http://schemas.openxmlformats.org/officeDocument/2006/relationships/hyperlink" Target="https://dart.fss.or.kr/dsaf001/main.do?rcpNo=20230315001212" TargetMode="External"/><Relationship Id="rId166" Type="http://schemas.openxmlformats.org/officeDocument/2006/relationships/hyperlink" Target="https://dart.fss.or.kr/dsaf001/main.do?rcpNo=20230724000235" TargetMode="External"/><Relationship Id="rId187" Type="http://schemas.openxmlformats.org/officeDocument/2006/relationships/hyperlink" Target="https://dart.fss.or.kr/dsaf001/main.do?rcpNo=20230309000717" TargetMode="External"/><Relationship Id="rId331" Type="http://schemas.openxmlformats.org/officeDocument/2006/relationships/hyperlink" Target="https://www.hanmi.co.kr/"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2001078" TargetMode="External"/><Relationship Id="rId233" Type="http://schemas.openxmlformats.org/officeDocument/2006/relationships/hyperlink" Target="https://dart.fss.or.kr/dsaf001/main.do?rcpNo=20230315001428" TargetMode="External"/><Relationship Id="rId254" Type="http://schemas.openxmlformats.org/officeDocument/2006/relationships/hyperlink" Target="https://dart.fss.or.kr/dsaf001/main.do?rcpNo=20230316001157" TargetMode="External"/><Relationship Id="rId28" Type="http://schemas.openxmlformats.org/officeDocument/2006/relationships/hyperlink" Target="https://dart.fss.or.kr/dsaf001/main.do?rcpNo=20230323000613" TargetMode="External"/><Relationship Id="rId49" Type="http://schemas.openxmlformats.org/officeDocument/2006/relationships/hyperlink" Target="https://dart.fss.or.kr/dsaf001/main.do?rcpNo=20230220001625" TargetMode="External"/><Relationship Id="rId114" Type="http://schemas.openxmlformats.org/officeDocument/2006/relationships/hyperlink" Target="https://dart.fss.or.kr/dsaf001/main.do?rcpNo=20230316001051" TargetMode="External"/><Relationship Id="rId275" Type="http://schemas.openxmlformats.org/officeDocument/2006/relationships/hyperlink" Target="https://dart.fss.or.kr/dsaf001/main.do?rcpNo=20230323000478" TargetMode="External"/><Relationship Id="rId296" Type="http://schemas.openxmlformats.org/officeDocument/2006/relationships/hyperlink" Target="https://dart.fss.or.kr/dsaf001/main.do?rcpNo=20230323001346" TargetMode="External"/><Relationship Id="rId300" Type="http://schemas.openxmlformats.org/officeDocument/2006/relationships/hyperlink" Target="https://dart.fss.or.kr/dsaf001/main.do?rcpNo=20230314001218" TargetMode="External"/><Relationship Id="rId60" Type="http://schemas.openxmlformats.org/officeDocument/2006/relationships/hyperlink" Target="https://dart.fss.or.kr/dsaf001/main.do?rcpNo=20230321000645" TargetMode="External"/><Relationship Id="rId81" Type="http://schemas.openxmlformats.org/officeDocument/2006/relationships/hyperlink" Target="https://dart.fss.or.kr/dsaf001/main.do?rcpNo=20230320000675" TargetMode="External"/><Relationship Id="rId135" Type="http://schemas.openxmlformats.org/officeDocument/2006/relationships/hyperlink" Target="https://dart.fss.or.kr/dsaf001/main.do?rcpNo=20230315001257" TargetMode="External"/><Relationship Id="rId156" Type="http://schemas.openxmlformats.org/officeDocument/2006/relationships/hyperlink" Target="https://dart.fss.or.kr/dsaf001/main.do?rcpNo=20230320000375" TargetMode="External"/><Relationship Id="rId177" Type="http://schemas.openxmlformats.org/officeDocument/2006/relationships/hyperlink" Target="https://dart.fss.or.kr/dsaf001/main.do?rcpNo=20230315001319" TargetMode="External"/><Relationship Id="rId198" Type="http://schemas.openxmlformats.org/officeDocument/2006/relationships/hyperlink" Target="https://dart.fss.or.kr/dsaf001/main.do?rcpNo=20230315000345" TargetMode="External"/><Relationship Id="rId321" Type="http://schemas.openxmlformats.org/officeDocument/2006/relationships/hyperlink" Target="https://dart.fss.or.kr/dsaf001/main.do?rcpNo=20230308000741" TargetMode="External"/><Relationship Id="rId202" Type="http://schemas.openxmlformats.org/officeDocument/2006/relationships/hyperlink" Target="https://dart.fss.or.kr/dsaf001/main.do?rcpNo=20230322000913" TargetMode="External"/><Relationship Id="rId223" Type="http://schemas.openxmlformats.org/officeDocument/2006/relationships/hyperlink" Target="https://dart.fss.or.kr/dsaf001/main.do?rcpNo=20230315001068" TargetMode="External"/><Relationship Id="rId244" Type="http://schemas.openxmlformats.org/officeDocument/2006/relationships/hyperlink" Target="https://dart.fss.or.kr/dsaf001/main.do?rcpNo=20230323001208" TargetMode="External"/><Relationship Id="rId18" Type="http://schemas.openxmlformats.org/officeDocument/2006/relationships/hyperlink" Target="https://dart.fss.or.kr/dsaf001/main.do?rcpNo=20230315001033" TargetMode="External"/><Relationship Id="rId39" Type="http://schemas.openxmlformats.org/officeDocument/2006/relationships/hyperlink" Target="https://dart.fss.or.kr/dsaf001/main.do?rcpNo=20230321000569" TargetMode="External"/><Relationship Id="rId265" Type="http://schemas.openxmlformats.org/officeDocument/2006/relationships/hyperlink" Target="https://dart.fss.or.kr/dsaf001/main.do?rcpNo=20230316001331" TargetMode="External"/><Relationship Id="rId286" Type="http://schemas.openxmlformats.org/officeDocument/2006/relationships/hyperlink" Target="https://dart.fss.or.kr/dsaf001/main.do?rcpNo=20230315001312" TargetMode="External"/><Relationship Id="rId50" Type="http://schemas.openxmlformats.org/officeDocument/2006/relationships/hyperlink" Target="https://dart.fss.or.kr/dsaf001/main.do?rcpNo=20230220001611" TargetMode="External"/><Relationship Id="rId104" Type="http://schemas.openxmlformats.org/officeDocument/2006/relationships/hyperlink" Target="https://dart.fss.or.kr/dsaf001/main.do?rcpNo=20230322001102" TargetMode="External"/><Relationship Id="rId125" Type="http://schemas.openxmlformats.org/officeDocument/2006/relationships/hyperlink" Target="https://dart.fss.or.kr/dsaf001/main.do?rcpNo=20230320000972" TargetMode="External"/><Relationship Id="rId146" Type="http://schemas.openxmlformats.org/officeDocument/2006/relationships/hyperlink" Target="https://dart.fss.or.kr/dsaf001/main.do?rcpNo=20230315001060" TargetMode="External"/><Relationship Id="rId167" Type="http://schemas.openxmlformats.org/officeDocument/2006/relationships/hyperlink" Target="https://dart.fss.or.kr/dsaf001/main.do?rcpNo=20230228006867" TargetMode="External"/><Relationship Id="rId188" Type="http://schemas.openxmlformats.org/officeDocument/2006/relationships/hyperlink" Target="https://dart.fss.or.kr/dsaf001/main.do?rcpNo=20230322000722" TargetMode="External"/><Relationship Id="rId311" Type="http://schemas.openxmlformats.org/officeDocument/2006/relationships/hyperlink" Target="https://dart.fss.or.kr/dsaf001/main.do?rcpNo=20230321001082" TargetMode="External"/><Relationship Id="rId332" Type="http://schemas.openxmlformats.org/officeDocument/2006/relationships/vmlDrawing" Target="../drawings/vmlDrawing1.vml"/><Relationship Id="rId71" Type="http://schemas.openxmlformats.org/officeDocument/2006/relationships/hyperlink" Target="https://dart.fss.or.kr/dsaf001/main.do?rcpNo=20230316001430" TargetMode="External"/><Relationship Id="rId92" Type="http://schemas.openxmlformats.org/officeDocument/2006/relationships/hyperlink" Target="https://dart.fss.or.kr/dsaf001/main.do?rcpNo=20230323001351" TargetMode="External"/><Relationship Id="rId213" Type="http://schemas.openxmlformats.org/officeDocument/2006/relationships/hyperlink" Target="https://dart.fss.or.kr/dsaf001/main.do?rcpNo=20230321000409" TargetMode="External"/><Relationship Id="rId234" Type="http://schemas.openxmlformats.org/officeDocument/2006/relationships/hyperlink" Target="https://dart.fss.or.kr/dsaf001/main.do?rcpNo=20230308000725" TargetMode="External"/><Relationship Id="rId2" Type="http://schemas.openxmlformats.org/officeDocument/2006/relationships/hyperlink" Target="https://dart.fss.or.kr/dsaf001/main.do?rcpNo=20230316001312" TargetMode="External"/><Relationship Id="rId29" Type="http://schemas.openxmlformats.org/officeDocument/2006/relationships/hyperlink" Target="https://dart.fss.or.kr/dsaf001/main.do?rcpNo=20230320000688" TargetMode="External"/><Relationship Id="rId255" Type="http://schemas.openxmlformats.org/officeDocument/2006/relationships/hyperlink" Target="https://dart.fss.or.kr/dsaf001/main.do?rcpNo=20230323001143" TargetMode="External"/><Relationship Id="rId276" Type="http://schemas.openxmlformats.org/officeDocument/2006/relationships/hyperlink" Target="https://dart.fss.or.kr/dsaf001/main.do?rcpNo=20230315000812" TargetMode="External"/><Relationship Id="rId297" Type="http://schemas.openxmlformats.org/officeDocument/2006/relationships/hyperlink" Target="https://dart.fss.or.kr/dsaf001/main.do?rcpNo=20230315001412" TargetMode="External"/><Relationship Id="rId40" Type="http://schemas.openxmlformats.org/officeDocument/2006/relationships/hyperlink" Target="https://dart.fss.or.kr/dsaf001/main.do?rcpNo=20230320000844" TargetMode="External"/><Relationship Id="rId115" Type="http://schemas.openxmlformats.org/officeDocument/2006/relationships/hyperlink" Target="https://dart.fss.or.kr/dsaf001/main.do?rcpNo=20230315001395" TargetMode="External"/><Relationship Id="rId136" Type="http://schemas.openxmlformats.org/officeDocument/2006/relationships/hyperlink" Target="https://dart.fss.or.kr/dsaf001/main.do?rcpNo=20230313000726" TargetMode="External"/><Relationship Id="rId157" Type="http://schemas.openxmlformats.org/officeDocument/2006/relationships/hyperlink" Target="https://dart.fss.or.kr/dsaf001/main.do?rcpNo=20230316001182" TargetMode="External"/><Relationship Id="rId178" Type="http://schemas.openxmlformats.org/officeDocument/2006/relationships/hyperlink" Target="https://dart.fss.or.kr/dsaf001/main.do?rcpNo=20230314001079" TargetMode="External"/><Relationship Id="rId301" Type="http://schemas.openxmlformats.org/officeDocument/2006/relationships/hyperlink" Target="https://dart.fss.or.kr/dsaf001/main.do?rcpNo=20230411001656" TargetMode="External"/><Relationship Id="rId322" Type="http://schemas.openxmlformats.org/officeDocument/2006/relationships/hyperlink" Target="https://dart.fss.or.kr/dsaf001/main.do?rcpNo=20230321000387" TargetMode="External"/><Relationship Id="rId61" Type="http://schemas.openxmlformats.org/officeDocument/2006/relationships/hyperlink" Target="https://dart.fss.or.kr/dsaf001/main.do?rcpNo=20230314000982" TargetMode="External"/><Relationship Id="rId82" Type="http://schemas.openxmlformats.org/officeDocument/2006/relationships/hyperlink" Target="https://dart.fss.or.kr/dsaf001/main.do?rcpNo=20230321000752" TargetMode="External"/><Relationship Id="rId199" Type="http://schemas.openxmlformats.org/officeDocument/2006/relationships/hyperlink" Target="https://dart.fss.or.kr/dsaf001/main.do?rcpNo=20230321001365" TargetMode="External"/><Relationship Id="rId203" Type="http://schemas.openxmlformats.org/officeDocument/2006/relationships/hyperlink" Target="https://dart.fss.or.kr/dsaf001/main.do?rcpNo=20230316001571" TargetMode="External"/><Relationship Id="rId19" Type="http://schemas.openxmlformats.org/officeDocument/2006/relationships/hyperlink" Target="https://dart.fss.or.kr/dsaf001/main.do?rcpNo=20230713000082" TargetMode="External"/><Relationship Id="rId224" Type="http://schemas.openxmlformats.org/officeDocument/2006/relationships/hyperlink" Target="https://dart.fss.or.kr/dsaf001/main.do?rcpNo=20230714000214" TargetMode="External"/><Relationship Id="rId245" Type="http://schemas.openxmlformats.org/officeDocument/2006/relationships/hyperlink" Target="https://dart.fss.or.kr/dsaf001/main.do?rcpNo=20230320001005" TargetMode="External"/><Relationship Id="rId266" Type="http://schemas.openxmlformats.org/officeDocument/2006/relationships/hyperlink" Target="https://dart.fss.or.kr/dsaf001/main.do?rcpNo=20230313000443" TargetMode="External"/><Relationship Id="rId287" Type="http://schemas.openxmlformats.org/officeDocument/2006/relationships/hyperlink" Target="https://dart.fss.or.kr/dsaf001/main.do?rcpNo=20230320000937" TargetMode="External"/><Relationship Id="rId30" Type="http://schemas.openxmlformats.org/officeDocument/2006/relationships/hyperlink" Target="https://dart.fss.or.kr/dsaf001/main.do?rcpNo=20230320000833" TargetMode="External"/><Relationship Id="rId105" Type="http://schemas.openxmlformats.org/officeDocument/2006/relationships/hyperlink" Target="https://dart.fss.or.kr/dsaf001/main.do?rcpNo=20230317000669" TargetMode="External"/><Relationship Id="rId126" Type="http://schemas.openxmlformats.org/officeDocument/2006/relationships/hyperlink" Target="https://dart.fss.or.kr/dsaf001/main.do?rcpNo=20230315001384" TargetMode="External"/><Relationship Id="rId147" Type="http://schemas.openxmlformats.org/officeDocument/2006/relationships/hyperlink" Target="https://dart.fss.or.kr/dsaf001/main.do?rcpNo=20230321001381" TargetMode="External"/><Relationship Id="rId168" Type="http://schemas.openxmlformats.org/officeDocument/2006/relationships/hyperlink" Target="https://dart.fss.or.kr/dsaf001/main.do?rcpNo=20230316000461" TargetMode="External"/><Relationship Id="rId312" Type="http://schemas.openxmlformats.org/officeDocument/2006/relationships/hyperlink" Target="https://dart.fss.or.kr/dsaf001/main.do?rcpNo=20230309000797" TargetMode="External"/><Relationship Id="rId33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dart.fss.or.kr/dsaf001/main.do?rcpNo=20230315001134" TargetMode="External"/><Relationship Id="rId299" Type="http://schemas.openxmlformats.org/officeDocument/2006/relationships/hyperlink" Target="https://dart.fss.or.kr/dsaf001/main.do?rcpNo=20230320001061" TargetMode="External"/><Relationship Id="rId303" Type="http://schemas.openxmlformats.org/officeDocument/2006/relationships/hyperlink" Target="https://dart.fss.or.kr/dsaf001/main.do?rcpNo=20230315000803" TargetMode="External"/><Relationship Id="rId21" Type="http://schemas.openxmlformats.org/officeDocument/2006/relationships/hyperlink" Target="https://dart.fss.or.kr/dsaf001/main.do?rcpNo=20230316000950" TargetMode="External"/><Relationship Id="rId42" Type="http://schemas.openxmlformats.org/officeDocument/2006/relationships/hyperlink" Target="https://dart.fss.or.kr/dsaf001/main.do?rcpNo=20230320000964" TargetMode="External"/><Relationship Id="rId63" Type="http://schemas.openxmlformats.org/officeDocument/2006/relationships/hyperlink" Target="https://dart.fss.or.kr/dsaf001/main.do?rcpNo=20230316001213" TargetMode="External"/><Relationship Id="rId84" Type="http://schemas.openxmlformats.org/officeDocument/2006/relationships/hyperlink" Target="https://dart.fss.or.kr/dsaf001/main.do?rcpNo=20230316001412" TargetMode="External"/><Relationship Id="rId138" Type="http://schemas.openxmlformats.org/officeDocument/2006/relationships/hyperlink" Target="https://dart.fss.or.kr/dsaf001/main.do?rcpNo=20230309000772" TargetMode="External"/><Relationship Id="rId159" Type="http://schemas.openxmlformats.org/officeDocument/2006/relationships/hyperlink" Target="https://dart.fss.or.kr/dsaf001/main.do?rcpNo=20230314001166" TargetMode="External"/><Relationship Id="rId170" Type="http://schemas.openxmlformats.org/officeDocument/2006/relationships/hyperlink" Target="https://dart.fss.or.kr/dsaf001/main.do?rcpNo=20220920000318" TargetMode="External"/><Relationship Id="rId191" Type="http://schemas.openxmlformats.org/officeDocument/2006/relationships/hyperlink" Target="https://dart.fss.or.kr/dsaf001/main.do?rcpNo=20230314000700" TargetMode="External"/><Relationship Id="rId205" Type="http://schemas.openxmlformats.org/officeDocument/2006/relationships/hyperlink" Target="https://dart.fss.or.kr/dsaf001/main.do?rcpNo=20230315000658" TargetMode="External"/><Relationship Id="rId226" Type="http://schemas.openxmlformats.org/officeDocument/2006/relationships/hyperlink" Target="https://dart.fss.or.kr/dsaf001/main.do?rcpNo=20230316000376" TargetMode="External"/><Relationship Id="rId247" Type="http://schemas.openxmlformats.org/officeDocument/2006/relationships/hyperlink" Target="https://dart.fss.or.kr/dsaf001/main.do?rcpNo=20230320001037" TargetMode="External"/><Relationship Id="rId107" Type="http://schemas.openxmlformats.org/officeDocument/2006/relationships/hyperlink" Target="https://dart.fss.or.kr/dsaf001/main.do?rcpNo=20230316001051" TargetMode="External"/><Relationship Id="rId268" Type="http://schemas.openxmlformats.org/officeDocument/2006/relationships/hyperlink" Target="https://dart.fss.or.kr/dsaf001/main.do?rcpNo=20230323000478" TargetMode="External"/><Relationship Id="rId289" Type="http://schemas.openxmlformats.org/officeDocument/2006/relationships/hyperlink" Target="https://dart.fss.or.kr/dsaf001/main.do?rcpNo=20230323001346" TargetMode="External"/><Relationship Id="rId11" Type="http://schemas.openxmlformats.org/officeDocument/2006/relationships/hyperlink" Target="https://dart.fss.or.kr/dsaf001/main.do?rcpNo=20230316001014" TargetMode="External"/><Relationship Id="rId32" Type="http://schemas.openxmlformats.org/officeDocument/2006/relationships/hyperlink" Target="https://dart.fss.or.kr/dsaf001/main.do?rcpNo=20230316000724" TargetMode="External"/><Relationship Id="rId53" Type="http://schemas.openxmlformats.org/officeDocument/2006/relationships/hyperlink" Target="https://dart.fss.or.kr/dsaf001/main.do?rcpNo=20230309000731" TargetMode="External"/><Relationship Id="rId74" Type="http://schemas.openxmlformats.org/officeDocument/2006/relationships/hyperlink" Target="https://dart.fss.or.kr/dsaf001/main.do?rcpNo=20230316000896" TargetMode="External"/><Relationship Id="rId128" Type="http://schemas.openxmlformats.org/officeDocument/2006/relationships/hyperlink" Target="https://dart.fss.or.kr/dsaf001/main.do?rcpNo=20230315001257" TargetMode="External"/><Relationship Id="rId149" Type="http://schemas.openxmlformats.org/officeDocument/2006/relationships/hyperlink" Target="https://dart.fss.or.kr/dsaf001/main.do?rcpNo=20230410003453" TargetMode="External"/><Relationship Id="rId314" Type="http://schemas.openxmlformats.org/officeDocument/2006/relationships/hyperlink" Target="https://dart.fss.or.kr/dsaf001/main.do?rcpNo=20230308000741" TargetMode="External"/><Relationship Id="rId5" Type="http://schemas.openxmlformats.org/officeDocument/2006/relationships/hyperlink" Target="https://dart.fss.or.kr/dsaf001/main.do?rcpNo=20230315000019" TargetMode="External"/><Relationship Id="rId95" Type="http://schemas.openxmlformats.org/officeDocument/2006/relationships/hyperlink" Target="https://dart.fss.or.kr/dsaf001/main.do?rcpNo=20230320001075" TargetMode="External"/><Relationship Id="rId160" Type="http://schemas.openxmlformats.org/officeDocument/2006/relationships/hyperlink" Target="https://dart.fss.or.kr/dsaf001/main.do?rcpNo=20230724000235" TargetMode="External"/><Relationship Id="rId181" Type="http://schemas.openxmlformats.org/officeDocument/2006/relationships/hyperlink" Target="https://dart.fss.or.kr/dsaf001/main.do?rcpNo=20230309000717" TargetMode="External"/><Relationship Id="rId216" Type="http://schemas.openxmlformats.org/officeDocument/2006/relationships/hyperlink" Target="https://dart.fss.or.kr/dsaf001/main.do?rcpNo=20230315000560" TargetMode="External"/><Relationship Id="rId237" Type="http://schemas.openxmlformats.org/officeDocument/2006/relationships/hyperlink" Target="https://dart.fss.or.kr/dsaf001/main.do?rcpNo=20230323001449" TargetMode="External"/><Relationship Id="rId258" Type="http://schemas.openxmlformats.org/officeDocument/2006/relationships/hyperlink" Target="https://dart.fss.or.kr/dsaf001/main.do?rcpNo=20230321001315" TargetMode="External"/><Relationship Id="rId279" Type="http://schemas.openxmlformats.org/officeDocument/2006/relationships/hyperlink" Target="https://dart.fss.or.kr/dsaf001/main.do?rcpNo=20230315001312" TargetMode="External"/><Relationship Id="rId22" Type="http://schemas.openxmlformats.org/officeDocument/2006/relationships/hyperlink" Target="https://dart.fss.or.kr/dsaf001/main.do?rcpNo=20230316000684" TargetMode="External"/><Relationship Id="rId43" Type="http://schemas.openxmlformats.org/officeDocument/2006/relationships/hyperlink" Target="https://dart.fss.or.kr/dsaf001/main.do?rcpNo=20230320000235" TargetMode="External"/><Relationship Id="rId64" Type="http://schemas.openxmlformats.org/officeDocument/2006/relationships/hyperlink" Target="https://dart.fss.or.kr/dsaf001/main.do?rcpNo=20230608000512" TargetMode="External"/><Relationship Id="rId118" Type="http://schemas.openxmlformats.org/officeDocument/2006/relationships/hyperlink" Target="https://dart.fss.or.kr/dsaf001/main.do?rcpNo=20230320000972" TargetMode="External"/><Relationship Id="rId139" Type="http://schemas.openxmlformats.org/officeDocument/2006/relationships/hyperlink" Target="https://dart.fss.or.kr/dsaf001/main.do?rcpNo=20230315001212" TargetMode="External"/><Relationship Id="rId290" Type="http://schemas.openxmlformats.org/officeDocument/2006/relationships/hyperlink" Target="https://dart.fss.or.kr/dsaf001/main.do?rcpNo=20230315001412" TargetMode="External"/><Relationship Id="rId304" Type="http://schemas.openxmlformats.org/officeDocument/2006/relationships/hyperlink" Target="https://dart.fss.or.kr/dsaf001/main.do?rcpNo=20230321001082" TargetMode="External"/><Relationship Id="rId85" Type="http://schemas.openxmlformats.org/officeDocument/2006/relationships/hyperlink" Target="https://dart.fss.or.kr/dsaf001/main.do?rcpNo=20230323001351" TargetMode="External"/><Relationship Id="rId150" Type="http://schemas.openxmlformats.org/officeDocument/2006/relationships/hyperlink" Target="https://dart.fss.or.kr/dsaf001/main.do?rcpNo=20230320000375" TargetMode="External"/><Relationship Id="rId171" Type="http://schemas.openxmlformats.org/officeDocument/2006/relationships/hyperlink" Target="https://dart.fss.or.kr/dsaf001/main.do?rcpNo=20230315001319" TargetMode="External"/><Relationship Id="rId192" Type="http://schemas.openxmlformats.org/officeDocument/2006/relationships/hyperlink" Target="https://dart.fss.or.kr/dsaf001/main.do?rcpNo=20230315000345" TargetMode="External"/><Relationship Id="rId206" Type="http://schemas.openxmlformats.org/officeDocument/2006/relationships/hyperlink" Target="https://dart.fss.or.kr/dsaf001/main.do?rcpNo=20230322001078" TargetMode="External"/><Relationship Id="rId227" Type="http://schemas.openxmlformats.org/officeDocument/2006/relationships/hyperlink" Target="https://dart.fss.or.kr/dsaf001/main.do?rcpNo=20230315001428" TargetMode="External"/><Relationship Id="rId248" Type="http://schemas.openxmlformats.org/officeDocument/2006/relationships/hyperlink" Target="https://dart.fss.or.kr/dsaf001/main.do?rcpNo=20230316001157" TargetMode="External"/><Relationship Id="rId269" Type="http://schemas.openxmlformats.org/officeDocument/2006/relationships/hyperlink" Target="https://dart.fss.or.kr/dsaf001/main.do?rcpNo=20230315000812" TargetMode="External"/><Relationship Id="rId12" Type="http://schemas.openxmlformats.org/officeDocument/2006/relationships/hyperlink" Target="https://dart.fss.or.kr/dsaf001/main.do?rcpNo=20230315001215" TargetMode="External"/><Relationship Id="rId33" Type="http://schemas.openxmlformats.org/officeDocument/2006/relationships/hyperlink" Target="https://dart.fss.or.kr/dsaf001/main.do?rcpNo=20230315000084" TargetMode="External"/><Relationship Id="rId108" Type="http://schemas.openxmlformats.org/officeDocument/2006/relationships/hyperlink" Target="https://dart.fss.or.kr/dsaf001/main.do?rcpNo=20230315001395" TargetMode="External"/><Relationship Id="rId129" Type="http://schemas.openxmlformats.org/officeDocument/2006/relationships/hyperlink" Target="https://dart.fss.or.kr/dsaf001/main.do?rcpNo=20230313000726" TargetMode="External"/><Relationship Id="rId280" Type="http://schemas.openxmlformats.org/officeDocument/2006/relationships/hyperlink" Target="https://dart.fss.or.kr/dsaf001/main.do?rcpNo=20230320000937" TargetMode="External"/><Relationship Id="rId315" Type="http://schemas.openxmlformats.org/officeDocument/2006/relationships/hyperlink" Target="https://dart.fss.or.kr/dsaf001/main.do?rcpNo=20230321000387" TargetMode="External"/><Relationship Id="rId54" Type="http://schemas.openxmlformats.org/officeDocument/2006/relationships/hyperlink" Target="https://dart.fss.or.kr/dsaf001/main.do?rcpNo=20230316001326" TargetMode="External"/><Relationship Id="rId75" Type="http://schemas.openxmlformats.org/officeDocument/2006/relationships/hyperlink" Target="https://dart.fss.or.kr/dsaf001/main.do?rcpNo=20230321000870" TargetMode="External"/><Relationship Id="rId96" Type="http://schemas.openxmlformats.org/officeDocument/2006/relationships/hyperlink" Target="https://dart.fss.or.kr/dsaf001/main.do?rcpNo=20230316000692" TargetMode="External"/><Relationship Id="rId140" Type="http://schemas.openxmlformats.org/officeDocument/2006/relationships/hyperlink" Target="https://dart.fss.or.kr/dsaf001/main.do?rcpNo=20230315001060" TargetMode="External"/><Relationship Id="rId161" Type="http://schemas.openxmlformats.org/officeDocument/2006/relationships/hyperlink" Target="https://dart.fss.or.kr/dsaf001/main.do?rcpNo=20230228006867" TargetMode="External"/><Relationship Id="rId182" Type="http://schemas.openxmlformats.org/officeDocument/2006/relationships/hyperlink" Target="https://dart.fss.or.kr/dsaf001/main.do?rcpNo=20230322000722" TargetMode="External"/><Relationship Id="rId217" Type="http://schemas.openxmlformats.org/officeDocument/2006/relationships/hyperlink" Target="https://dart.fss.or.kr/dsaf001/main.do?rcpNo=20230315001068" TargetMode="External"/><Relationship Id="rId6" Type="http://schemas.openxmlformats.org/officeDocument/2006/relationships/hyperlink" Target="https://dart.fss.or.kr/dsaf001/main.do?rcpNo=20230315001420" TargetMode="External"/><Relationship Id="rId238" Type="http://schemas.openxmlformats.org/officeDocument/2006/relationships/hyperlink" Target="https://dart.fss.or.kr/dsaf001/main.do?rcpNo=20230323001208" TargetMode="External"/><Relationship Id="rId259" Type="http://schemas.openxmlformats.org/officeDocument/2006/relationships/hyperlink" Target="https://dart.fss.or.kr/dsaf001/main.do?rcpNo=20230316001331" TargetMode="External"/><Relationship Id="rId23" Type="http://schemas.openxmlformats.org/officeDocument/2006/relationships/hyperlink" Target="https://dart.fss.or.kr/dsaf001/main.do?rcpNo=20230322000776" TargetMode="External"/><Relationship Id="rId119" Type="http://schemas.openxmlformats.org/officeDocument/2006/relationships/hyperlink" Target="https://dart.fss.or.kr/dsaf001/main.do?rcpNo=20230315001384" TargetMode="External"/><Relationship Id="rId270" Type="http://schemas.openxmlformats.org/officeDocument/2006/relationships/hyperlink" Target="https://dart.fss.or.kr/dsaf001/main.do?rcpNo=20230323000970" TargetMode="External"/><Relationship Id="rId291" Type="http://schemas.openxmlformats.org/officeDocument/2006/relationships/hyperlink" Target="https://dart.fss.or.kr/dsaf001/main.do?rcpNo=20230315000557" TargetMode="External"/><Relationship Id="rId305" Type="http://schemas.openxmlformats.org/officeDocument/2006/relationships/hyperlink" Target="https://dart.fss.or.kr/dsaf001/main.do?rcpNo=20230309000797" TargetMode="External"/><Relationship Id="rId44" Type="http://schemas.openxmlformats.org/officeDocument/2006/relationships/hyperlink" Target="https://dart.fss.or.kr/dsaf001/main.do?rcpNo=20230321001209" TargetMode="External"/><Relationship Id="rId65" Type="http://schemas.openxmlformats.org/officeDocument/2006/relationships/hyperlink" Target="https://dart.fss.or.kr/dsaf001/main.do?rcpNo=20230309000734" TargetMode="External"/><Relationship Id="rId86" Type="http://schemas.openxmlformats.org/officeDocument/2006/relationships/hyperlink" Target="https://dart.fss.or.kr/dsaf001/main.do?rcpNo=20230316001384" TargetMode="External"/><Relationship Id="rId130" Type="http://schemas.openxmlformats.org/officeDocument/2006/relationships/hyperlink" Target="https://dart.fss.or.kr/dsaf001/main.do?rcpNo=20230309000761" TargetMode="External"/><Relationship Id="rId151" Type="http://schemas.openxmlformats.org/officeDocument/2006/relationships/hyperlink" Target="https://dart.fss.or.kr/dsaf001/main.do?rcpNo=20230316001182" TargetMode="External"/><Relationship Id="rId172" Type="http://schemas.openxmlformats.org/officeDocument/2006/relationships/hyperlink" Target="https://dart.fss.or.kr/dsaf001/main.do?rcpNo=20230314001079" TargetMode="External"/><Relationship Id="rId193" Type="http://schemas.openxmlformats.org/officeDocument/2006/relationships/hyperlink" Target="https://dart.fss.or.kr/dsaf001/main.do?rcpNo=20230321001365" TargetMode="External"/><Relationship Id="rId207" Type="http://schemas.openxmlformats.org/officeDocument/2006/relationships/hyperlink" Target="https://dart.fss.or.kr/dsaf001/main.do?rcpNo=20230321000409" TargetMode="External"/><Relationship Id="rId228" Type="http://schemas.openxmlformats.org/officeDocument/2006/relationships/hyperlink" Target="https://dart.fss.or.kr/dsaf001/main.do?rcpNo=20230308000725" TargetMode="External"/><Relationship Id="rId249" Type="http://schemas.openxmlformats.org/officeDocument/2006/relationships/hyperlink" Target="https://dart.fss.or.kr/dsaf001/main.do?rcpNo=20230323001143" TargetMode="External"/><Relationship Id="rId13" Type="http://schemas.openxmlformats.org/officeDocument/2006/relationships/hyperlink" Target="https://dart.fss.or.kr/dsaf001/main.do?rcpNo=20230316001339" TargetMode="External"/><Relationship Id="rId109" Type="http://schemas.openxmlformats.org/officeDocument/2006/relationships/hyperlink" Target="https://dart.fss.or.kr/dsaf001/main.do?rcpNo=20230424000485" TargetMode="External"/><Relationship Id="rId260" Type="http://schemas.openxmlformats.org/officeDocument/2006/relationships/hyperlink" Target="https://dart.fss.or.kr/dsaf001/main.do?rcpNo=20230313000443" TargetMode="External"/><Relationship Id="rId281" Type="http://schemas.openxmlformats.org/officeDocument/2006/relationships/hyperlink" Target="https://dart.fss.or.kr/dsaf001/main.do?rcpNo=20230314000521" TargetMode="External"/><Relationship Id="rId316" Type="http://schemas.openxmlformats.org/officeDocument/2006/relationships/hyperlink" Target="https://dart.fss.or.kr/dsaf001/main.do?rcpNo=20230313000533" TargetMode="External"/><Relationship Id="rId34" Type="http://schemas.openxmlformats.org/officeDocument/2006/relationships/hyperlink" Target="https://dart.fss.or.kr/dsaf001/main.do?rcpNo=20230309000859" TargetMode="External"/><Relationship Id="rId55" Type="http://schemas.openxmlformats.org/officeDocument/2006/relationships/hyperlink" Target="https://dart.fss.or.kr/dsaf001/main.do?rcpNo=20230321001353" TargetMode="External"/><Relationship Id="rId76" Type="http://schemas.openxmlformats.org/officeDocument/2006/relationships/hyperlink" Target="https://dart.fss.or.kr/dsaf001/main.do?rcpNo=20230320000675" TargetMode="External"/><Relationship Id="rId97" Type="http://schemas.openxmlformats.org/officeDocument/2006/relationships/hyperlink" Target="https://dart.fss.or.kr/dsaf001/main.do?rcpNo=20230322001102" TargetMode="External"/><Relationship Id="rId120" Type="http://schemas.openxmlformats.org/officeDocument/2006/relationships/hyperlink" Target="https://dart.fss.or.kr/dsaf001/main.do?rcpNo=20230310000296" TargetMode="External"/><Relationship Id="rId141" Type="http://schemas.openxmlformats.org/officeDocument/2006/relationships/hyperlink" Target="https://dart.fss.or.kr/dsaf001/main.do?rcpNo=20230321001381" TargetMode="External"/><Relationship Id="rId7" Type="http://schemas.openxmlformats.org/officeDocument/2006/relationships/hyperlink" Target="https://dart.fss.or.kr/dsaf001/main.do?rcpNo=20230322001200" TargetMode="External"/><Relationship Id="rId162" Type="http://schemas.openxmlformats.org/officeDocument/2006/relationships/hyperlink" Target="https://dart.fss.or.kr/dsaf001/main.do?rcpNo=20230316000461" TargetMode="External"/><Relationship Id="rId183" Type="http://schemas.openxmlformats.org/officeDocument/2006/relationships/hyperlink" Target="https://dart.fss.or.kr/dsaf001/main.do?rcpNo=20230323001296" TargetMode="External"/><Relationship Id="rId218" Type="http://schemas.openxmlformats.org/officeDocument/2006/relationships/hyperlink" Target="https://dart.fss.or.kr/dsaf001/main.do?rcpNo=20230714000214" TargetMode="External"/><Relationship Id="rId239" Type="http://schemas.openxmlformats.org/officeDocument/2006/relationships/hyperlink" Target="https://dart.fss.or.kr/dsaf001/main.do?rcpNo=20230320001005" TargetMode="External"/><Relationship Id="rId250" Type="http://schemas.openxmlformats.org/officeDocument/2006/relationships/hyperlink" Target="https://dart.fss.or.kr/dsaf001/main.do?rcpNo=20230314000862" TargetMode="External"/><Relationship Id="rId271" Type="http://schemas.openxmlformats.org/officeDocument/2006/relationships/hyperlink" Target="https://dart.fss.or.kr/dsaf001/main.do?rcpNo=20230316001234" TargetMode="External"/><Relationship Id="rId292" Type="http://schemas.openxmlformats.org/officeDocument/2006/relationships/hyperlink" Target="https://dart.fss.or.kr/dsaf001/main.do?rcpNo=20230315001327" TargetMode="External"/><Relationship Id="rId306" Type="http://schemas.openxmlformats.org/officeDocument/2006/relationships/hyperlink" Target="https://dart.fss.or.kr/dsaf001/main.do?rcpNo=20230315001376" TargetMode="External"/><Relationship Id="rId24" Type="http://schemas.openxmlformats.org/officeDocument/2006/relationships/hyperlink" Target="https://dart.fss.or.kr/dsaf001/main.do?rcpNo=20230323000613" TargetMode="External"/><Relationship Id="rId45" Type="http://schemas.openxmlformats.org/officeDocument/2006/relationships/hyperlink" Target="https://dart.fss.or.kr/dsaf001/main.do?rcpNo=20230220001625" TargetMode="External"/><Relationship Id="rId66" Type="http://schemas.openxmlformats.org/officeDocument/2006/relationships/hyperlink" Target="https://dart.fss.or.kr/dsaf001/main.do?rcpNo=20230712000089" TargetMode="External"/><Relationship Id="rId87" Type="http://schemas.openxmlformats.org/officeDocument/2006/relationships/hyperlink" Target="https://dart.fss.or.kr/dsaf001/main.do?rcpNo=20230315001173" TargetMode="External"/><Relationship Id="rId110" Type="http://schemas.openxmlformats.org/officeDocument/2006/relationships/hyperlink" Target="https://dart.fss.or.kr/dsaf001/main.do?rcpNo=20230323001050" TargetMode="External"/><Relationship Id="rId131" Type="http://schemas.openxmlformats.org/officeDocument/2006/relationships/hyperlink" Target="https://dart.fss.or.kr/dsaf001/main.do?rcpNo=20230308000737" TargetMode="External"/><Relationship Id="rId152" Type="http://schemas.openxmlformats.org/officeDocument/2006/relationships/hyperlink" Target="https://dart.fss.or.kr/dsaf001/main.do?rcpNo=20230316001232" TargetMode="External"/><Relationship Id="rId173" Type="http://schemas.openxmlformats.org/officeDocument/2006/relationships/hyperlink" Target="https://dart.fss.or.kr/dsaf001/main.do?rcpNo=20230316001089" TargetMode="External"/><Relationship Id="rId194" Type="http://schemas.openxmlformats.org/officeDocument/2006/relationships/hyperlink" Target="https://dart.fss.or.kr/dsaf001/main.do?rcpNo=20230712000496" TargetMode="External"/><Relationship Id="rId208" Type="http://schemas.openxmlformats.org/officeDocument/2006/relationships/hyperlink" Target="https://dart.fss.or.kr/dsaf001/main.do?rcpNo=20230323001183" TargetMode="External"/><Relationship Id="rId229" Type="http://schemas.openxmlformats.org/officeDocument/2006/relationships/hyperlink" Target="https://dart.fss.or.kr/dsaf001/main.do?rcpNo=20230306000422" TargetMode="External"/><Relationship Id="rId19" Type="http://schemas.openxmlformats.org/officeDocument/2006/relationships/hyperlink" Target="https://dart.fss.or.kr/dsaf001/main.do?rcpNo=20230321001126" TargetMode="External"/><Relationship Id="rId224" Type="http://schemas.openxmlformats.org/officeDocument/2006/relationships/hyperlink" Target="https://dart.fss.or.kr/dsaf001/main.do?rcpNo=20230331002546" TargetMode="External"/><Relationship Id="rId240" Type="http://schemas.openxmlformats.org/officeDocument/2006/relationships/hyperlink" Target="https://dart.fss.or.kr/dsaf001/main.do?rcpNo=20230317001037" TargetMode="External"/><Relationship Id="rId245" Type="http://schemas.openxmlformats.org/officeDocument/2006/relationships/hyperlink" Target="https://dart.fss.or.kr/dsaf001/main.do?rcpNo=20230331000007" TargetMode="External"/><Relationship Id="rId261" Type="http://schemas.openxmlformats.org/officeDocument/2006/relationships/hyperlink" Target="https://dart.fss.or.kr/dsaf001/main.do?rcpNo=20230317000751" TargetMode="External"/><Relationship Id="rId266" Type="http://schemas.openxmlformats.org/officeDocument/2006/relationships/hyperlink" Target="https://dart.fss.or.kr/dsaf001/main.do?rcpNo=20230320000791" TargetMode="External"/><Relationship Id="rId287" Type="http://schemas.openxmlformats.org/officeDocument/2006/relationships/hyperlink" Target="https://dart.fss.or.kr/dsaf001/main.do?rcpNo=20230317000994" TargetMode="External"/><Relationship Id="rId14" Type="http://schemas.openxmlformats.org/officeDocument/2006/relationships/hyperlink" Target="https://dart.fss.or.kr/dsaf001/main.do?rcpNo=20230315001033" TargetMode="External"/><Relationship Id="rId30" Type="http://schemas.openxmlformats.org/officeDocument/2006/relationships/hyperlink" Target="https://dart.fss.or.kr/dsaf001/main.do?rcpNo=20230315000850" TargetMode="External"/><Relationship Id="rId35" Type="http://schemas.openxmlformats.org/officeDocument/2006/relationships/hyperlink" Target="https://dart.fss.or.kr/dsaf001/main.do?rcpNo=20230321000569" TargetMode="External"/><Relationship Id="rId56" Type="http://schemas.openxmlformats.org/officeDocument/2006/relationships/hyperlink" Target="https://dart.fss.or.kr/dsaf001/main.do?rcpNo=20230321000645" TargetMode="External"/><Relationship Id="rId77" Type="http://schemas.openxmlformats.org/officeDocument/2006/relationships/hyperlink" Target="https://dart.fss.or.kr/dsaf001/main.do?rcpNo=20230321000752" TargetMode="External"/><Relationship Id="rId100" Type="http://schemas.openxmlformats.org/officeDocument/2006/relationships/hyperlink" Target="https://dart.fss.or.kr/dsaf001/main.do?rcpNo=20230314000884" TargetMode="External"/><Relationship Id="rId105" Type="http://schemas.openxmlformats.org/officeDocument/2006/relationships/hyperlink" Target="https://dart.fss.or.kr/dsaf001/main.do?rcpNo=20230713000062" TargetMode="External"/><Relationship Id="rId126" Type="http://schemas.openxmlformats.org/officeDocument/2006/relationships/hyperlink" Target="https://dart.fss.or.kr/dsaf001/main.do?rcpNo=20230323000263" TargetMode="External"/><Relationship Id="rId147" Type="http://schemas.openxmlformats.org/officeDocument/2006/relationships/hyperlink" Target="https://dart.fss.or.kr/dsaf001/main.do?rcpNo=20230316001338" TargetMode="External"/><Relationship Id="rId168" Type="http://schemas.openxmlformats.org/officeDocument/2006/relationships/hyperlink" Target="https://dart.fss.or.kr/dsaf001/main.do?rcpNo=20230322000910" TargetMode="External"/><Relationship Id="rId282" Type="http://schemas.openxmlformats.org/officeDocument/2006/relationships/hyperlink" Target="https://dart.fss.or.kr/dsaf001/main.do?rcpNo=20230313000732" TargetMode="External"/><Relationship Id="rId312" Type="http://schemas.openxmlformats.org/officeDocument/2006/relationships/hyperlink" Target="https://dart.fss.or.kr/dsaf001/main.do?rcpNo=20230315001063" TargetMode="External"/><Relationship Id="rId317" Type="http://schemas.openxmlformats.org/officeDocument/2006/relationships/hyperlink" Target="https://dart.fss.or.kr/dsaf001/main.do?rcpNo=20230316001454" TargetMode="External"/><Relationship Id="rId8" Type="http://schemas.openxmlformats.org/officeDocument/2006/relationships/hyperlink" Target="https://dart.fss.or.kr/dsaf001/main.do?rcpNo=20230320000736" TargetMode="External"/><Relationship Id="rId51" Type="http://schemas.openxmlformats.org/officeDocument/2006/relationships/hyperlink" Target="https://dart.fss.or.kr/dsaf001/main.do?rcpNo=20230320000720" TargetMode="External"/><Relationship Id="rId72" Type="http://schemas.openxmlformats.org/officeDocument/2006/relationships/hyperlink" Target="https://dart.fss.or.kr/dsaf001/main.do?rcpNo=20230322000832" TargetMode="External"/><Relationship Id="rId93" Type="http://schemas.openxmlformats.org/officeDocument/2006/relationships/hyperlink" Target="https://dart.fss.or.kr/dsaf001/main.do?rcpNo=20230314001212" TargetMode="External"/><Relationship Id="rId98" Type="http://schemas.openxmlformats.org/officeDocument/2006/relationships/hyperlink" Target="https://dart.fss.or.kr/dsaf001/main.do?rcpNo=20230317000669" TargetMode="External"/><Relationship Id="rId121" Type="http://schemas.openxmlformats.org/officeDocument/2006/relationships/hyperlink" Target="https://dart.fss.or.kr/dsaf001/main.do?rcpNo=20230327000678" TargetMode="External"/><Relationship Id="rId142" Type="http://schemas.openxmlformats.org/officeDocument/2006/relationships/hyperlink" Target="https://dart.fss.or.kr/dsaf001/main.do?rcpNo=20230315001242" TargetMode="External"/><Relationship Id="rId163" Type="http://schemas.openxmlformats.org/officeDocument/2006/relationships/hyperlink" Target="https://dart.fss.or.kr/dsaf001/main.do?rcpNo=20230320000842" TargetMode="External"/><Relationship Id="rId184" Type="http://schemas.openxmlformats.org/officeDocument/2006/relationships/hyperlink" Target="https://dart.fss.or.kr/dsaf001/main.do?rcpNo=20230315001190" TargetMode="External"/><Relationship Id="rId189" Type="http://schemas.openxmlformats.org/officeDocument/2006/relationships/hyperlink" Target="https://dart.fss.or.kr/dsaf001/main.do?rcpNo=20230321001261" TargetMode="External"/><Relationship Id="rId219" Type="http://schemas.openxmlformats.org/officeDocument/2006/relationships/hyperlink" Target="https://dart.fss.or.kr/dsaf001/main.do?rcpNo=20230308000451" TargetMode="External"/><Relationship Id="rId3" Type="http://schemas.openxmlformats.org/officeDocument/2006/relationships/hyperlink" Target="https://dart.fss.or.kr/dsaf001/main.do?rcpNo=20230831001199" TargetMode="External"/><Relationship Id="rId214" Type="http://schemas.openxmlformats.org/officeDocument/2006/relationships/hyperlink" Target="https://dart.fss.or.kr/dsaf001/main.do?rcpNo=20230323001151" TargetMode="External"/><Relationship Id="rId230" Type="http://schemas.openxmlformats.org/officeDocument/2006/relationships/hyperlink" Target="https://dart.fss.or.kr/dsaf001/main.do?rcpNo=20230320000418" TargetMode="External"/><Relationship Id="rId235" Type="http://schemas.openxmlformats.org/officeDocument/2006/relationships/hyperlink" Target="https://dart.fss.or.kr/dsaf001/main.do?rcpNo=20230316001262" TargetMode="External"/><Relationship Id="rId251" Type="http://schemas.openxmlformats.org/officeDocument/2006/relationships/hyperlink" Target="https://dart.fss.or.kr/dsaf001/main.do?rcpNo=20230317000233" TargetMode="External"/><Relationship Id="rId256" Type="http://schemas.openxmlformats.org/officeDocument/2006/relationships/hyperlink" Target="https://dart.fss.or.kr/dsaf001/main.do?rcpNo=20230314000892" TargetMode="External"/><Relationship Id="rId277" Type="http://schemas.openxmlformats.org/officeDocument/2006/relationships/hyperlink" Target="https://dart.fss.or.kr/dsaf001/main.do?rcpNo=20230316001554" TargetMode="External"/><Relationship Id="rId298" Type="http://schemas.openxmlformats.org/officeDocument/2006/relationships/hyperlink" Target="https://dart.fss.or.kr/dsaf001/main.do?rcpNo=20230321001162" TargetMode="External"/><Relationship Id="rId25" Type="http://schemas.openxmlformats.org/officeDocument/2006/relationships/hyperlink" Target="https://dart.fss.or.kr/dsaf001/main.do?rcpNo=20230320000688" TargetMode="External"/><Relationship Id="rId46" Type="http://schemas.openxmlformats.org/officeDocument/2006/relationships/hyperlink" Target="https://dart.fss.or.kr/dsaf001/main.do?rcpNo=20230220001611" TargetMode="External"/><Relationship Id="rId67" Type="http://schemas.openxmlformats.org/officeDocument/2006/relationships/hyperlink" Target="https://dart.fss.or.kr/dsaf001/main.do?rcpNo=20230316001430" TargetMode="External"/><Relationship Id="rId116" Type="http://schemas.openxmlformats.org/officeDocument/2006/relationships/hyperlink" Target="https://dart.fss.or.kr/dsaf001/main.do?rcpNo=20230317001035" TargetMode="External"/><Relationship Id="rId137" Type="http://schemas.openxmlformats.org/officeDocument/2006/relationships/hyperlink" Target="https://dart.fss.or.kr/dsaf001/main.do?rcpNo=20230308000723" TargetMode="External"/><Relationship Id="rId158" Type="http://schemas.openxmlformats.org/officeDocument/2006/relationships/hyperlink" Target="https://dart.fss.or.kr/dsaf001/main.do?rcpNo=20230308000717" TargetMode="External"/><Relationship Id="rId272" Type="http://schemas.openxmlformats.org/officeDocument/2006/relationships/hyperlink" Target="https://dart.fss.or.kr/dsaf001/main.do?rcpNo=20230316000941" TargetMode="External"/><Relationship Id="rId293" Type="http://schemas.openxmlformats.org/officeDocument/2006/relationships/hyperlink" Target="https://dart.fss.or.kr/dsaf001/main.do?rcpNo=20230314001218" TargetMode="External"/><Relationship Id="rId302" Type="http://schemas.openxmlformats.org/officeDocument/2006/relationships/hyperlink" Target="https://dart.fss.or.kr/dsaf001/main.do?rcpNo=20230315001030" TargetMode="External"/><Relationship Id="rId307" Type="http://schemas.openxmlformats.org/officeDocument/2006/relationships/hyperlink" Target="https://dart.fss.or.kr/dsaf001/main.do?rcpNo=20230316001392" TargetMode="External"/><Relationship Id="rId20" Type="http://schemas.openxmlformats.org/officeDocument/2006/relationships/hyperlink" Target="https://dart.fss.or.kr/dsaf001/main.do?rcpNo=20230315000071" TargetMode="External"/><Relationship Id="rId41" Type="http://schemas.openxmlformats.org/officeDocument/2006/relationships/hyperlink" Target="https://dart.fss.or.kr/dsaf001/main.do?rcpNo=20230324000127" TargetMode="External"/><Relationship Id="rId62" Type="http://schemas.openxmlformats.org/officeDocument/2006/relationships/hyperlink" Target="https://dart.fss.or.kr/dsaf001/main.do?rcpNo=20230320000409" TargetMode="External"/><Relationship Id="rId83" Type="http://schemas.openxmlformats.org/officeDocument/2006/relationships/hyperlink" Target="https://dart.fss.or.kr/dsaf001/main.do?rcpNo=20230331003410" TargetMode="External"/><Relationship Id="rId88" Type="http://schemas.openxmlformats.org/officeDocument/2006/relationships/hyperlink" Target="https://dart.fss.or.kr/dsaf001/main.do?rcpNo=20230317000725" TargetMode="External"/><Relationship Id="rId111" Type="http://schemas.openxmlformats.org/officeDocument/2006/relationships/hyperlink" Target="https://dart.fss.or.kr/dsaf001/main.do?rcpNo=20230315000646" TargetMode="External"/><Relationship Id="rId132" Type="http://schemas.openxmlformats.org/officeDocument/2006/relationships/hyperlink" Target="https://dart.fss.or.kr/dsaf001/main.do?rcpNo=20230307000606" TargetMode="External"/><Relationship Id="rId153" Type="http://schemas.openxmlformats.org/officeDocument/2006/relationships/hyperlink" Target="https://dart.fss.or.kr/dsaf001/main.do?rcpNo=20230317000349" TargetMode="External"/><Relationship Id="rId174" Type="http://schemas.openxmlformats.org/officeDocument/2006/relationships/hyperlink" Target="https://dart.fss.or.kr/dsaf001/main.do?rcpNo=20230615000542" TargetMode="External"/><Relationship Id="rId179" Type="http://schemas.openxmlformats.org/officeDocument/2006/relationships/hyperlink" Target="https://dart.fss.or.kr/dsaf001/main.do?rcpNo=20230316000657" TargetMode="External"/><Relationship Id="rId195" Type="http://schemas.openxmlformats.org/officeDocument/2006/relationships/hyperlink" Target="https://dart.fss.or.kr/dsaf001/main.do?rcpNo=20230315001259" TargetMode="External"/><Relationship Id="rId209" Type="http://schemas.openxmlformats.org/officeDocument/2006/relationships/hyperlink" Target="https://dart.fss.or.kr/dsaf001/main.do?rcpNo=20230323001335" TargetMode="External"/><Relationship Id="rId190" Type="http://schemas.openxmlformats.org/officeDocument/2006/relationships/hyperlink" Target="https://dart.fss.or.kr/dsaf001/main.do?rcpNo=20230323001360" TargetMode="External"/><Relationship Id="rId204" Type="http://schemas.openxmlformats.org/officeDocument/2006/relationships/hyperlink" Target="https://dart.fss.or.kr/dsaf001/main.do?rcpNo=20230315001431" TargetMode="External"/><Relationship Id="rId220" Type="http://schemas.openxmlformats.org/officeDocument/2006/relationships/hyperlink" Target="https://dart.fss.or.kr/dsaf001/main.do?rcpNo=20230321000389" TargetMode="External"/><Relationship Id="rId225" Type="http://schemas.openxmlformats.org/officeDocument/2006/relationships/hyperlink" Target="https://dart.fss.or.kr/dsaf001/main.do?rcpNo=20230309000626" TargetMode="External"/><Relationship Id="rId241" Type="http://schemas.openxmlformats.org/officeDocument/2006/relationships/hyperlink" Target="https://dart.fss.or.kr/dsaf001/main.do?rcpNo=20230323001465" TargetMode="External"/><Relationship Id="rId246" Type="http://schemas.openxmlformats.org/officeDocument/2006/relationships/hyperlink" Target="https://dart.fss.or.kr/dsaf001/main.do?rcpNo=20230320000728" TargetMode="External"/><Relationship Id="rId267" Type="http://schemas.openxmlformats.org/officeDocument/2006/relationships/hyperlink" Target="https://dart.fss.or.kr/dsaf001/main.do?rcpNo=20230323000756" TargetMode="External"/><Relationship Id="rId288" Type="http://schemas.openxmlformats.org/officeDocument/2006/relationships/hyperlink" Target="https://dart.fss.or.kr/dsaf001/main.do?rcpNo=20230317000982" TargetMode="External"/><Relationship Id="rId15" Type="http://schemas.openxmlformats.org/officeDocument/2006/relationships/hyperlink" Target="https://dart.fss.or.kr/dsaf001/main.do?rcpNo=20230713000082" TargetMode="External"/><Relationship Id="rId36" Type="http://schemas.openxmlformats.org/officeDocument/2006/relationships/hyperlink" Target="https://dart.fss.or.kr/dsaf001/main.do?rcpNo=20230320000844" TargetMode="External"/><Relationship Id="rId57" Type="http://schemas.openxmlformats.org/officeDocument/2006/relationships/hyperlink" Target="https://dart.fss.or.kr/dsaf001/main.do?rcpNo=20230314000982" TargetMode="External"/><Relationship Id="rId106" Type="http://schemas.openxmlformats.org/officeDocument/2006/relationships/hyperlink" Target="https://dart.fss.or.kr/dsaf001/main.do?rcpNo=20230315000573" TargetMode="External"/><Relationship Id="rId127" Type="http://schemas.openxmlformats.org/officeDocument/2006/relationships/hyperlink" Target="https://dart.fss.or.kr/dsaf001/main.do?rcpNo=20230315001385" TargetMode="External"/><Relationship Id="rId262" Type="http://schemas.openxmlformats.org/officeDocument/2006/relationships/hyperlink" Target="https://dart.fss.or.kr/dsaf001/main.do?rcpNo=20230322001245" TargetMode="External"/><Relationship Id="rId283" Type="http://schemas.openxmlformats.org/officeDocument/2006/relationships/hyperlink" Target="https://dart.fss.or.kr/dsaf001/main.do?rcpNo=20230314001231" TargetMode="External"/><Relationship Id="rId313" Type="http://schemas.openxmlformats.org/officeDocument/2006/relationships/hyperlink" Target="https://dart.fss.or.kr/dsaf001/main.do?rcpNo=20230308000691" TargetMode="External"/><Relationship Id="rId318" Type="http://schemas.openxmlformats.org/officeDocument/2006/relationships/vmlDrawing" Target="../drawings/vmlDrawing2.vml"/><Relationship Id="rId10" Type="http://schemas.openxmlformats.org/officeDocument/2006/relationships/hyperlink" Target="https://dart.fss.or.kr/dsaf001/main.do?rcpNo=20230831001367" TargetMode="External"/><Relationship Id="rId31" Type="http://schemas.openxmlformats.org/officeDocument/2006/relationships/hyperlink" Target="https://dart.fss.or.kr/dsaf001/main.do?rcpNo=20230315000964" TargetMode="External"/><Relationship Id="rId52" Type="http://schemas.openxmlformats.org/officeDocument/2006/relationships/hyperlink" Target="https://dart.fss.or.kr/dsaf001/main.do?rcpNo=20230316000629" TargetMode="External"/><Relationship Id="rId73" Type="http://schemas.openxmlformats.org/officeDocument/2006/relationships/hyperlink" Target="https://dart.fss.or.kr/dsaf001/main.do?rcpNo=20230316001258" TargetMode="External"/><Relationship Id="rId78" Type="http://schemas.openxmlformats.org/officeDocument/2006/relationships/hyperlink" Target="https://dart.fss.or.kr/dsaf001/main.do?rcpNo=20230321000740" TargetMode="External"/><Relationship Id="rId94" Type="http://schemas.openxmlformats.org/officeDocument/2006/relationships/hyperlink" Target="https://dart.fss.or.kr/dsaf001/main.do?rcpNo=20230316000463" TargetMode="External"/><Relationship Id="rId99" Type="http://schemas.openxmlformats.org/officeDocument/2006/relationships/hyperlink" Target="https://dart.fss.or.kr/dsaf001/main.do?rcpNo=20230320000820" TargetMode="External"/><Relationship Id="rId101" Type="http://schemas.openxmlformats.org/officeDocument/2006/relationships/hyperlink" Target="https://dart.fss.or.kr/dsaf001/main.do?rcpNo=20230324000928" TargetMode="External"/><Relationship Id="rId122" Type="http://schemas.openxmlformats.org/officeDocument/2006/relationships/hyperlink" Target="https://dart.fss.or.kr/dsaf001/main.do?rcpNo=20221230000430" TargetMode="External"/><Relationship Id="rId143" Type="http://schemas.openxmlformats.org/officeDocument/2006/relationships/hyperlink" Target="https://dart.fss.or.kr/dsaf001/main.do?rcpNo=20230713000197" TargetMode="External"/><Relationship Id="rId148" Type="http://schemas.openxmlformats.org/officeDocument/2006/relationships/hyperlink" Target="https://dart.fss.or.kr/dsaf001/main.do?rcpNo=20230322000313" TargetMode="External"/><Relationship Id="rId164" Type="http://schemas.openxmlformats.org/officeDocument/2006/relationships/hyperlink" Target="https://dart.fss.or.kr/dsaf001/main.do?rcpNo=20230320000954" TargetMode="External"/><Relationship Id="rId169" Type="http://schemas.openxmlformats.org/officeDocument/2006/relationships/hyperlink" Target="https://dart.fss.or.kr/dsaf001/main.do?rcpNo=20230315001315" TargetMode="External"/><Relationship Id="rId185" Type="http://schemas.openxmlformats.org/officeDocument/2006/relationships/hyperlink" Target="https://dart.fss.or.kr/dsaf001/main.do?rcpNo=20230320001088" TargetMode="External"/><Relationship Id="rId4" Type="http://schemas.openxmlformats.org/officeDocument/2006/relationships/hyperlink" Target="https://dart.fss.or.kr/dsaf001/main.do?rcpNo=20230728000644" TargetMode="External"/><Relationship Id="rId9" Type="http://schemas.openxmlformats.org/officeDocument/2006/relationships/hyperlink" Target="https://dart.fss.or.kr/dsaf001/main.do?rcpNo=20230320000604" TargetMode="External"/><Relationship Id="rId180" Type="http://schemas.openxmlformats.org/officeDocument/2006/relationships/hyperlink" Target="https://dart.fss.or.kr/dsaf001/main.do?rcpNo=20230315001378" TargetMode="External"/><Relationship Id="rId210" Type="http://schemas.openxmlformats.org/officeDocument/2006/relationships/hyperlink" Target="https://dart.fss.or.kr/dsaf001/main.do?rcpNo=20230309000433" TargetMode="External"/><Relationship Id="rId215" Type="http://schemas.openxmlformats.org/officeDocument/2006/relationships/hyperlink" Target="https://dart.fss.or.kr/dsaf001/main.do?rcpNo=20230316000222" TargetMode="External"/><Relationship Id="rId236" Type="http://schemas.openxmlformats.org/officeDocument/2006/relationships/hyperlink" Target="https://dart.fss.or.kr/dsaf001/main.do?rcpNo=20230407002574" TargetMode="External"/><Relationship Id="rId257" Type="http://schemas.openxmlformats.org/officeDocument/2006/relationships/hyperlink" Target="https://dart.fss.or.kr/dsaf001/main.do?rcpNo=20230321001130" TargetMode="External"/><Relationship Id="rId278" Type="http://schemas.openxmlformats.org/officeDocument/2006/relationships/hyperlink" Target="https://dart.fss.or.kr/dsaf001/main.do?rcpNo=20230321001525" TargetMode="External"/><Relationship Id="rId26" Type="http://schemas.openxmlformats.org/officeDocument/2006/relationships/hyperlink" Target="https://dart.fss.or.kr/dsaf001/main.do?rcpNo=20230320000833" TargetMode="External"/><Relationship Id="rId231" Type="http://schemas.openxmlformats.org/officeDocument/2006/relationships/hyperlink" Target="https://dart.fss.or.kr/dsaf001/main.do?rcpNo=20230321001298" TargetMode="External"/><Relationship Id="rId252" Type="http://schemas.openxmlformats.org/officeDocument/2006/relationships/hyperlink" Target="https://dart.fss.or.kr/dsaf001/main.do?rcpNo=20230322000780" TargetMode="External"/><Relationship Id="rId273" Type="http://schemas.openxmlformats.org/officeDocument/2006/relationships/hyperlink" Target="https://dart.fss.or.kr/dsaf001/main.do?rcpNo=20230321001102" TargetMode="External"/><Relationship Id="rId294" Type="http://schemas.openxmlformats.org/officeDocument/2006/relationships/hyperlink" Target="https://dart.fss.or.kr/dsaf001/main.do?rcpNo=20230411001656" TargetMode="External"/><Relationship Id="rId308" Type="http://schemas.openxmlformats.org/officeDocument/2006/relationships/hyperlink" Target="https://dart.fss.or.kr/dsaf001/main.do?rcpNo=20230321000920" TargetMode="External"/><Relationship Id="rId47" Type="http://schemas.openxmlformats.org/officeDocument/2006/relationships/hyperlink" Target="https://dart.fss.or.kr/dsaf001/main.do?rcpNo=20230315001078" TargetMode="External"/><Relationship Id="rId68" Type="http://schemas.openxmlformats.org/officeDocument/2006/relationships/hyperlink" Target="https://dart.fss.or.kr/dsaf001/main.do?rcpNo=20230321000737" TargetMode="External"/><Relationship Id="rId89" Type="http://schemas.openxmlformats.org/officeDocument/2006/relationships/hyperlink" Target="https://dart.fss.or.kr/dsaf001/main.do?rcpNo=20230322001007" TargetMode="External"/><Relationship Id="rId112" Type="http://schemas.openxmlformats.org/officeDocument/2006/relationships/hyperlink" Target="https://dart.fss.or.kr/dsaf001/main.do?rcpNo=20230314001159" TargetMode="External"/><Relationship Id="rId133" Type="http://schemas.openxmlformats.org/officeDocument/2006/relationships/hyperlink" Target="https://dart.fss.or.kr/dsaf001/main.do?rcpNo=20230831001403" TargetMode="External"/><Relationship Id="rId154" Type="http://schemas.openxmlformats.org/officeDocument/2006/relationships/hyperlink" Target="https://dart.fss.or.kr/dsaf001/main.do?rcpNo=20230310000633" TargetMode="External"/><Relationship Id="rId175" Type="http://schemas.openxmlformats.org/officeDocument/2006/relationships/hyperlink" Target="https://dart.fss.or.kr/dsaf001/main.do?rcpNo=20230323000459" TargetMode="External"/><Relationship Id="rId196" Type="http://schemas.openxmlformats.org/officeDocument/2006/relationships/hyperlink" Target="https://dart.fss.or.kr/dsaf001/main.do?rcpNo=20230322000913" TargetMode="External"/><Relationship Id="rId200" Type="http://schemas.openxmlformats.org/officeDocument/2006/relationships/hyperlink" Target="https://dart.fss.or.kr/dsaf001/main.do?rcpNo=20230329000065" TargetMode="External"/><Relationship Id="rId16" Type="http://schemas.openxmlformats.org/officeDocument/2006/relationships/hyperlink" Target="https://dart.fss.or.kr/dsaf001/main.do?rcpNo=20230317000301" TargetMode="External"/><Relationship Id="rId221" Type="http://schemas.openxmlformats.org/officeDocument/2006/relationships/hyperlink" Target="https://dart.fss.or.kr/dsaf001/main.do?rcpNo=20230314001271" TargetMode="External"/><Relationship Id="rId242" Type="http://schemas.openxmlformats.org/officeDocument/2006/relationships/hyperlink" Target="https://dart.fss.or.kr/dsaf001/main.do?rcpNo=20230315000297" TargetMode="External"/><Relationship Id="rId263" Type="http://schemas.openxmlformats.org/officeDocument/2006/relationships/hyperlink" Target="https://dart.fss.or.kr/dsaf001/main.do?rcpNo=20230316001467" TargetMode="External"/><Relationship Id="rId284" Type="http://schemas.openxmlformats.org/officeDocument/2006/relationships/hyperlink" Target="https://dart.fss.or.kr/dsaf001/main.do?rcpNo=20230315001227" TargetMode="External"/><Relationship Id="rId319" Type="http://schemas.openxmlformats.org/officeDocument/2006/relationships/comments" Target="../comments2.xml"/><Relationship Id="rId37" Type="http://schemas.openxmlformats.org/officeDocument/2006/relationships/hyperlink" Target="https://dart.fss.or.kr/dsaf001/main.do?rcpNo=20230315000990" TargetMode="External"/><Relationship Id="rId58" Type="http://schemas.openxmlformats.org/officeDocument/2006/relationships/hyperlink" Target="https://dart.fss.or.kr/dsaf001/main.do?rcpNo=20230314000692" TargetMode="External"/><Relationship Id="rId79" Type="http://schemas.openxmlformats.org/officeDocument/2006/relationships/hyperlink" Target="https://dart.fss.or.kr/dsaf001/main.do?rcpNo=20230324000880" TargetMode="External"/><Relationship Id="rId102" Type="http://schemas.openxmlformats.org/officeDocument/2006/relationships/hyperlink" Target="https://dart.fss.or.kr/dsaf001/main.do?rcpNo=20230322001127" TargetMode="External"/><Relationship Id="rId123" Type="http://schemas.openxmlformats.org/officeDocument/2006/relationships/hyperlink" Target="https://dart.fss.or.kr/dsaf001/main.do?rcpNo=20230831001561" TargetMode="External"/><Relationship Id="rId144" Type="http://schemas.openxmlformats.org/officeDocument/2006/relationships/hyperlink" Target="https://dart.fss.or.kr/dsaf001/main.do?rcpNo=20230524000304" TargetMode="External"/><Relationship Id="rId90" Type="http://schemas.openxmlformats.org/officeDocument/2006/relationships/hyperlink" Target="https://dart.fss.or.kr/dsaf001/main.do?rcpNo=20230316001141" TargetMode="External"/><Relationship Id="rId165" Type="http://schemas.openxmlformats.org/officeDocument/2006/relationships/hyperlink" Target="https://dart.fss.or.kr/dsaf001/main.do?rcpNo=20230302000104" TargetMode="External"/><Relationship Id="rId186" Type="http://schemas.openxmlformats.org/officeDocument/2006/relationships/hyperlink" Target="https://dart.fss.or.kr/dsaf001/main.do?rcpNo=20230515000371" TargetMode="External"/><Relationship Id="rId211" Type="http://schemas.openxmlformats.org/officeDocument/2006/relationships/hyperlink" Target="https://dart.fss.or.kr/dsaf001/main.do?rcpNo=20230320000322" TargetMode="External"/><Relationship Id="rId232" Type="http://schemas.openxmlformats.org/officeDocument/2006/relationships/hyperlink" Target="https://dart.fss.or.kr/dsaf001/main.do?rcpNo=20230321001309" TargetMode="External"/><Relationship Id="rId253" Type="http://schemas.openxmlformats.org/officeDocument/2006/relationships/hyperlink" Target="https://dart.fss.or.kr/dsaf001/main.do?rcpNo=20230310000763" TargetMode="External"/><Relationship Id="rId274" Type="http://schemas.openxmlformats.org/officeDocument/2006/relationships/hyperlink" Target="https://dart.fss.or.kr/dsaf001/main.do?rcpNo=20230317000867" TargetMode="External"/><Relationship Id="rId295" Type="http://schemas.openxmlformats.org/officeDocument/2006/relationships/hyperlink" Target="https://dart.fss.or.kr/dsaf001/main.do?rcpNo=20230315001104" TargetMode="External"/><Relationship Id="rId309" Type="http://schemas.openxmlformats.org/officeDocument/2006/relationships/hyperlink" Target="https://dart.fss.or.kr/dsaf001/main.do?rcpNo=20230317000130" TargetMode="External"/><Relationship Id="rId27" Type="http://schemas.openxmlformats.org/officeDocument/2006/relationships/hyperlink" Target="https://dart.fss.or.kr/dsaf001/main.do?rcpNo=20230302000615" TargetMode="External"/><Relationship Id="rId48" Type="http://schemas.openxmlformats.org/officeDocument/2006/relationships/hyperlink" Target="https://dart.fss.or.kr/dsaf001/main.do?rcpNo=20230322000815" TargetMode="External"/><Relationship Id="rId69" Type="http://schemas.openxmlformats.org/officeDocument/2006/relationships/hyperlink" Target="https://dart.fss.or.kr/dsaf001/main.do?rcpNo=20230316000929" TargetMode="External"/><Relationship Id="rId113" Type="http://schemas.openxmlformats.org/officeDocument/2006/relationships/hyperlink" Target="https://dart.fss.or.kr/dsaf001/main.do?rcpNo=20220915000334" TargetMode="External"/><Relationship Id="rId134" Type="http://schemas.openxmlformats.org/officeDocument/2006/relationships/hyperlink" Target="https://dart.fss.or.kr/dsaf001/main.do?rcpNo=20230307000653" TargetMode="External"/><Relationship Id="rId320" Type="http://schemas.microsoft.com/office/2017/10/relationships/threadedComment" Target="../threadedComments/threadedComment2.xml"/><Relationship Id="rId80" Type="http://schemas.openxmlformats.org/officeDocument/2006/relationships/hyperlink" Target="https://dart.fss.or.kr/dsaf001/main.do?rcpNo=20230317000005" TargetMode="External"/><Relationship Id="rId155" Type="http://schemas.openxmlformats.org/officeDocument/2006/relationships/hyperlink" Target="https://dart.fss.or.kr/dsaf001/main.do?rcpNo=20230315000963" TargetMode="External"/><Relationship Id="rId176" Type="http://schemas.openxmlformats.org/officeDocument/2006/relationships/hyperlink" Target="https://dart.fss.or.kr/dsaf001/main.do?rcpNo=20230411002838" TargetMode="External"/><Relationship Id="rId197" Type="http://schemas.openxmlformats.org/officeDocument/2006/relationships/hyperlink" Target="https://dart.fss.or.kr/dsaf001/main.do?rcpNo=20230316001571" TargetMode="External"/><Relationship Id="rId201" Type="http://schemas.openxmlformats.org/officeDocument/2006/relationships/hyperlink" Target="https://dart.fss.or.kr/dsaf001/main.do?rcpNo=20230323001413" TargetMode="External"/><Relationship Id="rId222" Type="http://schemas.openxmlformats.org/officeDocument/2006/relationships/hyperlink" Target="https://dart.fss.or.kr/dsaf001/main.do?rcpNo=20230316001017" TargetMode="External"/><Relationship Id="rId243" Type="http://schemas.openxmlformats.org/officeDocument/2006/relationships/hyperlink" Target="https://dart.fss.or.kr/dsaf001/main.do?rcpNo=20230321000862" TargetMode="External"/><Relationship Id="rId264" Type="http://schemas.openxmlformats.org/officeDocument/2006/relationships/hyperlink" Target="https://dart.fss.or.kr/dsaf001/main.do?rcpNo=20230712000281" TargetMode="External"/><Relationship Id="rId285" Type="http://schemas.openxmlformats.org/officeDocument/2006/relationships/hyperlink" Target="https://dart.fss.or.kr/dsaf001/main.do?rcpNo=20230315000894" TargetMode="External"/><Relationship Id="rId17" Type="http://schemas.openxmlformats.org/officeDocument/2006/relationships/hyperlink" Target="https://dart.fss.or.kr/dsaf001/main.do?rcpNo=20230315001407" TargetMode="External"/><Relationship Id="rId38" Type="http://schemas.openxmlformats.org/officeDocument/2006/relationships/hyperlink" Target="https://dart.fss.or.kr/dsaf001/main.do?rcpNo=20230320000162" TargetMode="External"/><Relationship Id="rId59" Type="http://schemas.openxmlformats.org/officeDocument/2006/relationships/hyperlink" Target="https://dart.fss.or.kr/dsaf001/main.do?rcpNo=20230322001068" TargetMode="External"/><Relationship Id="rId103" Type="http://schemas.openxmlformats.org/officeDocument/2006/relationships/hyperlink" Target="https://dart.fss.or.kr/dsaf001/main.do?rcpNo=20230315001100" TargetMode="External"/><Relationship Id="rId124" Type="http://schemas.openxmlformats.org/officeDocument/2006/relationships/hyperlink" Target="https://dart.fss.or.kr/dsaf001/main.do?rcpNo=20230316000878" TargetMode="External"/><Relationship Id="rId310" Type="http://schemas.openxmlformats.org/officeDocument/2006/relationships/hyperlink" Target="https://dart.fss.or.kr/dsaf001/main.do?rcpNo=20230315000315" TargetMode="External"/><Relationship Id="rId70" Type="http://schemas.openxmlformats.org/officeDocument/2006/relationships/hyperlink" Target="https://dart.fss.or.kr/dsaf001/main.do?rcpNo=20230321001403" TargetMode="External"/><Relationship Id="rId91" Type="http://schemas.openxmlformats.org/officeDocument/2006/relationships/hyperlink" Target="https://dart.fss.or.kr/dsaf001/main.do?rcpNo=20230314001293" TargetMode="External"/><Relationship Id="rId145" Type="http://schemas.openxmlformats.org/officeDocument/2006/relationships/hyperlink" Target="https://dart.fss.or.kr/dsaf001/main.do?rcpNo=20230316001053" TargetMode="External"/><Relationship Id="rId166" Type="http://schemas.openxmlformats.org/officeDocument/2006/relationships/hyperlink" Target="https://dart.fss.or.kr/dsaf001/main.do?rcpNo=20230323001156" TargetMode="External"/><Relationship Id="rId187" Type="http://schemas.openxmlformats.org/officeDocument/2006/relationships/hyperlink" Target="https://dart.fss.or.kr/dsaf001/main.do?rcpNo=20230321001134"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2000936" TargetMode="External"/><Relationship Id="rId233" Type="http://schemas.openxmlformats.org/officeDocument/2006/relationships/hyperlink" Target="https://dart.fss.or.kr/dsaf001/main.do?rcpNo=20230316000762" TargetMode="External"/><Relationship Id="rId254" Type="http://schemas.openxmlformats.org/officeDocument/2006/relationships/hyperlink" Target="https://dart.fss.or.kr/dsaf001/main.do?rcpNo=20230316001321" TargetMode="External"/><Relationship Id="rId28" Type="http://schemas.openxmlformats.org/officeDocument/2006/relationships/hyperlink" Target="https://dart.fss.or.kr/dsaf001/main.do?rcpNo=20230222002549" TargetMode="External"/><Relationship Id="rId49" Type="http://schemas.openxmlformats.org/officeDocument/2006/relationships/hyperlink" Target="https://dart.fss.or.kr/dsaf001/main.do?rcpNo=20230322000774" TargetMode="External"/><Relationship Id="rId114" Type="http://schemas.openxmlformats.org/officeDocument/2006/relationships/hyperlink" Target="https://dart.fss.or.kr/dsaf001/main.do?rcpNo=20230316000602" TargetMode="External"/><Relationship Id="rId275" Type="http://schemas.openxmlformats.org/officeDocument/2006/relationships/hyperlink" Target="https://dart.fss.or.kr/dsaf001/main.do?rcpNo=20230316000780" TargetMode="External"/><Relationship Id="rId296" Type="http://schemas.openxmlformats.org/officeDocument/2006/relationships/hyperlink" Target="https://dart.fss.or.kr/dsaf001/main.do?rcpNo=20230321001449" TargetMode="External"/><Relationship Id="rId300" Type="http://schemas.openxmlformats.org/officeDocument/2006/relationships/hyperlink" Target="https://dart.fss.or.kr/dsaf001/main.do?rcpNo=20230321001479" TargetMode="External"/><Relationship Id="rId60" Type="http://schemas.openxmlformats.org/officeDocument/2006/relationships/hyperlink" Target="https://dart.fss.or.kr/dsaf001/main.do?rcpNo=20230314000467" TargetMode="External"/><Relationship Id="rId81" Type="http://schemas.openxmlformats.org/officeDocument/2006/relationships/hyperlink" Target="https://dart.fss.or.kr/dsaf001/main.do?rcpNo=20230323000406" TargetMode="External"/><Relationship Id="rId135" Type="http://schemas.openxmlformats.org/officeDocument/2006/relationships/hyperlink" Target="https://dart.fss.or.kr/dsaf001/main.do?rcpNo=20230307000542" TargetMode="External"/><Relationship Id="rId156" Type="http://schemas.openxmlformats.org/officeDocument/2006/relationships/hyperlink" Target="https://dart.fss.or.kr/dsaf001/main.do?rcpNo=20230323000638" TargetMode="External"/><Relationship Id="rId177" Type="http://schemas.openxmlformats.org/officeDocument/2006/relationships/hyperlink" Target="https://dart.fss.or.kr/dsaf001/main.do?rcpNo=20230321001494" TargetMode="External"/><Relationship Id="rId198" Type="http://schemas.openxmlformats.org/officeDocument/2006/relationships/hyperlink" Target="https://dart.fss.or.kr/dsaf001/main.do?rcpNo=20230317000918" TargetMode="External"/><Relationship Id="rId202" Type="http://schemas.openxmlformats.org/officeDocument/2006/relationships/hyperlink" Target="https://dart.fss.or.kr/dsaf001/main.do?rcpNo=20230314000094" TargetMode="External"/><Relationship Id="rId223" Type="http://schemas.openxmlformats.org/officeDocument/2006/relationships/hyperlink" Target="https://dart.fss.or.kr/dsaf001/main.do?rcpNo=20230322000622" TargetMode="External"/><Relationship Id="rId244" Type="http://schemas.openxmlformats.org/officeDocument/2006/relationships/hyperlink" Target="https://dart.fss.or.kr/dsaf001/main.do?rcpNo=20230403003576" TargetMode="External"/><Relationship Id="rId18" Type="http://schemas.openxmlformats.org/officeDocument/2006/relationships/hyperlink" Target="https://dart.fss.or.kr/dsaf001/main.do?rcpNo=20230714000061" TargetMode="External"/><Relationship Id="rId39" Type="http://schemas.openxmlformats.org/officeDocument/2006/relationships/hyperlink" Target="https://dart.fss.or.kr/dsaf001/main.do?rcpNo=20230317000869" TargetMode="External"/><Relationship Id="rId265" Type="http://schemas.openxmlformats.org/officeDocument/2006/relationships/hyperlink" Target="https://dart.fss.or.kr/dsaf001/main.do?rcpNo=20230316001349" TargetMode="External"/><Relationship Id="rId286" Type="http://schemas.openxmlformats.org/officeDocument/2006/relationships/hyperlink" Target="https://dart.fss.or.kr/dsaf001/main.do?rcpNo=20230321000255" TargetMode="External"/><Relationship Id="rId50" Type="http://schemas.openxmlformats.org/officeDocument/2006/relationships/hyperlink" Target="https://dart.fss.or.kr/dsaf001/main.do?rcpNo=20230314001158" TargetMode="External"/><Relationship Id="rId104" Type="http://schemas.openxmlformats.org/officeDocument/2006/relationships/hyperlink" Target="https://dart.fss.or.kr/dsaf001/main.do?rcpNo=20230321001259" TargetMode="External"/><Relationship Id="rId125" Type="http://schemas.openxmlformats.org/officeDocument/2006/relationships/hyperlink" Target="https://dart.fss.or.kr/dsaf001/main.do?rcpNo=20230328000107" TargetMode="External"/><Relationship Id="rId146" Type="http://schemas.openxmlformats.org/officeDocument/2006/relationships/hyperlink" Target="https://dart.fss.or.kr/dsaf001/main.do?rcpNo=20230314000085" TargetMode="External"/><Relationship Id="rId167" Type="http://schemas.openxmlformats.org/officeDocument/2006/relationships/hyperlink" Target="https://dart.fss.or.kr/dsaf001/main.do?rcpNo=20230316001196" TargetMode="External"/><Relationship Id="rId188" Type="http://schemas.openxmlformats.org/officeDocument/2006/relationships/hyperlink" Target="https://dart.fss.or.kr/dsaf001/main.do?rcpNo=20230307000691" TargetMode="External"/><Relationship Id="rId311" Type="http://schemas.openxmlformats.org/officeDocument/2006/relationships/hyperlink" Target="https://dart.fss.or.kr/dsaf001/main.do?rcpNo=20230320000391" TargetMode="External"/><Relationship Id="rId71" Type="http://schemas.openxmlformats.org/officeDocument/2006/relationships/hyperlink" Target="https://dart.fss.or.kr/dsaf001/main.do?rcpNo=20230316000958" TargetMode="External"/><Relationship Id="rId92" Type="http://schemas.openxmlformats.org/officeDocument/2006/relationships/hyperlink" Target="https://dart.fss.or.kr/dsaf001/main.do?rcpNo=20230316000733" TargetMode="External"/><Relationship Id="rId213" Type="http://schemas.openxmlformats.org/officeDocument/2006/relationships/hyperlink" Target="https://dart.fss.or.kr/dsaf001/main.do?rcpNo=20230317000389" TargetMode="External"/><Relationship Id="rId234" Type="http://schemas.openxmlformats.org/officeDocument/2006/relationships/hyperlink" Target="https://dart.fss.or.kr/dsaf001/main.do?rcpNo=20230321001167" TargetMode="External"/><Relationship Id="rId2" Type="http://schemas.openxmlformats.org/officeDocument/2006/relationships/hyperlink" Target="https://dart.fss.or.kr/dsaf001/main.do?rcpNo=20230321001132" TargetMode="External"/><Relationship Id="rId29" Type="http://schemas.openxmlformats.org/officeDocument/2006/relationships/hyperlink" Target="https://dart.fss.or.kr/dsaf001/main.do?rcpNo=20230317000276" TargetMode="External"/><Relationship Id="rId255" Type="http://schemas.openxmlformats.org/officeDocument/2006/relationships/hyperlink" Target="https://dart.fss.or.kr/dsaf001/main.do?rcpNo=20230316001190" TargetMode="External"/><Relationship Id="rId276" Type="http://schemas.openxmlformats.org/officeDocument/2006/relationships/hyperlink" Target="https://dart.fss.or.kr/dsaf001/main.do?rcpNo=20230316001135" TargetMode="External"/><Relationship Id="rId297" Type="http://schemas.openxmlformats.org/officeDocument/2006/relationships/hyperlink" Target="https://dart.fss.or.kr/dsaf001/main.do?rcpNo=20230310001083" TargetMode="External"/><Relationship Id="rId40" Type="http://schemas.openxmlformats.org/officeDocument/2006/relationships/hyperlink" Target="https://dart.fss.or.kr/dsaf001/main.do?rcpNo=20230322000906" TargetMode="External"/><Relationship Id="rId115" Type="http://schemas.openxmlformats.org/officeDocument/2006/relationships/hyperlink" Target="https://dart.fss.or.kr/dsaf001/main.do?rcpNo=20230316000931" TargetMode="External"/><Relationship Id="rId136" Type="http://schemas.openxmlformats.org/officeDocument/2006/relationships/hyperlink" Target="https://dart.fss.or.kr/dsaf001/main.do?rcpNo=20230309000572" TargetMode="External"/><Relationship Id="rId157" Type="http://schemas.openxmlformats.org/officeDocument/2006/relationships/hyperlink" Target="https://dart.fss.or.kr/dsaf001/main.do?rcpNo=20230316000928" TargetMode="External"/><Relationship Id="rId178" Type="http://schemas.openxmlformats.org/officeDocument/2006/relationships/hyperlink" Target="https://dart.fss.or.kr/dsaf001/main.do?rcpNo=20230317001042" TargetMode="External"/><Relationship Id="rId301" Type="http://schemas.openxmlformats.org/officeDocument/2006/relationships/hyperlink" Target="https://dart.fss.or.kr/dsaf001/main.do?rcpNo=20230317000639" TargetMode="External"/><Relationship Id="rId61" Type="http://schemas.openxmlformats.org/officeDocument/2006/relationships/hyperlink" Target="https://dart.fss.or.kr/dsaf001/main.do?rcpNo=20230323000821" TargetMode="External"/><Relationship Id="rId82" Type="http://schemas.openxmlformats.org/officeDocument/2006/relationships/hyperlink" Target="https://dart.fss.or.kr/dsaf001/main.do?rcpNo=20230322001136" TargetMode="External"/><Relationship Id="rId199" Type="http://schemas.openxmlformats.org/officeDocument/2006/relationships/hyperlink" Target="https://dart.fss.or.kr/dsaf001/main.do?rcpNo=20230308000675" TargetMode="External"/><Relationship Id="rId203" Type="http://schemas.openxmlformats.org/officeDocument/2006/relationships/hyperlink" Target="https://dart.fss.or.kr/dsaf001/main.do?rcpNo=20230315000887"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art.fss.or.kr/dsaf001/main.do?rcpNo=20230323001050" TargetMode="External"/><Relationship Id="rId299" Type="http://schemas.openxmlformats.org/officeDocument/2006/relationships/hyperlink" Target="https://dart.fss.or.kr/dsaf001/main.do?rcpNo=20230411001656" TargetMode="External"/><Relationship Id="rId303" Type="http://schemas.openxmlformats.org/officeDocument/2006/relationships/hyperlink" Target="https://dart.fss.or.kr/dsaf001/main.do?rcpNo=20230321001162" TargetMode="External"/><Relationship Id="rId21" Type="http://schemas.openxmlformats.org/officeDocument/2006/relationships/hyperlink" Target="https://dart.fss.or.kr/dsaf001/main.do?rcpNo=20230315001407" TargetMode="External"/><Relationship Id="rId42" Type="http://schemas.openxmlformats.org/officeDocument/2006/relationships/hyperlink" Target="https://dart.fss.or.kr/dsaf001/main.do?rcpNo=20230320000162" TargetMode="External"/><Relationship Id="rId63" Type="http://schemas.openxmlformats.org/officeDocument/2006/relationships/hyperlink" Target="https://dart.fss.or.kr/dsaf001/main.do?rcpNo=20230322001068" TargetMode="External"/><Relationship Id="rId84" Type="http://schemas.openxmlformats.org/officeDocument/2006/relationships/hyperlink" Target="https://dart.fss.or.kr/dsaf001/main.do?rcpNo=20230324000880" TargetMode="External"/><Relationship Id="rId138" Type="http://schemas.openxmlformats.org/officeDocument/2006/relationships/hyperlink" Target="https://dart.fss.or.kr/dsaf001/main.do?rcpNo=20230308000737" TargetMode="External"/><Relationship Id="rId159" Type="http://schemas.openxmlformats.org/officeDocument/2006/relationships/hyperlink" Target="https://dart.fss.or.kr/dsaf001/main.do?rcpNo=20230317000349" TargetMode="External"/><Relationship Id="rId324" Type="http://schemas.openxmlformats.org/officeDocument/2006/relationships/hyperlink" Target="https://www.sj.co.kr/" TargetMode="External"/><Relationship Id="rId170" Type="http://schemas.openxmlformats.org/officeDocument/2006/relationships/hyperlink" Target="https://dart.fss.or.kr/dsaf001/main.do?rcpNo=20230320000954" TargetMode="External"/><Relationship Id="rId191" Type="http://schemas.openxmlformats.org/officeDocument/2006/relationships/hyperlink" Target="https://dart.fss.or.kr/dsaf001/main.do?rcpNo=20230515000371" TargetMode="External"/><Relationship Id="rId205" Type="http://schemas.openxmlformats.org/officeDocument/2006/relationships/hyperlink" Target="https://dart.fss.or.kr/dsaf001/main.do?rcpNo=20230329000065" TargetMode="External"/><Relationship Id="rId226" Type="http://schemas.openxmlformats.org/officeDocument/2006/relationships/hyperlink" Target="https://dart.fss.or.kr/dsaf001/main.do?rcpNo=20230314001271" TargetMode="External"/><Relationship Id="rId247" Type="http://schemas.openxmlformats.org/officeDocument/2006/relationships/hyperlink" Target="https://dart.fss.or.kr/dsaf001/main.do?rcpNo=20230315000297" TargetMode="External"/><Relationship Id="rId107" Type="http://schemas.openxmlformats.org/officeDocument/2006/relationships/hyperlink" Target="https://dart.fss.or.kr/dsaf001/main.do?rcpNo=20230314000884" TargetMode="External"/><Relationship Id="rId268" Type="http://schemas.openxmlformats.org/officeDocument/2006/relationships/hyperlink" Target="https://dart.fss.or.kr/dsaf001/main.do?rcpNo=20230712000281" TargetMode="External"/><Relationship Id="rId289" Type="http://schemas.openxmlformats.org/officeDocument/2006/relationships/hyperlink" Target="https://dart.fss.or.kr/dsaf001/main.do?rcpNo=20230315001227" TargetMode="External"/><Relationship Id="rId11" Type="http://schemas.openxmlformats.org/officeDocument/2006/relationships/hyperlink" Target="https://dart.fss.or.kr/dsaf001/main.do?rcpNo=20230322001200" TargetMode="External"/><Relationship Id="rId32" Type="http://schemas.openxmlformats.org/officeDocument/2006/relationships/hyperlink" Target="https://dart.fss.or.kr/dsaf001/main.do?rcpNo=20230222002549" TargetMode="External"/><Relationship Id="rId53" Type="http://schemas.openxmlformats.org/officeDocument/2006/relationships/hyperlink" Target="https://dart.fss.or.kr/dsaf001/main.do?rcpNo=20230322000774" TargetMode="External"/><Relationship Id="rId74" Type="http://schemas.openxmlformats.org/officeDocument/2006/relationships/hyperlink" Target="https://dart.fss.or.kr/dsaf001/main.do?rcpNo=20230321001403" TargetMode="External"/><Relationship Id="rId128" Type="http://schemas.openxmlformats.org/officeDocument/2006/relationships/hyperlink" Target="https://dart.fss.or.kr/dsaf001/main.do?rcpNo=20230310000296" TargetMode="External"/><Relationship Id="rId149" Type="http://schemas.openxmlformats.org/officeDocument/2006/relationships/hyperlink" Target="https://dart.fss.or.kr/dsaf001/main.do?rcpNo=20230315001242" TargetMode="External"/><Relationship Id="rId314" Type="http://schemas.openxmlformats.org/officeDocument/2006/relationships/hyperlink" Target="https://dart.fss.or.kr/dsaf001/main.do?rcpNo=20230317000130" TargetMode="External"/><Relationship Id="rId5" Type="http://schemas.openxmlformats.org/officeDocument/2006/relationships/hyperlink" Target="https://dart.fss.or.kr/dsaf001/main.do?rcpNo=20230814001661" TargetMode="External"/><Relationship Id="rId95" Type="http://schemas.openxmlformats.org/officeDocument/2006/relationships/hyperlink" Target="https://dart.fss.or.kr/dsaf001/main.do?rcpNo=20230317000725" TargetMode="External"/><Relationship Id="rId160" Type="http://schemas.openxmlformats.org/officeDocument/2006/relationships/hyperlink" Target="https://dart.fss.or.kr/dsaf001/main.do?rcpNo=20230310000633" TargetMode="External"/><Relationship Id="rId181" Type="http://schemas.openxmlformats.org/officeDocument/2006/relationships/hyperlink" Target="https://dart.fss.or.kr/dsaf001/main.do?rcpNo=20230411002838" TargetMode="External"/><Relationship Id="rId216" Type="http://schemas.openxmlformats.org/officeDocument/2006/relationships/hyperlink" Target="https://dart.fss.or.kr/dsaf001/main.do?rcpNo=20230320000322" TargetMode="External"/><Relationship Id="rId237" Type="http://schemas.openxmlformats.org/officeDocument/2006/relationships/hyperlink" Target="https://dart.fss.or.kr/dsaf001/main.do?rcpNo=20230321001309" TargetMode="External"/><Relationship Id="rId258" Type="http://schemas.openxmlformats.org/officeDocument/2006/relationships/hyperlink" Target="https://dart.fss.or.kr/dsaf001/main.do?rcpNo=20230316001321" TargetMode="External"/><Relationship Id="rId279" Type="http://schemas.openxmlformats.org/officeDocument/2006/relationships/hyperlink" Target="https://dart.fss.or.kr/dsaf001/main.do?rcpNo=20230317000867" TargetMode="External"/><Relationship Id="rId22" Type="http://schemas.openxmlformats.org/officeDocument/2006/relationships/hyperlink" Target="https://dart.fss.or.kr/dsaf001/main.do?rcpNo=20230714000061" TargetMode="External"/><Relationship Id="rId43" Type="http://schemas.openxmlformats.org/officeDocument/2006/relationships/hyperlink" Target="https://dart.fss.or.kr/dsaf001/main.do?rcpNo=20230317000869" TargetMode="External"/><Relationship Id="rId64" Type="http://schemas.openxmlformats.org/officeDocument/2006/relationships/hyperlink" Target="https://dart.fss.or.kr/dsaf001/main.do?rcpNo=20230314000467" TargetMode="External"/><Relationship Id="rId118" Type="http://schemas.openxmlformats.org/officeDocument/2006/relationships/hyperlink" Target="https://dart.fss.or.kr/dsaf001/main.do?rcpNo=20230315000646" TargetMode="External"/><Relationship Id="rId139" Type="http://schemas.openxmlformats.org/officeDocument/2006/relationships/hyperlink" Target="https://dart.fss.or.kr/dsaf001/main.do?rcpNo=20230307000606" TargetMode="External"/><Relationship Id="rId290" Type="http://schemas.openxmlformats.org/officeDocument/2006/relationships/hyperlink" Target="https://dart.fss.or.kr/dsaf001/main.do?rcpNo=20230315000894" TargetMode="External"/><Relationship Id="rId304" Type="http://schemas.openxmlformats.org/officeDocument/2006/relationships/hyperlink" Target="https://dart.fss.or.kr/dsaf001/main.do?rcpNo=20230320001061" TargetMode="External"/><Relationship Id="rId325" Type="http://schemas.openxmlformats.org/officeDocument/2006/relationships/hyperlink" Target="https://www.aplusga.com/" TargetMode="External"/><Relationship Id="rId85" Type="http://schemas.openxmlformats.org/officeDocument/2006/relationships/hyperlink" Target="https://dart.fss.or.kr/dsaf001/main.do?rcpNo=20230317000005" TargetMode="External"/><Relationship Id="rId150" Type="http://schemas.openxmlformats.org/officeDocument/2006/relationships/hyperlink" Target="https://dart.fss.or.kr/dsaf001/main.do?rcpNo=20230713000197" TargetMode="External"/><Relationship Id="rId171" Type="http://schemas.openxmlformats.org/officeDocument/2006/relationships/hyperlink" Target="https://dart.fss.or.kr/dsaf001/main.do?rcpNo=20230302000104" TargetMode="External"/><Relationship Id="rId192" Type="http://schemas.openxmlformats.org/officeDocument/2006/relationships/hyperlink" Target="https://dart.fss.or.kr/dsaf001/main.do?rcpNo=20230321001134" TargetMode="External"/><Relationship Id="rId206" Type="http://schemas.openxmlformats.org/officeDocument/2006/relationships/hyperlink" Target="https://dart.fss.or.kr/dsaf001/main.do?rcpNo=20230323001413" TargetMode="External"/><Relationship Id="rId227" Type="http://schemas.openxmlformats.org/officeDocument/2006/relationships/hyperlink" Target="https://dart.fss.or.kr/dsaf001/main.do?rcpNo=20230316001017" TargetMode="External"/><Relationship Id="rId248" Type="http://schemas.openxmlformats.org/officeDocument/2006/relationships/hyperlink" Target="https://dart.fss.or.kr/dsaf001/main.do?rcpNo=20230321000862" TargetMode="External"/><Relationship Id="rId269" Type="http://schemas.openxmlformats.org/officeDocument/2006/relationships/hyperlink" Target="https://dart.fss.or.kr/dsaf001/main.do?rcpNo=20230316001349" TargetMode="External"/><Relationship Id="rId12" Type="http://schemas.openxmlformats.org/officeDocument/2006/relationships/hyperlink" Target="https://dart.fss.or.kr/dsaf001/main.do?rcpNo=20230320000736" TargetMode="External"/><Relationship Id="rId33" Type="http://schemas.openxmlformats.org/officeDocument/2006/relationships/hyperlink" Target="https://dart.fss.or.kr/dsaf001/main.do?rcpNo=20230317000276" TargetMode="External"/><Relationship Id="rId108" Type="http://schemas.openxmlformats.org/officeDocument/2006/relationships/hyperlink" Target="https://dart.fss.or.kr/dsaf001/main.do?rcpNo=20230324000928" TargetMode="External"/><Relationship Id="rId129" Type="http://schemas.openxmlformats.org/officeDocument/2006/relationships/hyperlink" Target="https://dart.fss.or.kr/dsaf001/main.do?rcpNo=20230327000678" TargetMode="External"/><Relationship Id="rId280" Type="http://schemas.openxmlformats.org/officeDocument/2006/relationships/hyperlink" Target="https://dart.fss.or.kr/dsaf001/main.do?rcpNo=20230316000780" TargetMode="External"/><Relationship Id="rId315" Type="http://schemas.openxmlformats.org/officeDocument/2006/relationships/hyperlink" Target="https://dart.fss.or.kr/dsaf001/main.do?rcpNo=20230315000315" TargetMode="External"/><Relationship Id="rId54" Type="http://schemas.openxmlformats.org/officeDocument/2006/relationships/hyperlink" Target="https://dart.fss.or.kr/dsaf001/main.do?rcpNo=20230314001158" TargetMode="External"/><Relationship Id="rId75" Type="http://schemas.openxmlformats.org/officeDocument/2006/relationships/hyperlink" Target="https://dart.fss.or.kr/dsaf001/main.do?rcpNo=20230316000958" TargetMode="External"/><Relationship Id="rId96" Type="http://schemas.openxmlformats.org/officeDocument/2006/relationships/hyperlink" Target="https://dart.fss.or.kr/dsaf001/main.do?rcpNo=20230322001007" TargetMode="External"/><Relationship Id="rId140" Type="http://schemas.openxmlformats.org/officeDocument/2006/relationships/hyperlink" Target="https://dart.fss.or.kr/dsaf001/main.do?rcpNo=20230831001403" TargetMode="External"/><Relationship Id="rId161" Type="http://schemas.openxmlformats.org/officeDocument/2006/relationships/hyperlink" Target="https://dart.fss.or.kr/dsaf001/main.do?rcpNo=20230315000963" TargetMode="External"/><Relationship Id="rId182" Type="http://schemas.openxmlformats.org/officeDocument/2006/relationships/hyperlink" Target="https://dart.fss.or.kr/dsaf001/main.do?rcpNo=20230321001494" TargetMode="External"/><Relationship Id="rId217" Type="http://schemas.openxmlformats.org/officeDocument/2006/relationships/hyperlink" Target="https://dart.fss.or.kr/dsaf001/main.do?rcpNo=20230322000936" TargetMode="External"/><Relationship Id="rId6" Type="http://schemas.openxmlformats.org/officeDocument/2006/relationships/hyperlink" Target="https://dart.fss.or.kr/dsaf001/main.do?rcpNo=20230321001132" TargetMode="External"/><Relationship Id="rId238" Type="http://schemas.openxmlformats.org/officeDocument/2006/relationships/hyperlink" Target="https://dart.fss.or.kr/dsaf001/main.do?rcpNo=20230316000762" TargetMode="External"/><Relationship Id="rId259" Type="http://schemas.openxmlformats.org/officeDocument/2006/relationships/hyperlink" Target="https://dart.fss.or.kr/dsaf001/main.do?rcpNo=20230316001190" TargetMode="External"/><Relationship Id="rId23" Type="http://schemas.openxmlformats.org/officeDocument/2006/relationships/hyperlink" Target="https://dart.fss.or.kr/dsaf001/main.do?rcpNo=20230321001126" TargetMode="External"/><Relationship Id="rId119" Type="http://schemas.openxmlformats.org/officeDocument/2006/relationships/hyperlink" Target="https://dart.fss.or.kr/dsaf001/main.do?rcpNo=20230314001159" TargetMode="External"/><Relationship Id="rId270" Type="http://schemas.openxmlformats.org/officeDocument/2006/relationships/hyperlink" Target="https://dart.fss.or.kr/dsaf001/main.do?rcpNo=20230320000791" TargetMode="External"/><Relationship Id="rId291" Type="http://schemas.openxmlformats.org/officeDocument/2006/relationships/hyperlink" Target="https://dart.fss.or.kr/dsaf001/main.do?rcpNo=20230321000255" TargetMode="External"/><Relationship Id="rId305" Type="http://schemas.openxmlformats.org/officeDocument/2006/relationships/hyperlink" Target="https://dart.fss.or.kr/dsaf001/main.do?rcpNo=20230321001479" TargetMode="External"/><Relationship Id="rId326" Type="http://schemas.openxmlformats.org/officeDocument/2006/relationships/hyperlink" Target="https://www.youngone.co.kr/" TargetMode="External"/><Relationship Id="rId44" Type="http://schemas.openxmlformats.org/officeDocument/2006/relationships/hyperlink" Target="https://dart.fss.or.kr/dsaf001/main.do?rcpNo=20230322000906" TargetMode="External"/><Relationship Id="rId65" Type="http://schemas.openxmlformats.org/officeDocument/2006/relationships/hyperlink" Target="https://dart.fss.or.kr/dsaf001/main.do?rcpNo=20230323000821" TargetMode="External"/><Relationship Id="rId86" Type="http://schemas.openxmlformats.org/officeDocument/2006/relationships/hyperlink" Target="https://dart.fss.or.kr/dsaf001/main.do?rcpNo=20230323000406" TargetMode="External"/><Relationship Id="rId130" Type="http://schemas.openxmlformats.org/officeDocument/2006/relationships/hyperlink" Target="https://dart.fss.or.kr/dsaf001/main.do?rcpNo=20221230000430" TargetMode="External"/><Relationship Id="rId151" Type="http://schemas.openxmlformats.org/officeDocument/2006/relationships/hyperlink" Target="https://dart.fss.or.kr/dsaf001/main.do?rcpNo=20230524000304" TargetMode="External"/><Relationship Id="rId172" Type="http://schemas.openxmlformats.org/officeDocument/2006/relationships/hyperlink" Target="https://dart.fss.or.kr/dsaf001/main.do?rcpNo=20230316001196" TargetMode="External"/><Relationship Id="rId193" Type="http://schemas.openxmlformats.org/officeDocument/2006/relationships/hyperlink" Target="https://dart.fss.or.kr/dsaf001/main.do?rcpNo=20230307000691" TargetMode="External"/><Relationship Id="rId207" Type="http://schemas.openxmlformats.org/officeDocument/2006/relationships/hyperlink" Target="https://dart.fss.or.kr/dsaf001/main.do?rcpNo=20230314000094" TargetMode="External"/><Relationship Id="rId228" Type="http://schemas.openxmlformats.org/officeDocument/2006/relationships/hyperlink" Target="https://dart.fss.or.kr/dsaf001/main.do?rcpNo=20230322000622" TargetMode="External"/><Relationship Id="rId249" Type="http://schemas.openxmlformats.org/officeDocument/2006/relationships/hyperlink" Target="https://dart.fss.or.kr/dsaf001/main.do?rcpNo=20230403003576" TargetMode="External"/><Relationship Id="rId13" Type="http://schemas.openxmlformats.org/officeDocument/2006/relationships/hyperlink" Target="https://dart.fss.or.kr/dsaf001/main.do?rcpNo=20230320000604" TargetMode="External"/><Relationship Id="rId109" Type="http://schemas.openxmlformats.org/officeDocument/2006/relationships/hyperlink" Target="https://dart.fss.or.kr/dsaf001/main.do?rcpNo=20230322001127" TargetMode="External"/><Relationship Id="rId260" Type="http://schemas.openxmlformats.org/officeDocument/2006/relationships/hyperlink" Target="https://dart.fss.or.kr/dsaf001/main.do?rcpNo=20230314000892" TargetMode="External"/><Relationship Id="rId281" Type="http://schemas.openxmlformats.org/officeDocument/2006/relationships/hyperlink" Target="https://dart.fss.or.kr/dsaf001/main.do?rcpNo=20230316001135" TargetMode="External"/><Relationship Id="rId316" Type="http://schemas.openxmlformats.org/officeDocument/2006/relationships/hyperlink" Target="https://dart.fss.or.kr/dsaf001/main.do?rcpNo=20230320000391" TargetMode="External"/><Relationship Id="rId34" Type="http://schemas.openxmlformats.org/officeDocument/2006/relationships/hyperlink" Target="https://dart.fss.or.kr/dsaf001/main.do?rcpNo=20230315000850" TargetMode="External"/><Relationship Id="rId55" Type="http://schemas.openxmlformats.org/officeDocument/2006/relationships/hyperlink" Target="https://dart.fss.or.kr/dsaf001/main.do?rcpNo=20230320000720" TargetMode="External"/><Relationship Id="rId76" Type="http://schemas.openxmlformats.org/officeDocument/2006/relationships/hyperlink" Target="https://dart.fss.or.kr/dsaf001/main.do?rcpNo=20230322000832" TargetMode="External"/><Relationship Id="rId97" Type="http://schemas.openxmlformats.org/officeDocument/2006/relationships/hyperlink" Target="https://dart.fss.or.kr/dsaf001/main.do?rcpNo=20230316001141" TargetMode="External"/><Relationship Id="rId120" Type="http://schemas.openxmlformats.org/officeDocument/2006/relationships/hyperlink" Target="https://dart.fss.or.kr/dsaf001/main.do?rcpNo=20220915000334" TargetMode="External"/><Relationship Id="rId141" Type="http://schemas.openxmlformats.org/officeDocument/2006/relationships/hyperlink" Target="https://dart.fss.or.kr/dsaf001/main.do?rcpNo=20230307000653" TargetMode="External"/><Relationship Id="rId7" Type="http://schemas.openxmlformats.org/officeDocument/2006/relationships/hyperlink" Target="https://dart.fss.or.kr/dsaf001/main.do?rcpNo=20230831001199" TargetMode="External"/><Relationship Id="rId162" Type="http://schemas.openxmlformats.org/officeDocument/2006/relationships/hyperlink" Target="https://dart.fss.or.kr/dsaf001/main.do?rcpNo=20230323000638" TargetMode="External"/><Relationship Id="rId183" Type="http://schemas.openxmlformats.org/officeDocument/2006/relationships/hyperlink" Target="https://dart.fss.or.kr/dsaf001/main.do?rcpNo=20230317001042" TargetMode="External"/><Relationship Id="rId218" Type="http://schemas.openxmlformats.org/officeDocument/2006/relationships/hyperlink" Target="https://dart.fss.or.kr/dsaf001/main.do?rcpNo=20230317000389" TargetMode="External"/><Relationship Id="rId239" Type="http://schemas.openxmlformats.org/officeDocument/2006/relationships/hyperlink" Target="https://dart.fss.or.kr/dsaf001/main.do?rcpNo=20230321001167" TargetMode="External"/><Relationship Id="rId250" Type="http://schemas.openxmlformats.org/officeDocument/2006/relationships/hyperlink" Target="https://dart.fss.or.kr/dsaf001/main.do?rcpNo=20230320000728" TargetMode="External"/><Relationship Id="rId271" Type="http://schemas.openxmlformats.org/officeDocument/2006/relationships/hyperlink" Target="http://www.fskrc.co.kr/" TargetMode="External"/><Relationship Id="rId292" Type="http://schemas.openxmlformats.org/officeDocument/2006/relationships/hyperlink" Target="https://dart.fss.or.kr/dsaf001/main.do?rcpNo=20230317000994" TargetMode="External"/><Relationship Id="rId306" Type="http://schemas.openxmlformats.org/officeDocument/2006/relationships/hyperlink" Target="https://dart.fss.or.kr/dsaf001/main.do?rcpNo=20230317000639" TargetMode="External"/><Relationship Id="rId24" Type="http://schemas.openxmlformats.org/officeDocument/2006/relationships/hyperlink" Target="https://dart.fss.or.kr/dsaf001/main.do?rcpNo=20230315000071" TargetMode="External"/><Relationship Id="rId45" Type="http://schemas.openxmlformats.org/officeDocument/2006/relationships/hyperlink" Target="https://dart.fss.or.kr/dsaf001/main.do?rcpNo=20230324000127" TargetMode="External"/><Relationship Id="rId66" Type="http://schemas.openxmlformats.org/officeDocument/2006/relationships/hyperlink" Target="https://dart.fss.or.kr/dsaf001/main.do?rcpNo=20230320000409" TargetMode="External"/><Relationship Id="rId87" Type="http://schemas.openxmlformats.org/officeDocument/2006/relationships/hyperlink" Target="https://www.noroopaint.com/kor/index.asp?conntype=1" TargetMode="External"/><Relationship Id="rId110" Type="http://schemas.openxmlformats.org/officeDocument/2006/relationships/hyperlink" Target="https://dart.fss.or.kr/dsaf001/main.do?rcpNo=20230315001100" TargetMode="External"/><Relationship Id="rId131" Type="http://schemas.openxmlformats.org/officeDocument/2006/relationships/hyperlink" Target="https://dart.fss.or.kr/dsaf001/main.do?rcpNo=20230831001561" TargetMode="External"/><Relationship Id="rId327" Type="http://schemas.openxmlformats.org/officeDocument/2006/relationships/hyperlink" Target="http://www.iljinelectric.co.kr/main.jsp" TargetMode="External"/><Relationship Id="rId152" Type="http://schemas.openxmlformats.org/officeDocument/2006/relationships/hyperlink" Target="https://dart.fss.or.kr/dsaf001/main.do?rcpNo=20230316001053" TargetMode="External"/><Relationship Id="rId173" Type="http://schemas.openxmlformats.org/officeDocument/2006/relationships/hyperlink" Target="https://dart.fss.or.kr/dsaf001/main.do?rcpNo=20230322000910" TargetMode="External"/><Relationship Id="rId194" Type="http://schemas.openxmlformats.org/officeDocument/2006/relationships/hyperlink" Target="https://dart.fss.or.kr/dsaf001/main.do?rcpNo=20230321001261" TargetMode="External"/><Relationship Id="rId208" Type="http://schemas.openxmlformats.org/officeDocument/2006/relationships/hyperlink" Target="https://dart.fss.or.kr/dsaf001/main.do?rcpNo=20230315000887" TargetMode="External"/><Relationship Id="rId229" Type="http://schemas.openxmlformats.org/officeDocument/2006/relationships/hyperlink" Target="https://dart.fss.or.kr/dsaf001/main.do?rcpNo=20230331002546" TargetMode="External"/><Relationship Id="rId240" Type="http://schemas.openxmlformats.org/officeDocument/2006/relationships/hyperlink" Target="https://dart.fss.or.kr/dsaf001/main.do?rcpNo=20230316001262" TargetMode="External"/><Relationship Id="rId261" Type="http://schemas.openxmlformats.org/officeDocument/2006/relationships/hyperlink" Target="https://dart.fss.or.kr/dsaf001/main.do?rcpNo=20230321001130" TargetMode="External"/><Relationship Id="rId14" Type="http://schemas.openxmlformats.org/officeDocument/2006/relationships/hyperlink" Target="https://dart.fss.or.kr/dsaf001/main.do?rcpNo=20230831001367" TargetMode="External"/><Relationship Id="rId35" Type="http://schemas.openxmlformats.org/officeDocument/2006/relationships/hyperlink" Target="https://dart.fss.or.kr/dsaf001/main.do?rcpNo=20230315000964" TargetMode="External"/><Relationship Id="rId56" Type="http://schemas.openxmlformats.org/officeDocument/2006/relationships/hyperlink" Target="https://dart.fss.or.kr/dsaf001/main.do?rcpNo=20230316000629" TargetMode="External"/><Relationship Id="rId77" Type="http://schemas.openxmlformats.org/officeDocument/2006/relationships/hyperlink" Target="https://dart.fss.or.kr/dsaf001/main.do?rcpNo=20230316001258" TargetMode="External"/><Relationship Id="rId100" Type="http://schemas.openxmlformats.org/officeDocument/2006/relationships/hyperlink" Target="https://dart.fss.or.kr/dsaf001/main.do?rcpNo=20230314001212" TargetMode="External"/><Relationship Id="rId282" Type="http://schemas.openxmlformats.org/officeDocument/2006/relationships/hyperlink" Target="https://dart.fss.or.kr/dsaf001/main.do?rcpNo=20230316001554" TargetMode="External"/><Relationship Id="rId317" Type="http://schemas.openxmlformats.org/officeDocument/2006/relationships/hyperlink" Target="https://dart.fss.or.kr/dsaf001/main.do?rcpNo=20230315001063" TargetMode="External"/><Relationship Id="rId8" Type="http://schemas.openxmlformats.org/officeDocument/2006/relationships/hyperlink" Target="https://dart.fss.or.kr/dsaf001/main.do?rcpNo=20230728000644" TargetMode="External"/><Relationship Id="rId51" Type="http://schemas.openxmlformats.org/officeDocument/2006/relationships/hyperlink" Target="https://dart.fss.or.kr/dsaf001/main.do?rcpNo=20230315001078" TargetMode="External"/><Relationship Id="rId72" Type="http://schemas.openxmlformats.org/officeDocument/2006/relationships/hyperlink" Target="https://dart.fss.or.kr/dsaf001/main.do?rcpNo=20230321000737" TargetMode="External"/><Relationship Id="rId93" Type="http://schemas.openxmlformats.org/officeDocument/2006/relationships/hyperlink" Target="https://dart.fss.or.kr/dsaf001/main.do?rcpNo=20230316001384" TargetMode="External"/><Relationship Id="rId98" Type="http://schemas.openxmlformats.org/officeDocument/2006/relationships/hyperlink" Target="https://dart.fss.or.kr/dsaf001/main.do?rcpNo=20230314001293" TargetMode="External"/><Relationship Id="rId121" Type="http://schemas.openxmlformats.org/officeDocument/2006/relationships/hyperlink" Target="https://dart.fss.or.kr/dsaf001/main.do?rcpNo=20230310000920" TargetMode="External"/><Relationship Id="rId142" Type="http://schemas.openxmlformats.org/officeDocument/2006/relationships/hyperlink" Target="https://dart.fss.or.kr/dsaf001/main.do?rcpNo=20230307000542" TargetMode="External"/><Relationship Id="rId163" Type="http://schemas.openxmlformats.org/officeDocument/2006/relationships/hyperlink" Target="https://dart.fss.or.kr/dsaf001/main.do?rcpNo=20230316000928" TargetMode="External"/><Relationship Id="rId184" Type="http://schemas.openxmlformats.org/officeDocument/2006/relationships/hyperlink" Target="https://dart.fss.or.kr/dsaf001/main.do?rcpNo=20230316000657" TargetMode="External"/><Relationship Id="rId189" Type="http://schemas.openxmlformats.org/officeDocument/2006/relationships/hyperlink" Target="https://dart.fss.or.kr/dsaf001/main.do?rcpNo=20230315001190" TargetMode="External"/><Relationship Id="rId219" Type="http://schemas.openxmlformats.org/officeDocument/2006/relationships/hyperlink" Target="https://dart.fss.or.kr/dsaf001/main.do?rcpNo=20230323001151" TargetMode="External"/><Relationship Id="rId3" Type="http://schemas.openxmlformats.org/officeDocument/2006/relationships/hyperlink" Target="https://dart.fss.or.kr/dsaf001/main.do?rcpNo=20230317000857" TargetMode="External"/><Relationship Id="rId214" Type="http://schemas.openxmlformats.org/officeDocument/2006/relationships/hyperlink" Target="https://dart.fss.or.kr/dsaf001/main.do?rcpNo=20230309000433" TargetMode="External"/><Relationship Id="rId230" Type="http://schemas.openxmlformats.org/officeDocument/2006/relationships/hyperlink" Target="https://dart.fss.or.kr/dsaf001/main.do?rcpNo=20230309000626" TargetMode="External"/><Relationship Id="rId235" Type="http://schemas.openxmlformats.org/officeDocument/2006/relationships/hyperlink" Target="https://dart.fss.or.kr/dsaf001/main.do?rcpNo=20230320000418" TargetMode="External"/><Relationship Id="rId251" Type="http://schemas.openxmlformats.org/officeDocument/2006/relationships/hyperlink" Target="https://dart.fss.or.kr/dsaf001/main.do?rcpNo=20230320001037" TargetMode="External"/><Relationship Id="rId256" Type="http://schemas.openxmlformats.org/officeDocument/2006/relationships/hyperlink" Target="https://dart.fss.or.kr/dsaf001/main.do?rcpNo=20230322000780" TargetMode="External"/><Relationship Id="rId277" Type="http://schemas.openxmlformats.org/officeDocument/2006/relationships/hyperlink" Target="https://dart.fss.or.kr/dsaf001/main.do?rcpNo=20230316000941" TargetMode="External"/><Relationship Id="rId298" Type="http://schemas.openxmlformats.org/officeDocument/2006/relationships/hyperlink" Target="https://dart.fss.or.kr/dsaf001/main.do?rcpNo=20230314001218" TargetMode="External"/><Relationship Id="rId25" Type="http://schemas.openxmlformats.org/officeDocument/2006/relationships/hyperlink" Target="https://dart.fss.or.kr/dsaf001/main.do?rcpNo=20230316000950" TargetMode="External"/><Relationship Id="rId46" Type="http://schemas.openxmlformats.org/officeDocument/2006/relationships/hyperlink" Target="https://dart.fss.or.kr/dsaf001/main.do?rcpNo=20230320000964" TargetMode="External"/><Relationship Id="rId67" Type="http://schemas.openxmlformats.org/officeDocument/2006/relationships/hyperlink" Target="https://dart.fss.or.kr/dsaf001/main.do?rcpNo=20230316001213" TargetMode="External"/><Relationship Id="rId116" Type="http://schemas.openxmlformats.org/officeDocument/2006/relationships/hyperlink" Target="https://dart.fss.or.kr/dsaf001/main.do?rcpNo=20230424000485" TargetMode="External"/><Relationship Id="rId137" Type="http://schemas.openxmlformats.org/officeDocument/2006/relationships/hyperlink" Target="https://dart.fss.or.kr/dsaf001/main.do?rcpNo=20230313000726" TargetMode="External"/><Relationship Id="rId158" Type="http://schemas.openxmlformats.org/officeDocument/2006/relationships/hyperlink" Target="https://dart.fss.or.kr/dsaf001/main.do?rcpNo=20230316001232" TargetMode="External"/><Relationship Id="rId272" Type="http://schemas.openxmlformats.org/officeDocument/2006/relationships/hyperlink" Target="https://dart.fss.or.kr/dsaf001/main.do?rcpNo=20230323000756" TargetMode="External"/><Relationship Id="rId293" Type="http://schemas.openxmlformats.org/officeDocument/2006/relationships/hyperlink" Target="https://dart.fss.or.kr/dsaf001/main.do?rcpNo=20230317000982" TargetMode="External"/><Relationship Id="rId302" Type="http://schemas.openxmlformats.org/officeDocument/2006/relationships/hyperlink" Target="https://dart.fss.or.kr/dsaf001/main.do?rcpNo=20230310001083" TargetMode="External"/><Relationship Id="rId307" Type="http://schemas.openxmlformats.org/officeDocument/2006/relationships/hyperlink" Target="https://dart.fss.or.kr/dsaf001/main.do?rcpNo=20230315001030" TargetMode="External"/><Relationship Id="rId323" Type="http://schemas.openxmlformats.org/officeDocument/2006/relationships/hyperlink" Target="https://dart.fss.or.kr/dsaf001/main.do?rcpNo=20230309000761" TargetMode="External"/><Relationship Id="rId328" Type="http://schemas.openxmlformats.org/officeDocument/2006/relationships/hyperlink" Target="https://m.kakaobank.com/" TargetMode="External"/><Relationship Id="rId20" Type="http://schemas.openxmlformats.org/officeDocument/2006/relationships/hyperlink" Target="https://dart.fss.or.kr/dsaf001/main.do?rcpNo=20230317000301" TargetMode="External"/><Relationship Id="rId41" Type="http://schemas.openxmlformats.org/officeDocument/2006/relationships/hyperlink" Target="https://dart.fss.or.kr/dsaf001/main.do?rcpNo=20230315000990" TargetMode="External"/><Relationship Id="rId62" Type="http://schemas.openxmlformats.org/officeDocument/2006/relationships/hyperlink" Target="https://dart.fss.or.kr/dsaf001/main.do?rcpNo=20230314000692" TargetMode="External"/><Relationship Id="rId83" Type="http://schemas.openxmlformats.org/officeDocument/2006/relationships/hyperlink" Target="https://dart.fss.or.kr/dsaf001/main.do?rcpNo=20230321000740" TargetMode="External"/><Relationship Id="rId88" Type="http://schemas.openxmlformats.org/officeDocument/2006/relationships/hyperlink" Target="https://www.dlenc.co.kr/main.do" TargetMode="External"/><Relationship Id="rId111" Type="http://schemas.openxmlformats.org/officeDocument/2006/relationships/hyperlink" Target="https://dart.fss.or.kr/dsaf001/main.do?rcpNo=20230321001259" TargetMode="External"/><Relationship Id="rId132" Type="http://schemas.openxmlformats.org/officeDocument/2006/relationships/hyperlink" Target="https://dart.fss.or.kr/dsaf001/main.do?rcpNo=20230316000878" TargetMode="External"/><Relationship Id="rId153" Type="http://schemas.openxmlformats.org/officeDocument/2006/relationships/hyperlink" Target="https://dart.fss.or.kr/dsaf001/main.do?rcpNo=20230314000085" TargetMode="External"/><Relationship Id="rId174" Type="http://schemas.openxmlformats.org/officeDocument/2006/relationships/hyperlink" Target="https://dart.fss.or.kr/dsaf001/main.do?rcpNo=20230315001315" TargetMode="External"/><Relationship Id="rId179" Type="http://schemas.openxmlformats.org/officeDocument/2006/relationships/hyperlink" Target="https://dart.fss.or.kr/dsaf001/main.do?rcpNo=20230615000542" TargetMode="External"/><Relationship Id="rId195" Type="http://schemas.openxmlformats.org/officeDocument/2006/relationships/hyperlink" Target="https://dart.fss.or.kr/dsaf001/main.do?rcpNo=20230323001360" TargetMode="External"/><Relationship Id="rId209" Type="http://schemas.openxmlformats.org/officeDocument/2006/relationships/hyperlink" Target="https://dart.fss.or.kr/dsaf001/main.do?rcpNo=20230315001431" TargetMode="External"/><Relationship Id="rId190" Type="http://schemas.openxmlformats.org/officeDocument/2006/relationships/hyperlink" Target="https://dart.fss.or.kr/dsaf001/main.do?rcpNo=20230320001088" TargetMode="External"/><Relationship Id="rId204" Type="http://schemas.openxmlformats.org/officeDocument/2006/relationships/hyperlink" Target="https://dart.fss.or.kr/dsaf001/main.do?rcpNo=20230308000675" TargetMode="External"/><Relationship Id="rId220" Type="http://schemas.openxmlformats.org/officeDocument/2006/relationships/hyperlink" Target="https://dart.fss.or.kr/dsaf001/main.do?rcpNo=20230316000222" TargetMode="External"/><Relationship Id="rId225" Type="http://schemas.openxmlformats.org/officeDocument/2006/relationships/hyperlink" Target="https://dart.fss.or.kr/dsaf001/main.do?rcpNo=20230321000389" TargetMode="External"/><Relationship Id="rId241" Type="http://schemas.openxmlformats.org/officeDocument/2006/relationships/hyperlink" Target="https://dart.fss.or.kr/dsaf001/main.do?rcpNo=20230407002574" TargetMode="External"/><Relationship Id="rId246" Type="http://schemas.openxmlformats.org/officeDocument/2006/relationships/hyperlink" Target="https://dart.fss.or.kr/dsaf001/main.do?rcpNo=20230323001465" TargetMode="External"/><Relationship Id="rId267" Type="http://schemas.openxmlformats.org/officeDocument/2006/relationships/hyperlink" Target="https://dart.fss.or.kr/dsaf001/main.do?rcpNo=20230316001467" TargetMode="External"/><Relationship Id="rId288" Type="http://schemas.openxmlformats.org/officeDocument/2006/relationships/hyperlink" Target="https://dart.fss.or.kr/dsaf001/main.do?rcpNo=20230314001231" TargetMode="External"/><Relationship Id="rId15" Type="http://schemas.openxmlformats.org/officeDocument/2006/relationships/hyperlink" Target="https://dart.fss.or.kr/dsaf001/main.do?rcpNo=20230316001014" TargetMode="External"/><Relationship Id="rId36" Type="http://schemas.openxmlformats.org/officeDocument/2006/relationships/hyperlink" Target="https://dart.fss.or.kr/dsaf001/main.do?rcpNo=20230316000724" TargetMode="External"/><Relationship Id="rId57" Type="http://schemas.openxmlformats.org/officeDocument/2006/relationships/hyperlink" Target="https://dart.fss.or.kr/dsaf001/main.do?rcpNo=20230309000731" TargetMode="External"/><Relationship Id="rId106" Type="http://schemas.openxmlformats.org/officeDocument/2006/relationships/hyperlink" Target="https://dart.fss.or.kr/dsaf001/main.do?rcpNo=20230320000820" TargetMode="External"/><Relationship Id="rId127" Type="http://schemas.openxmlformats.org/officeDocument/2006/relationships/hyperlink" Target="https://dart.fss.or.kr/dsaf001/main.do?rcpNo=20230315001384" TargetMode="External"/><Relationship Id="rId262" Type="http://schemas.openxmlformats.org/officeDocument/2006/relationships/hyperlink" Target="https://dart.fss.or.kr/dsaf001/main.do?rcpNo=20230321001315" TargetMode="External"/><Relationship Id="rId283" Type="http://schemas.openxmlformats.org/officeDocument/2006/relationships/hyperlink" Target="https://dart.fss.or.kr/dsaf001/main.do?rcpNo=20230321001525" TargetMode="External"/><Relationship Id="rId313" Type="http://schemas.openxmlformats.org/officeDocument/2006/relationships/hyperlink" Target="https://dart.fss.or.kr/dsaf001/main.do?rcpNo=20230321000920" TargetMode="External"/><Relationship Id="rId318" Type="http://schemas.openxmlformats.org/officeDocument/2006/relationships/hyperlink" Target="https://dart.fss.or.kr/dsaf001/main.do?rcpNo=20230308000691" TargetMode="External"/><Relationship Id="rId10" Type="http://schemas.openxmlformats.org/officeDocument/2006/relationships/hyperlink" Target="https://dart.fss.or.kr/dsaf001/main.do?rcpNo=20230315001420" TargetMode="External"/><Relationship Id="rId31" Type="http://schemas.openxmlformats.org/officeDocument/2006/relationships/hyperlink" Target="https://dart.fss.or.kr/dsaf001/main.do?rcpNo=20230302000615" TargetMode="External"/><Relationship Id="rId52" Type="http://schemas.openxmlformats.org/officeDocument/2006/relationships/hyperlink" Target="https://dart.fss.or.kr/dsaf001/main.do?rcpNo=20230322000815" TargetMode="External"/><Relationship Id="rId73" Type="http://schemas.openxmlformats.org/officeDocument/2006/relationships/hyperlink" Target="https://dart.fss.or.kr/dsaf001/main.do?rcpNo=20230316000929" TargetMode="External"/><Relationship Id="rId78" Type="http://schemas.openxmlformats.org/officeDocument/2006/relationships/hyperlink" Target="https://dart.fss.or.kr/dsaf001/main.do?rcpNo=20230316000896" TargetMode="External"/><Relationship Id="rId94" Type="http://schemas.openxmlformats.org/officeDocument/2006/relationships/hyperlink" Target="https://dart.fss.or.kr/dsaf001/mai0n.do?rcpNo=20230315001173" TargetMode="External"/><Relationship Id="rId99" Type="http://schemas.openxmlformats.org/officeDocument/2006/relationships/hyperlink" Target="https://dart.fss.or.kr/dsaf001/main.do?rcpNo=20230316000733" TargetMode="External"/><Relationship Id="rId101" Type="http://schemas.openxmlformats.org/officeDocument/2006/relationships/hyperlink" Target="https://dart.fss.or.kr/dsaf001/main.do?rcpNo=20230316000463" TargetMode="External"/><Relationship Id="rId122" Type="http://schemas.openxmlformats.org/officeDocument/2006/relationships/hyperlink" Target="https://dart.fss.or.kr/dsaf001/main.do?rcpNo=20230316000602" TargetMode="External"/><Relationship Id="rId143" Type="http://schemas.openxmlformats.org/officeDocument/2006/relationships/hyperlink" Target="https://dart.fss.or.kr/dsaf001/main.do?rcpNo=20230309000572" TargetMode="External"/><Relationship Id="rId148" Type="http://schemas.openxmlformats.org/officeDocument/2006/relationships/hyperlink" Target="https://dart.fss.or.kr/dsaf001/main.do?rcpNo=20230321001381" TargetMode="External"/><Relationship Id="rId164" Type="http://schemas.openxmlformats.org/officeDocument/2006/relationships/hyperlink" Target="https://dart.fss.or.kr/dsaf001/main.do?rcpNo=20230308000717" TargetMode="External"/><Relationship Id="rId169" Type="http://schemas.openxmlformats.org/officeDocument/2006/relationships/hyperlink" Target="https://dart.fss.or.kr/dsaf001/main.do?rcpNo=20230320000842" TargetMode="External"/><Relationship Id="rId185" Type="http://schemas.openxmlformats.org/officeDocument/2006/relationships/hyperlink" Target="https://dart.fss.or.kr/dsaf001/main.do?rcpNo=20230315001378" TargetMode="External"/><Relationship Id="rId4" Type="http://schemas.openxmlformats.org/officeDocument/2006/relationships/hyperlink" Target="https://dart.fss.or.kr/dsaf001/main.do?rcpNo=20230320000740" TargetMode="External"/><Relationship Id="rId9" Type="http://schemas.openxmlformats.org/officeDocument/2006/relationships/hyperlink" Target="https://dart.fss.or.kr/dsaf001/main.do?rcpNo=20230315000019" TargetMode="External"/><Relationship Id="rId180" Type="http://schemas.openxmlformats.org/officeDocument/2006/relationships/hyperlink" Target="https://dart.fss.or.kr/dsaf001/main.do?rcpNo=20230323000459" TargetMode="External"/><Relationship Id="rId210" Type="http://schemas.openxmlformats.org/officeDocument/2006/relationships/hyperlink" Target="https://dart.fss.or.kr/dsaf001/main.do?rcpNo=20230315000658" TargetMode="External"/><Relationship Id="rId215" Type="http://schemas.openxmlformats.org/officeDocument/2006/relationships/hyperlink" Target="https://dart.fss.or.kr/dsaf001/main.do?rcpNo=20230323001183" TargetMode="External"/><Relationship Id="rId236" Type="http://schemas.openxmlformats.org/officeDocument/2006/relationships/hyperlink" Target="https://dart.fss.or.kr/dsaf001/main.do?rcpNo=20230321001298" TargetMode="External"/><Relationship Id="rId257" Type="http://schemas.openxmlformats.org/officeDocument/2006/relationships/hyperlink" Target="https://dart.fss.or.kr/dsaf001/main.do?rcpNo=20230310000763" TargetMode="External"/><Relationship Id="rId278" Type="http://schemas.openxmlformats.org/officeDocument/2006/relationships/hyperlink" Target="https://dart.fss.or.kr/dsaf001/main.do?rcpNo=20230321001102" TargetMode="External"/><Relationship Id="rId26" Type="http://schemas.openxmlformats.org/officeDocument/2006/relationships/hyperlink" Target="https://dart.fss.or.kr/dsaf001/main.do?rcpNo=20230316000684" TargetMode="External"/><Relationship Id="rId231" Type="http://schemas.openxmlformats.org/officeDocument/2006/relationships/hyperlink" Target="https://dart.fss.or.kr/dsaf001/main.do?rcpNo=20230316000376" TargetMode="External"/><Relationship Id="rId252" Type="http://schemas.openxmlformats.org/officeDocument/2006/relationships/hyperlink" Target="https://dart.fss.or.kr/dsaf001/main.do?rcpNo=20230316001157" TargetMode="External"/><Relationship Id="rId273" Type="http://schemas.openxmlformats.org/officeDocument/2006/relationships/hyperlink" Target="https://dart.fss.or.kr/dsaf001/main.do?rcpNo=20230323000478" TargetMode="External"/><Relationship Id="rId294" Type="http://schemas.openxmlformats.org/officeDocument/2006/relationships/hyperlink" Target="https://dart.fss.or.kr/dsaf001/main.do?rcpNo=20230323001346" TargetMode="External"/><Relationship Id="rId308" Type="http://schemas.openxmlformats.org/officeDocument/2006/relationships/hyperlink" Target="https://dart.fss.or.kr/dsaf001/main.do?rcpNo=20230315000803" TargetMode="External"/><Relationship Id="rId329" Type="http://schemas.openxmlformats.org/officeDocument/2006/relationships/hyperlink" Target="https://www.hanmi.co.kr/" TargetMode="External"/><Relationship Id="rId47" Type="http://schemas.openxmlformats.org/officeDocument/2006/relationships/hyperlink" Target="https://dart.fss.or.kr/dsaf001/main.do?rcpNo=20230320000235" TargetMode="External"/><Relationship Id="rId68" Type="http://schemas.openxmlformats.org/officeDocument/2006/relationships/hyperlink" Target="https://dart.fss.or.kr/dsaf001/main.do?rcpNo=20230608000512" TargetMode="External"/><Relationship Id="rId89" Type="http://schemas.openxmlformats.org/officeDocument/2006/relationships/hyperlink" Target="https://dart.fss.or.kr/dsaf001/main.do?rcpNo=20230322001136" TargetMode="External"/><Relationship Id="rId112" Type="http://schemas.openxmlformats.org/officeDocument/2006/relationships/hyperlink" Target="https://dart.fss.or.kr/dsaf001/main.do?rcpNo=20230713000062" TargetMode="External"/><Relationship Id="rId133" Type="http://schemas.openxmlformats.org/officeDocument/2006/relationships/hyperlink" Target="https://dart.fss.or.kr/dsaf001/main.do?rcpNo=20230328000107" TargetMode="External"/><Relationship Id="rId154" Type="http://schemas.openxmlformats.org/officeDocument/2006/relationships/hyperlink" Target="https://dart.fss.or.kr/dsaf001/main.do?rcpNo=20230316001338" TargetMode="External"/><Relationship Id="rId175" Type="http://schemas.openxmlformats.org/officeDocument/2006/relationships/hyperlink" Target="https://dart.fss.or.kr/dsaf001/main.do?rcpNo=20220920000318" TargetMode="External"/><Relationship Id="rId196" Type="http://schemas.openxmlformats.org/officeDocument/2006/relationships/hyperlink" Target="https://dart.fss.or.kr/dsaf001/main.do?rcpNo=20230314000700" TargetMode="External"/><Relationship Id="rId200" Type="http://schemas.openxmlformats.org/officeDocument/2006/relationships/hyperlink" Target="https://dart.fss.or.kr/dsaf001/main.do?rcpNo=20230315001259" TargetMode="External"/><Relationship Id="rId16" Type="http://schemas.openxmlformats.org/officeDocument/2006/relationships/hyperlink" Target="https://dart.fss.or.kr/dsaf001/main.do?rcpNo=20230315001215" TargetMode="External"/><Relationship Id="rId221" Type="http://schemas.openxmlformats.org/officeDocument/2006/relationships/hyperlink" Target="https://dart.fss.or.kr/dsaf001/main.do?rcpNo=20230315000560" TargetMode="External"/><Relationship Id="rId242" Type="http://schemas.openxmlformats.org/officeDocument/2006/relationships/hyperlink" Target="https://dart.fss.or.kr/dsaf001/main.do?rcpNo=20230323001449" TargetMode="External"/><Relationship Id="rId263" Type="http://schemas.openxmlformats.org/officeDocument/2006/relationships/hyperlink" Target="https://dart.fss.or.kr/dsaf001/main.do?rcpNo=20230316001331" TargetMode="External"/><Relationship Id="rId284" Type="http://schemas.openxmlformats.org/officeDocument/2006/relationships/hyperlink" Target="https://dart.fss.or.kr/dsaf001/main.do?rcpNo=20230315001312" TargetMode="External"/><Relationship Id="rId319" Type="http://schemas.openxmlformats.org/officeDocument/2006/relationships/hyperlink" Target="https://dart.fss.or.kr/dsaf001/main.do?rcpNo=20230308000741" TargetMode="External"/><Relationship Id="rId37" Type="http://schemas.openxmlformats.org/officeDocument/2006/relationships/hyperlink" Target="https://dart.fss.or.kr/dsaf001/main.do?rcpNo=20230315000084" TargetMode="External"/><Relationship Id="rId58" Type="http://schemas.openxmlformats.org/officeDocument/2006/relationships/hyperlink" Target="https://dart.fss.or.kr/dsaf001/main.do?rcpNo=20230316001326" TargetMode="External"/><Relationship Id="rId79" Type="http://schemas.openxmlformats.org/officeDocument/2006/relationships/hyperlink" Target="http://www.daesung.co.kr/" TargetMode="External"/><Relationship Id="rId102" Type="http://schemas.openxmlformats.org/officeDocument/2006/relationships/hyperlink" Target="https://dart.fss.or.kr/dsaf001/main.do?rcpNo=20230320001075" TargetMode="External"/><Relationship Id="rId123" Type="http://schemas.openxmlformats.org/officeDocument/2006/relationships/hyperlink" Target="https://dart.fss.or.kr/dsaf001/main.do?rcpNo=20230316000931" TargetMode="External"/><Relationship Id="rId144" Type="http://schemas.openxmlformats.org/officeDocument/2006/relationships/hyperlink" Target="https://dart.fss.or.kr/dsaf001/main.do?rcpNo=20230308000723" TargetMode="External"/><Relationship Id="rId330" Type="http://schemas.openxmlformats.org/officeDocument/2006/relationships/hyperlink" Target="https://dart.fss.or.kr/dsaf001/main.do?rcpNo=20230323001156" TargetMode="External"/><Relationship Id="rId90" Type="http://schemas.openxmlformats.org/officeDocument/2006/relationships/hyperlink" Target="https://dart.fss.or.kr/dsaf001/main.do?rcpNo=20230331003410" TargetMode="External"/><Relationship Id="rId165" Type="http://schemas.openxmlformats.org/officeDocument/2006/relationships/hyperlink" Target="https://dart.fss.or.kr/dsaf001/main.do?rcpNo=20230314001166" TargetMode="External"/><Relationship Id="rId186" Type="http://schemas.openxmlformats.org/officeDocument/2006/relationships/hyperlink" Target="https://dart.fss.or.kr/dsaf001/main.do?rcpNo=20230309000717" TargetMode="External"/><Relationship Id="rId211" Type="http://schemas.openxmlformats.org/officeDocument/2006/relationships/hyperlink" Target="https://dart.fss.or.kr/dsaf001/main.do?rcpNo=20230322001078" TargetMode="External"/><Relationship Id="rId232" Type="http://schemas.openxmlformats.org/officeDocument/2006/relationships/hyperlink" Target="https://dart.fss.or.kr/dsaf001/main.do?rcpNo=20230315001428" TargetMode="External"/><Relationship Id="rId253" Type="http://schemas.openxmlformats.org/officeDocument/2006/relationships/hyperlink" Target="https://dart.fss.or.kr/dsaf001/main.do?rcpNo=20230323001143" TargetMode="External"/><Relationship Id="rId274" Type="http://schemas.openxmlformats.org/officeDocument/2006/relationships/hyperlink" Target="https://dart.fss.or.kr/dsaf001/main.do?rcpNo=20230315000812" TargetMode="External"/><Relationship Id="rId295" Type="http://schemas.openxmlformats.org/officeDocument/2006/relationships/hyperlink" Target="https://dart.fss.or.kr/dsaf001/main.do?rcpNo=20230315001412" TargetMode="External"/><Relationship Id="rId309" Type="http://schemas.openxmlformats.org/officeDocument/2006/relationships/hyperlink" Target="https://dart.fss.or.kr/dsaf001/main.do?rcpNo=20230321001082" TargetMode="External"/><Relationship Id="rId27" Type="http://schemas.openxmlformats.org/officeDocument/2006/relationships/hyperlink" Target="https://dart.fss.or.kr/dsaf001/main.do?rcpNo=20230322000776" TargetMode="External"/><Relationship Id="rId48" Type="http://schemas.openxmlformats.org/officeDocument/2006/relationships/hyperlink" Target="https://dart.fss.or.kr/dsaf001/main.do?rcpNo=20230321001209" TargetMode="External"/><Relationship Id="rId69" Type="http://schemas.openxmlformats.org/officeDocument/2006/relationships/hyperlink" Target="https://dart.fss.or.kr/dsaf001/main.do?rcpNo=20230309000734" TargetMode="External"/><Relationship Id="rId113" Type="http://schemas.openxmlformats.org/officeDocument/2006/relationships/hyperlink" Target="https://dart.fss.or.kr/dsaf001/main.do?rcpNo=20230315000573" TargetMode="External"/><Relationship Id="rId134" Type="http://schemas.openxmlformats.org/officeDocument/2006/relationships/hyperlink" Target="https://dart.fss.or.kr/dsaf001/main.do?rcpNo=20230323000263" TargetMode="External"/><Relationship Id="rId320" Type="http://schemas.openxmlformats.org/officeDocument/2006/relationships/hyperlink" Target="https://dart.fss.or.kr/dsaf001/main.do?rcpNo=20230321000387" TargetMode="External"/><Relationship Id="rId80" Type="http://schemas.openxmlformats.org/officeDocument/2006/relationships/hyperlink" Target="https://dart.fss.or.kr/dsaf001/main.do?rcpNo=20230321000870" TargetMode="External"/><Relationship Id="rId155" Type="http://schemas.openxmlformats.org/officeDocument/2006/relationships/hyperlink" Target="https://dart.fss.or.kr/dsaf001/main.do?rcpNo=20230410003453" TargetMode="External"/><Relationship Id="rId176" Type="http://schemas.openxmlformats.org/officeDocument/2006/relationships/hyperlink" Target="https://dart.fss.or.kr/dsaf001/main.do?rcpNo=20230315001319" TargetMode="External"/><Relationship Id="rId197" Type="http://schemas.openxmlformats.org/officeDocument/2006/relationships/hyperlink" Target="https://dart.fss.or.kr/dsaf001/main.do?rcpNo=20230315000345" TargetMode="External"/><Relationship Id="rId201" Type="http://schemas.openxmlformats.org/officeDocument/2006/relationships/hyperlink" Target="https://dart.fss.or.kr/dsaf001/main.do?rcpNo=20230322000913" TargetMode="External"/><Relationship Id="rId222" Type="http://schemas.openxmlformats.org/officeDocument/2006/relationships/hyperlink" Target="https://dart.fss.or.kr/dsaf001/main.do?rcpNo=20230315001068" TargetMode="External"/><Relationship Id="rId243" Type="http://schemas.openxmlformats.org/officeDocument/2006/relationships/hyperlink" Target="https://dart.fss.or.kr/dsaf001/main.do?rcpNo=20230323001208" TargetMode="External"/><Relationship Id="rId264" Type="http://schemas.openxmlformats.org/officeDocument/2006/relationships/hyperlink" Target="https://dart.fss.or.kr/dsaf001/main.do?rcpNo=20230313000443" TargetMode="External"/><Relationship Id="rId285" Type="http://schemas.openxmlformats.org/officeDocument/2006/relationships/hyperlink" Target="https://dart.fss.or.kr/dsaf001/main.do?rcpNo=20230320000937" TargetMode="External"/><Relationship Id="rId17" Type="http://schemas.openxmlformats.org/officeDocument/2006/relationships/hyperlink" Target="https://dart.fss.or.kr/dsaf001/main.do?rcpNo=20230316001339" TargetMode="External"/><Relationship Id="rId38" Type="http://schemas.openxmlformats.org/officeDocument/2006/relationships/hyperlink" Target="https://dart.fss.or.kr/dsaf001/mai0n.do?rcpNo=20230309000859" TargetMode="External"/><Relationship Id="rId59" Type="http://schemas.openxmlformats.org/officeDocument/2006/relationships/hyperlink" Target="https://dart.fss.or.kr/dsaf001/main.do?rcpNo=20230321001353" TargetMode="External"/><Relationship Id="rId103" Type="http://schemas.openxmlformats.org/officeDocument/2006/relationships/hyperlink" Target="https://dart.fss.or.kr/dsaf001/main.do?rcpNo=20230316000692" TargetMode="External"/><Relationship Id="rId124" Type="http://schemas.openxmlformats.org/officeDocument/2006/relationships/hyperlink" Target="https://dart.fss.or.kr/dsaf001/main.do?rcpNo=20230317001035" TargetMode="External"/><Relationship Id="rId310" Type="http://schemas.openxmlformats.org/officeDocument/2006/relationships/hyperlink" Target="https://dart.fss.or.kr/dsaf001/main.do?rcpNo=20230309000797" TargetMode="External"/><Relationship Id="rId70" Type="http://schemas.openxmlformats.org/officeDocument/2006/relationships/hyperlink" Target="https://dart.fss.or.kr/dsaf001/main.do?rcpNo=20230712000089" TargetMode="External"/><Relationship Id="rId91" Type="http://schemas.openxmlformats.org/officeDocument/2006/relationships/hyperlink" Target="https://dart.fss.or.kr/dsaf001/main.do?rcpNo=20230316001412" TargetMode="External"/><Relationship Id="rId145" Type="http://schemas.openxmlformats.org/officeDocument/2006/relationships/hyperlink" Target="https://dart.fss.or.kr/dsaf001/main.do?rcpNo=20230309000772" TargetMode="External"/><Relationship Id="rId166" Type="http://schemas.openxmlformats.org/officeDocument/2006/relationships/hyperlink" Target="https://dart.fss.or.kr/dsaf001/main.do?rcpNo=20230724000235" TargetMode="External"/><Relationship Id="rId187" Type="http://schemas.openxmlformats.org/officeDocument/2006/relationships/hyperlink" Target="https://dart.fss.or.kr/dsaf001/main.do?rcpNo=20230322000722" TargetMode="External"/><Relationship Id="rId331" Type="http://schemas.openxmlformats.org/officeDocument/2006/relationships/hyperlink" Target="https://dart.fss.or.kr/dsaf001/mai0n.do?rcpNo=20230322000313"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1000409" TargetMode="External"/><Relationship Id="rId233" Type="http://schemas.openxmlformats.org/officeDocument/2006/relationships/hyperlink" Target="https://dart.fss.or.kr/dsaf001/main.do?rcpNo=20230308000725" TargetMode="External"/><Relationship Id="rId254" Type="http://schemas.openxmlformats.org/officeDocument/2006/relationships/hyperlink" Target="https://dart.fss.or.kr/dsaf001/main.do?rcpNo=20230314000862" TargetMode="External"/><Relationship Id="rId28" Type="http://schemas.openxmlformats.org/officeDocument/2006/relationships/hyperlink" Target="https://dart.fss.or.kr/dsaf001/main.do?rcpNo=20230323000613" TargetMode="External"/><Relationship Id="rId49" Type="http://schemas.openxmlformats.org/officeDocument/2006/relationships/hyperlink" Target="https://dart.fss.or.kr/dsaf001/main.do?rcpNo=20230220001625" TargetMode="External"/><Relationship Id="rId114" Type="http://schemas.openxmlformats.org/officeDocument/2006/relationships/hyperlink" Target="https://dart.fss.or.kr/dsaf001/main.do?rcpNo=20230316001051" TargetMode="External"/><Relationship Id="rId275" Type="http://schemas.openxmlformats.org/officeDocument/2006/relationships/hyperlink" Target="https://dart.fss.or.kr/dsaf001/main.do?rcpNo=20230323000970" TargetMode="External"/><Relationship Id="rId296" Type="http://schemas.openxmlformats.org/officeDocument/2006/relationships/hyperlink" Target="https://dart.fss.or.kr/dsaf001/main.do?rcpNo=20230315000557" TargetMode="External"/><Relationship Id="rId300" Type="http://schemas.openxmlformats.org/officeDocument/2006/relationships/hyperlink" Target="https://dart.fss.or.kr/dsaf001/main.do?rcpNo=20230315001104" TargetMode="External"/><Relationship Id="rId60" Type="http://schemas.openxmlformats.org/officeDocument/2006/relationships/hyperlink" Target="https://dart.fss.or.kr/dsaf001/main.do?rcpNo=20230321000645" TargetMode="External"/><Relationship Id="rId81" Type="http://schemas.openxmlformats.org/officeDocument/2006/relationships/hyperlink" Target="https://dart.fss.or.kr/dsaf001/main.do?rcpNo=20230320000675" TargetMode="External"/><Relationship Id="rId135" Type="http://schemas.openxmlformats.org/officeDocument/2006/relationships/hyperlink" Target="https://dart.fss.or.kr/dsaf001/main.do?rcpNo=20230315001385" TargetMode="External"/><Relationship Id="rId156" Type="http://schemas.openxmlformats.org/officeDocument/2006/relationships/hyperlink" Target="https://dart.fss.or.kr/dsaf001/main.do?rcpNo=20230320000375" TargetMode="External"/><Relationship Id="rId177" Type="http://schemas.openxmlformats.org/officeDocument/2006/relationships/hyperlink" Target="https://dart.fss.or.kr/dsaf001/main.do?rcpNo=20230314001079" TargetMode="External"/><Relationship Id="rId198" Type="http://schemas.openxmlformats.org/officeDocument/2006/relationships/hyperlink" Target="https://dart.fss.or.kr/dsaf001/main.do?rcpNo=20230321001365" TargetMode="External"/><Relationship Id="rId321" Type="http://schemas.openxmlformats.org/officeDocument/2006/relationships/hyperlink" Target="https://dart.fss.or.kr/dsaf001/main.do?rcpNo=20230313000533" TargetMode="External"/><Relationship Id="rId202" Type="http://schemas.openxmlformats.org/officeDocument/2006/relationships/hyperlink" Target="https://dart.fss.or.kr/dsaf001/main.do?rcpNo=20230316001571" TargetMode="External"/><Relationship Id="rId223" Type="http://schemas.openxmlformats.org/officeDocument/2006/relationships/hyperlink" Target="https://dart.fss.or.kr/dsaf001/main.do?rcpNo=20230714000214" TargetMode="External"/><Relationship Id="rId244" Type="http://schemas.openxmlformats.org/officeDocument/2006/relationships/hyperlink" Target="https://dart.fss.or.kr/dsaf001/main.do?rcpNo=20230320001005" TargetMode="External"/><Relationship Id="rId18" Type="http://schemas.openxmlformats.org/officeDocument/2006/relationships/hyperlink" Target="https://dart.fss.or.kr/dsaf001/main.do?rcpNo=20230315001033" TargetMode="External"/><Relationship Id="rId39" Type="http://schemas.openxmlformats.org/officeDocument/2006/relationships/hyperlink" Target="https://dart.fss.or.kr/dsaf001/main.do?rcpNo=20230321000569" TargetMode="External"/><Relationship Id="rId265" Type="http://schemas.openxmlformats.org/officeDocument/2006/relationships/hyperlink" Target="https://dart.fss.or.kr/dsaf001/main.do?rcpNo=20230317000751" TargetMode="External"/><Relationship Id="rId286" Type="http://schemas.openxmlformats.org/officeDocument/2006/relationships/hyperlink" Target="https://dart.fss.or.kr/dsaf001/main.do?rcpNo=20230314000521" TargetMode="External"/><Relationship Id="rId50" Type="http://schemas.openxmlformats.org/officeDocument/2006/relationships/hyperlink" Target="https://dart.fss.or.kr/dsaf001/main.do?rcpNo=20230220001611" TargetMode="External"/><Relationship Id="rId104" Type="http://schemas.openxmlformats.org/officeDocument/2006/relationships/hyperlink" Target="https://dart.fss.or.kr/dsaf001/main.do?rcpNo=20230322001102" TargetMode="External"/><Relationship Id="rId125" Type="http://schemas.openxmlformats.org/officeDocument/2006/relationships/hyperlink" Target="https://dart.fss.or.kr/dsaf001/main.do?rcpNo=20230315001134" TargetMode="External"/><Relationship Id="rId146" Type="http://schemas.openxmlformats.org/officeDocument/2006/relationships/hyperlink" Target="https://dart.fss.or.kr/dsaf001/mai0n.do?rcpNo=20230315001212" TargetMode="External"/><Relationship Id="rId167" Type="http://schemas.openxmlformats.org/officeDocument/2006/relationships/hyperlink" Target="https://dart.fss.or.kr/dsaf001/main.do?rcpNo=20230228006867" TargetMode="External"/><Relationship Id="rId188" Type="http://schemas.openxmlformats.org/officeDocument/2006/relationships/hyperlink" Target="https://dart.fss.or.kr/dsaf001/main.do?rcpNo=20230323001296" TargetMode="External"/><Relationship Id="rId311" Type="http://schemas.openxmlformats.org/officeDocument/2006/relationships/hyperlink" Target="https://dart.fss.or.kr/dsaf001/main.do?rcpNo=20230315001376" TargetMode="External"/><Relationship Id="rId332" Type="http://schemas.openxmlformats.org/officeDocument/2006/relationships/hyperlink" Target="https://dart.fss.or.kr/dsaf001/main.do?rcpNo=20230331000007" TargetMode="External"/><Relationship Id="rId71" Type="http://schemas.openxmlformats.org/officeDocument/2006/relationships/hyperlink" Target="https://dart.fss.or.kr/dsaf001/main.do?rcpNo=20230316001430" TargetMode="External"/><Relationship Id="rId92" Type="http://schemas.openxmlformats.org/officeDocument/2006/relationships/hyperlink" Target="https://dart.fss.or.kr/dsaf001/main.do?rcpNo=20230323001351" TargetMode="External"/><Relationship Id="rId213" Type="http://schemas.openxmlformats.org/officeDocument/2006/relationships/hyperlink" Target="https://dart.fss.or.kr/dsaf001/main.do?rcpNo=20230323001335" TargetMode="External"/><Relationship Id="rId234" Type="http://schemas.openxmlformats.org/officeDocument/2006/relationships/hyperlink" Target="https://dart.fss.or.kr/dsaf001/main.do?rcpNo=20230306000422" TargetMode="External"/><Relationship Id="rId2" Type="http://schemas.openxmlformats.org/officeDocument/2006/relationships/hyperlink" Target="https://dart.fss.or.kr/dsaf001/main.do?rcpNo=20230316001312" TargetMode="External"/><Relationship Id="rId29" Type="http://schemas.openxmlformats.org/officeDocument/2006/relationships/hyperlink" Target="https://dart.fss.or.kr/dsaf001/main.do?rcpNo=20230320000688" TargetMode="External"/><Relationship Id="rId255" Type="http://schemas.openxmlformats.org/officeDocument/2006/relationships/hyperlink" Target="https://dart.fss.or.kr/dsaf001/main.do?rcpNo=20230317000233" TargetMode="External"/><Relationship Id="rId276" Type="http://schemas.openxmlformats.org/officeDocument/2006/relationships/hyperlink" Target="https://dart.fss.or.kr/dsaf001/main.do?rcpNo=20230316001234" TargetMode="External"/><Relationship Id="rId297" Type="http://schemas.openxmlformats.org/officeDocument/2006/relationships/hyperlink" Target="https://dart.fss.or.kr/dsaf001/main.do?rcpNo=20230315001327" TargetMode="External"/><Relationship Id="rId40" Type="http://schemas.openxmlformats.org/officeDocument/2006/relationships/hyperlink" Target="https://dart.fss.or.kr/dsaf001/main.do?rcpNo=20230320000844" TargetMode="External"/><Relationship Id="rId115" Type="http://schemas.openxmlformats.org/officeDocument/2006/relationships/hyperlink" Target="https://dart.fss.or.kr/dsaf001/main.do?rcpNo=20230315001395" TargetMode="External"/><Relationship Id="rId136" Type="http://schemas.openxmlformats.org/officeDocument/2006/relationships/hyperlink" Target="https://dart.fss.or.kr/dsaf001/main.do?rcpNo=20230315001257" TargetMode="External"/><Relationship Id="rId157" Type="http://schemas.openxmlformats.org/officeDocument/2006/relationships/hyperlink" Target="https://dart.fss.or.kr/dsaf001/main.do?rcpNo=20230316001182" TargetMode="External"/><Relationship Id="rId178" Type="http://schemas.openxmlformats.org/officeDocument/2006/relationships/hyperlink" Target="https://dart.fss.or.kr/dsaf001/main.do?rcpNo=20230316001089" TargetMode="External"/><Relationship Id="rId301" Type="http://schemas.openxmlformats.org/officeDocument/2006/relationships/hyperlink" Target="https://dart.fss.or.kr/dsaf001/main.do?rcpNo=20230321001449" TargetMode="External"/><Relationship Id="rId322" Type="http://schemas.openxmlformats.org/officeDocument/2006/relationships/hyperlink" Target="https://dart.fss.or.kr/dsaf001/main.do?rcpNo=20230316001454" TargetMode="External"/><Relationship Id="rId61" Type="http://schemas.openxmlformats.org/officeDocument/2006/relationships/hyperlink" Target="https://dart.fss.or.kr/dsaf001/main.do?rcpNo=20230314000982" TargetMode="External"/><Relationship Id="rId82" Type="http://schemas.openxmlformats.org/officeDocument/2006/relationships/hyperlink" Target="https://dart.fss.or.kr/dsaf001/main.do?rcpNo=20230321000752" TargetMode="External"/><Relationship Id="rId199" Type="http://schemas.openxmlformats.org/officeDocument/2006/relationships/hyperlink" Target="https://dart.fss.or.kr/dsaf001/main.do?rcpNo=20230712000496" TargetMode="External"/><Relationship Id="rId203" Type="http://schemas.openxmlformats.org/officeDocument/2006/relationships/hyperlink" Target="https://dart.fss.or.kr/dsaf001/main.do?rcpNo=20230317000918" TargetMode="External"/><Relationship Id="rId19" Type="http://schemas.openxmlformats.org/officeDocument/2006/relationships/hyperlink" Target="https://dart.fss.or.kr/dsaf001/main.do?rcpNo=20230713000082" TargetMode="External"/><Relationship Id="rId224" Type="http://schemas.openxmlformats.org/officeDocument/2006/relationships/hyperlink" Target="https://dart.fss.or.kr/dsaf001/main.do?rcpNo=20230308000451" TargetMode="External"/><Relationship Id="rId245" Type="http://schemas.openxmlformats.org/officeDocument/2006/relationships/hyperlink" Target="https://dart.fss.or.kr/dsaf001/main.do?rcpNo=20230317001037" TargetMode="External"/><Relationship Id="rId266" Type="http://schemas.openxmlformats.org/officeDocument/2006/relationships/hyperlink" Target="https://dart.fss.or.kr/dsaf001/main.do?rcpNo=20230322001245" TargetMode="External"/><Relationship Id="rId287" Type="http://schemas.openxmlformats.org/officeDocument/2006/relationships/hyperlink" Target="https://dart.fss.or.kr/dsaf001/main.do?rcpNo=20230313000732" TargetMode="External"/><Relationship Id="rId30" Type="http://schemas.openxmlformats.org/officeDocument/2006/relationships/hyperlink" Target="https://dart.fss.or.kr/dsaf001/main.do?rcpNo=20230320000833" TargetMode="External"/><Relationship Id="rId105" Type="http://schemas.openxmlformats.org/officeDocument/2006/relationships/hyperlink" Target="https://dart.fss.or.kr/dsaf001/main.do?rcpNo=20230317000669" TargetMode="External"/><Relationship Id="rId126" Type="http://schemas.openxmlformats.org/officeDocument/2006/relationships/hyperlink" Target="https://dart.fss.or.kr/dsaf001/main.do?rcpNo=20230320000972" TargetMode="External"/><Relationship Id="rId147" Type="http://schemas.openxmlformats.org/officeDocument/2006/relationships/hyperlink" Target="https://dart.fss.or.kr/dsaf001/main.do?rcpNo=20230315001060" TargetMode="External"/><Relationship Id="rId168" Type="http://schemas.openxmlformats.org/officeDocument/2006/relationships/hyperlink" Target="https://dart.fss.or.kr/dsaf001/main.do?rcpNo=20230316000461" TargetMode="External"/><Relationship Id="rId312" Type="http://schemas.openxmlformats.org/officeDocument/2006/relationships/hyperlink" Target="https://dart.fss.or.kr/dsaf001/main.do?rcpNo=20230316001392"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art.fss.or.kr/dsaf001/main.do?rcpNo=20230323001050" TargetMode="External"/><Relationship Id="rId299" Type="http://schemas.openxmlformats.org/officeDocument/2006/relationships/hyperlink" Target="https://dart.fss.or.kr/dsaf001/main.do?rcpNo=20230315001327" TargetMode="External"/><Relationship Id="rId21" Type="http://schemas.openxmlformats.org/officeDocument/2006/relationships/hyperlink" Target="https://dart.fss.or.kr/dsaf001/main.do?rcpNo=20230315001407" TargetMode="External"/><Relationship Id="rId63" Type="http://schemas.openxmlformats.org/officeDocument/2006/relationships/hyperlink" Target="https://dart.fss.or.kr/dsaf001/main.do?rcpNo=20230322001068" TargetMode="External"/><Relationship Id="rId159" Type="http://schemas.openxmlformats.org/officeDocument/2006/relationships/hyperlink" Target="https://dart.fss.or.kr/dsaf001/main.do?rcpNo=20230317000349" TargetMode="External"/><Relationship Id="rId324" Type="http://schemas.openxmlformats.org/officeDocument/2006/relationships/hyperlink" Target="https://dart.fss.or.kr/dsaf001/main.do?rcpNo=20230316001454" TargetMode="External"/><Relationship Id="rId366" Type="http://schemas.openxmlformats.org/officeDocument/2006/relationships/hyperlink" Target="http://www.dongwonfnb.com/" TargetMode="External"/><Relationship Id="rId170" Type="http://schemas.openxmlformats.org/officeDocument/2006/relationships/hyperlink" Target="https://dart.fss.or.kr/dsaf001/main.do?rcpNo=20230320000954" TargetMode="External"/><Relationship Id="rId226" Type="http://schemas.openxmlformats.org/officeDocument/2006/relationships/hyperlink" Target="https://dart.fss.or.kr/dsaf001/main.do?rcpNo=20230321000389" TargetMode="External"/><Relationship Id="rId268" Type="http://schemas.openxmlformats.org/officeDocument/2006/relationships/hyperlink" Target="https://dart.fss.or.kr/dsaf001/main.do?rcpNo=20230322001245" TargetMode="External"/><Relationship Id="rId32" Type="http://schemas.openxmlformats.org/officeDocument/2006/relationships/hyperlink" Target="https://dart.fss.or.kr/dsaf001/main.do?rcpNo=20230222002549" TargetMode="External"/><Relationship Id="rId74" Type="http://schemas.openxmlformats.org/officeDocument/2006/relationships/hyperlink" Target="https://dart.fss.or.kr/dsaf001/main.do?rcpNo=20230321001403" TargetMode="External"/><Relationship Id="rId128" Type="http://schemas.openxmlformats.org/officeDocument/2006/relationships/hyperlink" Target="https://dart.fss.or.kr/dsaf001/main.do?rcpNo=20230327000678" TargetMode="External"/><Relationship Id="rId335" Type="http://schemas.openxmlformats.org/officeDocument/2006/relationships/hyperlink" Target="https://www.cjlogistics.com/ko/page/sustainability/social" TargetMode="External"/><Relationship Id="rId377" Type="http://schemas.openxmlformats.org/officeDocument/2006/relationships/hyperlink" Target="http://www.sebang.com/" TargetMode="External"/><Relationship Id="rId5" Type="http://schemas.openxmlformats.org/officeDocument/2006/relationships/hyperlink" Target="https://dart.fss.or.kr/dsaf001/main.do?rcpNo=20230814001661" TargetMode="External"/><Relationship Id="rId181" Type="http://schemas.openxmlformats.org/officeDocument/2006/relationships/hyperlink" Target="https://dart.fss.or.kr/dsaf001/main.do?rcpNo=20230323000459" TargetMode="External"/><Relationship Id="rId237" Type="http://schemas.openxmlformats.org/officeDocument/2006/relationships/hyperlink" Target="https://dart.fss.or.kr/dsaf001/main.do?rcpNo=20230321001298" TargetMode="External"/><Relationship Id="rId402" Type="http://schemas.openxmlformats.org/officeDocument/2006/relationships/hyperlink" Target="http://www.panpacific.co.kr/" TargetMode="External"/><Relationship Id="rId279" Type="http://schemas.openxmlformats.org/officeDocument/2006/relationships/hyperlink" Target="https://dart.fss.or.kr/dsaf001/main.do?rcpNo=20230316000941" TargetMode="External"/><Relationship Id="rId22" Type="http://schemas.openxmlformats.org/officeDocument/2006/relationships/hyperlink" Target="https://dart.fss.or.kr/dsaf001/main.do?rcpNo=20230714000061" TargetMode="External"/><Relationship Id="rId43" Type="http://schemas.openxmlformats.org/officeDocument/2006/relationships/hyperlink" Target="https://dart.fss.or.kr/dsaf001/main.do?rcpNo=20230317000869" TargetMode="External"/><Relationship Id="rId64" Type="http://schemas.openxmlformats.org/officeDocument/2006/relationships/hyperlink" Target="https://dart.fss.or.kr/dsaf001/main.do?rcpNo=20230314000467" TargetMode="External"/><Relationship Id="rId118" Type="http://schemas.openxmlformats.org/officeDocument/2006/relationships/hyperlink" Target="https://dart.fss.or.kr/dsaf001/main.do?rcpNo=20230315000646" TargetMode="External"/><Relationship Id="rId139" Type="http://schemas.openxmlformats.org/officeDocument/2006/relationships/hyperlink" Target="https://dart.fss.or.kr/dsaf001/main.do?rcpNo=20230831001403" TargetMode="External"/><Relationship Id="rId290" Type="http://schemas.openxmlformats.org/officeDocument/2006/relationships/hyperlink" Target="https://dart.fss.or.kr/dsaf001/main.do?rcpNo=20230314001231" TargetMode="External"/><Relationship Id="rId304" Type="http://schemas.openxmlformats.org/officeDocument/2006/relationships/hyperlink" Target="https://dart.fss.or.kr/dsaf001/main.do?rcpNo=20230310001083" TargetMode="External"/><Relationship Id="rId325" Type="http://schemas.openxmlformats.org/officeDocument/2006/relationships/hyperlink" Target="https://dart.fss.or.kr/dsaf001/main.do?rcpNo=20230309000761" TargetMode="External"/><Relationship Id="rId346" Type="http://schemas.openxmlformats.org/officeDocument/2006/relationships/hyperlink" Target="http://www.hmm21.com/" TargetMode="External"/><Relationship Id="rId367" Type="http://schemas.openxmlformats.org/officeDocument/2006/relationships/hyperlink" Target="http://dongwonsystems.com/" TargetMode="External"/><Relationship Id="rId388" Type="http://schemas.openxmlformats.org/officeDocument/2006/relationships/hyperlink" Target="http://www.infac.com/" TargetMode="External"/><Relationship Id="rId85" Type="http://schemas.openxmlformats.org/officeDocument/2006/relationships/hyperlink" Target="https://dart.fss.or.kr/dsaf001/main.do?rcpNo=20230317000005" TargetMode="External"/><Relationship Id="rId150" Type="http://schemas.openxmlformats.org/officeDocument/2006/relationships/hyperlink" Target="https://dart.fss.or.kr/dsaf001/main.do?rcpNo=20230524000304" TargetMode="External"/><Relationship Id="rId171" Type="http://schemas.openxmlformats.org/officeDocument/2006/relationships/hyperlink" Target="https://dart.fss.or.kr/dsaf001/main.do?rcpNo=20230302000104" TargetMode="External"/><Relationship Id="rId192" Type="http://schemas.openxmlformats.org/officeDocument/2006/relationships/hyperlink" Target="https://dart.fss.or.kr/dsaf001/main.do?rcpNo=20230515000371" TargetMode="External"/><Relationship Id="rId206" Type="http://schemas.openxmlformats.org/officeDocument/2006/relationships/hyperlink" Target="https://dart.fss.or.kr/dsaf001/main.do?rcpNo=20230329000065" TargetMode="External"/><Relationship Id="rId227" Type="http://schemas.openxmlformats.org/officeDocument/2006/relationships/hyperlink" Target="https://dart.fss.or.kr/dsaf001/main.do?rcpNo=20230314001271" TargetMode="External"/><Relationship Id="rId413" Type="http://schemas.openxmlformats.org/officeDocument/2006/relationships/hyperlink" Target="http://www.hanwhalife.com/" TargetMode="External"/><Relationship Id="rId248" Type="http://schemas.openxmlformats.org/officeDocument/2006/relationships/hyperlink" Target="https://dart.fss.or.kr/dsaf001/main.do?rcpNo=20230315000297" TargetMode="External"/><Relationship Id="rId269" Type="http://schemas.openxmlformats.org/officeDocument/2006/relationships/hyperlink" Target="https://dart.fss.or.kr/dsaf001/main.do?rcpNo=20230316001467" TargetMode="External"/><Relationship Id="rId12" Type="http://schemas.openxmlformats.org/officeDocument/2006/relationships/hyperlink" Target="https://dart.fss.or.kr/dsaf001/main.do?rcpNo=20230320000736" TargetMode="External"/><Relationship Id="rId33" Type="http://schemas.openxmlformats.org/officeDocument/2006/relationships/hyperlink" Target="https://dart.fss.or.kr/dsaf001/main.do?rcpNo=20230317000276" TargetMode="External"/><Relationship Id="rId108" Type="http://schemas.openxmlformats.org/officeDocument/2006/relationships/hyperlink" Target="https://dart.fss.or.kr/dsaf001/main.do?rcpNo=20230324000928" TargetMode="External"/><Relationship Id="rId129" Type="http://schemas.openxmlformats.org/officeDocument/2006/relationships/hyperlink" Target="https://dart.fss.or.kr/dsaf001/main.do?rcpNo=20221230000430" TargetMode="External"/><Relationship Id="rId280" Type="http://schemas.openxmlformats.org/officeDocument/2006/relationships/hyperlink" Target="https://dart.fss.or.kr/dsaf001/main.do?rcpNo=20230321001102" TargetMode="External"/><Relationship Id="rId315" Type="http://schemas.openxmlformats.org/officeDocument/2006/relationships/hyperlink" Target="https://dart.fss.or.kr/dsaf001/main.do?rcpNo=20230321000920" TargetMode="External"/><Relationship Id="rId336" Type="http://schemas.openxmlformats.org/officeDocument/2006/relationships/hyperlink" Target="http://www.dlholdings.co.kr/" TargetMode="External"/><Relationship Id="rId357" Type="http://schemas.openxmlformats.org/officeDocument/2006/relationships/hyperlink" Target="http://galaxiasme.com/" TargetMode="External"/><Relationship Id="rId54" Type="http://schemas.openxmlformats.org/officeDocument/2006/relationships/hyperlink" Target="https://dart.fss.or.kr/dsaf001/main.do?rcpNo=20230314001158" TargetMode="External"/><Relationship Id="rId75" Type="http://schemas.openxmlformats.org/officeDocument/2006/relationships/hyperlink" Target="https://dart.fss.or.kr/dsaf001/main.do?rcpNo=20230316000958" TargetMode="External"/><Relationship Id="rId96" Type="http://schemas.openxmlformats.org/officeDocument/2006/relationships/hyperlink" Target="https://dart.fss.or.kr/dsaf001/main.do?rcpNo=20230322001007" TargetMode="External"/><Relationship Id="rId140" Type="http://schemas.openxmlformats.org/officeDocument/2006/relationships/hyperlink" Target="https://dart.fss.or.kr/dsaf001/main.do?rcpNo=20230307000653" TargetMode="External"/><Relationship Id="rId161" Type="http://schemas.openxmlformats.org/officeDocument/2006/relationships/hyperlink" Target="https://dart.fss.or.kr/dsaf001/main.do?rcpNo=20230315000963" TargetMode="External"/><Relationship Id="rId182" Type="http://schemas.openxmlformats.org/officeDocument/2006/relationships/hyperlink" Target="https://dart.fss.or.kr/dsaf001/main.do?rcpNo=20230411002838" TargetMode="External"/><Relationship Id="rId217" Type="http://schemas.openxmlformats.org/officeDocument/2006/relationships/hyperlink" Target="https://dart.fss.or.kr/dsaf001/main.do?rcpNo=20230320000322" TargetMode="External"/><Relationship Id="rId378" Type="http://schemas.openxmlformats.org/officeDocument/2006/relationships/hyperlink" Target="http://www.solu-m.com/" TargetMode="External"/><Relationship Id="rId399" Type="http://schemas.openxmlformats.org/officeDocument/2006/relationships/hyperlink" Target="http://www.ktskylife.co.kr/" TargetMode="External"/><Relationship Id="rId403" Type="http://schemas.openxmlformats.org/officeDocument/2006/relationships/hyperlink" Target="http://tapex.co.kr/" TargetMode="External"/><Relationship Id="rId6" Type="http://schemas.openxmlformats.org/officeDocument/2006/relationships/hyperlink" Target="https://dart.fss.or.kr/dsaf001/main.do?rcpNo=20230321001132" TargetMode="External"/><Relationship Id="rId238" Type="http://schemas.openxmlformats.org/officeDocument/2006/relationships/hyperlink" Target="https://dart.fss.or.kr/dsaf001/main.do?rcpNo=20230321001309" TargetMode="External"/><Relationship Id="rId259" Type="http://schemas.openxmlformats.org/officeDocument/2006/relationships/hyperlink" Target="https://dart.fss.or.kr/dsaf001/main.do?rcpNo=20230310000763" TargetMode="External"/><Relationship Id="rId23" Type="http://schemas.openxmlformats.org/officeDocument/2006/relationships/hyperlink" Target="https://dart.fss.or.kr/dsaf001/main.do?rcpNo=20230321001126" TargetMode="External"/><Relationship Id="rId119" Type="http://schemas.openxmlformats.org/officeDocument/2006/relationships/hyperlink" Target="https://dart.fss.or.kr/dsaf001/main.do?rcpNo=20230314001159" TargetMode="External"/><Relationship Id="rId270" Type="http://schemas.openxmlformats.org/officeDocument/2006/relationships/hyperlink" Target="https://dart.fss.or.kr/dsaf001/main.do?rcpNo=20230712000281" TargetMode="External"/><Relationship Id="rId291" Type="http://schemas.openxmlformats.org/officeDocument/2006/relationships/hyperlink" Target="https://dart.fss.or.kr/dsaf001/main.do?rcpNo=20230315001227" TargetMode="External"/><Relationship Id="rId305" Type="http://schemas.openxmlformats.org/officeDocument/2006/relationships/hyperlink" Target="https://dart.fss.or.kr/dsaf001/main.do?rcpNo=20230321001162" TargetMode="External"/><Relationship Id="rId326" Type="http://schemas.openxmlformats.org/officeDocument/2006/relationships/hyperlink" Target="https://www.sj.co.kr/" TargetMode="External"/><Relationship Id="rId347" Type="http://schemas.openxmlformats.org/officeDocument/2006/relationships/hyperlink" Target="http://www.ktis.co.kr/" TargetMode="External"/><Relationship Id="rId44" Type="http://schemas.openxmlformats.org/officeDocument/2006/relationships/hyperlink" Target="https://dart.fss.or.kr/dsaf001/main.do?rcpNo=20230322000906" TargetMode="External"/><Relationship Id="rId65" Type="http://schemas.openxmlformats.org/officeDocument/2006/relationships/hyperlink" Target="https://dart.fss.or.kr/dsaf001/main.do?rcpNo=20230323000821" TargetMode="External"/><Relationship Id="rId86" Type="http://schemas.openxmlformats.org/officeDocument/2006/relationships/hyperlink" Target="https://dart.fss.or.kr/dsaf001/main.do?rcpNo=20230323000406" TargetMode="External"/><Relationship Id="rId130" Type="http://schemas.openxmlformats.org/officeDocument/2006/relationships/hyperlink" Target="https://dart.fss.or.kr/dsaf001/main.do?rcpNo=20230831001561" TargetMode="External"/><Relationship Id="rId151" Type="http://schemas.openxmlformats.org/officeDocument/2006/relationships/hyperlink" Target="https://dart.fss.or.kr/dsaf001/main.do?rcpNo=20230316001053" TargetMode="External"/><Relationship Id="rId368" Type="http://schemas.openxmlformats.org/officeDocument/2006/relationships/hyperlink" Target="http://www.lotterental.com/" TargetMode="External"/><Relationship Id="rId389" Type="http://schemas.openxmlformats.org/officeDocument/2006/relationships/hyperlink" Target="http://www.ilshinstone.co.kr/" TargetMode="External"/><Relationship Id="rId172" Type="http://schemas.openxmlformats.org/officeDocument/2006/relationships/hyperlink" Target="https://dart.fss.or.kr/dsaf001/main.do?rcpNo=20230323001156" TargetMode="External"/><Relationship Id="rId193" Type="http://schemas.openxmlformats.org/officeDocument/2006/relationships/hyperlink" Target="https://dart.fss.or.kr/dsaf001/main.do?rcpNo=20230321001134" TargetMode="External"/><Relationship Id="rId207" Type="http://schemas.openxmlformats.org/officeDocument/2006/relationships/hyperlink" Target="https://dart.fss.or.kr/dsaf001/main.do?rcpNo=20230323001413" TargetMode="External"/><Relationship Id="rId228" Type="http://schemas.openxmlformats.org/officeDocument/2006/relationships/hyperlink" Target="https://dart.fss.or.kr/dsaf001/main.do?rcpNo=20230316001017" TargetMode="External"/><Relationship Id="rId249" Type="http://schemas.openxmlformats.org/officeDocument/2006/relationships/hyperlink" Target="https://dart.fss.or.kr/dsaf001/main.do?rcpNo=20230321000862" TargetMode="External"/><Relationship Id="rId414" Type="http://schemas.openxmlformats.org/officeDocument/2006/relationships/hyperlink" Target="http://www.hyundai-rotem.co.kr/" TargetMode="External"/><Relationship Id="rId13" Type="http://schemas.openxmlformats.org/officeDocument/2006/relationships/hyperlink" Target="https://dart.fss.or.kr/dsaf001/main.do?rcpNo=20230320000604" TargetMode="External"/><Relationship Id="rId109" Type="http://schemas.openxmlformats.org/officeDocument/2006/relationships/hyperlink" Target="https://dart.fss.or.kr/dsaf001/main.do?rcpNo=20230322001127" TargetMode="External"/><Relationship Id="rId260" Type="http://schemas.openxmlformats.org/officeDocument/2006/relationships/hyperlink" Target="https://dart.fss.or.kr/dsaf001/main.do?rcpNo=20230316001321" TargetMode="External"/><Relationship Id="rId281" Type="http://schemas.openxmlformats.org/officeDocument/2006/relationships/hyperlink" Target="https://dart.fss.or.kr/dsaf001/main.do?rcpNo=20230317000867" TargetMode="External"/><Relationship Id="rId316" Type="http://schemas.openxmlformats.org/officeDocument/2006/relationships/hyperlink" Target="https://dart.fss.or.kr/dsaf001/main.do?rcpNo=20230317000130" TargetMode="External"/><Relationship Id="rId337" Type="http://schemas.openxmlformats.org/officeDocument/2006/relationships/hyperlink" Target="http://www.dnautomotive.com/" TargetMode="External"/><Relationship Id="rId34" Type="http://schemas.openxmlformats.org/officeDocument/2006/relationships/hyperlink" Target="https://dart.fss.or.kr/dsaf001/main.do?rcpNo=20230315000850" TargetMode="External"/><Relationship Id="rId55" Type="http://schemas.openxmlformats.org/officeDocument/2006/relationships/hyperlink" Target="https://dart.fss.or.kr/dsaf001/main.do?rcpNo=20230320000720" TargetMode="External"/><Relationship Id="rId76" Type="http://schemas.openxmlformats.org/officeDocument/2006/relationships/hyperlink" Target="https://dart.fss.or.kr/dsaf001/main.do?rcpNo=20230322000832" TargetMode="External"/><Relationship Id="rId97" Type="http://schemas.openxmlformats.org/officeDocument/2006/relationships/hyperlink" Target="https://dart.fss.or.kr/dsaf001/main.do?rcpNo=20230316001141" TargetMode="External"/><Relationship Id="rId120" Type="http://schemas.openxmlformats.org/officeDocument/2006/relationships/hyperlink" Target="https://dart.fss.or.kr/dsaf001/main.do?rcpNo=20220915000334" TargetMode="External"/><Relationship Id="rId141" Type="http://schemas.openxmlformats.org/officeDocument/2006/relationships/hyperlink" Target="https://dart.fss.or.kr/dsaf001/main.do?rcpNo=20230307000542" TargetMode="External"/><Relationship Id="rId358" Type="http://schemas.openxmlformats.org/officeDocument/2006/relationships/hyperlink" Target="http://www.knco.co.kr/" TargetMode="External"/><Relationship Id="rId379" Type="http://schemas.openxmlformats.org/officeDocument/2006/relationships/hyperlink" Target="http://www.soosanheavy.com/" TargetMode="External"/><Relationship Id="rId7" Type="http://schemas.openxmlformats.org/officeDocument/2006/relationships/hyperlink" Target="https://dart.fss.or.kr/dsaf001/main.do?rcpNo=20230831001199" TargetMode="External"/><Relationship Id="rId162" Type="http://schemas.openxmlformats.org/officeDocument/2006/relationships/hyperlink" Target="https://dart.fss.or.kr/dsaf001/main.do?rcpNo=20230323000638" TargetMode="External"/><Relationship Id="rId183" Type="http://schemas.openxmlformats.org/officeDocument/2006/relationships/hyperlink" Target="https://dart.fss.or.kr/dsaf001/main.do?rcpNo=20230321001494" TargetMode="External"/><Relationship Id="rId218" Type="http://schemas.openxmlformats.org/officeDocument/2006/relationships/hyperlink" Target="https://dart.fss.or.kr/dsaf001/main.do?rcpNo=20230322000936" TargetMode="External"/><Relationship Id="rId239" Type="http://schemas.openxmlformats.org/officeDocument/2006/relationships/hyperlink" Target="https://dart.fss.or.kr/dsaf001/main.do?rcpNo=20230316000762" TargetMode="External"/><Relationship Id="rId390" Type="http://schemas.openxmlformats.org/officeDocument/2006/relationships/hyperlink" Target="http://hysolus.co.kr/" TargetMode="External"/><Relationship Id="rId404" Type="http://schemas.openxmlformats.org/officeDocument/2006/relationships/hyperlink" Target="http://www.panocean.com/" TargetMode="External"/><Relationship Id="rId250" Type="http://schemas.openxmlformats.org/officeDocument/2006/relationships/hyperlink" Target="https://dart.fss.or.kr/dsaf001/main.do?rcpNo=20230403003576" TargetMode="External"/><Relationship Id="rId271" Type="http://schemas.openxmlformats.org/officeDocument/2006/relationships/hyperlink" Target="https://dart.fss.or.kr/dsaf001/main.do?rcpNo=20230316001349" TargetMode="External"/><Relationship Id="rId292" Type="http://schemas.openxmlformats.org/officeDocument/2006/relationships/hyperlink" Target="https://dart.fss.or.kr/dsaf001/main.do?rcpNo=20230315000894" TargetMode="External"/><Relationship Id="rId306" Type="http://schemas.openxmlformats.org/officeDocument/2006/relationships/hyperlink" Target="https://dart.fss.or.kr/dsaf001/main.do?rcpNo=20230320001061" TargetMode="External"/><Relationship Id="rId24" Type="http://schemas.openxmlformats.org/officeDocument/2006/relationships/hyperlink" Target="https://dart.fss.or.kr/dsaf001/main.do?rcpNo=20230315000071" TargetMode="External"/><Relationship Id="rId45" Type="http://schemas.openxmlformats.org/officeDocument/2006/relationships/hyperlink" Target="https://dart.fss.or.kr/dsaf001/main.do?rcpNo=20230324000127" TargetMode="External"/><Relationship Id="rId66" Type="http://schemas.openxmlformats.org/officeDocument/2006/relationships/hyperlink" Target="https://dart.fss.or.kr/dsaf001/main.do?rcpNo=20230320000409" TargetMode="External"/><Relationship Id="rId87" Type="http://schemas.openxmlformats.org/officeDocument/2006/relationships/hyperlink" Target="https://www.noroopaint.com/kor/index.asp?conntype=1" TargetMode="External"/><Relationship Id="rId110" Type="http://schemas.openxmlformats.org/officeDocument/2006/relationships/hyperlink" Target="https://dart.fss.or.kr/dsaf001/main.do?rcpNo=20230315001100" TargetMode="External"/><Relationship Id="rId131" Type="http://schemas.openxmlformats.org/officeDocument/2006/relationships/hyperlink" Target="https://dart.fss.or.kr/dsaf001/main.do?rcpNo=20230316000878" TargetMode="External"/><Relationship Id="rId327" Type="http://schemas.openxmlformats.org/officeDocument/2006/relationships/hyperlink" Target="https://www.aplusga.com/" TargetMode="External"/><Relationship Id="rId348" Type="http://schemas.openxmlformats.org/officeDocument/2006/relationships/hyperlink" Target="http://www.lghnh.com/" TargetMode="External"/><Relationship Id="rId369" Type="http://schemas.openxmlformats.org/officeDocument/2006/relationships/hyperlink" Target="http://www.sajosf.co.kr/" TargetMode="External"/><Relationship Id="rId152" Type="http://schemas.openxmlformats.org/officeDocument/2006/relationships/hyperlink" Target="https://dart.fss.or.kr/dsaf001/main.do?rcpNo=20230314000085" TargetMode="External"/><Relationship Id="rId173" Type="http://schemas.openxmlformats.org/officeDocument/2006/relationships/hyperlink" Target="https://dart.fss.or.kr/dsaf001/main.do?rcpNo=20230316001196" TargetMode="External"/><Relationship Id="rId194" Type="http://schemas.openxmlformats.org/officeDocument/2006/relationships/hyperlink" Target="https://dart.fss.or.kr/dsaf001/main.do?rcpNo=20230307000691" TargetMode="External"/><Relationship Id="rId208" Type="http://schemas.openxmlformats.org/officeDocument/2006/relationships/hyperlink" Target="https://dart.fss.or.kr/dsaf001/main.do?rcpNo=20230314000094" TargetMode="External"/><Relationship Id="rId229" Type="http://schemas.openxmlformats.org/officeDocument/2006/relationships/hyperlink" Target="https://dart.fss.or.kr/dsaf001/main.do?rcpNo=20230322000622" TargetMode="External"/><Relationship Id="rId380" Type="http://schemas.openxmlformats.org/officeDocument/2006/relationships/hyperlink" Target="http://www.isdongseo.co.kr/" TargetMode="External"/><Relationship Id="rId415" Type="http://schemas.openxmlformats.org/officeDocument/2006/relationships/hyperlink" Target="http://www.hsrna.com/" TargetMode="External"/><Relationship Id="rId240" Type="http://schemas.openxmlformats.org/officeDocument/2006/relationships/hyperlink" Target="https://dart.fss.or.kr/dsaf001/main.do?rcpNo=20230321001167" TargetMode="External"/><Relationship Id="rId261" Type="http://schemas.openxmlformats.org/officeDocument/2006/relationships/hyperlink" Target="https://dart.fss.or.kr/dsaf001/main.do?rcpNo=20230316001190" TargetMode="External"/><Relationship Id="rId14" Type="http://schemas.openxmlformats.org/officeDocument/2006/relationships/hyperlink" Target="https://dart.fss.or.kr/dsaf001/main.do?rcpNo=20230831001367" TargetMode="External"/><Relationship Id="rId35" Type="http://schemas.openxmlformats.org/officeDocument/2006/relationships/hyperlink" Target="https://dart.fss.or.kr/dsaf001/main.do?rcpNo=20230315000964" TargetMode="External"/><Relationship Id="rId56" Type="http://schemas.openxmlformats.org/officeDocument/2006/relationships/hyperlink" Target="https://dart.fss.or.kr/dsaf001/main.do?rcpNo=20230316000629" TargetMode="External"/><Relationship Id="rId77" Type="http://schemas.openxmlformats.org/officeDocument/2006/relationships/hyperlink" Target="https://dart.fss.or.kr/dsaf001/main.do?rcpNo=20230316001258" TargetMode="External"/><Relationship Id="rId100" Type="http://schemas.openxmlformats.org/officeDocument/2006/relationships/hyperlink" Target="https://dart.fss.or.kr/dsaf001/main.do?rcpNo=20230314001212" TargetMode="External"/><Relationship Id="rId282" Type="http://schemas.openxmlformats.org/officeDocument/2006/relationships/hyperlink" Target="https://dart.fss.or.kr/dsaf001/main.do?rcpNo=20230316000780" TargetMode="External"/><Relationship Id="rId317" Type="http://schemas.openxmlformats.org/officeDocument/2006/relationships/hyperlink" Target="https://dart.fss.or.kr/dsaf001/main.do?rcpNo=20230315000315" TargetMode="External"/><Relationship Id="rId338" Type="http://schemas.openxmlformats.org/officeDocument/2006/relationships/hyperlink" Target="https://www.dnautomotive.com/sub/business/contribution.asp" TargetMode="External"/><Relationship Id="rId359" Type="http://schemas.openxmlformats.org/officeDocument/2006/relationships/hyperlink" Target="http://www.iprovest.com/" TargetMode="External"/><Relationship Id="rId8" Type="http://schemas.openxmlformats.org/officeDocument/2006/relationships/hyperlink" Target="https://dart.fss.or.kr/dsaf001/main.do?rcpNo=20230728000644" TargetMode="External"/><Relationship Id="rId98" Type="http://schemas.openxmlformats.org/officeDocument/2006/relationships/hyperlink" Target="https://dart.fss.or.kr/dsaf001/main.do?rcpNo=20230314001293" TargetMode="External"/><Relationship Id="rId121" Type="http://schemas.openxmlformats.org/officeDocument/2006/relationships/hyperlink" Target="https://dart.fss.or.kr/dsaf001/main.do?rcpNo=20230316000602" TargetMode="External"/><Relationship Id="rId142" Type="http://schemas.openxmlformats.org/officeDocument/2006/relationships/hyperlink" Target="https://dart.fss.or.kr/dsaf001/main.do?rcpNo=20230309000572" TargetMode="External"/><Relationship Id="rId163" Type="http://schemas.openxmlformats.org/officeDocument/2006/relationships/hyperlink" Target="https://dart.fss.or.kr/dsaf001/main.do?rcpNo=20230316000928" TargetMode="External"/><Relationship Id="rId184" Type="http://schemas.openxmlformats.org/officeDocument/2006/relationships/hyperlink" Target="https://dart.fss.or.kr/dsaf001/main.do?rcpNo=20230317001042" TargetMode="External"/><Relationship Id="rId219" Type="http://schemas.openxmlformats.org/officeDocument/2006/relationships/hyperlink" Target="https://dart.fss.or.kr/dsaf001/main.do?rcpNo=20230317000389" TargetMode="External"/><Relationship Id="rId370" Type="http://schemas.openxmlformats.org/officeDocument/2006/relationships/hyperlink" Target="http://www.samsungsdi.co.kr/" TargetMode="External"/><Relationship Id="rId391" Type="http://schemas.openxmlformats.org/officeDocument/2006/relationships/hyperlink" Target="http://www.e-jejubank.com/" TargetMode="External"/><Relationship Id="rId405" Type="http://schemas.openxmlformats.org/officeDocument/2006/relationships/hyperlink" Target="http://www.firsteccom.co.kr/" TargetMode="External"/><Relationship Id="rId230" Type="http://schemas.openxmlformats.org/officeDocument/2006/relationships/hyperlink" Target="https://dart.fss.or.kr/dsaf001/main.do?rcpNo=20230331002546" TargetMode="External"/><Relationship Id="rId251" Type="http://schemas.openxmlformats.org/officeDocument/2006/relationships/hyperlink" Target="https://dart.fss.or.kr/dsaf001/main.do?rcpNo=20230331000007" TargetMode="External"/><Relationship Id="rId25" Type="http://schemas.openxmlformats.org/officeDocument/2006/relationships/hyperlink" Target="https://dart.fss.or.kr/dsaf001/main.do?rcpNo=20230316000950" TargetMode="External"/><Relationship Id="rId46" Type="http://schemas.openxmlformats.org/officeDocument/2006/relationships/hyperlink" Target="https://dart.fss.or.kr/dsaf001/main.do?rcpNo=20230320000964" TargetMode="External"/><Relationship Id="rId67" Type="http://schemas.openxmlformats.org/officeDocument/2006/relationships/hyperlink" Target="https://dart.fss.or.kr/dsaf001/main.do?rcpNo=20230316001213" TargetMode="External"/><Relationship Id="rId272" Type="http://schemas.openxmlformats.org/officeDocument/2006/relationships/hyperlink" Target="https://dart.fss.or.kr/dsaf001/main.do?rcpNo=20230320000791" TargetMode="External"/><Relationship Id="rId293" Type="http://schemas.openxmlformats.org/officeDocument/2006/relationships/hyperlink" Target="https://dart.fss.or.kr/dsaf001/main.do?rcpNo=20230321000255" TargetMode="External"/><Relationship Id="rId307" Type="http://schemas.openxmlformats.org/officeDocument/2006/relationships/hyperlink" Target="https://dart.fss.or.kr/dsaf001/main.do?rcpNo=20230321001479" TargetMode="External"/><Relationship Id="rId328" Type="http://schemas.openxmlformats.org/officeDocument/2006/relationships/hyperlink" Target="https://www.youngone.co.kr/" TargetMode="External"/><Relationship Id="rId349" Type="http://schemas.openxmlformats.org/officeDocument/2006/relationships/hyperlink" Target="http://www.pimaterials.com/" TargetMode="External"/><Relationship Id="rId88" Type="http://schemas.openxmlformats.org/officeDocument/2006/relationships/hyperlink" Target="https://www.dlenc.co.kr/main.do" TargetMode="External"/><Relationship Id="rId111" Type="http://schemas.openxmlformats.org/officeDocument/2006/relationships/hyperlink" Target="https://dart.fss.or.kr/dsaf001/main.do?rcpNo=20230321001259" TargetMode="External"/><Relationship Id="rId132" Type="http://schemas.openxmlformats.org/officeDocument/2006/relationships/hyperlink" Target="https://dart.fss.or.kr/dsaf001/main.do?rcpNo=20230328000107" TargetMode="External"/><Relationship Id="rId153" Type="http://schemas.openxmlformats.org/officeDocument/2006/relationships/hyperlink" Target="https://dart.fss.or.kr/dsaf001/main.do?rcpNo=20230316001338" TargetMode="External"/><Relationship Id="rId174" Type="http://schemas.openxmlformats.org/officeDocument/2006/relationships/hyperlink" Target="https://dart.fss.or.kr/dsaf001/main.do?rcpNo=20230322000910" TargetMode="External"/><Relationship Id="rId195" Type="http://schemas.openxmlformats.org/officeDocument/2006/relationships/hyperlink" Target="https://dart.fss.or.kr/dsaf001/main.do?rcpNo=20230321001261" TargetMode="External"/><Relationship Id="rId209" Type="http://schemas.openxmlformats.org/officeDocument/2006/relationships/hyperlink" Target="https://dart.fss.or.kr/dsaf001/main.do?rcpNo=20230315000887" TargetMode="External"/><Relationship Id="rId360" Type="http://schemas.openxmlformats.org/officeDocument/2006/relationships/hyperlink" Target="http://www.daedong.co.kr/" TargetMode="External"/><Relationship Id="rId381" Type="http://schemas.openxmlformats.org/officeDocument/2006/relationships/hyperlink" Target="http://sdbiosensor.co.kr/" TargetMode="External"/><Relationship Id="rId416" Type="http://schemas.openxmlformats.org/officeDocument/2006/relationships/hyperlink" Target="http://www.hwgeneralins.com/" TargetMode="External"/><Relationship Id="rId220" Type="http://schemas.openxmlformats.org/officeDocument/2006/relationships/hyperlink" Target="https://dart.fss.or.kr/dsaf001/main.do?rcpNo=20230323001151" TargetMode="External"/><Relationship Id="rId241" Type="http://schemas.openxmlformats.org/officeDocument/2006/relationships/hyperlink" Target="https://dart.fss.or.kr/dsaf001/main.do?rcpNo=20230316001262" TargetMode="External"/><Relationship Id="rId15" Type="http://schemas.openxmlformats.org/officeDocument/2006/relationships/hyperlink" Target="https://dart.fss.or.kr/dsaf001/main.do?rcpNo=20230316001014" TargetMode="External"/><Relationship Id="rId36" Type="http://schemas.openxmlformats.org/officeDocument/2006/relationships/hyperlink" Target="https://dart.fss.or.kr/dsaf001/main.do?rcpNo=20230316000724" TargetMode="External"/><Relationship Id="rId57" Type="http://schemas.openxmlformats.org/officeDocument/2006/relationships/hyperlink" Target="https://dart.fss.or.kr/dsaf001/main.do?rcpNo=20230309000731" TargetMode="External"/><Relationship Id="rId262" Type="http://schemas.openxmlformats.org/officeDocument/2006/relationships/hyperlink" Target="https://dart.fss.or.kr/dsaf001/main.do?rcpNo=20230314000892" TargetMode="External"/><Relationship Id="rId283" Type="http://schemas.openxmlformats.org/officeDocument/2006/relationships/hyperlink" Target="https://dart.fss.or.kr/dsaf001/main.do?rcpNo=20230316001135" TargetMode="External"/><Relationship Id="rId318" Type="http://schemas.openxmlformats.org/officeDocument/2006/relationships/hyperlink" Target="https://dart.fss.or.kr/dsaf001/main.do?rcpNo=20230320000391" TargetMode="External"/><Relationship Id="rId339" Type="http://schemas.openxmlformats.org/officeDocument/2006/relationships/hyperlink" Target="http://www.fnf.co.kr/" TargetMode="External"/><Relationship Id="rId78" Type="http://schemas.openxmlformats.org/officeDocument/2006/relationships/hyperlink" Target="https://dart.fss.or.kr/dsaf001/main.do?rcpNo=20230316000896" TargetMode="External"/><Relationship Id="rId99" Type="http://schemas.openxmlformats.org/officeDocument/2006/relationships/hyperlink" Target="https://dart.fss.or.kr/dsaf001/main.do?rcpNo=20230316000733" TargetMode="External"/><Relationship Id="rId101" Type="http://schemas.openxmlformats.org/officeDocument/2006/relationships/hyperlink" Target="https://dart.fss.or.kr/dsaf001/main.do?rcpNo=20230316000463" TargetMode="External"/><Relationship Id="rId122" Type="http://schemas.openxmlformats.org/officeDocument/2006/relationships/hyperlink" Target="https://dart.fss.or.kr/dsaf001/main.do?rcpNo=20230316000931" TargetMode="External"/><Relationship Id="rId143" Type="http://schemas.openxmlformats.org/officeDocument/2006/relationships/hyperlink" Target="https://dart.fss.or.kr/dsaf001/main.do?rcpNo=20230308000723" TargetMode="External"/><Relationship Id="rId164" Type="http://schemas.openxmlformats.org/officeDocument/2006/relationships/hyperlink" Target="https://dart.fss.or.kr/dsaf001/main.do?rcpNo=20230308000717" TargetMode="External"/><Relationship Id="rId185" Type="http://schemas.openxmlformats.org/officeDocument/2006/relationships/hyperlink" Target="https://dart.fss.or.kr/dsaf001/main.do?rcpNo=20230316000657" TargetMode="External"/><Relationship Id="rId350" Type="http://schemas.openxmlformats.org/officeDocument/2006/relationships/hyperlink" Target="http://www.sgcenergy.co.kr/" TargetMode="External"/><Relationship Id="rId371" Type="http://schemas.openxmlformats.org/officeDocument/2006/relationships/hyperlink" Target="http://www.samsungcnt.com/" TargetMode="External"/><Relationship Id="rId406" Type="http://schemas.openxmlformats.org/officeDocument/2006/relationships/hyperlink" Target="http://www.hitejinro.com/" TargetMode="External"/><Relationship Id="rId9" Type="http://schemas.openxmlformats.org/officeDocument/2006/relationships/hyperlink" Target="https://dart.fss.or.kr/dsaf001/main.do?rcpNo=20230315000019" TargetMode="External"/><Relationship Id="rId210" Type="http://schemas.openxmlformats.org/officeDocument/2006/relationships/hyperlink" Target="https://dart.fss.or.kr/dsaf001/main.do?rcpNo=20230315001431" TargetMode="External"/><Relationship Id="rId392" Type="http://schemas.openxmlformats.org/officeDocument/2006/relationships/hyperlink" Target="http://www.chokwang.co.kr/" TargetMode="External"/><Relationship Id="rId26" Type="http://schemas.openxmlformats.org/officeDocument/2006/relationships/hyperlink" Target="https://dart.fss.or.kr/dsaf001/main.do?rcpNo=20230316000684" TargetMode="External"/><Relationship Id="rId231" Type="http://schemas.openxmlformats.org/officeDocument/2006/relationships/hyperlink" Target="https://dart.fss.or.kr/dsaf001/main.do?rcpNo=20230309000626" TargetMode="External"/><Relationship Id="rId252" Type="http://schemas.openxmlformats.org/officeDocument/2006/relationships/hyperlink" Target="https://dart.fss.or.kr/dsaf001/main.do?rcpNo=20230320000728" TargetMode="External"/><Relationship Id="rId273" Type="http://schemas.openxmlformats.org/officeDocument/2006/relationships/hyperlink" Target="http://www.fskrc.co.kr/" TargetMode="External"/><Relationship Id="rId294" Type="http://schemas.openxmlformats.org/officeDocument/2006/relationships/hyperlink" Target="https://dart.fss.or.kr/dsaf001/main.do?rcpNo=20230317000994" TargetMode="External"/><Relationship Id="rId308" Type="http://schemas.openxmlformats.org/officeDocument/2006/relationships/hyperlink" Target="https://dart.fss.or.kr/dsaf001/main.do?rcpNo=20230317000639" TargetMode="External"/><Relationship Id="rId329" Type="http://schemas.openxmlformats.org/officeDocument/2006/relationships/hyperlink" Target="http://www.iljinelectric.co.kr/main.jsp" TargetMode="External"/><Relationship Id="rId47" Type="http://schemas.openxmlformats.org/officeDocument/2006/relationships/hyperlink" Target="https://dart.fss.or.kr/dsaf001/main.do?rcpNo=20230320000235" TargetMode="External"/><Relationship Id="rId68" Type="http://schemas.openxmlformats.org/officeDocument/2006/relationships/hyperlink" Target="https://dart.fss.or.kr/dsaf001/main.do?rcpNo=20230608000512" TargetMode="External"/><Relationship Id="rId89" Type="http://schemas.openxmlformats.org/officeDocument/2006/relationships/hyperlink" Target="https://dart.fss.or.kr/dsaf001/main.do?rcpNo=20230322001136" TargetMode="External"/><Relationship Id="rId112" Type="http://schemas.openxmlformats.org/officeDocument/2006/relationships/hyperlink" Target="https://dart.fss.or.kr/dsaf001/main.do?rcpNo=20230713000062" TargetMode="External"/><Relationship Id="rId133" Type="http://schemas.openxmlformats.org/officeDocument/2006/relationships/hyperlink" Target="https://dart.fss.or.kr/dsaf001/main.do?rcpNo=20230323000263" TargetMode="External"/><Relationship Id="rId154" Type="http://schemas.openxmlformats.org/officeDocument/2006/relationships/hyperlink" Target="https://dart.fss.or.kr/dsaf001/main.do?rcpNo=20230322000313" TargetMode="External"/><Relationship Id="rId175" Type="http://schemas.openxmlformats.org/officeDocument/2006/relationships/hyperlink" Target="https://dart.fss.or.kr/dsaf001/main.do?rcpNo=20230315001315" TargetMode="External"/><Relationship Id="rId340" Type="http://schemas.openxmlformats.org/officeDocument/2006/relationships/hyperlink" Target="http://www.gsconst.co.kr/" TargetMode="External"/><Relationship Id="rId361" Type="http://schemas.openxmlformats.org/officeDocument/2006/relationships/hyperlink" Target="http://www.daewoong.co.kr/" TargetMode="External"/><Relationship Id="rId196" Type="http://schemas.openxmlformats.org/officeDocument/2006/relationships/hyperlink" Target="https://dart.fss.or.kr/dsaf001/main.do?rcpNo=20230323001360" TargetMode="External"/><Relationship Id="rId200" Type="http://schemas.openxmlformats.org/officeDocument/2006/relationships/hyperlink" Target="https://dart.fss.or.kr/dsaf001/main.do?rcpNo=20230712000496" TargetMode="External"/><Relationship Id="rId382" Type="http://schemas.openxmlformats.org/officeDocument/2006/relationships/hyperlink" Target="http://www.slworld.com/" TargetMode="External"/><Relationship Id="rId417" Type="http://schemas.openxmlformats.org/officeDocument/2006/relationships/hyperlink" Target="http://www.hyosungadvancedmaterials.com/" TargetMode="External"/><Relationship Id="rId16" Type="http://schemas.openxmlformats.org/officeDocument/2006/relationships/hyperlink" Target="https://dart.fss.or.kr/dsaf001/main.do?rcpNo=20230315001215" TargetMode="External"/><Relationship Id="rId221" Type="http://schemas.openxmlformats.org/officeDocument/2006/relationships/hyperlink" Target="https://dart.fss.or.kr/dsaf001/main.do?rcpNo=20230316000222" TargetMode="External"/><Relationship Id="rId242" Type="http://schemas.openxmlformats.org/officeDocument/2006/relationships/hyperlink" Target="https://dart.fss.or.kr/dsaf001/main.do?rcpNo=20230407002574" TargetMode="External"/><Relationship Id="rId263" Type="http://schemas.openxmlformats.org/officeDocument/2006/relationships/hyperlink" Target="https://dart.fss.or.kr/dsaf001/main.do?rcpNo=20230321001130" TargetMode="External"/><Relationship Id="rId284" Type="http://schemas.openxmlformats.org/officeDocument/2006/relationships/hyperlink" Target="https://dart.fss.or.kr/dsaf001/main.do?rcpNo=20230316001554" TargetMode="External"/><Relationship Id="rId319" Type="http://schemas.openxmlformats.org/officeDocument/2006/relationships/hyperlink" Target="https://dart.fss.or.kr/dsaf001/main.do?rcpNo=20230315001063" TargetMode="External"/><Relationship Id="rId37" Type="http://schemas.openxmlformats.org/officeDocument/2006/relationships/hyperlink" Target="https://dart.fss.or.kr/dsaf001/main.do?rcpNo=20230315000084" TargetMode="External"/><Relationship Id="rId58" Type="http://schemas.openxmlformats.org/officeDocument/2006/relationships/hyperlink" Target="https://dart.fss.or.kr/dsaf001/main.do?rcpNo=20230316001326" TargetMode="External"/><Relationship Id="rId79" Type="http://schemas.openxmlformats.org/officeDocument/2006/relationships/hyperlink" Target="http://www.daesung.co.kr/" TargetMode="External"/><Relationship Id="rId102" Type="http://schemas.openxmlformats.org/officeDocument/2006/relationships/hyperlink" Target="https://dart.fss.or.kr/dsaf001/main.do?rcpNo=20230320001075" TargetMode="External"/><Relationship Id="rId123" Type="http://schemas.openxmlformats.org/officeDocument/2006/relationships/hyperlink" Target="https://dart.fss.or.kr/dsaf001/main.do?rcpNo=20230317001035" TargetMode="External"/><Relationship Id="rId144" Type="http://schemas.openxmlformats.org/officeDocument/2006/relationships/hyperlink" Target="https://dart.fss.or.kr/dsaf001/main.do?rcpNo=20230309000772" TargetMode="External"/><Relationship Id="rId330" Type="http://schemas.openxmlformats.org/officeDocument/2006/relationships/hyperlink" Target="https://m.kakaobank.com/" TargetMode="External"/><Relationship Id="rId90" Type="http://schemas.openxmlformats.org/officeDocument/2006/relationships/hyperlink" Target="https://dart.fss.or.kr/dsaf001/main.do?rcpNo=20230331003410" TargetMode="External"/><Relationship Id="rId165" Type="http://schemas.openxmlformats.org/officeDocument/2006/relationships/hyperlink" Target="https://dart.fss.or.kr/dsaf001/main.do?rcpNo=20230314001166" TargetMode="External"/><Relationship Id="rId186" Type="http://schemas.openxmlformats.org/officeDocument/2006/relationships/hyperlink" Target="https://dart.fss.or.kr/dsaf001/main.do?rcpNo=20230315001378" TargetMode="External"/><Relationship Id="rId351" Type="http://schemas.openxmlformats.org/officeDocument/2006/relationships/hyperlink" Target="http://www.shinhwatp.co.kr/" TargetMode="External"/><Relationship Id="rId372" Type="http://schemas.openxmlformats.org/officeDocument/2006/relationships/hyperlink" Target="http://www.sem.samsung.co.kr/" TargetMode="External"/><Relationship Id="rId393" Type="http://schemas.openxmlformats.org/officeDocument/2006/relationships/hyperlink" Target="http://www.chobi.co.kr/" TargetMode="External"/><Relationship Id="rId407" Type="http://schemas.openxmlformats.org/officeDocument/2006/relationships/hyperlink" Target="http://www.kcip.co.kr/" TargetMode="External"/><Relationship Id="rId211" Type="http://schemas.openxmlformats.org/officeDocument/2006/relationships/hyperlink" Target="https://dart.fss.or.kr/dsaf001/main.do?rcpNo=20230315000658" TargetMode="External"/><Relationship Id="rId232" Type="http://schemas.openxmlformats.org/officeDocument/2006/relationships/hyperlink" Target="https://dart.fss.or.kr/dsaf001/main.do?rcpNo=20230316000376" TargetMode="External"/><Relationship Id="rId253" Type="http://schemas.openxmlformats.org/officeDocument/2006/relationships/hyperlink" Target="https://dart.fss.or.kr/dsaf001/main.do?rcpNo=20230320001037" TargetMode="External"/><Relationship Id="rId274" Type="http://schemas.openxmlformats.org/officeDocument/2006/relationships/hyperlink" Target="https://dart.fss.or.kr/dsaf001/main.do?rcpNo=20230323000756" TargetMode="External"/><Relationship Id="rId295" Type="http://schemas.openxmlformats.org/officeDocument/2006/relationships/hyperlink" Target="https://dart.fss.or.kr/dsaf001/main.do?rcpNo=20230317000982" TargetMode="External"/><Relationship Id="rId309" Type="http://schemas.openxmlformats.org/officeDocument/2006/relationships/hyperlink" Target="https://dart.fss.or.kr/dsaf001/main.do?rcpNo=20230315001030" TargetMode="External"/><Relationship Id="rId27" Type="http://schemas.openxmlformats.org/officeDocument/2006/relationships/hyperlink" Target="https://dart.fss.or.kr/dsaf001/main.do?rcpNo=20230322000776" TargetMode="External"/><Relationship Id="rId48" Type="http://schemas.openxmlformats.org/officeDocument/2006/relationships/hyperlink" Target="https://dart.fss.or.kr/dsaf001/main.do?rcpNo=20230321001209" TargetMode="External"/><Relationship Id="rId69" Type="http://schemas.openxmlformats.org/officeDocument/2006/relationships/hyperlink" Target="https://dart.fss.or.kr/dsaf001/main.do?rcpNo=20230309000734" TargetMode="External"/><Relationship Id="rId113" Type="http://schemas.openxmlformats.org/officeDocument/2006/relationships/hyperlink" Target="https://dart.fss.or.kr/dsaf001/main.do?rcpNo=20230315000573" TargetMode="External"/><Relationship Id="rId134" Type="http://schemas.openxmlformats.org/officeDocument/2006/relationships/hyperlink" Target="https://dart.fss.or.kr/dsaf001/main.do?rcpNo=20230315001385" TargetMode="External"/><Relationship Id="rId320" Type="http://schemas.openxmlformats.org/officeDocument/2006/relationships/hyperlink" Target="https://dart.fss.or.kr/dsaf001/main.do?rcpNo=20230308000691" TargetMode="External"/><Relationship Id="rId80" Type="http://schemas.openxmlformats.org/officeDocument/2006/relationships/hyperlink" Target="https://dart.fss.or.kr/dsaf001/main.do?rcpNo=20230321000870" TargetMode="External"/><Relationship Id="rId155" Type="http://schemas.openxmlformats.org/officeDocument/2006/relationships/hyperlink" Target="https://dart.fss.or.kr/dsaf001/main.do?rcpNo=20230410003453" TargetMode="External"/><Relationship Id="rId176" Type="http://schemas.openxmlformats.org/officeDocument/2006/relationships/hyperlink" Target="https://dart.fss.or.kr/dsaf001/main.do?rcpNo=20220920000318" TargetMode="External"/><Relationship Id="rId197" Type="http://schemas.openxmlformats.org/officeDocument/2006/relationships/hyperlink" Target="https://dart.fss.or.kr/dsaf001/main.do?rcpNo=20230314000700" TargetMode="External"/><Relationship Id="rId341" Type="http://schemas.openxmlformats.org/officeDocument/2006/relationships/hyperlink" Target="http://www.gsgcorp.com/" TargetMode="External"/><Relationship Id="rId362" Type="http://schemas.openxmlformats.org/officeDocument/2006/relationships/hyperlink" Target="http://www.taihan.com/" TargetMode="External"/><Relationship Id="rId383" Type="http://schemas.openxmlformats.org/officeDocument/2006/relationships/hyperlink" Target="http://www.mcnex.co.kr/" TargetMode="External"/><Relationship Id="rId418" Type="http://schemas.openxmlformats.org/officeDocument/2006/relationships/hyperlink" Target="http://www.foosungchem.com/" TargetMode="External"/><Relationship Id="rId201" Type="http://schemas.openxmlformats.org/officeDocument/2006/relationships/hyperlink" Target="https://dart.fss.or.kr/dsaf001/main.do?rcpNo=20230315001259" TargetMode="External"/><Relationship Id="rId222" Type="http://schemas.openxmlformats.org/officeDocument/2006/relationships/hyperlink" Target="https://dart.fss.or.kr/dsaf001/main.do?rcpNo=20230315000560" TargetMode="External"/><Relationship Id="rId243" Type="http://schemas.openxmlformats.org/officeDocument/2006/relationships/hyperlink" Target="https://dart.fss.or.kr/dsaf001/main.do?rcpNo=20230323001449" TargetMode="External"/><Relationship Id="rId264" Type="http://schemas.openxmlformats.org/officeDocument/2006/relationships/hyperlink" Target="https://dart.fss.or.kr/dsaf001/main.do?rcpNo=20230321001315" TargetMode="External"/><Relationship Id="rId285" Type="http://schemas.openxmlformats.org/officeDocument/2006/relationships/hyperlink" Target="https://dart.fss.or.kr/dsaf001/main.do?rcpNo=20230321001525" TargetMode="External"/><Relationship Id="rId17" Type="http://schemas.openxmlformats.org/officeDocument/2006/relationships/hyperlink" Target="https://dart.fss.or.kr/dsaf001/main.do?rcpNo=20230316001339" TargetMode="External"/><Relationship Id="rId38" Type="http://schemas.openxmlformats.org/officeDocument/2006/relationships/hyperlink" Target="https://dart.fss.or.kr/dsaf001/main.do?rcpNo=20230309000859" TargetMode="External"/><Relationship Id="rId59" Type="http://schemas.openxmlformats.org/officeDocument/2006/relationships/hyperlink" Target="https://dart.fss.or.kr/dsaf001/main.do?rcpNo=20230321001353" TargetMode="External"/><Relationship Id="rId103" Type="http://schemas.openxmlformats.org/officeDocument/2006/relationships/hyperlink" Target="https://dart.fss.or.kr/dsaf001/main.do?rcpNo=20230316000692" TargetMode="External"/><Relationship Id="rId124" Type="http://schemas.openxmlformats.org/officeDocument/2006/relationships/hyperlink" Target="https://dart.fss.or.kr/dsaf001/main.do?rcpNo=20230315001134" TargetMode="External"/><Relationship Id="rId310" Type="http://schemas.openxmlformats.org/officeDocument/2006/relationships/hyperlink" Target="https://dart.fss.or.kr/dsaf001/main.do?rcpNo=20230315000803" TargetMode="External"/><Relationship Id="rId70" Type="http://schemas.openxmlformats.org/officeDocument/2006/relationships/hyperlink" Target="https://dart.fss.or.kr/dsaf001/main.do?rcpNo=20230712000089" TargetMode="External"/><Relationship Id="rId91" Type="http://schemas.openxmlformats.org/officeDocument/2006/relationships/hyperlink" Target="https://dart.fss.or.kr/dsaf001/main.do?rcpNo=20230316001412" TargetMode="External"/><Relationship Id="rId145" Type="http://schemas.openxmlformats.org/officeDocument/2006/relationships/hyperlink" Target="https://dart.fss.or.kr/dsaf001/main.do?rcpNo=20230315001212" TargetMode="External"/><Relationship Id="rId166" Type="http://schemas.openxmlformats.org/officeDocument/2006/relationships/hyperlink" Target="https://dart.fss.or.kr/dsaf001/main.do?rcpNo=20230724000235" TargetMode="External"/><Relationship Id="rId187" Type="http://schemas.openxmlformats.org/officeDocument/2006/relationships/hyperlink" Target="https://dart.fss.or.kr/dsaf001/main.do?rcpNo=20230309000717" TargetMode="External"/><Relationship Id="rId331" Type="http://schemas.openxmlformats.org/officeDocument/2006/relationships/hyperlink" Target="https://www.hanmi.co.kr/" TargetMode="External"/><Relationship Id="rId352" Type="http://schemas.openxmlformats.org/officeDocument/2006/relationships/hyperlink" Target="http://www.skbioscience.com/" TargetMode="External"/><Relationship Id="rId373" Type="http://schemas.openxmlformats.org/officeDocument/2006/relationships/hyperlink" Target="http://www.samsung.com/sec" TargetMode="External"/><Relationship Id="rId394" Type="http://schemas.openxmlformats.org/officeDocument/2006/relationships/hyperlink" Target="http://www.cyc1963.com/" TargetMode="External"/><Relationship Id="rId408" Type="http://schemas.openxmlformats.org/officeDocument/2006/relationships/hyperlink" Target="http://www.ekosco.com/"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2001078" TargetMode="External"/><Relationship Id="rId233" Type="http://schemas.openxmlformats.org/officeDocument/2006/relationships/hyperlink" Target="https://dart.fss.or.kr/dsaf001/main.do?rcpNo=20230315001428" TargetMode="External"/><Relationship Id="rId254" Type="http://schemas.openxmlformats.org/officeDocument/2006/relationships/hyperlink" Target="https://dart.fss.or.kr/dsaf001/main.do?rcpNo=20230316001157" TargetMode="External"/><Relationship Id="rId28" Type="http://schemas.openxmlformats.org/officeDocument/2006/relationships/hyperlink" Target="https://dart.fss.or.kr/dsaf001/main.do?rcpNo=20230323000613" TargetMode="External"/><Relationship Id="rId49" Type="http://schemas.openxmlformats.org/officeDocument/2006/relationships/hyperlink" Target="https://dart.fss.or.kr/dsaf001/main.do?rcpNo=20230220001625" TargetMode="External"/><Relationship Id="rId114" Type="http://schemas.openxmlformats.org/officeDocument/2006/relationships/hyperlink" Target="https://dart.fss.or.kr/dsaf001/main.do?rcpNo=20230316001051" TargetMode="External"/><Relationship Id="rId275" Type="http://schemas.openxmlformats.org/officeDocument/2006/relationships/hyperlink" Target="https://dart.fss.or.kr/dsaf001/main.do?rcpNo=20230323000478" TargetMode="External"/><Relationship Id="rId296" Type="http://schemas.openxmlformats.org/officeDocument/2006/relationships/hyperlink" Target="https://dart.fss.or.kr/dsaf001/main.do?rcpNo=20230323001346" TargetMode="External"/><Relationship Id="rId300" Type="http://schemas.openxmlformats.org/officeDocument/2006/relationships/hyperlink" Target="https://dart.fss.or.kr/dsaf001/main.do?rcpNo=20230314001218" TargetMode="External"/><Relationship Id="rId60" Type="http://schemas.openxmlformats.org/officeDocument/2006/relationships/hyperlink" Target="https://dart.fss.or.kr/dsaf001/main.do?rcpNo=20230321000645" TargetMode="External"/><Relationship Id="rId81" Type="http://schemas.openxmlformats.org/officeDocument/2006/relationships/hyperlink" Target="https://dart.fss.or.kr/dsaf001/main.do?rcpNo=20230320000675" TargetMode="External"/><Relationship Id="rId135" Type="http://schemas.openxmlformats.org/officeDocument/2006/relationships/hyperlink" Target="https://dart.fss.or.kr/dsaf001/main.do?rcpNo=20230315001257" TargetMode="External"/><Relationship Id="rId156" Type="http://schemas.openxmlformats.org/officeDocument/2006/relationships/hyperlink" Target="https://dart.fss.or.kr/dsaf001/main.do?rcpNo=20230320000375" TargetMode="External"/><Relationship Id="rId177" Type="http://schemas.openxmlformats.org/officeDocument/2006/relationships/hyperlink" Target="https://dart.fss.or.kr/dsaf001/main.do?rcpNo=20230315001319" TargetMode="External"/><Relationship Id="rId198" Type="http://schemas.openxmlformats.org/officeDocument/2006/relationships/hyperlink" Target="https://dart.fss.or.kr/dsaf001/main.do?rcpNo=20230315000345" TargetMode="External"/><Relationship Id="rId321" Type="http://schemas.openxmlformats.org/officeDocument/2006/relationships/hyperlink" Target="https://dart.fss.or.kr/dsaf001/main.do?rcpNo=20230308000741" TargetMode="External"/><Relationship Id="rId342" Type="http://schemas.openxmlformats.org/officeDocument/2006/relationships/hyperlink" Target="http://www.hdc-dvp.com/" TargetMode="External"/><Relationship Id="rId363" Type="http://schemas.openxmlformats.org/officeDocument/2006/relationships/hyperlink" Target="http://www.idaehan.com/" TargetMode="External"/><Relationship Id="rId384" Type="http://schemas.openxmlformats.org/officeDocument/2006/relationships/hyperlink" Target="http://www.woojinplaimm.com/" TargetMode="External"/><Relationship Id="rId419" Type="http://schemas.openxmlformats.org/officeDocument/2006/relationships/vmlDrawing" Target="../drawings/vmlDrawing3.vml"/><Relationship Id="rId202" Type="http://schemas.openxmlformats.org/officeDocument/2006/relationships/hyperlink" Target="https://dart.fss.or.kr/dsaf001/main.do?rcpNo=20230322000913" TargetMode="External"/><Relationship Id="rId223" Type="http://schemas.openxmlformats.org/officeDocument/2006/relationships/hyperlink" Target="https://dart.fss.or.kr/dsaf001/main.do?rcpNo=20230315001068" TargetMode="External"/><Relationship Id="rId244" Type="http://schemas.openxmlformats.org/officeDocument/2006/relationships/hyperlink" Target="https://dart.fss.or.kr/dsaf001/main.do?rcpNo=20230323001208" TargetMode="External"/><Relationship Id="rId18" Type="http://schemas.openxmlformats.org/officeDocument/2006/relationships/hyperlink" Target="https://dart.fss.or.kr/dsaf001/main.do?rcpNo=20230315001033" TargetMode="External"/><Relationship Id="rId39" Type="http://schemas.openxmlformats.org/officeDocument/2006/relationships/hyperlink" Target="https://dart.fss.or.kr/dsaf001/main.do?rcpNo=20230321000569" TargetMode="External"/><Relationship Id="rId265" Type="http://schemas.openxmlformats.org/officeDocument/2006/relationships/hyperlink" Target="https://dart.fss.or.kr/dsaf001/main.do?rcpNo=20230316001331" TargetMode="External"/><Relationship Id="rId286" Type="http://schemas.openxmlformats.org/officeDocument/2006/relationships/hyperlink" Target="https://dart.fss.or.kr/dsaf001/main.do?rcpNo=20230315001312" TargetMode="External"/><Relationship Id="rId50" Type="http://schemas.openxmlformats.org/officeDocument/2006/relationships/hyperlink" Target="https://dart.fss.or.kr/dsaf001/main.do?rcpNo=20230220001611" TargetMode="External"/><Relationship Id="rId104" Type="http://schemas.openxmlformats.org/officeDocument/2006/relationships/hyperlink" Target="https://dart.fss.or.kr/dsaf001/main.do?rcpNo=20230322001102" TargetMode="External"/><Relationship Id="rId125" Type="http://schemas.openxmlformats.org/officeDocument/2006/relationships/hyperlink" Target="https://dart.fss.or.kr/dsaf001/main.do?rcpNo=20230320000972" TargetMode="External"/><Relationship Id="rId146" Type="http://schemas.openxmlformats.org/officeDocument/2006/relationships/hyperlink" Target="https://dart.fss.or.kr/dsaf001/main.do?rcpNo=20230315001060" TargetMode="External"/><Relationship Id="rId167" Type="http://schemas.openxmlformats.org/officeDocument/2006/relationships/hyperlink" Target="https://dart.fss.or.kr/dsaf001/main.do?rcpNo=20230228006867" TargetMode="External"/><Relationship Id="rId188" Type="http://schemas.openxmlformats.org/officeDocument/2006/relationships/hyperlink" Target="https://dart.fss.or.kr/dsaf001/main.do?rcpNo=20230322000722" TargetMode="External"/><Relationship Id="rId311" Type="http://schemas.openxmlformats.org/officeDocument/2006/relationships/hyperlink" Target="https://dart.fss.or.kr/dsaf001/main.do?rcpNo=20230321001082" TargetMode="External"/><Relationship Id="rId332" Type="http://schemas.openxmlformats.org/officeDocument/2006/relationships/hyperlink" Target="https://ifarmlove.nonghyup.com/" TargetMode="External"/><Relationship Id="rId353" Type="http://schemas.openxmlformats.org/officeDocument/2006/relationships/hyperlink" Target="http://www.skinnovation.com/" TargetMode="External"/><Relationship Id="rId374" Type="http://schemas.openxmlformats.org/officeDocument/2006/relationships/hyperlink" Target="http://www.sycc.co.kr/" TargetMode="External"/><Relationship Id="rId395" Type="http://schemas.openxmlformats.org/officeDocument/2006/relationships/hyperlink" Target="http://www.kccworld.co.kr/" TargetMode="External"/><Relationship Id="rId409" Type="http://schemas.openxmlformats.org/officeDocument/2006/relationships/hyperlink" Target="http://www.hanshinc.com/" TargetMode="External"/><Relationship Id="rId71" Type="http://schemas.openxmlformats.org/officeDocument/2006/relationships/hyperlink" Target="https://dart.fss.or.kr/dsaf001/main.do?rcpNo=20230316001430" TargetMode="External"/><Relationship Id="rId92" Type="http://schemas.openxmlformats.org/officeDocument/2006/relationships/hyperlink" Target="https://dart.fss.or.kr/dsaf001/main.do?rcpNo=20230323001351" TargetMode="External"/><Relationship Id="rId213" Type="http://schemas.openxmlformats.org/officeDocument/2006/relationships/hyperlink" Target="https://dart.fss.or.kr/dsaf001/main.do?rcpNo=20230321000409" TargetMode="External"/><Relationship Id="rId234" Type="http://schemas.openxmlformats.org/officeDocument/2006/relationships/hyperlink" Target="https://dart.fss.or.kr/dsaf001/main.do?rcpNo=20230308000725" TargetMode="External"/><Relationship Id="rId420" Type="http://schemas.openxmlformats.org/officeDocument/2006/relationships/comments" Target="../comments3.xml"/><Relationship Id="rId2" Type="http://schemas.openxmlformats.org/officeDocument/2006/relationships/hyperlink" Target="https://dart.fss.or.kr/dsaf001/main.do?rcpNo=20230316001312" TargetMode="External"/><Relationship Id="rId29" Type="http://schemas.openxmlformats.org/officeDocument/2006/relationships/hyperlink" Target="https://dart.fss.or.kr/dsaf001/main.do?rcpNo=20230320000688" TargetMode="External"/><Relationship Id="rId255" Type="http://schemas.openxmlformats.org/officeDocument/2006/relationships/hyperlink" Target="https://dart.fss.or.kr/dsaf001/main.do?rcpNo=20230323001143" TargetMode="External"/><Relationship Id="rId276" Type="http://schemas.openxmlformats.org/officeDocument/2006/relationships/hyperlink" Target="https://dart.fss.or.kr/dsaf001/main.do?rcpNo=20230315000812" TargetMode="External"/><Relationship Id="rId297" Type="http://schemas.openxmlformats.org/officeDocument/2006/relationships/hyperlink" Target="https://dart.fss.or.kr/dsaf001/main.do?rcpNo=20230315001412" TargetMode="External"/><Relationship Id="rId40" Type="http://schemas.openxmlformats.org/officeDocument/2006/relationships/hyperlink" Target="https://dart.fss.or.kr/dsaf001/main.do?rcpNo=20230320000844" TargetMode="External"/><Relationship Id="rId115" Type="http://schemas.openxmlformats.org/officeDocument/2006/relationships/hyperlink" Target="https://dart.fss.or.kr/dsaf001/main.do?rcpNo=20230315001395" TargetMode="External"/><Relationship Id="rId136" Type="http://schemas.openxmlformats.org/officeDocument/2006/relationships/hyperlink" Target="https://dart.fss.or.kr/dsaf001/main.do?rcpNo=20230313000726" TargetMode="External"/><Relationship Id="rId157" Type="http://schemas.openxmlformats.org/officeDocument/2006/relationships/hyperlink" Target="https://dart.fss.or.kr/dsaf001/main.do?rcpNo=20230316001182" TargetMode="External"/><Relationship Id="rId178" Type="http://schemas.openxmlformats.org/officeDocument/2006/relationships/hyperlink" Target="https://dart.fss.or.kr/dsaf001/main.do?rcpNo=20230314001079" TargetMode="External"/><Relationship Id="rId301" Type="http://schemas.openxmlformats.org/officeDocument/2006/relationships/hyperlink" Target="https://dart.fss.or.kr/dsaf001/main.do?rcpNo=20230411001656" TargetMode="External"/><Relationship Id="rId322" Type="http://schemas.openxmlformats.org/officeDocument/2006/relationships/hyperlink" Target="https://dart.fss.or.kr/dsaf001/main.do?rcpNo=20230321000387" TargetMode="External"/><Relationship Id="rId343" Type="http://schemas.openxmlformats.org/officeDocument/2006/relationships/hyperlink" Target="http://www.hd-hyundaies.co.kr/" TargetMode="External"/><Relationship Id="rId364" Type="http://schemas.openxmlformats.org/officeDocument/2006/relationships/hyperlink" Target="http://www.daehansf.co.kr/" TargetMode="External"/><Relationship Id="rId61" Type="http://schemas.openxmlformats.org/officeDocument/2006/relationships/hyperlink" Target="https://dart.fss.or.kr/dsaf001/main.do?rcpNo=20230314000982" TargetMode="External"/><Relationship Id="rId82" Type="http://schemas.openxmlformats.org/officeDocument/2006/relationships/hyperlink" Target="https://dart.fss.or.kr/dsaf001/main.do?rcpNo=20230321000752" TargetMode="External"/><Relationship Id="rId199" Type="http://schemas.openxmlformats.org/officeDocument/2006/relationships/hyperlink" Target="https://dart.fss.or.kr/dsaf001/main.do?rcpNo=20230321001365" TargetMode="External"/><Relationship Id="rId203" Type="http://schemas.openxmlformats.org/officeDocument/2006/relationships/hyperlink" Target="https://dart.fss.or.kr/dsaf001/main.do?rcpNo=20230316001571" TargetMode="External"/><Relationship Id="rId385" Type="http://schemas.openxmlformats.org/officeDocument/2006/relationships/hyperlink" Target="http://www.wjthinkbig.com/" TargetMode="External"/><Relationship Id="rId19" Type="http://schemas.openxmlformats.org/officeDocument/2006/relationships/hyperlink" Target="https://dart.fss.or.kr/dsaf001/main.do?rcpNo=20230713000082" TargetMode="External"/><Relationship Id="rId224" Type="http://schemas.openxmlformats.org/officeDocument/2006/relationships/hyperlink" Target="https://dart.fss.or.kr/dsaf001/main.do?rcpNo=20230714000214" TargetMode="External"/><Relationship Id="rId245" Type="http://schemas.openxmlformats.org/officeDocument/2006/relationships/hyperlink" Target="https://dart.fss.or.kr/dsaf001/main.do?rcpNo=20230320001005" TargetMode="External"/><Relationship Id="rId266" Type="http://schemas.openxmlformats.org/officeDocument/2006/relationships/hyperlink" Target="https://dart.fss.or.kr/dsaf001/main.do?rcpNo=20230313000443" TargetMode="External"/><Relationship Id="rId287" Type="http://schemas.openxmlformats.org/officeDocument/2006/relationships/hyperlink" Target="https://dart.fss.or.kr/dsaf001/main.do?rcpNo=20230320000937" TargetMode="External"/><Relationship Id="rId410" Type="http://schemas.openxmlformats.org/officeDocument/2006/relationships/hyperlink" Target="http://www.kepid.co.kr/" TargetMode="External"/><Relationship Id="rId30" Type="http://schemas.openxmlformats.org/officeDocument/2006/relationships/hyperlink" Target="https://dart.fss.or.kr/dsaf001/main.do?rcpNo=20230320000833" TargetMode="External"/><Relationship Id="rId105" Type="http://schemas.openxmlformats.org/officeDocument/2006/relationships/hyperlink" Target="https://dart.fss.or.kr/dsaf001/main.do?rcpNo=20230317000669" TargetMode="External"/><Relationship Id="rId126" Type="http://schemas.openxmlformats.org/officeDocument/2006/relationships/hyperlink" Target="https://dart.fss.or.kr/dsaf001/main.do?rcpNo=20230315001384" TargetMode="External"/><Relationship Id="rId147" Type="http://schemas.openxmlformats.org/officeDocument/2006/relationships/hyperlink" Target="https://dart.fss.or.kr/dsaf001/main.do?rcpNo=20230321001381" TargetMode="External"/><Relationship Id="rId168" Type="http://schemas.openxmlformats.org/officeDocument/2006/relationships/hyperlink" Target="https://dart.fss.or.kr/dsaf001/main.do?rcpNo=20230316000461" TargetMode="External"/><Relationship Id="rId312" Type="http://schemas.openxmlformats.org/officeDocument/2006/relationships/hyperlink" Target="https://dart.fss.or.kr/dsaf001/main.do?rcpNo=20230309000797" TargetMode="External"/><Relationship Id="rId333" Type="http://schemas.openxmlformats.org/officeDocument/2006/relationships/hyperlink" Target="https://www.arko.or.kr/supp/" TargetMode="External"/><Relationship Id="rId354" Type="http://schemas.openxmlformats.org/officeDocument/2006/relationships/hyperlink" Target="http://www.skchemicals.com/" TargetMode="External"/><Relationship Id="rId51" Type="http://schemas.openxmlformats.org/officeDocument/2006/relationships/hyperlink" Target="https://dart.fss.or.kr/dsaf001/main.do?rcpNo=20230315001078" TargetMode="External"/><Relationship Id="rId72" Type="http://schemas.openxmlformats.org/officeDocument/2006/relationships/hyperlink" Target="https://dart.fss.or.kr/dsaf001/main.do?rcpNo=20230321000737" TargetMode="External"/><Relationship Id="rId93" Type="http://schemas.openxmlformats.org/officeDocument/2006/relationships/hyperlink" Target="https://dart.fss.or.kr/dsaf001/main.do?rcpNo=20230316001384" TargetMode="External"/><Relationship Id="rId189" Type="http://schemas.openxmlformats.org/officeDocument/2006/relationships/hyperlink" Target="https://dart.fss.or.kr/dsaf001/main.do?rcpNo=20230323001296" TargetMode="External"/><Relationship Id="rId375" Type="http://schemas.openxmlformats.org/officeDocument/2006/relationships/hyperlink" Target="http://www.samick.co.kr/" TargetMode="External"/><Relationship Id="rId396" Type="http://schemas.openxmlformats.org/officeDocument/2006/relationships/hyperlink" Target="http://www.kctc.co.kr/" TargetMode="External"/><Relationship Id="rId3" Type="http://schemas.openxmlformats.org/officeDocument/2006/relationships/hyperlink" Target="https://dart.fss.or.kr/dsaf001/main.do?rcpNo=20230317000857" TargetMode="External"/><Relationship Id="rId214" Type="http://schemas.openxmlformats.org/officeDocument/2006/relationships/hyperlink" Target="https://dart.fss.or.kr/dsaf001/main.do?rcpNo=20230323001335" TargetMode="External"/><Relationship Id="rId235" Type="http://schemas.openxmlformats.org/officeDocument/2006/relationships/hyperlink" Target="https://dart.fss.or.kr/dsaf001/main.do?rcpNo=20230306000422" TargetMode="External"/><Relationship Id="rId256" Type="http://schemas.openxmlformats.org/officeDocument/2006/relationships/hyperlink" Target="https://dart.fss.or.kr/dsaf001/main.do?rcpNo=20230314000862" TargetMode="External"/><Relationship Id="rId277" Type="http://schemas.openxmlformats.org/officeDocument/2006/relationships/hyperlink" Target="https://dart.fss.or.kr/dsaf001/main.do?rcpNo=20230323000970" TargetMode="External"/><Relationship Id="rId298" Type="http://schemas.openxmlformats.org/officeDocument/2006/relationships/hyperlink" Target="https://dart.fss.or.kr/dsaf001/main.do?rcpNo=20230315000557" TargetMode="External"/><Relationship Id="rId400" Type="http://schemas.openxmlformats.org/officeDocument/2006/relationships/hyperlink" Target="http://www.cosmoamt.com/" TargetMode="External"/><Relationship Id="rId421" Type="http://schemas.microsoft.com/office/2017/10/relationships/threadedComment" Target="../threadedComments/threadedComment3.xml"/><Relationship Id="rId116" Type="http://schemas.openxmlformats.org/officeDocument/2006/relationships/hyperlink" Target="https://dart.fss.or.kr/dsaf001/main.do?rcpNo=20230424000485" TargetMode="External"/><Relationship Id="rId137" Type="http://schemas.openxmlformats.org/officeDocument/2006/relationships/hyperlink" Target="https://dart.fss.or.kr/dsaf001/main.do?rcpNo=20230308000737" TargetMode="External"/><Relationship Id="rId158" Type="http://schemas.openxmlformats.org/officeDocument/2006/relationships/hyperlink" Target="https://dart.fss.or.kr/dsaf001/main.do?rcpNo=20230316001232" TargetMode="External"/><Relationship Id="rId302" Type="http://schemas.openxmlformats.org/officeDocument/2006/relationships/hyperlink" Target="https://dart.fss.or.kr/dsaf001/main.do?rcpNo=20230315001104" TargetMode="External"/><Relationship Id="rId323" Type="http://schemas.openxmlformats.org/officeDocument/2006/relationships/hyperlink" Target="https://dart.fss.or.kr/dsaf001/main.do?rcpNo=20230313000533" TargetMode="External"/><Relationship Id="rId344" Type="http://schemas.openxmlformats.org/officeDocument/2006/relationships/hyperlink" Target="http://www.halla.co.kr/" TargetMode="External"/><Relationship Id="rId20" Type="http://schemas.openxmlformats.org/officeDocument/2006/relationships/hyperlink" Target="https://dart.fss.or.kr/dsaf001/main.do?rcpNo=20230317000301" TargetMode="External"/><Relationship Id="rId41" Type="http://schemas.openxmlformats.org/officeDocument/2006/relationships/hyperlink" Target="https://dart.fss.or.kr/dsaf001/main.do?rcpNo=20230315000990" TargetMode="External"/><Relationship Id="rId62" Type="http://schemas.openxmlformats.org/officeDocument/2006/relationships/hyperlink" Target="https://dart.fss.or.kr/dsaf001/main.do?rcpNo=20230314000692" TargetMode="External"/><Relationship Id="rId83" Type="http://schemas.openxmlformats.org/officeDocument/2006/relationships/hyperlink" Target="https://dart.fss.or.kr/dsaf001/main.do?rcpNo=20230321000740" TargetMode="External"/><Relationship Id="rId179" Type="http://schemas.openxmlformats.org/officeDocument/2006/relationships/hyperlink" Target="https://dart.fss.or.kr/dsaf001/main.do?rcpNo=20230316001089" TargetMode="External"/><Relationship Id="rId365" Type="http://schemas.openxmlformats.org/officeDocument/2006/relationships/hyperlink" Target="http://www.duksung21.com/" TargetMode="External"/><Relationship Id="rId386" Type="http://schemas.openxmlformats.org/officeDocument/2006/relationships/hyperlink" Target="http://www.petasys.com/" TargetMode="External"/><Relationship Id="rId190" Type="http://schemas.openxmlformats.org/officeDocument/2006/relationships/hyperlink" Target="https://dart.fss.or.kr/dsaf001/main.do?rcpNo=20230315001190" TargetMode="External"/><Relationship Id="rId204" Type="http://schemas.openxmlformats.org/officeDocument/2006/relationships/hyperlink" Target="https://dart.fss.or.kr/dsaf001/main.do?rcpNo=20230317000918" TargetMode="External"/><Relationship Id="rId225" Type="http://schemas.openxmlformats.org/officeDocument/2006/relationships/hyperlink" Target="https://dart.fss.or.kr/dsaf001/main.do?rcpNo=20230308000451" TargetMode="External"/><Relationship Id="rId246" Type="http://schemas.openxmlformats.org/officeDocument/2006/relationships/hyperlink" Target="https://dart.fss.or.kr/dsaf001/main.do?rcpNo=20230317001037" TargetMode="External"/><Relationship Id="rId267" Type="http://schemas.openxmlformats.org/officeDocument/2006/relationships/hyperlink" Target="https://dart.fss.or.kr/dsaf001/main.do?rcpNo=20230317000751" TargetMode="External"/><Relationship Id="rId288" Type="http://schemas.openxmlformats.org/officeDocument/2006/relationships/hyperlink" Target="https://dart.fss.or.kr/dsaf001/main.do?rcpNo=20230314000521" TargetMode="External"/><Relationship Id="rId411" Type="http://schemas.openxmlformats.org/officeDocument/2006/relationships/hyperlink" Target="http://www.hanjin.com/" TargetMode="External"/><Relationship Id="rId106" Type="http://schemas.openxmlformats.org/officeDocument/2006/relationships/hyperlink" Target="https://dart.fss.or.kr/dsaf001/main.do?rcpNo=20230320000820" TargetMode="External"/><Relationship Id="rId127" Type="http://schemas.openxmlformats.org/officeDocument/2006/relationships/hyperlink" Target="https://dart.fss.or.kr/dsaf001/main.do?rcpNo=20230310000296" TargetMode="External"/><Relationship Id="rId313" Type="http://schemas.openxmlformats.org/officeDocument/2006/relationships/hyperlink" Target="https://dart.fss.or.kr/dsaf001/main.do?rcpNo=20230315001376" TargetMode="External"/><Relationship Id="rId10" Type="http://schemas.openxmlformats.org/officeDocument/2006/relationships/hyperlink" Target="https://dart.fss.or.kr/dsaf001/main.do?rcpNo=20230315001420" TargetMode="External"/><Relationship Id="rId31" Type="http://schemas.openxmlformats.org/officeDocument/2006/relationships/hyperlink" Target="https://dart.fss.or.kr/dsaf001/main.do?rcpNo=20230302000615" TargetMode="External"/><Relationship Id="rId52" Type="http://schemas.openxmlformats.org/officeDocument/2006/relationships/hyperlink" Target="https://dart.fss.or.kr/dsaf001/main.do?rcpNo=20230322000815" TargetMode="External"/><Relationship Id="rId73" Type="http://schemas.openxmlformats.org/officeDocument/2006/relationships/hyperlink" Target="https://dart.fss.or.kr/dsaf001/main.do?rcpNo=20230316000929" TargetMode="External"/><Relationship Id="rId94" Type="http://schemas.openxmlformats.org/officeDocument/2006/relationships/hyperlink" Target="https://dart.fss.or.kr/dsaf001/main.do?rcpNo=20230315001173" TargetMode="External"/><Relationship Id="rId148" Type="http://schemas.openxmlformats.org/officeDocument/2006/relationships/hyperlink" Target="https://dart.fss.or.kr/dsaf001/main.do?rcpNo=20230315001242" TargetMode="External"/><Relationship Id="rId169" Type="http://schemas.openxmlformats.org/officeDocument/2006/relationships/hyperlink" Target="https://dart.fss.or.kr/dsaf001/main.do?rcpNo=20230320000842" TargetMode="External"/><Relationship Id="rId334" Type="http://schemas.openxmlformats.org/officeDocument/2006/relationships/hyperlink" Target="https://www.cj.co.kr/kr/aboutus/sustainability/contribution-social" TargetMode="External"/><Relationship Id="rId355" Type="http://schemas.openxmlformats.org/officeDocument/2006/relationships/hyperlink" Target="http://www.sktelecom.com/" TargetMode="External"/><Relationship Id="rId376" Type="http://schemas.openxmlformats.org/officeDocument/2006/relationships/hyperlink" Target="http://www.seoulgas.co.kr/" TargetMode="External"/><Relationship Id="rId397" Type="http://schemas.openxmlformats.org/officeDocument/2006/relationships/hyperlink" Target="http://www.kcar.com/" TargetMode="External"/><Relationship Id="rId4" Type="http://schemas.openxmlformats.org/officeDocument/2006/relationships/hyperlink" Target="https://dart.fss.or.kr/dsaf001/main.do?rcpNo=20230320000740" TargetMode="External"/><Relationship Id="rId180" Type="http://schemas.openxmlformats.org/officeDocument/2006/relationships/hyperlink" Target="https://dart.fss.or.kr/dsaf001/main.do?rcpNo=20230615000542" TargetMode="External"/><Relationship Id="rId215" Type="http://schemas.openxmlformats.org/officeDocument/2006/relationships/hyperlink" Target="https://dart.fss.or.kr/dsaf001/main.do?rcpNo=20230309000433" TargetMode="External"/><Relationship Id="rId236" Type="http://schemas.openxmlformats.org/officeDocument/2006/relationships/hyperlink" Target="https://dart.fss.or.kr/dsaf001/main.do?rcpNo=20230320000418" TargetMode="External"/><Relationship Id="rId257" Type="http://schemas.openxmlformats.org/officeDocument/2006/relationships/hyperlink" Target="https://dart.fss.or.kr/dsaf001/main.do?rcpNo=20230317000233" TargetMode="External"/><Relationship Id="rId278" Type="http://schemas.openxmlformats.org/officeDocument/2006/relationships/hyperlink" Target="https://dart.fss.or.kr/dsaf001/main.do?rcpNo=20230316001234" TargetMode="External"/><Relationship Id="rId401" Type="http://schemas.openxmlformats.org/officeDocument/2006/relationships/hyperlink" Target="http://www.krafton.com/" TargetMode="External"/><Relationship Id="rId303" Type="http://schemas.openxmlformats.org/officeDocument/2006/relationships/hyperlink" Target="https://dart.fss.or.kr/dsaf001/main.do?rcpNo=20230321001449" TargetMode="External"/><Relationship Id="rId42" Type="http://schemas.openxmlformats.org/officeDocument/2006/relationships/hyperlink" Target="https://dart.fss.or.kr/dsaf001/main.do?rcpNo=20230320000162" TargetMode="External"/><Relationship Id="rId84" Type="http://schemas.openxmlformats.org/officeDocument/2006/relationships/hyperlink" Target="https://dart.fss.or.kr/dsaf001/main.do?rcpNo=20230324000880" TargetMode="External"/><Relationship Id="rId138" Type="http://schemas.openxmlformats.org/officeDocument/2006/relationships/hyperlink" Target="https://dart.fss.or.kr/dsaf001/main.do?rcpNo=20230307000606" TargetMode="External"/><Relationship Id="rId345" Type="http://schemas.openxmlformats.org/officeDocument/2006/relationships/hyperlink" Target="http://kg-steel.co.kr/" TargetMode="External"/><Relationship Id="rId387" Type="http://schemas.openxmlformats.org/officeDocument/2006/relationships/hyperlink" Target="http://www.intergis.co.kr/" TargetMode="External"/><Relationship Id="rId191" Type="http://schemas.openxmlformats.org/officeDocument/2006/relationships/hyperlink" Target="https://dart.fss.or.kr/dsaf001/main.do?rcpNo=20230320001088" TargetMode="External"/><Relationship Id="rId205" Type="http://schemas.openxmlformats.org/officeDocument/2006/relationships/hyperlink" Target="https://dart.fss.or.kr/dsaf001/main.do?rcpNo=20230308000675" TargetMode="External"/><Relationship Id="rId247" Type="http://schemas.openxmlformats.org/officeDocument/2006/relationships/hyperlink" Target="https://dart.fss.or.kr/dsaf001/main.do?rcpNo=20230323001465" TargetMode="External"/><Relationship Id="rId412" Type="http://schemas.openxmlformats.org/officeDocument/2006/relationships/hyperlink" Target="http://www.hancomlifecare.com/" TargetMode="External"/><Relationship Id="rId107" Type="http://schemas.openxmlformats.org/officeDocument/2006/relationships/hyperlink" Target="https://dart.fss.or.kr/dsaf001/main.do?rcpNo=20230314000884" TargetMode="External"/><Relationship Id="rId289" Type="http://schemas.openxmlformats.org/officeDocument/2006/relationships/hyperlink" Target="https://dart.fss.or.kr/dsaf001/main.do?rcpNo=20230313000732" TargetMode="External"/><Relationship Id="rId11" Type="http://schemas.openxmlformats.org/officeDocument/2006/relationships/hyperlink" Target="https://dart.fss.or.kr/dsaf001/main.do?rcpNo=20230322001200" TargetMode="External"/><Relationship Id="rId53" Type="http://schemas.openxmlformats.org/officeDocument/2006/relationships/hyperlink" Target="https://dart.fss.or.kr/dsaf001/main.do?rcpNo=20230322000774" TargetMode="External"/><Relationship Id="rId149" Type="http://schemas.openxmlformats.org/officeDocument/2006/relationships/hyperlink" Target="https://dart.fss.or.kr/dsaf001/main.do?rcpNo=20230713000197" TargetMode="External"/><Relationship Id="rId314" Type="http://schemas.openxmlformats.org/officeDocument/2006/relationships/hyperlink" Target="https://dart.fss.or.kr/dsaf001/main.do?rcpNo=20230316001392" TargetMode="External"/><Relationship Id="rId356" Type="http://schemas.openxmlformats.org/officeDocument/2006/relationships/hyperlink" Target="http://www.hisntd.com/" TargetMode="External"/><Relationship Id="rId398" Type="http://schemas.openxmlformats.org/officeDocument/2006/relationships/hyperlink" Target="http://www.kt.com/" TargetMode="External"/><Relationship Id="rId95" Type="http://schemas.openxmlformats.org/officeDocument/2006/relationships/hyperlink" Target="https://dart.fss.or.kr/dsaf001/main.do?rcpNo=20230317000725" TargetMode="External"/><Relationship Id="rId160" Type="http://schemas.openxmlformats.org/officeDocument/2006/relationships/hyperlink" Target="https://dart.fss.or.kr/dsaf001/main.do?rcpNo=20230310000633" TargetMode="External"/><Relationship Id="rId216" Type="http://schemas.openxmlformats.org/officeDocument/2006/relationships/hyperlink" Target="https://dart.fss.or.kr/dsaf001/main.do?rcpNo=20230323001183" TargetMode="External"/><Relationship Id="rId258" Type="http://schemas.openxmlformats.org/officeDocument/2006/relationships/hyperlink" Target="https://dart.fss.or.kr/dsaf001/main.do?rcpNo=20230322000780"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art.fss.or.kr/dsaf001/main.do?rcpNo=20230323001050" TargetMode="External"/><Relationship Id="rId299" Type="http://schemas.openxmlformats.org/officeDocument/2006/relationships/hyperlink" Target="https://dart.fss.or.kr/dsaf001/main.do?rcpNo=20230315001327" TargetMode="External"/><Relationship Id="rId303" Type="http://schemas.openxmlformats.org/officeDocument/2006/relationships/hyperlink" Target="https://dart.fss.or.kr/dsaf001/main.do?rcpNo=20230321001449" TargetMode="External"/><Relationship Id="rId21" Type="http://schemas.openxmlformats.org/officeDocument/2006/relationships/hyperlink" Target="https://dart.fss.or.kr/dsaf001/main.do?rcpNo=20230315001407" TargetMode="External"/><Relationship Id="rId42" Type="http://schemas.openxmlformats.org/officeDocument/2006/relationships/hyperlink" Target="https://dart.fss.or.kr/dsaf001/main.do?rcpNo=20230320000162" TargetMode="External"/><Relationship Id="rId63" Type="http://schemas.openxmlformats.org/officeDocument/2006/relationships/hyperlink" Target="https://dart.fss.or.kr/dsaf001/main.do?rcpNo=20230322001068" TargetMode="External"/><Relationship Id="rId84" Type="http://schemas.openxmlformats.org/officeDocument/2006/relationships/hyperlink" Target="https://dart.fss.or.kr/dsaf001/main.do?rcpNo=20230324000880" TargetMode="External"/><Relationship Id="rId138" Type="http://schemas.openxmlformats.org/officeDocument/2006/relationships/hyperlink" Target="https://dart.fss.or.kr/dsaf001/main.do?rcpNo=20230307000606" TargetMode="External"/><Relationship Id="rId159" Type="http://schemas.openxmlformats.org/officeDocument/2006/relationships/hyperlink" Target="https://dart.fss.or.kr/dsaf001/main.do?rcpNo=20230317000349" TargetMode="External"/><Relationship Id="rId324" Type="http://schemas.openxmlformats.org/officeDocument/2006/relationships/hyperlink" Target="https://dart.fss.or.kr/dsaf001/main.do?rcpNo=20230316001454" TargetMode="External"/><Relationship Id="rId170" Type="http://schemas.openxmlformats.org/officeDocument/2006/relationships/hyperlink" Target="https://dart.fss.or.kr/dsaf001/main.do?rcpNo=20230320000954" TargetMode="External"/><Relationship Id="rId191" Type="http://schemas.openxmlformats.org/officeDocument/2006/relationships/hyperlink" Target="https://dart.fss.or.kr/dsaf001/main.do?rcpNo=20230320001088" TargetMode="External"/><Relationship Id="rId205" Type="http://schemas.openxmlformats.org/officeDocument/2006/relationships/hyperlink" Target="https://dart.fss.or.kr/dsaf001/main.do?rcpNo=20230308000675" TargetMode="External"/><Relationship Id="rId226" Type="http://schemas.openxmlformats.org/officeDocument/2006/relationships/hyperlink" Target="https://dart.fss.or.kr/dsaf001/main.do?rcpNo=20230321000389" TargetMode="External"/><Relationship Id="rId247" Type="http://schemas.openxmlformats.org/officeDocument/2006/relationships/hyperlink" Target="https://dart.fss.or.kr/dsaf001/main.do?rcpNo=20230323001465" TargetMode="External"/><Relationship Id="rId107" Type="http://schemas.openxmlformats.org/officeDocument/2006/relationships/hyperlink" Target="https://dart.fss.or.kr/dsaf001/main.do?rcpNo=20230314000884" TargetMode="External"/><Relationship Id="rId268" Type="http://schemas.openxmlformats.org/officeDocument/2006/relationships/hyperlink" Target="https://dart.fss.or.kr/dsaf001/main.do?rcpNo=20230322001245" TargetMode="External"/><Relationship Id="rId289" Type="http://schemas.openxmlformats.org/officeDocument/2006/relationships/hyperlink" Target="https://dart.fss.or.kr/dsaf001/main.do?rcpNo=20230313000732" TargetMode="External"/><Relationship Id="rId11" Type="http://schemas.openxmlformats.org/officeDocument/2006/relationships/hyperlink" Target="https://dart.fss.or.kr/dsaf001/main.do?rcpNo=20230322001200" TargetMode="External"/><Relationship Id="rId32" Type="http://schemas.openxmlformats.org/officeDocument/2006/relationships/hyperlink" Target="https://dart.fss.or.kr/dsaf001/main.do?rcpNo=20230222002549" TargetMode="External"/><Relationship Id="rId53" Type="http://schemas.openxmlformats.org/officeDocument/2006/relationships/hyperlink" Target="https://dart.fss.or.kr/dsaf001/main.do?rcpNo=20230322000774" TargetMode="External"/><Relationship Id="rId74" Type="http://schemas.openxmlformats.org/officeDocument/2006/relationships/hyperlink" Target="https://dart.fss.or.kr/dsaf001/main.do?rcpNo=20230321001403" TargetMode="External"/><Relationship Id="rId128" Type="http://schemas.openxmlformats.org/officeDocument/2006/relationships/hyperlink" Target="https://dart.fss.or.kr/dsaf001/main.do?rcpNo=20230327000678" TargetMode="External"/><Relationship Id="rId149" Type="http://schemas.openxmlformats.org/officeDocument/2006/relationships/hyperlink" Target="https://dart.fss.or.kr/dsaf001/main.do?rcpNo=20230713000197" TargetMode="External"/><Relationship Id="rId314" Type="http://schemas.openxmlformats.org/officeDocument/2006/relationships/hyperlink" Target="https://dart.fss.or.kr/dsaf001/main.do?rcpNo=20230316001392" TargetMode="External"/><Relationship Id="rId335" Type="http://schemas.openxmlformats.org/officeDocument/2006/relationships/hyperlink" Target="https://www.ccn.go.kr/contents/include.ccn?gSiteCode=2&amp;gMenuCode=4&amp;nMenuCode=13" TargetMode="External"/><Relationship Id="rId5" Type="http://schemas.openxmlformats.org/officeDocument/2006/relationships/hyperlink" Target="https://dart.fss.or.kr/dsaf001/main.do?rcpNo=20230814001661" TargetMode="External"/><Relationship Id="rId95" Type="http://schemas.openxmlformats.org/officeDocument/2006/relationships/hyperlink" Target="https://dart.fss.or.kr/dsaf001/main.do?rcpNo=20230317000725" TargetMode="External"/><Relationship Id="rId160" Type="http://schemas.openxmlformats.org/officeDocument/2006/relationships/hyperlink" Target="https://dart.fss.or.kr/dsaf001/main.do?rcpNo=20230310000633" TargetMode="External"/><Relationship Id="rId181" Type="http://schemas.openxmlformats.org/officeDocument/2006/relationships/hyperlink" Target="https://dart.fss.or.kr/dsaf001/main.do?rcpNo=20230323000459" TargetMode="External"/><Relationship Id="rId216" Type="http://schemas.openxmlformats.org/officeDocument/2006/relationships/hyperlink" Target="https://dart.fss.or.kr/dsaf001/main.do?rcpNo=20230323001183" TargetMode="External"/><Relationship Id="rId237" Type="http://schemas.openxmlformats.org/officeDocument/2006/relationships/hyperlink" Target="https://dart.fss.or.kr/dsaf001/main.do?rcpNo=20230321001298" TargetMode="External"/><Relationship Id="rId258" Type="http://schemas.openxmlformats.org/officeDocument/2006/relationships/hyperlink" Target="https://dart.fss.or.kr/dsaf001/main.do?rcpNo=20230322000780" TargetMode="External"/><Relationship Id="rId279" Type="http://schemas.openxmlformats.org/officeDocument/2006/relationships/hyperlink" Target="https://dart.fss.or.kr/dsaf001/main.do?rcpNo=20230316000941" TargetMode="External"/><Relationship Id="rId22" Type="http://schemas.openxmlformats.org/officeDocument/2006/relationships/hyperlink" Target="https://dart.fss.or.kr/dsaf001/main.do?rcpNo=20230714000061" TargetMode="External"/><Relationship Id="rId43" Type="http://schemas.openxmlformats.org/officeDocument/2006/relationships/hyperlink" Target="https://dart.fss.or.kr/dsaf001/main.do?rcpNo=20230317000869" TargetMode="External"/><Relationship Id="rId64" Type="http://schemas.openxmlformats.org/officeDocument/2006/relationships/hyperlink" Target="https://dart.fss.or.kr/dsaf001/main.do?rcpNo=20230314000467" TargetMode="External"/><Relationship Id="rId118" Type="http://schemas.openxmlformats.org/officeDocument/2006/relationships/hyperlink" Target="https://dart.fss.or.kr/dsaf001/main.do?rcpNo=20230315000646" TargetMode="External"/><Relationship Id="rId139" Type="http://schemas.openxmlformats.org/officeDocument/2006/relationships/hyperlink" Target="https://dart.fss.or.kr/dsaf001/main.do?rcpNo=20230831001403" TargetMode="External"/><Relationship Id="rId290" Type="http://schemas.openxmlformats.org/officeDocument/2006/relationships/hyperlink" Target="https://dart.fss.or.kr/dsaf001/main.do?rcpNo=20230314001231" TargetMode="External"/><Relationship Id="rId304" Type="http://schemas.openxmlformats.org/officeDocument/2006/relationships/hyperlink" Target="https://dart.fss.or.kr/dsaf001/main.do?rcpNo=20230310001083" TargetMode="External"/><Relationship Id="rId325" Type="http://schemas.openxmlformats.org/officeDocument/2006/relationships/hyperlink" Target="https://dart.fss.or.kr/dsaf001/main.do?rcpNo=20230309000761" TargetMode="External"/><Relationship Id="rId85" Type="http://schemas.openxmlformats.org/officeDocument/2006/relationships/hyperlink" Target="https://dart.fss.or.kr/dsaf001/main.do?rcpNo=20230317000005" TargetMode="External"/><Relationship Id="rId150" Type="http://schemas.openxmlformats.org/officeDocument/2006/relationships/hyperlink" Target="https://dart.fss.or.kr/dsaf001/main.do?rcpNo=20230524000304" TargetMode="External"/><Relationship Id="rId171" Type="http://schemas.openxmlformats.org/officeDocument/2006/relationships/hyperlink" Target="https://dart.fss.or.kr/dsaf001/main.do?rcpNo=20230302000104" TargetMode="External"/><Relationship Id="rId192" Type="http://schemas.openxmlformats.org/officeDocument/2006/relationships/hyperlink" Target="https://dart.fss.or.kr/dsaf001/main.do?rcpNo=20230515000371" TargetMode="External"/><Relationship Id="rId206" Type="http://schemas.openxmlformats.org/officeDocument/2006/relationships/hyperlink" Target="https://dart.fss.or.kr/dsaf001/main.do?rcpNo=20230329000065" TargetMode="External"/><Relationship Id="rId227" Type="http://schemas.openxmlformats.org/officeDocument/2006/relationships/hyperlink" Target="https://dart.fss.or.kr/dsaf001/main.do?rcpNo=20230314001271" TargetMode="External"/><Relationship Id="rId248" Type="http://schemas.openxmlformats.org/officeDocument/2006/relationships/hyperlink" Target="https://dart.fss.or.kr/dsaf001/main.do?rcpNo=20230315000297" TargetMode="External"/><Relationship Id="rId269" Type="http://schemas.openxmlformats.org/officeDocument/2006/relationships/hyperlink" Target="https://dart.fss.or.kr/dsaf001/main.do?rcpNo=20230316001467" TargetMode="External"/><Relationship Id="rId12" Type="http://schemas.openxmlformats.org/officeDocument/2006/relationships/hyperlink" Target="https://dart.fss.or.kr/dsaf001/main.do?rcpNo=20230320000736" TargetMode="External"/><Relationship Id="rId33" Type="http://schemas.openxmlformats.org/officeDocument/2006/relationships/hyperlink" Target="https://dart.fss.or.kr/dsaf001/main.do?rcpNo=20230317000276" TargetMode="External"/><Relationship Id="rId108" Type="http://schemas.openxmlformats.org/officeDocument/2006/relationships/hyperlink" Target="https://dart.fss.or.kr/dsaf001/main.do?rcpNo=20230324000928" TargetMode="External"/><Relationship Id="rId129" Type="http://schemas.openxmlformats.org/officeDocument/2006/relationships/hyperlink" Target="https://dart.fss.or.kr/dsaf001/main.do?rcpNo=20221230000430" TargetMode="External"/><Relationship Id="rId280" Type="http://schemas.openxmlformats.org/officeDocument/2006/relationships/hyperlink" Target="https://dart.fss.or.kr/dsaf001/main.do?rcpNo=20230321001102" TargetMode="External"/><Relationship Id="rId315" Type="http://schemas.openxmlformats.org/officeDocument/2006/relationships/hyperlink" Target="https://dart.fss.or.kr/dsaf001/main.do?rcpNo=20230321000920" TargetMode="External"/><Relationship Id="rId336" Type="http://schemas.openxmlformats.org/officeDocument/2006/relationships/hyperlink" Target="https://www.fss.or.kr/fss/main/contents.do?menuNo=200495" TargetMode="External"/><Relationship Id="rId54" Type="http://schemas.openxmlformats.org/officeDocument/2006/relationships/hyperlink" Target="https://dart.fss.or.kr/dsaf001/main.do?rcpNo=20230314001158" TargetMode="External"/><Relationship Id="rId75" Type="http://schemas.openxmlformats.org/officeDocument/2006/relationships/hyperlink" Target="https://dart.fss.or.kr/dsaf001/main.do?rcpNo=20230316000958" TargetMode="External"/><Relationship Id="rId96" Type="http://schemas.openxmlformats.org/officeDocument/2006/relationships/hyperlink" Target="https://dart.fss.or.kr/dsaf001/main.do?rcpNo=20230322001007" TargetMode="External"/><Relationship Id="rId140" Type="http://schemas.openxmlformats.org/officeDocument/2006/relationships/hyperlink" Target="https://dart.fss.or.kr/dsaf001/main.do?rcpNo=20230307000653" TargetMode="External"/><Relationship Id="rId161" Type="http://schemas.openxmlformats.org/officeDocument/2006/relationships/hyperlink" Target="https://dart.fss.or.kr/dsaf001/main.do?rcpNo=20230315000963" TargetMode="External"/><Relationship Id="rId182" Type="http://schemas.openxmlformats.org/officeDocument/2006/relationships/hyperlink" Target="https://dart.fss.or.kr/dsaf001/main.do?rcpNo=20230411002838" TargetMode="External"/><Relationship Id="rId217" Type="http://schemas.openxmlformats.org/officeDocument/2006/relationships/hyperlink" Target="https://dart.fss.or.kr/dsaf001/main.do?rcpNo=20230320000322" TargetMode="External"/><Relationship Id="rId6" Type="http://schemas.openxmlformats.org/officeDocument/2006/relationships/hyperlink" Target="https://dart.fss.or.kr/dsaf001/main.do?rcpNo=20230321001132" TargetMode="External"/><Relationship Id="rId238" Type="http://schemas.openxmlformats.org/officeDocument/2006/relationships/hyperlink" Target="https://dart.fss.or.kr/dsaf001/main.do?rcpNo=20230321001309" TargetMode="External"/><Relationship Id="rId259" Type="http://schemas.openxmlformats.org/officeDocument/2006/relationships/hyperlink" Target="https://dart.fss.or.kr/dsaf001/main.do?rcpNo=20230310000763" TargetMode="External"/><Relationship Id="rId23" Type="http://schemas.openxmlformats.org/officeDocument/2006/relationships/hyperlink" Target="https://dart.fss.or.kr/dsaf001/main.do?rcpNo=20230321001126" TargetMode="External"/><Relationship Id="rId119" Type="http://schemas.openxmlformats.org/officeDocument/2006/relationships/hyperlink" Target="https://dart.fss.or.kr/dsaf001/main.do?rcpNo=20230314001159" TargetMode="External"/><Relationship Id="rId270" Type="http://schemas.openxmlformats.org/officeDocument/2006/relationships/hyperlink" Target="https://dart.fss.or.kr/dsaf001/main.do?rcpNo=20230712000281" TargetMode="External"/><Relationship Id="rId291" Type="http://schemas.openxmlformats.org/officeDocument/2006/relationships/hyperlink" Target="https://dart.fss.or.kr/dsaf001/main.do?rcpNo=20230315001227" TargetMode="External"/><Relationship Id="rId305" Type="http://schemas.openxmlformats.org/officeDocument/2006/relationships/hyperlink" Target="https://dart.fss.or.kr/dsaf001/main.do?rcpNo=20230321001162" TargetMode="External"/><Relationship Id="rId326" Type="http://schemas.openxmlformats.org/officeDocument/2006/relationships/hyperlink" Target="https://www.sj.co.kr/" TargetMode="External"/><Relationship Id="rId44" Type="http://schemas.openxmlformats.org/officeDocument/2006/relationships/hyperlink" Target="https://dart.fss.or.kr/dsaf001/main.do?rcpNo=20230322000906" TargetMode="External"/><Relationship Id="rId65" Type="http://schemas.openxmlformats.org/officeDocument/2006/relationships/hyperlink" Target="https://dart.fss.or.kr/dsaf001/main.do?rcpNo=20230323000821" TargetMode="External"/><Relationship Id="rId86" Type="http://schemas.openxmlformats.org/officeDocument/2006/relationships/hyperlink" Target="https://dart.fss.or.kr/dsaf001/main.do?rcpNo=20230323000406" TargetMode="External"/><Relationship Id="rId130" Type="http://schemas.openxmlformats.org/officeDocument/2006/relationships/hyperlink" Target="https://dart.fss.or.kr/dsaf001/main.do?rcpNo=20230831001561" TargetMode="External"/><Relationship Id="rId151" Type="http://schemas.openxmlformats.org/officeDocument/2006/relationships/hyperlink" Target="https://dart.fss.or.kr/dsaf001/main.do?rcpNo=20230316001053" TargetMode="External"/><Relationship Id="rId172" Type="http://schemas.openxmlformats.org/officeDocument/2006/relationships/hyperlink" Target="https://dart.fss.or.kr/dsaf001/main.do?rcpNo=20230323001156" TargetMode="External"/><Relationship Id="rId193" Type="http://schemas.openxmlformats.org/officeDocument/2006/relationships/hyperlink" Target="https://dart.fss.or.kr/dsaf001/main.do?rcpNo=20230321001134" TargetMode="External"/><Relationship Id="rId207" Type="http://schemas.openxmlformats.org/officeDocument/2006/relationships/hyperlink" Target="https://dart.fss.or.kr/dsaf001/main.do?rcpNo=20230323001413" TargetMode="External"/><Relationship Id="rId228" Type="http://schemas.openxmlformats.org/officeDocument/2006/relationships/hyperlink" Target="https://dart.fss.or.kr/dsaf001/main.do?rcpNo=20230316001017" TargetMode="External"/><Relationship Id="rId249" Type="http://schemas.openxmlformats.org/officeDocument/2006/relationships/hyperlink" Target="https://dart.fss.or.kr/dsaf001/main.do?rcpNo=20230321000862" TargetMode="External"/><Relationship Id="rId13" Type="http://schemas.openxmlformats.org/officeDocument/2006/relationships/hyperlink" Target="https://dart.fss.or.kr/dsaf001/main.do?rcpNo=20230320000604" TargetMode="External"/><Relationship Id="rId109" Type="http://schemas.openxmlformats.org/officeDocument/2006/relationships/hyperlink" Target="https://dart.fss.or.kr/dsaf001/main.do?rcpNo=20230322001127" TargetMode="External"/><Relationship Id="rId260" Type="http://schemas.openxmlformats.org/officeDocument/2006/relationships/hyperlink" Target="https://dart.fss.or.kr/dsaf001/main.do?rcpNo=20230316001321" TargetMode="External"/><Relationship Id="rId281" Type="http://schemas.openxmlformats.org/officeDocument/2006/relationships/hyperlink" Target="https://dart.fss.or.kr/dsaf001/main.do?rcpNo=20230317000867" TargetMode="External"/><Relationship Id="rId316" Type="http://schemas.openxmlformats.org/officeDocument/2006/relationships/hyperlink" Target="https://dart.fss.or.kr/dsaf001/main.do?rcpNo=20230317000130" TargetMode="External"/><Relationship Id="rId34" Type="http://schemas.openxmlformats.org/officeDocument/2006/relationships/hyperlink" Target="https://dart.fss.or.kr/dsaf001/main.do?rcpNo=20230315000850" TargetMode="External"/><Relationship Id="rId55" Type="http://schemas.openxmlformats.org/officeDocument/2006/relationships/hyperlink" Target="https://dart.fss.or.kr/dsaf001/main.do?rcpNo=20230320000720" TargetMode="External"/><Relationship Id="rId76" Type="http://schemas.openxmlformats.org/officeDocument/2006/relationships/hyperlink" Target="https://dart.fss.or.kr/dsaf001/main.do?rcpNo=20230322000832" TargetMode="External"/><Relationship Id="rId97" Type="http://schemas.openxmlformats.org/officeDocument/2006/relationships/hyperlink" Target="https://dart.fss.or.kr/dsaf001/main.do?rcpNo=20230316001141" TargetMode="External"/><Relationship Id="rId120" Type="http://schemas.openxmlformats.org/officeDocument/2006/relationships/hyperlink" Target="https://dart.fss.or.kr/dsaf001/main.do?rcpNo=20220915000334" TargetMode="External"/><Relationship Id="rId141" Type="http://schemas.openxmlformats.org/officeDocument/2006/relationships/hyperlink" Target="https://dart.fss.or.kr/dsaf001/main.do?rcpNo=20230307000542" TargetMode="External"/><Relationship Id="rId7" Type="http://schemas.openxmlformats.org/officeDocument/2006/relationships/hyperlink" Target="https://dart.fss.or.kr/dsaf001/main.do?rcpNo=20230831001199" TargetMode="External"/><Relationship Id="rId162" Type="http://schemas.openxmlformats.org/officeDocument/2006/relationships/hyperlink" Target="https://dart.fss.or.kr/dsaf001/main.do?rcpNo=20230323000638" TargetMode="External"/><Relationship Id="rId183" Type="http://schemas.openxmlformats.org/officeDocument/2006/relationships/hyperlink" Target="https://dart.fss.or.kr/dsaf001/main.do?rcpNo=20230321001494" TargetMode="External"/><Relationship Id="rId218" Type="http://schemas.openxmlformats.org/officeDocument/2006/relationships/hyperlink" Target="https://dart.fss.or.kr/dsaf001/main.do?rcpNo=20230322000936" TargetMode="External"/><Relationship Id="rId239" Type="http://schemas.openxmlformats.org/officeDocument/2006/relationships/hyperlink" Target="https://dart.fss.or.kr/dsaf001/main.do?rcpNo=20230316000762" TargetMode="External"/><Relationship Id="rId250" Type="http://schemas.openxmlformats.org/officeDocument/2006/relationships/hyperlink" Target="https://dart.fss.or.kr/dsaf001/main.do?rcpNo=20230403003576" TargetMode="External"/><Relationship Id="rId271" Type="http://schemas.openxmlformats.org/officeDocument/2006/relationships/hyperlink" Target="https://dart.fss.or.kr/dsaf001/main.do?rcpNo=20230316001349" TargetMode="External"/><Relationship Id="rId292" Type="http://schemas.openxmlformats.org/officeDocument/2006/relationships/hyperlink" Target="https://dart.fss.or.kr/dsaf001/main.do?rcpNo=20230315000894" TargetMode="External"/><Relationship Id="rId306" Type="http://schemas.openxmlformats.org/officeDocument/2006/relationships/hyperlink" Target="https://dart.fss.or.kr/dsaf001/main.do?rcpNo=20230320001061" TargetMode="External"/><Relationship Id="rId24" Type="http://schemas.openxmlformats.org/officeDocument/2006/relationships/hyperlink" Target="https://dart.fss.or.kr/dsaf001/main.do?rcpNo=20230315000071" TargetMode="External"/><Relationship Id="rId45" Type="http://schemas.openxmlformats.org/officeDocument/2006/relationships/hyperlink" Target="https://dart.fss.or.kr/dsaf001/main.do?rcpNo=20230324000127" TargetMode="External"/><Relationship Id="rId66" Type="http://schemas.openxmlformats.org/officeDocument/2006/relationships/hyperlink" Target="https://dart.fss.or.kr/dsaf001/main.do?rcpNo=20230320000409" TargetMode="External"/><Relationship Id="rId87" Type="http://schemas.openxmlformats.org/officeDocument/2006/relationships/hyperlink" Target="https://www.noroopaint.com/kor/index.asp?conntype=1" TargetMode="External"/><Relationship Id="rId110" Type="http://schemas.openxmlformats.org/officeDocument/2006/relationships/hyperlink" Target="https://dart.fss.or.kr/dsaf001/main.do?rcpNo=20230315001100" TargetMode="External"/><Relationship Id="rId131" Type="http://schemas.openxmlformats.org/officeDocument/2006/relationships/hyperlink" Target="https://dart.fss.or.kr/dsaf001/main.do?rcpNo=20230316000878" TargetMode="External"/><Relationship Id="rId327" Type="http://schemas.openxmlformats.org/officeDocument/2006/relationships/hyperlink" Target="https://www.aplusga.com/" TargetMode="External"/><Relationship Id="rId152" Type="http://schemas.openxmlformats.org/officeDocument/2006/relationships/hyperlink" Target="https://dart.fss.or.kr/dsaf001/main.do?rcpNo=20230314000085" TargetMode="External"/><Relationship Id="rId173" Type="http://schemas.openxmlformats.org/officeDocument/2006/relationships/hyperlink" Target="https://dart.fss.or.kr/dsaf001/main.do?rcpNo=20230316001196" TargetMode="External"/><Relationship Id="rId194" Type="http://schemas.openxmlformats.org/officeDocument/2006/relationships/hyperlink" Target="https://dart.fss.or.kr/dsaf001/main.do?rcpNo=20230307000691" TargetMode="External"/><Relationship Id="rId208" Type="http://schemas.openxmlformats.org/officeDocument/2006/relationships/hyperlink" Target="https://dart.fss.or.kr/dsaf001/main.do?rcpNo=20230314000094" TargetMode="External"/><Relationship Id="rId229" Type="http://schemas.openxmlformats.org/officeDocument/2006/relationships/hyperlink" Target="https://dart.fss.or.kr/dsaf001/main.do?rcpNo=20230322000622" TargetMode="External"/><Relationship Id="rId240" Type="http://schemas.openxmlformats.org/officeDocument/2006/relationships/hyperlink" Target="https://dart.fss.or.kr/dsaf001/main.do?rcpNo=20230321001167" TargetMode="External"/><Relationship Id="rId261" Type="http://schemas.openxmlformats.org/officeDocument/2006/relationships/hyperlink" Target="https://dart.fss.or.kr/dsaf001/main.do?rcpNo=20230316001190" TargetMode="External"/><Relationship Id="rId14" Type="http://schemas.openxmlformats.org/officeDocument/2006/relationships/hyperlink" Target="https://dart.fss.or.kr/dsaf001/main.do?rcpNo=20230831001367" TargetMode="External"/><Relationship Id="rId35" Type="http://schemas.openxmlformats.org/officeDocument/2006/relationships/hyperlink" Target="https://dart.fss.or.kr/dsaf001/main.do?rcpNo=20230315000964" TargetMode="External"/><Relationship Id="rId56" Type="http://schemas.openxmlformats.org/officeDocument/2006/relationships/hyperlink" Target="https://dart.fss.or.kr/dsaf001/main.do?rcpNo=20230316000629" TargetMode="External"/><Relationship Id="rId77" Type="http://schemas.openxmlformats.org/officeDocument/2006/relationships/hyperlink" Target="https://dart.fss.or.kr/dsaf001/main.do?rcpNo=20230316001258" TargetMode="External"/><Relationship Id="rId100" Type="http://schemas.openxmlformats.org/officeDocument/2006/relationships/hyperlink" Target="https://dart.fss.or.kr/dsaf001/main.do?rcpNo=20230314001212" TargetMode="External"/><Relationship Id="rId282" Type="http://schemas.openxmlformats.org/officeDocument/2006/relationships/hyperlink" Target="https://dart.fss.or.kr/dsaf001/main.do?rcpNo=20230316000780" TargetMode="External"/><Relationship Id="rId317" Type="http://schemas.openxmlformats.org/officeDocument/2006/relationships/hyperlink" Target="https://dart.fss.or.kr/dsaf001/main.do?rcpNo=20230315000315" TargetMode="External"/><Relationship Id="rId8" Type="http://schemas.openxmlformats.org/officeDocument/2006/relationships/hyperlink" Target="https://dart.fss.or.kr/dsaf001/main.do?rcpNo=20230728000644" TargetMode="External"/><Relationship Id="rId51" Type="http://schemas.openxmlformats.org/officeDocument/2006/relationships/hyperlink" Target="https://dart.fss.or.kr/dsaf001/main.do?rcpNo=20230315001078" TargetMode="External"/><Relationship Id="rId72" Type="http://schemas.openxmlformats.org/officeDocument/2006/relationships/hyperlink" Target="https://dart.fss.or.kr/dsaf001/main.do?rcpNo=20230321000737" TargetMode="External"/><Relationship Id="rId93" Type="http://schemas.openxmlformats.org/officeDocument/2006/relationships/hyperlink" Target="https://dart.fss.or.kr/dsaf001/main.do?rcpNo=20230316001384" TargetMode="External"/><Relationship Id="rId98" Type="http://schemas.openxmlformats.org/officeDocument/2006/relationships/hyperlink" Target="https://dart.fss.or.kr/dsaf001/main.do?rcpNo=20230314001293" TargetMode="External"/><Relationship Id="rId121" Type="http://schemas.openxmlformats.org/officeDocument/2006/relationships/hyperlink" Target="https://dart.fss.or.kr/dsaf001/main.do?rcpNo=20230316000602" TargetMode="External"/><Relationship Id="rId142" Type="http://schemas.openxmlformats.org/officeDocument/2006/relationships/hyperlink" Target="https://dart.fss.or.kr/dsaf001/main.do?rcpNo=20230309000572" TargetMode="External"/><Relationship Id="rId163" Type="http://schemas.openxmlformats.org/officeDocument/2006/relationships/hyperlink" Target="https://dart.fss.or.kr/dsaf001/main.do?rcpNo=20230316000928" TargetMode="External"/><Relationship Id="rId184" Type="http://schemas.openxmlformats.org/officeDocument/2006/relationships/hyperlink" Target="https://dart.fss.or.kr/dsaf001/main.do?rcpNo=20230317001042" TargetMode="External"/><Relationship Id="rId189" Type="http://schemas.openxmlformats.org/officeDocument/2006/relationships/hyperlink" Target="https://dart.fss.or.kr/dsaf001/main.do?rcpNo=20230323001296" TargetMode="External"/><Relationship Id="rId219" Type="http://schemas.openxmlformats.org/officeDocument/2006/relationships/hyperlink" Target="https://dart.fss.or.kr/dsaf001/main.do?rcpNo=20230317000389" TargetMode="External"/><Relationship Id="rId3" Type="http://schemas.openxmlformats.org/officeDocument/2006/relationships/hyperlink" Target="https://dart.fss.or.kr/dsaf001/main.do?rcpNo=20230317000857" TargetMode="External"/><Relationship Id="rId214" Type="http://schemas.openxmlformats.org/officeDocument/2006/relationships/hyperlink" Target="https://dart.fss.or.kr/dsaf001/main.do?rcpNo=20230323001335" TargetMode="External"/><Relationship Id="rId230" Type="http://schemas.openxmlformats.org/officeDocument/2006/relationships/hyperlink" Target="https://dart.fss.or.kr/dsaf001/main.do?rcpNo=20230331002546" TargetMode="External"/><Relationship Id="rId235" Type="http://schemas.openxmlformats.org/officeDocument/2006/relationships/hyperlink" Target="https://dart.fss.or.kr/dsaf001/main.do?rcpNo=20230306000422" TargetMode="External"/><Relationship Id="rId251" Type="http://schemas.openxmlformats.org/officeDocument/2006/relationships/hyperlink" Target="https://dart.fss.or.kr/dsaf001/main.do?rcpNo=20230331000007" TargetMode="External"/><Relationship Id="rId256" Type="http://schemas.openxmlformats.org/officeDocument/2006/relationships/hyperlink" Target="https://dart.fss.or.kr/dsaf001/main.do?rcpNo=20230314000862" TargetMode="External"/><Relationship Id="rId277" Type="http://schemas.openxmlformats.org/officeDocument/2006/relationships/hyperlink" Target="https://dart.fss.or.kr/dsaf001/main.do?rcpNo=20230323000970" TargetMode="External"/><Relationship Id="rId298" Type="http://schemas.openxmlformats.org/officeDocument/2006/relationships/hyperlink" Target="https://dart.fss.or.kr/dsaf001/main.do?rcpNo=20230315000557" TargetMode="External"/><Relationship Id="rId25" Type="http://schemas.openxmlformats.org/officeDocument/2006/relationships/hyperlink" Target="https://dart.fss.or.kr/dsaf001/main.do?rcpNo=20230316000950" TargetMode="External"/><Relationship Id="rId46" Type="http://schemas.openxmlformats.org/officeDocument/2006/relationships/hyperlink" Target="https://dart.fss.or.kr/dsaf001/main.do?rcpNo=20230320000964" TargetMode="External"/><Relationship Id="rId67" Type="http://schemas.openxmlformats.org/officeDocument/2006/relationships/hyperlink" Target="https://dart.fss.or.kr/dsaf001/main.do?rcpNo=20230316001213" TargetMode="External"/><Relationship Id="rId116" Type="http://schemas.openxmlformats.org/officeDocument/2006/relationships/hyperlink" Target="https://dart.fss.or.kr/dsaf001/main.do?rcpNo=20230424000485" TargetMode="External"/><Relationship Id="rId137" Type="http://schemas.openxmlformats.org/officeDocument/2006/relationships/hyperlink" Target="https://dart.fss.or.kr/dsaf001/main.do?rcpNo=20230308000737" TargetMode="External"/><Relationship Id="rId158" Type="http://schemas.openxmlformats.org/officeDocument/2006/relationships/hyperlink" Target="https://dart.fss.or.kr/dsaf001/main.do?rcpNo=20230316001232" TargetMode="External"/><Relationship Id="rId272" Type="http://schemas.openxmlformats.org/officeDocument/2006/relationships/hyperlink" Target="https://dart.fss.or.kr/dsaf001/main.do?rcpNo=20230320000791" TargetMode="External"/><Relationship Id="rId293" Type="http://schemas.openxmlformats.org/officeDocument/2006/relationships/hyperlink" Target="https://dart.fss.or.kr/dsaf001/main.do?rcpNo=20230321000255" TargetMode="External"/><Relationship Id="rId302" Type="http://schemas.openxmlformats.org/officeDocument/2006/relationships/hyperlink" Target="https://dart.fss.or.kr/dsaf001/main.do?rcpNo=20230315001104" TargetMode="External"/><Relationship Id="rId307" Type="http://schemas.openxmlformats.org/officeDocument/2006/relationships/hyperlink" Target="https://dart.fss.or.kr/dsaf001/main.do?rcpNo=20230321001479" TargetMode="External"/><Relationship Id="rId323" Type="http://schemas.openxmlformats.org/officeDocument/2006/relationships/hyperlink" Target="https://dart.fss.or.kr/dsaf001/main.do?rcpNo=20230313000533" TargetMode="External"/><Relationship Id="rId328" Type="http://schemas.openxmlformats.org/officeDocument/2006/relationships/hyperlink" Target="https://www.youngone.co.kr/" TargetMode="External"/><Relationship Id="rId20" Type="http://schemas.openxmlformats.org/officeDocument/2006/relationships/hyperlink" Target="https://dart.fss.or.kr/dsaf001/main.do?rcpNo=20230317000301" TargetMode="External"/><Relationship Id="rId41" Type="http://schemas.openxmlformats.org/officeDocument/2006/relationships/hyperlink" Target="https://dart.fss.or.kr/dsaf001/main.do?rcpNo=20230315000990" TargetMode="External"/><Relationship Id="rId62" Type="http://schemas.openxmlformats.org/officeDocument/2006/relationships/hyperlink" Target="https://dart.fss.or.kr/dsaf001/main.do?rcpNo=20230314000692" TargetMode="External"/><Relationship Id="rId83" Type="http://schemas.openxmlformats.org/officeDocument/2006/relationships/hyperlink" Target="https://dart.fss.or.kr/dsaf001/main.do?rcpNo=20230321000740" TargetMode="External"/><Relationship Id="rId88" Type="http://schemas.openxmlformats.org/officeDocument/2006/relationships/hyperlink" Target="https://www.dlenc.co.kr/main.do" TargetMode="External"/><Relationship Id="rId111" Type="http://schemas.openxmlformats.org/officeDocument/2006/relationships/hyperlink" Target="https://dart.fss.or.kr/dsaf001/main.do?rcpNo=20230321001259" TargetMode="External"/><Relationship Id="rId132" Type="http://schemas.openxmlformats.org/officeDocument/2006/relationships/hyperlink" Target="https://dart.fss.or.kr/dsaf001/main.do?rcpNo=20230328000107" TargetMode="External"/><Relationship Id="rId153" Type="http://schemas.openxmlformats.org/officeDocument/2006/relationships/hyperlink" Target="https://dart.fss.or.kr/dsaf001/main.do?rcpNo=20230316001338" TargetMode="External"/><Relationship Id="rId174" Type="http://schemas.openxmlformats.org/officeDocument/2006/relationships/hyperlink" Target="https://dart.fss.or.kr/dsaf001/main.do?rcpNo=20230322000910" TargetMode="External"/><Relationship Id="rId179" Type="http://schemas.openxmlformats.org/officeDocument/2006/relationships/hyperlink" Target="https://dart.fss.or.kr/dsaf001/main.do?rcpNo=20230316001089" TargetMode="External"/><Relationship Id="rId195" Type="http://schemas.openxmlformats.org/officeDocument/2006/relationships/hyperlink" Target="https://dart.fss.or.kr/dsaf001/main.do?rcpNo=20230321001261" TargetMode="External"/><Relationship Id="rId209" Type="http://schemas.openxmlformats.org/officeDocument/2006/relationships/hyperlink" Target="https://dart.fss.or.kr/dsaf001/main.do?rcpNo=20230315000887" TargetMode="External"/><Relationship Id="rId190" Type="http://schemas.openxmlformats.org/officeDocument/2006/relationships/hyperlink" Target="https://dart.fss.or.kr/dsaf001/main.do?rcpNo=20230315001190" TargetMode="External"/><Relationship Id="rId204" Type="http://schemas.openxmlformats.org/officeDocument/2006/relationships/hyperlink" Target="https://dart.fss.or.kr/dsaf001/main.do?rcpNo=20230317000918" TargetMode="External"/><Relationship Id="rId220" Type="http://schemas.openxmlformats.org/officeDocument/2006/relationships/hyperlink" Target="https://dart.fss.or.kr/dsaf001/main.do?rcpNo=20230323001151" TargetMode="External"/><Relationship Id="rId225" Type="http://schemas.openxmlformats.org/officeDocument/2006/relationships/hyperlink" Target="https://dart.fss.or.kr/dsaf001/main.do?rcpNo=20230308000451" TargetMode="External"/><Relationship Id="rId241" Type="http://schemas.openxmlformats.org/officeDocument/2006/relationships/hyperlink" Target="https://dart.fss.or.kr/dsaf001/main.do?rcpNo=20230316001262" TargetMode="External"/><Relationship Id="rId246" Type="http://schemas.openxmlformats.org/officeDocument/2006/relationships/hyperlink" Target="https://dart.fss.or.kr/dsaf001/main.do?rcpNo=20230317001037" TargetMode="External"/><Relationship Id="rId267" Type="http://schemas.openxmlformats.org/officeDocument/2006/relationships/hyperlink" Target="https://dart.fss.or.kr/dsaf001/main.do?rcpNo=20230317000751" TargetMode="External"/><Relationship Id="rId288" Type="http://schemas.openxmlformats.org/officeDocument/2006/relationships/hyperlink" Target="https://dart.fss.or.kr/dsaf001/main.do?rcpNo=20230314000521" TargetMode="External"/><Relationship Id="rId15" Type="http://schemas.openxmlformats.org/officeDocument/2006/relationships/hyperlink" Target="https://dart.fss.or.kr/dsaf001/main.do?rcpNo=20230316001014" TargetMode="External"/><Relationship Id="rId36" Type="http://schemas.openxmlformats.org/officeDocument/2006/relationships/hyperlink" Target="https://dart.fss.or.kr/dsaf001/main.do?rcpNo=20230316000724" TargetMode="External"/><Relationship Id="rId57" Type="http://schemas.openxmlformats.org/officeDocument/2006/relationships/hyperlink" Target="https://dart.fss.or.kr/dsaf001/main.do?rcpNo=20230309000731" TargetMode="External"/><Relationship Id="rId106" Type="http://schemas.openxmlformats.org/officeDocument/2006/relationships/hyperlink" Target="https://dart.fss.or.kr/dsaf001/main.do?rcpNo=20230320000820" TargetMode="External"/><Relationship Id="rId127" Type="http://schemas.openxmlformats.org/officeDocument/2006/relationships/hyperlink" Target="https://dart.fss.or.kr/dsaf001/main.do?rcpNo=20230310000296" TargetMode="External"/><Relationship Id="rId262" Type="http://schemas.openxmlformats.org/officeDocument/2006/relationships/hyperlink" Target="https://dart.fss.or.kr/dsaf001/main.do?rcpNo=20230314000892" TargetMode="External"/><Relationship Id="rId283" Type="http://schemas.openxmlformats.org/officeDocument/2006/relationships/hyperlink" Target="https://dart.fss.or.kr/dsaf001/main.do?rcpNo=20230316001135" TargetMode="External"/><Relationship Id="rId313" Type="http://schemas.openxmlformats.org/officeDocument/2006/relationships/hyperlink" Target="https://dart.fss.or.kr/dsaf001/main.do?rcpNo=20230315001376" TargetMode="External"/><Relationship Id="rId318" Type="http://schemas.openxmlformats.org/officeDocument/2006/relationships/hyperlink" Target="https://dart.fss.or.kr/dsaf001/main.do?rcpNo=20230320000391" TargetMode="External"/><Relationship Id="rId10" Type="http://schemas.openxmlformats.org/officeDocument/2006/relationships/hyperlink" Target="https://dart.fss.or.kr/dsaf001/main.do?rcpNo=20230315001420" TargetMode="External"/><Relationship Id="rId31" Type="http://schemas.openxmlformats.org/officeDocument/2006/relationships/hyperlink" Target="https://dart.fss.or.kr/dsaf001/main.do?rcpNo=20230302000615" TargetMode="External"/><Relationship Id="rId52" Type="http://schemas.openxmlformats.org/officeDocument/2006/relationships/hyperlink" Target="https://dart.fss.or.kr/dsaf001/main.do?rcpNo=20230322000815" TargetMode="External"/><Relationship Id="rId73" Type="http://schemas.openxmlformats.org/officeDocument/2006/relationships/hyperlink" Target="https://dart.fss.or.kr/dsaf001/main.do?rcpNo=20230316000929" TargetMode="External"/><Relationship Id="rId78" Type="http://schemas.openxmlformats.org/officeDocument/2006/relationships/hyperlink" Target="https://dart.fss.or.kr/dsaf001/main.do?rcpNo=20230316000896" TargetMode="External"/><Relationship Id="rId94" Type="http://schemas.openxmlformats.org/officeDocument/2006/relationships/hyperlink" Target="https://dart.fss.or.kr/dsaf001/main.do?rcpNo=20230315001173" TargetMode="External"/><Relationship Id="rId99" Type="http://schemas.openxmlformats.org/officeDocument/2006/relationships/hyperlink" Target="https://dart.fss.or.kr/dsaf001/main.do?rcpNo=20230316000733" TargetMode="External"/><Relationship Id="rId101" Type="http://schemas.openxmlformats.org/officeDocument/2006/relationships/hyperlink" Target="https://dart.fss.or.kr/dsaf001/main.do?rcpNo=20230316000463" TargetMode="External"/><Relationship Id="rId122" Type="http://schemas.openxmlformats.org/officeDocument/2006/relationships/hyperlink" Target="https://dart.fss.or.kr/dsaf001/main.do?rcpNo=20230316000931" TargetMode="External"/><Relationship Id="rId143" Type="http://schemas.openxmlformats.org/officeDocument/2006/relationships/hyperlink" Target="https://dart.fss.or.kr/dsaf001/main.do?rcpNo=20230308000723" TargetMode="External"/><Relationship Id="rId148" Type="http://schemas.openxmlformats.org/officeDocument/2006/relationships/hyperlink" Target="https://dart.fss.or.kr/dsaf001/main.do?rcpNo=20230315001242" TargetMode="External"/><Relationship Id="rId164" Type="http://schemas.openxmlformats.org/officeDocument/2006/relationships/hyperlink" Target="https://dart.fss.or.kr/dsaf001/main.do?rcpNo=20230308000717" TargetMode="External"/><Relationship Id="rId169" Type="http://schemas.openxmlformats.org/officeDocument/2006/relationships/hyperlink" Target="https://dart.fss.or.kr/dsaf001/main.do?rcpNo=20230320000842" TargetMode="External"/><Relationship Id="rId185" Type="http://schemas.openxmlformats.org/officeDocument/2006/relationships/hyperlink" Target="https://dart.fss.or.kr/dsaf001/main.do?rcpNo=20230316000657" TargetMode="External"/><Relationship Id="rId334" Type="http://schemas.openxmlformats.org/officeDocument/2006/relationships/hyperlink" Target="https://isms.kisa.or.kr/main/ispims/issue;jsessionid=B6DB3D3FEB9250DF4BF304D8A4A5C068/?certificationMode=list" TargetMode="External"/><Relationship Id="rId4" Type="http://schemas.openxmlformats.org/officeDocument/2006/relationships/hyperlink" Target="https://dart.fss.or.kr/dsaf001/main.do?rcpNo=20230320000740" TargetMode="External"/><Relationship Id="rId9" Type="http://schemas.openxmlformats.org/officeDocument/2006/relationships/hyperlink" Target="https://dart.fss.or.kr/dsaf001/main.do?rcpNo=20230315000019" TargetMode="External"/><Relationship Id="rId180" Type="http://schemas.openxmlformats.org/officeDocument/2006/relationships/hyperlink" Target="https://dart.fss.or.kr/dsaf001/main.do?rcpNo=20230615000542" TargetMode="External"/><Relationship Id="rId210" Type="http://schemas.openxmlformats.org/officeDocument/2006/relationships/hyperlink" Target="https://dart.fss.or.kr/dsaf001/main.do?rcpNo=20230315001431" TargetMode="External"/><Relationship Id="rId215" Type="http://schemas.openxmlformats.org/officeDocument/2006/relationships/hyperlink" Target="https://dart.fss.or.kr/dsaf001/main.do?rcpNo=20230309000433" TargetMode="External"/><Relationship Id="rId236" Type="http://schemas.openxmlformats.org/officeDocument/2006/relationships/hyperlink" Target="https://dart.fss.or.kr/dsaf001/main.do?rcpNo=20230320000418" TargetMode="External"/><Relationship Id="rId257" Type="http://schemas.openxmlformats.org/officeDocument/2006/relationships/hyperlink" Target="https://dart.fss.or.kr/dsaf001/main.do?rcpNo=20230317000233" TargetMode="External"/><Relationship Id="rId278" Type="http://schemas.openxmlformats.org/officeDocument/2006/relationships/hyperlink" Target="https://dart.fss.or.kr/dsaf001/main.do?rcpNo=20230316001234" TargetMode="External"/><Relationship Id="rId26" Type="http://schemas.openxmlformats.org/officeDocument/2006/relationships/hyperlink" Target="https://dart.fss.or.kr/dsaf001/main.do?rcpNo=20230316000684" TargetMode="External"/><Relationship Id="rId231" Type="http://schemas.openxmlformats.org/officeDocument/2006/relationships/hyperlink" Target="https://dart.fss.or.kr/dsaf001/main.do?rcpNo=20230309000626" TargetMode="External"/><Relationship Id="rId252" Type="http://schemas.openxmlformats.org/officeDocument/2006/relationships/hyperlink" Target="https://dart.fss.or.kr/dsaf001/main.do?rcpNo=20230320000728" TargetMode="External"/><Relationship Id="rId273" Type="http://schemas.openxmlformats.org/officeDocument/2006/relationships/hyperlink" Target="http://www.fskrc.co.kr/" TargetMode="External"/><Relationship Id="rId294" Type="http://schemas.openxmlformats.org/officeDocument/2006/relationships/hyperlink" Target="https://dart.fss.or.kr/dsaf001/main.do?rcpNo=20230317000994" TargetMode="External"/><Relationship Id="rId308" Type="http://schemas.openxmlformats.org/officeDocument/2006/relationships/hyperlink" Target="https://dart.fss.or.kr/dsaf001/main.do?rcpNo=20230317000639" TargetMode="External"/><Relationship Id="rId329" Type="http://schemas.openxmlformats.org/officeDocument/2006/relationships/hyperlink" Target="http://www.iljinelectric.co.kr/main.jsp" TargetMode="External"/><Relationship Id="rId47" Type="http://schemas.openxmlformats.org/officeDocument/2006/relationships/hyperlink" Target="https://dart.fss.or.kr/dsaf001/main.do?rcpNo=20230320000235" TargetMode="External"/><Relationship Id="rId68" Type="http://schemas.openxmlformats.org/officeDocument/2006/relationships/hyperlink" Target="https://dart.fss.or.kr/dsaf001/main.do?rcpNo=20230608000512" TargetMode="External"/><Relationship Id="rId89" Type="http://schemas.openxmlformats.org/officeDocument/2006/relationships/hyperlink" Target="https://dart.fss.or.kr/dsaf001/main.do?rcpNo=20230322001136" TargetMode="External"/><Relationship Id="rId112" Type="http://schemas.openxmlformats.org/officeDocument/2006/relationships/hyperlink" Target="https://dart.fss.or.kr/dsaf001/main.do?rcpNo=20230713000062" TargetMode="External"/><Relationship Id="rId133" Type="http://schemas.openxmlformats.org/officeDocument/2006/relationships/hyperlink" Target="https://dart.fss.or.kr/dsaf001/main.do?rcpNo=20230323000263" TargetMode="External"/><Relationship Id="rId154" Type="http://schemas.openxmlformats.org/officeDocument/2006/relationships/hyperlink" Target="https://dart.fss.or.kr/dsaf001/main.do?rcpNo=20230322000313" TargetMode="External"/><Relationship Id="rId175" Type="http://schemas.openxmlformats.org/officeDocument/2006/relationships/hyperlink" Target="https://dart.fss.or.kr/dsaf001/main.do?rcpNo=20230315001315" TargetMode="External"/><Relationship Id="rId196" Type="http://schemas.openxmlformats.org/officeDocument/2006/relationships/hyperlink" Target="https://dart.fss.or.kr/dsaf001/main.do?rcpNo=20230323001360" TargetMode="External"/><Relationship Id="rId200" Type="http://schemas.openxmlformats.org/officeDocument/2006/relationships/hyperlink" Target="https://dart.fss.or.kr/dsaf001/main.do?rcpNo=20230712000496" TargetMode="External"/><Relationship Id="rId16" Type="http://schemas.openxmlformats.org/officeDocument/2006/relationships/hyperlink" Target="https://dart.fss.or.kr/dsaf001/main.do?rcpNo=20230315001215" TargetMode="External"/><Relationship Id="rId221" Type="http://schemas.openxmlformats.org/officeDocument/2006/relationships/hyperlink" Target="https://dart.fss.or.kr/dsaf001/main.do?rcpNo=20230316000222" TargetMode="External"/><Relationship Id="rId242" Type="http://schemas.openxmlformats.org/officeDocument/2006/relationships/hyperlink" Target="https://dart.fss.or.kr/dsaf001/main.do?rcpNo=20230407002574" TargetMode="External"/><Relationship Id="rId263" Type="http://schemas.openxmlformats.org/officeDocument/2006/relationships/hyperlink" Target="https://dart.fss.or.kr/dsaf001/main.do?rcpNo=20230321001130" TargetMode="External"/><Relationship Id="rId284" Type="http://schemas.openxmlformats.org/officeDocument/2006/relationships/hyperlink" Target="https://dart.fss.or.kr/dsaf001/main.do?rcpNo=20230316001554" TargetMode="External"/><Relationship Id="rId319" Type="http://schemas.openxmlformats.org/officeDocument/2006/relationships/hyperlink" Target="https://dart.fss.or.kr/dsaf001/main.do?rcpNo=20230315001063" TargetMode="External"/><Relationship Id="rId37" Type="http://schemas.openxmlformats.org/officeDocument/2006/relationships/hyperlink" Target="https://dart.fss.or.kr/dsaf001/main.do?rcpNo=20230315000084" TargetMode="External"/><Relationship Id="rId58" Type="http://schemas.openxmlformats.org/officeDocument/2006/relationships/hyperlink" Target="https://dart.fss.or.kr/dsaf001/main.do?rcpNo=20230316001326" TargetMode="External"/><Relationship Id="rId79" Type="http://schemas.openxmlformats.org/officeDocument/2006/relationships/hyperlink" Target="http://www.daesung.co.kr/" TargetMode="External"/><Relationship Id="rId102" Type="http://schemas.openxmlformats.org/officeDocument/2006/relationships/hyperlink" Target="https://dart.fss.or.kr/dsaf001/main.do?rcpNo=20230320001075" TargetMode="External"/><Relationship Id="rId123" Type="http://schemas.openxmlformats.org/officeDocument/2006/relationships/hyperlink" Target="https://dart.fss.or.kr/dsaf001/main.do?rcpNo=20230317001035" TargetMode="External"/><Relationship Id="rId144" Type="http://schemas.openxmlformats.org/officeDocument/2006/relationships/hyperlink" Target="https://dart.fss.or.kr/dsaf001/main.do?rcpNo=20230309000772" TargetMode="External"/><Relationship Id="rId330" Type="http://schemas.openxmlformats.org/officeDocument/2006/relationships/hyperlink" Target="https://m.kakaobank.com/" TargetMode="External"/><Relationship Id="rId90" Type="http://schemas.openxmlformats.org/officeDocument/2006/relationships/hyperlink" Target="https://dart.fss.or.kr/dsaf001/main.do?rcpNo=20230331003410" TargetMode="External"/><Relationship Id="rId165" Type="http://schemas.openxmlformats.org/officeDocument/2006/relationships/hyperlink" Target="https://dart.fss.or.kr/dsaf001/main.do?rcpNo=20230314001166" TargetMode="External"/><Relationship Id="rId186" Type="http://schemas.openxmlformats.org/officeDocument/2006/relationships/hyperlink" Target="https://dart.fss.or.kr/dsaf001/main.do?rcpNo=20230315001378" TargetMode="External"/><Relationship Id="rId211" Type="http://schemas.openxmlformats.org/officeDocument/2006/relationships/hyperlink" Target="https://dart.fss.or.kr/dsaf001/main.do?rcpNo=20230315000658" TargetMode="External"/><Relationship Id="rId232" Type="http://schemas.openxmlformats.org/officeDocument/2006/relationships/hyperlink" Target="https://dart.fss.or.kr/dsaf001/main.do?rcpNo=20230316000376" TargetMode="External"/><Relationship Id="rId253" Type="http://schemas.openxmlformats.org/officeDocument/2006/relationships/hyperlink" Target="https://dart.fss.or.kr/dsaf001/main.do?rcpNo=20230320001037" TargetMode="External"/><Relationship Id="rId274" Type="http://schemas.openxmlformats.org/officeDocument/2006/relationships/hyperlink" Target="https://dart.fss.or.kr/dsaf001/main.do?rcpNo=20230323000756" TargetMode="External"/><Relationship Id="rId295" Type="http://schemas.openxmlformats.org/officeDocument/2006/relationships/hyperlink" Target="https://dart.fss.or.kr/dsaf001/main.do?rcpNo=20230317000982" TargetMode="External"/><Relationship Id="rId309" Type="http://schemas.openxmlformats.org/officeDocument/2006/relationships/hyperlink" Target="https://dart.fss.or.kr/dsaf001/main.do?rcpNo=20230315001030" TargetMode="External"/><Relationship Id="rId27" Type="http://schemas.openxmlformats.org/officeDocument/2006/relationships/hyperlink" Target="https://dart.fss.or.kr/dsaf001/main.do?rcpNo=20230322000776" TargetMode="External"/><Relationship Id="rId48" Type="http://schemas.openxmlformats.org/officeDocument/2006/relationships/hyperlink" Target="https://dart.fss.or.kr/dsaf001/main.do?rcpNo=20230321001209" TargetMode="External"/><Relationship Id="rId69" Type="http://schemas.openxmlformats.org/officeDocument/2006/relationships/hyperlink" Target="https://dart.fss.or.kr/dsaf001/main.do?rcpNo=20230309000734" TargetMode="External"/><Relationship Id="rId113" Type="http://schemas.openxmlformats.org/officeDocument/2006/relationships/hyperlink" Target="https://dart.fss.or.kr/dsaf001/main.do?rcpNo=20230315000573" TargetMode="External"/><Relationship Id="rId134" Type="http://schemas.openxmlformats.org/officeDocument/2006/relationships/hyperlink" Target="https://dart.fss.or.kr/dsaf001/main.do?rcpNo=20230315001385" TargetMode="External"/><Relationship Id="rId320" Type="http://schemas.openxmlformats.org/officeDocument/2006/relationships/hyperlink" Target="https://dart.fss.or.kr/dsaf001/main.do?rcpNo=20230308000691" TargetMode="External"/><Relationship Id="rId80" Type="http://schemas.openxmlformats.org/officeDocument/2006/relationships/hyperlink" Target="https://dart.fss.or.kr/dsaf001/main.do?rcpNo=20230321000870" TargetMode="External"/><Relationship Id="rId155" Type="http://schemas.openxmlformats.org/officeDocument/2006/relationships/hyperlink" Target="https://dart.fss.or.kr/dsaf001/main.do?rcpNo=20230410003453" TargetMode="External"/><Relationship Id="rId176" Type="http://schemas.openxmlformats.org/officeDocument/2006/relationships/hyperlink" Target="https://dart.fss.or.kr/dsaf001/main.do?rcpNo=20220920000318" TargetMode="External"/><Relationship Id="rId197" Type="http://schemas.openxmlformats.org/officeDocument/2006/relationships/hyperlink" Target="https://dart.fss.or.kr/dsaf001/main.do?rcpNo=20230314000700" TargetMode="External"/><Relationship Id="rId201" Type="http://schemas.openxmlformats.org/officeDocument/2006/relationships/hyperlink" Target="https://dart.fss.or.kr/dsaf001/main.do?rcpNo=20230315001259" TargetMode="External"/><Relationship Id="rId222" Type="http://schemas.openxmlformats.org/officeDocument/2006/relationships/hyperlink" Target="https://dart.fss.or.kr/dsaf001/main.do?rcpNo=20230315000560" TargetMode="External"/><Relationship Id="rId243" Type="http://schemas.openxmlformats.org/officeDocument/2006/relationships/hyperlink" Target="https://dart.fss.or.kr/dsaf001/main.do?rcpNo=20230323001449" TargetMode="External"/><Relationship Id="rId264" Type="http://schemas.openxmlformats.org/officeDocument/2006/relationships/hyperlink" Target="https://dart.fss.or.kr/dsaf001/main.do?rcpNo=20230321001315" TargetMode="External"/><Relationship Id="rId285" Type="http://schemas.openxmlformats.org/officeDocument/2006/relationships/hyperlink" Target="https://dart.fss.or.kr/dsaf001/main.do?rcpNo=20230321001525" TargetMode="External"/><Relationship Id="rId17" Type="http://schemas.openxmlformats.org/officeDocument/2006/relationships/hyperlink" Target="https://dart.fss.or.kr/dsaf001/main.do?rcpNo=20230316001339" TargetMode="External"/><Relationship Id="rId38" Type="http://schemas.openxmlformats.org/officeDocument/2006/relationships/hyperlink" Target="https://dart.fss.or.kr/dsaf001/main.do?rcpNo=20230309000859" TargetMode="External"/><Relationship Id="rId59" Type="http://schemas.openxmlformats.org/officeDocument/2006/relationships/hyperlink" Target="https://dart.fss.or.kr/dsaf001/main.do?rcpNo=20230321001353" TargetMode="External"/><Relationship Id="rId103" Type="http://schemas.openxmlformats.org/officeDocument/2006/relationships/hyperlink" Target="https://dart.fss.or.kr/dsaf001/main.do?rcpNo=20230316000692" TargetMode="External"/><Relationship Id="rId124" Type="http://schemas.openxmlformats.org/officeDocument/2006/relationships/hyperlink" Target="https://dart.fss.or.kr/dsaf001/main.do?rcpNo=20230315001134" TargetMode="External"/><Relationship Id="rId310" Type="http://schemas.openxmlformats.org/officeDocument/2006/relationships/hyperlink" Target="https://dart.fss.or.kr/dsaf001/main.do?rcpNo=20230315000803" TargetMode="External"/><Relationship Id="rId70" Type="http://schemas.openxmlformats.org/officeDocument/2006/relationships/hyperlink" Target="https://dart.fss.or.kr/dsaf001/main.do?rcpNo=20230712000089" TargetMode="External"/><Relationship Id="rId91" Type="http://schemas.openxmlformats.org/officeDocument/2006/relationships/hyperlink" Target="https://dart.fss.or.kr/dsaf001/main.do?rcpNo=20230316001412" TargetMode="External"/><Relationship Id="rId145" Type="http://schemas.openxmlformats.org/officeDocument/2006/relationships/hyperlink" Target="https://dart.fss.or.kr/dsaf001/main.do?rcpNo=20230315001212" TargetMode="External"/><Relationship Id="rId166" Type="http://schemas.openxmlformats.org/officeDocument/2006/relationships/hyperlink" Target="https://dart.fss.or.kr/dsaf001/main.do?rcpNo=20230724000235" TargetMode="External"/><Relationship Id="rId187" Type="http://schemas.openxmlformats.org/officeDocument/2006/relationships/hyperlink" Target="https://dart.fss.or.kr/dsaf001/main.do?rcpNo=20230309000717" TargetMode="External"/><Relationship Id="rId331" Type="http://schemas.openxmlformats.org/officeDocument/2006/relationships/hyperlink" Target="https://www.hanmi.co.kr/"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2001078" TargetMode="External"/><Relationship Id="rId233" Type="http://schemas.openxmlformats.org/officeDocument/2006/relationships/hyperlink" Target="https://dart.fss.or.kr/dsaf001/main.do?rcpNo=20230315001428" TargetMode="External"/><Relationship Id="rId254" Type="http://schemas.openxmlformats.org/officeDocument/2006/relationships/hyperlink" Target="https://dart.fss.or.kr/dsaf001/main.do?rcpNo=20230316001157" TargetMode="External"/><Relationship Id="rId28" Type="http://schemas.openxmlformats.org/officeDocument/2006/relationships/hyperlink" Target="https://dart.fss.or.kr/dsaf001/main.do?rcpNo=20230323000613" TargetMode="External"/><Relationship Id="rId49" Type="http://schemas.openxmlformats.org/officeDocument/2006/relationships/hyperlink" Target="https://dart.fss.or.kr/dsaf001/main.do?rcpNo=20230220001625" TargetMode="External"/><Relationship Id="rId114" Type="http://schemas.openxmlformats.org/officeDocument/2006/relationships/hyperlink" Target="https://dart.fss.or.kr/dsaf001/main.do?rcpNo=20230316001051" TargetMode="External"/><Relationship Id="rId275" Type="http://schemas.openxmlformats.org/officeDocument/2006/relationships/hyperlink" Target="https://dart.fss.or.kr/dsaf001/main.do?rcpNo=20230323000478" TargetMode="External"/><Relationship Id="rId296" Type="http://schemas.openxmlformats.org/officeDocument/2006/relationships/hyperlink" Target="https://dart.fss.or.kr/dsaf001/main.do?rcpNo=20230323001346" TargetMode="External"/><Relationship Id="rId300" Type="http://schemas.openxmlformats.org/officeDocument/2006/relationships/hyperlink" Target="https://dart.fss.or.kr/dsaf001/main.do?rcpNo=20230314001218" TargetMode="External"/><Relationship Id="rId60" Type="http://schemas.openxmlformats.org/officeDocument/2006/relationships/hyperlink" Target="https://dart.fss.or.kr/dsaf001/main.do?rcpNo=20230321000645" TargetMode="External"/><Relationship Id="rId81" Type="http://schemas.openxmlformats.org/officeDocument/2006/relationships/hyperlink" Target="https://dart.fss.or.kr/dsaf001/main.do?rcpNo=20230320000675" TargetMode="External"/><Relationship Id="rId135" Type="http://schemas.openxmlformats.org/officeDocument/2006/relationships/hyperlink" Target="https://dart.fss.or.kr/dsaf001/main.do?rcpNo=20230315001257" TargetMode="External"/><Relationship Id="rId156" Type="http://schemas.openxmlformats.org/officeDocument/2006/relationships/hyperlink" Target="https://dart.fss.or.kr/dsaf001/main.do?rcpNo=20230320000375" TargetMode="External"/><Relationship Id="rId177" Type="http://schemas.openxmlformats.org/officeDocument/2006/relationships/hyperlink" Target="https://dart.fss.or.kr/dsaf001/main.do?rcpNo=20230315001319" TargetMode="External"/><Relationship Id="rId198" Type="http://schemas.openxmlformats.org/officeDocument/2006/relationships/hyperlink" Target="https://dart.fss.or.kr/dsaf001/main.do?rcpNo=20230315000345" TargetMode="External"/><Relationship Id="rId321" Type="http://schemas.openxmlformats.org/officeDocument/2006/relationships/hyperlink" Target="https://dart.fss.or.kr/dsaf001/main.do?rcpNo=20230308000741" TargetMode="External"/><Relationship Id="rId202" Type="http://schemas.openxmlformats.org/officeDocument/2006/relationships/hyperlink" Target="https://dart.fss.or.kr/dsaf001/main.do?rcpNo=20230322000913" TargetMode="External"/><Relationship Id="rId223" Type="http://schemas.openxmlformats.org/officeDocument/2006/relationships/hyperlink" Target="https://dart.fss.or.kr/dsaf001/main.do?rcpNo=20230315001068" TargetMode="External"/><Relationship Id="rId244" Type="http://schemas.openxmlformats.org/officeDocument/2006/relationships/hyperlink" Target="https://dart.fss.or.kr/dsaf001/main.do?rcpNo=20230323001208" TargetMode="External"/><Relationship Id="rId18" Type="http://schemas.openxmlformats.org/officeDocument/2006/relationships/hyperlink" Target="https://dart.fss.or.kr/dsaf001/main.do?rcpNo=20230315001033" TargetMode="External"/><Relationship Id="rId39" Type="http://schemas.openxmlformats.org/officeDocument/2006/relationships/hyperlink" Target="https://dart.fss.or.kr/dsaf001/main.do?rcpNo=20230321000569" TargetMode="External"/><Relationship Id="rId265" Type="http://schemas.openxmlformats.org/officeDocument/2006/relationships/hyperlink" Target="https://dart.fss.or.kr/dsaf001/main.do?rcpNo=20230316001331" TargetMode="External"/><Relationship Id="rId286" Type="http://schemas.openxmlformats.org/officeDocument/2006/relationships/hyperlink" Target="https://dart.fss.or.kr/dsaf001/main.do?rcpNo=20230315001312" TargetMode="External"/><Relationship Id="rId50" Type="http://schemas.openxmlformats.org/officeDocument/2006/relationships/hyperlink" Target="https://dart.fss.or.kr/dsaf001/main.do?rcpNo=20230220001611" TargetMode="External"/><Relationship Id="rId104" Type="http://schemas.openxmlformats.org/officeDocument/2006/relationships/hyperlink" Target="https://dart.fss.or.kr/dsaf001/main.do?rcpNo=20230322001102" TargetMode="External"/><Relationship Id="rId125" Type="http://schemas.openxmlformats.org/officeDocument/2006/relationships/hyperlink" Target="https://dart.fss.or.kr/dsaf001/main.do?rcpNo=20230320000972" TargetMode="External"/><Relationship Id="rId146" Type="http://schemas.openxmlformats.org/officeDocument/2006/relationships/hyperlink" Target="https://dart.fss.or.kr/dsaf001/main.do?rcpNo=20230315001060" TargetMode="External"/><Relationship Id="rId167" Type="http://schemas.openxmlformats.org/officeDocument/2006/relationships/hyperlink" Target="https://dart.fss.or.kr/dsaf001/main.do?rcpNo=20230228006867" TargetMode="External"/><Relationship Id="rId188" Type="http://schemas.openxmlformats.org/officeDocument/2006/relationships/hyperlink" Target="https://dart.fss.or.kr/dsaf001/main.do?rcpNo=20230322000722" TargetMode="External"/><Relationship Id="rId311" Type="http://schemas.openxmlformats.org/officeDocument/2006/relationships/hyperlink" Target="https://dart.fss.or.kr/dsaf001/main.do?rcpNo=20230321001082" TargetMode="External"/><Relationship Id="rId332" Type="http://schemas.openxmlformats.org/officeDocument/2006/relationships/hyperlink" Target="https://www.koas.or.kr/html/koas/koas5.asp" TargetMode="External"/><Relationship Id="rId71" Type="http://schemas.openxmlformats.org/officeDocument/2006/relationships/hyperlink" Target="https://dart.fss.or.kr/dsaf001/main.do?rcpNo=20230316001430" TargetMode="External"/><Relationship Id="rId92" Type="http://schemas.openxmlformats.org/officeDocument/2006/relationships/hyperlink" Target="https://dart.fss.or.kr/dsaf001/main.do?rcpNo=20230323001351" TargetMode="External"/><Relationship Id="rId213" Type="http://schemas.openxmlformats.org/officeDocument/2006/relationships/hyperlink" Target="https://dart.fss.or.kr/dsaf001/main.do?rcpNo=20230321000409" TargetMode="External"/><Relationship Id="rId234" Type="http://schemas.openxmlformats.org/officeDocument/2006/relationships/hyperlink" Target="https://dart.fss.or.kr/dsaf001/main.do?rcpNo=20230308000725" TargetMode="External"/><Relationship Id="rId2" Type="http://schemas.openxmlformats.org/officeDocument/2006/relationships/hyperlink" Target="https://dart.fss.or.kr/dsaf001/main.do?rcpNo=20230316001312" TargetMode="External"/><Relationship Id="rId29" Type="http://schemas.openxmlformats.org/officeDocument/2006/relationships/hyperlink" Target="https://dart.fss.or.kr/dsaf001/main.do?rcpNo=20230320000688" TargetMode="External"/><Relationship Id="rId255" Type="http://schemas.openxmlformats.org/officeDocument/2006/relationships/hyperlink" Target="https://dart.fss.or.kr/dsaf001/main.do?rcpNo=20230323001143" TargetMode="External"/><Relationship Id="rId276" Type="http://schemas.openxmlformats.org/officeDocument/2006/relationships/hyperlink" Target="https://dart.fss.or.kr/dsaf001/main.do?rcpNo=20230315000812" TargetMode="External"/><Relationship Id="rId297" Type="http://schemas.openxmlformats.org/officeDocument/2006/relationships/hyperlink" Target="https://dart.fss.or.kr/dsaf001/main.do?rcpNo=20230315001412" TargetMode="External"/><Relationship Id="rId40" Type="http://schemas.openxmlformats.org/officeDocument/2006/relationships/hyperlink" Target="https://dart.fss.or.kr/dsaf001/main.do?rcpNo=20230320000844" TargetMode="External"/><Relationship Id="rId115" Type="http://schemas.openxmlformats.org/officeDocument/2006/relationships/hyperlink" Target="https://dart.fss.or.kr/dsaf001/main.do?rcpNo=20230315001395" TargetMode="External"/><Relationship Id="rId136" Type="http://schemas.openxmlformats.org/officeDocument/2006/relationships/hyperlink" Target="https://dart.fss.or.kr/dsaf001/main.do?rcpNo=20230313000726" TargetMode="External"/><Relationship Id="rId157" Type="http://schemas.openxmlformats.org/officeDocument/2006/relationships/hyperlink" Target="https://dart.fss.or.kr/dsaf001/main.do?rcpNo=20230316001182" TargetMode="External"/><Relationship Id="rId178" Type="http://schemas.openxmlformats.org/officeDocument/2006/relationships/hyperlink" Target="https://dart.fss.or.kr/dsaf001/main.do?rcpNo=20230314001079" TargetMode="External"/><Relationship Id="rId301" Type="http://schemas.openxmlformats.org/officeDocument/2006/relationships/hyperlink" Target="https://dart.fss.or.kr/dsaf001/main.do?rcpNo=20230411001656" TargetMode="External"/><Relationship Id="rId322" Type="http://schemas.openxmlformats.org/officeDocument/2006/relationships/hyperlink" Target="https://dart.fss.or.kr/dsaf001/main.do?rcpNo=20230321000387" TargetMode="External"/><Relationship Id="rId61" Type="http://schemas.openxmlformats.org/officeDocument/2006/relationships/hyperlink" Target="https://dart.fss.or.kr/dsaf001/main.do?rcpNo=20230314000982" TargetMode="External"/><Relationship Id="rId82" Type="http://schemas.openxmlformats.org/officeDocument/2006/relationships/hyperlink" Target="https://dart.fss.or.kr/dsaf001/main.do?rcpNo=20230321000752" TargetMode="External"/><Relationship Id="rId199" Type="http://schemas.openxmlformats.org/officeDocument/2006/relationships/hyperlink" Target="https://dart.fss.or.kr/dsaf001/main.do?rcpNo=20230321001365" TargetMode="External"/><Relationship Id="rId203" Type="http://schemas.openxmlformats.org/officeDocument/2006/relationships/hyperlink" Target="https://dart.fss.or.kr/dsaf001/main.do?rcpNo=20230316001571" TargetMode="External"/><Relationship Id="rId19" Type="http://schemas.openxmlformats.org/officeDocument/2006/relationships/hyperlink" Target="https://dart.fss.or.kr/dsaf001/main.do?rcpNo=20230713000082" TargetMode="External"/><Relationship Id="rId224" Type="http://schemas.openxmlformats.org/officeDocument/2006/relationships/hyperlink" Target="https://dart.fss.or.kr/dsaf001/main.do?rcpNo=20230714000214" TargetMode="External"/><Relationship Id="rId245" Type="http://schemas.openxmlformats.org/officeDocument/2006/relationships/hyperlink" Target="https://dart.fss.or.kr/dsaf001/main.do?rcpNo=20230320001005" TargetMode="External"/><Relationship Id="rId266" Type="http://schemas.openxmlformats.org/officeDocument/2006/relationships/hyperlink" Target="https://dart.fss.or.kr/dsaf001/main.do?rcpNo=20230313000443" TargetMode="External"/><Relationship Id="rId287" Type="http://schemas.openxmlformats.org/officeDocument/2006/relationships/hyperlink" Target="https://dart.fss.or.kr/dsaf001/main.do?rcpNo=20230320000937" TargetMode="External"/><Relationship Id="rId30" Type="http://schemas.openxmlformats.org/officeDocument/2006/relationships/hyperlink" Target="https://dart.fss.or.kr/dsaf001/main.do?rcpNo=20230320000833" TargetMode="External"/><Relationship Id="rId105" Type="http://schemas.openxmlformats.org/officeDocument/2006/relationships/hyperlink" Target="https://dart.fss.or.kr/dsaf001/main.do?rcpNo=20230317000669" TargetMode="External"/><Relationship Id="rId126" Type="http://schemas.openxmlformats.org/officeDocument/2006/relationships/hyperlink" Target="https://dart.fss.or.kr/dsaf001/main.do?rcpNo=20230315001384" TargetMode="External"/><Relationship Id="rId147" Type="http://schemas.openxmlformats.org/officeDocument/2006/relationships/hyperlink" Target="https://dart.fss.or.kr/dsaf001/main.do?rcpNo=20230321001381" TargetMode="External"/><Relationship Id="rId168" Type="http://schemas.openxmlformats.org/officeDocument/2006/relationships/hyperlink" Target="https://dart.fss.or.kr/dsaf001/main.do?rcpNo=20230316000461" TargetMode="External"/><Relationship Id="rId312" Type="http://schemas.openxmlformats.org/officeDocument/2006/relationships/hyperlink" Target="https://dart.fss.or.kr/dsaf001/main.do?rcpNo=20230309000797" TargetMode="External"/><Relationship Id="rId333" Type="http://schemas.openxmlformats.org/officeDocument/2006/relationships/hyperlink" Target="https://www.kca.go.kr/ccm/certSystemCorpStatusView.do"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art.fss.or.kr/dsaf001/main.do?rcpNo=20230323001050" TargetMode="External"/><Relationship Id="rId299" Type="http://schemas.openxmlformats.org/officeDocument/2006/relationships/hyperlink" Target="https://dart.fss.or.kr/dsaf001/main.do?rcpNo=20230315001327" TargetMode="External"/><Relationship Id="rId303" Type="http://schemas.openxmlformats.org/officeDocument/2006/relationships/hyperlink" Target="https://dart.fss.or.kr/dsaf001/main.do?rcpNo=20230321001449" TargetMode="External"/><Relationship Id="rId21" Type="http://schemas.openxmlformats.org/officeDocument/2006/relationships/hyperlink" Target="https://dart.fss.or.kr/dsaf001/main.do?rcpNo=20230315001407" TargetMode="External"/><Relationship Id="rId42" Type="http://schemas.openxmlformats.org/officeDocument/2006/relationships/hyperlink" Target="https://dart.fss.or.kr/dsaf001/main.do?rcpNo=20230320000162" TargetMode="External"/><Relationship Id="rId63" Type="http://schemas.openxmlformats.org/officeDocument/2006/relationships/hyperlink" Target="https://dart.fss.or.kr/dsaf001/main.do?rcpNo=20230322001068" TargetMode="External"/><Relationship Id="rId84" Type="http://schemas.openxmlformats.org/officeDocument/2006/relationships/hyperlink" Target="https://dart.fss.or.kr/dsaf001/main.do?rcpNo=20230324000880" TargetMode="External"/><Relationship Id="rId138" Type="http://schemas.openxmlformats.org/officeDocument/2006/relationships/hyperlink" Target="https://dart.fss.or.kr/dsaf001/main.do?rcpNo=20230307000606" TargetMode="External"/><Relationship Id="rId159" Type="http://schemas.openxmlformats.org/officeDocument/2006/relationships/hyperlink" Target="https://dart.fss.or.kr/dsaf001/main.do?rcpNo=20230317000349" TargetMode="External"/><Relationship Id="rId324" Type="http://schemas.openxmlformats.org/officeDocument/2006/relationships/hyperlink" Target="https://dart.fss.or.kr/dsaf001/main.do?rcpNo=20230316001454" TargetMode="External"/><Relationship Id="rId170" Type="http://schemas.openxmlformats.org/officeDocument/2006/relationships/hyperlink" Target="https://dart.fss.or.kr/dsaf001/main.do?rcpNo=20230320000954" TargetMode="External"/><Relationship Id="rId191" Type="http://schemas.openxmlformats.org/officeDocument/2006/relationships/hyperlink" Target="https://dart.fss.or.kr/dsaf001/main.do?rcpNo=20230320001088" TargetMode="External"/><Relationship Id="rId205" Type="http://schemas.openxmlformats.org/officeDocument/2006/relationships/hyperlink" Target="https://dart.fss.or.kr/dsaf001/main.do?rcpNo=20230308000675" TargetMode="External"/><Relationship Id="rId226" Type="http://schemas.openxmlformats.org/officeDocument/2006/relationships/hyperlink" Target="https://dart.fss.or.kr/dsaf001/main.do?rcpNo=20230321000389" TargetMode="External"/><Relationship Id="rId247" Type="http://schemas.openxmlformats.org/officeDocument/2006/relationships/hyperlink" Target="https://dart.fss.or.kr/dsaf001/main.do?rcpNo=20230323001465" TargetMode="External"/><Relationship Id="rId107" Type="http://schemas.openxmlformats.org/officeDocument/2006/relationships/hyperlink" Target="https://dart.fss.or.kr/dsaf001/main.do?rcpNo=20230314000884" TargetMode="External"/><Relationship Id="rId268" Type="http://schemas.openxmlformats.org/officeDocument/2006/relationships/hyperlink" Target="https://dart.fss.or.kr/dsaf001/main.do?rcpNo=20230322001245" TargetMode="External"/><Relationship Id="rId289" Type="http://schemas.openxmlformats.org/officeDocument/2006/relationships/hyperlink" Target="https://dart.fss.or.kr/dsaf001/main.do?rcpNo=20230313000732" TargetMode="External"/><Relationship Id="rId11" Type="http://schemas.openxmlformats.org/officeDocument/2006/relationships/hyperlink" Target="https://dart.fss.or.kr/dsaf001/main.do?rcpNo=20230322001200" TargetMode="External"/><Relationship Id="rId32" Type="http://schemas.openxmlformats.org/officeDocument/2006/relationships/hyperlink" Target="https://dart.fss.or.kr/dsaf001/main.do?rcpNo=20230222002549" TargetMode="External"/><Relationship Id="rId53" Type="http://schemas.openxmlformats.org/officeDocument/2006/relationships/hyperlink" Target="https://dart.fss.or.kr/dsaf001/main.do?rcpNo=20230322000774" TargetMode="External"/><Relationship Id="rId74" Type="http://schemas.openxmlformats.org/officeDocument/2006/relationships/hyperlink" Target="https://dart.fss.or.kr/dsaf001/main.do?rcpNo=20230321001403" TargetMode="External"/><Relationship Id="rId128" Type="http://schemas.openxmlformats.org/officeDocument/2006/relationships/hyperlink" Target="https://dart.fss.or.kr/dsaf001/main.do?rcpNo=20230327000678" TargetMode="External"/><Relationship Id="rId149" Type="http://schemas.openxmlformats.org/officeDocument/2006/relationships/hyperlink" Target="https://dart.fss.or.kr/dsaf001/main.do?rcpNo=20230713000197" TargetMode="External"/><Relationship Id="rId314" Type="http://schemas.openxmlformats.org/officeDocument/2006/relationships/hyperlink" Target="https://dart.fss.or.kr/dsaf001/main.do?rcpNo=20230316001392" TargetMode="External"/><Relationship Id="rId5" Type="http://schemas.openxmlformats.org/officeDocument/2006/relationships/hyperlink" Target="https://dart.fss.or.kr/dsaf001/main.do?rcpNo=20230814001661" TargetMode="External"/><Relationship Id="rId95" Type="http://schemas.openxmlformats.org/officeDocument/2006/relationships/hyperlink" Target="https://dart.fss.or.kr/dsaf001/main.do?rcpNo=20230317000725" TargetMode="External"/><Relationship Id="rId160" Type="http://schemas.openxmlformats.org/officeDocument/2006/relationships/hyperlink" Target="https://dart.fss.or.kr/dsaf001/main.do?rcpNo=20230310000633" TargetMode="External"/><Relationship Id="rId181" Type="http://schemas.openxmlformats.org/officeDocument/2006/relationships/hyperlink" Target="https://dart.fss.or.kr/dsaf001/main.do?rcpNo=20230323000459" TargetMode="External"/><Relationship Id="rId216" Type="http://schemas.openxmlformats.org/officeDocument/2006/relationships/hyperlink" Target="https://dart.fss.or.kr/dsaf001/main.do?rcpNo=20230323001183" TargetMode="External"/><Relationship Id="rId237" Type="http://schemas.openxmlformats.org/officeDocument/2006/relationships/hyperlink" Target="https://dart.fss.or.kr/dsaf001/main.do?rcpNo=20230321001298" TargetMode="External"/><Relationship Id="rId258" Type="http://schemas.openxmlformats.org/officeDocument/2006/relationships/hyperlink" Target="https://dart.fss.or.kr/dsaf001/main.do?rcpNo=20230322000780" TargetMode="External"/><Relationship Id="rId279" Type="http://schemas.openxmlformats.org/officeDocument/2006/relationships/hyperlink" Target="https://dart.fss.or.kr/dsaf001/main.do?rcpNo=20230316000941" TargetMode="External"/><Relationship Id="rId22" Type="http://schemas.openxmlformats.org/officeDocument/2006/relationships/hyperlink" Target="https://dart.fss.or.kr/dsaf001/main.do?rcpNo=20230714000061" TargetMode="External"/><Relationship Id="rId43" Type="http://schemas.openxmlformats.org/officeDocument/2006/relationships/hyperlink" Target="https://dart.fss.or.kr/dsaf001/main.do?rcpNo=20230317000869" TargetMode="External"/><Relationship Id="rId64" Type="http://schemas.openxmlformats.org/officeDocument/2006/relationships/hyperlink" Target="https://dart.fss.or.kr/dsaf001/main.do?rcpNo=20230314000467" TargetMode="External"/><Relationship Id="rId118" Type="http://schemas.openxmlformats.org/officeDocument/2006/relationships/hyperlink" Target="https://dart.fss.or.kr/dsaf001/main.do?rcpNo=20230315000646" TargetMode="External"/><Relationship Id="rId139" Type="http://schemas.openxmlformats.org/officeDocument/2006/relationships/hyperlink" Target="https://dart.fss.or.kr/dsaf001/main.do?rcpNo=20230831001403" TargetMode="External"/><Relationship Id="rId290" Type="http://schemas.openxmlformats.org/officeDocument/2006/relationships/hyperlink" Target="https://dart.fss.or.kr/dsaf001/main.do?rcpNo=20230314001231" TargetMode="External"/><Relationship Id="rId304" Type="http://schemas.openxmlformats.org/officeDocument/2006/relationships/hyperlink" Target="https://dart.fss.or.kr/dsaf001/main.do?rcpNo=20230310001083" TargetMode="External"/><Relationship Id="rId325" Type="http://schemas.openxmlformats.org/officeDocument/2006/relationships/hyperlink" Target="https://dart.fss.or.kr/dsaf001/main.do?rcpNo=20230309000761" TargetMode="External"/><Relationship Id="rId85" Type="http://schemas.openxmlformats.org/officeDocument/2006/relationships/hyperlink" Target="https://dart.fss.or.kr/dsaf001/main.do?rcpNo=20230317000005" TargetMode="External"/><Relationship Id="rId150" Type="http://schemas.openxmlformats.org/officeDocument/2006/relationships/hyperlink" Target="https://dart.fss.or.kr/dsaf001/main.do?rcpNo=20230524000304" TargetMode="External"/><Relationship Id="rId171" Type="http://schemas.openxmlformats.org/officeDocument/2006/relationships/hyperlink" Target="https://dart.fss.or.kr/dsaf001/main.do?rcpNo=20230302000104" TargetMode="External"/><Relationship Id="rId192" Type="http://schemas.openxmlformats.org/officeDocument/2006/relationships/hyperlink" Target="https://dart.fss.or.kr/dsaf001/main.do?rcpNo=20230515000371" TargetMode="External"/><Relationship Id="rId206" Type="http://schemas.openxmlformats.org/officeDocument/2006/relationships/hyperlink" Target="https://dart.fss.or.kr/dsaf001/main.do?rcpNo=20230329000065" TargetMode="External"/><Relationship Id="rId227" Type="http://schemas.openxmlformats.org/officeDocument/2006/relationships/hyperlink" Target="https://dart.fss.or.kr/dsaf001/main.do?rcpNo=20230314001271" TargetMode="External"/><Relationship Id="rId248" Type="http://schemas.openxmlformats.org/officeDocument/2006/relationships/hyperlink" Target="https://dart.fss.or.kr/dsaf001/main.do?rcpNo=20230315000297" TargetMode="External"/><Relationship Id="rId269" Type="http://schemas.openxmlformats.org/officeDocument/2006/relationships/hyperlink" Target="https://dart.fss.or.kr/dsaf001/main.do?rcpNo=20230316001467" TargetMode="External"/><Relationship Id="rId12" Type="http://schemas.openxmlformats.org/officeDocument/2006/relationships/hyperlink" Target="https://dart.fss.or.kr/dsaf001/main.do?rcpNo=20230320000736" TargetMode="External"/><Relationship Id="rId33" Type="http://schemas.openxmlformats.org/officeDocument/2006/relationships/hyperlink" Target="https://dart.fss.or.kr/dsaf001/main.do?rcpNo=20230317000276" TargetMode="External"/><Relationship Id="rId108" Type="http://schemas.openxmlformats.org/officeDocument/2006/relationships/hyperlink" Target="https://dart.fss.or.kr/dsaf001/main.do?rcpNo=20230324000928" TargetMode="External"/><Relationship Id="rId129" Type="http://schemas.openxmlformats.org/officeDocument/2006/relationships/hyperlink" Target="https://dart.fss.or.kr/dsaf001/main.do?rcpNo=20221230000430" TargetMode="External"/><Relationship Id="rId280" Type="http://schemas.openxmlformats.org/officeDocument/2006/relationships/hyperlink" Target="https://dart.fss.or.kr/dsaf001/main.do?rcpNo=20230321001102" TargetMode="External"/><Relationship Id="rId315" Type="http://schemas.openxmlformats.org/officeDocument/2006/relationships/hyperlink" Target="https://dart.fss.or.kr/dsaf001/main.do?rcpNo=20230321000920" TargetMode="External"/><Relationship Id="rId54" Type="http://schemas.openxmlformats.org/officeDocument/2006/relationships/hyperlink" Target="https://dart.fss.or.kr/dsaf001/main.do?rcpNo=20230314001158" TargetMode="External"/><Relationship Id="rId75" Type="http://schemas.openxmlformats.org/officeDocument/2006/relationships/hyperlink" Target="https://dart.fss.or.kr/dsaf001/main.do?rcpNo=20230316000958" TargetMode="External"/><Relationship Id="rId96" Type="http://schemas.openxmlformats.org/officeDocument/2006/relationships/hyperlink" Target="https://dart.fss.or.kr/dsaf001/main.do?rcpNo=20230322001007" TargetMode="External"/><Relationship Id="rId140" Type="http://schemas.openxmlformats.org/officeDocument/2006/relationships/hyperlink" Target="https://dart.fss.or.kr/dsaf001/main.do?rcpNo=20230307000653" TargetMode="External"/><Relationship Id="rId161" Type="http://schemas.openxmlformats.org/officeDocument/2006/relationships/hyperlink" Target="https://dart.fss.or.kr/dsaf001/main.do?rcpNo=20230315000963" TargetMode="External"/><Relationship Id="rId182" Type="http://schemas.openxmlformats.org/officeDocument/2006/relationships/hyperlink" Target="https://dart.fss.or.kr/dsaf001/main.do?rcpNo=20230411002838" TargetMode="External"/><Relationship Id="rId217" Type="http://schemas.openxmlformats.org/officeDocument/2006/relationships/hyperlink" Target="https://dart.fss.or.kr/dsaf001/main.do?rcpNo=20230320000322" TargetMode="External"/><Relationship Id="rId6" Type="http://schemas.openxmlformats.org/officeDocument/2006/relationships/hyperlink" Target="https://dart.fss.or.kr/dsaf001/main.do?rcpNo=20230321001132" TargetMode="External"/><Relationship Id="rId238" Type="http://schemas.openxmlformats.org/officeDocument/2006/relationships/hyperlink" Target="https://dart.fss.or.kr/dsaf001/main.do?rcpNo=20230321001309" TargetMode="External"/><Relationship Id="rId259" Type="http://schemas.openxmlformats.org/officeDocument/2006/relationships/hyperlink" Target="https://dart.fss.or.kr/dsaf001/main.do?rcpNo=20230310000763" TargetMode="External"/><Relationship Id="rId23" Type="http://schemas.openxmlformats.org/officeDocument/2006/relationships/hyperlink" Target="https://dart.fss.or.kr/dsaf001/main.do?rcpNo=20230321001126" TargetMode="External"/><Relationship Id="rId119" Type="http://schemas.openxmlformats.org/officeDocument/2006/relationships/hyperlink" Target="https://dart.fss.or.kr/dsaf001/main.do?rcpNo=20230314001159" TargetMode="External"/><Relationship Id="rId270" Type="http://schemas.openxmlformats.org/officeDocument/2006/relationships/hyperlink" Target="https://dart.fss.or.kr/dsaf001/main.do?rcpNo=20230712000281" TargetMode="External"/><Relationship Id="rId291" Type="http://schemas.openxmlformats.org/officeDocument/2006/relationships/hyperlink" Target="https://dart.fss.or.kr/dsaf001/main.do?rcpNo=20230315001227" TargetMode="External"/><Relationship Id="rId305" Type="http://schemas.openxmlformats.org/officeDocument/2006/relationships/hyperlink" Target="https://dart.fss.or.kr/dsaf001/main.do?rcpNo=20230321001162" TargetMode="External"/><Relationship Id="rId326" Type="http://schemas.openxmlformats.org/officeDocument/2006/relationships/hyperlink" Target="https://www.sj.co.kr/" TargetMode="External"/><Relationship Id="rId44" Type="http://schemas.openxmlformats.org/officeDocument/2006/relationships/hyperlink" Target="https://dart.fss.or.kr/dsaf001/main.do?rcpNo=20230322000906" TargetMode="External"/><Relationship Id="rId65" Type="http://schemas.openxmlformats.org/officeDocument/2006/relationships/hyperlink" Target="https://dart.fss.or.kr/dsaf001/main.do?rcpNo=20230323000821" TargetMode="External"/><Relationship Id="rId86" Type="http://schemas.openxmlformats.org/officeDocument/2006/relationships/hyperlink" Target="https://dart.fss.or.kr/dsaf001/main.do?rcpNo=20230323000406" TargetMode="External"/><Relationship Id="rId130" Type="http://schemas.openxmlformats.org/officeDocument/2006/relationships/hyperlink" Target="https://dart.fss.or.kr/dsaf001/main.do?rcpNo=20230831001561" TargetMode="External"/><Relationship Id="rId151" Type="http://schemas.openxmlformats.org/officeDocument/2006/relationships/hyperlink" Target="https://dart.fss.or.kr/dsaf001/main.do?rcpNo=20230316001053" TargetMode="External"/><Relationship Id="rId172" Type="http://schemas.openxmlformats.org/officeDocument/2006/relationships/hyperlink" Target="https://dart.fss.or.kr/dsaf001/main.do?rcpNo=20230323001156" TargetMode="External"/><Relationship Id="rId193" Type="http://schemas.openxmlformats.org/officeDocument/2006/relationships/hyperlink" Target="https://dart.fss.or.kr/dsaf001/main.do?rcpNo=20230321001134" TargetMode="External"/><Relationship Id="rId207" Type="http://schemas.openxmlformats.org/officeDocument/2006/relationships/hyperlink" Target="https://dart.fss.or.kr/dsaf001/main.do?rcpNo=20230323001413" TargetMode="External"/><Relationship Id="rId228" Type="http://schemas.openxmlformats.org/officeDocument/2006/relationships/hyperlink" Target="https://dart.fss.or.kr/dsaf001/main.do?rcpNo=20230316001017" TargetMode="External"/><Relationship Id="rId249" Type="http://schemas.openxmlformats.org/officeDocument/2006/relationships/hyperlink" Target="https://dart.fss.or.kr/dsaf001/main.do?rcpNo=20230321000862" TargetMode="External"/><Relationship Id="rId13" Type="http://schemas.openxmlformats.org/officeDocument/2006/relationships/hyperlink" Target="https://dart.fss.or.kr/dsaf001/main.do?rcpNo=20230320000604" TargetMode="External"/><Relationship Id="rId109" Type="http://schemas.openxmlformats.org/officeDocument/2006/relationships/hyperlink" Target="https://dart.fss.or.kr/dsaf001/main.do?rcpNo=20230322001127" TargetMode="External"/><Relationship Id="rId260" Type="http://schemas.openxmlformats.org/officeDocument/2006/relationships/hyperlink" Target="https://dart.fss.or.kr/dsaf001/main.do?rcpNo=20230316001321" TargetMode="External"/><Relationship Id="rId281" Type="http://schemas.openxmlformats.org/officeDocument/2006/relationships/hyperlink" Target="https://dart.fss.or.kr/dsaf001/main.do?rcpNo=20230317000867" TargetMode="External"/><Relationship Id="rId316" Type="http://schemas.openxmlformats.org/officeDocument/2006/relationships/hyperlink" Target="https://dart.fss.or.kr/dsaf001/main.do?rcpNo=20230317000130" TargetMode="External"/><Relationship Id="rId34" Type="http://schemas.openxmlformats.org/officeDocument/2006/relationships/hyperlink" Target="https://dart.fss.or.kr/dsaf001/main.do?rcpNo=20230315000850" TargetMode="External"/><Relationship Id="rId55" Type="http://schemas.openxmlformats.org/officeDocument/2006/relationships/hyperlink" Target="https://dart.fss.or.kr/dsaf001/main.do?rcpNo=20230320000720" TargetMode="External"/><Relationship Id="rId76" Type="http://schemas.openxmlformats.org/officeDocument/2006/relationships/hyperlink" Target="https://dart.fss.or.kr/dsaf001/main.do?rcpNo=20230322000832" TargetMode="External"/><Relationship Id="rId97" Type="http://schemas.openxmlformats.org/officeDocument/2006/relationships/hyperlink" Target="https://dart.fss.or.kr/dsaf001/main.do?rcpNo=20230316001141" TargetMode="External"/><Relationship Id="rId120" Type="http://schemas.openxmlformats.org/officeDocument/2006/relationships/hyperlink" Target="https://dart.fss.or.kr/dsaf001/main.do?rcpNo=20220915000334" TargetMode="External"/><Relationship Id="rId141" Type="http://schemas.openxmlformats.org/officeDocument/2006/relationships/hyperlink" Target="https://dart.fss.or.kr/dsaf001/main.do?rcpNo=20230307000542" TargetMode="External"/><Relationship Id="rId7" Type="http://schemas.openxmlformats.org/officeDocument/2006/relationships/hyperlink" Target="https://dart.fss.or.kr/dsaf001/main.do?rcpNo=20230831001199" TargetMode="External"/><Relationship Id="rId162" Type="http://schemas.openxmlformats.org/officeDocument/2006/relationships/hyperlink" Target="https://dart.fss.or.kr/dsaf001/main.do?rcpNo=20230323000638" TargetMode="External"/><Relationship Id="rId183" Type="http://schemas.openxmlformats.org/officeDocument/2006/relationships/hyperlink" Target="https://dart.fss.or.kr/dsaf001/main.do?rcpNo=20230321001494" TargetMode="External"/><Relationship Id="rId218" Type="http://schemas.openxmlformats.org/officeDocument/2006/relationships/hyperlink" Target="https://dart.fss.or.kr/dsaf001/main.do?rcpNo=20230322000936" TargetMode="External"/><Relationship Id="rId239" Type="http://schemas.openxmlformats.org/officeDocument/2006/relationships/hyperlink" Target="https://dart.fss.or.kr/dsaf001/main.do?rcpNo=20230316000762" TargetMode="External"/><Relationship Id="rId250" Type="http://schemas.openxmlformats.org/officeDocument/2006/relationships/hyperlink" Target="https://dart.fss.or.kr/dsaf001/main.do?rcpNo=20230403003576" TargetMode="External"/><Relationship Id="rId271" Type="http://schemas.openxmlformats.org/officeDocument/2006/relationships/hyperlink" Target="https://dart.fss.or.kr/dsaf001/main.do?rcpNo=20230316001349" TargetMode="External"/><Relationship Id="rId292" Type="http://schemas.openxmlformats.org/officeDocument/2006/relationships/hyperlink" Target="https://dart.fss.or.kr/dsaf001/main.do?rcpNo=20230315000894" TargetMode="External"/><Relationship Id="rId306" Type="http://schemas.openxmlformats.org/officeDocument/2006/relationships/hyperlink" Target="https://dart.fss.or.kr/dsaf001/main.do?rcpNo=20230320001061" TargetMode="External"/><Relationship Id="rId24" Type="http://schemas.openxmlformats.org/officeDocument/2006/relationships/hyperlink" Target="https://dart.fss.or.kr/dsaf001/main.do?rcpNo=20230315000071" TargetMode="External"/><Relationship Id="rId45" Type="http://schemas.openxmlformats.org/officeDocument/2006/relationships/hyperlink" Target="https://dart.fss.or.kr/dsaf001/main.do?rcpNo=20230324000127" TargetMode="External"/><Relationship Id="rId66" Type="http://schemas.openxmlformats.org/officeDocument/2006/relationships/hyperlink" Target="https://dart.fss.or.kr/dsaf001/main.do?rcpNo=20230320000409" TargetMode="External"/><Relationship Id="rId87" Type="http://schemas.openxmlformats.org/officeDocument/2006/relationships/hyperlink" Target="https://www.noroopaint.com/kor/index.asp?conntype=1" TargetMode="External"/><Relationship Id="rId110" Type="http://schemas.openxmlformats.org/officeDocument/2006/relationships/hyperlink" Target="https://dart.fss.or.kr/dsaf001/main.do?rcpNo=20230315001100" TargetMode="External"/><Relationship Id="rId131" Type="http://schemas.openxmlformats.org/officeDocument/2006/relationships/hyperlink" Target="https://dart.fss.or.kr/dsaf001/main.do?rcpNo=20230316000878" TargetMode="External"/><Relationship Id="rId327" Type="http://schemas.openxmlformats.org/officeDocument/2006/relationships/hyperlink" Target="https://www.aplusga.com/" TargetMode="External"/><Relationship Id="rId152" Type="http://schemas.openxmlformats.org/officeDocument/2006/relationships/hyperlink" Target="https://dart.fss.or.kr/dsaf001/main.do?rcpNo=20230314000085" TargetMode="External"/><Relationship Id="rId173" Type="http://schemas.openxmlformats.org/officeDocument/2006/relationships/hyperlink" Target="https://dart.fss.or.kr/dsaf001/main.do?rcpNo=20230316001196" TargetMode="External"/><Relationship Id="rId194" Type="http://schemas.openxmlformats.org/officeDocument/2006/relationships/hyperlink" Target="https://dart.fss.or.kr/dsaf001/main.do?rcpNo=20230307000691" TargetMode="External"/><Relationship Id="rId208" Type="http://schemas.openxmlformats.org/officeDocument/2006/relationships/hyperlink" Target="https://dart.fss.or.kr/dsaf001/main.do?rcpNo=20230314000094" TargetMode="External"/><Relationship Id="rId229" Type="http://schemas.openxmlformats.org/officeDocument/2006/relationships/hyperlink" Target="https://dart.fss.or.kr/dsaf001/main.do?rcpNo=20230322000622" TargetMode="External"/><Relationship Id="rId240" Type="http://schemas.openxmlformats.org/officeDocument/2006/relationships/hyperlink" Target="https://dart.fss.or.kr/dsaf001/main.do?rcpNo=20230321001167" TargetMode="External"/><Relationship Id="rId261" Type="http://schemas.openxmlformats.org/officeDocument/2006/relationships/hyperlink" Target="https://dart.fss.or.kr/dsaf001/main.do?rcpNo=20230316001190" TargetMode="External"/><Relationship Id="rId14" Type="http://schemas.openxmlformats.org/officeDocument/2006/relationships/hyperlink" Target="https://dart.fss.or.kr/dsaf001/main.do?rcpNo=20230831001367" TargetMode="External"/><Relationship Id="rId35" Type="http://schemas.openxmlformats.org/officeDocument/2006/relationships/hyperlink" Target="https://dart.fss.or.kr/dsaf001/main.do?rcpNo=20230315000964" TargetMode="External"/><Relationship Id="rId56" Type="http://schemas.openxmlformats.org/officeDocument/2006/relationships/hyperlink" Target="https://dart.fss.or.kr/dsaf001/main.do?rcpNo=20230316000629" TargetMode="External"/><Relationship Id="rId77" Type="http://schemas.openxmlformats.org/officeDocument/2006/relationships/hyperlink" Target="https://dart.fss.or.kr/dsaf001/main.do?rcpNo=20230316001258" TargetMode="External"/><Relationship Id="rId100" Type="http://schemas.openxmlformats.org/officeDocument/2006/relationships/hyperlink" Target="https://dart.fss.or.kr/dsaf001/main.do?rcpNo=20230314001212" TargetMode="External"/><Relationship Id="rId282" Type="http://schemas.openxmlformats.org/officeDocument/2006/relationships/hyperlink" Target="https://dart.fss.or.kr/dsaf001/main.do?rcpNo=20230316000780" TargetMode="External"/><Relationship Id="rId317" Type="http://schemas.openxmlformats.org/officeDocument/2006/relationships/hyperlink" Target="https://dart.fss.or.kr/dsaf001/main.do?rcpNo=20230315000315" TargetMode="External"/><Relationship Id="rId8" Type="http://schemas.openxmlformats.org/officeDocument/2006/relationships/hyperlink" Target="https://dart.fss.or.kr/dsaf001/main.do?rcpNo=20230728000644" TargetMode="External"/><Relationship Id="rId51" Type="http://schemas.openxmlformats.org/officeDocument/2006/relationships/hyperlink" Target="https://dart.fss.or.kr/dsaf001/main.do?rcpNo=20230315001078" TargetMode="External"/><Relationship Id="rId72" Type="http://schemas.openxmlformats.org/officeDocument/2006/relationships/hyperlink" Target="https://dart.fss.or.kr/dsaf001/main.do?rcpNo=20230321000737" TargetMode="External"/><Relationship Id="rId93" Type="http://schemas.openxmlformats.org/officeDocument/2006/relationships/hyperlink" Target="https://dart.fss.or.kr/dsaf001/main.do?rcpNo=20230316001384" TargetMode="External"/><Relationship Id="rId98" Type="http://schemas.openxmlformats.org/officeDocument/2006/relationships/hyperlink" Target="https://dart.fss.or.kr/dsaf001/main.do?rcpNo=20230314001293" TargetMode="External"/><Relationship Id="rId121" Type="http://schemas.openxmlformats.org/officeDocument/2006/relationships/hyperlink" Target="https://dart.fss.or.kr/dsaf001/main.do?rcpNo=20230316000602" TargetMode="External"/><Relationship Id="rId142" Type="http://schemas.openxmlformats.org/officeDocument/2006/relationships/hyperlink" Target="https://dart.fss.or.kr/dsaf001/main.do?rcpNo=20230309000572" TargetMode="External"/><Relationship Id="rId163" Type="http://schemas.openxmlformats.org/officeDocument/2006/relationships/hyperlink" Target="https://dart.fss.or.kr/dsaf001/main.do?rcpNo=20230316000928" TargetMode="External"/><Relationship Id="rId184" Type="http://schemas.openxmlformats.org/officeDocument/2006/relationships/hyperlink" Target="https://dart.fss.or.kr/dsaf001/main.do?rcpNo=20230317001042" TargetMode="External"/><Relationship Id="rId189" Type="http://schemas.openxmlformats.org/officeDocument/2006/relationships/hyperlink" Target="https://dart.fss.or.kr/dsaf001/main.do?rcpNo=20230323001296" TargetMode="External"/><Relationship Id="rId219" Type="http://schemas.openxmlformats.org/officeDocument/2006/relationships/hyperlink" Target="https://dart.fss.or.kr/dsaf001/main.do?rcpNo=20230317000389" TargetMode="External"/><Relationship Id="rId3" Type="http://schemas.openxmlformats.org/officeDocument/2006/relationships/hyperlink" Target="https://dart.fss.or.kr/dsaf001/main.do?rcpNo=20230317000857" TargetMode="External"/><Relationship Id="rId214" Type="http://schemas.openxmlformats.org/officeDocument/2006/relationships/hyperlink" Target="https://dart.fss.or.kr/dsaf001/main.do?rcpNo=20230323001335" TargetMode="External"/><Relationship Id="rId230" Type="http://schemas.openxmlformats.org/officeDocument/2006/relationships/hyperlink" Target="https://dart.fss.or.kr/dsaf001/main.do?rcpNo=20230331002546" TargetMode="External"/><Relationship Id="rId235" Type="http://schemas.openxmlformats.org/officeDocument/2006/relationships/hyperlink" Target="https://dart.fss.or.kr/dsaf001/main.do?rcpNo=20230306000422" TargetMode="External"/><Relationship Id="rId251" Type="http://schemas.openxmlformats.org/officeDocument/2006/relationships/hyperlink" Target="https://dart.fss.or.kr/dsaf001/main.do?rcpNo=20230331000007" TargetMode="External"/><Relationship Id="rId256" Type="http://schemas.openxmlformats.org/officeDocument/2006/relationships/hyperlink" Target="https://dart.fss.or.kr/dsaf001/main.do?rcpNo=20230314000862" TargetMode="External"/><Relationship Id="rId277" Type="http://schemas.openxmlformats.org/officeDocument/2006/relationships/hyperlink" Target="https://dart.fss.or.kr/dsaf001/main.do?rcpNo=20230323000970" TargetMode="External"/><Relationship Id="rId298" Type="http://schemas.openxmlformats.org/officeDocument/2006/relationships/hyperlink" Target="https://dart.fss.or.kr/dsaf001/main.do?rcpNo=20230315000557" TargetMode="External"/><Relationship Id="rId25" Type="http://schemas.openxmlformats.org/officeDocument/2006/relationships/hyperlink" Target="https://dart.fss.or.kr/dsaf001/main.do?rcpNo=20230316000950" TargetMode="External"/><Relationship Id="rId46" Type="http://schemas.openxmlformats.org/officeDocument/2006/relationships/hyperlink" Target="https://dart.fss.or.kr/dsaf001/main.do?rcpNo=20230320000964" TargetMode="External"/><Relationship Id="rId67" Type="http://schemas.openxmlformats.org/officeDocument/2006/relationships/hyperlink" Target="https://dart.fss.or.kr/dsaf001/main.do?rcpNo=20230316001213" TargetMode="External"/><Relationship Id="rId116" Type="http://schemas.openxmlformats.org/officeDocument/2006/relationships/hyperlink" Target="https://dart.fss.or.kr/dsaf001/main.do?rcpNo=20230424000485" TargetMode="External"/><Relationship Id="rId137" Type="http://schemas.openxmlformats.org/officeDocument/2006/relationships/hyperlink" Target="https://dart.fss.or.kr/dsaf001/main.do?rcpNo=20230308000737" TargetMode="External"/><Relationship Id="rId158" Type="http://schemas.openxmlformats.org/officeDocument/2006/relationships/hyperlink" Target="https://dart.fss.or.kr/dsaf001/main.do?rcpNo=20230316001232" TargetMode="External"/><Relationship Id="rId272" Type="http://schemas.openxmlformats.org/officeDocument/2006/relationships/hyperlink" Target="https://dart.fss.or.kr/dsaf001/main.do?rcpNo=20230320000791" TargetMode="External"/><Relationship Id="rId293" Type="http://schemas.openxmlformats.org/officeDocument/2006/relationships/hyperlink" Target="https://dart.fss.or.kr/dsaf001/main.do?rcpNo=20230321000255" TargetMode="External"/><Relationship Id="rId302" Type="http://schemas.openxmlformats.org/officeDocument/2006/relationships/hyperlink" Target="https://dart.fss.or.kr/dsaf001/main.do?rcpNo=20230315001104" TargetMode="External"/><Relationship Id="rId307" Type="http://schemas.openxmlformats.org/officeDocument/2006/relationships/hyperlink" Target="https://dart.fss.or.kr/dsaf001/main.do?rcpNo=20230321001479" TargetMode="External"/><Relationship Id="rId323" Type="http://schemas.openxmlformats.org/officeDocument/2006/relationships/hyperlink" Target="https://dart.fss.or.kr/dsaf001/main.do?rcpNo=20230313000533" TargetMode="External"/><Relationship Id="rId328" Type="http://schemas.openxmlformats.org/officeDocument/2006/relationships/hyperlink" Target="https://www.youngone.co.kr/" TargetMode="External"/><Relationship Id="rId20" Type="http://schemas.openxmlformats.org/officeDocument/2006/relationships/hyperlink" Target="https://dart.fss.or.kr/dsaf001/main.do?rcpNo=20230317000301" TargetMode="External"/><Relationship Id="rId41" Type="http://schemas.openxmlformats.org/officeDocument/2006/relationships/hyperlink" Target="https://dart.fss.or.kr/dsaf001/main.do?rcpNo=20230315000990" TargetMode="External"/><Relationship Id="rId62" Type="http://schemas.openxmlformats.org/officeDocument/2006/relationships/hyperlink" Target="https://dart.fss.or.kr/dsaf001/main.do?rcpNo=20230314000692" TargetMode="External"/><Relationship Id="rId83" Type="http://schemas.openxmlformats.org/officeDocument/2006/relationships/hyperlink" Target="https://dart.fss.or.kr/dsaf001/main.do?rcpNo=20230321000740" TargetMode="External"/><Relationship Id="rId88" Type="http://schemas.openxmlformats.org/officeDocument/2006/relationships/hyperlink" Target="https://www.dlenc.co.kr/main.do" TargetMode="External"/><Relationship Id="rId111" Type="http://schemas.openxmlformats.org/officeDocument/2006/relationships/hyperlink" Target="https://dart.fss.or.kr/dsaf001/main.do?rcpNo=20230321001259" TargetMode="External"/><Relationship Id="rId132" Type="http://schemas.openxmlformats.org/officeDocument/2006/relationships/hyperlink" Target="https://dart.fss.or.kr/dsaf001/main.do?rcpNo=20230328000107" TargetMode="External"/><Relationship Id="rId153" Type="http://schemas.openxmlformats.org/officeDocument/2006/relationships/hyperlink" Target="https://dart.fss.or.kr/dsaf001/main.do?rcpNo=20230316001338" TargetMode="External"/><Relationship Id="rId174" Type="http://schemas.openxmlformats.org/officeDocument/2006/relationships/hyperlink" Target="https://dart.fss.or.kr/dsaf001/main.do?rcpNo=20230322000910" TargetMode="External"/><Relationship Id="rId179" Type="http://schemas.openxmlformats.org/officeDocument/2006/relationships/hyperlink" Target="https://dart.fss.or.kr/dsaf001/main.do?rcpNo=20230316001089" TargetMode="External"/><Relationship Id="rId195" Type="http://schemas.openxmlformats.org/officeDocument/2006/relationships/hyperlink" Target="https://dart.fss.or.kr/dsaf001/main.do?rcpNo=20230321001261" TargetMode="External"/><Relationship Id="rId209" Type="http://schemas.openxmlformats.org/officeDocument/2006/relationships/hyperlink" Target="https://dart.fss.or.kr/dsaf001/main.do?rcpNo=20230315000887" TargetMode="External"/><Relationship Id="rId190" Type="http://schemas.openxmlformats.org/officeDocument/2006/relationships/hyperlink" Target="https://dart.fss.or.kr/dsaf001/main.do?rcpNo=20230315001190" TargetMode="External"/><Relationship Id="rId204" Type="http://schemas.openxmlformats.org/officeDocument/2006/relationships/hyperlink" Target="https://dart.fss.or.kr/dsaf001/main.do?rcpNo=20230317000918" TargetMode="External"/><Relationship Id="rId220" Type="http://schemas.openxmlformats.org/officeDocument/2006/relationships/hyperlink" Target="https://dart.fss.or.kr/dsaf001/main.do?rcpNo=20230323001151" TargetMode="External"/><Relationship Id="rId225" Type="http://schemas.openxmlformats.org/officeDocument/2006/relationships/hyperlink" Target="https://dart.fss.or.kr/dsaf001/main.do?rcpNo=20230308000451" TargetMode="External"/><Relationship Id="rId241" Type="http://schemas.openxmlformats.org/officeDocument/2006/relationships/hyperlink" Target="https://dart.fss.or.kr/dsaf001/main.do?rcpNo=20230316001262" TargetMode="External"/><Relationship Id="rId246" Type="http://schemas.openxmlformats.org/officeDocument/2006/relationships/hyperlink" Target="https://dart.fss.or.kr/dsaf001/main.do?rcpNo=20230317001037" TargetMode="External"/><Relationship Id="rId267" Type="http://schemas.openxmlformats.org/officeDocument/2006/relationships/hyperlink" Target="https://dart.fss.or.kr/dsaf001/main.do?rcpNo=20230317000751" TargetMode="External"/><Relationship Id="rId288" Type="http://schemas.openxmlformats.org/officeDocument/2006/relationships/hyperlink" Target="https://dart.fss.or.kr/dsaf001/main.do?rcpNo=20230314000521" TargetMode="External"/><Relationship Id="rId15" Type="http://schemas.openxmlformats.org/officeDocument/2006/relationships/hyperlink" Target="https://dart.fss.or.kr/dsaf001/main.do?rcpNo=20230316001014" TargetMode="External"/><Relationship Id="rId36" Type="http://schemas.openxmlformats.org/officeDocument/2006/relationships/hyperlink" Target="https://dart.fss.or.kr/dsaf001/main.do?rcpNo=20230316000724" TargetMode="External"/><Relationship Id="rId57" Type="http://schemas.openxmlformats.org/officeDocument/2006/relationships/hyperlink" Target="https://dart.fss.or.kr/dsaf001/main.do?rcpNo=20230309000731" TargetMode="External"/><Relationship Id="rId106" Type="http://schemas.openxmlformats.org/officeDocument/2006/relationships/hyperlink" Target="https://dart.fss.or.kr/dsaf001/main.do?rcpNo=20230320000820" TargetMode="External"/><Relationship Id="rId127" Type="http://schemas.openxmlformats.org/officeDocument/2006/relationships/hyperlink" Target="https://dart.fss.or.kr/dsaf001/main.do?rcpNo=20230310000296" TargetMode="External"/><Relationship Id="rId262" Type="http://schemas.openxmlformats.org/officeDocument/2006/relationships/hyperlink" Target="https://dart.fss.or.kr/dsaf001/main.do?rcpNo=20230314000892" TargetMode="External"/><Relationship Id="rId283" Type="http://schemas.openxmlformats.org/officeDocument/2006/relationships/hyperlink" Target="https://dart.fss.or.kr/dsaf001/main.do?rcpNo=20230316001135" TargetMode="External"/><Relationship Id="rId313" Type="http://schemas.openxmlformats.org/officeDocument/2006/relationships/hyperlink" Target="https://dart.fss.or.kr/dsaf001/main.do?rcpNo=20230315001376" TargetMode="External"/><Relationship Id="rId318" Type="http://schemas.openxmlformats.org/officeDocument/2006/relationships/hyperlink" Target="https://dart.fss.or.kr/dsaf001/main.do?rcpNo=20230320000391" TargetMode="External"/><Relationship Id="rId10" Type="http://schemas.openxmlformats.org/officeDocument/2006/relationships/hyperlink" Target="https://dart.fss.or.kr/dsaf001/main.do?rcpNo=20230315001420" TargetMode="External"/><Relationship Id="rId31" Type="http://schemas.openxmlformats.org/officeDocument/2006/relationships/hyperlink" Target="https://dart.fss.or.kr/dsaf001/main.do?rcpNo=20230302000615" TargetMode="External"/><Relationship Id="rId52" Type="http://schemas.openxmlformats.org/officeDocument/2006/relationships/hyperlink" Target="https://dart.fss.or.kr/dsaf001/main.do?rcpNo=20230322000815" TargetMode="External"/><Relationship Id="rId73" Type="http://schemas.openxmlformats.org/officeDocument/2006/relationships/hyperlink" Target="https://dart.fss.or.kr/dsaf001/main.do?rcpNo=20230316000929" TargetMode="External"/><Relationship Id="rId78" Type="http://schemas.openxmlformats.org/officeDocument/2006/relationships/hyperlink" Target="https://dart.fss.or.kr/dsaf001/main.do?rcpNo=20230316000896" TargetMode="External"/><Relationship Id="rId94" Type="http://schemas.openxmlformats.org/officeDocument/2006/relationships/hyperlink" Target="https://dart.fss.or.kr/dsaf001/main.do?rcpNo=20230315001173" TargetMode="External"/><Relationship Id="rId99" Type="http://schemas.openxmlformats.org/officeDocument/2006/relationships/hyperlink" Target="https://dart.fss.or.kr/dsaf001/main.do?rcpNo=20230316000733" TargetMode="External"/><Relationship Id="rId101" Type="http://schemas.openxmlformats.org/officeDocument/2006/relationships/hyperlink" Target="https://dart.fss.or.kr/dsaf001/main.do?rcpNo=20230316000463" TargetMode="External"/><Relationship Id="rId122" Type="http://schemas.openxmlformats.org/officeDocument/2006/relationships/hyperlink" Target="https://dart.fss.or.kr/dsaf001/main.do?rcpNo=20230316000931" TargetMode="External"/><Relationship Id="rId143" Type="http://schemas.openxmlformats.org/officeDocument/2006/relationships/hyperlink" Target="https://dart.fss.or.kr/dsaf001/main.do?rcpNo=20230308000723" TargetMode="External"/><Relationship Id="rId148" Type="http://schemas.openxmlformats.org/officeDocument/2006/relationships/hyperlink" Target="https://dart.fss.or.kr/dsaf001/main.do?rcpNo=20230315001242" TargetMode="External"/><Relationship Id="rId164" Type="http://schemas.openxmlformats.org/officeDocument/2006/relationships/hyperlink" Target="https://dart.fss.or.kr/dsaf001/main.do?rcpNo=20230308000717" TargetMode="External"/><Relationship Id="rId169" Type="http://schemas.openxmlformats.org/officeDocument/2006/relationships/hyperlink" Target="https://dart.fss.or.kr/dsaf001/main.do?rcpNo=20230320000842" TargetMode="External"/><Relationship Id="rId185" Type="http://schemas.openxmlformats.org/officeDocument/2006/relationships/hyperlink" Target="https://dart.fss.or.kr/dsaf001/main.do?rcpNo=20230316000657" TargetMode="External"/><Relationship Id="rId334" Type="http://schemas.openxmlformats.org/officeDocument/2006/relationships/hyperlink" Target="http://unglobalcompact.kr/membership/member/" TargetMode="External"/><Relationship Id="rId4" Type="http://schemas.openxmlformats.org/officeDocument/2006/relationships/hyperlink" Target="https://dart.fss.or.kr/dsaf001/main.do?rcpNo=20230320000740" TargetMode="External"/><Relationship Id="rId9" Type="http://schemas.openxmlformats.org/officeDocument/2006/relationships/hyperlink" Target="https://dart.fss.or.kr/dsaf001/main.do?rcpNo=20230315000019" TargetMode="External"/><Relationship Id="rId180" Type="http://schemas.openxmlformats.org/officeDocument/2006/relationships/hyperlink" Target="https://dart.fss.or.kr/dsaf001/main.do?rcpNo=20230615000542" TargetMode="External"/><Relationship Id="rId210" Type="http://schemas.openxmlformats.org/officeDocument/2006/relationships/hyperlink" Target="https://dart.fss.or.kr/dsaf001/main.do?rcpNo=20230315001431" TargetMode="External"/><Relationship Id="rId215" Type="http://schemas.openxmlformats.org/officeDocument/2006/relationships/hyperlink" Target="https://dart.fss.or.kr/dsaf001/main.do?rcpNo=20230309000433" TargetMode="External"/><Relationship Id="rId236" Type="http://schemas.openxmlformats.org/officeDocument/2006/relationships/hyperlink" Target="https://dart.fss.or.kr/dsaf001/main.do?rcpNo=20230320000418" TargetMode="External"/><Relationship Id="rId257" Type="http://schemas.openxmlformats.org/officeDocument/2006/relationships/hyperlink" Target="https://dart.fss.or.kr/dsaf001/main.do?rcpNo=20230317000233" TargetMode="External"/><Relationship Id="rId278" Type="http://schemas.openxmlformats.org/officeDocument/2006/relationships/hyperlink" Target="https://dart.fss.or.kr/dsaf001/main.do?rcpNo=20230316001234" TargetMode="External"/><Relationship Id="rId26" Type="http://schemas.openxmlformats.org/officeDocument/2006/relationships/hyperlink" Target="https://dart.fss.or.kr/dsaf001/main.do?rcpNo=20230316000684" TargetMode="External"/><Relationship Id="rId231" Type="http://schemas.openxmlformats.org/officeDocument/2006/relationships/hyperlink" Target="https://dart.fss.or.kr/dsaf001/main.do?rcpNo=20230309000626" TargetMode="External"/><Relationship Id="rId252" Type="http://schemas.openxmlformats.org/officeDocument/2006/relationships/hyperlink" Target="https://dart.fss.or.kr/dsaf001/main.do?rcpNo=20230320000728" TargetMode="External"/><Relationship Id="rId273" Type="http://schemas.openxmlformats.org/officeDocument/2006/relationships/hyperlink" Target="http://www.fskrc.co.kr/" TargetMode="External"/><Relationship Id="rId294" Type="http://schemas.openxmlformats.org/officeDocument/2006/relationships/hyperlink" Target="https://dart.fss.or.kr/dsaf001/main.do?rcpNo=20230317000994" TargetMode="External"/><Relationship Id="rId308" Type="http://schemas.openxmlformats.org/officeDocument/2006/relationships/hyperlink" Target="https://dart.fss.or.kr/dsaf001/main.do?rcpNo=20230317000639" TargetMode="External"/><Relationship Id="rId329" Type="http://schemas.openxmlformats.org/officeDocument/2006/relationships/hyperlink" Target="http://www.iljinelectric.co.kr/main.jsp" TargetMode="External"/><Relationship Id="rId47" Type="http://schemas.openxmlformats.org/officeDocument/2006/relationships/hyperlink" Target="https://dart.fss.or.kr/dsaf001/main.do?rcpNo=20230320000235" TargetMode="External"/><Relationship Id="rId68" Type="http://schemas.openxmlformats.org/officeDocument/2006/relationships/hyperlink" Target="https://dart.fss.or.kr/dsaf001/main.do?rcpNo=20230608000512" TargetMode="External"/><Relationship Id="rId89" Type="http://schemas.openxmlformats.org/officeDocument/2006/relationships/hyperlink" Target="https://dart.fss.or.kr/dsaf001/main.do?rcpNo=20230322001136" TargetMode="External"/><Relationship Id="rId112" Type="http://schemas.openxmlformats.org/officeDocument/2006/relationships/hyperlink" Target="https://dart.fss.or.kr/dsaf001/main.do?rcpNo=20230713000062" TargetMode="External"/><Relationship Id="rId133" Type="http://schemas.openxmlformats.org/officeDocument/2006/relationships/hyperlink" Target="https://dart.fss.or.kr/dsaf001/main.do?rcpNo=20230323000263" TargetMode="External"/><Relationship Id="rId154" Type="http://schemas.openxmlformats.org/officeDocument/2006/relationships/hyperlink" Target="https://dart.fss.or.kr/dsaf001/main.do?rcpNo=20230322000313" TargetMode="External"/><Relationship Id="rId175" Type="http://schemas.openxmlformats.org/officeDocument/2006/relationships/hyperlink" Target="https://dart.fss.or.kr/dsaf001/main.do?rcpNo=20230315001315" TargetMode="External"/><Relationship Id="rId196" Type="http://schemas.openxmlformats.org/officeDocument/2006/relationships/hyperlink" Target="https://dart.fss.or.kr/dsaf001/main.do?rcpNo=20230323001360" TargetMode="External"/><Relationship Id="rId200" Type="http://schemas.openxmlformats.org/officeDocument/2006/relationships/hyperlink" Target="https://dart.fss.or.kr/dsaf001/main.do?rcpNo=20230712000496" TargetMode="External"/><Relationship Id="rId16" Type="http://schemas.openxmlformats.org/officeDocument/2006/relationships/hyperlink" Target="https://dart.fss.or.kr/dsaf001/main.do?rcpNo=20230315001215" TargetMode="External"/><Relationship Id="rId221" Type="http://schemas.openxmlformats.org/officeDocument/2006/relationships/hyperlink" Target="https://dart.fss.or.kr/dsaf001/main.do?rcpNo=20230316000222" TargetMode="External"/><Relationship Id="rId242" Type="http://schemas.openxmlformats.org/officeDocument/2006/relationships/hyperlink" Target="https://dart.fss.or.kr/dsaf001/main.do?rcpNo=20230407002574" TargetMode="External"/><Relationship Id="rId263" Type="http://schemas.openxmlformats.org/officeDocument/2006/relationships/hyperlink" Target="https://dart.fss.or.kr/dsaf001/main.do?rcpNo=20230321001130" TargetMode="External"/><Relationship Id="rId284" Type="http://schemas.openxmlformats.org/officeDocument/2006/relationships/hyperlink" Target="https://dart.fss.or.kr/dsaf001/main.do?rcpNo=20230316001554" TargetMode="External"/><Relationship Id="rId319" Type="http://schemas.openxmlformats.org/officeDocument/2006/relationships/hyperlink" Target="https://dart.fss.or.kr/dsaf001/main.do?rcpNo=20230315001063" TargetMode="External"/><Relationship Id="rId37" Type="http://schemas.openxmlformats.org/officeDocument/2006/relationships/hyperlink" Target="https://dart.fss.or.kr/dsaf001/main.do?rcpNo=20230315000084" TargetMode="External"/><Relationship Id="rId58" Type="http://schemas.openxmlformats.org/officeDocument/2006/relationships/hyperlink" Target="https://dart.fss.or.kr/dsaf001/main.do?rcpNo=20230316001326" TargetMode="External"/><Relationship Id="rId79" Type="http://schemas.openxmlformats.org/officeDocument/2006/relationships/hyperlink" Target="http://www.daesung.co.kr/" TargetMode="External"/><Relationship Id="rId102" Type="http://schemas.openxmlformats.org/officeDocument/2006/relationships/hyperlink" Target="https://dart.fss.or.kr/dsaf001/main.do?rcpNo=20230320001075" TargetMode="External"/><Relationship Id="rId123" Type="http://schemas.openxmlformats.org/officeDocument/2006/relationships/hyperlink" Target="https://dart.fss.or.kr/dsaf001/main.do?rcpNo=20230317001035" TargetMode="External"/><Relationship Id="rId144" Type="http://schemas.openxmlformats.org/officeDocument/2006/relationships/hyperlink" Target="https://dart.fss.or.kr/dsaf001/main.do?rcpNo=20230309000772" TargetMode="External"/><Relationship Id="rId330" Type="http://schemas.openxmlformats.org/officeDocument/2006/relationships/hyperlink" Target="https://m.kakaobank.com/" TargetMode="External"/><Relationship Id="rId90" Type="http://schemas.openxmlformats.org/officeDocument/2006/relationships/hyperlink" Target="https://dart.fss.or.kr/dsaf001/main.do?rcpNo=20230331003410" TargetMode="External"/><Relationship Id="rId165" Type="http://schemas.openxmlformats.org/officeDocument/2006/relationships/hyperlink" Target="https://dart.fss.or.kr/dsaf001/main.do?rcpNo=20230314001166" TargetMode="External"/><Relationship Id="rId186" Type="http://schemas.openxmlformats.org/officeDocument/2006/relationships/hyperlink" Target="https://dart.fss.or.kr/dsaf001/main.do?rcpNo=20230315001378" TargetMode="External"/><Relationship Id="rId211" Type="http://schemas.openxmlformats.org/officeDocument/2006/relationships/hyperlink" Target="https://dart.fss.or.kr/dsaf001/main.do?rcpNo=20230315000658" TargetMode="External"/><Relationship Id="rId232" Type="http://schemas.openxmlformats.org/officeDocument/2006/relationships/hyperlink" Target="https://dart.fss.or.kr/dsaf001/main.do?rcpNo=20230316000376" TargetMode="External"/><Relationship Id="rId253" Type="http://schemas.openxmlformats.org/officeDocument/2006/relationships/hyperlink" Target="https://dart.fss.or.kr/dsaf001/main.do?rcpNo=20230320001037" TargetMode="External"/><Relationship Id="rId274" Type="http://schemas.openxmlformats.org/officeDocument/2006/relationships/hyperlink" Target="https://dart.fss.or.kr/dsaf001/main.do?rcpNo=20230323000756" TargetMode="External"/><Relationship Id="rId295" Type="http://schemas.openxmlformats.org/officeDocument/2006/relationships/hyperlink" Target="https://dart.fss.or.kr/dsaf001/main.do?rcpNo=20230317000982" TargetMode="External"/><Relationship Id="rId309" Type="http://schemas.openxmlformats.org/officeDocument/2006/relationships/hyperlink" Target="https://dart.fss.or.kr/dsaf001/main.do?rcpNo=20230315001030" TargetMode="External"/><Relationship Id="rId27" Type="http://schemas.openxmlformats.org/officeDocument/2006/relationships/hyperlink" Target="https://dart.fss.or.kr/dsaf001/main.do?rcpNo=20230322000776" TargetMode="External"/><Relationship Id="rId48" Type="http://schemas.openxmlformats.org/officeDocument/2006/relationships/hyperlink" Target="https://dart.fss.or.kr/dsaf001/main.do?rcpNo=20230321001209" TargetMode="External"/><Relationship Id="rId69" Type="http://schemas.openxmlformats.org/officeDocument/2006/relationships/hyperlink" Target="https://dart.fss.or.kr/dsaf001/main.do?rcpNo=20230309000734" TargetMode="External"/><Relationship Id="rId113" Type="http://schemas.openxmlformats.org/officeDocument/2006/relationships/hyperlink" Target="https://dart.fss.or.kr/dsaf001/main.do?rcpNo=20230315000573" TargetMode="External"/><Relationship Id="rId134" Type="http://schemas.openxmlformats.org/officeDocument/2006/relationships/hyperlink" Target="https://dart.fss.or.kr/dsaf001/main.do?rcpNo=20230315001385" TargetMode="External"/><Relationship Id="rId320" Type="http://schemas.openxmlformats.org/officeDocument/2006/relationships/hyperlink" Target="https://dart.fss.or.kr/dsaf001/main.do?rcpNo=20230308000691" TargetMode="External"/><Relationship Id="rId80" Type="http://schemas.openxmlformats.org/officeDocument/2006/relationships/hyperlink" Target="https://dart.fss.or.kr/dsaf001/main.do?rcpNo=20230321000870" TargetMode="External"/><Relationship Id="rId155" Type="http://schemas.openxmlformats.org/officeDocument/2006/relationships/hyperlink" Target="https://dart.fss.or.kr/dsaf001/main.do?rcpNo=20230410003453" TargetMode="External"/><Relationship Id="rId176" Type="http://schemas.openxmlformats.org/officeDocument/2006/relationships/hyperlink" Target="https://dart.fss.or.kr/dsaf001/main.do?rcpNo=20220920000318" TargetMode="External"/><Relationship Id="rId197" Type="http://schemas.openxmlformats.org/officeDocument/2006/relationships/hyperlink" Target="https://dart.fss.or.kr/dsaf001/main.do?rcpNo=20230314000700" TargetMode="External"/><Relationship Id="rId201" Type="http://schemas.openxmlformats.org/officeDocument/2006/relationships/hyperlink" Target="https://dart.fss.or.kr/dsaf001/main.do?rcpNo=20230315001259" TargetMode="External"/><Relationship Id="rId222" Type="http://schemas.openxmlformats.org/officeDocument/2006/relationships/hyperlink" Target="https://dart.fss.or.kr/dsaf001/main.do?rcpNo=20230315000560" TargetMode="External"/><Relationship Id="rId243" Type="http://schemas.openxmlformats.org/officeDocument/2006/relationships/hyperlink" Target="https://dart.fss.or.kr/dsaf001/main.do?rcpNo=20230323001449" TargetMode="External"/><Relationship Id="rId264" Type="http://schemas.openxmlformats.org/officeDocument/2006/relationships/hyperlink" Target="https://dart.fss.or.kr/dsaf001/main.do?rcpNo=20230321001315" TargetMode="External"/><Relationship Id="rId285" Type="http://schemas.openxmlformats.org/officeDocument/2006/relationships/hyperlink" Target="https://dart.fss.or.kr/dsaf001/main.do?rcpNo=20230321001525" TargetMode="External"/><Relationship Id="rId17" Type="http://schemas.openxmlformats.org/officeDocument/2006/relationships/hyperlink" Target="https://dart.fss.or.kr/dsaf001/main.do?rcpNo=20230316001339" TargetMode="External"/><Relationship Id="rId38" Type="http://schemas.openxmlformats.org/officeDocument/2006/relationships/hyperlink" Target="https://dart.fss.or.kr/dsaf001/main.do?rcpNo=20230309000859" TargetMode="External"/><Relationship Id="rId59" Type="http://schemas.openxmlformats.org/officeDocument/2006/relationships/hyperlink" Target="https://dart.fss.or.kr/dsaf001/main.do?rcpNo=20230321001353" TargetMode="External"/><Relationship Id="rId103" Type="http://schemas.openxmlformats.org/officeDocument/2006/relationships/hyperlink" Target="https://dart.fss.or.kr/dsaf001/main.do?rcpNo=20230316000692" TargetMode="External"/><Relationship Id="rId124" Type="http://schemas.openxmlformats.org/officeDocument/2006/relationships/hyperlink" Target="https://dart.fss.or.kr/dsaf001/main.do?rcpNo=20230315001134" TargetMode="External"/><Relationship Id="rId310" Type="http://schemas.openxmlformats.org/officeDocument/2006/relationships/hyperlink" Target="https://dart.fss.or.kr/dsaf001/main.do?rcpNo=20230315000803" TargetMode="External"/><Relationship Id="rId70" Type="http://schemas.openxmlformats.org/officeDocument/2006/relationships/hyperlink" Target="https://dart.fss.or.kr/dsaf001/main.do?rcpNo=20230712000089" TargetMode="External"/><Relationship Id="rId91" Type="http://schemas.openxmlformats.org/officeDocument/2006/relationships/hyperlink" Target="https://dart.fss.or.kr/dsaf001/main.do?rcpNo=20230316001412" TargetMode="External"/><Relationship Id="rId145" Type="http://schemas.openxmlformats.org/officeDocument/2006/relationships/hyperlink" Target="https://dart.fss.or.kr/dsaf001/main.do?rcpNo=20230315001212" TargetMode="External"/><Relationship Id="rId166" Type="http://schemas.openxmlformats.org/officeDocument/2006/relationships/hyperlink" Target="https://dart.fss.or.kr/dsaf001/main.do?rcpNo=20230724000235" TargetMode="External"/><Relationship Id="rId187" Type="http://schemas.openxmlformats.org/officeDocument/2006/relationships/hyperlink" Target="https://dart.fss.or.kr/dsaf001/main.do?rcpNo=20230309000717" TargetMode="External"/><Relationship Id="rId331" Type="http://schemas.openxmlformats.org/officeDocument/2006/relationships/hyperlink" Target="https://www.hanmi.co.kr/"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2001078" TargetMode="External"/><Relationship Id="rId233" Type="http://schemas.openxmlformats.org/officeDocument/2006/relationships/hyperlink" Target="https://dart.fss.or.kr/dsaf001/main.do?rcpNo=20230315001428" TargetMode="External"/><Relationship Id="rId254" Type="http://schemas.openxmlformats.org/officeDocument/2006/relationships/hyperlink" Target="https://dart.fss.or.kr/dsaf001/main.do?rcpNo=20230316001157" TargetMode="External"/><Relationship Id="rId28" Type="http://schemas.openxmlformats.org/officeDocument/2006/relationships/hyperlink" Target="https://dart.fss.or.kr/dsaf001/main.do?rcpNo=20230323000613" TargetMode="External"/><Relationship Id="rId49" Type="http://schemas.openxmlformats.org/officeDocument/2006/relationships/hyperlink" Target="https://dart.fss.or.kr/dsaf001/main.do?rcpNo=20230220001625" TargetMode="External"/><Relationship Id="rId114" Type="http://schemas.openxmlformats.org/officeDocument/2006/relationships/hyperlink" Target="https://dart.fss.or.kr/dsaf001/main.do?rcpNo=20230316001051" TargetMode="External"/><Relationship Id="rId275" Type="http://schemas.openxmlformats.org/officeDocument/2006/relationships/hyperlink" Target="https://dart.fss.or.kr/dsaf001/main.do?rcpNo=20230323000478" TargetMode="External"/><Relationship Id="rId296" Type="http://schemas.openxmlformats.org/officeDocument/2006/relationships/hyperlink" Target="https://dart.fss.or.kr/dsaf001/main.do?rcpNo=20230323001346" TargetMode="External"/><Relationship Id="rId300" Type="http://schemas.openxmlformats.org/officeDocument/2006/relationships/hyperlink" Target="https://dart.fss.or.kr/dsaf001/main.do?rcpNo=20230314001218" TargetMode="External"/><Relationship Id="rId60" Type="http://schemas.openxmlformats.org/officeDocument/2006/relationships/hyperlink" Target="https://dart.fss.or.kr/dsaf001/main.do?rcpNo=20230321000645" TargetMode="External"/><Relationship Id="rId81" Type="http://schemas.openxmlformats.org/officeDocument/2006/relationships/hyperlink" Target="https://dart.fss.or.kr/dsaf001/main.do?rcpNo=20230320000675" TargetMode="External"/><Relationship Id="rId135" Type="http://schemas.openxmlformats.org/officeDocument/2006/relationships/hyperlink" Target="https://dart.fss.or.kr/dsaf001/main.do?rcpNo=20230315001257" TargetMode="External"/><Relationship Id="rId156" Type="http://schemas.openxmlformats.org/officeDocument/2006/relationships/hyperlink" Target="https://dart.fss.or.kr/dsaf001/main.do?rcpNo=20230320000375" TargetMode="External"/><Relationship Id="rId177" Type="http://schemas.openxmlformats.org/officeDocument/2006/relationships/hyperlink" Target="https://dart.fss.or.kr/dsaf001/main.do?rcpNo=20230315001319" TargetMode="External"/><Relationship Id="rId198" Type="http://schemas.openxmlformats.org/officeDocument/2006/relationships/hyperlink" Target="https://dart.fss.or.kr/dsaf001/main.do?rcpNo=20230315000345" TargetMode="External"/><Relationship Id="rId321" Type="http://schemas.openxmlformats.org/officeDocument/2006/relationships/hyperlink" Target="https://dart.fss.or.kr/dsaf001/main.do?rcpNo=20230308000741" TargetMode="External"/><Relationship Id="rId202" Type="http://schemas.openxmlformats.org/officeDocument/2006/relationships/hyperlink" Target="https://dart.fss.or.kr/dsaf001/main.do?rcpNo=20230322000913" TargetMode="External"/><Relationship Id="rId223" Type="http://schemas.openxmlformats.org/officeDocument/2006/relationships/hyperlink" Target="https://dart.fss.or.kr/dsaf001/main.do?rcpNo=20230315001068" TargetMode="External"/><Relationship Id="rId244" Type="http://schemas.openxmlformats.org/officeDocument/2006/relationships/hyperlink" Target="https://dart.fss.or.kr/dsaf001/main.do?rcpNo=20230323001208" TargetMode="External"/><Relationship Id="rId18" Type="http://schemas.openxmlformats.org/officeDocument/2006/relationships/hyperlink" Target="https://dart.fss.or.kr/dsaf001/main.do?rcpNo=20230315001033" TargetMode="External"/><Relationship Id="rId39" Type="http://schemas.openxmlformats.org/officeDocument/2006/relationships/hyperlink" Target="https://dart.fss.or.kr/dsaf001/main.do?rcpNo=20230321000569" TargetMode="External"/><Relationship Id="rId265" Type="http://schemas.openxmlformats.org/officeDocument/2006/relationships/hyperlink" Target="https://dart.fss.or.kr/dsaf001/main.do?rcpNo=20230316001331" TargetMode="External"/><Relationship Id="rId286" Type="http://schemas.openxmlformats.org/officeDocument/2006/relationships/hyperlink" Target="https://dart.fss.or.kr/dsaf001/main.do?rcpNo=20230315001312" TargetMode="External"/><Relationship Id="rId50" Type="http://schemas.openxmlformats.org/officeDocument/2006/relationships/hyperlink" Target="https://dart.fss.or.kr/dsaf001/main.do?rcpNo=20230220001611" TargetMode="External"/><Relationship Id="rId104" Type="http://schemas.openxmlformats.org/officeDocument/2006/relationships/hyperlink" Target="https://dart.fss.or.kr/dsaf001/main.do?rcpNo=20230322001102" TargetMode="External"/><Relationship Id="rId125" Type="http://schemas.openxmlformats.org/officeDocument/2006/relationships/hyperlink" Target="https://dart.fss.or.kr/dsaf001/main.do?rcpNo=20230320000972" TargetMode="External"/><Relationship Id="rId146" Type="http://schemas.openxmlformats.org/officeDocument/2006/relationships/hyperlink" Target="https://dart.fss.or.kr/dsaf001/main.do?rcpNo=20230315001060" TargetMode="External"/><Relationship Id="rId167" Type="http://schemas.openxmlformats.org/officeDocument/2006/relationships/hyperlink" Target="https://dart.fss.or.kr/dsaf001/main.do?rcpNo=20230228006867" TargetMode="External"/><Relationship Id="rId188" Type="http://schemas.openxmlformats.org/officeDocument/2006/relationships/hyperlink" Target="https://dart.fss.or.kr/dsaf001/main.do?rcpNo=20230322000722" TargetMode="External"/><Relationship Id="rId311" Type="http://schemas.openxmlformats.org/officeDocument/2006/relationships/hyperlink" Target="https://dart.fss.or.kr/dsaf001/main.do?rcpNo=20230321001082" TargetMode="External"/><Relationship Id="rId332" Type="http://schemas.openxmlformats.org/officeDocument/2006/relationships/hyperlink" Target="https://kosri.com/datacenter-2/report/" TargetMode="External"/><Relationship Id="rId71" Type="http://schemas.openxmlformats.org/officeDocument/2006/relationships/hyperlink" Target="https://dart.fss.or.kr/dsaf001/main.do?rcpNo=20230316001430" TargetMode="External"/><Relationship Id="rId92" Type="http://schemas.openxmlformats.org/officeDocument/2006/relationships/hyperlink" Target="https://dart.fss.or.kr/dsaf001/main.do?rcpNo=20230323001351" TargetMode="External"/><Relationship Id="rId213" Type="http://schemas.openxmlformats.org/officeDocument/2006/relationships/hyperlink" Target="https://dart.fss.or.kr/dsaf001/main.do?rcpNo=20230321000409" TargetMode="External"/><Relationship Id="rId234" Type="http://schemas.openxmlformats.org/officeDocument/2006/relationships/hyperlink" Target="https://dart.fss.or.kr/dsaf001/main.do?rcpNo=20230308000725" TargetMode="External"/><Relationship Id="rId2" Type="http://schemas.openxmlformats.org/officeDocument/2006/relationships/hyperlink" Target="https://dart.fss.or.kr/dsaf001/main.do?rcpNo=20230316001312" TargetMode="External"/><Relationship Id="rId29" Type="http://schemas.openxmlformats.org/officeDocument/2006/relationships/hyperlink" Target="https://dart.fss.or.kr/dsaf001/main.do?rcpNo=20230320000688" TargetMode="External"/><Relationship Id="rId255" Type="http://schemas.openxmlformats.org/officeDocument/2006/relationships/hyperlink" Target="https://dart.fss.or.kr/dsaf001/main.do?rcpNo=20230323001143" TargetMode="External"/><Relationship Id="rId276" Type="http://schemas.openxmlformats.org/officeDocument/2006/relationships/hyperlink" Target="https://dart.fss.or.kr/dsaf001/main.do?rcpNo=20230315000812" TargetMode="External"/><Relationship Id="rId297" Type="http://schemas.openxmlformats.org/officeDocument/2006/relationships/hyperlink" Target="https://dart.fss.or.kr/dsaf001/main.do?rcpNo=20230315001412" TargetMode="External"/><Relationship Id="rId40" Type="http://schemas.openxmlformats.org/officeDocument/2006/relationships/hyperlink" Target="https://dart.fss.or.kr/dsaf001/main.do?rcpNo=20230320000844" TargetMode="External"/><Relationship Id="rId115" Type="http://schemas.openxmlformats.org/officeDocument/2006/relationships/hyperlink" Target="https://dart.fss.or.kr/dsaf001/main.do?rcpNo=20230315001395" TargetMode="External"/><Relationship Id="rId136" Type="http://schemas.openxmlformats.org/officeDocument/2006/relationships/hyperlink" Target="https://dart.fss.or.kr/dsaf001/main.do?rcpNo=20230313000726" TargetMode="External"/><Relationship Id="rId157" Type="http://schemas.openxmlformats.org/officeDocument/2006/relationships/hyperlink" Target="https://dart.fss.or.kr/dsaf001/main.do?rcpNo=20230316001182" TargetMode="External"/><Relationship Id="rId178" Type="http://schemas.openxmlformats.org/officeDocument/2006/relationships/hyperlink" Target="https://dart.fss.or.kr/dsaf001/main.do?rcpNo=20230314001079" TargetMode="External"/><Relationship Id="rId301" Type="http://schemas.openxmlformats.org/officeDocument/2006/relationships/hyperlink" Target="https://dart.fss.or.kr/dsaf001/main.do?rcpNo=20230411001656" TargetMode="External"/><Relationship Id="rId322" Type="http://schemas.openxmlformats.org/officeDocument/2006/relationships/hyperlink" Target="https://dart.fss.or.kr/dsaf001/main.do?rcpNo=20230321000387" TargetMode="External"/><Relationship Id="rId61" Type="http://schemas.openxmlformats.org/officeDocument/2006/relationships/hyperlink" Target="https://dart.fss.or.kr/dsaf001/main.do?rcpNo=20230314000982" TargetMode="External"/><Relationship Id="rId82" Type="http://schemas.openxmlformats.org/officeDocument/2006/relationships/hyperlink" Target="https://dart.fss.or.kr/dsaf001/main.do?rcpNo=20230321000752" TargetMode="External"/><Relationship Id="rId199" Type="http://schemas.openxmlformats.org/officeDocument/2006/relationships/hyperlink" Target="https://dart.fss.or.kr/dsaf001/main.do?rcpNo=20230321001365" TargetMode="External"/><Relationship Id="rId203" Type="http://schemas.openxmlformats.org/officeDocument/2006/relationships/hyperlink" Target="https://dart.fss.or.kr/dsaf001/main.do?rcpNo=20230316001571" TargetMode="External"/><Relationship Id="rId19" Type="http://schemas.openxmlformats.org/officeDocument/2006/relationships/hyperlink" Target="https://dart.fss.or.kr/dsaf001/main.do?rcpNo=20230713000082" TargetMode="External"/><Relationship Id="rId224" Type="http://schemas.openxmlformats.org/officeDocument/2006/relationships/hyperlink" Target="https://dart.fss.or.kr/dsaf001/main.do?rcpNo=20230714000214" TargetMode="External"/><Relationship Id="rId245" Type="http://schemas.openxmlformats.org/officeDocument/2006/relationships/hyperlink" Target="https://dart.fss.or.kr/dsaf001/main.do?rcpNo=20230320001005" TargetMode="External"/><Relationship Id="rId266" Type="http://schemas.openxmlformats.org/officeDocument/2006/relationships/hyperlink" Target="https://dart.fss.or.kr/dsaf001/main.do?rcpNo=20230313000443" TargetMode="External"/><Relationship Id="rId287" Type="http://schemas.openxmlformats.org/officeDocument/2006/relationships/hyperlink" Target="https://dart.fss.or.kr/dsaf001/main.do?rcpNo=20230320000937" TargetMode="External"/><Relationship Id="rId30" Type="http://schemas.openxmlformats.org/officeDocument/2006/relationships/hyperlink" Target="https://dart.fss.or.kr/dsaf001/main.do?rcpNo=20230320000833" TargetMode="External"/><Relationship Id="rId105" Type="http://schemas.openxmlformats.org/officeDocument/2006/relationships/hyperlink" Target="https://dart.fss.or.kr/dsaf001/main.do?rcpNo=20230317000669" TargetMode="External"/><Relationship Id="rId126" Type="http://schemas.openxmlformats.org/officeDocument/2006/relationships/hyperlink" Target="https://dart.fss.or.kr/dsaf001/main.do?rcpNo=20230315001384" TargetMode="External"/><Relationship Id="rId147" Type="http://schemas.openxmlformats.org/officeDocument/2006/relationships/hyperlink" Target="https://dart.fss.or.kr/dsaf001/main.do?rcpNo=20230321001381" TargetMode="External"/><Relationship Id="rId168" Type="http://schemas.openxmlformats.org/officeDocument/2006/relationships/hyperlink" Target="https://dart.fss.or.kr/dsaf001/main.do?rcpNo=20230316000461" TargetMode="External"/><Relationship Id="rId312" Type="http://schemas.openxmlformats.org/officeDocument/2006/relationships/hyperlink" Target="https://dart.fss.or.kr/dsaf001/main.do?rcpNo=20230309000797" TargetMode="External"/><Relationship Id="rId333" Type="http://schemas.openxmlformats.org/officeDocument/2006/relationships/hyperlink" Target="https://finance.energy.or.kr/FINANCE_HP/AHP/HP_01/HP_01_02_040.do"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art.fss.or.kr/dsaf001/main.do?rcpNo=20230323001050" TargetMode="External"/><Relationship Id="rId299" Type="http://schemas.openxmlformats.org/officeDocument/2006/relationships/hyperlink" Target="https://dart.fss.or.kr/dsaf001/main.do?rcpNo=20230315001327" TargetMode="External"/><Relationship Id="rId303" Type="http://schemas.openxmlformats.org/officeDocument/2006/relationships/hyperlink" Target="https://dart.fss.or.kr/dsaf001/main.do?rcpNo=20230321001449" TargetMode="External"/><Relationship Id="rId21" Type="http://schemas.openxmlformats.org/officeDocument/2006/relationships/hyperlink" Target="https://dart.fss.or.kr/dsaf001/main.do?rcpNo=20230315001407" TargetMode="External"/><Relationship Id="rId42" Type="http://schemas.openxmlformats.org/officeDocument/2006/relationships/hyperlink" Target="https://dart.fss.or.kr/dsaf001/main.do?rcpNo=20230320000162" TargetMode="External"/><Relationship Id="rId63" Type="http://schemas.openxmlformats.org/officeDocument/2006/relationships/hyperlink" Target="https://dart.fss.or.kr/dsaf001/main.do?rcpNo=20230322001068" TargetMode="External"/><Relationship Id="rId84" Type="http://schemas.openxmlformats.org/officeDocument/2006/relationships/hyperlink" Target="https://dart.fss.or.kr/dsaf001/main.do?rcpNo=20230324000880" TargetMode="External"/><Relationship Id="rId138" Type="http://schemas.openxmlformats.org/officeDocument/2006/relationships/hyperlink" Target="https://dart.fss.or.kr/dsaf001/main.do?rcpNo=20230307000606" TargetMode="External"/><Relationship Id="rId159" Type="http://schemas.openxmlformats.org/officeDocument/2006/relationships/hyperlink" Target="https://dart.fss.or.kr/dsaf001/main.do?rcpNo=20230317000349" TargetMode="External"/><Relationship Id="rId324" Type="http://schemas.openxmlformats.org/officeDocument/2006/relationships/hyperlink" Target="https://dart.fss.or.kr/dsaf001/main.do?rcpNo=20230316001454" TargetMode="External"/><Relationship Id="rId170" Type="http://schemas.openxmlformats.org/officeDocument/2006/relationships/hyperlink" Target="https://dart.fss.or.kr/dsaf001/main.do?rcpNo=20230320000954" TargetMode="External"/><Relationship Id="rId191" Type="http://schemas.openxmlformats.org/officeDocument/2006/relationships/hyperlink" Target="https://dart.fss.or.kr/dsaf001/main.do?rcpNo=20230320001088" TargetMode="External"/><Relationship Id="rId205" Type="http://schemas.openxmlformats.org/officeDocument/2006/relationships/hyperlink" Target="https://dart.fss.or.kr/dsaf001/main.do?rcpNo=20230308000675" TargetMode="External"/><Relationship Id="rId226" Type="http://schemas.openxmlformats.org/officeDocument/2006/relationships/hyperlink" Target="https://dart.fss.or.kr/dsaf001/main.do?rcpNo=20230321000389" TargetMode="External"/><Relationship Id="rId247" Type="http://schemas.openxmlformats.org/officeDocument/2006/relationships/hyperlink" Target="https://dart.fss.or.kr/dsaf001/main.do?rcpNo=20230323001465" TargetMode="External"/><Relationship Id="rId107" Type="http://schemas.openxmlformats.org/officeDocument/2006/relationships/hyperlink" Target="https://dart.fss.or.kr/dsaf001/main.do?rcpNo=20230314000884" TargetMode="External"/><Relationship Id="rId268" Type="http://schemas.openxmlformats.org/officeDocument/2006/relationships/hyperlink" Target="https://dart.fss.or.kr/dsaf001/main.do?rcpNo=20230322001245" TargetMode="External"/><Relationship Id="rId289" Type="http://schemas.openxmlformats.org/officeDocument/2006/relationships/hyperlink" Target="https://dart.fss.or.kr/dsaf001/main.do?rcpNo=20230313000732" TargetMode="External"/><Relationship Id="rId11" Type="http://schemas.openxmlformats.org/officeDocument/2006/relationships/hyperlink" Target="https://dart.fss.or.kr/dsaf001/main.do?rcpNo=20230322001200" TargetMode="External"/><Relationship Id="rId32" Type="http://schemas.openxmlformats.org/officeDocument/2006/relationships/hyperlink" Target="https://dart.fss.or.kr/dsaf001/main.do?rcpNo=20230222002549" TargetMode="External"/><Relationship Id="rId53" Type="http://schemas.openxmlformats.org/officeDocument/2006/relationships/hyperlink" Target="https://dart.fss.or.kr/dsaf001/main.do?rcpNo=20230322000774" TargetMode="External"/><Relationship Id="rId74" Type="http://schemas.openxmlformats.org/officeDocument/2006/relationships/hyperlink" Target="https://dart.fss.or.kr/dsaf001/main.do?rcpNo=20230321001403" TargetMode="External"/><Relationship Id="rId128" Type="http://schemas.openxmlformats.org/officeDocument/2006/relationships/hyperlink" Target="https://dart.fss.or.kr/dsaf001/main.do?rcpNo=20230327000678" TargetMode="External"/><Relationship Id="rId149" Type="http://schemas.openxmlformats.org/officeDocument/2006/relationships/hyperlink" Target="https://dart.fss.or.kr/dsaf001/main.do?rcpNo=20230713000197" TargetMode="External"/><Relationship Id="rId314" Type="http://schemas.openxmlformats.org/officeDocument/2006/relationships/hyperlink" Target="https://dart.fss.or.kr/dsaf001/main.do?rcpNo=20230316001392" TargetMode="External"/><Relationship Id="rId5" Type="http://schemas.openxmlformats.org/officeDocument/2006/relationships/hyperlink" Target="https://dart.fss.or.kr/dsaf001/main.do?rcpNo=20230814001661" TargetMode="External"/><Relationship Id="rId95" Type="http://schemas.openxmlformats.org/officeDocument/2006/relationships/hyperlink" Target="https://dart.fss.or.kr/dsaf001/main.do?rcpNo=20230317000725" TargetMode="External"/><Relationship Id="rId160" Type="http://schemas.openxmlformats.org/officeDocument/2006/relationships/hyperlink" Target="https://dart.fss.or.kr/dsaf001/main.do?rcpNo=20230310000633" TargetMode="External"/><Relationship Id="rId181" Type="http://schemas.openxmlformats.org/officeDocument/2006/relationships/hyperlink" Target="https://dart.fss.or.kr/dsaf001/main.do?rcpNo=20230323000459" TargetMode="External"/><Relationship Id="rId216" Type="http://schemas.openxmlformats.org/officeDocument/2006/relationships/hyperlink" Target="https://dart.fss.or.kr/dsaf001/main.do?rcpNo=20230323001183" TargetMode="External"/><Relationship Id="rId237" Type="http://schemas.openxmlformats.org/officeDocument/2006/relationships/hyperlink" Target="https://dart.fss.or.kr/dsaf001/main.do?rcpNo=20230321001298" TargetMode="External"/><Relationship Id="rId258" Type="http://schemas.openxmlformats.org/officeDocument/2006/relationships/hyperlink" Target="https://dart.fss.or.kr/dsaf001/main.do?rcpNo=20230322000780" TargetMode="External"/><Relationship Id="rId279" Type="http://schemas.openxmlformats.org/officeDocument/2006/relationships/hyperlink" Target="https://dart.fss.or.kr/dsaf001/main.do?rcpNo=20230316000941" TargetMode="External"/><Relationship Id="rId22" Type="http://schemas.openxmlformats.org/officeDocument/2006/relationships/hyperlink" Target="https://dart.fss.or.kr/dsaf001/main.do?rcpNo=20230714000061" TargetMode="External"/><Relationship Id="rId43" Type="http://schemas.openxmlformats.org/officeDocument/2006/relationships/hyperlink" Target="https://dart.fss.or.kr/dsaf001/main.do?rcpNo=20230317000869" TargetMode="External"/><Relationship Id="rId64" Type="http://schemas.openxmlformats.org/officeDocument/2006/relationships/hyperlink" Target="https://dart.fss.or.kr/dsaf001/main.do?rcpNo=20230314000467" TargetMode="External"/><Relationship Id="rId118" Type="http://schemas.openxmlformats.org/officeDocument/2006/relationships/hyperlink" Target="https://dart.fss.or.kr/dsaf001/main.do?rcpNo=20230315000646" TargetMode="External"/><Relationship Id="rId139" Type="http://schemas.openxmlformats.org/officeDocument/2006/relationships/hyperlink" Target="https://dart.fss.or.kr/dsaf001/main.do?rcpNo=20230831001403" TargetMode="External"/><Relationship Id="rId290" Type="http://schemas.openxmlformats.org/officeDocument/2006/relationships/hyperlink" Target="https://dart.fss.or.kr/dsaf001/main.do?rcpNo=20230314001231" TargetMode="External"/><Relationship Id="rId304" Type="http://schemas.openxmlformats.org/officeDocument/2006/relationships/hyperlink" Target="https://dart.fss.or.kr/dsaf001/main.do?rcpNo=20230310001083" TargetMode="External"/><Relationship Id="rId325" Type="http://schemas.openxmlformats.org/officeDocument/2006/relationships/hyperlink" Target="https://dart.fss.or.kr/dsaf001/main.do?rcpNo=20230309000761" TargetMode="External"/><Relationship Id="rId85" Type="http://schemas.openxmlformats.org/officeDocument/2006/relationships/hyperlink" Target="https://dart.fss.or.kr/dsaf001/main.do?rcpNo=20230317000005" TargetMode="External"/><Relationship Id="rId150" Type="http://schemas.openxmlformats.org/officeDocument/2006/relationships/hyperlink" Target="https://dart.fss.or.kr/dsaf001/main.do?rcpNo=20230524000304" TargetMode="External"/><Relationship Id="rId171" Type="http://schemas.openxmlformats.org/officeDocument/2006/relationships/hyperlink" Target="https://dart.fss.or.kr/dsaf001/main.do?rcpNo=20230302000104" TargetMode="External"/><Relationship Id="rId192" Type="http://schemas.openxmlformats.org/officeDocument/2006/relationships/hyperlink" Target="https://dart.fss.or.kr/dsaf001/main.do?rcpNo=20230515000371" TargetMode="External"/><Relationship Id="rId206" Type="http://schemas.openxmlformats.org/officeDocument/2006/relationships/hyperlink" Target="https://dart.fss.or.kr/dsaf001/main.do?rcpNo=20230329000065" TargetMode="External"/><Relationship Id="rId227" Type="http://schemas.openxmlformats.org/officeDocument/2006/relationships/hyperlink" Target="https://dart.fss.or.kr/dsaf001/main.do?rcpNo=20230314001271" TargetMode="External"/><Relationship Id="rId248" Type="http://schemas.openxmlformats.org/officeDocument/2006/relationships/hyperlink" Target="https://dart.fss.or.kr/dsaf001/main.do?rcpNo=20230315000297" TargetMode="External"/><Relationship Id="rId269" Type="http://schemas.openxmlformats.org/officeDocument/2006/relationships/hyperlink" Target="https://dart.fss.or.kr/dsaf001/main.do?rcpNo=20230316001467" TargetMode="External"/><Relationship Id="rId12" Type="http://schemas.openxmlformats.org/officeDocument/2006/relationships/hyperlink" Target="https://dart.fss.or.kr/dsaf001/main.do?rcpNo=20230320000736" TargetMode="External"/><Relationship Id="rId33" Type="http://schemas.openxmlformats.org/officeDocument/2006/relationships/hyperlink" Target="https://dart.fss.or.kr/dsaf001/main.do?rcpNo=20230317000276" TargetMode="External"/><Relationship Id="rId108" Type="http://schemas.openxmlformats.org/officeDocument/2006/relationships/hyperlink" Target="https://dart.fss.or.kr/dsaf001/main.do?rcpNo=20230324000928" TargetMode="External"/><Relationship Id="rId129" Type="http://schemas.openxmlformats.org/officeDocument/2006/relationships/hyperlink" Target="https://dart.fss.or.kr/dsaf001/main.do?rcpNo=20221230000430" TargetMode="External"/><Relationship Id="rId280" Type="http://schemas.openxmlformats.org/officeDocument/2006/relationships/hyperlink" Target="https://dart.fss.or.kr/dsaf001/main.do?rcpNo=20230321001102" TargetMode="External"/><Relationship Id="rId315" Type="http://schemas.openxmlformats.org/officeDocument/2006/relationships/hyperlink" Target="https://dart.fss.or.kr/dsaf001/main.do?rcpNo=20230321000920" TargetMode="External"/><Relationship Id="rId54" Type="http://schemas.openxmlformats.org/officeDocument/2006/relationships/hyperlink" Target="https://dart.fss.or.kr/dsaf001/main.do?rcpNo=20230314001158" TargetMode="External"/><Relationship Id="rId75" Type="http://schemas.openxmlformats.org/officeDocument/2006/relationships/hyperlink" Target="https://dart.fss.or.kr/dsaf001/main.do?rcpNo=20230316000958" TargetMode="External"/><Relationship Id="rId96" Type="http://schemas.openxmlformats.org/officeDocument/2006/relationships/hyperlink" Target="https://dart.fss.or.kr/dsaf001/main.do?rcpNo=20230322001007" TargetMode="External"/><Relationship Id="rId140" Type="http://schemas.openxmlformats.org/officeDocument/2006/relationships/hyperlink" Target="https://dart.fss.or.kr/dsaf001/main.do?rcpNo=20230307000653" TargetMode="External"/><Relationship Id="rId161" Type="http://schemas.openxmlformats.org/officeDocument/2006/relationships/hyperlink" Target="https://dart.fss.or.kr/dsaf001/main.do?rcpNo=20230315000963" TargetMode="External"/><Relationship Id="rId182" Type="http://schemas.openxmlformats.org/officeDocument/2006/relationships/hyperlink" Target="https://dart.fss.or.kr/dsaf001/main.do?rcpNo=20230411002838" TargetMode="External"/><Relationship Id="rId217" Type="http://schemas.openxmlformats.org/officeDocument/2006/relationships/hyperlink" Target="https://dart.fss.or.kr/dsaf001/main.do?rcpNo=20230320000322" TargetMode="External"/><Relationship Id="rId6" Type="http://schemas.openxmlformats.org/officeDocument/2006/relationships/hyperlink" Target="https://dart.fss.or.kr/dsaf001/main.do?rcpNo=20230321001132" TargetMode="External"/><Relationship Id="rId238" Type="http://schemas.openxmlformats.org/officeDocument/2006/relationships/hyperlink" Target="https://dart.fss.or.kr/dsaf001/main.do?rcpNo=20230321001309" TargetMode="External"/><Relationship Id="rId259" Type="http://schemas.openxmlformats.org/officeDocument/2006/relationships/hyperlink" Target="https://dart.fss.or.kr/dsaf001/main.do?rcpNo=20230310000763" TargetMode="External"/><Relationship Id="rId23" Type="http://schemas.openxmlformats.org/officeDocument/2006/relationships/hyperlink" Target="https://dart.fss.or.kr/dsaf001/main.do?rcpNo=20230321001126" TargetMode="External"/><Relationship Id="rId119" Type="http://schemas.openxmlformats.org/officeDocument/2006/relationships/hyperlink" Target="https://dart.fss.or.kr/dsaf001/main.do?rcpNo=20230314001159" TargetMode="External"/><Relationship Id="rId270" Type="http://schemas.openxmlformats.org/officeDocument/2006/relationships/hyperlink" Target="https://dart.fss.or.kr/dsaf001/main.do?rcpNo=20230712000281" TargetMode="External"/><Relationship Id="rId291" Type="http://schemas.openxmlformats.org/officeDocument/2006/relationships/hyperlink" Target="https://dart.fss.or.kr/dsaf001/main.do?rcpNo=20230315001227" TargetMode="External"/><Relationship Id="rId305" Type="http://schemas.openxmlformats.org/officeDocument/2006/relationships/hyperlink" Target="https://dart.fss.or.kr/dsaf001/main.do?rcpNo=20230321001162" TargetMode="External"/><Relationship Id="rId326" Type="http://schemas.openxmlformats.org/officeDocument/2006/relationships/hyperlink" Target="https://www.sj.co.kr/" TargetMode="External"/><Relationship Id="rId44" Type="http://schemas.openxmlformats.org/officeDocument/2006/relationships/hyperlink" Target="https://dart.fss.or.kr/dsaf001/main.do?rcpNo=20230322000906" TargetMode="External"/><Relationship Id="rId65" Type="http://schemas.openxmlformats.org/officeDocument/2006/relationships/hyperlink" Target="https://dart.fss.or.kr/dsaf001/main.do?rcpNo=20230323000821" TargetMode="External"/><Relationship Id="rId86" Type="http://schemas.openxmlformats.org/officeDocument/2006/relationships/hyperlink" Target="https://dart.fss.or.kr/dsaf001/main.do?rcpNo=20230323000406" TargetMode="External"/><Relationship Id="rId130" Type="http://schemas.openxmlformats.org/officeDocument/2006/relationships/hyperlink" Target="https://dart.fss.or.kr/dsaf001/main.do?rcpNo=20230831001561" TargetMode="External"/><Relationship Id="rId151" Type="http://schemas.openxmlformats.org/officeDocument/2006/relationships/hyperlink" Target="https://dart.fss.or.kr/dsaf001/main.do?rcpNo=20230316001053" TargetMode="External"/><Relationship Id="rId172" Type="http://schemas.openxmlformats.org/officeDocument/2006/relationships/hyperlink" Target="https://dart.fss.or.kr/dsaf001/main.do?rcpNo=20230323001156" TargetMode="External"/><Relationship Id="rId193" Type="http://schemas.openxmlformats.org/officeDocument/2006/relationships/hyperlink" Target="https://dart.fss.or.kr/dsaf001/main.do?rcpNo=20230321001134" TargetMode="External"/><Relationship Id="rId207" Type="http://schemas.openxmlformats.org/officeDocument/2006/relationships/hyperlink" Target="https://dart.fss.or.kr/dsaf001/main.do?rcpNo=20230323001413" TargetMode="External"/><Relationship Id="rId228" Type="http://schemas.openxmlformats.org/officeDocument/2006/relationships/hyperlink" Target="https://dart.fss.or.kr/dsaf001/main.do?rcpNo=20230316001017" TargetMode="External"/><Relationship Id="rId249" Type="http://schemas.openxmlformats.org/officeDocument/2006/relationships/hyperlink" Target="https://dart.fss.or.kr/dsaf001/main.do?rcpNo=20230321000862" TargetMode="External"/><Relationship Id="rId13" Type="http://schemas.openxmlformats.org/officeDocument/2006/relationships/hyperlink" Target="https://dart.fss.or.kr/dsaf001/main.do?rcpNo=20230320000604" TargetMode="External"/><Relationship Id="rId109" Type="http://schemas.openxmlformats.org/officeDocument/2006/relationships/hyperlink" Target="https://dart.fss.or.kr/dsaf001/main.do?rcpNo=20230322001127" TargetMode="External"/><Relationship Id="rId260" Type="http://schemas.openxmlformats.org/officeDocument/2006/relationships/hyperlink" Target="https://dart.fss.or.kr/dsaf001/main.do?rcpNo=20230316001321" TargetMode="External"/><Relationship Id="rId281" Type="http://schemas.openxmlformats.org/officeDocument/2006/relationships/hyperlink" Target="https://dart.fss.or.kr/dsaf001/main.do?rcpNo=20230317000867" TargetMode="External"/><Relationship Id="rId316" Type="http://schemas.openxmlformats.org/officeDocument/2006/relationships/hyperlink" Target="https://dart.fss.or.kr/dsaf001/main.do?rcpNo=20230317000130" TargetMode="External"/><Relationship Id="rId34" Type="http://schemas.openxmlformats.org/officeDocument/2006/relationships/hyperlink" Target="https://dart.fss.or.kr/dsaf001/main.do?rcpNo=20230315000850" TargetMode="External"/><Relationship Id="rId55" Type="http://schemas.openxmlformats.org/officeDocument/2006/relationships/hyperlink" Target="https://dart.fss.or.kr/dsaf001/main.do?rcpNo=20230320000720" TargetMode="External"/><Relationship Id="rId76" Type="http://schemas.openxmlformats.org/officeDocument/2006/relationships/hyperlink" Target="https://dart.fss.or.kr/dsaf001/main.do?rcpNo=20230322000832" TargetMode="External"/><Relationship Id="rId97" Type="http://schemas.openxmlformats.org/officeDocument/2006/relationships/hyperlink" Target="https://dart.fss.or.kr/dsaf001/main.do?rcpNo=20230316001141" TargetMode="External"/><Relationship Id="rId120" Type="http://schemas.openxmlformats.org/officeDocument/2006/relationships/hyperlink" Target="https://dart.fss.or.kr/dsaf001/main.do?rcpNo=20220915000334" TargetMode="External"/><Relationship Id="rId141" Type="http://schemas.openxmlformats.org/officeDocument/2006/relationships/hyperlink" Target="https://dart.fss.or.kr/dsaf001/main.do?rcpNo=20230307000542" TargetMode="External"/><Relationship Id="rId7" Type="http://schemas.openxmlformats.org/officeDocument/2006/relationships/hyperlink" Target="https://dart.fss.or.kr/dsaf001/main.do?rcpNo=20230831001199" TargetMode="External"/><Relationship Id="rId162" Type="http://schemas.openxmlformats.org/officeDocument/2006/relationships/hyperlink" Target="https://dart.fss.or.kr/dsaf001/main.do?rcpNo=20230323000638" TargetMode="External"/><Relationship Id="rId183" Type="http://schemas.openxmlformats.org/officeDocument/2006/relationships/hyperlink" Target="https://dart.fss.or.kr/dsaf001/main.do?rcpNo=20230321001494" TargetMode="External"/><Relationship Id="rId218" Type="http://schemas.openxmlformats.org/officeDocument/2006/relationships/hyperlink" Target="https://dart.fss.or.kr/dsaf001/main.do?rcpNo=20230322000936" TargetMode="External"/><Relationship Id="rId239" Type="http://schemas.openxmlformats.org/officeDocument/2006/relationships/hyperlink" Target="https://dart.fss.or.kr/dsaf001/main.do?rcpNo=20230316000762" TargetMode="External"/><Relationship Id="rId250" Type="http://schemas.openxmlformats.org/officeDocument/2006/relationships/hyperlink" Target="https://dart.fss.or.kr/dsaf001/main.do?rcpNo=20230403003576" TargetMode="External"/><Relationship Id="rId271" Type="http://schemas.openxmlformats.org/officeDocument/2006/relationships/hyperlink" Target="https://dart.fss.or.kr/dsaf001/main.do?rcpNo=20230316001349" TargetMode="External"/><Relationship Id="rId292" Type="http://schemas.openxmlformats.org/officeDocument/2006/relationships/hyperlink" Target="https://dart.fss.or.kr/dsaf001/main.do?rcpNo=20230315000894" TargetMode="External"/><Relationship Id="rId306" Type="http://schemas.openxmlformats.org/officeDocument/2006/relationships/hyperlink" Target="https://dart.fss.or.kr/dsaf001/main.do?rcpNo=20230320001061" TargetMode="External"/><Relationship Id="rId24" Type="http://schemas.openxmlformats.org/officeDocument/2006/relationships/hyperlink" Target="https://dart.fss.or.kr/dsaf001/main.do?rcpNo=20230315000071" TargetMode="External"/><Relationship Id="rId45" Type="http://schemas.openxmlformats.org/officeDocument/2006/relationships/hyperlink" Target="https://dart.fss.or.kr/dsaf001/main.do?rcpNo=20230324000127" TargetMode="External"/><Relationship Id="rId66" Type="http://schemas.openxmlformats.org/officeDocument/2006/relationships/hyperlink" Target="https://dart.fss.or.kr/dsaf001/main.do?rcpNo=20230320000409" TargetMode="External"/><Relationship Id="rId87" Type="http://schemas.openxmlformats.org/officeDocument/2006/relationships/hyperlink" Target="https://www.noroopaint.com/kor/index.asp?conntype=1" TargetMode="External"/><Relationship Id="rId110" Type="http://schemas.openxmlformats.org/officeDocument/2006/relationships/hyperlink" Target="https://dart.fss.or.kr/dsaf001/main.do?rcpNo=20230315001100" TargetMode="External"/><Relationship Id="rId131" Type="http://schemas.openxmlformats.org/officeDocument/2006/relationships/hyperlink" Target="https://dart.fss.or.kr/dsaf001/main.do?rcpNo=20230316000878" TargetMode="External"/><Relationship Id="rId327" Type="http://schemas.openxmlformats.org/officeDocument/2006/relationships/hyperlink" Target="https://www.aplusga.com/" TargetMode="External"/><Relationship Id="rId152" Type="http://schemas.openxmlformats.org/officeDocument/2006/relationships/hyperlink" Target="https://dart.fss.or.kr/dsaf001/main.do?rcpNo=20230314000085" TargetMode="External"/><Relationship Id="rId173" Type="http://schemas.openxmlformats.org/officeDocument/2006/relationships/hyperlink" Target="https://dart.fss.or.kr/dsaf001/main.do?rcpNo=20230316001196" TargetMode="External"/><Relationship Id="rId194" Type="http://schemas.openxmlformats.org/officeDocument/2006/relationships/hyperlink" Target="https://dart.fss.or.kr/dsaf001/main.do?rcpNo=20230307000691" TargetMode="External"/><Relationship Id="rId208" Type="http://schemas.openxmlformats.org/officeDocument/2006/relationships/hyperlink" Target="https://dart.fss.or.kr/dsaf001/main.do?rcpNo=20230314000094" TargetMode="External"/><Relationship Id="rId229" Type="http://schemas.openxmlformats.org/officeDocument/2006/relationships/hyperlink" Target="https://dart.fss.or.kr/dsaf001/main.do?rcpNo=20230322000622" TargetMode="External"/><Relationship Id="rId240" Type="http://schemas.openxmlformats.org/officeDocument/2006/relationships/hyperlink" Target="https://dart.fss.or.kr/dsaf001/main.do?rcpNo=20230321001167" TargetMode="External"/><Relationship Id="rId261" Type="http://schemas.openxmlformats.org/officeDocument/2006/relationships/hyperlink" Target="https://dart.fss.or.kr/dsaf001/main.do?rcpNo=20230316001190" TargetMode="External"/><Relationship Id="rId14" Type="http://schemas.openxmlformats.org/officeDocument/2006/relationships/hyperlink" Target="https://dart.fss.or.kr/dsaf001/main.do?rcpNo=20230831001367" TargetMode="External"/><Relationship Id="rId35" Type="http://schemas.openxmlformats.org/officeDocument/2006/relationships/hyperlink" Target="https://dart.fss.or.kr/dsaf001/main.do?rcpNo=20230315000964" TargetMode="External"/><Relationship Id="rId56" Type="http://schemas.openxmlformats.org/officeDocument/2006/relationships/hyperlink" Target="https://dart.fss.or.kr/dsaf001/main.do?rcpNo=20230316000629" TargetMode="External"/><Relationship Id="rId77" Type="http://schemas.openxmlformats.org/officeDocument/2006/relationships/hyperlink" Target="https://dart.fss.or.kr/dsaf001/main.do?rcpNo=20230316001258" TargetMode="External"/><Relationship Id="rId100" Type="http://schemas.openxmlformats.org/officeDocument/2006/relationships/hyperlink" Target="https://dart.fss.or.kr/dsaf001/main.do?rcpNo=20230314001212" TargetMode="External"/><Relationship Id="rId282" Type="http://schemas.openxmlformats.org/officeDocument/2006/relationships/hyperlink" Target="https://dart.fss.or.kr/dsaf001/main.do?rcpNo=20230316000780" TargetMode="External"/><Relationship Id="rId317" Type="http://schemas.openxmlformats.org/officeDocument/2006/relationships/hyperlink" Target="https://dart.fss.or.kr/dsaf001/main.do?rcpNo=20230315000315" TargetMode="External"/><Relationship Id="rId8" Type="http://schemas.openxmlformats.org/officeDocument/2006/relationships/hyperlink" Target="https://dart.fss.or.kr/dsaf001/main.do?rcpNo=20230728000644" TargetMode="External"/><Relationship Id="rId51" Type="http://schemas.openxmlformats.org/officeDocument/2006/relationships/hyperlink" Target="https://dart.fss.or.kr/dsaf001/main.do?rcpNo=20230315001078" TargetMode="External"/><Relationship Id="rId72" Type="http://schemas.openxmlformats.org/officeDocument/2006/relationships/hyperlink" Target="https://dart.fss.or.kr/dsaf001/main.do?rcpNo=20230321000737" TargetMode="External"/><Relationship Id="rId93" Type="http://schemas.openxmlformats.org/officeDocument/2006/relationships/hyperlink" Target="https://dart.fss.or.kr/dsaf001/main.do?rcpNo=20230316001384" TargetMode="External"/><Relationship Id="rId98" Type="http://schemas.openxmlformats.org/officeDocument/2006/relationships/hyperlink" Target="https://dart.fss.or.kr/dsaf001/main.do?rcpNo=20230314001293" TargetMode="External"/><Relationship Id="rId121" Type="http://schemas.openxmlformats.org/officeDocument/2006/relationships/hyperlink" Target="https://dart.fss.or.kr/dsaf001/main.do?rcpNo=20230316000602" TargetMode="External"/><Relationship Id="rId142" Type="http://schemas.openxmlformats.org/officeDocument/2006/relationships/hyperlink" Target="https://dart.fss.or.kr/dsaf001/main.do?rcpNo=20230309000572" TargetMode="External"/><Relationship Id="rId163" Type="http://schemas.openxmlformats.org/officeDocument/2006/relationships/hyperlink" Target="https://dart.fss.or.kr/dsaf001/main.do?rcpNo=20230316000928" TargetMode="External"/><Relationship Id="rId184" Type="http://schemas.openxmlformats.org/officeDocument/2006/relationships/hyperlink" Target="https://dart.fss.or.kr/dsaf001/main.do?rcpNo=20230317001042" TargetMode="External"/><Relationship Id="rId189" Type="http://schemas.openxmlformats.org/officeDocument/2006/relationships/hyperlink" Target="https://dart.fss.or.kr/dsaf001/main.do?rcpNo=20230323001296" TargetMode="External"/><Relationship Id="rId219" Type="http://schemas.openxmlformats.org/officeDocument/2006/relationships/hyperlink" Target="https://dart.fss.or.kr/dsaf001/main.do?rcpNo=20230317000389" TargetMode="External"/><Relationship Id="rId3" Type="http://schemas.openxmlformats.org/officeDocument/2006/relationships/hyperlink" Target="https://dart.fss.or.kr/dsaf001/main.do?rcpNo=20230317000857" TargetMode="External"/><Relationship Id="rId214" Type="http://schemas.openxmlformats.org/officeDocument/2006/relationships/hyperlink" Target="https://dart.fss.or.kr/dsaf001/main.do?rcpNo=20230323001335" TargetMode="External"/><Relationship Id="rId230" Type="http://schemas.openxmlformats.org/officeDocument/2006/relationships/hyperlink" Target="https://dart.fss.or.kr/dsaf001/main.do?rcpNo=20230331002546" TargetMode="External"/><Relationship Id="rId235" Type="http://schemas.openxmlformats.org/officeDocument/2006/relationships/hyperlink" Target="https://dart.fss.or.kr/dsaf001/main.do?rcpNo=20230306000422" TargetMode="External"/><Relationship Id="rId251" Type="http://schemas.openxmlformats.org/officeDocument/2006/relationships/hyperlink" Target="https://dart.fss.or.kr/dsaf001/main.do?rcpNo=20230331000007" TargetMode="External"/><Relationship Id="rId256" Type="http://schemas.openxmlformats.org/officeDocument/2006/relationships/hyperlink" Target="https://dart.fss.or.kr/dsaf001/main.do?rcpNo=20230314000862" TargetMode="External"/><Relationship Id="rId277" Type="http://schemas.openxmlformats.org/officeDocument/2006/relationships/hyperlink" Target="https://dart.fss.or.kr/dsaf001/main.do?rcpNo=20230323000970" TargetMode="External"/><Relationship Id="rId298" Type="http://schemas.openxmlformats.org/officeDocument/2006/relationships/hyperlink" Target="https://dart.fss.or.kr/dsaf001/main.do?rcpNo=20230315000557" TargetMode="External"/><Relationship Id="rId25" Type="http://schemas.openxmlformats.org/officeDocument/2006/relationships/hyperlink" Target="https://dart.fss.or.kr/dsaf001/main.do?rcpNo=20230316000950" TargetMode="External"/><Relationship Id="rId46" Type="http://schemas.openxmlformats.org/officeDocument/2006/relationships/hyperlink" Target="https://dart.fss.or.kr/dsaf001/main.do?rcpNo=20230320000964" TargetMode="External"/><Relationship Id="rId67" Type="http://schemas.openxmlformats.org/officeDocument/2006/relationships/hyperlink" Target="https://dart.fss.or.kr/dsaf001/main.do?rcpNo=20230316001213" TargetMode="External"/><Relationship Id="rId116" Type="http://schemas.openxmlformats.org/officeDocument/2006/relationships/hyperlink" Target="https://dart.fss.or.kr/dsaf001/main.do?rcpNo=20230424000485" TargetMode="External"/><Relationship Id="rId137" Type="http://schemas.openxmlformats.org/officeDocument/2006/relationships/hyperlink" Target="https://dart.fss.or.kr/dsaf001/main.do?rcpNo=20230308000737" TargetMode="External"/><Relationship Id="rId158" Type="http://schemas.openxmlformats.org/officeDocument/2006/relationships/hyperlink" Target="https://dart.fss.or.kr/dsaf001/main.do?rcpNo=20230316001232" TargetMode="External"/><Relationship Id="rId272" Type="http://schemas.openxmlformats.org/officeDocument/2006/relationships/hyperlink" Target="https://dart.fss.or.kr/dsaf001/main.do?rcpNo=20230320000791" TargetMode="External"/><Relationship Id="rId293" Type="http://schemas.openxmlformats.org/officeDocument/2006/relationships/hyperlink" Target="https://dart.fss.or.kr/dsaf001/main.do?rcpNo=20230321000255" TargetMode="External"/><Relationship Id="rId302" Type="http://schemas.openxmlformats.org/officeDocument/2006/relationships/hyperlink" Target="https://dart.fss.or.kr/dsaf001/main.do?rcpNo=20230315001104" TargetMode="External"/><Relationship Id="rId307" Type="http://schemas.openxmlformats.org/officeDocument/2006/relationships/hyperlink" Target="https://dart.fss.or.kr/dsaf001/main.do?rcpNo=20230321001479" TargetMode="External"/><Relationship Id="rId323" Type="http://schemas.openxmlformats.org/officeDocument/2006/relationships/hyperlink" Target="https://dart.fss.or.kr/dsaf001/main.do?rcpNo=20230313000533" TargetMode="External"/><Relationship Id="rId328" Type="http://schemas.openxmlformats.org/officeDocument/2006/relationships/hyperlink" Target="https://www.youngone.co.kr/" TargetMode="External"/><Relationship Id="rId20" Type="http://schemas.openxmlformats.org/officeDocument/2006/relationships/hyperlink" Target="https://dart.fss.or.kr/dsaf001/main.do?rcpNo=20230317000301" TargetMode="External"/><Relationship Id="rId41" Type="http://schemas.openxmlformats.org/officeDocument/2006/relationships/hyperlink" Target="https://dart.fss.or.kr/dsaf001/main.do?rcpNo=20230315000990" TargetMode="External"/><Relationship Id="rId62" Type="http://schemas.openxmlformats.org/officeDocument/2006/relationships/hyperlink" Target="https://dart.fss.or.kr/dsaf001/main.do?rcpNo=20230314000692" TargetMode="External"/><Relationship Id="rId83" Type="http://schemas.openxmlformats.org/officeDocument/2006/relationships/hyperlink" Target="https://dart.fss.or.kr/dsaf001/main.do?rcpNo=20230321000740" TargetMode="External"/><Relationship Id="rId88" Type="http://schemas.openxmlformats.org/officeDocument/2006/relationships/hyperlink" Target="https://www.dlenc.co.kr/main.do" TargetMode="External"/><Relationship Id="rId111" Type="http://schemas.openxmlformats.org/officeDocument/2006/relationships/hyperlink" Target="https://dart.fss.or.kr/dsaf001/main.do?rcpNo=20230321001259" TargetMode="External"/><Relationship Id="rId132" Type="http://schemas.openxmlformats.org/officeDocument/2006/relationships/hyperlink" Target="https://dart.fss.or.kr/dsaf001/main.do?rcpNo=20230328000107" TargetMode="External"/><Relationship Id="rId153" Type="http://schemas.openxmlformats.org/officeDocument/2006/relationships/hyperlink" Target="https://dart.fss.or.kr/dsaf001/main.do?rcpNo=20230316001338" TargetMode="External"/><Relationship Id="rId174" Type="http://schemas.openxmlformats.org/officeDocument/2006/relationships/hyperlink" Target="https://dart.fss.or.kr/dsaf001/main.do?rcpNo=20230322000910" TargetMode="External"/><Relationship Id="rId179" Type="http://schemas.openxmlformats.org/officeDocument/2006/relationships/hyperlink" Target="https://dart.fss.or.kr/dsaf001/main.do?rcpNo=20230316001089" TargetMode="External"/><Relationship Id="rId195" Type="http://schemas.openxmlformats.org/officeDocument/2006/relationships/hyperlink" Target="https://dart.fss.or.kr/dsaf001/main.do?rcpNo=20230321001261" TargetMode="External"/><Relationship Id="rId209" Type="http://schemas.openxmlformats.org/officeDocument/2006/relationships/hyperlink" Target="https://dart.fss.or.kr/dsaf001/main.do?rcpNo=20230315000887" TargetMode="External"/><Relationship Id="rId190" Type="http://schemas.openxmlformats.org/officeDocument/2006/relationships/hyperlink" Target="https://dart.fss.or.kr/dsaf001/main.do?rcpNo=20230315001190" TargetMode="External"/><Relationship Id="rId204" Type="http://schemas.openxmlformats.org/officeDocument/2006/relationships/hyperlink" Target="https://dart.fss.or.kr/dsaf001/main.do?rcpNo=20230317000918" TargetMode="External"/><Relationship Id="rId220" Type="http://schemas.openxmlformats.org/officeDocument/2006/relationships/hyperlink" Target="https://dart.fss.or.kr/dsaf001/main.do?rcpNo=20230323001151" TargetMode="External"/><Relationship Id="rId225" Type="http://schemas.openxmlformats.org/officeDocument/2006/relationships/hyperlink" Target="https://dart.fss.or.kr/dsaf001/main.do?rcpNo=20230308000451" TargetMode="External"/><Relationship Id="rId241" Type="http://schemas.openxmlformats.org/officeDocument/2006/relationships/hyperlink" Target="https://dart.fss.or.kr/dsaf001/main.do?rcpNo=20230316001262" TargetMode="External"/><Relationship Id="rId246" Type="http://schemas.openxmlformats.org/officeDocument/2006/relationships/hyperlink" Target="https://dart.fss.or.kr/dsaf001/main.do?rcpNo=20230317001037" TargetMode="External"/><Relationship Id="rId267" Type="http://schemas.openxmlformats.org/officeDocument/2006/relationships/hyperlink" Target="https://dart.fss.or.kr/dsaf001/main.do?rcpNo=20230317000751" TargetMode="External"/><Relationship Id="rId288" Type="http://schemas.openxmlformats.org/officeDocument/2006/relationships/hyperlink" Target="https://dart.fss.or.kr/dsaf001/main.do?rcpNo=20230314000521" TargetMode="External"/><Relationship Id="rId15" Type="http://schemas.openxmlformats.org/officeDocument/2006/relationships/hyperlink" Target="https://dart.fss.or.kr/dsaf001/main.do?rcpNo=20230316001014" TargetMode="External"/><Relationship Id="rId36" Type="http://schemas.openxmlformats.org/officeDocument/2006/relationships/hyperlink" Target="https://dart.fss.or.kr/dsaf001/main.do?rcpNo=20230316000724" TargetMode="External"/><Relationship Id="rId57" Type="http://schemas.openxmlformats.org/officeDocument/2006/relationships/hyperlink" Target="https://dart.fss.or.kr/dsaf001/main.do?rcpNo=20230309000731" TargetMode="External"/><Relationship Id="rId106" Type="http://schemas.openxmlformats.org/officeDocument/2006/relationships/hyperlink" Target="https://dart.fss.or.kr/dsaf001/main.do?rcpNo=20230320000820" TargetMode="External"/><Relationship Id="rId127" Type="http://schemas.openxmlformats.org/officeDocument/2006/relationships/hyperlink" Target="https://dart.fss.or.kr/dsaf001/main.do?rcpNo=20230310000296" TargetMode="External"/><Relationship Id="rId262" Type="http://schemas.openxmlformats.org/officeDocument/2006/relationships/hyperlink" Target="https://dart.fss.or.kr/dsaf001/main.do?rcpNo=20230314000892" TargetMode="External"/><Relationship Id="rId283" Type="http://schemas.openxmlformats.org/officeDocument/2006/relationships/hyperlink" Target="https://dart.fss.or.kr/dsaf001/main.do?rcpNo=20230316001135" TargetMode="External"/><Relationship Id="rId313" Type="http://schemas.openxmlformats.org/officeDocument/2006/relationships/hyperlink" Target="https://dart.fss.or.kr/dsaf001/main.do?rcpNo=20230315001376" TargetMode="External"/><Relationship Id="rId318" Type="http://schemas.openxmlformats.org/officeDocument/2006/relationships/hyperlink" Target="https://dart.fss.or.kr/dsaf001/main.do?rcpNo=20230320000391" TargetMode="External"/><Relationship Id="rId10" Type="http://schemas.openxmlformats.org/officeDocument/2006/relationships/hyperlink" Target="https://dart.fss.or.kr/dsaf001/main.do?rcpNo=20230315001420" TargetMode="External"/><Relationship Id="rId31" Type="http://schemas.openxmlformats.org/officeDocument/2006/relationships/hyperlink" Target="https://dart.fss.or.kr/dsaf001/main.do?rcpNo=20230302000615" TargetMode="External"/><Relationship Id="rId52" Type="http://schemas.openxmlformats.org/officeDocument/2006/relationships/hyperlink" Target="https://dart.fss.or.kr/dsaf001/main.do?rcpNo=20230322000815" TargetMode="External"/><Relationship Id="rId73" Type="http://schemas.openxmlformats.org/officeDocument/2006/relationships/hyperlink" Target="https://dart.fss.or.kr/dsaf001/main.do?rcpNo=20230316000929" TargetMode="External"/><Relationship Id="rId78" Type="http://schemas.openxmlformats.org/officeDocument/2006/relationships/hyperlink" Target="https://dart.fss.or.kr/dsaf001/main.do?rcpNo=20230316000896" TargetMode="External"/><Relationship Id="rId94" Type="http://schemas.openxmlformats.org/officeDocument/2006/relationships/hyperlink" Target="https://dart.fss.or.kr/dsaf001/main.do?rcpNo=20230315001173" TargetMode="External"/><Relationship Id="rId99" Type="http://schemas.openxmlformats.org/officeDocument/2006/relationships/hyperlink" Target="https://dart.fss.or.kr/dsaf001/main.do?rcpNo=20230316000733" TargetMode="External"/><Relationship Id="rId101" Type="http://schemas.openxmlformats.org/officeDocument/2006/relationships/hyperlink" Target="https://dart.fss.or.kr/dsaf001/main.do?rcpNo=20230316000463" TargetMode="External"/><Relationship Id="rId122" Type="http://schemas.openxmlformats.org/officeDocument/2006/relationships/hyperlink" Target="https://dart.fss.or.kr/dsaf001/main.do?rcpNo=20230316000931" TargetMode="External"/><Relationship Id="rId143" Type="http://schemas.openxmlformats.org/officeDocument/2006/relationships/hyperlink" Target="https://dart.fss.or.kr/dsaf001/main.do?rcpNo=20230308000723" TargetMode="External"/><Relationship Id="rId148" Type="http://schemas.openxmlformats.org/officeDocument/2006/relationships/hyperlink" Target="https://dart.fss.or.kr/dsaf001/main.do?rcpNo=20230315001242" TargetMode="External"/><Relationship Id="rId164" Type="http://schemas.openxmlformats.org/officeDocument/2006/relationships/hyperlink" Target="https://dart.fss.or.kr/dsaf001/main.do?rcpNo=20230308000717" TargetMode="External"/><Relationship Id="rId169" Type="http://schemas.openxmlformats.org/officeDocument/2006/relationships/hyperlink" Target="https://dart.fss.or.kr/dsaf001/main.do?rcpNo=20230320000842" TargetMode="External"/><Relationship Id="rId185" Type="http://schemas.openxmlformats.org/officeDocument/2006/relationships/hyperlink" Target="https://dart.fss.or.kr/dsaf001/main.do?rcpNo=20230316000657" TargetMode="External"/><Relationship Id="rId4" Type="http://schemas.openxmlformats.org/officeDocument/2006/relationships/hyperlink" Target="https://dart.fss.or.kr/dsaf001/main.do?rcpNo=20230320000740" TargetMode="External"/><Relationship Id="rId9" Type="http://schemas.openxmlformats.org/officeDocument/2006/relationships/hyperlink" Target="https://dart.fss.or.kr/dsaf001/main.do?rcpNo=20230315000019" TargetMode="External"/><Relationship Id="rId180" Type="http://schemas.openxmlformats.org/officeDocument/2006/relationships/hyperlink" Target="https://dart.fss.or.kr/dsaf001/main.do?rcpNo=20230615000542" TargetMode="External"/><Relationship Id="rId210" Type="http://schemas.openxmlformats.org/officeDocument/2006/relationships/hyperlink" Target="https://dart.fss.or.kr/dsaf001/main.do?rcpNo=20230315001431" TargetMode="External"/><Relationship Id="rId215" Type="http://schemas.openxmlformats.org/officeDocument/2006/relationships/hyperlink" Target="https://dart.fss.or.kr/dsaf001/main.do?rcpNo=20230309000433" TargetMode="External"/><Relationship Id="rId236" Type="http://schemas.openxmlformats.org/officeDocument/2006/relationships/hyperlink" Target="https://dart.fss.or.kr/dsaf001/main.do?rcpNo=20230320000418" TargetMode="External"/><Relationship Id="rId257" Type="http://schemas.openxmlformats.org/officeDocument/2006/relationships/hyperlink" Target="https://dart.fss.or.kr/dsaf001/main.do?rcpNo=20230317000233" TargetMode="External"/><Relationship Id="rId278" Type="http://schemas.openxmlformats.org/officeDocument/2006/relationships/hyperlink" Target="https://dart.fss.or.kr/dsaf001/main.do?rcpNo=20230316001234" TargetMode="External"/><Relationship Id="rId26" Type="http://schemas.openxmlformats.org/officeDocument/2006/relationships/hyperlink" Target="https://dart.fss.or.kr/dsaf001/main.do?rcpNo=20230316000684" TargetMode="External"/><Relationship Id="rId231" Type="http://schemas.openxmlformats.org/officeDocument/2006/relationships/hyperlink" Target="https://dart.fss.or.kr/dsaf001/main.do?rcpNo=20230309000626" TargetMode="External"/><Relationship Id="rId252" Type="http://schemas.openxmlformats.org/officeDocument/2006/relationships/hyperlink" Target="https://dart.fss.or.kr/dsaf001/main.do?rcpNo=20230320000728" TargetMode="External"/><Relationship Id="rId273" Type="http://schemas.openxmlformats.org/officeDocument/2006/relationships/hyperlink" Target="http://www.fskrc.co.kr/" TargetMode="External"/><Relationship Id="rId294" Type="http://schemas.openxmlformats.org/officeDocument/2006/relationships/hyperlink" Target="https://dart.fss.or.kr/dsaf001/main.do?rcpNo=20230317000994" TargetMode="External"/><Relationship Id="rId308" Type="http://schemas.openxmlformats.org/officeDocument/2006/relationships/hyperlink" Target="https://dart.fss.or.kr/dsaf001/main.do?rcpNo=20230317000639" TargetMode="External"/><Relationship Id="rId329" Type="http://schemas.openxmlformats.org/officeDocument/2006/relationships/hyperlink" Target="http://www.iljinelectric.co.kr/main.jsp" TargetMode="External"/><Relationship Id="rId47" Type="http://schemas.openxmlformats.org/officeDocument/2006/relationships/hyperlink" Target="https://dart.fss.or.kr/dsaf001/main.do?rcpNo=20230320000235" TargetMode="External"/><Relationship Id="rId68" Type="http://schemas.openxmlformats.org/officeDocument/2006/relationships/hyperlink" Target="https://dart.fss.or.kr/dsaf001/main.do?rcpNo=20230608000512" TargetMode="External"/><Relationship Id="rId89" Type="http://schemas.openxmlformats.org/officeDocument/2006/relationships/hyperlink" Target="https://dart.fss.or.kr/dsaf001/main.do?rcpNo=20230322001136" TargetMode="External"/><Relationship Id="rId112" Type="http://schemas.openxmlformats.org/officeDocument/2006/relationships/hyperlink" Target="https://dart.fss.or.kr/dsaf001/main.do?rcpNo=20230713000062" TargetMode="External"/><Relationship Id="rId133" Type="http://schemas.openxmlformats.org/officeDocument/2006/relationships/hyperlink" Target="https://dart.fss.or.kr/dsaf001/main.do?rcpNo=20230323000263" TargetMode="External"/><Relationship Id="rId154" Type="http://schemas.openxmlformats.org/officeDocument/2006/relationships/hyperlink" Target="https://dart.fss.or.kr/dsaf001/main.do?rcpNo=20230322000313" TargetMode="External"/><Relationship Id="rId175" Type="http://schemas.openxmlformats.org/officeDocument/2006/relationships/hyperlink" Target="https://dart.fss.or.kr/dsaf001/main.do?rcpNo=20230315001315" TargetMode="External"/><Relationship Id="rId196" Type="http://schemas.openxmlformats.org/officeDocument/2006/relationships/hyperlink" Target="https://dart.fss.or.kr/dsaf001/main.do?rcpNo=20230323001360" TargetMode="External"/><Relationship Id="rId200" Type="http://schemas.openxmlformats.org/officeDocument/2006/relationships/hyperlink" Target="https://dart.fss.or.kr/dsaf001/main.do?rcpNo=20230712000496" TargetMode="External"/><Relationship Id="rId16" Type="http://schemas.openxmlformats.org/officeDocument/2006/relationships/hyperlink" Target="https://dart.fss.or.kr/dsaf001/main.do?rcpNo=20230315001215" TargetMode="External"/><Relationship Id="rId221" Type="http://schemas.openxmlformats.org/officeDocument/2006/relationships/hyperlink" Target="https://dart.fss.or.kr/dsaf001/main.do?rcpNo=20230316000222" TargetMode="External"/><Relationship Id="rId242" Type="http://schemas.openxmlformats.org/officeDocument/2006/relationships/hyperlink" Target="https://dart.fss.or.kr/dsaf001/main.do?rcpNo=20230407002574" TargetMode="External"/><Relationship Id="rId263" Type="http://schemas.openxmlformats.org/officeDocument/2006/relationships/hyperlink" Target="https://dart.fss.or.kr/dsaf001/main.do?rcpNo=20230321001130" TargetMode="External"/><Relationship Id="rId284" Type="http://schemas.openxmlformats.org/officeDocument/2006/relationships/hyperlink" Target="https://dart.fss.or.kr/dsaf001/main.do?rcpNo=20230316001554" TargetMode="External"/><Relationship Id="rId319" Type="http://schemas.openxmlformats.org/officeDocument/2006/relationships/hyperlink" Target="https://dart.fss.or.kr/dsaf001/main.do?rcpNo=20230315001063" TargetMode="External"/><Relationship Id="rId37" Type="http://schemas.openxmlformats.org/officeDocument/2006/relationships/hyperlink" Target="https://dart.fss.or.kr/dsaf001/main.do?rcpNo=20230315000084" TargetMode="External"/><Relationship Id="rId58" Type="http://schemas.openxmlformats.org/officeDocument/2006/relationships/hyperlink" Target="https://dart.fss.or.kr/dsaf001/main.do?rcpNo=20230316001326" TargetMode="External"/><Relationship Id="rId79" Type="http://schemas.openxmlformats.org/officeDocument/2006/relationships/hyperlink" Target="http://www.daesung.co.kr/" TargetMode="External"/><Relationship Id="rId102" Type="http://schemas.openxmlformats.org/officeDocument/2006/relationships/hyperlink" Target="https://dart.fss.or.kr/dsaf001/main.do?rcpNo=20230320001075" TargetMode="External"/><Relationship Id="rId123" Type="http://schemas.openxmlformats.org/officeDocument/2006/relationships/hyperlink" Target="https://dart.fss.or.kr/dsaf001/main.do?rcpNo=20230317001035" TargetMode="External"/><Relationship Id="rId144" Type="http://schemas.openxmlformats.org/officeDocument/2006/relationships/hyperlink" Target="https://dart.fss.or.kr/dsaf001/main.do?rcpNo=20230309000772" TargetMode="External"/><Relationship Id="rId330" Type="http://schemas.openxmlformats.org/officeDocument/2006/relationships/hyperlink" Target="https://m.kakaobank.com/" TargetMode="External"/><Relationship Id="rId90" Type="http://schemas.openxmlformats.org/officeDocument/2006/relationships/hyperlink" Target="https://dart.fss.or.kr/dsaf001/main.do?rcpNo=20230331003410" TargetMode="External"/><Relationship Id="rId165" Type="http://schemas.openxmlformats.org/officeDocument/2006/relationships/hyperlink" Target="https://dart.fss.or.kr/dsaf001/main.do?rcpNo=20230314001166" TargetMode="External"/><Relationship Id="rId186" Type="http://schemas.openxmlformats.org/officeDocument/2006/relationships/hyperlink" Target="https://dart.fss.or.kr/dsaf001/main.do?rcpNo=20230315001378" TargetMode="External"/><Relationship Id="rId211" Type="http://schemas.openxmlformats.org/officeDocument/2006/relationships/hyperlink" Target="https://dart.fss.or.kr/dsaf001/main.do?rcpNo=20230315000658" TargetMode="External"/><Relationship Id="rId232" Type="http://schemas.openxmlformats.org/officeDocument/2006/relationships/hyperlink" Target="https://dart.fss.or.kr/dsaf001/main.do?rcpNo=20230316000376" TargetMode="External"/><Relationship Id="rId253" Type="http://schemas.openxmlformats.org/officeDocument/2006/relationships/hyperlink" Target="https://dart.fss.or.kr/dsaf001/main.do?rcpNo=20230320001037" TargetMode="External"/><Relationship Id="rId274" Type="http://schemas.openxmlformats.org/officeDocument/2006/relationships/hyperlink" Target="https://dart.fss.or.kr/dsaf001/main.do?rcpNo=20230323000756" TargetMode="External"/><Relationship Id="rId295" Type="http://schemas.openxmlformats.org/officeDocument/2006/relationships/hyperlink" Target="https://dart.fss.or.kr/dsaf001/main.do?rcpNo=20230317000982" TargetMode="External"/><Relationship Id="rId309" Type="http://schemas.openxmlformats.org/officeDocument/2006/relationships/hyperlink" Target="https://dart.fss.or.kr/dsaf001/main.do?rcpNo=20230315001030" TargetMode="External"/><Relationship Id="rId27" Type="http://schemas.openxmlformats.org/officeDocument/2006/relationships/hyperlink" Target="https://dart.fss.or.kr/dsaf001/main.do?rcpNo=20230322000776" TargetMode="External"/><Relationship Id="rId48" Type="http://schemas.openxmlformats.org/officeDocument/2006/relationships/hyperlink" Target="https://dart.fss.or.kr/dsaf001/main.do?rcpNo=20230321001209" TargetMode="External"/><Relationship Id="rId69" Type="http://schemas.openxmlformats.org/officeDocument/2006/relationships/hyperlink" Target="https://dart.fss.or.kr/dsaf001/main.do?rcpNo=20230309000734" TargetMode="External"/><Relationship Id="rId113" Type="http://schemas.openxmlformats.org/officeDocument/2006/relationships/hyperlink" Target="https://dart.fss.or.kr/dsaf001/main.do?rcpNo=20230315000573" TargetMode="External"/><Relationship Id="rId134" Type="http://schemas.openxmlformats.org/officeDocument/2006/relationships/hyperlink" Target="https://dart.fss.or.kr/dsaf001/main.do?rcpNo=20230315001385" TargetMode="External"/><Relationship Id="rId320" Type="http://schemas.openxmlformats.org/officeDocument/2006/relationships/hyperlink" Target="https://dart.fss.or.kr/dsaf001/main.do?rcpNo=20230308000691" TargetMode="External"/><Relationship Id="rId80" Type="http://schemas.openxmlformats.org/officeDocument/2006/relationships/hyperlink" Target="https://dart.fss.or.kr/dsaf001/main.do?rcpNo=20230321000870" TargetMode="External"/><Relationship Id="rId155" Type="http://schemas.openxmlformats.org/officeDocument/2006/relationships/hyperlink" Target="https://dart.fss.or.kr/dsaf001/main.do?rcpNo=20230410003453" TargetMode="External"/><Relationship Id="rId176" Type="http://schemas.openxmlformats.org/officeDocument/2006/relationships/hyperlink" Target="https://dart.fss.or.kr/dsaf001/main.do?rcpNo=20220920000318" TargetMode="External"/><Relationship Id="rId197" Type="http://schemas.openxmlformats.org/officeDocument/2006/relationships/hyperlink" Target="https://dart.fss.or.kr/dsaf001/main.do?rcpNo=20230314000700" TargetMode="External"/><Relationship Id="rId201" Type="http://schemas.openxmlformats.org/officeDocument/2006/relationships/hyperlink" Target="https://dart.fss.or.kr/dsaf001/main.do?rcpNo=20230315001259" TargetMode="External"/><Relationship Id="rId222" Type="http://schemas.openxmlformats.org/officeDocument/2006/relationships/hyperlink" Target="https://dart.fss.or.kr/dsaf001/main.do?rcpNo=20230315000560" TargetMode="External"/><Relationship Id="rId243" Type="http://schemas.openxmlformats.org/officeDocument/2006/relationships/hyperlink" Target="https://dart.fss.or.kr/dsaf001/main.do?rcpNo=20230323001449" TargetMode="External"/><Relationship Id="rId264" Type="http://schemas.openxmlformats.org/officeDocument/2006/relationships/hyperlink" Target="https://dart.fss.or.kr/dsaf001/main.do?rcpNo=20230321001315" TargetMode="External"/><Relationship Id="rId285" Type="http://schemas.openxmlformats.org/officeDocument/2006/relationships/hyperlink" Target="https://dart.fss.or.kr/dsaf001/main.do?rcpNo=20230321001525" TargetMode="External"/><Relationship Id="rId17" Type="http://schemas.openxmlformats.org/officeDocument/2006/relationships/hyperlink" Target="https://dart.fss.or.kr/dsaf001/main.do?rcpNo=20230316001339" TargetMode="External"/><Relationship Id="rId38" Type="http://schemas.openxmlformats.org/officeDocument/2006/relationships/hyperlink" Target="https://dart.fss.or.kr/dsaf001/main.do?rcpNo=20230309000859" TargetMode="External"/><Relationship Id="rId59" Type="http://schemas.openxmlformats.org/officeDocument/2006/relationships/hyperlink" Target="https://dart.fss.or.kr/dsaf001/main.do?rcpNo=20230321001353" TargetMode="External"/><Relationship Id="rId103" Type="http://schemas.openxmlformats.org/officeDocument/2006/relationships/hyperlink" Target="https://dart.fss.or.kr/dsaf001/main.do?rcpNo=20230316000692" TargetMode="External"/><Relationship Id="rId124" Type="http://schemas.openxmlformats.org/officeDocument/2006/relationships/hyperlink" Target="https://dart.fss.or.kr/dsaf001/main.do?rcpNo=20230315001134" TargetMode="External"/><Relationship Id="rId310" Type="http://schemas.openxmlformats.org/officeDocument/2006/relationships/hyperlink" Target="https://dart.fss.or.kr/dsaf001/main.do?rcpNo=20230315000803" TargetMode="External"/><Relationship Id="rId70" Type="http://schemas.openxmlformats.org/officeDocument/2006/relationships/hyperlink" Target="https://dart.fss.or.kr/dsaf001/main.do?rcpNo=20230712000089" TargetMode="External"/><Relationship Id="rId91" Type="http://schemas.openxmlformats.org/officeDocument/2006/relationships/hyperlink" Target="https://dart.fss.or.kr/dsaf001/main.do?rcpNo=20230316001412" TargetMode="External"/><Relationship Id="rId145" Type="http://schemas.openxmlformats.org/officeDocument/2006/relationships/hyperlink" Target="https://dart.fss.or.kr/dsaf001/main.do?rcpNo=20230315001212" TargetMode="External"/><Relationship Id="rId166" Type="http://schemas.openxmlformats.org/officeDocument/2006/relationships/hyperlink" Target="https://dart.fss.or.kr/dsaf001/main.do?rcpNo=20230724000235" TargetMode="External"/><Relationship Id="rId187" Type="http://schemas.openxmlformats.org/officeDocument/2006/relationships/hyperlink" Target="https://dart.fss.or.kr/dsaf001/main.do?rcpNo=20230309000717" TargetMode="External"/><Relationship Id="rId331" Type="http://schemas.openxmlformats.org/officeDocument/2006/relationships/hyperlink" Target="https://www.hanmi.co.kr/" TargetMode="External"/><Relationship Id="rId1" Type="http://schemas.openxmlformats.org/officeDocument/2006/relationships/hyperlink" Target="https://dart.fss.or.kr/dsaf001/main.do?rcpNo=20230320000886" TargetMode="External"/><Relationship Id="rId212" Type="http://schemas.openxmlformats.org/officeDocument/2006/relationships/hyperlink" Target="https://dart.fss.or.kr/dsaf001/main.do?rcpNo=20230322001078" TargetMode="External"/><Relationship Id="rId233" Type="http://schemas.openxmlformats.org/officeDocument/2006/relationships/hyperlink" Target="https://dart.fss.or.kr/dsaf001/main.do?rcpNo=20230315001428" TargetMode="External"/><Relationship Id="rId254" Type="http://schemas.openxmlformats.org/officeDocument/2006/relationships/hyperlink" Target="https://dart.fss.or.kr/dsaf001/main.do?rcpNo=20230316001157" TargetMode="External"/><Relationship Id="rId28" Type="http://schemas.openxmlformats.org/officeDocument/2006/relationships/hyperlink" Target="https://dart.fss.or.kr/dsaf001/main.do?rcpNo=20230323000613" TargetMode="External"/><Relationship Id="rId49" Type="http://schemas.openxmlformats.org/officeDocument/2006/relationships/hyperlink" Target="https://dart.fss.or.kr/dsaf001/main.do?rcpNo=20230220001625" TargetMode="External"/><Relationship Id="rId114" Type="http://schemas.openxmlformats.org/officeDocument/2006/relationships/hyperlink" Target="https://dart.fss.or.kr/dsaf001/main.do?rcpNo=20230316001051" TargetMode="External"/><Relationship Id="rId275" Type="http://schemas.openxmlformats.org/officeDocument/2006/relationships/hyperlink" Target="https://dart.fss.or.kr/dsaf001/main.do?rcpNo=20230323000478" TargetMode="External"/><Relationship Id="rId296" Type="http://schemas.openxmlformats.org/officeDocument/2006/relationships/hyperlink" Target="https://dart.fss.or.kr/dsaf001/main.do?rcpNo=20230323001346" TargetMode="External"/><Relationship Id="rId300" Type="http://schemas.openxmlformats.org/officeDocument/2006/relationships/hyperlink" Target="https://dart.fss.or.kr/dsaf001/main.do?rcpNo=20230314001218" TargetMode="External"/><Relationship Id="rId60" Type="http://schemas.openxmlformats.org/officeDocument/2006/relationships/hyperlink" Target="https://dart.fss.or.kr/dsaf001/main.do?rcpNo=20230321000645" TargetMode="External"/><Relationship Id="rId81" Type="http://schemas.openxmlformats.org/officeDocument/2006/relationships/hyperlink" Target="https://dart.fss.or.kr/dsaf001/main.do?rcpNo=20230320000675" TargetMode="External"/><Relationship Id="rId135" Type="http://schemas.openxmlformats.org/officeDocument/2006/relationships/hyperlink" Target="https://dart.fss.or.kr/dsaf001/main.do?rcpNo=20230315001257" TargetMode="External"/><Relationship Id="rId156" Type="http://schemas.openxmlformats.org/officeDocument/2006/relationships/hyperlink" Target="https://dart.fss.or.kr/dsaf001/main.do?rcpNo=20230320000375" TargetMode="External"/><Relationship Id="rId177" Type="http://schemas.openxmlformats.org/officeDocument/2006/relationships/hyperlink" Target="https://dart.fss.or.kr/dsaf001/main.do?rcpNo=20230315001319" TargetMode="External"/><Relationship Id="rId198" Type="http://schemas.openxmlformats.org/officeDocument/2006/relationships/hyperlink" Target="https://dart.fss.or.kr/dsaf001/main.do?rcpNo=20230315000345" TargetMode="External"/><Relationship Id="rId321" Type="http://schemas.openxmlformats.org/officeDocument/2006/relationships/hyperlink" Target="https://dart.fss.or.kr/dsaf001/main.do?rcpNo=20230308000741" TargetMode="External"/><Relationship Id="rId202" Type="http://schemas.openxmlformats.org/officeDocument/2006/relationships/hyperlink" Target="https://dart.fss.or.kr/dsaf001/main.do?rcpNo=20230322000913" TargetMode="External"/><Relationship Id="rId223" Type="http://schemas.openxmlformats.org/officeDocument/2006/relationships/hyperlink" Target="https://dart.fss.or.kr/dsaf001/main.do?rcpNo=20230315001068" TargetMode="External"/><Relationship Id="rId244" Type="http://schemas.openxmlformats.org/officeDocument/2006/relationships/hyperlink" Target="https://dart.fss.or.kr/dsaf001/main.do?rcpNo=20230323001208" TargetMode="External"/><Relationship Id="rId18" Type="http://schemas.openxmlformats.org/officeDocument/2006/relationships/hyperlink" Target="https://dart.fss.or.kr/dsaf001/main.do?rcpNo=20230315001033" TargetMode="External"/><Relationship Id="rId39" Type="http://schemas.openxmlformats.org/officeDocument/2006/relationships/hyperlink" Target="https://dart.fss.or.kr/dsaf001/main.do?rcpNo=20230321000569" TargetMode="External"/><Relationship Id="rId265" Type="http://schemas.openxmlformats.org/officeDocument/2006/relationships/hyperlink" Target="https://dart.fss.or.kr/dsaf001/main.do?rcpNo=20230316001331" TargetMode="External"/><Relationship Id="rId286" Type="http://schemas.openxmlformats.org/officeDocument/2006/relationships/hyperlink" Target="https://dart.fss.or.kr/dsaf001/main.do?rcpNo=20230315001312" TargetMode="External"/><Relationship Id="rId50" Type="http://schemas.openxmlformats.org/officeDocument/2006/relationships/hyperlink" Target="https://dart.fss.or.kr/dsaf001/main.do?rcpNo=20230220001611" TargetMode="External"/><Relationship Id="rId104" Type="http://schemas.openxmlformats.org/officeDocument/2006/relationships/hyperlink" Target="https://dart.fss.or.kr/dsaf001/main.do?rcpNo=20230322001102" TargetMode="External"/><Relationship Id="rId125" Type="http://schemas.openxmlformats.org/officeDocument/2006/relationships/hyperlink" Target="https://dart.fss.or.kr/dsaf001/main.do?rcpNo=20230320000972" TargetMode="External"/><Relationship Id="rId146" Type="http://schemas.openxmlformats.org/officeDocument/2006/relationships/hyperlink" Target="https://dart.fss.or.kr/dsaf001/main.do?rcpNo=20230315001060" TargetMode="External"/><Relationship Id="rId167" Type="http://schemas.openxmlformats.org/officeDocument/2006/relationships/hyperlink" Target="https://dart.fss.or.kr/dsaf001/main.do?rcpNo=20230228006867" TargetMode="External"/><Relationship Id="rId188" Type="http://schemas.openxmlformats.org/officeDocument/2006/relationships/hyperlink" Target="https://dart.fss.or.kr/dsaf001/main.do?rcpNo=20230322000722" TargetMode="External"/><Relationship Id="rId311" Type="http://schemas.openxmlformats.org/officeDocument/2006/relationships/hyperlink" Target="https://dart.fss.or.kr/dsaf001/main.do?rcpNo=20230321001082" TargetMode="External"/><Relationship Id="rId332" Type="http://schemas.openxmlformats.org/officeDocument/2006/relationships/hyperlink" Target="https://miis.kosha.or.kr/minwon/stat/listStatScBiz.do" TargetMode="External"/><Relationship Id="rId71" Type="http://schemas.openxmlformats.org/officeDocument/2006/relationships/hyperlink" Target="https://dart.fss.or.kr/dsaf001/main.do?rcpNo=20230316001430" TargetMode="External"/><Relationship Id="rId92" Type="http://schemas.openxmlformats.org/officeDocument/2006/relationships/hyperlink" Target="https://dart.fss.or.kr/dsaf001/main.do?rcpNo=20230323001351" TargetMode="External"/><Relationship Id="rId213" Type="http://schemas.openxmlformats.org/officeDocument/2006/relationships/hyperlink" Target="https://dart.fss.or.kr/dsaf001/main.do?rcpNo=20230321000409" TargetMode="External"/><Relationship Id="rId234" Type="http://schemas.openxmlformats.org/officeDocument/2006/relationships/hyperlink" Target="https://dart.fss.or.kr/dsaf001/main.do?rcpNo=20230308000725" TargetMode="External"/><Relationship Id="rId2" Type="http://schemas.openxmlformats.org/officeDocument/2006/relationships/hyperlink" Target="https://dart.fss.or.kr/dsaf001/main.do?rcpNo=20230316001312" TargetMode="External"/><Relationship Id="rId29" Type="http://schemas.openxmlformats.org/officeDocument/2006/relationships/hyperlink" Target="https://dart.fss.or.kr/dsaf001/main.do?rcpNo=20230320000688" TargetMode="External"/><Relationship Id="rId255" Type="http://schemas.openxmlformats.org/officeDocument/2006/relationships/hyperlink" Target="https://dart.fss.or.kr/dsaf001/main.do?rcpNo=20230323001143" TargetMode="External"/><Relationship Id="rId276" Type="http://schemas.openxmlformats.org/officeDocument/2006/relationships/hyperlink" Target="https://dart.fss.or.kr/dsaf001/main.do?rcpNo=20230315000812" TargetMode="External"/><Relationship Id="rId297" Type="http://schemas.openxmlformats.org/officeDocument/2006/relationships/hyperlink" Target="https://dart.fss.or.kr/dsaf001/main.do?rcpNo=20230315001412" TargetMode="External"/><Relationship Id="rId40" Type="http://schemas.openxmlformats.org/officeDocument/2006/relationships/hyperlink" Target="https://dart.fss.or.kr/dsaf001/main.do?rcpNo=20230320000844" TargetMode="External"/><Relationship Id="rId115" Type="http://schemas.openxmlformats.org/officeDocument/2006/relationships/hyperlink" Target="https://dart.fss.or.kr/dsaf001/main.do?rcpNo=20230315001395" TargetMode="External"/><Relationship Id="rId136" Type="http://schemas.openxmlformats.org/officeDocument/2006/relationships/hyperlink" Target="https://dart.fss.or.kr/dsaf001/main.do?rcpNo=20230313000726" TargetMode="External"/><Relationship Id="rId157" Type="http://schemas.openxmlformats.org/officeDocument/2006/relationships/hyperlink" Target="https://dart.fss.or.kr/dsaf001/main.do?rcpNo=20230316001182" TargetMode="External"/><Relationship Id="rId178" Type="http://schemas.openxmlformats.org/officeDocument/2006/relationships/hyperlink" Target="https://dart.fss.or.kr/dsaf001/main.do?rcpNo=20230314001079" TargetMode="External"/><Relationship Id="rId301" Type="http://schemas.openxmlformats.org/officeDocument/2006/relationships/hyperlink" Target="https://dart.fss.or.kr/dsaf001/main.do?rcpNo=20230411001656" TargetMode="External"/><Relationship Id="rId322" Type="http://schemas.openxmlformats.org/officeDocument/2006/relationships/hyperlink" Target="https://dart.fss.or.kr/dsaf001/main.do?rcpNo=20230321000387" TargetMode="External"/><Relationship Id="rId61" Type="http://schemas.openxmlformats.org/officeDocument/2006/relationships/hyperlink" Target="https://dart.fss.or.kr/dsaf001/main.do?rcpNo=20230314000982" TargetMode="External"/><Relationship Id="rId82" Type="http://schemas.openxmlformats.org/officeDocument/2006/relationships/hyperlink" Target="https://dart.fss.or.kr/dsaf001/main.do?rcpNo=20230321000752" TargetMode="External"/><Relationship Id="rId199" Type="http://schemas.openxmlformats.org/officeDocument/2006/relationships/hyperlink" Target="https://dart.fss.or.kr/dsaf001/main.do?rcpNo=20230321001365" TargetMode="External"/><Relationship Id="rId203" Type="http://schemas.openxmlformats.org/officeDocument/2006/relationships/hyperlink" Target="https://dart.fss.or.kr/dsaf001/main.do?rcpNo=20230316001571" TargetMode="External"/><Relationship Id="rId19" Type="http://schemas.openxmlformats.org/officeDocument/2006/relationships/hyperlink" Target="https://dart.fss.or.kr/dsaf001/main.do?rcpNo=20230713000082" TargetMode="External"/><Relationship Id="rId224" Type="http://schemas.openxmlformats.org/officeDocument/2006/relationships/hyperlink" Target="https://dart.fss.or.kr/dsaf001/main.do?rcpNo=20230714000214" TargetMode="External"/><Relationship Id="rId245" Type="http://schemas.openxmlformats.org/officeDocument/2006/relationships/hyperlink" Target="https://dart.fss.or.kr/dsaf001/main.do?rcpNo=20230320001005" TargetMode="External"/><Relationship Id="rId266" Type="http://schemas.openxmlformats.org/officeDocument/2006/relationships/hyperlink" Target="https://dart.fss.or.kr/dsaf001/main.do?rcpNo=20230313000443" TargetMode="External"/><Relationship Id="rId287" Type="http://schemas.openxmlformats.org/officeDocument/2006/relationships/hyperlink" Target="https://dart.fss.or.kr/dsaf001/main.do?rcpNo=20230320000937" TargetMode="External"/><Relationship Id="rId30" Type="http://schemas.openxmlformats.org/officeDocument/2006/relationships/hyperlink" Target="https://dart.fss.or.kr/dsaf001/main.do?rcpNo=20230320000833" TargetMode="External"/><Relationship Id="rId105" Type="http://schemas.openxmlformats.org/officeDocument/2006/relationships/hyperlink" Target="https://dart.fss.or.kr/dsaf001/main.do?rcpNo=20230317000669" TargetMode="External"/><Relationship Id="rId126" Type="http://schemas.openxmlformats.org/officeDocument/2006/relationships/hyperlink" Target="https://dart.fss.or.kr/dsaf001/main.do?rcpNo=20230315001384" TargetMode="External"/><Relationship Id="rId147" Type="http://schemas.openxmlformats.org/officeDocument/2006/relationships/hyperlink" Target="https://dart.fss.or.kr/dsaf001/main.do?rcpNo=20230321001381" TargetMode="External"/><Relationship Id="rId168" Type="http://schemas.openxmlformats.org/officeDocument/2006/relationships/hyperlink" Target="https://dart.fss.or.kr/dsaf001/main.do?rcpNo=20230316000461" TargetMode="External"/><Relationship Id="rId312" Type="http://schemas.openxmlformats.org/officeDocument/2006/relationships/hyperlink" Target="https://dart.fss.or.kr/dsaf001/main.do?rcpNo=20230309000797" TargetMode="External"/><Relationship Id="rId333" Type="http://schemas.openxmlformats.org/officeDocument/2006/relationships/hyperlink" Target="https://www.kab.or.kr/page/s0104.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C00000"/>
  </sheetPr>
  <dimension ref="A1:CW322"/>
  <sheetViews>
    <sheetView zoomScale="85" zoomScaleNormal="85" zoomScaleSheetLayoutView="75" workbookViewId="0">
      <pane xSplit="18" ySplit="1" topLeftCell="CV2" activePane="bottomRight" state="frozen"/>
      <selection pane="topRight"/>
      <selection pane="bottomLeft"/>
      <selection pane="bottomRight" activeCell="DA35" sqref="DA35"/>
    </sheetView>
  </sheetViews>
  <sheetFormatPr defaultColWidth="9" defaultRowHeight="16.899999999999999" x14ac:dyDescent="0.6"/>
  <cols>
    <col min="1" max="1" width="20.5625" style="20" customWidth="1"/>
    <col min="2" max="2" width="11.3125" style="20" customWidth="1"/>
    <col min="3" max="3" width="9.25" style="172" customWidth="1"/>
    <col min="4" max="4" width="20.5625" style="20" customWidth="1"/>
    <col min="5" max="6" width="9" style="20" customWidth="1"/>
    <col min="7" max="7" width="11.0625" style="20" customWidth="1"/>
    <col min="8" max="11" width="9" style="20" customWidth="1"/>
    <col min="12" max="13" width="15.0625" style="20" customWidth="1"/>
    <col min="14" max="17" width="15.75" style="20" customWidth="1"/>
    <col min="18" max="18" width="14.5" style="20" customWidth="1"/>
    <col min="19" max="24" width="15.5625" style="207" customWidth="1"/>
    <col min="25" max="25" width="15.5625" style="208" customWidth="1"/>
    <col min="26" max="27" width="15.5625" style="207" customWidth="1"/>
    <col min="28" max="28" width="15.5625" style="234" customWidth="1"/>
    <col min="29" max="30" width="15.5625" style="209" customWidth="1"/>
    <col min="31" max="31" width="10.5625" style="209" customWidth="1"/>
    <col min="32" max="36" width="10.5625" style="210" customWidth="1"/>
    <col min="37" max="40" width="10.5625" style="204" customWidth="1"/>
    <col min="41" max="41" width="10.5625" style="160" customWidth="1"/>
    <col min="42" max="42" width="10.5625" style="204" customWidth="1"/>
    <col min="43" max="43" width="10.5625" style="160" customWidth="1"/>
    <col min="44" max="49" width="10.5625" style="212" customWidth="1"/>
    <col min="50" max="50" width="10.5625" style="236" customWidth="1"/>
    <col min="51" max="55" width="10.5625" style="54" customWidth="1"/>
    <col min="56" max="56" width="10.5625" style="43" customWidth="1"/>
    <col min="57" max="58" width="15.5625" style="213" customWidth="1"/>
    <col min="59" max="60" width="15.5625" style="54" customWidth="1"/>
    <col min="61" max="64" width="15.5625" style="210" customWidth="1"/>
    <col min="65" max="65" width="15.5625" style="54" customWidth="1"/>
    <col min="66" max="66" width="10.5625" style="210" customWidth="1"/>
    <col min="67" max="67" width="15.5625" style="54" customWidth="1"/>
    <col min="68" max="68" width="10.5625" style="210" customWidth="1"/>
    <col min="69" max="69" width="10.5625" style="213" customWidth="1"/>
    <col min="70" max="70" width="10.5625" style="210" customWidth="1"/>
    <col min="71" max="73" width="15.5625" style="54" customWidth="1"/>
    <col min="74" max="77" width="10.5625" style="54" customWidth="1"/>
    <col min="78" max="78" width="10.5625" style="210" customWidth="1"/>
    <col min="79" max="80" width="10.5625" style="54" customWidth="1"/>
    <col min="81" max="82" width="15.5625" style="20" customWidth="1"/>
    <col min="83" max="83" width="10.5625" style="20" customWidth="1"/>
    <col min="84" max="86" width="12.5625" style="210" customWidth="1"/>
    <col min="87" max="87" width="10.5625" style="54" customWidth="1"/>
    <col min="88" max="88" width="10.5625" style="210" customWidth="1"/>
    <col min="89" max="90" width="10.5625" style="173" customWidth="1"/>
    <col min="91" max="92" width="10.5625" style="20" customWidth="1"/>
    <col min="93" max="93" width="15.5625" style="54" customWidth="1"/>
    <col min="94" max="94" width="10.5625" style="210" customWidth="1"/>
    <col min="95" max="95" width="10.5625" style="238" customWidth="1"/>
    <col min="96" max="96" width="10.5625" style="210" customWidth="1"/>
    <col min="97" max="97" width="15.5625" style="54" customWidth="1"/>
    <col min="98" max="99" width="10.5625" style="54" customWidth="1"/>
    <col min="100" max="101" width="10.5625" style="210" customWidth="1"/>
    <col min="102" max="16384" width="9" style="20"/>
  </cols>
  <sheetData>
    <row r="1" spans="1:101" ht="100.05" customHeight="1" x14ac:dyDescent="0.6">
      <c r="A1" s="7" t="s">
        <v>695</v>
      </c>
      <c r="B1" s="12" t="s">
        <v>265</v>
      </c>
      <c r="C1" s="159" t="s">
        <v>510</v>
      </c>
      <c r="D1" s="4" t="s">
        <v>441</v>
      </c>
      <c r="E1" s="7" t="s">
        <v>807</v>
      </c>
      <c r="F1" s="7" t="s">
        <v>295</v>
      </c>
      <c r="G1" s="7" t="s">
        <v>680</v>
      </c>
      <c r="H1" s="7" t="s">
        <v>691</v>
      </c>
      <c r="I1" s="7" t="s">
        <v>364</v>
      </c>
      <c r="J1" s="7" t="s">
        <v>946</v>
      </c>
      <c r="K1" s="7" t="s">
        <v>696</v>
      </c>
      <c r="L1" s="4" t="s">
        <v>201</v>
      </c>
      <c r="M1" s="4" t="s">
        <v>263</v>
      </c>
      <c r="N1" s="4" t="s">
        <v>212</v>
      </c>
      <c r="O1" s="4" t="s">
        <v>198</v>
      </c>
      <c r="P1" s="4" t="s">
        <v>229</v>
      </c>
      <c r="Q1" s="4" t="s">
        <v>960</v>
      </c>
      <c r="R1" s="4" t="s">
        <v>277</v>
      </c>
      <c r="S1" s="22" t="s">
        <v>2310</v>
      </c>
      <c r="T1" s="22" t="s">
        <v>2311</v>
      </c>
      <c r="U1" s="22" t="s">
        <v>2312</v>
      </c>
      <c r="V1" s="22" t="s">
        <v>2313</v>
      </c>
      <c r="W1" s="22" t="s">
        <v>2314</v>
      </c>
      <c r="X1" s="22" t="s">
        <v>2315</v>
      </c>
      <c r="Y1" s="21" t="s">
        <v>2327</v>
      </c>
      <c r="Z1" s="22" t="s">
        <v>2316</v>
      </c>
      <c r="AA1" s="22" t="s">
        <v>2317</v>
      </c>
      <c r="AB1" s="23" t="s">
        <v>2391</v>
      </c>
      <c r="AC1" s="24" t="s">
        <v>23</v>
      </c>
      <c r="AD1" s="24" t="s">
        <v>1252</v>
      </c>
      <c r="AE1" s="25" t="s">
        <v>1254</v>
      </c>
      <c r="AF1" s="28" t="s">
        <v>2369</v>
      </c>
      <c r="AG1" s="28" t="s">
        <v>2370</v>
      </c>
      <c r="AH1" s="29" t="s">
        <v>587</v>
      </c>
      <c r="AI1" s="29" t="s">
        <v>596</v>
      </c>
      <c r="AJ1" s="27" t="s">
        <v>1255</v>
      </c>
      <c r="AK1" s="31" t="s">
        <v>2318</v>
      </c>
      <c r="AL1" s="31" t="s">
        <v>2319</v>
      </c>
      <c r="AM1" s="31" t="s">
        <v>2392</v>
      </c>
      <c r="AN1" s="33" t="s">
        <v>876</v>
      </c>
      <c r="AO1" s="34" t="s">
        <v>255</v>
      </c>
      <c r="AP1" s="36" t="s">
        <v>2373</v>
      </c>
      <c r="AQ1" s="37" t="s">
        <v>1256</v>
      </c>
      <c r="AR1" s="39" t="s">
        <v>2320</v>
      </c>
      <c r="AS1" s="40" t="s">
        <v>1257</v>
      </c>
      <c r="AT1" s="41" t="s">
        <v>347</v>
      </c>
      <c r="AU1" s="41" t="s">
        <v>2372</v>
      </c>
      <c r="AV1" s="41" t="s">
        <v>276</v>
      </c>
      <c r="AW1" s="41" t="s">
        <v>2374</v>
      </c>
      <c r="AX1" s="27" t="s">
        <v>1258</v>
      </c>
      <c r="AY1" s="39" t="s">
        <v>2321</v>
      </c>
      <c r="AZ1" s="39" t="s">
        <v>2322</v>
      </c>
      <c r="BA1" s="42" t="s">
        <v>2393</v>
      </c>
      <c r="BB1" s="40" t="s">
        <v>2394</v>
      </c>
      <c r="BC1" s="40" t="s">
        <v>634</v>
      </c>
      <c r="BD1" s="27" t="s">
        <v>1259</v>
      </c>
      <c r="BE1" s="39" t="s">
        <v>1260</v>
      </c>
      <c r="BF1" s="39" t="s">
        <v>1261</v>
      </c>
      <c r="BG1" s="39" t="s">
        <v>1263</v>
      </c>
      <c r="BH1" s="44" t="s">
        <v>1262</v>
      </c>
      <c r="BI1" s="28" t="s">
        <v>1264</v>
      </c>
      <c r="BJ1" s="28" t="s">
        <v>2376</v>
      </c>
      <c r="BK1" s="46" t="s">
        <v>343</v>
      </c>
      <c r="BL1" s="28" t="s">
        <v>1265</v>
      </c>
      <c r="BM1" s="42" t="s">
        <v>254</v>
      </c>
      <c r="BN1" s="27" t="s">
        <v>1268</v>
      </c>
      <c r="BO1" s="48" t="s">
        <v>1266</v>
      </c>
      <c r="BP1" s="50" t="s">
        <v>281</v>
      </c>
      <c r="BQ1" s="53" t="s">
        <v>358</v>
      </c>
      <c r="BR1" s="27" t="s">
        <v>1267</v>
      </c>
      <c r="BS1" s="48" t="s">
        <v>2328</v>
      </c>
      <c r="BT1" s="48" t="s">
        <v>2329</v>
      </c>
      <c r="BU1" s="40" t="s">
        <v>1270</v>
      </c>
      <c r="BV1" s="40" t="s">
        <v>2375</v>
      </c>
      <c r="BW1" s="44" t="s">
        <v>2377</v>
      </c>
      <c r="BX1" s="44" t="s">
        <v>2378</v>
      </c>
      <c r="BY1" s="44" t="s">
        <v>2371</v>
      </c>
      <c r="BZ1" s="293" t="s">
        <v>1271</v>
      </c>
      <c r="CA1" s="42" t="s">
        <v>1272</v>
      </c>
      <c r="CB1" s="49" t="s">
        <v>1269</v>
      </c>
      <c r="CC1" s="56" t="s">
        <v>1274</v>
      </c>
      <c r="CD1" s="57" t="s">
        <v>1275</v>
      </c>
      <c r="CE1" s="19" t="s">
        <v>1277</v>
      </c>
      <c r="CF1" s="59" t="s">
        <v>2323</v>
      </c>
      <c r="CG1" s="59" t="s">
        <v>2324</v>
      </c>
      <c r="CH1" s="59" t="s">
        <v>2325</v>
      </c>
      <c r="CI1" s="42" t="s">
        <v>248</v>
      </c>
      <c r="CJ1" s="27" t="s">
        <v>1276</v>
      </c>
      <c r="CK1" s="21" t="s">
        <v>2380</v>
      </c>
      <c r="CL1" s="21" t="s">
        <v>2381</v>
      </c>
      <c r="CM1" s="64" t="s">
        <v>569</v>
      </c>
      <c r="CN1" s="19" t="s">
        <v>1278</v>
      </c>
      <c r="CO1" s="48" t="s">
        <v>1280</v>
      </c>
      <c r="CP1" s="29" t="s">
        <v>256</v>
      </c>
      <c r="CQ1" s="53" t="s">
        <v>600</v>
      </c>
      <c r="CR1" s="27" t="s">
        <v>1279</v>
      </c>
      <c r="CS1" s="48" t="s">
        <v>1281</v>
      </c>
      <c r="CT1" s="41" t="s">
        <v>192</v>
      </c>
      <c r="CU1" s="41" t="s">
        <v>953</v>
      </c>
      <c r="CV1" s="27" t="s">
        <v>1328</v>
      </c>
      <c r="CW1" s="71" t="s">
        <v>1282</v>
      </c>
    </row>
    <row r="2" spans="1:101" x14ac:dyDescent="0.6">
      <c r="A2" s="214" t="s">
        <v>1253</v>
      </c>
      <c r="B2" s="13" t="s">
        <v>1978</v>
      </c>
      <c r="C2" s="215" t="s">
        <v>35</v>
      </c>
      <c r="D2" s="216" t="s">
        <v>285</v>
      </c>
      <c r="E2" s="217" t="s">
        <v>504</v>
      </c>
      <c r="F2" s="217" t="s">
        <v>293</v>
      </c>
      <c r="G2" s="218">
        <v>43077</v>
      </c>
      <c r="H2" s="217" t="s">
        <v>830</v>
      </c>
      <c r="I2" s="217" t="s">
        <v>834</v>
      </c>
      <c r="J2" s="217" t="s">
        <v>1242</v>
      </c>
      <c r="K2" s="217" t="s">
        <v>91</v>
      </c>
      <c r="L2" s="205">
        <v>2857090834</v>
      </c>
      <c r="M2" s="205">
        <v>1925834121</v>
      </c>
      <c r="N2" s="205">
        <v>931256713</v>
      </c>
      <c r="O2" s="205">
        <v>7577772993</v>
      </c>
      <c r="P2" s="205">
        <v>249222456</v>
      </c>
      <c r="Q2" s="205">
        <v>250446471</v>
      </c>
      <c r="R2" s="206">
        <v>190700183</v>
      </c>
      <c r="S2" s="207">
        <v>17283906</v>
      </c>
      <c r="T2" s="207">
        <v>8891</v>
      </c>
      <c r="U2" s="174">
        <v>5185172</v>
      </c>
      <c r="V2" s="174">
        <f>1271876+547071+921322+709646+251893+242825+2329</f>
        <v>3946962</v>
      </c>
      <c r="W2" s="174">
        <f>179820+11162+4360+1050+174+3558+1000+100</f>
        <v>201224</v>
      </c>
      <c r="X2" s="174">
        <f>1799+1798</f>
        <v>3597</v>
      </c>
      <c r="Y2" s="175" t="s">
        <v>2396</v>
      </c>
      <c r="Z2" s="174">
        <v>0</v>
      </c>
      <c r="AA2" s="174">
        <v>0</v>
      </c>
      <c r="AB2" s="176">
        <f>SUM(U2,V2,Z2,W2,X2)</f>
        <v>9336955</v>
      </c>
      <c r="AC2" s="177">
        <f>(AB2/S2)*100</f>
        <v>54.02109338016534</v>
      </c>
      <c r="AD2" s="177">
        <f>100-(75*(AC2-0.1))/(87-0.1)</f>
        <v>53.462807784667433</v>
      </c>
      <c r="AE2" s="26">
        <f t="shared" ref="AE2:AE7" si="0">AD2*0.03</f>
        <v>1.603884233540023</v>
      </c>
      <c r="AF2" s="178">
        <f>(U2+V2)/(S2-T2-AA2)*100</f>
        <v>52.863247875616892</v>
      </c>
      <c r="AG2" s="178">
        <f>(U2+V2+Z2+W2+X2-AA2)/(S2-T2-AA2)*100</f>
        <v>54.048896629033315</v>
      </c>
      <c r="AH2" s="178">
        <f>AG2-AF2</f>
        <v>1.1856487534164231</v>
      </c>
      <c r="AI2" s="179">
        <f>IF(AH2&lt;10, 100, IF(AH2&lt;30, 80, IF(AH2&lt;50, 60, IF(AH2&lt;80, 40, IF(AH2&lt;=100, 20)))))</f>
        <v>100</v>
      </c>
      <c r="AJ2" s="30">
        <f t="shared" ref="AJ2:AJ7" si="1">AI2*0.04</f>
        <v>4</v>
      </c>
      <c r="AK2" s="180">
        <v>7</v>
      </c>
      <c r="AL2" s="180">
        <v>22</v>
      </c>
      <c r="AM2" s="180">
        <v>1</v>
      </c>
      <c r="AN2" s="181">
        <f t="shared" ref="AN2:AN65" si="2">SUM(AK2:AL2)</f>
        <v>29</v>
      </c>
      <c r="AO2" s="182">
        <f t="shared" ref="AO2:AO65" si="3">(AM2/AN2)*100</f>
        <v>3.4482758620689653</v>
      </c>
      <c r="AP2" s="183">
        <f>IF(AO2&lt;10, 100, IF(AO2&lt;20, 80, IF(AO2&lt;30, 60, IF(AO2&lt;50, 40, IF(AO2&gt;=50, 20)))))</f>
        <v>100</v>
      </c>
      <c r="AQ2" s="38">
        <f t="shared" ref="AQ2:AQ7" si="4">AP2*0.02</f>
        <v>2</v>
      </c>
      <c r="AR2" s="184">
        <v>5</v>
      </c>
      <c r="AS2" s="292">
        <f t="shared" ref="AS2:AS65" si="5">IF(L2&gt;=2000000000, 0.5, IF(L2&lt;2000000000, 0.25))</f>
        <v>0.5</v>
      </c>
      <c r="AT2" s="185">
        <f>AK2*AS2</f>
        <v>3.5</v>
      </c>
      <c r="AU2" s="185">
        <f>ROUNDDOWN(AT2,0)</f>
        <v>3</v>
      </c>
      <c r="AV2" s="186">
        <f t="shared" ref="AV2:AV65" si="6">(AR2-AU2)/AK2*100</f>
        <v>28.571428571428569</v>
      </c>
      <c r="AW2" s="179">
        <f>IF(AV2&lt;0, 20, IF(AV2=0, 40, IF(AV2&lt;20, 60, IF(AV2&lt;40, 80, IF(AV2&gt;=40, 100)))))</f>
        <v>80</v>
      </c>
      <c r="AX2" s="239">
        <f t="shared" ref="AX2:AX7" si="7">AW2*0.01</f>
        <v>0.8</v>
      </c>
      <c r="AY2" s="187">
        <v>11</v>
      </c>
      <c r="AZ2" s="184">
        <f>4*3+5*6+4*2</f>
        <v>50</v>
      </c>
      <c r="BA2" s="189">
        <f t="shared" ref="BA2:BA65" si="8">AR2*AY2</f>
        <v>55</v>
      </c>
      <c r="BB2" s="178">
        <f>(AZ2/BA2)*100</f>
        <v>90.909090909090907</v>
      </c>
      <c r="BC2" s="179">
        <f>IF(BB2&lt;70, 25, IF(BB2&lt;80, 50, IF(BB2&lt;90, 75, IF(BB2&gt;=90, 100))))</f>
        <v>100</v>
      </c>
      <c r="BD2" s="30">
        <f t="shared" ref="BD2:BD7" si="9">BC2*0.01</f>
        <v>1</v>
      </c>
      <c r="BE2" s="190">
        <v>158631000</v>
      </c>
      <c r="BF2" s="190">
        <v>11401000</v>
      </c>
      <c r="BG2" s="301">
        <v>0</v>
      </c>
      <c r="BH2" s="191">
        <f t="shared" ref="BH2:BH65" si="10">SUM(BE2:BF2)</f>
        <v>170032000</v>
      </c>
      <c r="BI2" s="178">
        <f t="shared" ref="BI2:BI65" si="11">(BG2/BH2)*100</f>
        <v>0</v>
      </c>
      <c r="BJ2" s="294" t="str">
        <f>IF(D2="금융업(보험)", "금융업", IF(D2="금융업(증권)", "금융업", IF(D2="금융업(종금)", "금융업", D2)))</f>
        <v>비제조/서비스업</v>
      </c>
      <c r="BK2" s="192">
        <f t="shared" ref="BK2:BK65" si="12">AVERAGEIF(BJ:BJ, BJ2, BI:BI)</f>
        <v>1.7464434573900924</v>
      </c>
      <c r="BL2" s="193">
        <f>BI2-BK2</f>
        <v>-1.7464434573900924</v>
      </c>
      <c r="BM2" s="241">
        <f>IF(BL2&lt;-2, 100, IF(BL2&lt;0, 80, IF(BL2&lt;2, 60, IF(BL2&lt;10, 40, 20))))</f>
        <v>80</v>
      </c>
      <c r="BN2" s="47">
        <f>BM2*0.02</f>
        <v>1.6</v>
      </c>
      <c r="BO2" s="51">
        <v>9843000</v>
      </c>
      <c r="BP2" s="194">
        <f>(BO2/O2)*100</f>
        <v>0.12989304389419573</v>
      </c>
      <c r="BQ2" s="179">
        <f>IF(BP2=0, 25, IF(BP2&lt;0.1, 40, IF(BP2&lt;0.5, 55, IF(BP2&lt;2, 70, IF(BP2&lt;4, 85, IF(BP2&gt;=4, 100))))))</f>
        <v>55</v>
      </c>
      <c r="BR2" s="30">
        <f t="shared" ref="BR2:BR7" si="13">BQ2*0.02</f>
        <v>1.1000000000000001</v>
      </c>
      <c r="BS2" s="195">
        <v>211263080.30199999</v>
      </c>
      <c r="BT2" s="195">
        <v>549918.28799999994</v>
      </c>
      <c r="BU2" s="196">
        <f>BS2-BT2</f>
        <v>210713162.014</v>
      </c>
      <c r="BV2" s="178">
        <f t="shared" ref="BV2:BV65" si="14">BU2/O2*100</f>
        <v>2.7806739817707284</v>
      </c>
      <c r="BW2" s="192">
        <f t="shared" ref="BW2:BW65" si="15">AVERAGEIF(BJ:BJ, BJ2, BV:BV)</f>
        <v>2.8482825397737606</v>
      </c>
      <c r="BX2" s="192">
        <f>(BV2-BW2)^2</f>
        <v>4.5709171152493577E-3</v>
      </c>
      <c r="BY2" s="192">
        <f t="shared" ref="BY2:BY65" si="16">SQRT(SUMIF(BJ:BJ, BJ2, BX:BX)/COUNTIF(BJ:BJ, BJ2))</f>
        <v>5.5697595856656799</v>
      </c>
      <c r="BZ2" s="192">
        <f>(1-_xlfn.NORM.DIST(BV2, BW2, BY2, TRUE))*100</f>
        <v>50.48424441933286</v>
      </c>
      <c r="CA2" s="192">
        <f t="shared" ref="CA2:CA65" si="17">IF(BZ2&lt;=5, 100, IF(BZ2&lt;=15, 85, IF(BZ2&lt;=35, 70, IF(BZ2&lt;=60, 55, IF(BZ2&lt;=90, 40, 25)))))</f>
        <v>55</v>
      </c>
      <c r="CB2" s="55">
        <f>CA2*0.02</f>
        <v>1.1000000000000001</v>
      </c>
      <c r="CC2" s="197">
        <f t="shared" ref="CC2:CC7" si="18">(M2/N2)*100</f>
        <v>206.79948870339041</v>
      </c>
      <c r="CD2" s="198">
        <f t="shared" ref="CD2:CD7" si="19">IF((100-(75*(CC2-1)/(200-1)))&gt;100, 100, IF((100-(75*(CC2-1)/(200-1)))&lt;25, 25, (100-(75*(CC2-1)/(200-1)))))</f>
        <v>25</v>
      </c>
      <c r="CE2" s="58">
        <f t="shared" ref="CE2:CE7" si="20">CD2*0.015</f>
        <v>0.375</v>
      </c>
      <c r="CF2" s="245" t="s">
        <v>2326</v>
      </c>
      <c r="CG2" s="245" t="s">
        <v>2326</v>
      </c>
      <c r="CH2" s="245" t="s">
        <v>2326</v>
      </c>
      <c r="CI2" s="245" t="s">
        <v>2326</v>
      </c>
      <c r="CJ2" s="235"/>
      <c r="CK2" s="237" t="s">
        <v>2476</v>
      </c>
      <c r="CL2" s="237" t="s">
        <v>2477</v>
      </c>
      <c r="CM2" s="199">
        <f>IF(CL2="A", 100, IF(CL2="B", 85, IF(CL2="C", 70, IF(CL2="D", 55, IF(CL2="E", 40, 25)))))</f>
        <v>85</v>
      </c>
      <c r="CN2" s="58">
        <f t="shared" ref="CN2:CN7" si="21">CM2*0.015</f>
        <v>1.2749999999999999</v>
      </c>
      <c r="CO2" s="200">
        <f>39104000+33584000+3302000</f>
        <v>75990000</v>
      </c>
      <c r="CP2" s="186">
        <f>(CO2/N2)*100</f>
        <v>8.1599411783246918</v>
      </c>
      <c r="CQ2" s="179">
        <f>IF(CP2&lt;3, 100, IF(CP2&lt;10, 80, IF(CP2&lt;35, 60, IF(CP2&lt;100, 40, IF(CP2&gt;=100, 20)))))</f>
        <v>80</v>
      </c>
      <c r="CR2" s="30">
        <f t="shared" ref="CR2:CR7" si="22">CQ2*0.03</f>
        <v>2.4</v>
      </c>
      <c r="CS2" s="200">
        <f>_xlfn.XLOOKUP(C2, '1-1. 관계사체무보증금액 (환율 등)'!$3:$3, '1-1. 관계사체무보증금액 (환율 등)'!$33:$33)</f>
        <v>11092000</v>
      </c>
      <c r="CT2" s="178">
        <f t="shared" ref="CT2:CT65" si="23">(CS2/N2)*100</f>
        <v>1.1910786623236937</v>
      </c>
      <c r="CU2" s="179">
        <f>IF(CT2&lt;3, 100, IF(CT2&lt;10, 80, IF(CT2&lt;35, 60, IF(CT2&lt;100, 40, 20))))</f>
        <v>100</v>
      </c>
      <c r="CV2" s="30">
        <f t="shared" ref="CV2:CV7" si="24">CU2*0.02</f>
        <v>2</v>
      </c>
      <c r="CW2" s="72">
        <f>AE2+AJ2+AQ2+AX2+BD2+BN2+BR2+CB2+CE2+CJ2+CN2+CR2+CV2</f>
        <v>19.25388423354002</v>
      </c>
    </row>
    <row r="3" spans="1:101" s="201" customFormat="1" x14ac:dyDescent="0.6">
      <c r="A3" s="214" t="s">
        <v>1428</v>
      </c>
      <c r="B3" s="13" t="s">
        <v>1979</v>
      </c>
      <c r="C3" s="215" t="s">
        <v>555</v>
      </c>
      <c r="D3" s="216" t="s">
        <v>191</v>
      </c>
      <c r="E3" s="217" t="s">
        <v>190</v>
      </c>
      <c r="F3" s="217" t="s">
        <v>396</v>
      </c>
      <c r="G3" s="218">
        <v>27547</v>
      </c>
      <c r="H3" s="217" t="s">
        <v>830</v>
      </c>
      <c r="I3" s="217" t="s">
        <v>544</v>
      </c>
      <c r="J3" s="217" t="s">
        <v>1037</v>
      </c>
      <c r="K3" s="217" t="s">
        <v>91</v>
      </c>
      <c r="L3" s="205">
        <v>657344581</v>
      </c>
      <c r="M3" s="205">
        <v>145796846</v>
      </c>
      <c r="N3" s="205">
        <v>511547734</v>
      </c>
      <c r="O3" s="205">
        <v>168169259</v>
      </c>
      <c r="P3" s="205">
        <v>24457946</v>
      </c>
      <c r="Q3" s="205">
        <v>48325988</v>
      </c>
      <c r="R3" s="206">
        <v>35650140</v>
      </c>
      <c r="S3" s="299">
        <v>624615</v>
      </c>
      <c r="T3" s="299">
        <v>8</v>
      </c>
      <c r="U3" s="202">
        <v>115140</v>
      </c>
      <c r="V3" s="202">
        <f>46328+28126+21560+23065+20</f>
        <v>119099</v>
      </c>
      <c r="W3" s="202">
        <f>25621+560+20+32+195+25</f>
        <v>26453</v>
      </c>
      <c r="X3" s="202">
        <v>31230</v>
      </c>
      <c r="Y3" s="203" t="s">
        <v>2397</v>
      </c>
      <c r="Z3" s="202">
        <f>65873+1906+18739+16002+34+128</f>
        <v>102682</v>
      </c>
      <c r="AA3" s="202">
        <v>0</v>
      </c>
      <c r="AB3" s="176">
        <f>SUM(U3,V3,Z3,W3,X3)</f>
        <v>394604</v>
      </c>
      <c r="AC3" s="177">
        <f t="shared" ref="AC3:AC66" si="25">(AB3/S3)*100</f>
        <v>63.175556142583829</v>
      </c>
      <c r="AD3" s="177">
        <f>100-(75*(AC3-0.1))/(87-0.1)</f>
        <v>45.561948093282084</v>
      </c>
      <c r="AE3" s="26">
        <f t="shared" si="0"/>
        <v>1.3668584427984625</v>
      </c>
      <c r="AF3" s="178">
        <f t="shared" ref="AF3:AF66" si="26">(U3+V3)/(S3-T3-AA3)*100</f>
        <v>37.501821145136063</v>
      </c>
      <c r="AG3" s="178">
        <f t="shared" ref="AG3:AG66" si="27">(U3+V3+Z3+W3+X3-AA3)/(S3-T3-AA3)*100</f>
        <v>63.17636529849969</v>
      </c>
      <c r="AH3" s="178">
        <f>AG3-AF3</f>
        <v>25.674544153363627</v>
      </c>
      <c r="AI3" s="179">
        <f>IF(AH3&lt;10, 100, IF(AH3&lt;30, 80, IF(AH3&lt;50, 60, IF(AH3&lt;80, 40, IF(AH3&lt;=100, 20)))))</f>
        <v>80</v>
      </c>
      <c r="AJ3" s="30">
        <f t="shared" si="1"/>
        <v>3.2</v>
      </c>
      <c r="AK3" s="204">
        <v>6</v>
      </c>
      <c r="AL3" s="204">
        <v>6</v>
      </c>
      <c r="AM3" s="180">
        <v>5</v>
      </c>
      <c r="AN3" s="181">
        <f t="shared" si="2"/>
        <v>12</v>
      </c>
      <c r="AO3" s="182">
        <f t="shared" si="3"/>
        <v>41.666666666666671</v>
      </c>
      <c r="AP3" s="183">
        <f t="shared" ref="AP3:AP66" si="28">IF(AO3&lt;10, 100, IF(AO3&lt;20, 80, IF(AO3&lt;30, 60, IF(AO3&lt;50, 40, IF(AO3&gt;=50, 20)))))</f>
        <v>40</v>
      </c>
      <c r="AQ3" s="38">
        <f t="shared" si="4"/>
        <v>0.8</v>
      </c>
      <c r="AR3" s="54">
        <v>3</v>
      </c>
      <c r="AS3" s="292">
        <f t="shared" si="5"/>
        <v>0.25</v>
      </c>
      <c r="AT3" s="185">
        <f t="shared" ref="AT3:AT65" si="29">AK3*AS3</f>
        <v>1.5</v>
      </c>
      <c r="AU3" s="185">
        <f t="shared" ref="AU3:AU66" si="30">ROUNDDOWN(AT3,0)</f>
        <v>1</v>
      </c>
      <c r="AV3" s="186">
        <f t="shared" si="6"/>
        <v>33.333333333333329</v>
      </c>
      <c r="AW3" s="179">
        <f t="shared" ref="AW3:AW66" si="31">IF(AV3&lt;0, 20, IF(AV3=0, 40, IF(AV3&lt;20, 60, IF(AV3&lt;40, 80, IF(AV3&gt;=40, 100)))))</f>
        <v>80</v>
      </c>
      <c r="AX3" s="239">
        <f t="shared" si="7"/>
        <v>0.8</v>
      </c>
      <c r="AY3" s="54">
        <v>8</v>
      </c>
      <c r="AZ3" s="54">
        <f>3*5+2*3</f>
        <v>21</v>
      </c>
      <c r="BA3" s="189">
        <f t="shared" si="8"/>
        <v>24</v>
      </c>
      <c r="BB3" s="178">
        <f t="shared" ref="BB3:BB66" si="32">(AZ3/BA3)*100</f>
        <v>87.5</v>
      </c>
      <c r="BC3" s="179">
        <f t="shared" ref="BC3:BC66" si="33">IF(BB3&lt;70, 25, IF(BB3&lt;80, 50, IF(BB3&lt;90, 75, IF(BB3&gt;=90, 100))))</f>
        <v>75</v>
      </c>
      <c r="BD3" s="30">
        <f t="shared" si="9"/>
        <v>0.75</v>
      </c>
      <c r="BE3" s="190">
        <v>19793252.743999999</v>
      </c>
      <c r="BF3" s="190">
        <v>1476274.3330000001</v>
      </c>
      <c r="BG3" s="54">
        <v>72540.59</v>
      </c>
      <c r="BH3" s="191">
        <f t="shared" si="10"/>
        <v>21269527.077</v>
      </c>
      <c r="BI3" s="178">
        <f t="shared" si="11"/>
        <v>0.3410540805039452</v>
      </c>
      <c r="BJ3" s="294" t="str">
        <f t="shared" ref="BJ3:BJ66" si="34">IF(D3="금융업(보험)", "금융업", IF(D3="금융업(증권)", "금융업", IF(D3="금융업(종금)", "금융업", D3)))</f>
        <v>식약/섬유/종이업</v>
      </c>
      <c r="BK3" s="192">
        <f t="shared" si="12"/>
        <v>2.1999360555264444</v>
      </c>
      <c r="BL3" s="193">
        <f t="shared" ref="BL3:BL66" si="35">BI3-BK3</f>
        <v>-1.8588819750224992</v>
      </c>
      <c r="BM3" s="241">
        <f t="shared" ref="BM3:BM66" si="36">IF(BL3&lt;-2, 100, IF(BL3&lt;0, 80, IF(BL3&lt;2, 60, IF(BL3&lt;10, 40, 20))))</f>
        <v>80</v>
      </c>
      <c r="BN3" s="47">
        <f t="shared" ref="BN3:BN66" si="37">BM3*0.02</f>
        <v>1.6</v>
      </c>
      <c r="BO3" s="52">
        <v>1294493</v>
      </c>
      <c r="BP3" s="194">
        <f t="shared" ref="BP3:BP65" si="38">(BO3/O3)*100</f>
        <v>0.76975602300774837</v>
      </c>
      <c r="BQ3" s="179">
        <f t="shared" ref="BQ3:BQ66" si="39">IF(BP3=0, 25, IF(BP3&lt;0.1, 40, IF(BP3&lt;0.5, 55, IF(BP3&lt;2, 70, IF(BP3&lt;4, 85, IF(BP3&gt;=4, 100))))))</f>
        <v>70</v>
      </c>
      <c r="BR3" s="30">
        <f t="shared" si="13"/>
        <v>1.4000000000000001</v>
      </c>
      <c r="BS3" s="195">
        <v>9625686.4230000004</v>
      </c>
      <c r="BT3" s="195">
        <v>852363.58700000006</v>
      </c>
      <c r="BU3" s="196">
        <f t="shared" ref="BU3:BU66" si="40">BS3-BT3</f>
        <v>8773322.8360000011</v>
      </c>
      <c r="BV3" s="178">
        <f t="shared" si="14"/>
        <v>5.2169599177457284</v>
      </c>
      <c r="BW3" s="192">
        <f t="shared" si="15"/>
        <v>5.0508176117342281</v>
      </c>
      <c r="BX3" s="192">
        <f t="shared" ref="BX3:BX66" si="41">(BV3-BW3)^2</f>
        <v>2.7603265846819033E-2</v>
      </c>
      <c r="BY3" s="192">
        <f t="shared" si="16"/>
        <v>6.9871618081220941</v>
      </c>
      <c r="BZ3" s="192">
        <f t="shared" ref="BZ3:BZ66" si="42">(1-_xlfn.NORM.DIST(BV3, BW3, BY3, TRUE))*100</f>
        <v>49.051475451127082</v>
      </c>
      <c r="CA3" s="192">
        <f t="shared" si="17"/>
        <v>55</v>
      </c>
      <c r="CB3" s="55">
        <f t="shared" ref="CB3:CB66" si="43">CA3*0.02</f>
        <v>1.1000000000000001</v>
      </c>
      <c r="CC3" s="197">
        <f t="shared" si="18"/>
        <v>28.501122438751725</v>
      </c>
      <c r="CD3" s="198">
        <f t="shared" si="19"/>
        <v>89.635255362279509</v>
      </c>
      <c r="CE3" s="58">
        <f t="shared" si="20"/>
        <v>1.3445288304341925</v>
      </c>
      <c r="CF3" s="245" t="s">
        <v>2326</v>
      </c>
      <c r="CG3" s="245" t="s">
        <v>2326</v>
      </c>
      <c r="CH3" s="245" t="s">
        <v>2326</v>
      </c>
      <c r="CI3" s="245" t="s">
        <v>2326</v>
      </c>
      <c r="CJ3" s="235"/>
      <c r="CK3" s="173" t="s">
        <v>2479</v>
      </c>
      <c r="CL3" s="173" t="s">
        <v>2478</v>
      </c>
      <c r="CM3" s="199">
        <f t="shared" ref="CM3:CM66" si="44">IF(CL3="A", 100, IF(CL3="B", 85, IF(CL3="C", 70, IF(CL3="D", 55, IF(CL3="E", 40, 25)))))</f>
        <v>25</v>
      </c>
      <c r="CN3" s="58">
        <f t="shared" si="21"/>
        <v>0.375</v>
      </c>
      <c r="CO3" s="54">
        <v>50000</v>
      </c>
      <c r="CP3" s="186">
        <f t="shared" ref="CP3:CP65" si="45">(CO3/N3)*100</f>
        <v>9.7742589159822181E-3</v>
      </c>
      <c r="CQ3" s="179">
        <f t="shared" ref="CQ3:CQ66" si="46">IF(CP3&lt;3, 100, IF(CP3&lt;10, 80, IF(CP3&lt;35, 60, IF(CP3&lt;100, 40, IF(CP3&gt;=100, 20)))))</f>
        <v>100</v>
      </c>
      <c r="CR3" s="30">
        <f t="shared" si="22"/>
        <v>3</v>
      </c>
      <c r="CS3" s="200">
        <f>_xlfn.XLOOKUP(C3, '1-1. 관계사체무보증금액 (환율 등)'!$3:$3, '1-1. 관계사체무보증금액 (환율 등)'!$33:$33)</f>
        <v>15189873.417721517</v>
      </c>
      <c r="CT3" s="178">
        <f t="shared" si="23"/>
        <v>2.9693951137161165</v>
      </c>
      <c r="CU3" s="179">
        <f t="shared" ref="CU3:CU66" si="47">IF(CT3&lt;3, 100, IF(CT3&lt;10, 80, IF(CT3&lt;35, 60, IF(CT3&lt;100, 40, 20))))</f>
        <v>100</v>
      </c>
      <c r="CV3" s="30">
        <f t="shared" si="24"/>
        <v>2</v>
      </c>
      <c r="CW3" s="72">
        <f t="shared" ref="CW3:CW66" si="48">AE3+AJ3+AQ3+AX3+BD3+BN3+BR3+CB3+CE3+CJ3+CN3+CR3+CV3</f>
        <v>17.736387273232655</v>
      </c>
    </row>
    <row r="4" spans="1:101" x14ac:dyDescent="0.6">
      <c r="A4" s="214" t="s">
        <v>1430</v>
      </c>
      <c r="B4" s="13" t="s">
        <v>1980</v>
      </c>
      <c r="C4" s="219" t="s">
        <v>1431</v>
      </c>
      <c r="D4" s="14" t="s">
        <v>285</v>
      </c>
      <c r="E4" s="217" t="s">
        <v>1432</v>
      </c>
      <c r="F4" s="217" t="s">
        <v>1433</v>
      </c>
      <c r="G4" s="218">
        <v>20638</v>
      </c>
      <c r="H4" s="217" t="s">
        <v>830</v>
      </c>
      <c r="I4" s="217" t="s">
        <v>1434</v>
      </c>
      <c r="J4" s="217" t="s">
        <v>1435</v>
      </c>
      <c r="K4" s="217" t="s">
        <v>91</v>
      </c>
      <c r="L4" s="220">
        <v>7825113458</v>
      </c>
      <c r="M4" s="206">
        <v>4398363795</v>
      </c>
      <c r="N4" s="206">
        <v>3426749663</v>
      </c>
      <c r="O4" s="206">
        <v>8214653866</v>
      </c>
      <c r="P4" s="206">
        <v>262723385</v>
      </c>
      <c r="Q4" s="206">
        <v>247777952</v>
      </c>
      <c r="R4" s="206">
        <v>200576209</v>
      </c>
      <c r="S4" s="207">
        <v>22812344</v>
      </c>
      <c r="T4" s="207">
        <v>2867456</v>
      </c>
      <c r="U4" s="207">
        <v>9162522</v>
      </c>
      <c r="V4" s="207">
        <v>0</v>
      </c>
      <c r="W4" s="207">
        <f>800+2000</f>
        <v>2800</v>
      </c>
      <c r="X4" s="207">
        <v>0</v>
      </c>
      <c r="Z4" s="207">
        <v>0</v>
      </c>
      <c r="AA4" s="207">
        <v>0</v>
      </c>
      <c r="AB4" s="176">
        <f t="shared" ref="AB4:AB67" si="49">SUM(U4,V4,Z4,W4,X4)</f>
        <v>9165322</v>
      </c>
      <c r="AC4" s="177">
        <f t="shared" si="25"/>
        <v>40.177028717434737</v>
      </c>
      <c r="AD4" s="177">
        <f t="shared" ref="AD4:AD67" si="50">100-(75*(AC4-0.1))/(87-0.1)</f>
        <v>65.411079933169106</v>
      </c>
      <c r="AE4" s="26">
        <f t="shared" si="0"/>
        <v>1.9623323979950731</v>
      </c>
      <c r="AF4" s="178">
        <f t="shared" si="26"/>
        <v>45.939200059684467</v>
      </c>
      <c r="AG4" s="178">
        <f t="shared" si="27"/>
        <v>45.953238744684853</v>
      </c>
      <c r="AH4" s="178">
        <f t="shared" ref="AH4:AH67" si="51">AG4-AF4</f>
        <v>1.4038685000386408E-2</v>
      </c>
      <c r="AI4" s="179">
        <f t="shared" ref="AI4:AI67" si="52">IF(AH4&lt;10, 100, IF(AH4&lt;30, 80, IF(AH4&lt;50, 60, IF(AH4&lt;80, 40, IF(AH4&lt;=100, 20)))))</f>
        <v>100</v>
      </c>
      <c r="AJ4" s="30">
        <f t="shared" si="1"/>
        <v>4</v>
      </c>
      <c r="AK4" s="204">
        <v>7</v>
      </c>
      <c r="AL4" s="204">
        <v>66</v>
      </c>
      <c r="AM4" s="204">
        <v>0</v>
      </c>
      <c r="AN4" s="181">
        <f t="shared" si="2"/>
        <v>73</v>
      </c>
      <c r="AO4" s="182">
        <f t="shared" si="3"/>
        <v>0</v>
      </c>
      <c r="AP4" s="183">
        <f t="shared" si="28"/>
        <v>100</v>
      </c>
      <c r="AQ4" s="38">
        <f t="shared" si="4"/>
        <v>2</v>
      </c>
      <c r="AR4" s="212">
        <v>4</v>
      </c>
      <c r="AS4" s="292">
        <f t="shared" si="5"/>
        <v>0.5</v>
      </c>
      <c r="AT4" s="185">
        <f t="shared" si="29"/>
        <v>3.5</v>
      </c>
      <c r="AU4" s="185">
        <f t="shared" si="30"/>
        <v>3</v>
      </c>
      <c r="AV4" s="186">
        <f t="shared" si="6"/>
        <v>14.285714285714285</v>
      </c>
      <c r="AW4" s="179">
        <f t="shared" si="31"/>
        <v>60</v>
      </c>
      <c r="AX4" s="239">
        <f t="shared" si="7"/>
        <v>0.6</v>
      </c>
      <c r="AY4" s="54">
        <v>8</v>
      </c>
      <c r="AZ4" s="54">
        <v>32</v>
      </c>
      <c r="BA4" s="189">
        <f t="shared" si="8"/>
        <v>32</v>
      </c>
      <c r="BB4" s="178">
        <f t="shared" si="32"/>
        <v>100</v>
      </c>
      <c r="BC4" s="179">
        <f t="shared" si="33"/>
        <v>100</v>
      </c>
      <c r="BD4" s="30">
        <f t="shared" si="9"/>
        <v>1</v>
      </c>
      <c r="BE4" s="190">
        <v>186921979</v>
      </c>
      <c r="BF4" s="190">
        <v>15773356</v>
      </c>
      <c r="BG4" s="54">
        <v>4026318</v>
      </c>
      <c r="BH4" s="191">
        <f t="shared" si="10"/>
        <v>202695335</v>
      </c>
      <c r="BI4" s="178">
        <f t="shared" si="11"/>
        <v>1.9863890799460184</v>
      </c>
      <c r="BJ4" s="294" t="str">
        <f t="shared" si="34"/>
        <v>비제조/서비스업</v>
      </c>
      <c r="BK4" s="192">
        <f t="shared" si="12"/>
        <v>1.7464434573900924</v>
      </c>
      <c r="BL4" s="193">
        <f t="shared" si="35"/>
        <v>0.239945622555926</v>
      </c>
      <c r="BM4" s="241">
        <f t="shared" si="36"/>
        <v>60</v>
      </c>
      <c r="BN4" s="47">
        <f t="shared" si="37"/>
        <v>1.2</v>
      </c>
      <c r="BO4" s="54">
        <v>0</v>
      </c>
      <c r="BP4" s="194">
        <f t="shared" si="38"/>
        <v>0</v>
      </c>
      <c r="BQ4" s="179">
        <f t="shared" si="39"/>
        <v>25</v>
      </c>
      <c r="BR4" s="30">
        <f t="shared" si="13"/>
        <v>0.5</v>
      </c>
      <c r="BS4" s="195">
        <v>207406124.604</v>
      </c>
      <c r="BT4" s="195">
        <v>13646107.358999999</v>
      </c>
      <c r="BU4" s="196">
        <f t="shared" si="40"/>
        <v>193760017.245</v>
      </c>
      <c r="BV4" s="178">
        <f t="shared" si="14"/>
        <v>2.3587118873865403</v>
      </c>
      <c r="BW4" s="192">
        <f t="shared" si="15"/>
        <v>2.8482825397737606</v>
      </c>
      <c r="BX4" s="192">
        <f t="shared" si="41"/>
        <v>0.23967942367884851</v>
      </c>
      <c r="BY4" s="192">
        <f t="shared" si="16"/>
        <v>5.5697595856656799</v>
      </c>
      <c r="BZ4" s="192">
        <f t="shared" si="42"/>
        <v>53.502112148962667</v>
      </c>
      <c r="CA4" s="192">
        <f t="shared" si="17"/>
        <v>55</v>
      </c>
      <c r="CB4" s="55">
        <f t="shared" si="43"/>
        <v>1.1000000000000001</v>
      </c>
      <c r="CC4" s="197">
        <f t="shared" si="18"/>
        <v>128.35381126584502</v>
      </c>
      <c r="CD4" s="198">
        <f t="shared" si="19"/>
        <v>52.002332437495596</v>
      </c>
      <c r="CE4" s="58">
        <f t="shared" si="20"/>
        <v>0.78003498656243386</v>
      </c>
      <c r="CF4" s="245" t="s">
        <v>2326</v>
      </c>
      <c r="CG4" s="245" t="s">
        <v>2326</v>
      </c>
      <c r="CH4" s="245" t="s">
        <v>2326</v>
      </c>
      <c r="CI4" s="245" t="s">
        <v>2326</v>
      </c>
      <c r="CJ4" s="235"/>
      <c r="CK4" s="173" t="s">
        <v>2480</v>
      </c>
      <c r="CL4" s="173" t="s">
        <v>2477</v>
      </c>
      <c r="CM4" s="199">
        <f t="shared" si="44"/>
        <v>85</v>
      </c>
      <c r="CN4" s="58">
        <f t="shared" si="21"/>
        <v>1.2749999999999999</v>
      </c>
      <c r="CO4" s="54">
        <f>220400+326898+11698303+5000000+248288906+9299119+76869504+138402431+1443622+35330+10037884+111951016+57778363+65159018</f>
        <v>736510794</v>
      </c>
      <c r="CP4" s="186">
        <f t="shared" si="45"/>
        <v>21.492985085908213</v>
      </c>
      <c r="CQ4" s="179">
        <f t="shared" si="46"/>
        <v>60</v>
      </c>
      <c r="CR4" s="30">
        <f t="shared" si="22"/>
        <v>1.7999999999999998</v>
      </c>
      <c r="CS4" s="200">
        <f>_xlfn.XLOOKUP(C4, '1-1. 관계사체무보증금액 (환율 등)'!$3:$3, '1-1. 관계사체무보증금액 (환율 등)'!$33:$33)</f>
        <v>75200000</v>
      </c>
      <c r="CT4" s="178">
        <f t="shared" si="23"/>
        <v>2.1944993768282748</v>
      </c>
      <c r="CU4" s="179">
        <f t="shared" si="47"/>
        <v>100</v>
      </c>
      <c r="CV4" s="30">
        <f t="shared" si="24"/>
        <v>2</v>
      </c>
      <c r="CW4" s="72">
        <f t="shared" si="48"/>
        <v>18.217367384557505</v>
      </c>
    </row>
    <row r="5" spans="1:101" x14ac:dyDescent="0.6">
      <c r="A5" s="214" t="s">
        <v>104</v>
      </c>
      <c r="B5" s="13" t="s">
        <v>1981</v>
      </c>
      <c r="C5" s="219" t="s">
        <v>449</v>
      </c>
      <c r="D5" s="216" t="s">
        <v>191</v>
      </c>
      <c r="E5" s="217" t="s">
        <v>178</v>
      </c>
      <c r="F5" s="217" t="s">
        <v>1248</v>
      </c>
      <c r="G5" s="218">
        <v>32473</v>
      </c>
      <c r="H5" s="217" t="s">
        <v>830</v>
      </c>
      <c r="I5" s="217" t="s">
        <v>1436</v>
      </c>
      <c r="J5" s="217" t="s">
        <v>1236</v>
      </c>
      <c r="K5" s="217" t="s">
        <v>690</v>
      </c>
      <c r="L5" s="220">
        <v>143409087</v>
      </c>
      <c r="M5" s="206">
        <v>67719807</v>
      </c>
      <c r="N5" s="206">
        <v>75689279</v>
      </c>
      <c r="O5" s="206">
        <v>152701472</v>
      </c>
      <c r="P5" s="206">
        <v>4135028</v>
      </c>
      <c r="Q5" s="206">
        <v>6675009</v>
      </c>
      <c r="R5" s="206">
        <v>7419861</v>
      </c>
      <c r="S5" s="207">
        <f>35931*1000</f>
        <v>35931000</v>
      </c>
      <c r="T5" s="207">
        <v>0</v>
      </c>
      <c r="U5" s="207">
        <f>16714*1000</f>
        <v>16714000</v>
      </c>
      <c r="V5" s="207">
        <v>0</v>
      </c>
      <c r="W5" s="207">
        <v>0</v>
      </c>
      <c r="X5" s="207">
        <v>0</v>
      </c>
      <c r="Z5" s="207">
        <v>0</v>
      </c>
      <c r="AA5" s="207">
        <v>0</v>
      </c>
      <c r="AB5" s="176">
        <f t="shared" si="49"/>
        <v>16714000</v>
      </c>
      <c r="AC5" s="177">
        <f t="shared" si="25"/>
        <v>46.516935236981993</v>
      </c>
      <c r="AD5" s="177">
        <f t="shared" si="50"/>
        <v>59.939353938162846</v>
      </c>
      <c r="AE5" s="26">
        <f t="shared" si="0"/>
        <v>1.7981806181448854</v>
      </c>
      <c r="AF5" s="178">
        <f t="shared" si="26"/>
        <v>46.516935236981993</v>
      </c>
      <c r="AG5" s="178">
        <f t="shared" si="27"/>
        <v>46.516935236981993</v>
      </c>
      <c r="AH5" s="178">
        <f t="shared" si="51"/>
        <v>0</v>
      </c>
      <c r="AI5" s="179">
        <f t="shared" si="52"/>
        <v>100</v>
      </c>
      <c r="AJ5" s="30">
        <f t="shared" si="1"/>
        <v>4</v>
      </c>
      <c r="AK5" s="204">
        <v>4</v>
      </c>
      <c r="AL5" s="204">
        <v>1</v>
      </c>
      <c r="AM5" s="204">
        <v>0</v>
      </c>
      <c r="AN5" s="181">
        <f t="shared" si="2"/>
        <v>5</v>
      </c>
      <c r="AO5" s="182">
        <f t="shared" si="3"/>
        <v>0</v>
      </c>
      <c r="AP5" s="183">
        <f t="shared" si="28"/>
        <v>100</v>
      </c>
      <c r="AQ5" s="38">
        <f t="shared" si="4"/>
        <v>2</v>
      </c>
      <c r="AR5" s="212">
        <v>1</v>
      </c>
      <c r="AS5" s="292">
        <f t="shared" si="5"/>
        <v>0.25</v>
      </c>
      <c r="AT5" s="185">
        <f t="shared" si="29"/>
        <v>1</v>
      </c>
      <c r="AU5" s="185">
        <f t="shared" si="30"/>
        <v>1</v>
      </c>
      <c r="AV5" s="186">
        <f t="shared" si="6"/>
        <v>0</v>
      </c>
      <c r="AW5" s="179">
        <f t="shared" si="31"/>
        <v>40</v>
      </c>
      <c r="AX5" s="239">
        <f t="shared" si="7"/>
        <v>0.4</v>
      </c>
      <c r="AY5" s="54">
        <v>13</v>
      </c>
      <c r="AZ5" s="54">
        <v>13</v>
      </c>
      <c r="BA5" s="189">
        <f t="shared" si="8"/>
        <v>13</v>
      </c>
      <c r="BB5" s="178">
        <f t="shared" si="32"/>
        <v>100</v>
      </c>
      <c r="BC5" s="179">
        <f t="shared" si="33"/>
        <v>100</v>
      </c>
      <c r="BD5" s="30">
        <f t="shared" si="9"/>
        <v>1</v>
      </c>
      <c r="BE5" s="190">
        <v>4489654</v>
      </c>
      <c r="BF5" s="190">
        <v>404120</v>
      </c>
      <c r="BG5" s="301">
        <v>0</v>
      </c>
      <c r="BH5" s="191">
        <f t="shared" si="10"/>
        <v>4893774</v>
      </c>
      <c r="BI5" s="178">
        <f t="shared" si="11"/>
        <v>0</v>
      </c>
      <c r="BJ5" s="294" t="str">
        <f t="shared" si="34"/>
        <v>식약/섬유/종이업</v>
      </c>
      <c r="BK5" s="192">
        <f t="shared" si="12"/>
        <v>2.1999360555264444</v>
      </c>
      <c r="BL5" s="193">
        <f t="shared" si="35"/>
        <v>-2.1999360555264444</v>
      </c>
      <c r="BM5" s="241">
        <f t="shared" si="36"/>
        <v>100</v>
      </c>
      <c r="BN5" s="47">
        <f t="shared" si="37"/>
        <v>2</v>
      </c>
      <c r="BO5" s="54">
        <v>141974</v>
      </c>
      <c r="BP5" s="194">
        <f t="shared" si="38"/>
        <v>9.297487322191629E-2</v>
      </c>
      <c r="BQ5" s="179">
        <f t="shared" si="39"/>
        <v>40</v>
      </c>
      <c r="BR5" s="30">
        <f t="shared" si="13"/>
        <v>0.8</v>
      </c>
      <c r="BS5" s="195">
        <v>2249706.98</v>
      </c>
      <c r="BT5" s="195">
        <v>262842</v>
      </c>
      <c r="BU5" s="196">
        <f t="shared" si="40"/>
        <v>1986864.98</v>
      </c>
      <c r="BV5" s="178">
        <f t="shared" si="14"/>
        <v>1.3011433052852299</v>
      </c>
      <c r="BW5" s="192">
        <f t="shared" si="15"/>
        <v>5.0508176117342281</v>
      </c>
      <c r="BX5" s="192">
        <f t="shared" si="41"/>
        <v>14.060057404443777</v>
      </c>
      <c r="BY5" s="192">
        <f t="shared" si="16"/>
        <v>6.9871618081220941</v>
      </c>
      <c r="BZ5" s="192">
        <f t="shared" si="42"/>
        <v>70.424598848782608</v>
      </c>
      <c r="CA5" s="192">
        <f t="shared" si="17"/>
        <v>40</v>
      </c>
      <c r="CB5" s="55">
        <f t="shared" si="43"/>
        <v>0.8</v>
      </c>
      <c r="CC5" s="197">
        <f t="shared" si="18"/>
        <v>89.470804709343312</v>
      </c>
      <c r="CD5" s="198">
        <f t="shared" si="19"/>
        <v>66.656731893463586</v>
      </c>
      <c r="CE5" s="58">
        <f t="shared" si="20"/>
        <v>0.9998509784019538</v>
      </c>
      <c r="CF5" s="245" t="s">
        <v>2326</v>
      </c>
      <c r="CG5" s="245" t="s">
        <v>2326</v>
      </c>
      <c r="CH5" s="245" t="s">
        <v>2326</v>
      </c>
      <c r="CI5" s="245" t="s">
        <v>2326</v>
      </c>
      <c r="CJ5" s="235"/>
      <c r="CK5" s="173" t="s">
        <v>2481</v>
      </c>
      <c r="CL5" s="173" t="s">
        <v>2482</v>
      </c>
      <c r="CM5" s="199">
        <f t="shared" si="44"/>
        <v>55</v>
      </c>
      <c r="CN5" s="58">
        <f t="shared" si="21"/>
        <v>0.82499999999999996</v>
      </c>
      <c r="CO5" s="54">
        <v>0</v>
      </c>
      <c r="CP5" s="186">
        <f t="shared" si="45"/>
        <v>0</v>
      </c>
      <c r="CQ5" s="179">
        <f t="shared" si="46"/>
        <v>100</v>
      </c>
      <c r="CR5" s="30">
        <f t="shared" si="22"/>
        <v>3</v>
      </c>
      <c r="CS5" s="200">
        <f>_xlfn.XLOOKUP(C5, '1-1. 관계사체무보증금액 (환율 등)'!$3:$3, '1-1. 관계사체무보증금액 (환율 등)'!$33:$33)</f>
        <v>0</v>
      </c>
      <c r="CT5" s="178">
        <f t="shared" si="23"/>
        <v>0</v>
      </c>
      <c r="CU5" s="179">
        <f t="shared" si="47"/>
        <v>100</v>
      </c>
      <c r="CV5" s="30">
        <f t="shared" si="24"/>
        <v>2</v>
      </c>
      <c r="CW5" s="72">
        <f t="shared" si="48"/>
        <v>19.623031596546838</v>
      </c>
    </row>
    <row r="6" spans="1:101" x14ac:dyDescent="0.6">
      <c r="A6" s="214" t="s">
        <v>1437</v>
      </c>
      <c r="B6" s="13" t="s">
        <v>1982</v>
      </c>
      <c r="C6" s="219" t="s">
        <v>1438</v>
      </c>
      <c r="D6" s="14" t="s">
        <v>191</v>
      </c>
      <c r="E6" s="217" t="s">
        <v>178</v>
      </c>
      <c r="F6" s="217" t="s">
        <v>1439</v>
      </c>
      <c r="G6" s="218">
        <v>39353</v>
      </c>
      <c r="H6" s="217" t="s">
        <v>830</v>
      </c>
      <c r="I6" s="217" t="s">
        <v>1440</v>
      </c>
      <c r="J6" s="217" t="s">
        <v>1441</v>
      </c>
      <c r="K6" s="217" t="s">
        <v>91</v>
      </c>
      <c r="L6" s="220">
        <v>11450867716</v>
      </c>
      <c r="M6" s="206">
        <v>6158689194</v>
      </c>
      <c r="N6" s="206">
        <v>5292178522</v>
      </c>
      <c r="O6" s="206">
        <v>7842662871</v>
      </c>
      <c r="P6" s="206">
        <v>405033974</v>
      </c>
      <c r="Q6" s="206">
        <v>333649782</v>
      </c>
      <c r="R6" s="206">
        <v>265820089</v>
      </c>
      <c r="S6" s="207">
        <v>15054186</v>
      </c>
      <c r="T6" s="207">
        <v>357303</v>
      </c>
      <c r="U6" s="207">
        <v>6707016</v>
      </c>
      <c r="V6" s="207">
        <f>70931+22015</f>
        <v>92946</v>
      </c>
      <c r="W6" s="207">
        <f>5491</f>
        <v>5491</v>
      </c>
      <c r="X6" s="207">
        <f>30351+7844</f>
        <v>38195</v>
      </c>
      <c r="Y6" s="208" t="s">
        <v>2398</v>
      </c>
      <c r="Z6" s="207">
        <v>0</v>
      </c>
      <c r="AA6" s="207">
        <v>0</v>
      </c>
      <c r="AB6" s="176">
        <f t="shared" si="49"/>
        <v>6843648</v>
      </c>
      <c r="AC6" s="177">
        <f t="shared" si="25"/>
        <v>45.460099934994822</v>
      </c>
      <c r="AD6" s="177">
        <f t="shared" si="50"/>
        <v>60.851467259785828</v>
      </c>
      <c r="AE6" s="26">
        <f t="shared" si="0"/>
        <v>1.8255440177935747</v>
      </c>
      <c r="AF6" s="178">
        <f t="shared" si="26"/>
        <v>46.268055614241469</v>
      </c>
      <c r="AG6" s="178">
        <f t="shared" si="27"/>
        <v>46.565302316144184</v>
      </c>
      <c r="AH6" s="178">
        <f t="shared" si="51"/>
        <v>0.29724670190271496</v>
      </c>
      <c r="AI6" s="179">
        <f t="shared" si="52"/>
        <v>100</v>
      </c>
      <c r="AJ6" s="30">
        <f t="shared" si="1"/>
        <v>4</v>
      </c>
      <c r="AK6" s="204">
        <v>7</v>
      </c>
      <c r="AL6" s="204">
        <v>124</v>
      </c>
      <c r="AM6" s="180">
        <v>1</v>
      </c>
      <c r="AN6" s="181">
        <f t="shared" si="2"/>
        <v>131</v>
      </c>
      <c r="AO6" s="182">
        <f t="shared" si="3"/>
        <v>0.76335877862595414</v>
      </c>
      <c r="AP6" s="183">
        <f t="shared" si="28"/>
        <v>100</v>
      </c>
      <c r="AQ6" s="38">
        <f t="shared" si="4"/>
        <v>2</v>
      </c>
      <c r="AR6" s="212">
        <v>4</v>
      </c>
      <c r="AS6" s="292">
        <f t="shared" si="5"/>
        <v>0.5</v>
      </c>
      <c r="AT6" s="185">
        <f t="shared" si="29"/>
        <v>3.5</v>
      </c>
      <c r="AU6" s="185">
        <f t="shared" si="30"/>
        <v>3</v>
      </c>
      <c r="AV6" s="186">
        <f t="shared" si="6"/>
        <v>14.285714285714285</v>
      </c>
      <c r="AW6" s="179">
        <f t="shared" si="31"/>
        <v>60</v>
      </c>
      <c r="AX6" s="239">
        <f t="shared" si="7"/>
        <v>0.6</v>
      </c>
      <c r="AY6" s="54">
        <v>10</v>
      </c>
      <c r="AZ6" s="54">
        <f>3*10+9</f>
        <v>39</v>
      </c>
      <c r="BA6" s="189">
        <f t="shared" si="8"/>
        <v>40</v>
      </c>
      <c r="BB6" s="178">
        <f t="shared" si="32"/>
        <v>97.5</v>
      </c>
      <c r="BC6" s="179">
        <f t="shared" si="33"/>
        <v>100</v>
      </c>
      <c r="BD6" s="30">
        <f t="shared" si="9"/>
        <v>1</v>
      </c>
      <c r="BE6" s="190">
        <v>413644637</v>
      </c>
      <c r="BF6" s="190">
        <v>35354329</v>
      </c>
      <c r="BG6" s="301">
        <v>0</v>
      </c>
      <c r="BH6" s="191">
        <f t="shared" si="10"/>
        <v>448998966</v>
      </c>
      <c r="BI6" s="178">
        <f t="shared" si="11"/>
        <v>0</v>
      </c>
      <c r="BJ6" s="294" t="str">
        <f t="shared" si="34"/>
        <v>식약/섬유/종이업</v>
      </c>
      <c r="BK6" s="192">
        <f t="shared" si="12"/>
        <v>2.1999360555264444</v>
      </c>
      <c r="BL6" s="193">
        <f t="shared" si="35"/>
        <v>-2.1999360555264444</v>
      </c>
      <c r="BM6" s="241">
        <f t="shared" si="36"/>
        <v>100</v>
      </c>
      <c r="BN6" s="47">
        <f t="shared" si="37"/>
        <v>2</v>
      </c>
      <c r="BO6" s="54">
        <v>218745000</v>
      </c>
      <c r="BP6" s="194">
        <f t="shared" si="38"/>
        <v>2.7891674498576062</v>
      </c>
      <c r="BQ6" s="179">
        <f t="shared" si="39"/>
        <v>85</v>
      </c>
      <c r="BR6" s="30">
        <f t="shared" si="13"/>
        <v>1.7</v>
      </c>
      <c r="BS6" s="195">
        <v>213596218</v>
      </c>
      <c r="BT6" s="195">
        <v>6644041</v>
      </c>
      <c r="BU6" s="196">
        <f t="shared" si="40"/>
        <v>206952177</v>
      </c>
      <c r="BV6" s="178">
        <f t="shared" si="14"/>
        <v>2.638799861782303</v>
      </c>
      <c r="BW6" s="192">
        <f t="shared" si="15"/>
        <v>5.0508176117342281</v>
      </c>
      <c r="BX6" s="192">
        <f t="shared" si="41"/>
        <v>5.8178296260831477</v>
      </c>
      <c r="BY6" s="192">
        <f t="shared" si="16"/>
        <v>6.9871618081220941</v>
      </c>
      <c r="BZ6" s="192">
        <f t="shared" si="42"/>
        <v>63.503065308137451</v>
      </c>
      <c r="CA6" s="192">
        <f t="shared" si="17"/>
        <v>40</v>
      </c>
      <c r="CB6" s="55">
        <f t="shared" si="43"/>
        <v>0.8</v>
      </c>
      <c r="CC6" s="197">
        <f t="shared" si="18"/>
        <v>116.37342104764319</v>
      </c>
      <c r="CD6" s="198">
        <f t="shared" si="19"/>
        <v>56.517554881541514</v>
      </c>
      <c r="CE6" s="58">
        <f t="shared" si="20"/>
        <v>0.84776332322312264</v>
      </c>
      <c r="CF6" s="245" t="s">
        <v>2326</v>
      </c>
      <c r="CG6" s="245" t="s">
        <v>2326</v>
      </c>
      <c r="CH6" s="245" t="s">
        <v>2326</v>
      </c>
      <c r="CI6" s="245" t="s">
        <v>2326</v>
      </c>
      <c r="CJ6" s="235"/>
      <c r="CK6" s="173" t="s">
        <v>2483</v>
      </c>
      <c r="CL6" s="173" t="s">
        <v>2484</v>
      </c>
      <c r="CM6" s="199">
        <f t="shared" si="44"/>
        <v>100</v>
      </c>
      <c r="CN6" s="58">
        <f t="shared" si="21"/>
        <v>1.5</v>
      </c>
      <c r="CO6" s="54">
        <f>19995000+1528234000+789000+10498000+8613000+277765000+74825000+56786000+127807000+158000+150000+76552000+8483000+564000+162933000+260605000+6536000+8452000+16449000+1791000+238077000+10825000+1485232000+48507000+59894000+14387000+184000+208455000</f>
        <v>4713546000</v>
      </c>
      <c r="CP6" s="186">
        <f t="shared" si="45"/>
        <v>89.066269786731894</v>
      </c>
      <c r="CQ6" s="179">
        <f t="shared" si="46"/>
        <v>40</v>
      </c>
      <c r="CR6" s="30">
        <f t="shared" si="22"/>
        <v>1.2</v>
      </c>
      <c r="CS6" s="200">
        <f>_xlfn.XLOOKUP(C6, '1-1. 관계사체무보증금액 (환율 등)'!$3:$3, '1-1. 관계사체무보증금액 (환율 등)'!$33:$33)</f>
        <v>5268581332.4639053</v>
      </c>
      <c r="CT6" s="178">
        <f t="shared" si="23"/>
        <v>99.554111989268705</v>
      </c>
      <c r="CU6" s="179">
        <f t="shared" si="47"/>
        <v>40</v>
      </c>
      <c r="CV6" s="30">
        <f t="shared" si="24"/>
        <v>0.8</v>
      </c>
      <c r="CW6" s="72">
        <f t="shared" si="48"/>
        <v>18.273307341016697</v>
      </c>
    </row>
    <row r="7" spans="1:101" x14ac:dyDescent="0.6">
      <c r="A7" s="214" t="s">
        <v>750</v>
      </c>
      <c r="B7" s="13" t="s">
        <v>1983</v>
      </c>
      <c r="C7" s="219" t="s">
        <v>409</v>
      </c>
      <c r="D7" s="216" t="s">
        <v>285</v>
      </c>
      <c r="E7" s="217" t="s">
        <v>1034</v>
      </c>
      <c r="F7" s="217" t="s">
        <v>1019</v>
      </c>
      <c r="G7" s="218">
        <v>33975</v>
      </c>
      <c r="H7" s="217" t="s">
        <v>830</v>
      </c>
      <c r="I7" s="217" t="s">
        <v>969</v>
      </c>
      <c r="J7" s="217" t="s">
        <v>1040</v>
      </c>
      <c r="K7" s="217" t="s">
        <v>91</v>
      </c>
      <c r="L7" s="220">
        <v>428747549</v>
      </c>
      <c r="M7" s="206">
        <v>121241747</v>
      </c>
      <c r="N7" s="206">
        <v>307505802</v>
      </c>
      <c r="O7" s="206">
        <v>347588559</v>
      </c>
      <c r="P7" s="206">
        <v>12401397</v>
      </c>
      <c r="Q7" s="206">
        <v>14089238</v>
      </c>
      <c r="R7" s="206">
        <v>10922265</v>
      </c>
      <c r="S7" s="207">
        <v>201173933</v>
      </c>
      <c r="T7" s="207">
        <v>10143400</v>
      </c>
      <c r="U7" s="207">
        <v>33856750</v>
      </c>
      <c r="V7" s="207">
        <f>31997041+19861669+141160+286650+647910+573330+286650+120000+64580+37290+149160</f>
        <v>54165440</v>
      </c>
      <c r="W7" s="207">
        <f>7000+175500+7030+23540+10000</f>
        <v>223070</v>
      </c>
      <c r="X7" s="207">
        <v>0</v>
      </c>
      <c r="Z7" s="207">
        <v>0</v>
      </c>
      <c r="AA7" s="207">
        <v>0</v>
      </c>
      <c r="AB7" s="176">
        <f t="shared" si="49"/>
        <v>88245260</v>
      </c>
      <c r="AC7" s="177">
        <f t="shared" si="25"/>
        <v>43.865156227770328</v>
      </c>
      <c r="AD7" s="177">
        <f t="shared" si="50"/>
        <v>62.228000954168309</v>
      </c>
      <c r="AE7" s="26">
        <f t="shared" si="0"/>
        <v>1.8668400286250493</v>
      </c>
      <c r="AF7" s="178">
        <f t="shared" si="26"/>
        <v>46.077550335893164</v>
      </c>
      <c r="AG7" s="178">
        <f t="shared" si="27"/>
        <v>46.194322244810991</v>
      </c>
      <c r="AH7" s="178">
        <f t="shared" si="51"/>
        <v>0.11677190891782629</v>
      </c>
      <c r="AI7" s="179">
        <f t="shared" si="52"/>
        <v>100</v>
      </c>
      <c r="AJ7" s="30">
        <f t="shared" si="1"/>
        <v>4</v>
      </c>
      <c r="AK7" s="204">
        <v>6</v>
      </c>
      <c r="AL7" s="204">
        <v>12</v>
      </c>
      <c r="AM7" s="204">
        <v>3</v>
      </c>
      <c r="AN7" s="181">
        <f t="shared" si="2"/>
        <v>18</v>
      </c>
      <c r="AO7" s="182">
        <f t="shared" si="3"/>
        <v>16.666666666666664</v>
      </c>
      <c r="AP7" s="183">
        <f t="shared" si="28"/>
        <v>80</v>
      </c>
      <c r="AQ7" s="38">
        <f t="shared" si="4"/>
        <v>1.6</v>
      </c>
      <c r="AR7" s="212">
        <v>3</v>
      </c>
      <c r="AS7" s="292">
        <f t="shared" si="5"/>
        <v>0.25</v>
      </c>
      <c r="AT7" s="185">
        <f t="shared" si="29"/>
        <v>1.5</v>
      </c>
      <c r="AU7" s="185">
        <f t="shared" si="30"/>
        <v>1</v>
      </c>
      <c r="AV7" s="186">
        <f t="shared" si="6"/>
        <v>33.333333333333329</v>
      </c>
      <c r="AW7" s="179">
        <f t="shared" si="31"/>
        <v>80</v>
      </c>
      <c r="AX7" s="239">
        <f t="shared" si="7"/>
        <v>0.8</v>
      </c>
      <c r="AY7" s="54">
        <v>5</v>
      </c>
      <c r="AZ7" s="54">
        <v>15</v>
      </c>
      <c r="BA7" s="189">
        <f t="shared" si="8"/>
        <v>15</v>
      </c>
      <c r="BB7" s="178">
        <f t="shared" si="32"/>
        <v>100</v>
      </c>
      <c r="BC7" s="179">
        <f t="shared" si="33"/>
        <v>100</v>
      </c>
      <c r="BD7" s="30">
        <f t="shared" si="9"/>
        <v>1</v>
      </c>
      <c r="BE7" s="190">
        <v>34040504</v>
      </c>
      <c r="BF7" s="190">
        <v>2466355</v>
      </c>
      <c r="BG7" s="301">
        <v>0</v>
      </c>
      <c r="BH7" s="191">
        <f t="shared" si="10"/>
        <v>36506859</v>
      </c>
      <c r="BI7" s="178">
        <f t="shared" si="11"/>
        <v>0</v>
      </c>
      <c r="BJ7" s="294" t="str">
        <f t="shared" si="34"/>
        <v>비제조/서비스업</v>
      </c>
      <c r="BK7" s="192">
        <f t="shared" si="12"/>
        <v>1.7464434573900924</v>
      </c>
      <c r="BL7" s="193">
        <f t="shared" si="35"/>
        <v>-1.7464434573900924</v>
      </c>
      <c r="BM7" s="241">
        <f t="shared" si="36"/>
        <v>80</v>
      </c>
      <c r="BN7" s="47">
        <f t="shared" si="37"/>
        <v>1.6</v>
      </c>
      <c r="BO7" s="54">
        <v>0</v>
      </c>
      <c r="BP7" s="194">
        <f t="shared" si="38"/>
        <v>0</v>
      </c>
      <c r="BQ7" s="179">
        <f t="shared" si="39"/>
        <v>25</v>
      </c>
      <c r="BR7" s="30">
        <f t="shared" si="13"/>
        <v>0.5</v>
      </c>
      <c r="BS7" s="195">
        <v>666066.11100000003</v>
      </c>
      <c r="BT7" s="195">
        <v>5203</v>
      </c>
      <c r="BU7" s="196">
        <f t="shared" si="40"/>
        <v>660863.11100000003</v>
      </c>
      <c r="BV7" s="178">
        <f t="shared" si="14"/>
        <v>0.19012798145637472</v>
      </c>
      <c r="BW7" s="192">
        <f t="shared" si="15"/>
        <v>2.8482825397737606</v>
      </c>
      <c r="BX7" s="192">
        <f t="shared" si="41"/>
        <v>7.0657856559034959</v>
      </c>
      <c r="BY7" s="192">
        <f t="shared" si="16"/>
        <v>5.5697595856656799</v>
      </c>
      <c r="BZ7" s="192">
        <f t="shared" si="42"/>
        <v>68.340710073518437</v>
      </c>
      <c r="CA7" s="192">
        <f t="shared" si="17"/>
        <v>40</v>
      </c>
      <c r="CB7" s="55">
        <f t="shared" si="43"/>
        <v>0.8</v>
      </c>
      <c r="CC7" s="197">
        <f t="shared" si="18"/>
        <v>39.427466477526821</v>
      </c>
      <c r="CD7" s="198">
        <f t="shared" si="19"/>
        <v>85.517286503444666</v>
      </c>
      <c r="CE7" s="58">
        <f t="shared" si="20"/>
        <v>1.28275929755167</v>
      </c>
      <c r="CF7" s="245" t="s">
        <v>2326</v>
      </c>
      <c r="CG7" s="245" t="s">
        <v>2326</v>
      </c>
      <c r="CH7" s="245" t="s">
        <v>2326</v>
      </c>
      <c r="CI7" s="245" t="s">
        <v>2326</v>
      </c>
      <c r="CJ7" s="235"/>
      <c r="CK7" s="173" t="s">
        <v>2491</v>
      </c>
      <c r="CL7" s="173" t="s">
        <v>2478</v>
      </c>
      <c r="CM7" s="199">
        <f t="shared" si="44"/>
        <v>25</v>
      </c>
      <c r="CN7" s="58">
        <f t="shared" si="21"/>
        <v>0.375</v>
      </c>
      <c r="CO7" s="54">
        <v>318139000</v>
      </c>
      <c r="CP7" s="186">
        <f t="shared" si="45"/>
        <v>103.45788532471332</v>
      </c>
      <c r="CQ7" s="179">
        <f t="shared" si="46"/>
        <v>20</v>
      </c>
      <c r="CR7" s="30">
        <f t="shared" si="22"/>
        <v>0.6</v>
      </c>
      <c r="CS7" s="200">
        <f>_xlfn.XLOOKUP(C7, '1-1. 관계사체무보증금액 (환율 등)'!$3:$3, '1-1. 관계사체무보증금액 (환율 등)'!$33:$33)</f>
        <v>0</v>
      </c>
      <c r="CT7" s="178">
        <f t="shared" si="23"/>
        <v>0</v>
      </c>
      <c r="CU7" s="179">
        <f t="shared" si="47"/>
        <v>100</v>
      </c>
      <c r="CV7" s="30">
        <f t="shared" si="24"/>
        <v>2</v>
      </c>
      <c r="CW7" s="72">
        <f t="shared" si="48"/>
        <v>16.424599326176718</v>
      </c>
    </row>
    <row r="8" spans="1:101" x14ac:dyDescent="0.6">
      <c r="A8" s="214" t="s">
        <v>499</v>
      </c>
      <c r="B8" s="13" t="s">
        <v>1984</v>
      </c>
      <c r="C8" s="219" t="s">
        <v>525</v>
      </c>
      <c r="D8" s="221" t="s">
        <v>481</v>
      </c>
      <c r="E8" s="217" t="s">
        <v>704</v>
      </c>
      <c r="F8" s="217" t="s">
        <v>1243</v>
      </c>
      <c r="G8" s="218">
        <v>26843</v>
      </c>
      <c r="H8" s="217" t="s">
        <v>830</v>
      </c>
      <c r="I8" s="217" t="s">
        <v>1442</v>
      </c>
      <c r="J8" s="217" t="s">
        <v>1068</v>
      </c>
      <c r="K8" s="217" t="s">
        <v>91</v>
      </c>
      <c r="L8" s="220">
        <v>50491197385</v>
      </c>
      <c r="M8" s="206">
        <v>45440998151</v>
      </c>
      <c r="N8" s="206">
        <v>5050199234</v>
      </c>
      <c r="O8" s="206">
        <v>14569718977</v>
      </c>
      <c r="P8" s="206">
        <v>1292467004</v>
      </c>
      <c r="Q8" s="206">
        <v>1295672581</v>
      </c>
      <c r="R8" s="206">
        <v>980567336</v>
      </c>
      <c r="S8" s="207">
        <v>70800000</v>
      </c>
      <c r="T8" s="207">
        <v>10756531</v>
      </c>
      <c r="U8" s="207">
        <v>6379520</v>
      </c>
      <c r="V8" s="207">
        <f>4208500+2229640</f>
        <v>6438140</v>
      </c>
      <c r="W8" s="207">
        <f>73000+1500+210+2934+400+80+3938+500+300+200+606+1000+400+270+245+1000+55+80</f>
        <v>86718</v>
      </c>
      <c r="X8" s="207">
        <v>3539070</v>
      </c>
      <c r="Y8" s="208" t="s">
        <v>2399</v>
      </c>
      <c r="Z8" s="207">
        <v>0</v>
      </c>
      <c r="AA8" s="207">
        <v>0</v>
      </c>
      <c r="AB8" s="176">
        <f t="shared" si="49"/>
        <v>16443448</v>
      </c>
      <c r="AC8" s="177">
        <f t="shared" si="25"/>
        <v>23.225209039548023</v>
      </c>
      <c r="AD8" s="177">
        <f t="shared" si="50"/>
        <v>80.041534200620234</v>
      </c>
      <c r="AE8" s="60">
        <f>AD8*0.04</f>
        <v>3.2016613680248094</v>
      </c>
      <c r="AF8" s="178">
        <f t="shared" si="26"/>
        <v>21.347300902950828</v>
      </c>
      <c r="AG8" s="178">
        <f t="shared" si="27"/>
        <v>27.385906034176671</v>
      </c>
      <c r="AH8" s="178">
        <f t="shared" si="51"/>
        <v>6.0386051312258431</v>
      </c>
      <c r="AI8" s="179">
        <f t="shared" si="52"/>
        <v>100</v>
      </c>
      <c r="AJ8" s="61">
        <f>AI8*0.05</f>
        <v>5</v>
      </c>
      <c r="AK8" s="204">
        <v>5</v>
      </c>
      <c r="AL8" s="204">
        <v>58</v>
      </c>
      <c r="AM8" s="204">
        <v>0</v>
      </c>
      <c r="AN8" s="181">
        <f t="shared" si="2"/>
        <v>63</v>
      </c>
      <c r="AO8" s="182">
        <f t="shared" si="3"/>
        <v>0</v>
      </c>
      <c r="AP8" s="183">
        <f t="shared" si="28"/>
        <v>100</v>
      </c>
      <c r="AQ8" s="62">
        <f>AP8*0.03</f>
        <v>3</v>
      </c>
      <c r="AR8" s="212">
        <v>3</v>
      </c>
      <c r="AS8" s="292">
        <f t="shared" si="5"/>
        <v>0.5</v>
      </c>
      <c r="AT8" s="185">
        <f t="shared" si="29"/>
        <v>2.5</v>
      </c>
      <c r="AU8" s="185">
        <f t="shared" si="30"/>
        <v>2</v>
      </c>
      <c r="AV8" s="186">
        <f t="shared" si="6"/>
        <v>20</v>
      </c>
      <c r="AW8" s="179">
        <f t="shared" si="31"/>
        <v>80</v>
      </c>
      <c r="AX8" s="240">
        <f>AW8*0.02</f>
        <v>1.6</v>
      </c>
      <c r="AY8" s="54">
        <v>7</v>
      </c>
      <c r="AZ8" s="54">
        <v>21</v>
      </c>
      <c r="BA8" s="189">
        <f t="shared" si="8"/>
        <v>21</v>
      </c>
      <c r="BB8" s="178">
        <f t="shared" si="32"/>
        <v>100</v>
      </c>
      <c r="BC8" s="179">
        <f t="shared" si="33"/>
        <v>100</v>
      </c>
      <c r="BD8" s="61">
        <f>BC8*0.02</f>
        <v>2</v>
      </c>
      <c r="BE8" s="190">
        <v>349008000</v>
      </c>
      <c r="BF8" s="190">
        <v>20589000</v>
      </c>
      <c r="BG8" s="301">
        <v>0</v>
      </c>
      <c r="BH8" s="191">
        <f t="shared" si="10"/>
        <v>369597000</v>
      </c>
      <c r="BI8" s="178">
        <f t="shared" si="11"/>
        <v>0</v>
      </c>
      <c r="BJ8" s="294" t="str">
        <f t="shared" si="34"/>
        <v>금융업</v>
      </c>
      <c r="BK8" s="192">
        <f t="shared" si="12"/>
        <v>2.7106886075318837</v>
      </c>
      <c r="BL8" s="193">
        <f t="shared" si="35"/>
        <v>-2.7106886075318837</v>
      </c>
      <c r="BM8" s="241">
        <f t="shared" si="36"/>
        <v>100</v>
      </c>
      <c r="BN8" s="47">
        <f t="shared" si="37"/>
        <v>2</v>
      </c>
      <c r="BO8" s="54">
        <v>0</v>
      </c>
      <c r="BP8" s="194">
        <f t="shared" si="38"/>
        <v>0</v>
      </c>
      <c r="BQ8" s="179">
        <f t="shared" si="39"/>
        <v>25</v>
      </c>
      <c r="BR8" s="61">
        <f>BQ8*0.01</f>
        <v>0.25</v>
      </c>
      <c r="BS8" s="195">
        <v>36062414.053000003</v>
      </c>
      <c r="BT8" s="195">
        <v>135483.571</v>
      </c>
      <c r="BU8" s="196">
        <f t="shared" si="40"/>
        <v>35926930.482000001</v>
      </c>
      <c r="BV8" s="178">
        <f t="shared" si="14"/>
        <v>0.24658629681680783</v>
      </c>
      <c r="BW8" s="192">
        <f t="shared" si="15"/>
        <v>0.39407896396795111</v>
      </c>
      <c r="BX8" s="192">
        <f t="shared" si="41"/>
        <v>2.1754086863357943E-2</v>
      </c>
      <c r="BY8" s="192">
        <f t="shared" si="16"/>
        <v>1.5698937849002934</v>
      </c>
      <c r="BZ8" s="192">
        <f t="shared" si="42"/>
        <v>53.742585235743469</v>
      </c>
      <c r="CA8" s="192">
        <f t="shared" si="17"/>
        <v>55</v>
      </c>
      <c r="CB8" s="55">
        <f t="shared" si="43"/>
        <v>1.1000000000000001</v>
      </c>
      <c r="CC8" s="242" t="s">
        <v>1273</v>
      </c>
      <c r="CD8" s="243" t="s">
        <v>1273</v>
      </c>
      <c r="CE8" s="244"/>
      <c r="CF8" s="295" t="s">
        <v>2379</v>
      </c>
      <c r="CG8" s="295" t="s">
        <v>2379</v>
      </c>
      <c r="CH8" s="210">
        <v>0.11</v>
      </c>
      <c r="CI8" s="188">
        <f>IF((100-(75*(CH8-10)/40))&gt;100, 100, IF((100-(75*(CH8-10)/40))&lt;25, 25, (100-(75*(CH8-10)/40))))</f>
        <v>100</v>
      </c>
      <c r="CJ8" s="63">
        <f>CI8*0.04</f>
        <v>4</v>
      </c>
      <c r="CK8" s="173" t="s">
        <v>2485</v>
      </c>
      <c r="CL8" s="173" t="s">
        <v>2482</v>
      </c>
      <c r="CM8" s="199">
        <f t="shared" si="44"/>
        <v>55</v>
      </c>
      <c r="CN8" s="65">
        <f>CM8*0.03</f>
        <v>1.65</v>
      </c>
      <c r="CO8" s="54">
        <f>51529000+474045000+1000000+200000+200000+300000+108012000+23000000+848000+678000+2487000</f>
        <v>662299000</v>
      </c>
      <c r="CP8" s="186">
        <f t="shared" si="45"/>
        <v>13.114314293605153</v>
      </c>
      <c r="CQ8" s="179">
        <f t="shared" si="46"/>
        <v>60</v>
      </c>
      <c r="CR8" s="61">
        <f>CQ8*0.04</f>
        <v>2.4</v>
      </c>
      <c r="CS8" s="200">
        <f>_xlfn.XLOOKUP(C8, '1-1. 관계사체무보증금액 (환율 등)'!$3:$3, '1-1. 관계사체무보증금액 (환율 등)'!$33:$33)</f>
        <v>0</v>
      </c>
      <c r="CT8" s="178">
        <f t="shared" si="23"/>
        <v>0</v>
      </c>
      <c r="CU8" s="179">
        <f t="shared" si="47"/>
        <v>100</v>
      </c>
      <c r="CV8" s="70">
        <f>CU8*0.03</f>
        <v>3</v>
      </c>
      <c r="CW8" s="72">
        <f t="shared" si="48"/>
        <v>29.201661368024808</v>
      </c>
    </row>
    <row r="9" spans="1:101" x14ac:dyDescent="0.6">
      <c r="A9" s="214" t="s">
        <v>1443</v>
      </c>
      <c r="B9" s="13" t="s">
        <v>1985</v>
      </c>
      <c r="C9" s="219" t="s">
        <v>1444</v>
      </c>
      <c r="D9" s="14" t="s">
        <v>203</v>
      </c>
      <c r="E9" s="217" t="s">
        <v>180</v>
      </c>
      <c r="F9" s="217" t="s">
        <v>1429</v>
      </c>
      <c r="G9" s="218">
        <v>27792</v>
      </c>
      <c r="H9" s="217" t="s">
        <v>830</v>
      </c>
      <c r="I9" s="217" t="s">
        <v>841</v>
      </c>
      <c r="J9" s="217" t="s">
        <v>1445</v>
      </c>
      <c r="K9" s="217" t="s">
        <v>91</v>
      </c>
      <c r="L9" s="220">
        <v>3649116385</v>
      </c>
      <c r="M9" s="206">
        <v>587165440</v>
      </c>
      <c r="N9" s="206">
        <v>3061950944</v>
      </c>
      <c r="O9" s="206">
        <v>223739892</v>
      </c>
      <c r="P9" s="206">
        <v>195878366</v>
      </c>
      <c r="Q9" s="206">
        <v>167506991</v>
      </c>
      <c r="R9" s="206">
        <v>146629624</v>
      </c>
      <c r="S9" s="207">
        <v>20955884</v>
      </c>
      <c r="T9" s="207">
        <v>25156</v>
      </c>
      <c r="U9" s="207">
        <v>8860723</v>
      </c>
      <c r="V9" s="207">
        <f>5505+12868+9639+21</f>
        <v>28033</v>
      </c>
      <c r="W9" s="207">
        <v>0</v>
      </c>
      <c r="X9" s="207">
        <v>194976</v>
      </c>
      <c r="Y9" s="208" t="s">
        <v>2400</v>
      </c>
      <c r="Z9" s="207">
        <v>0</v>
      </c>
      <c r="AA9" s="207">
        <v>0</v>
      </c>
      <c r="AB9" s="176">
        <f t="shared" si="49"/>
        <v>9083732</v>
      </c>
      <c r="AC9" s="177">
        <f t="shared" si="25"/>
        <v>43.346928242206339</v>
      </c>
      <c r="AD9" s="177">
        <f t="shared" si="50"/>
        <v>62.675263312250003</v>
      </c>
      <c r="AE9" s="26">
        <f t="shared" ref="AE9:AE35" si="53">AD9*0.03</f>
        <v>1.8802578993675001</v>
      </c>
      <c r="AF9" s="178">
        <f t="shared" si="26"/>
        <v>42.467495636081075</v>
      </c>
      <c r="AG9" s="178">
        <f t="shared" si="27"/>
        <v>43.39902558573214</v>
      </c>
      <c r="AH9" s="178">
        <f t="shared" si="51"/>
        <v>0.93152994965106473</v>
      </c>
      <c r="AI9" s="179">
        <f t="shared" si="52"/>
        <v>100</v>
      </c>
      <c r="AJ9" s="30">
        <f t="shared" ref="AJ9:AJ35" si="54">AI9*0.04</f>
        <v>4</v>
      </c>
      <c r="AK9" s="204">
        <v>5</v>
      </c>
      <c r="AL9" s="204">
        <v>8</v>
      </c>
      <c r="AM9" s="180">
        <v>1</v>
      </c>
      <c r="AN9" s="181">
        <f t="shared" si="2"/>
        <v>13</v>
      </c>
      <c r="AO9" s="182">
        <f t="shared" si="3"/>
        <v>7.6923076923076925</v>
      </c>
      <c r="AP9" s="183">
        <f t="shared" si="28"/>
        <v>100</v>
      </c>
      <c r="AQ9" s="38">
        <f t="shared" ref="AQ9:AQ35" si="55">AP9*0.02</f>
        <v>2</v>
      </c>
      <c r="AR9" s="212">
        <v>3</v>
      </c>
      <c r="AS9" s="292">
        <f t="shared" si="5"/>
        <v>0.5</v>
      </c>
      <c r="AT9" s="185">
        <f t="shared" si="29"/>
        <v>2.5</v>
      </c>
      <c r="AU9" s="185">
        <f t="shared" si="30"/>
        <v>2</v>
      </c>
      <c r="AV9" s="186">
        <f t="shared" si="6"/>
        <v>20</v>
      </c>
      <c r="AW9" s="179">
        <f t="shared" si="31"/>
        <v>80</v>
      </c>
      <c r="AX9" s="239">
        <f t="shared" ref="AX9:AX35" si="56">AW9*0.01</f>
        <v>0.8</v>
      </c>
      <c r="AY9" s="54">
        <v>10</v>
      </c>
      <c r="AZ9" s="54">
        <v>30</v>
      </c>
      <c r="BA9" s="189">
        <f t="shared" si="8"/>
        <v>30</v>
      </c>
      <c r="BB9" s="178">
        <f t="shared" si="32"/>
        <v>100</v>
      </c>
      <c r="BC9" s="179">
        <f t="shared" si="33"/>
        <v>100</v>
      </c>
      <c r="BD9" s="30">
        <f t="shared" ref="BD9:BD35" si="57">BC9*0.01</f>
        <v>1</v>
      </c>
      <c r="BE9" s="190">
        <v>9325000</v>
      </c>
      <c r="BF9" s="190">
        <v>708000</v>
      </c>
      <c r="BG9" s="301">
        <v>0</v>
      </c>
      <c r="BH9" s="191">
        <f t="shared" si="10"/>
        <v>10033000</v>
      </c>
      <c r="BI9" s="178">
        <f t="shared" si="11"/>
        <v>0</v>
      </c>
      <c r="BJ9" s="294" t="str">
        <f t="shared" si="34"/>
        <v>금속/비금속/화학업</v>
      </c>
      <c r="BK9" s="192">
        <f t="shared" si="12"/>
        <v>3.9534118626990464</v>
      </c>
      <c r="BL9" s="193">
        <f t="shared" si="35"/>
        <v>-3.9534118626990464</v>
      </c>
      <c r="BM9" s="241">
        <f t="shared" si="36"/>
        <v>100</v>
      </c>
      <c r="BN9" s="47">
        <f t="shared" si="37"/>
        <v>2</v>
      </c>
      <c r="BO9" s="54">
        <v>0</v>
      </c>
      <c r="BP9" s="194">
        <f t="shared" si="38"/>
        <v>0</v>
      </c>
      <c r="BQ9" s="179">
        <f t="shared" si="39"/>
        <v>25</v>
      </c>
      <c r="BR9" s="30">
        <f t="shared" ref="BR9:BR35" si="58">BQ9*0.02</f>
        <v>0.5</v>
      </c>
      <c r="BS9" s="195">
        <v>9294.8179999999993</v>
      </c>
      <c r="BT9" s="195">
        <v>987.36699999999996</v>
      </c>
      <c r="BU9" s="196">
        <f t="shared" si="40"/>
        <v>8307.4509999999991</v>
      </c>
      <c r="BV9" s="178">
        <f t="shared" si="14"/>
        <v>3.7129949986746211E-3</v>
      </c>
      <c r="BW9" s="192">
        <f t="shared" si="15"/>
        <v>5.1474158565187729</v>
      </c>
      <c r="BX9" s="192">
        <f t="shared" si="41"/>
        <v>26.457679127610046</v>
      </c>
      <c r="BY9" s="192">
        <f t="shared" si="16"/>
        <v>6.6930498535228526</v>
      </c>
      <c r="BZ9" s="192">
        <f t="shared" si="42"/>
        <v>77.890907713334627</v>
      </c>
      <c r="CA9" s="192">
        <f t="shared" si="17"/>
        <v>40</v>
      </c>
      <c r="CB9" s="55">
        <f t="shared" si="43"/>
        <v>0.8</v>
      </c>
      <c r="CC9" s="197">
        <f t="shared" ref="CC9:CC35" si="59">(M9/N9)*100</f>
        <v>19.1761870369142</v>
      </c>
      <c r="CD9" s="198">
        <f t="shared" ref="CD9:CD35" si="60">IF((100-(75*(CC9-1)/(200-1)))&gt;100, 100, IF((100-(75*(CC9-1)/(200-1)))&lt;25, 25, (100-(75*(CC9-1)/(200-1)))))</f>
        <v>93.149678252419278</v>
      </c>
      <c r="CE9" s="58">
        <f t="shared" ref="CE9:CE35" si="61">CD9*0.015</f>
        <v>1.3972451737862892</v>
      </c>
      <c r="CF9" s="245" t="s">
        <v>2326</v>
      </c>
      <c r="CG9" s="245" t="s">
        <v>2326</v>
      </c>
      <c r="CH9" s="245" t="s">
        <v>2326</v>
      </c>
      <c r="CI9" s="245" t="s">
        <v>2326</v>
      </c>
      <c r="CJ9" s="235"/>
      <c r="CK9" s="173" t="s">
        <v>2486</v>
      </c>
      <c r="CL9" s="173" t="s">
        <v>2487</v>
      </c>
      <c r="CM9" s="199">
        <f t="shared" si="44"/>
        <v>70</v>
      </c>
      <c r="CN9" s="58">
        <f t="shared" ref="CN9:CN35" si="62">CM9*0.015</f>
        <v>1.05</v>
      </c>
      <c r="CO9" s="54">
        <f>1603024000+297135000+252038000+143544000+112165000+57000+18304000+360000+518189000+764000+591000+10311000+27000000</f>
        <v>2983482000</v>
      </c>
      <c r="CP9" s="186">
        <f t="shared" si="45"/>
        <v>97.437289315370563</v>
      </c>
      <c r="CQ9" s="179">
        <f t="shared" si="46"/>
        <v>40</v>
      </c>
      <c r="CR9" s="30">
        <f t="shared" ref="CR9:CR35" si="63">CQ9*0.03</f>
        <v>1.2</v>
      </c>
      <c r="CS9" s="200">
        <f>_xlfn.XLOOKUP(C9, '1-1. 관계사체무보증금액 (환율 등)'!$3:$3, '1-1. 관계사체무보증금액 (환율 등)'!$33:$33)</f>
        <v>15129000</v>
      </c>
      <c r="CT9" s="178">
        <f t="shared" si="23"/>
        <v>0.49409674670477016</v>
      </c>
      <c r="CU9" s="179">
        <f t="shared" si="47"/>
        <v>100</v>
      </c>
      <c r="CV9" s="30">
        <f t="shared" ref="CV9:CV35" si="64">CU9*0.02</f>
        <v>2</v>
      </c>
      <c r="CW9" s="72">
        <f t="shared" si="48"/>
        <v>18.62750307315379</v>
      </c>
    </row>
    <row r="10" spans="1:101" x14ac:dyDescent="0.6">
      <c r="A10" s="214" t="s">
        <v>305</v>
      </c>
      <c r="B10" s="13" t="s">
        <v>1986</v>
      </c>
      <c r="C10" s="219" t="s">
        <v>497</v>
      </c>
      <c r="D10" s="216" t="s">
        <v>285</v>
      </c>
      <c r="E10" s="217" t="s">
        <v>872</v>
      </c>
      <c r="F10" s="217" t="s">
        <v>657</v>
      </c>
      <c r="G10" s="218">
        <v>28481</v>
      </c>
      <c r="H10" s="217" t="s">
        <v>830</v>
      </c>
      <c r="I10" s="217" t="s">
        <v>1446</v>
      </c>
      <c r="J10" s="217" t="s">
        <v>659</v>
      </c>
      <c r="K10" s="217" t="s">
        <v>346</v>
      </c>
      <c r="L10" s="220">
        <v>1746816808</v>
      </c>
      <c r="M10" s="206">
        <v>748120989</v>
      </c>
      <c r="N10" s="206">
        <v>998695819</v>
      </c>
      <c r="O10" s="206">
        <v>1962419335</v>
      </c>
      <c r="P10" s="206">
        <v>81072832</v>
      </c>
      <c r="Q10" s="206">
        <v>84339672</v>
      </c>
      <c r="R10" s="206">
        <v>55421181</v>
      </c>
      <c r="S10" s="207">
        <v>22053284</v>
      </c>
      <c r="T10" s="207">
        <v>4263</v>
      </c>
      <c r="U10" s="207">
        <v>14100660</v>
      </c>
      <c r="V10" s="207">
        <v>1188</v>
      </c>
      <c r="W10" s="207">
        <f>126724+13347</f>
        <v>140071</v>
      </c>
      <c r="X10" s="207">
        <v>130403</v>
      </c>
      <c r="Y10" s="208" t="s">
        <v>2400</v>
      </c>
      <c r="Z10" s="207">
        <v>0</v>
      </c>
      <c r="AA10" s="207">
        <v>0</v>
      </c>
      <c r="AB10" s="176">
        <f t="shared" si="49"/>
        <v>14372322</v>
      </c>
      <c r="AC10" s="177">
        <f t="shared" si="25"/>
        <v>65.170892462093178</v>
      </c>
      <c r="AD10" s="177">
        <f t="shared" si="50"/>
        <v>43.839851154695189</v>
      </c>
      <c r="AE10" s="26">
        <f t="shared" si="53"/>
        <v>1.3151955346408557</v>
      </c>
      <c r="AF10" s="178">
        <f t="shared" si="26"/>
        <v>63.956798807529822</v>
      </c>
      <c r="AG10" s="178">
        <f t="shared" si="27"/>
        <v>65.183492727409529</v>
      </c>
      <c r="AH10" s="178">
        <f t="shared" si="51"/>
        <v>1.2266939198797076</v>
      </c>
      <c r="AI10" s="179">
        <f t="shared" si="52"/>
        <v>100</v>
      </c>
      <c r="AJ10" s="30">
        <f t="shared" si="54"/>
        <v>4</v>
      </c>
      <c r="AK10" s="204">
        <v>5</v>
      </c>
      <c r="AL10" s="204">
        <v>24</v>
      </c>
      <c r="AM10" s="204">
        <v>0</v>
      </c>
      <c r="AN10" s="181">
        <f t="shared" si="2"/>
        <v>29</v>
      </c>
      <c r="AO10" s="182">
        <f t="shared" si="3"/>
        <v>0</v>
      </c>
      <c r="AP10" s="183">
        <f t="shared" si="28"/>
        <v>100</v>
      </c>
      <c r="AQ10" s="38">
        <f t="shared" si="55"/>
        <v>2</v>
      </c>
      <c r="AR10" s="212">
        <v>1</v>
      </c>
      <c r="AS10" s="292">
        <f t="shared" si="5"/>
        <v>0.25</v>
      </c>
      <c r="AT10" s="185">
        <f t="shared" si="29"/>
        <v>1.25</v>
      </c>
      <c r="AU10" s="185">
        <f t="shared" si="30"/>
        <v>1</v>
      </c>
      <c r="AV10" s="186">
        <f t="shared" si="6"/>
        <v>0</v>
      </c>
      <c r="AW10" s="179">
        <f t="shared" si="31"/>
        <v>40</v>
      </c>
      <c r="AX10" s="239">
        <f t="shared" si="56"/>
        <v>0.4</v>
      </c>
      <c r="AY10" s="54">
        <v>29</v>
      </c>
      <c r="AZ10" s="54">
        <v>29</v>
      </c>
      <c r="BA10" s="189">
        <f t="shared" si="8"/>
        <v>29</v>
      </c>
      <c r="BB10" s="178">
        <f t="shared" si="32"/>
        <v>100</v>
      </c>
      <c r="BC10" s="179">
        <f t="shared" si="33"/>
        <v>100</v>
      </c>
      <c r="BD10" s="30">
        <f t="shared" si="57"/>
        <v>1</v>
      </c>
      <c r="BE10" s="190">
        <v>36788000</v>
      </c>
      <c r="BF10" s="190">
        <v>2051000</v>
      </c>
      <c r="BG10" s="54">
        <v>159000</v>
      </c>
      <c r="BH10" s="191">
        <f t="shared" si="10"/>
        <v>38839000</v>
      </c>
      <c r="BI10" s="178">
        <f t="shared" si="11"/>
        <v>0.40938232189294266</v>
      </c>
      <c r="BJ10" s="294" t="str">
        <f t="shared" si="34"/>
        <v>비제조/서비스업</v>
      </c>
      <c r="BK10" s="192">
        <f t="shared" si="12"/>
        <v>1.7464434573900924</v>
      </c>
      <c r="BL10" s="193">
        <f t="shared" si="35"/>
        <v>-1.3370611354971498</v>
      </c>
      <c r="BM10" s="241">
        <f t="shared" si="36"/>
        <v>80</v>
      </c>
      <c r="BN10" s="47">
        <f t="shared" si="37"/>
        <v>1.6</v>
      </c>
      <c r="BO10" s="54">
        <v>0</v>
      </c>
      <c r="BP10" s="194">
        <f t="shared" si="38"/>
        <v>0</v>
      </c>
      <c r="BQ10" s="179">
        <f t="shared" si="39"/>
        <v>25</v>
      </c>
      <c r="BR10" s="30">
        <f t="shared" si="58"/>
        <v>0.5</v>
      </c>
      <c r="BS10" s="195">
        <v>722768.65</v>
      </c>
      <c r="BT10" s="195">
        <v>39904.953999999998</v>
      </c>
      <c r="BU10" s="196">
        <f t="shared" si="40"/>
        <v>682863.696</v>
      </c>
      <c r="BV10" s="178">
        <f t="shared" si="14"/>
        <v>3.4797032612808004E-2</v>
      </c>
      <c r="BW10" s="192">
        <f t="shared" si="15"/>
        <v>2.8482825397737606</v>
      </c>
      <c r="BX10" s="192">
        <f t="shared" si="41"/>
        <v>7.915700699004721</v>
      </c>
      <c r="BY10" s="192">
        <f t="shared" si="16"/>
        <v>5.5697595856656799</v>
      </c>
      <c r="BZ10" s="192">
        <f t="shared" si="42"/>
        <v>69.326830511175658</v>
      </c>
      <c r="CA10" s="192">
        <f t="shared" si="17"/>
        <v>40</v>
      </c>
      <c r="CB10" s="55">
        <f t="shared" si="43"/>
        <v>0.8</v>
      </c>
      <c r="CC10" s="197">
        <f t="shared" si="59"/>
        <v>74.909794831132658</v>
      </c>
      <c r="CD10" s="198">
        <f t="shared" si="60"/>
        <v>72.144549686759049</v>
      </c>
      <c r="CE10" s="58">
        <f t="shared" si="61"/>
        <v>1.0821682453013857</v>
      </c>
      <c r="CF10" s="245" t="s">
        <v>2326</v>
      </c>
      <c r="CG10" s="245" t="s">
        <v>2326</v>
      </c>
      <c r="CH10" s="245" t="s">
        <v>2326</v>
      </c>
      <c r="CI10" s="245" t="s">
        <v>2326</v>
      </c>
      <c r="CJ10" s="235"/>
      <c r="CK10" s="173" t="s">
        <v>2488</v>
      </c>
      <c r="CL10" s="173" t="s">
        <v>2487</v>
      </c>
      <c r="CM10" s="199">
        <f t="shared" si="44"/>
        <v>70</v>
      </c>
      <c r="CN10" s="58">
        <f t="shared" si="62"/>
        <v>1.05</v>
      </c>
      <c r="CO10" s="54">
        <v>0</v>
      </c>
      <c r="CP10" s="186">
        <f t="shared" si="45"/>
        <v>0</v>
      </c>
      <c r="CQ10" s="179">
        <f t="shared" si="46"/>
        <v>100</v>
      </c>
      <c r="CR10" s="30">
        <f t="shared" si="63"/>
        <v>3</v>
      </c>
      <c r="CS10" s="200">
        <f>_xlfn.XLOOKUP(C10, '1-1. 관계사체무보증금액 (환율 등)'!$3:$3, '1-1. 관계사체무보증금액 (환율 등)'!$33:$33)</f>
        <v>70000000</v>
      </c>
      <c r="CT10" s="178">
        <f t="shared" si="23"/>
        <v>7.0091411887647048</v>
      </c>
      <c r="CU10" s="179">
        <f t="shared" si="47"/>
        <v>80</v>
      </c>
      <c r="CV10" s="30">
        <f t="shared" si="64"/>
        <v>1.6</v>
      </c>
      <c r="CW10" s="72">
        <f t="shared" si="48"/>
        <v>18.347363779942242</v>
      </c>
    </row>
    <row r="11" spans="1:101" x14ac:dyDescent="0.6">
      <c r="A11" s="214" t="s">
        <v>1447</v>
      </c>
      <c r="B11" s="13" t="s">
        <v>1987</v>
      </c>
      <c r="C11" s="219" t="s">
        <v>1448</v>
      </c>
      <c r="D11" s="14" t="s">
        <v>285</v>
      </c>
      <c r="E11" s="217" t="s">
        <v>867</v>
      </c>
      <c r="F11" s="217" t="s">
        <v>1449</v>
      </c>
      <c r="G11" s="218">
        <v>44221</v>
      </c>
      <c r="H11" s="217" t="s">
        <v>830</v>
      </c>
      <c r="I11" s="217" t="s">
        <v>1450</v>
      </c>
      <c r="J11" s="13" t="s">
        <v>1988</v>
      </c>
      <c r="K11" s="217" t="s">
        <v>91</v>
      </c>
      <c r="L11" s="220">
        <v>6952036110</v>
      </c>
      <c r="M11" s="206">
        <v>3038424778</v>
      </c>
      <c r="N11" s="206">
        <v>3913611332</v>
      </c>
      <c r="O11" s="206">
        <v>5275660012</v>
      </c>
      <c r="P11" s="206">
        <v>402580787</v>
      </c>
      <c r="Q11" s="206">
        <v>469747452</v>
      </c>
      <c r="R11" s="206">
        <v>310207542</v>
      </c>
      <c r="S11" s="207">
        <v>38693623</v>
      </c>
      <c r="T11" s="207">
        <v>670930</v>
      </c>
      <c r="U11" s="207">
        <v>8957128</v>
      </c>
      <c r="V11" s="207">
        <f>13802+32264+24168+54</f>
        <v>70288</v>
      </c>
      <c r="W11" s="207">
        <v>0</v>
      </c>
      <c r="X11" s="207">
        <v>488884</v>
      </c>
      <c r="Y11" s="208" t="s">
        <v>2400</v>
      </c>
      <c r="Z11" s="207">
        <v>0</v>
      </c>
      <c r="AA11" s="207">
        <v>0</v>
      </c>
      <c r="AB11" s="176">
        <f t="shared" si="49"/>
        <v>9516300</v>
      </c>
      <c r="AC11" s="177">
        <f t="shared" si="25"/>
        <v>24.59397508473166</v>
      </c>
      <c r="AD11" s="177">
        <f t="shared" si="50"/>
        <v>78.860205623073938</v>
      </c>
      <c r="AE11" s="26">
        <f t="shared" si="53"/>
        <v>2.365806168692218</v>
      </c>
      <c r="AF11" s="178">
        <f t="shared" si="26"/>
        <v>23.742179440051761</v>
      </c>
      <c r="AG11" s="178">
        <f t="shared" si="27"/>
        <v>25.027948441211144</v>
      </c>
      <c r="AH11" s="178">
        <f t="shared" si="51"/>
        <v>1.2857690011593839</v>
      </c>
      <c r="AI11" s="179">
        <f t="shared" si="52"/>
        <v>100</v>
      </c>
      <c r="AJ11" s="30">
        <f t="shared" si="54"/>
        <v>4</v>
      </c>
      <c r="AK11" s="204">
        <v>6</v>
      </c>
      <c r="AL11" s="204">
        <v>63</v>
      </c>
      <c r="AM11" s="180">
        <v>1</v>
      </c>
      <c r="AN11" s="181">
        <f t="shared" si="2"/>
        <v>69</v>
      </c>
      <c r="AO11" s="182">
        <f t="shared" si="3"/>
        <v>1.4492753623188406</v>
      </c>
      <c r="AP11" s="183">
        <f t="shared" si="28"/>
        <v>100</v>
      </c>
      <c r="AQ11" s="38">
        <f t="shared" si="55"/>
        <v>2</v>
      </c>
      <c r="AR11" s="212">
        <v>4</v>
      </c>
      <c r="AS11" s="292">
        <f t="shared" si="5"/>
        <v>0.5</v>
      </c>
      <c r="AT11" s="185">
        <f t="shared" si="29"/>
        <v>3</v>
      </c>
      <c r="AU11" s="185">
        <f t="shared" si="30"/>
        <v>3</v>
      </c>
      <c r="AV11" s="186">
        <f t="shared" si="6"/>
        <v>16.666666666666664</v>
      </c>
      <c r="AW11" s="179">
        <f t="shared" si="31"/>
        <v>60</v>
      </c>
      <c r="AX11" s="239">
        <f t="shared" si="56"/>
        <v>0.6</v>
      </c>
      <c r="AY11" s="54">
        <v>9</v>
      </c>
      <c r="AZ11" s="54">
        <f>7*4+3*2</f>
        <v>34</v>
      </c>
      <c r="BA11" s="189">
        <f t="shared" si="8"/>
        <v>36</v>
      </c>
      <c r="BB11" s="178">
        <f t="shared" si="32"/>
        <v>94.444444444444443</v>
      </c>
      <c r="BC11" s="179">
        <f t="shared" si="33"/>
        <v>100</v>
      </c>
      <c r="BD11" s="30">
        <f t="shared" si="57"/>
        <v>1</v>
      </c>
      <c r="BE11" s="190">
        <v>452654000</v>
      </c>
      <c r="BF11" s="190">
        <v>35841000</v>
      </c>
      <c r="BG11" s="301">
        <v>0</v>
      </c>
      <c r="BH11" s="191">
        <f t="shared" si="10"/>
        <v>488495000</v>
      </c>
      <c r="BI11" s="178">
        <f t="shared" si="11"/>
        <v>0</v>
      </c>
      <c r="BJ11" s="294" t="str">
        <f t="shared" si="34"/>
        <v>비제조/서비스업</v>
      </c>
      <c r="BK11" s="192">
        <f t="shared" si="12"/>
        <v>1.7464434573900924</v>
      </c>
      <c r="BL11" s="193">
        <f t="shared" si="35"/>
        <v>-1.7464434573900924</v>
      </c>
      <c r="BM11" s="241">
        <f t="shared" si="36"/>
        <v>80</v>
      </c>
      <c r="BN11" s="47">
        <f t="shared" si="37"/>
        <v>1.6</v>
      </c>
      <c r="BO11" s="54">
        <f>54558000-44000</f>
        <v>54514000</v>
      </c>
      <c r="BP11" s="194">
        <f t="shared" si="38"/>
        <v>1.0333114695792114</v>
      </c>
      <c r="BQ11" s="179">
        <f t="shared" si="39"/>
        <v>70</v>
      </c>
      <c r="BR11" s="30">
        <f t="shared" si="58"/>
        <v>1.4000000000000001</v>
      </c>
      <c r="BS11" s="195">
        <v>2146909.04</v>
      </c>
      <c r="BT11" s="195">
        <v>173026.47399999999</v>
      </c>
      <c r="BU11" s="196">
        <f t="shared" si="40"/>
        <v>1973882.5660000001</v>
      </c>
      <c r="BV11" s="178">
        <f t="shared" si="14"/>
        <v>3.7414893331075408E-2</v>
      </c>
      <c r="BW11" s="192">
        <f t="shared" si="15"/>
        <v>2.8482825397737606</v>
      </c>
      <c r="BX11" s="192">
        <f t="shared" si="41"/>
        <v>7.9009769258182398</v>
      </c>
      <c r="BY11" s="192">
        <f t="shared" si="16"/>
        <v>5.5697595856656799</v>
      </c>
      <c r="BZ11" s="192">
        <f t="shared" si="42"/>
        <v>69.310323672421887</v>
      </c>
      <c r="CA11" s="192">
        <f t="shared" si="17"/>
        <v>40</v>
      </c>
      <c r="CB11" s="55">
        <f t="shared" si="43"/>
        <v>0.8</v>
      </c>
      <c r="CC11" s="197">
        <f t="shared" si="59"/>
        <v>77.637366622383851</v>
      </c>
      <c r="CD11" s="198">
        <f t="shared" si="60"/>
        <v>71.116570368448293</v>
      </c>
      <c r="CE11" s="58">
        <f t="shared" si="61"/>
        <v>1.0667485555267244</v>
      </c>
      <c r="CF11" s="245" t="s">
        <v>2326</v>
      </c>
      <c r="CG11" s="245" t="s">
        <v>2326</v>
      </c>
      <c r="CH11" s="245" t="s">
        <v>2326</v>
      </c>
      <c r="CI11" s="245" t="s">
        <v>2326</v>
      </c>
      <c r="CJ11" s="235"/>
      <c r="CK11" s="173" t="s">
        <v>2489</v>
      </c>
      <c r="CL11" s="173" t="s">
        <v>2484</v>
      </c>
      <c r="CM11" s="199">
        <f t="shared" si="44"/>
        <v>100</v>
      </c>
      <c r="CN11" s="58">
        <f t="shared" si="62"/>
        <v>1.5</v>
      </c>
      <c r="CO11" s="54">
        <f>244409000+5437000+38383000+4527000+20068000+20000000</f>
        <v>332824000</v>
      </c>
      <c r="CP11" s="186">
        <f t="shared" si="45"/>
        <v>8.5042680983324583</v>
      </c>
      <c r="CQ11" s="179">
        <f t="shared" si="46"/>
        <v>80</v>
      </c>
      <c r="CR11" s="30">
        <f t="shared" si="63"/>
        <v>2.4</v>
      </c>
      <c r="CS11" s="200">
        <f>_xlfn.XLOOKUP(C11, '1-1. 관계사체무보증금액 (환율 등)'!$3:$3, '1-1. 관계사체무보증금액 (환율 등)'!$33:$33)</f>
        <v>1846030379.7468352</v>
      </c>
      <c r="CT11" s="178">
        <f t="shared" si="23"/>
        <v>47.169486776895795</v>
      </c>
      <c r="CU11" s="179">
        <f t="shared" si="47"/>
        <v>40</v>
      </c>
      <c r="CV11" s="30">
        <f t="shared" si="64"/>
        <v>0.8</v>
      </c>
      <c r="CW11" s="72">
        <f t="shared" si="48"/>
        <v>19.532554724218944</v>
      </c>
    </row>
    <row r="12" spans="1:101" x14ac:dyDescent="0.6">
      <c r="A12" s="214" t="s">
        <v>1451</v>
      </c>
      <c r="B12" s="13" t="s">
        <v>1989</v>
      </c>
      <c r="C12" s="219" t="s">
        <v>1452</v>
      </c>
      <c r="D12" s="14" t="s">
        <v>203</v>
      </c>
      <c r="E12" s="217" t="s">
        <v>617</v>
      </c>
      <c r="F12" s="217" t="s">
        <v>1453</v>
      </c>
      <c r="G12" s="218">
        <v>32410</v>
      </c>
      <c r="H12" s="217" t="s">
        <v>830</v>
      </c>
      <c r="I12" s="217" t="s">
        <v>1454</v>
      </c>
      <c r="J12" s="217" t="s">
        <v>1455</v>
      </c>
      <c r="K12" s="217" t="s">
        <v>50</v>
      </c>
      <c r="L12" s="220">
        <v>1632577263</v>
      </c>
      <c r="M12" s="206">
        <v>965677546</v>
      </c>
      <c r="N12" s="206">
        <v>666899717</v>
      </c>
      <c r="O12" s="206">
        <v>772331699</v>
      </c>
      <c r="P12" s="206">
        <v>96511673</v>
      </c>
      <c r="Q12" s="206">
        <v>50588116</v>
      </c>
      <c r="R12" s="206">
        <v>37870319</v>
      </c>
      <c r="S12" s="207">
        <v>9994005</v>
      </c>
      <c r="T12" s="207">
        <v>1375880</v>
      </c>
      <c r="U12" s="300">
        <v>3027814</v>
      </c>
      <c r="V12" s="207">
        <f>1464000+500000+81827+2131</f>
        <v>2047958</v>
      </c>
      <c r="W12" s="207">
        <v>10000</v>
      </c>
      <c r="X12" s="207">
        <v>0</v>
      </c>
      <c r="Z12" s="207">
        <v>0</v>
      </c>
      <c r="AA12" s="207">
        <v>0</v>
      </c>
      <c r="AB12" s="176">
        <f t="shared" si="49"/>
        <v>5085772</v>
      </c>
      <c r="AC12" s="177">
        <f t="shared" si="25"/>
        <v>50.888227492381688</v>
      </c>
      <c r="AD12" s="177">
        <f t="shared" si="50"/>
        <v>56.166662118197628</v>
      </c>
      <c r="AE12" s="26">
        <f t="shared" si="53"/>
        <v>1.6849998635459287</v>
      </c>
      <c r="AF12" s="178">
        <f t="shared" si="26"/>
        <v>58.896476901878316</v>
      </c>
      <c r="AG12" s="178">
        <f t="shared" si="27"/>
        <v>59.012511422148087</v>
      </c>
      <c r="AH12" s="178">
        <f t="shared" si="51"/>
        <v>0.11603452026977124</v>
      </c>
      <c r="AI12" s="179">
        <f t="shared" si="52"/>
        <v>100</v>
      </c>
      <c r="AJ12" s="30">
        <f t="shared" si="54"/>
        <v>4</v>
      </c>
      <c r="AK12" s="204">
        <v>5</v>
      </c>
      <c r="AL12" s="204">
        <v>33</v>
      </c>
      <c r="AM12" s="204">
        <v>1</v>
      </c>
      <c r="AN12" s="181">
        <f t="shared" si="2"/>
        <v>38</v>
      </c>
      <c r="AO12" s="182">
        <f t="shared" si="3"/>
        <v>2.6315789473684208</v>
      </c>
      <c r="AP12" s="183">
        <f t="shared" si="28"/>
        <v>100</v>
      </c>
      <c r="AQ12" s="38">
        <f t="shared" si="55"/>
        <v>2</v>
      </c>
      <c r="AR12" s="212">
        <v>1</v>
      </c>
      <c r="AS12" s="292">
        <f t="shared" si="5"/>
        <v>0.25</v>
      </c>
      <c r="AT12" s="185">
        <f t="shared" si="29"/>
        <v>1.25</v>
      </c>
      <c r="AU12" s="185">
        <f t="shared" si="30"/>
        <v>1</v>
      </c>
      <c r="AV12" s="186">
        <f t="shared" si="6"/>
        <v>0</v>
      </c>
      <c r="AW12" s="179">
        <f t="shared" si="31"/>
        <v>40</v>
      </c>
      <c r="AX12" s="239">
        <f t="shared" si="56"/>
        <v>0.4</v>
      </c>
      <c r="AY12" s="54">
        <v>21</v>
      </c>
      <c r="AZ12" s="54">
        <v>17</v>
      </c>
      <c r="BA12" s="189">
        <f t="shared" si="8"/>
        <v>21</v>
      </c>
      <c r="BB12" s="178">
        <f t="shared" si="32"/>
        <v>80.952380952380949</v>
      </c>
      <c r="BC12" s="179">
        <f t="shared" si="33"/>
        <v>75</v>
      </c>
      <c r="BD12" s="30">
        <f t="shared" si="57"/>
        <v>0.75</v>
      </c>
      <c r="BE12" s="190">
        <v>98950122</v>
      </c>
      <c r="BF12" s="190">
        <v>4632784</v>
      </c>
      <c r="BG12" s="54">
        <v>970372</v>
      </c>
      <c r="BH12" s="191">
        <f t="shared" si="10"/>
        <v>103582906</v>
      </c>
      <c r="BI12" s="178">
        <f t="shared" si="11"/>
        <v>0.9368070828211752</v>
      </c>
      <c r="BJ12" s="294" t="str">
        <f t="shared" si="34"/>
        <v>금속/비금속/화학업</v>
      </c>
      <c r="BK12" s="192">
        <f t="shared" si="12"/>
        <v>3.9534118626990464</v>
      </c>
      <c r="BL12" s="193">
        <f t="shared" si="35"/>
        <v>-3.0166047798778712</v>
      </c>
      <c r="BM12" s="241">
        <f t="shared" si="36"/>
        <v>100</v>
      </c>
      <c r="BN12" s="47">
        <f t="shared" si="37"/>
        <v>2</v>
      </c>
      <c r="BO12" s="54">
        <v>74012427</v>
      </c>
      <c r="BP12" s="194">
        <f t="shared" si="38"/>
        <v>9.5829844995135964</v>
      </c>
      <c r="BQ12" s="179">
        <f t="shared" si="39"/>
        <v>100</v>
      </c>
      <c r="BR12" s="30">
        <f t="shared" si="58"/>
        <v>2</v>
      </c>
      <c r="BS12" s="195">
        <v>55551836.513999999</v>
      </c>
      <c r="BT12" s="195">
        <v>2178713.4330000002</v>
      </c>
      <c r="BU12" s="196">
        <f t="shared" si="40"/>
        <v>53373123.081</v>
      </c>
      <c r="BV12" s="178">
        <f t="shared" si="14"/>
        <v>6.9106477372489667</v>
      </c>
      <c r="BW12" s="192">
        <f t="shared" si="15"/>
        <v>5.1474158565187729</v>
      </c>
      <c r="BX12" s="192">
        <f t="shared" si="41"/>
        <v>3.1089866652233367</v>
      </c>
      <c r="BY12" s="192">
        <f t="shared" si="16"/>
        <v>6.6930498535228526</v>
      </c>
      <c r="BZ12" s="192">
        <f t="shared" si="42"/>
        <v>39.610487812224946</v>
      </c>
      <c r="CA12" s="192">
        <f t="shared" si="17"/>
        <v>55</v>
      </c>
      <c r="CB12" s="55">
        <f t="shared" si="43"/>
        <v>1.1000000000000001</v>
      </c>
      <c r="CC12" s="197">
        <f t="shared" si="59"/>
        <v>144.80101301347531</v>
      </c>
      <c r="CD12" s="198">
        <f t="shared" si="60"/>
        <v>45.80363831150428</v>
      </c>
      <c r="CE12" s="58">
        <f t="shared" si="61"/>
        <v>0.68705457467256414</v>
      </c>
      <c r="CF12" s="245" t="s">
        <v>2326</v>
      </c>
      <c r="CG12" s="245" t="s">
        <v>2326</v>
      </c>
      <c r="CH12" s="245" t="s">
        <v>2326</v>
      </c>
      <c r="CI12" s="245" t="s">
        <v>2326</v>
      </c>
      <c r="CJ12" s="235"/>
      <c r="CK12" s="173" t="s">
        <v>2479</v>
      </c>
      <c r="CL12" s="173" t="s">
        <v>2478</v>
      </c>
      <c r="CM12" s="199">
        <f t="shared" si="44"/>
        <v>25</v>
      </c>
      <c r="CN12" s="58">
        <f t="shared" si="62"/>
        <v>0.375</v>
      </c>
      <c r="CO12" s="54">
        <f>28814000+4128000+24869000+900694000+19733000+1856000+35059000+21454000+361000+570000+10100000+1725000</f>
        <v>1049363000</v>
      </c>
      <c r="CP12" s="186">
        <f t="shared" si="45"/>
        <v>157.34944448926794</v>
      </c>
      <c r="CQ12" s="179">
        <f t="shared" si="46"/>
        <v>20</v>
      </c>
      <c r="CR12" s="30">
        <f t="shared" si="63"/>
        <v>0.6</v>
      </c>
      <c r="CS12" s="200">
        <f>_xlfn.XLOOKUP(C12, '1-1. 관계사체무보증금액 (환율 등)'!$3:$3, '1-1. 관계사체무보증금액 (환율 등)'!$33:$33)</f>
        <v>2652273640.5467606</v>
      </c>
      <c r="CT12" s="178">
        <f t="shared" si="23"/>
        <v>397.70201919980133</v>
      </c>
      <c r="CU12" s="179">
        <f t="shared" si="47"/>
        <v>20</v>
      </c>
      <c r="CV12" s="30">
        <f t="shared" si="64"/>
        <v>0.4</v>
      </c>
      <c r="CW12" s="72">
        <f t="shared" si="48"/>
        <v>15.997054438218491</v>
      </c>
    </row>
    <row r="13" spans="1:101" x14ac:dyDescent="0.6">
      <c r="A13" s="214" t="s">
        <v>1456</v>
      </c>
      <c r="B13" s="13" t="s">
        <v>1990</v>
      </c>
      <c r="C13" s="219" t="s">
        <v>496</v>
      </c>
      <c r="D13" s="216" t="s">
        <v>203</v>
      </c>
      <c r="E13" s="217" t="s">
        <v>200</v>
      </c>
      <c r="F13" s="217" t="s">
        <v>83</v>
      </c>
      <c r="G13" s="218">
        <v>41409</v>
      </c>
      <c r="H13" s="217" t="s">
        <v>830</v>
      </c>
      <c r="I13" s="217" t="s">
        <v>697</v>
      </c>
      <c r="J13" s="217" t="s">
        <v>1003</v>
      </c>
      <c r="K13" s="217" t="s">
        <v>484</v>
      </c>
      <c r="L13" s="220">
        <v>279626168</v>
      </c>
      <c r="M13" s="206">
        <v>94093073</v>
      </c>
      <c r="N13" s="206">
        <v>185533095</v>
      </c>
      <c r="O13" s="206">
        <v>246405810</v>
      </c>
      <c r="P13" s="206">
        <v>31078773</v>
      </c>
      <c r="Q13" s="206">
        <v>26528544</v>
      </c>
      <c r="R13" s="206">
        <v>19234317</v>
      </c>
      <c r="S13" s="207">
        <v>16000000</v>
      </c>
      <c r="T13" s="207">
        <v>0</v>
      </c>
      <c r="U13" s="207">
        <f>5080000+1377450</f>
        <v>6457450</v>
      </c>
      <c r="V13" s="207">
        <f>1267950+693719+600000+125000+123842</f>
        <v>2810511</v>
      </c>
      <c r="W13" s="207">
        <f>620500+561200+320500+162280</f>
        <v>1664480</v>
      </c>
      <c r="X13" s="207">
        <v>0</v>
      </c>
      <c r="Z13" s="207">
        <v>0</v>
      </c>
      <c r="AA13" s="207">
        <v>461000</v>
      </c>
      <c r="AB13" s="176">
        <f t="shared" si="49"/>
        <v>10932441</v>
      </c>
      <c r="AC13" s="177">
        <f t="shared" si="25"/>
        <v>68.327756250000007</v>
      </c>
      <c r="AD13" s="177">
        <f t="shared" si="50"/>
        <v>41.115285169735323</v>
      </c>
      <c r="AE13" s="26">
        <f t="shared" si="53"/>
        <v>1.2334585550920596</v>
      </c>
      <c r="AF13" s="178">
        <f t="shared" si="26"/>
        <v>59.643226719866135</v>
      </c>
      <c r="AG13" s="178">
        <f t="shared" si="27"/>
        <v>67.388126649076526</v>
      </c>
      <c r="AH13" s="178">
        <f t="shared" si="51"/>
        <v>7.7448999292103906</v>
      </c>
      <c r="AI13" s="179">
        <f t="shared" si="52"/>
        <v>100</v>
      </c>
      <c r="AJ13" s="30">
        <f t="shared" si="54"/>
        <v>4</v>
      </c>
      <c r="AK13" s="204">
        <v>5</v>
      </c>
      <c r="AL13" s="204">
        <v>10</v>
      </c>
      <c r="AM13" s="204">
        <v>3</v>
      </c>
      <c r="AN13" s="181">
        <f t="shared" si="2"/>
        <v>15</v>
      </c>
      <c r="AO13" s="182">
        <f t="shared" si="3"/>
        <v>20</v>
      </c>
      <c r="AP13" s="183">
        <f t="shared" si="28"/>
        <v>60</v>
      </c>
      <c r="AQ13" s="38">
        <f t="shared" si="55"/>
        <v>1.2</v>
      </c>
      <c r="AR13" s="212">
        <v>3</v>
      </c>
      <c r="AS13" s="292">
        <f t="shared" si="5"/>
        <v>0.25</v>
      </c>
      <c r="AT13" s="185">
        <f t="shared" si="29"/>
        <v>1.25</v>
      </c>
      <c r="AU13" s="185">
        <f t="shared" si="30"/>
        <v>1</v>
      </c>
      <c r="AV13" s="186">
        <f t="shared" si="6"/>
        <v>40</v>
      </c>
      <c r="AW13" s="179">
        <f t="shared" si="31"/>
        <v>100</v>
      </c>
      <c r="AX13" s="239">
        <f t="shared" si="56"/>
        <v>1</v>
      </c>
      <c r="AY13" s="54">
        <v>11</v>
      </c>
      <c r="AZ13" s="54">
        <f>11+4+10</f>
        <v>25</v>
      </c>
      <c r="BA13" s="189">
        <f t="shared" si="8"/>
        <v>33</v>
      </c>
      <c r="BB13" s="178">
        <f t="shared" si="32"/>
        <v>75.757575757575751</v>
      </c>
      <c r="BC13" s="179">
        <f t="shared" si="33"/>
        <v>50</v>
      </c>
      <c r="BD13" s="30">
        <f t="shared" si="57"/>
        <v>0.5</v>
      </c>
      <c r="BE13" s="190">
        <v>4901481</v>
      </c>
      <c r="BF13" s="190">
        <v>373273</v>
      </c>
      <c r="BG13" s="301">
        <v>0</v>
      </c>
      <c r="BH13" s="191">
        <f t="shared" si="10"/>
        <v>5274754</v>
      </c>
      <c r="BI13" s="178">
        <f t="shared" si="11"/>
        <v>0</v>
      </c>
      <c r="BJ13" s="294" t="str">
        <f t="shared" si="34"/>
        <v>금속/비금속/화학업</v>
      </c>
      <c r="BK13" s="192">
        <f t="shared" si="12"/>
        <v>3.9534118626990464</v>
      </c>
      <c r="BL13" s="193">
        <f t="shared" si="35"/>
        <v>-3.9534118626990464</v>
      </c>
      <c r="BM13" s="241">
        <f t="shared" si="36"/>
        <v>100</v>
      </c>
      <c r="BN13" s="47">
        <f t="shared" si="37"/>
        <v>2</v>
      </c>
      <c r="BO13" s="54">
        <v>2711000</v>
      </c>
      <c r="BP13" s="194">
        <f t="shared" si="38"/>
        <v>1.1002175638634495</v>
      </c>
      <c r="BQ13" s="179">
        <f t="shared" si="39"/>
        <v>70</v>
      </c>
      <c r="BR13" s="30">
        <f t="shared" si="58"/>
        <v>1.4000000000000001</v>
      </c>
      <c r="BS13" s="195">
        <v>54854076.913000003</v>
      </c>
      <c r="BT13" s="195">
        <v>82975.771999999997</v>
      </c>
      <c r="BU13" s="196">
        <f t="shared" si="40"/>
        <v>54771101.141000003</v>
      </c>
      <c r="BV13" s="178">
        <f t="shared" si="14"/>
        <v>22.22800718091834</v>
      </c>
      <c r="BW13" s="192">
        <f t="shared" si="15"/>
        <v>5.1474158565187729</v>
      </c>
      <c r="BX13" s="192">
        <f t="shared" si="41"/>
        <v>291.74659999115374</v>
      </c>
      <c r="BY13" s="192">
        <f t="shared" si="16"/>
        <v>6.6930498535228526</v>
      </c>
      <c r="BZ13" s="192">
        <f t="shared" si="42"/>
        <v>0.53554910644038056</v>
      </c>
      <c r="CA13" s="192">
        <f t="shared" si="17"/>
        <v>100</v>
      </c>
      <c r="CB13" s="55">
        <f t="shared" si="43"/>
        <v>2</v>
      </c>
      <c r="CC13" s="197">
        <f t="shared" si="59"/>
        <v>50.714980526789574</v>
      </c>
      <c r="CD13" s="198">
        <f t="shared" si="60"/>
        <v>81.263198293923523</v>
      </c>
      <c r="CE13" s="58">
        <f t="shared" si="61"/>
        <v>1.2189479744088527</v>
      </c>
      <c r="CF13" s="245" t="s">
        <v>2326</v>
      </c>
      <c r="CG13" s="245" t="s">
        <v>2326</v>
      </c>
      <c r="CH13" s="245" t="s">
        <v>2326</v>
      </c>
      <c r="CI13" s="245" t="s">
        <v>2326</v>
      </c>
      <c r="CJ13" s="235"/>
      <c r="CK13" s="173" t="s">
        <v>2479</v>
      </c>
      <c r="CL13" s="173" t="s">
        <v>2478</v>
      </c>
      <c r="CM13" s="199">
        <f t="shared" si="44"/>
        <v>25</v>
      </c>
      <c r="CN13" s="58">
        <f t="shared" si="62"/>
        <v>0.375</v>
      </c>
      <c r="CO13" s="54">
        <f>2201000+11975000+5355000+10000</f>
        <v>19541000</v>
      </c>
      <c r="CP13" s="186">
        <f t="shared" si="45"/>
        <v>10.532352732001803</v>
      </c>
      <c r="CQ13" s="179">
        <f t="shared" si="46"/>
        <v>60</v>
      </c>
      <c r="CR13" s="30">
        <f t="shared" si="63"/>
        <v>1.7999999999999998</v>
      </c>
      <c r="CS13" s="200">
        <f>_xlfn.XLOOKUP(C13, '1-1. 관계사체무보증금액 (환율 등)'!$3:$3, '1-1. 관계사체무보증금액 (환율 등)'!$33:$33)</f>
        <v>10297639.411563462</v>
      </c>
      <c r="CT13" s="178">
        <f t="shared" si="23"/>
        <v>5.5502978654905002</v>
      </c>
      <c r="CU13" s="179">
        <f t="shared" si="47"/>
        <v>80</v>
      </c>
      <c r="CV13" s="30">
        <f t="shared" si="64"/>
        <v>1.6</v>
      </c>
      <c r="CW13" s="72">
        <f t="shared" si="48"/>
        <v>18.327406529500912</v>
      </c>
    </row>
    <row r="14" spans="1:101" x14ac:dyDescent="0.6">
      <c r="A14" s="214" t="s">
        <v>96</v>
      </c>
      <c r="B14" s="13" t="s">
        <v>1991</v>
      </c>
      <c r="C14" s="219" t="s">
        <v>66</v>
      </c>
      <c r="D14" s="216" t="s">
        <v>203</v>
      </c>
      <c r="E14" s="217" t="s">
        <v>195</v>
      </c>
      <c r="F14" s="217" t="s">
        <v>288</v>
      </c>
      <c r="G14" s="218">
        <v>37649</v>
      </c>
      <c r="H14" s="217" t="s">
        <v>830</v>
      </c>
      <c r="I14" s="217" t="s">
        <v>980</v>
      </c>
      <c r="J14" s="217" t="s">
        <v>1033</v>
      </c>
      <c r="K14" s="217" t="s">
        <v>341</v>
      </c>
      <c r="L14" s="220">
        <v>259398157</v>
      </c>
      <c r="M14" s="206">
        <v>76302600</v>
      </c>
      <c r="N14" s="206">
        <v>183095557</v>
      </c>
      <c r="O14" s="206">
        <v>261687162</v>
      </c>
      <c r="P14" s="206">
        <v>26367414</v>
      </c>
      <c r="Q14" s="206">
        <v>33010683</v>
      </c>
      <c r="R14" s="206">
        <v>28926448</v>
      </c>
      <c r="S14" s="207">
        <v>14400000</v>
      </c>
      <c r="T14" s="207">
        <v>0</v>
      </c>
      <c r="U14" s="207">
        <v>3822430</v>
      </c>
      <c r="V14" s="207">
        <f>2441820+510274+361228+311575+184430+108000+60000</f>
        <v>3977327</v>
      </c>
      <c r="W14" s="207">
        <v>0</v>
      </c>
      <c r="X14" s="207">
        <v>0</v>
      </c>
      <c r="Z14" s="207">
        <v>461000</v>
      </c>
      <c r="AA14" s="207">
        <v>5080</v>
      </c>
      <c r="AB14" s="176">
        <f t="shared" si="49"/>
        <v>8260757</v>
      </c>
      <c r="AC14" s="177">
        <f t="shared" si="25"/>
        <v>57.366368055555562</v>
      </c>
      <c r="AD14" s="177">
        <f t="shared" si="50"/>
        <v>50.575631712696584</v>
      </c>
      <c r="AE14" s="26">
        <f t="shared" si="53"/>
        <v>1.5172689513808975</v>
      </c>
      <c r="AF14" s="178">
        <f t="shared" si="26"/>
        <v>54.184094110978045</v>
      </c>
      <c r="AG14" s="178">
        <f t="shared" si="27"/>
        <v>57.35132254989955</v>
      </c>
      <c r="AH14" s="178">
        <f t="shared" si="51"/>
        <v>3.1672284389215051</v>
      </c>
      <c r="AI14" s="179">
        <f t="shared" si="52"/>
        <v>100</v>
      </c>
      <c r="AJ14" s="30">
        <f t="shared" si="54"/>
        <v>4</v>
      </c>
      <c r="AK14" s="204">
        <v>8</v>
      </c>
      <c r="AL14" s="204">
        <v>3</v>
      </c>
      <c r="AM14" s="204">
        <v>4</v>
      </c>
      <c r="AN14" s="181">
        <f t="shared" si="2"/>
        <v>11</v>
      </c>
      <c r="AO14" s="182">
        <f t="shared" si="3"/>
        <v>36.363636363636367</v>
      </c>
      <c r="AP14" s="183">
        <f t="shared" si="28"/>
        <v>40</v>
      </c>
      <c r="AQ14" s="38">
        <f t="shared" si="55"/>
        <v>0.8</v>
      </c>
      <c r="AR14" s="212">
        <v>3</v>
      </c>
      <c r="AS14" s="292">
        <f t="shared" si="5"/>
        <v>0.25</v>
      </c>
      <c r="AT14" s="185">
        <f t="shared" si="29"/>
        <v>2</v>
      </c>
      <c r="AU14" s="185">
        <f t="shared" si="30"/>
        <v>2</v>
      </c>
      <c r="AV14" s="186">
        <f t="shared" si="6"/>
        <v>12.5</v>
      </c>
      <c r="AW14" s="179">
        <f t="shared" si="31"/>
        <v>60</v>
      </c>
      <c r="AX14" s="239">
        <f t="shared" si="56"/>
        <v>0.6</v>
      </c>
      <c r="AY14" s="54">
        <v>9</v>
      </c>
      <c r="AZ14" s="54">
        <f>9+5+8+3</f>
        <v>25</v>
      </c>
      <c r="BA14" s="189">
        <f t="shared" si="8"/>
        <v>27</v>
      </c>
      <c r="BB14" s="178">
        <f t="shared" si="32"/>
        <v>92.592592592592595</v>
      </c>
      <c r="BC14" s="179">
        <f t="shared" si="33"/>
        <v>100</v>
      </c>
      <c r="BD14" s="30">
        <f t="shared" si="57"/>
        <v>1</v>
      </c>
      <c r="BE14" s="190">
        <f>4140857+1683023</f>
        <v>5823880</v>
      </c>
      <c r="BF14" s="190">
        <f>315559+108562</f>
        <v>424121</v>
      </c>
      <c r="BG14" s="54">
        <v>36991</v>
      </c>
      <c r="BH14" s="191">
        <f t="shared" si="10"/>
        <v>6248001</v>
      </c>
      <c r="BI14" s="178">
        <f t="shared" si="11"/>
        <v>0.59204535978787454</v>
      </c>
      <c r="BJ14" s="294" t="str">
        <f t="shared" si="34"/>
        <v>금속/비금속/화학업</v>
      </c>
      <c r="BK14" s="192">
        <f t="shared" si="12"/>
        <v>3.9534118626990464</v>
      </c>
      <c r="BL14" s="193">
        <f t="shared" si="35"/>
        <v>-3.3613665029111717</v>
      </c>
      <c r="BM14" s="241">
        <f t="shared" si="36"/>
        <v>100</v>
      </c>
      <c r="BN14" s="47">
        <f t="shared" si="37"/>
        <v>2</v>
      </c>
      <c r="BO14" s="54">
        <v>1286949</v>
      </c>
      <c r="BP14" s="194">
        <f t="shared" si="38"/>
        <v>0.49178912338084058</v>
      </c>
      <c r="BQ14" s="179">
        <f t="shared" si="39"/>
        <v>55</v>
      </c>
      <c r="BR14" s="30">
        <f t="shared" si="58"/>
        <v>1.1000000000000001</v>
      </c>
      <c r="BS14" s="195">
        <v>2319003.0610000002</v>
      </c>
      <c r="BT14" s="195">
        <v>194359.58</v>
      </c>
      <c r="BU14" s="196">
        <f t="shared" si="40"/>
        <v>2124643.4810000001</v>
      </c>
      <c r="BV14" s="178">
        <f t="shared" si="14"/>
        <v>0.81190206839416912</v>
      </c>
      <c r="BW14" s="192">
        <f t="shared" si="15"/>
        <v>5.1474158565187729</v>
      </c>
      <c r="BX14" s="192">
        <f t="shared" si="41"/>
        <v>18.796679807018549</v>
      </c>
      <c r="BY14" s="192">
        <f t="shared" si="16"/>
        <v>6.6930498535228526</v>
      </c>
      <c r="BZ14" s="192">
        <f t="shared" si="42"/>
        <v>74.143105564161417</v>
      </c>
      <c r="CA14" s="192">
        <f t="shared" si="17"/>
        <v>40</v>
      </c>
      <c r="CB14" s="55">
        <f t="shared" si="43"/>
        <v>0.8</v>
      </c>
      <c r="CC14" s="197">
        <f t="shared" si="59"/>
        <v>41.673649131748178</v>
      </c>
      <c r="CD14" s="198">
        <f t="shared" si="60"/>
        <v>84.670735251853699</v>
      </c>
      <c r="CE14" s="58">
        <f t="shared" si="61"/>
        <v>1.2700610287778054</v>
      </c>
      <c r="CF14" s="245" t="s">
        <v>2326</v>
      </c>
      <c r="CG14" s="245" t="s">
        <v>2326</v>
      </c>
      <c r="CH14" s="245" t="s">
        <v>2326</v>
      </c>
      <c r="CI14" s="245" t="s">
        <v>2326</v>
      </c>
      <c r="CJ14" s="235"/>
      <c r="CK14" s="173" t="s">
        <v>2479</v>
      </c>
      <c r="CL14" s="173" t="s">
        <v>2478</v>
      </c>
      <c r="CM14" s="199">
        <f t="shared" si="44"/>
        <v>25</v>
      </c>
      <c r="CN14" s="58">
        <f t="shared" si="62"/>
        <v>0.375</v>
      </c>
      <c r="CO14" s="54">
        <f>64619000+1730000+98000+10000</f>
        <v>66457000</v>
      </c>
      <c r="CP14" s="186">
        <f t="shared" si="45"/>
        <v>36.296347704384772</v>
      </c>
      <c r="CQ14" s="179">
        <f t="shared" si="46"/>
        <v>40</v>
      </c>
      <c r="CR14" s="30">
        <f t="shared" si="63"/>
        <v>1.2</v>
      </c>
      <c r="CS14" s="200">
        <f>_xlfn.XLOOKUP(C14, '1-1. 관계사체무보증금액 (환율 등)'!$3:$3, '1-1. 관계사체무보증금액 (환율 등)'!$33:$33)</f>
        <v>10297639.411563462</v>
      </c>
      <c r="CT14" s="178">
        <f t="shared" si="23"/>
        <v>5.624188582338709</v>
      </c>
      <c r="CU14" s="179">
        <f t="shared" si="47"/>
        <v>80</v>
      </c>
      <c r="CV14" s="30">
        <f t="shared" si="64"/>
        <v>1.6</v>
      </c>
      <c r="CW14" s="72">
        <f t="shared" si="48"/>
        <v>16.262329980158704</v>
      </c>
    </row>
    <row r="15" spans="1:101" x14ac:dyDescent="0.6">
      <c r="A15" s="214" t="s">
        <v>1457</v>
      </c>
      <c r="B15" s="13" t="s">
        <v>1992</v>
      </c>
      <c r="C15" s="219" t="s">
        <v>1458</v>
      </c>
      <c r="D15" s="14" t="s">
        <v>191</v>
      </c>
      <c r="E15" s="217" t="s">
        <v>190</v>
      </c>
      <c r="F15" s="217" t="s">
        <v>1459</v>
      </c>
      <c r="G15" s="218">
        <v>44337</v>
      </c>
      <c r="H15" s="217" t="s">
        <v>830</v>
      </c>
      <c r="I15" s="217" t="s">
        <v>1460</v>
      </c>
      <c r="J15" s="217" t="s">
        <v>1461</v>
      </c>
      <c r="K15" s="217" t="s">
        <v>91</v>
      </c>
      <c r="L15" s="220">
        <v>1329134616</v>
      </c>
      <c r="M15" s="206">
        <v>413421862</v>
      </c>
      <c r="N15" s="206">
        <v>915712754</v>
      </c>
      <c r="O15" s="206">
        <v>1615587865</v>
      </c>
      <c r="P15" s="206">
        <v>523701828</v>
      </c>
      <c r="Q15" s="206">
        <v>528169893</v>
      </c>
      <c r="R15" s="206">
        <v>385627456</v>
      </c>
      <c r="S15" s="207">
        <v>38307075</v>
      </c>
      <c r="T15" s="207">
        <v>164334</v>
      </c>
      <c r="U15" s="207">
        <f>11700060+8811400</f>
        <v>20511460</v>
      </c>
      <c r="V15" s="207">
        <f>383075+191540+191540+546550+322125+379590+135470+84870</f>
        <v>2234760</v>
      </c>
      <c r="W15" s="207">
        <v>0</v>
      </c>
      <c r="X15" s="207">
        <v>0</v>
      </c>
      <c r="Z15" s="207">
        <v>0</v>
      </c>
      <c r="AA15" s="207">
        <v>0</v>
      </c>
      <c r="AB15" s="176">
        <f t="shared" si="49"/>
        <v>22746220</v>
      </c>
      <c r="AC15" s="177">
        <f t="shared" si="25"/>
        <v>59.378639585507372</v>
      </c>
      <c r="AD15" s="177">
        <f t="shared" si="50"/>
        <v>48.838918654625402</v>
      </c>
      <c r="AE15" s="26">
        <f t="shared" si="53"/>
        <v>1.4651675596387621</v>
      </c>
      <c r="AF15" s="178">
        <f t="shared" si="26"/>
        <v>59.634466227794171</v>
      </c>
      <c r="AG15" s="178">
        <f t="shared" si="27"/>
        <v>59.634466227794171</v>
      </c>
      <c r="AH15" s="178">
        <f t="shared" si="51"/>
        <v>0</v>
      </c>
      <c r="AI15" s="179">
        <f t="shared" si="52"/>
        <v>100</v>
      </c>
      <c r="AJ15" s="30">
        <f t="shared" si="54"/>
        <v>4</v>
      </c>
      <c r="AK15" s="204">
        <v>6</v>
      </c>
      <c r="AL15" s="204">
        <v>17</v>
      </c>
      <c r="AM15" s="204">
        <v>2</v>
      </c>
      <c r="AN15" s="181">
        <f t="shared" si="2"/>
        <v>23</v>
      </c>
      <c r="AO15" s="182">
        <f t="shared" si="3"/>
        <v>8.695652173913043</v>
      </c>
      <c r="AP15" s="183">
        <f t="shared" si="28"/>
        <v>100</v>
      </c>
      <c r="AQ15" s="38">
        <f t="shared" si="55"/>
        <v>2</v>
      </c>
      <c r="AR15" s="212">
        <v>2</v>
      </c>
      <c r="AS15" s="292">
        <f t="shared" si="5"/>
        <v>0.25</v>
      </c>
      <c r="AT15" s="185">
        <f t="shared" si="29"/>
        <v>1.5</v>
      </c>
      <c r="AU15" s="185">
        <f t="shared" si="30"/>
        <v>1</v>
      </c>
      <c r="AV15" s="186">
        <f t="shared" si="6"/>
        <v>16.666666666666664</v>
      </c>
      <c r="AW15" s="179">
        <f t="shared" si="31"/>
        <v>60</v>
      </c>
      <c r="AX15" s="239">
        <f t="shared" si="56"/>
        <v>0.6</v>
      </c>
      <c r="AY15" s="54">
        <v>11</v>
      </c>
      <c r="AZ15" s="54">
        <f>11+5</f>
        <v>16</v>
      </c>
      <c r="BA15" s="189">
        <f t="shared" si="8"/>
        <v>22</v>
      </c>
      <c r="BB15" s="178">
        <f t="shared" si="32"/>
        <v>72.727272727272734</v>
      </c>
      <c r="BC15" s="179">
        <f t="shared" si="33"/>
        <v>50</v>
      </c>
      <c r="BD15" s="30">
        <f t="shared" si="57"/>
        <v>0.5</v>
      </c>
      <c r="BE15" s="190">
        <v>27577219</v>
      </c>
      <c r="BF15" s="190">
        <v>2714245</v>
      </c>
      <c r="BG15" s="54">
        <v>284451</v>
      </c>
      <c r="BH15" s="191">
        <f t="shared" si="10"/>
        <v>30291464</v>
      </c>
      <c r="BI15" s="178">
        <f t="shared" si="11"/>
        <v>0.93904672286555713</v>
      </c>
      <c r="BJ15" s="294" t="str">
        <f t="shared" si="34"/>
        <v>식약/섬유/종이업</v>
      </c>
      <c r="BK15" s="192">
        <f t="shared" si="12"/>
        <v>2.1999360555264444</v>
      </c>
      <c r="BL15" s="193">
        <f t="shared" si="35"/>
        <v>-1.2608893326608874</v>
      </c>
      <c r="BM15" s="241">
        <f t="shared" si="36"/>
        <v>80</v>
      </c>
      <c r="BN15" s="47">
        <f t="shared" si="37"/>
        <v>1.6</v>
      </c>
      <c r="BO15" s="54">
        <v>0</v>
      </c>
      <c r="BP15" s="194">
        <f t="shared" si="38"/>
        <v>0</v>
      </c>
      <c r="BQ15" s="179">
        <f t="shared" si="39"/>
        <v>25</v>
      </c>
      <c r="BR15" s="30">
        <f t="shared" si="58"/>
        <v>0.5</v>
      </c>
      <c r="BS15" s="195">
        <v>8692977.7890000008</v>
      </c>
      <c r="BT15" s="195">
        <v>0</v>
      </c>
      <c r="BU15" s="196">
        <f t="shared" si="40"/>
        <v>8692977.7890000008</v>
      </c>
      <c r="BV15" s="178">
        <f t="shared" si="14"/>
        <v>0.53806901978680077</v>
      </c>
      <c r="BW15" s="192">
        <f t="shared" si="15"/>
        <v>5.0508176117342281</v>
      </c>
      <c r="BX15" s="192">
        <f t="shared" si="41"/>
        <v>20.364899854123486</v>
      </c>
      <c r="BY15" s="192">
        <f t="shared" si="16"/>
        <v>6.9871618081220941</v>
      </c>
      <c r="BZ15" s="192">
        <f t="shared" si="42"/>
        <v>74.081592607214745</v>
      </c>
      <c r="CA15" s="192">
        <f t="shared" si="17"/>
        <v>40</v>
      </c>
      <c r="CB15" s="55">
        <f t="shared" si="43"/>
        <v>0.8</v>
      </c>
      <c r="CC15" s="197">
        <f t="shared" si="59"/>
        <v>45.147548747584658</v>
      </c>
      <c r="CD15" s="198">
        <f t="shared" si="60"/>
        <v>83.3614766026691</v>
      </c>
      <c r="CE15" s="58">
        <f t="shared" si="61"/>
        <v>1.2504221490400365</v>
      </c>
      <c r="CF15" s="245" t="s">
        <v>2326</v>
      </c>
      <c r="CG15" s="245" t="s">
        <v>2326</v>
      </c>
      <c r="CH15" s="245" t="s">
        <v>2326</v>
      </c>
      <c r="CI15" s="245" t="s">
        <v>2326</v>
      </c>
      <c r="CJ15" s="235"/>
      <c r="CK15" s="173" t="s">
        <v>2479</v>
      </c>
      <c r="CL15" s="173" t="s">
        <v>2478</v>
      </c>
      <c r="CM15" s="199">
        <f t="shared" si="44"/>
        <v>25</v>
      </c>
      <c r="CN15" s="58">
        <f t="shared" si="62"/>
        <v>0.375</v>
      </c>
      <c r="CO15" s="54">
        <f>4682000+2888000+116000+1813000+23496000+71531000+11512000+2000000</f>
        <v>118038000</v>
      </c>
      <c r="CP15" s="186">
        <f t="shared" si="45"/>
        <v>12.890286772177031</v>
      </c>
      <c r="CQ15" s="179">
        <f t="shared" si="46"/>
        <v>60</v>
      </c>
      <c r="CR15" s="30">
        <f t="shared" si="63"/>
        <v>1.7999999999999998</v>
      </c>
      <c r="CS15" s="200">
        <f>_xlfn.XLOOKUP(C15, '1-1. 관계사체무보증금액 (환율 등)'!$3:$3, '1-1. 관계사체무보증금액 (환율 등)'!$33:$33)</f>
        <v>41070381.231671557</v>
      </c>
      <c r="CT15" s="178">
        <f t="shared" si="23"/>
        <v>4.4850725352757896</v>
      </c>
      <c r="CU15" s="179">
        <f t="shared" si="47"/>
        <v>80</v>
      </c>
      <c r="CV15" s="30">
        <f t="shared" si="64"/>
        <v>1.6</v>
      </c>
      <c r="CW15" s="72">
        <f t="shared" si="48"/>
        <v>16.490589708678801</v>
      </c>
    </row>
    <row r="16" spans="1:101" x14ac:dyDescent="0.6">
      <c r="A16" s="214" t="s">
        <v>1462</v>
      </c>
      <c r="B16" s="13" t="s">
        <v>1993</v>
      </c>
      <c r="C16" s="219" t="s">
        <v>1463</v>
      </c>
      <c r="D16" s="14" t="s">
        <v>285</v>
      </c>
      <c r="E16" s="217" t="s">
        <v>872</v>
      </c>
      <c r="F16" s="217" t="s">
        <v>1464</v>
      </c>
      <c r="G16" s="218">
        <v>29801</v>
      </c>
      <c r="H16" s="217" t="s">
        <v>830</v>
      </c>
      <c r="I16" s="217" t="s">
        <v>1465</v>
      </c>
      <c r="J16" s="217" t="s">
        <v>1466</v>
      </c>
      <c r="K16" s="217" t="s">
        <v>91</v>
      </c>
      <c r="L16" s="220">
        <v>12739404443</v>
      </c>
      <c r="M16" s="206">
        <v>7806315499</v>
      </c>
      <c r="N16" s="206">
        <v>4933088944</v>
      </c>
      <c r="O16" s="206">
        <v>8613702892</v>
      </c>
      <c r="P16" s="206">
        <v>281011393</v>
      </c>
      <c r="Q16" s="206">
        <v>360875361</v>
      </c>
      <c r="R16" s="206">
        <v>240672686</v>
      </c>
      <c r="S16" s="207">
        <v>85581490</v>
      </c>
      <c r="T16" s="207">
        <v>692595</v>
      </c>
      <c r="U16" s="207">
        <f>7089463</f>
        <v>7089463</v>
      </c>
      <c r="V16" s="207">
        <f>24604+1331162+1288824+282054+21429+3035643+439462+29588+2433477+300765+246081+1529727+953879+15000+10000</f>
        <v>11941695</v>
      </c>
      <c r="W16" s="207">
        <f>1756+1666+80+7056+144+400+840+1330</f>
        <v>13272</v>
      </c>
      <c r="X16" s="207">
        <v>1201460</v>
      </c>
      <c r="Y16" s="208" t="s">
        <v>2401</v>
      </c>
      <c r="Z16" s="207">
        <v>0</v>
      </c>
      <c r="AA16" s="207">
        <v>0</v>
      </c>
      <c r="AB16" s="176">
        <f t="shared" si="49"/>
        <v>20245890</v>
      </c>
      <c r="AC16" s="177">
        <f t="shared" si="25"/>
        <v>23.656856172987876</v>
      </c>
      <c r="AD16" s="177">
        <f t="shared" si="50"/>
        <v>79.668996398456954</v>
      </c>
      <c r="AE16" s="26">
        <f t="shared" si="53"/>
        <v>2.3900698919537087</v>
      </c>
      <c r="AF16" s="178">
        <f t="shared" si="26"/>
        <v>22.418901789215184</v>
      </c>
      <c r="AG16" s="178">
        <f t="shared" si="27"/>
        <v>23.849868701907358</v>
      </c>
      <c r="AH16" s="178">
        <f t="shared" si="51"/>
        <v>1.430966912692174</v>
      </c>
      <c r="AI16" s="179">
        <f t="shared" si="52"/>
        <v>100</v>
      </c>
      <c r="AJ16" s="30">
        <f t="shared" si="54"/>
        <v>4</v>
      </c>
      <c r="AK16" s="204">
        <v>7</v>
      </c>
      <c r="AL16" s="204">
        <v>46</v>
      </c>
      <c r="AM16" s="204">
        <v>3</v>
      </c>
      <c r="AN16" s="181">
        <f t="shared" si="2"/>
        <v>53</v>
      </c>
      <c r="AO16" s="182">
        <f t="shared" si="3"/>
        <v>5.6603773584905666</v>
      </c>
      <c r="AP16" s="183">
        <f t="shared" si="28"/>
        <v>100</v>
      </c>
      <c r="AQ16" s="38">
        <f t="shared" si="55"/>
        <v>2</v>
      </c>
      <c r="AR16" s="212">
        <v>4</v>
      </c>
      <c r="AS16" s="292">
        <f t="shared" si="5"/>
        <v>0.5</v>
      </c>
      <c r="AT16" s="185">
        <f t="shared" si="29"/>
        <v>3.5</v>
      </c>
      <c r="AU16" s="185">
        <f t="shared" si="30"/>
        <v>3</v>
      </c>
      <c r="AV16" s="186">
        <f t="shared" si="6"/>
        <v>14.285714285714285</v>
      </c>
      <c r="AW16" s="179">
        <f t="shared" si="31"/>
        <v>60</v>
      </c>
      <c r="AX16" s="239">
        <f t="shared" si="56"/>
        <v>0.6</v>
      </c>
      <c r="AY16" s="54">
        <v>8</v>
      </c>
      <c r="AZ16" s="54">
        <f>4*2+3+4+2+4*3</f>
        <v>29</v>
      </c>
      <c r="BA16" s="189">
        <f t="shared" si="8"/>
        <v>32</v>
      </c>
      <c r="BB16" s="178">
        <f t="shared" si="32"/>
        <v>90.625</v>
      </c>
      <c r="BC16" s="179">
        <f t="shared" si="33"/>
        <v>100</v>
      </c>
      <c r="BD16" s="30">
        <f t="shared" si="57"/>
        <v>1</v>
      </c>
      <c r="BE16" s="190">
        <v>201263000</v>
      </c>
      <c r="BF16" s="190">
        <v>20845000</v>
      </c>
      <c r="BG16" s="301">
        <v>0</v>
      </c>
      <c r="BH16" s="191">
        <f t="shared" si="10"/>
        <v>222108000</v>
      </c>
      <c r="BI16" s="178">
        <f t="shared" si="11"/>
        <v>0</v>
      </c>
      <c r="BJ16" s="294" t="str">
        <f t="shared" si="34"/>
        <v>비제조/서비스업</v>
      </c>
      <c r="BK16" s="192">
        <f t="shared" si="12"/>
        <v>1.7464434573900924</v>
      </c>
      <c r="BL16" s="193">
        <f t="shared" si="35"/>
        <v>-1.7464434573900924</v>
      </c>
      <c r="BM16" s="241">
        <f t="shared" si="36"/>
        <v>80</v>
      </c>
      <c r="BN16" s="47">
        <f t="shared" si="37"/>
        <v>1.6</v>
      </c>
      <c r="BO16" s="54">
        <f>(34670-3)*1000</f>
        <v>34667000</v>
      </c>
      <c r="BP16" s="194">
        <f t="shared" si="38"/>
        <v>0.40246338229516915</v>
      </c>
      <c r="BQ16" s="179">
        <f t="shared" si="39"/>
        <v>55</v>
      </c>
      <c r="BR16" s="30">
        <f t="shared" si="58"/>
        <v>1.1000000000000001</v>
      </c>
      <c r="BS16" s="195">
        <v>23550197.510000002</v>
      </c>
      <c r="BT16" s="195">
        <v>452414.84</v>
      </c>
      <c r="BU16" s="196">
        <f t="shared" si="40"/>
        <v>23097782.670000002</v>
      </c>
      <c r="BV16" s="178">
        <f t="shared" si="14"/>
        <v>0.26815160633706242</v>
      </c>
      <c r="BW16" s="192">
        <f t="shared" si="15"/>
        <v>2.8482825397737606</v>
      </c>
      <c r="BX16" s="192">
        <f t="shared" si="41"/>
        <v>6.6570756336769277</v>
      </c>
      <c r="BY16" s="192">
        <f t="shared" si="16"/>
        <v>5.5697595856656799</v>
      </c>
      <c r="BZ16" s="192">
        <f t="shared" si="42"/>
        <v>67.840353683360391</v>
      </c>
      <c r="CA16" s="192">
        <f t="shared" si="17"/>
        <v>40</v>
      </c>
      <c r="CB16" s="55">
        <f t="shared" si="43"/>
        <v>0.8</v>
      </c>
      <c r="CC16" s="197">
        <f t="shared" si="59"/>
        <v>158.24396412910085</v>
      </c>
      <c r="CD16" s="198">
        <f t="shared" si="60"/>
        <v>40.73719944883134</v>
      </c>
      <c r="CE16" s="58">
        <f t="shared" si="61"/>
        <v>0.61105799173247011</v>
      </c>
      <c r="CF16" s="245" t="s">
        <v>2326</v>
      </c>
      <c r="CG16" s="245" t="s">
        <v>2326</v>
      </c>
      <c r="CH16" s="245" t="s">
        <v>2326</v>
      </c>
      <c r="CI16" s="245" t="s">
        <v>2326</v>
      </c>
      <c r="CJ16" s="235"/>
      <c r="CK16" s="173" t="s">
        <v>2490</v>
      </c>
      <c r="CL16" s="173" t="s">
        <v>2487</v>
      </c>
      <c r="CM16" s="199">
        <f t="shared" si="44"/>
        <v>70</v>
      </c>
      <c r="CN16" s="58">
        <f t="shared" si="62"/>
        <v>1.05</v>
      </c>
      <c r="CO16" s="54">
        <f>2176000+91256000+337000+3067000+534000+9380000+100000+20152000+248498000+61437000+20243000+1226000+6902000+77588000+1000+18754000+584000+23916000+15599000+8021000+5000000+9769000+68500000+23866000+1363000+10000000+16005000+6000000+30540000+62000000+10181000+20000+3245000+639720000+22277000+4000000+100000+25879000+98005000+49489000+1000+15218000+8654000+4500000+205000+13000000+6000+37000000+5000</f>
        <v>1774319000</v>
      </c>
      <c r="CP16" s="186">
        <f t="shared" si="45"/>
        <v>35.967707457577113</v>
      </c>
      <c r="CQ16" s="179">
        <f t="shared" si="46"/>
        <v>40</v>
      </c>
      <c r="CR16" s="30">
        <f t="shared" si="63"/>
        <v>1.2</v>
      </c>
      <c r="CS16" s="200">
        <f>_xlfn.XLOOKUP(C16, '1-1. 관계사체무보증금액 (환율 등)'!$3:$3, '1-1. 관계사체무보증금액 (환율 등)'!$33:$33)</f>
        <v>2025061948.3967221</v>
      </c>
      <c r="CT16" s="178">
        <f t="shared" si="23"/>
        <v>41.050586587532692</v>
      </c>
      <c r="CU16" s="179">
        <f t="shared" si="47"/>
        <v>40</v>
      </c>
      <c r="CV16" s="30">
        <f t="shared" si="64"/>
        <v>0.8</v>
      </c>
      <c r="CW16" s="72">
        <f t="shared" si="48"/>
        <v>17.151127883686179</v>
      </c>
    </row>
    <row r="17" spans="1:101" x14ac:dyDescent="0.6">
      <c r="A17" s="214" t="s">
        <v>1467</v>
      </c>
      <c r="B17" s="13" t="s">
        <v>1994</v>
      </c>
      <c r="C17" s="219" t="s">
        <v>1468</v>
      </c>
      <c r="D17" s="222" t="s">
        <v>285</v>
      </c>
      <c r="E17" s="217" t="s">
        <v>245</v>
      </c>
      <c r="F17" s="217" t="s">
        <v>1469</v>
      </c>
      <c r="G17" s="218">
        <v>27937</v>
      </c>
      <c r="H17" s="217" t="s">
        <v>830</v>
      </c>
      <c r="I17" s="217" t="s">
        <v>1470</v>
      </c>
      <c r="J17" s="217" t="s">
        <v>1471</v>
      </c>
      <c r="K17" s="217" t="s">
        <v>91</v>
      </c>
      <c r="L17" s="220">
        <v>997899096</v>
      </c>
      <c r="M17" s="206">
        <v>681241305</v>
      </c>
      <c r="N17" s="206">
        <v>316657791</v>
      </c>
      <c r="O17" s="206">
        <v>4351245277</v>
      </c>
      <c r="P17" s="206">
        <v>72635691</v>
      </c>
      <c r="Q17" s="206">
        <v>36029872</v>
      </c>
      <c r="R17" s="206">
        <v>42401579</v>
      </c>
      <c r="S17" s="207">
        <v>104717922</v>
      </c>
      <c r="T17" s="207">
        <v>2537897</v>
      </c>
      <c r="U17" s="207">
        <v>60633923</v>
      </c>
      <c r="V17" s="207">
        <v>0</v>
      </c>
      <c r="W17" s="207">
        <v>2111</v>
      </c>
      <c r="X17" s="207">
        <v>0</v>
      </c>
      <c r="Z17" s="207">
        <v>0</v>
      </c>
      <c r="AA17" s="207">
        <v>0</v>
      </c>
      <c r="AB17" s="176">
        <f t="shared" si="49"/>
        <v>60636034</v>
      </c>
      <c r="AC17" s="177">
        <f t="shared" si="25"/>
        <v>57.904160856056706</v>
      </c>
      <c r="AD17" s="177">
        <f t="shared" si="50"/>
        <v>50.11148372607304</v>
      </c>
      <c r="AE17" s="26">
        <f t="shared" si="53"/>
        <v>1.5033445117821911</v>
      </c>
      <c r="AF17" s="178">
        <f t="shared" si="26"/>
        <v>59.340289846278658</v>
      </c>
      <c r="AG17" s="178">
        <f t="shared" si="27"/>
        <v>59.342355807800985</v>
      </c>
      <c r="AH17" s="178">
        <f t="shared" si="51"/>
        <v>2.0659615223266314E-3</v>
      </c>
      <c r="AI17" s="179">
        <f t="shared" si="52"/>
        <v>100</v>
      </c>
      <c r="AJ17" s="30">
        <f t="shared" si="54"/>
        <v>4</v>
      </c>
      <c r="AK17" s="204">
        <v>7</v>
      </c>
      <c r="AL17" s="204">
        <v>33</v>
      </c>
      <c r="AM17" s="204">
        <v>0</v>
      </c>
      <c r="AN17" s="181">
        <f t="shared" si="2"/>
        <v>40</v>
      </c>
      <c r="AO17" s="182">
        <f t="shared" si="3"/>
        <v>0</v>
      </c>
      <c r="AP17" s="183">
        <f t="shared" si="28"/>
        <v>100</v>
      </c>
      <c r="AQ17" s="38">
        <f t="shared" si="55"/>
        <v>2</v>
      </c>
      <c r="AR17" s="212">
        <v>4</v>
      </c>
      <c r="AS17" s="292">
        <f t="shared" si="5"/>
        <v>0.25</v>
      </c>
      <c r="AT17" s="185">
        <f t="shared" si="29"/>
        <v>1.75</v>
      </c>
      <c r="AU17" s="185">
        <f t="shared" si="30"/>
        <v>1</v>
      </c>
      <c r="AV17" s="186">
        <f t="shared" si="6"/>
        <v>42.857142857142854</v>
      </c>
      <c r="AW17" s="179">
        <f t="shared" si="31"/>
        <v>100</v>
      </c>
      <c r="AX17" s="239">
        <f t="shared" si="56"/>
        <v>1</v>
      </c>
      <c r="AY17" s="54">
        <v>10</v>
      </c>
      <c r="AZ17" s="54">
        <v>40</v>
      </c>
      <c r="BA17" s="189">
        <f t="shared" si="8"/>
        <v>40</v>
      </c>
      <c r="BB17" s="178">
        <f t="shared" si="32"/>
        <v>100</v>
      </c>
      <c r="BC17" s="179">
        <f t="shared" si="33"/>
        <v>100</v>
      </c>
      <c r="BD17" s="30">
        <f t="shared" si="57"/>
        <v>1</v>
      </c>
      <c r="BE17" s="190">
        <v>392463000</v>
      </c>
      <c r="BF17" s="190">
        <v>35850000</v>
      </c>
      <c r="BG17" s="54">
        <v>2283000</v>
      </c>
      <c r="BH17" s="191">
        <f t="shared" si="10"/>
        <v>428313000</v>
      </c>
      <c r="BI17" s="178">
        <f t="shared" si="11"/>
        <v>0.53302141191138253</v>
      </c>
      <c r="BJ17" s="294" t="str">
        <f t="shared" si="34"/>
        <v>비제조/서비스업</v>
      </c>
      <c r="BK17" s="192">
        <f t="shared" si="12"/>
        <v>1.7464434573900924</v>
      </c>
      <c r="BL17" s="193">
        <f t="shared" si="35"/>
        <v>-1.2134220454787099</v>
      </c>
      <c r="BM17" s="241">
        <f t="shared" si="36"/>
        <v>80</v>
      </c>
      <c r="BN17" s="47">
        <f t="shared" si="37"/>
        <v>1.6</v>
      </c>
      <c r="BO17" s="54">
        <v>1741000</v>
      </c>
      <c r="BP17" s="194">
        <f t="shared" si="38"/>
        <v>4.0011534380804799E-2</v>
      </c>
      <c r="BQ17" s="179">
        <f t="shared" si="39"/>
        <v>40</v>
      </c>
      <c r="BR17" s="30">
        <f t="shared" si="58"/>
        <v>0.8</v>
      </c>
      <c r="BS17" s="195">
        <v>323560350.66600001</v>
      </c>
      <c r="BT17" s="195">
        <v>7064640.0999999996</v>
      </c>
      <c r="BU17" s="196">
        <f t="shared" si="40"/>
        <v>316495710.56599998</v>
      </c>
      <c r="BV17" s="178">
        <f t="shared" si="14"/>
        <v>7.2736812203841206</v>
      </c>
      <c r="BW17" s="192">
        <f t="shared" si="15"/>
        <v>2.8482825397737606</v>
      </c>
      <c r="BX17" s="192">
        <f t="shared" si="41"/>
        <v>19.584153482347919</v>
      </c>
      <c r="BY17" s="192">
        <f t="shared" si="16"/>
        <v>5.5697595856656799</v>
      </c>
      <c r="BZ17" s="192">
        <f t="shared" si="42"/>
        <v>21.344046685705976</v>
      </c>
      <c r="CA17" s="192">
        <f t="shared" si="17"/>
        <v>70</v>
      </c>
      <c r="CB17" s="55">
        <f t="shared" si="43"/>
        <v>1.4000000000000001</v>
      </c>
      <c r="CC17" s="197">
        <f t="shared" si="59"/>
        <v>215.13486304841939</v>
      </c>
      <c r="CD17" s="198">
        <f t="shared" si="60"/>
        <v>25</v>
      </c>
      <c r="CE17" s="58">
        <f t="shared" si="61"/>
        <v>0.375</v>
      </c>
      <c r="CF17" s="245" t="s">
        <v>2326</v>
      </c>
      <c r="CG17" s="245" t="s">
        <v>2326</v>
      </c>
      <c r="CH17" s="245" t="s">
        <v>2326</v>
      </c>
      <c r="CI17" s="245" t="s">
        <v>2326</v>
      </c>
      <c r="CJ17" s="235"/>
      <c r="CK17" s="173" t="s">
        <v>2476</v>
      </c>
      <c r="CL17" s="173" t="s">
        <v>2477</v>
      </c>
      <c r="CM17" s="199">
        <f t="shared" si="44"/>
        <v>85</v>
      </c>
      <c r="CN17" s="58">
        <f t="shared" si="62"/>
        <v>1.2749999999999999</v>
      </c>
      <c r="CO17" s="54">
        <f>4893000+3421000+9139000+2000000+9581000+8013000+776344000+45709000+163033000+1275000+18138000+5580000+69052000+32336000+3575000+8092000+2502000+8457000+9800000+15723000</f>
        <v>1196663000</v>
      </c>
      <c r="CP17" s="186">
        <f t="shared" si="45"/>
        <v>377.90417100459092</v>
      </c>
      <c r="CQ17" s="179">
        <f t="shared" si="46"/>
        <v>20</v>
      </c>
      <c r="CR17" s="30">
        <f t="shared" si="63"/>
        <v>0.6</v>
      </c>
      <c r="CS17" s="200">
        <f>_xlfn.XLOOKUP(C17, '1-1. 관계사체무보증금액 (환율 등)'!$3:$3, '1-1. 관계사체무보증금액 (환율 등)'!$33:$33)</f>
        <v>611998645.56962025</v>
      </c>
      <c r="CT17" s="178">
        <f t="shared" si="23"/>
        <v>193.26814718088531</v>
      </c>
      <c r="CU17" s="179">
        <f t="shared" si="47"/>
        <v>20</v>
      </c>
      <c r="CV17" s="30">
        <f t="shared" si="64"/>
        <v>0.4</v>
      </c>
      <c r="CW17" s="72">
        <f t="shared" si="48"/>
        <v>15.953344511782193</v>
      </c>
    </row>
    <row r="18" spans="1:101" x14ac:dyDescent="0.6">
      <c r="A18" s="214" t="s">
        <v>402</v>
      </c>
      <c r="B18" s="13" t="s">
        <v>1995</v>
      </c>
      <c r="C18" s="219" t="s">
        <v>49</v>
      </c>
      <c r="D18" s="216" t="s">
        <v>202</v>
      </c>
      <c r="E18" s="217" t="s">
        <v>196</v>
      </c>
      <c r="F18" s="217" t="s">
        <v>120</v>
      </c>
      <c r="G18" s="218">
        <v>42271</v>
      </c>
      <c r="H18" s="217" t="s">
        <v>830</v>
      </c>
      <c r="I18" s="217" t="s">
        <v>679</v>
      </c>
      <c r="J18" s="217" t="s">
        <v>1472</v>
      </c>
      <c r="K18" s="217" t="s">
        <v>91</v>
      </c>
      <c r="L18" s="220">
        <v>384013805</v>
      </c>
      <c r="M18" s="206">
        <v>122371399</v>
      </c>
      <c r="N18" s="206">
        <v>261642406</v>
      </c>
      <c r="O18" s="206">
        <v>610731077</v>
      </c>
      <c r="P18" s="206">
        <v>12353544</v>
      </c>
      <c r="Q18" s="206">
        <v>16868521</v>
      </c>
      <c r="R18" s="206">
        <v>12791557</v>
      </c>
      <c r="S18" s="207">
        <v>25957601</v>
      </c>
      <c r="T18" s="207">
        <v>2983165</v>
      </c>
      <c r="U18" s="207">
        <f>10136051+4755400</f>
        <v>14891451</v>
      </c>
      <c r="V18" s="207">
        <v>0</v>
      </c>
      <c r="W18" s="207">
        <v>100</v>
      </c>
      <c r="X18" s="207">
        <v>0</v>
      </c>
      <c r="Z18" s="207">
        <v>1007524</v>
      </c>
      <c r="AA18" s="207">
        <v>0</v>
      </c>
      <c r="AB18" s="176">
        <f t="shared" si="49"/>
        <v>15899075</v>
      </c>
      <c r="AC18" s="177">
        <f t="shared" si="25"/>
        <v>61.250171000008827</v>
      </c>
      <c r="AD18" s="177">
        <f t="shared" si="50"/>
        <v>47.223672899877315</v>
      </c>
      <c r="AE18" s="26">
        <f t="shared" si="53"/>
        <v>1.4167101869963195</v>
      </c>
      <c r="AF18" s="178">
        <f t="shared" si="26"/>
        <v>64.817482352994432</v>
      </c>
      <c r="AG18" s="178">
        <f t="shared" si="27"/>
        <v>69.203331041510666</v>
      </c>
      <c r="AH18" s="178">
        <f t="shared" si="51"/>
        <v>4.3858486885162336</v>
      </c>
      <c r="AI18" s="179">
        <f t="shared" si="52"/>
        <v>100</v>
      </c>
      <c r="AJ18" s="30">
        <f t="shared" si="54"/>
        <v>4</v>
      </c>
      <c r="AK18" s="204">
        <v>6</v>
      </c>
      <c r="AL18" s="204">
        <v>4</v>
      </c>
      <c r="AM18" s="204">
        <v>1</v>
      </c>
      <c r="AN18" s="181">
        <f t="shared" si="2"/>
        <v>10</v>
      </c>
      <c r="AO18" s="182">
        <f t="shared" si="3"/>
        <v>10</v>
      </c>
      <c r="AP18" s="183">
        <f t="shared" si="28"/>
        <v>80</v>
      </c>
      <c r="AQ18" s="38">
        <f t="shared" si="55"/>
        <v>1.6</v>
      </c>
      <c r="AR18" s="212">
        <v>2</v>
      </c>
      <c r="AS18" s="292">
        <f t="shared" si="5"/>
        <v>0.25</v>
      </c>
      <c r="AT18" s="185">
        <f t="shared" si="29"/>
        <v>1.5</v>
      </c>
      <c r="AU18" s="185">
        <f t="shared" si="30"/>
        <v>1</v>
      </c>
      <c r="AV18" s="186">
        <f t="shared" si="6"/>
        <v>16.666666666666664</v>
      </c>
      <c r="AW18" s="179">
        <f t="shared" si="31"/>
        <v>60</v>
      </c>
      <c r="AX18" s="239">
        <f t="shared" si="56"/>
        <v>0.6</v>
      </c>
      <c r="AY18" s="54">
        <v>4</v>
      </c>
      <c r="AZ18" s="54">
        <v>5</v>
      </c>
      <c r="BA18" s="189">
        <f t="shared" si="8"/>
        <v>8</v>
      </c>
      <c r="BB18" s="178">
        <f t="shared" si="32"/>
        <v>62.5</v>
      </c>
      <c r="BC18" s="179">
        <f t="shared" si="33"/>
        <v>25</v>
      </c>
      <c r="BD18" s="30">
        <f t="shared" si="57"/>
        <v>0.25</v>
      </c>
      <c r="BE18" s="190">
        <v>17259285</v>
      </c>
      <c r="BF18" s="190">
        <v>2334127</v>
      </c>
      <c r="BG18" s="54">
        <v>608593</v>
      </c>
      <c r="BH18" s="191">
        <f t="shared" si="10"/>
        <v>19593412</v>
      </c>
      <c r="BI18" s="178">
        <f t="shared" si="11"/>
        <v>3.1061103599515998</v>
      </c>
      <c r="BJ18" s="294" t="str">
        <f t="shared" si="34"/>
        <v>전기전자/기계업</v>
      </c>
      <c r="BK18" s="192">
        <f t="shared" si="12"/>
        <v>2.4096449716116455</v>
      </c>
      <c r="BL18" s="193">
        <f t="shared" si="35"/>
        <v>0.69646538833995431</v>
      </c>
      <c r="BM18" s="241">
        <f t="shared" si="36"/>
        <v>60</v>
      </c>
      <c r="BN18" s="47">
        <f t="shared" si="37"/>
        <v>1.2</v>
      </c>
      <c r="BO18" s="54">
        <v>3992000</v>
      </c>
      <c r="BP18" s="194">
        <f t="shared" si="38"/>
        <v>0.65364284712827869</v>
      </c>
      <c r="BQ18" s="179">
        <f t="shared" si="39"/>
        <v>70</v>
      </c>
      <c r="BR18" s="30">
        <f t="shared" si="58"/>
        <v>1.4000000000000001</v>
      </c>
      <c r="BS18" s="195">
        <v>4009527.9789999998</v>
      </c>
      <c r="BT18" s="195">
        <v>18783.332999999999</v>
      </c>
      <c r="BU18" s="196">
        <f t="shared" si="40"/>
        <v>3990744.6459999997</v>
      </c>
      <c r="BV18" s="178">
        <f t="shared" si="14"/>
        <v>0.65343729773882131</v>
      </c>
      <c r="BW18" s="192">
        <f t="shared" si="15"/>
        <v>5.2309968128308268</v>
      </c>
      <c r="BX18" s="192">
        <f t="shared" si="41"/>
        <v>20.954051114209356</v>
      </c>
      <c r="BY18" s="192">
        <f t="shared" si="16"/>
        <v>7.0695458012309622</v>
      </c>
      <c r="BZ18" s="192">
        <f t="shared" si="42"/>
        <v>74.134711185718942</v>
      </c>
      <c r="CA18" s="192">
        <f t="shared" si="17"/>
        <v>40</v>
      </c>
      <c r="CB18" s="55">
        <f t="shared" si="43"/>
        <v>0.8</v>
      </c>
      <c r="CC18" s="197">
        <f t="shared" si="59"/>
        <v>46.770476113111421</v>
      </c>
      <c r="CD18" s="198">
        <f t="shared" si="60"/>
        <v>82.749820560385146</v>
      </c>
      <c r="CE18" s="58">
        <f t="shared" si="61"/>
        <v>1.2412473084057771</v>
      </c>
      <c r="CF18" s="245" t="s">
        <v>2326</v>
      </c>
      <c r="CG18" s="245" t="s">
        <v>2326</v>
      </c>
      <c r="CH18" s="245" t="s">
        <v>2326</v>
      </c>
      <c r="CI18" s="245" t="s">
        <v>2326</v>
      </c>
      <c r="CJ18" s="235"/>
      <c r="CK18" s="173" t="s">
        <v>2491</v>
      </c>
      <c r="CL18" s="173" t="s">
        <v>2478</v>
      </c>
      <c r="CM18" s="199">
        <f t="shared" si="44"/>
        <v>25</v>
      </c>
      <c r="CN18" s="58">
        <f t="shared" si="62"/>
        <v>0.375</v>
      </c>
      <c r="CO18" s="54">
        <f>266000</f>
        <v>266000</v>
      </c>
      <c r="CP18" s="186">
        <f t="shared" si="45"/>
        <v>0.1016654769640056</v>
      </c>
      <c r="CQ18" s="179">
        <f t="shared" si="46"/>
        <v>100</v>
      </c>
      <c r="CR18" s="30">
        <f t="shared" si="63"/>
        <v>3</v>
      </c>
      <c r="CS18" s="200">
        <f>_xlfn.XLOOKUP(C18, '1-1. 관계사체무보증금액 (환율 등)'!$3:$3, '1-1. 관계사체무보증금액 (환율 등)'!$33:$33)</f>
        <v>95000000</v>
      </c>
      <c r="CT18" s="178">
        <f t="shared" si="23"/>
        <v>36.309098915716284</v>
      </c>
      <c r="CU18" s="179">
        <f t="shared" si="47"/>
        <v>40</v>
      </c>
      <c r="CV18" s="30">
        <f t="shared" si="64"/>
        <v>0.8</v>
      </c>
      <c r="CW18" s="72">
        <f t="shared" si="48"/>
        <v>16.682957495402096</v>
      </c>
    </row>
    <row r="19" spans="1:101" x14ac:dyDescent="0.6">
      <c r="A19" s="214" t="s">
        <v>1473</v>
      </c>
      <c r="B19" s="13" t="s">
        <v>1996</v>
      </c>
      <c r="C19" s="219" t="s">
        <v>532</v>
      </c>
      <c r="D19" s="216" t="s">
        <v>203</v>
      </c>
      <c r="E19" s="217" t="s">
        <v>188</v>
      </c>
      <c r="F19" s="217" t="s">
        <v>643</v>
      </c>
      <c r="G19" s="218">
        <v>38985</v>
      </c>
      <c r="H19" s="217" t="s">
        <v>830</v>
      </c>
      <c r="I19" s="217" t="s">
        <v>302</v>
      </c>
      <c r="J19" s="217" t="s">
        <v>668</v>
      </c>
      <c r="K19" s="217" t="s">
        <v>425</v>
      </c>
      <c r="L19" s="220">
        <v>496666959</v>
      </c>
      <c r="M19" s="206">
        <v>232970639</v>
      </c>
      <c r="N19" s="206">
        <v>263696320</v>
      </c>
      <c r="O19" s="206">
        <v>847333959</v>
      </c>
      <c r="P19" s="206">
        <v>12420452</v>
      </c>
      <c r="Q19" s="206">
        <v>21136596</v>
      </c>
      <c r="R19" s="206">
        <v>15436443</v>
      </c>
      <c r="S19" s="207">
        <v>31900000</v>
      </c>
      <c r="T19" s="207">
        <v>3000000</v>
      </c>
      <c r="U19" s="207">
        <v>15395000</v>
      </c>
      <c r="V19" s="207">
        <v>0</v>
      </c>
      <c r="W19" s="207">
        <v>0</v>
      </c>
      <c r="X19" s="207">
        <v>0</v>
      </c>
      <c r="Z19" s="207">
        <v>0</v>
      </c>
      <c r="AA19" s="207">
        <v>0</v>
      </c>
      <c r="AB19" s="176">
        <f t="shared" si="49"/>
        <v>15395000</v>
      </c>
      <c r="AC19" s="177">
        <f t="shared" si="25"/>
        <v>48.260188087774296</v>
      </c>
      <c r="AD19" s="177">
        <f t="shared" si="50"/>
        <v>58.434820407559585</v>
      </c>
      <c r="AE19" s="26">
        <f t="shared" si="53"/>
        <v>1.7530446122267875</v>
      </c>
      <c r="AF19" s="178">
        <f t="shared" si="26"/>
        <v>53.269896193771629</v>
      </c>
      <c r="AG19" s="178">
        <f t="shared" si="27"/>
        <v>53.269896193771629</v>
      </c>
      <c r="AH19" s="178">
        <f t="shared" si="51"/>
        <v>0</v>
      </c>
      <c r="AI19" s="179">
        <f t="shared" si="52"/>
        <v>100</v>
      </c>
      <c r="AJ19" s="30">
        <f t="shared" si="54"/>
        <v>4</v>
      </c>
      <c r="AK19" s="204">
        <v>5</v>
      </c>
      <c r="AL19" s="204">
        <v>1</v>
      </c>
      <c r="AM19" s="180">
        <v>1</v>
      </c>
      <c r="AN19" s="181">
        <f t="shared" si="2"/>
        <v>6</v>
      </c>
      <c r="AO19" s="182">
        <f t="shared" si="3"/>
        <v>16.666666666666664</v>
      </c>
      <c r="AP19" s="183">
        <f t="shared" si="28"/>
        <v>80</v>
      </c>
      <c r="AQ19" s="38">
        <f t="shared" si="55"/>
        <v>1.6</v>
      </c>
      <c r="AR19" s="212">
        <v>1</v>
      </c>
      <c r="AS19" s="292">
        <f t="shared" si="5"/>
        <v>0.25</v>
      </c>
      <c r="AT19" s="185">
        <f t="shared" si="29"/>
        <v>1.25</v>
      </c>
      <c r="AU19" s="185">
        <f t="shared" si="30"/>
        <v>1</v>
      </c>
      <c r="AV19" s="186">
        <f t="shared" si="6"/>
        <v>0</v>
      </c>
      <c r="AW19" s="179">
        <f t="shared" si="31"/>
        <v>40</v>
      </c>
      <c r="AX19" s="239">
        <f t="shared" si="56"/>
        <v>0.4</v>
      </c>
      <c r="AY19" s="54">
        <v>11</v>
      </c>
      <c r="AZ19" s="54">
        <v>11</v>
      </c>
      <c r="BA19" s="189">
        <f t="shared" si="8"/>
        <v>11</v>
      </c>
      <c r="BB19" s="178">
        <f t="shared" si="32"/>
        <v>100</v>
      </c>
      <c r="BC19" s="179">
        <f t="shared" si="33"/>
        <v>100</v>
      </c>
      <c r="BD19" s="30">
        <f t="shared" si="57"/>
        <v>1</v>
      </c>
      <c r="BE19" s="190">
        <v>9353488</v>
      </c>
      <c r="BF19" s="190">
        <v>1016537</v>
      </c>
      <c r="BG19" s="54">
        <v>544657</v>
      </c>
      <c r="BH19" s="191">
        <f t="shared" si="10"/>
        <v>10370025</v>
      </c>
      <c r="BI19" s="178">
        <f t="shared" si="11"/>
        <v>5.2522245606929587</v>
      </c>
      <c r="BJ19" s="294" t="str">
        <f t="shared" si="34"/>
        <v>금속/비금속/화학업</v>
      </c>
      <c r="BK19" s="192">
        <f t="shared" si="12"/>
        <v>3.9534118626990464</v>
      </c>
      <c r="BL19" s="193">
        <f t="shared" si="35"/>
        <v>1.2988126979939123</v>
      </c>
      <c r="BM19" s="241">
        <f t="shared" si="36"/>
        <v>60</v>
      </c>
      <c r="BN19" s="47">
        <f t="shared" si="37"/>
        <v>1.2</v>
      </c>
      <c r="BO19" s="54">
        <v>4605093</v>
      </c>
      <c r="BP19" s="194">
        <f t="shared" si="38"/>
        <v>0.54348028319728892</v>
      </c>
      <c r="BQ19" s="179">
        <f t="shared" si="39"/>
        <v>70</v>
      </c>
      <c r="BR19" s="30">
        <f t="shared" si="58"/>
        <v>1.4000000000000001</v>
      </c>
      <c r="BS19" s="195">
        <v>9274632.0789999999</v>
      </c>
      <c r="BT19" s="195">
        <v>12473.2</v>
      </c>
      <c r="BU19" s="196">
        <f t="shared" si="40"/>
        <v>9262158.8790000007</v>
      </c>
      <c r="BV19" s="178">
        <f t="shared" si="14"/>
        <v>1.0930942611967238</v>
      </c>
      <c r="BW19" s="192">
        <f t="shared" si="15"/>
        <v>5.1474158565187729</v>
      </c>
      <c r="BX19" s="192">
        <f t="shared" si="41"/>
        <v>16.437523598294728</v>
      </c>
      <c r="BY19" s="192">
        <f t="shared" si="16"/>
        <v>6.6930498535228526</v>
      </c>
      <c r="BZ19" s="192">
        <f t="shared" si="42"/>
        <v>72.765994157618039</v>
      </c>
      <c r="CA19" s="192">
        <f t="shared" si="17"/>
        <v>40</v>
      </c>
      <c r="CB19" s="55">
        <f t="shared" si="43"/>
        <v>0.8</v>
      </c>
      <c r="CC19" s="197">
        <f t="shared" si="59"/>
        <v>88.348081232229561</v>
      </c>
      <c r="CD19" s="198">
        <f t="shared" si="60"/>
        <v>67.079868882325542</v>
      </c>
      <c r="CE19" s="58">
        <f t="shared" si="61"/>
        <v>1.006198033234883</v>
      </c>
      <c r="CF19" s="245" t="s">
        <v>2326</v>
      </c>
      <c r="CG19" s="245" t="s">
        <v>2326</v>
      </c>
      <c r="CH19" s="245" t="s">
        <v>2326</v>
      </c>
      <c r="CI19" s="245" t="s">
        <v>2326</v>
      </c>
      <c r="CJ19" s="235"/>
      <c r="CK19" s="173" t="s">
        <v>2481</v>
      </c>
      <c r="CL19" s="173" t="s">
        <v>2482</v>
      </c>
      <c r="CM19" s="199">
        <f t="shared" si="44"/>
        <v>55</v>
      </c>
      <c r="CN19" s="58">
        <f t="shared" si="62"/>
        <v>0.82499999999999996</v>
      </c>
      <c r="CO19" s="54">
        <f>7894000+4008000+30800000+8718000</f>
        <v>51420000</v>
      </c>
      <c r="CP19" s="186">
        <f t="shared" si="45"/>
        <v>19.499703295063046</v>
      </c>
      <c r="CQ19" s="179">
        <f t="shared" si="46"/>
        <v>60</v>
      </c>
      <c r="CR19" s="30">
        <f t="shared" si="63"/>
        <v>1.7999999999999998</v>
      </c>
      <c r="CS19" s="200">
        <f>_xlfn.XLOOKUP(C19, '1-1. 관계사체무보증금액 (환율 등)'!$3:$3, '1-1. 관계사체무보증금액 (환율 등)'!$33:$33)</f>
        <v>37557000</v>
      </c>
      <c r="CT19" s="178">
        <f t="shared" si="23"/>
        <v>14.242519577065011</v>
      </c>
      <c r="CU19" s="179">
        <f t="shared" si="47"/>
        <v>60</v>
      </c>
      <c r="CV19" s="30">
        <f t="shared" si="64"/>
        <v>1.2</v>
      </c>
      <c r="CW19" s="72">
        <f t="shared" si="48"/>
        <v>16.98424264546167</v>
      </c>
    </row>
    <row r="20" spans="1:101" x14ac:dyDescent="0.6">
      <c r="A20" s="214" t="s">
        <v>1474</v>
      </c>
      <c r="B20" s="13" t="s">
        <v>1997</v>
      </c>
      <c r="C20" s="219" t="s">
        <v>1475</v>
      </c>
      <c r="D20" s="222" t="s">
        <v>285</v>
      </c>
      <c r="E20" s="217" t="s">
        <v>872</v>
      </c>
      <c r="F20" s="217" t="s">
        <v>1476</v>
      </c>
      <c r="G20" s="218">
        <v>43263</v>
      </c>
      <c r="H20" s="217" t="s">
        <v>830</v>
      </c>
      <c r="I20" s="217" t="s">
        <v>1477</v>
      </c>
      <c r="J20" s="217" t="s">
        <v>1478</v>
      </c>
      <c r="K20" s="217" t="s">
        <v>91</v>
      </c>
      <c r="L20" s="220">
        <v>7073844464</v>
      </c>
      <c r="M20" s="206">
        <v>4098482728</v>
      </c>
      <c r="N20" s="206">
        <v>2975361736</v>
      </c>
      <c r="O20" s="206">
        <v>3283542070</v>
      </c>
      <c r="P20" s="206">
        <v>110039015</v>
      </c>
      <c r="Q20" s="206">
        <v>105468581</v>
      </c>
      <c r="R20" s="206">
        <v>36587869</v>
      </c>
      <c r="S20" s="207">
        <v>65907330</v>
      </c>
      <c r="T20" s="207">
        <v>9470</v>
      </c>
      <c r="U20" s="207">
        <v>27366352</v>
      </c>
      <c r="V20" s="207">
        <f>41965+441718+312411</f>
        <v>796094</v>
      </c>
      <c r="W20" s="207">
        <f>4037+2100+2000+1006</f>
        <v>9143</v>
      </c>
      <c r="X20" s="207">
        <v>174869</v>
      </c>
      <c r="Y20" s="208" t="s">
        <v>2402</v>
      </c>
      <c r="Z20" s="207">
        <v>0</v>
      </c>
      <c r="AA20" s="207">
        <v>0</v>
      </c>
      <c r="AB20" s="176">
        <f t="shared" si="49"/>
        <v>28346458</v>
      </c>
      <c r="AC20" s="177">
        <f t="shared" si="25"/>
        <v>43.009568131496145</v>
      </c>
      <c r="AD20" s="177">
        <f t="shared" si="50"/>
        <v>62.966425663265703</v>
      </c>
      <c r="AE20" s="26">
        <f t="shared" si="53"/>
        <v>1.8889927698979709</v>
      </c>
      <c r="AF20" s="178">
        <f t="shared" si="26"/>
        <v>42.736510715218976</v>
      </c>
      <c r="AG20" s="178">
        <f t="shared" si="27"/>
        <v>43.015748918098403</v>
      </c>
      <c r="AH20" s="178">
        <f t="shared" si="51"/>
        <v>0.27923820287942647</v>
      </c>
      <c r="AI20" s="179">
        <f t="shared" si="52"/>
        <v>100</v>
      </c>
      <c r="AJ20" s="30">
        <f t="shared" si="54"/>
        <v>4</v>
      </c>
      <c r="AK20" s="204">
        <v>7</v>
      </c>
      <c r="AL20" s="204">
        <v>14</v>
      </c>
      <c r="AM20" s="204">
        <v>0</v>
      </c>
      <c r="AN20" s="181">
        <f t="shared" si="2"/>
        <v>21</v>
      </c>
      <c r="AO20" s="182">
        <f t="shared" si="3"/>
        <v>0</v>
      </c>
      <c r="AP20" s="183">
        <f t="shared" si="28"/>
        <v>100</v>
      </c>
      <c r="AQ20" s="38">
        <f t="shared" si="55"/>
        <v>2</v>
      </c>
      <c r="AR20" s="212">
        <v>4</v>
      </c>
      <c r="AS20" s="292">
        <f t="shared" si="5"/>
        <v>0.5</v>
      </c>
      <c r="AT20" s="185">
        <f t="shared" si="29"/>
        <v>3.5</v>
      </c>
      <c r="AU20" s="185">
        <f t="shared" si="30"/>
        <v>3</v>
      </c>
      <c r="AV20" s="186">
        <f t="shared" si="6"/>
        <v>14.285714285714285</v>
      </c>
      <c r="AW20" s="179">
        <f t="shared" si="31"/>
        <v>60</v>
      </c>
      <c r="AX20" s="239">
        <f t="shared" si="56"/>
        <v>0.6</v>
      </c>
      <c r="AY20" s="54">
        <v>10</v>
      </c>
      <c r="AZ20" s="54">
        <f>8*4+3*2</f>
        <v>38</v>
      </c>
      <c r="BA20" s="189">
        <f t="shared" si="8"/>
        <v>40</v>
      </c>
      <c r="BB20" s="178">
        <f t="shared" si="32"/>
        <v>95</v>
      </c>
      <c r="BC20" s="179">
        <f t="shared" si="33"/>
        <v>100</v>
      </c>
      <c r="BD20" s="30">
        <f t="shared" si="57"/>
        <v>1</v>
      </c>
      <c r="BE20" s="190">
        <v>47656000</v>
      </c>
      <c r="BF20" s="190">
        <v>3910000</v>
      </c>
      <c r="BG20" s="301">
        <v>0</v>
      </c>
      <c r="BH20" s="191">
        <f t="shared" si="10"/>
        <v>51566000</v>
      </c>
      <c r="BI20" s="178">
        <f t="shared" si="11"/>
        <v>0</v>
      </c>
      <c r="BJ20" s="294" t="str">
        <f t="shared" si="34"/>
        <v>비제조/서비스업</v>
      </c>
      <c r="BK20" s="192">
        <f t="shared" si="12"/>
        <v>1.7464434573900924</v>
      </c>
      <c r="BL20" s="193">
        <f t="shared" si="35"/>
        <v>-1.7464434573900924</v>
      </c>
      <c r="BM20" s="241">
        <f t="shared" si="36"/>
        <v>80</v>
      </c>
      <c r="BN20" s="47">
        <f t="shared" si="37"/>
        <v>1.6</v>
      </c>
      <c r="BO20" s="54">
        <v>2134000</v>
      </c>
      <c r="BP20" s="194">
        <f t="shared" si="38"/>
        <v>6.4990792093003402E-2</v>
      </c>
      <c r="BQ20" s="179">
        <f t="shared" si="39"/>
        <v>40</v>
      </c>
      <c r="BR20" s="30">
        <f t="shared" si="58"/>
        <v>0.8</v>
      </c>
      <c r="BS20" s="195">
        <v>60148973.327</v>
      </c>
      <c r="BT20" s="195">
        <v>3449.9989999999998</v>
      </c>
      <c r="BU20" s="196">
        <f t="shared" si="40"/>
        <v>60145523.328000002</v>
      </c>
      <c r="BV20" s="178">
        <f t="shared" si="14"/>
        <v>1.8317268987511404</v>
      </c>
      <c r="BW20" s="192">
        <f t="shared" si="15"/>
        <v>2.8482825397737606</v>
      </c>
      <c r="BX20" s="192">
        <f t="shared" si="41"/>
        <v>1.0333853712949101</v>
      </c>
      <c r="BY20" s="192">
        <f t="shared" si="16"/>
        <v>5.5697595856656799</v>
      </c>
      <c r="BZ20" s="192">
        <f t="shared" si="42"/>
        <v>57.241007203140207</v>
      </c>
      <c r="CA20" s="192">
        <f t="shared" si="17"/>
        <v>55</v>
      </c>
      <c r="CB20" s="55">
        <f t="shared" si="43"/>
        <v>1.1000000000000001</v>
      </c>
      <c r="CC20" s="197">
        <f t="shared" si="59"/>
        <v>137.74737634120063</v>
      </c>
      <c r="CD20" s="198">
        <f t="shared" si="60"/>
        <v>48.462044092512329</v>
      </c>
      <c r="CE20" s="58">
        <f t="shared" si="61"/>
        <v>0.72693066138768492</v>
      </c>
      <c r="CF20" s="245" t="s">
        <v>2326</v>
      </c>
      <c r="CG20" s="245" t="s">
        <v>2326</v>
      </c>
      <c r="CH20" s="245" t="s">
        <v>2326</v>
      </c>
      <c r="CI20" s="245" t="s">
        <v>2326</v>
      </c>
      <c r="CJ20" s="235"/>
      <c r="CK20" s="173" t="s">
        <v>2485</v>
      </c>
      <c r="CL20" s="173" t="s">
        <v>2482</v>
      </c>
      <c r="CM20" s="199">
        <f t="shared" si="44"/>
        <v>55</v>
      </c>
      <c r="CN20" s="58">
        <f t="shared" si="62"/>
        <v>0.82499999999999996</v>
      </c>
      <c r="CO20" s="54">
        <f>500000+120000000+37200000+58000000+60000+300000+7185000+4000000+500000</f>
        <v>227745000</v>
      </c>
      <c r="CP20" s="186">
        <f t="shared" si="45"/>
        <v>7.6543634088060353</v>
      </c>
      <c r="CQ20" s="179">
        <f t="shared" si="46"/>
        <v>80</v>
      </c>
      <c r="CR20" s="30">
        <f t="shared" si="63"/>
        <v>2.4</v>
      </c>
      <c r="CS20" s="200">
        <f>_xlfn.XLOOKUP(C20, '1-1. 관계사체무보증금액 (환율 등)'!$3:$3, '1-1. 관계사체무보증금액 (환율 등)'!$33:$33)</f>
        <v>230000000</v>
      </c>
      <c r="CT20" s="178">
        <f t="shared" si="23"/>
        <v>7.730152512790128</v>
      </c>
      <c r="CU20" s="179">
        <f t="shared" si="47"/>
        <v>80</v>
      </c>
      <c r="CV20" s="30">
        <f t="shared" si="64"/>
        <v>1.6</v>
      </c>
      <c r="CW20" s="72">
        <f t="shared" si="48"/>
        <v>18.540923431285655</v>
      </c>
    </row>
    <row r="21" spans="1:101" x14ac:dyDescent="0.6">
      <c r="A21" s="214" t="s">
        <v>1479</v>
      </c>
      <c r="B21" s="13" t="s">
        <v>1998</v>
      </c>
      <c r="C21" s="219" t="s">
        <v>1480</v>
      </c>
      <c r="D21" s="14" t="s">
        <v>202</v>
      </c>
      <c r="E21" s="217" t="s">
        <v>950</v>
      </c>
      <c r="F21" s="217" t="s">
        <v>1481</v>
      </c>
      <c r="G21" s="218">
        <v>43788</v>
      </c>
      <c r="H21" s="217" t="s">
        <v>830</v>
      </c>
      <c r="I21" s="217" t="s">
        <v>1482</v>
      </c>
      <c r="J21" s="217" t="s">
        <v>1483</v>
      </c>
      <c r="K21" s="217" t="s">
        <v>690</v>
      </c>
      <c r="L21" s="220">
        <v>654805747</v>
      </c>
      <c r="M21" s="206">
        <v>269730556</v>
      </c>
      <c r="N21" s="206">
        <v>385075191</v>
      </c>
      <c r="O21" s="206">
        <v>1022975319</v>
      </c>
      <c r="P21" s="206">
        <v>95989545</v>
      </c>
      <c r="Q21" s="206">
        <v>80403526</v>
      </c>
      <c r="R21" s="206">
        <v>64390770</v>
      </c>
      <c r="S21" s="207">
        <v>11200000</v>
      </c>
      <c r="T21" s="207">
        <v>0</v>
      </c>
      <c r="U21" s="207">
        <v>6000000</v>
      </c>
      <c r="V21" s="207">
        <v>0</v>
      </c>
      <c r="W21" s="207">
        <f>10+2000</f>
        <v>2010</v>
      </c>
      <c r="X21" s="207">
        <v>0</v>
      </c>
      <c r="Z21" s="207">
        <v>0</v>
      </c>
      <c r="AA21" s="207">
        <v>0</v>
      </c>
      <c r="AB21" s="176">
        <f t="shared" si="49"/>
        <v>6002010</v>
      </c>
      <c r="AC21" s="177">
        <f t="shared" si="25"/>
        <v>53.589374999999997</v>
      </c>
      <c r="AD21" s="177">
        <f t="shared" si="50"/>
        <v>53.835407077100122</v>
      </c>
      <c r="AE21" s="26">
        <f t="shared" si="53"/>
        <v>1.6150622123130036</v>
      </c>
      <c r="AF21" s="178">
        <f t="shared" si="26"/>
        <v>53.571428571428569</v>
      </c>
      <c r="AG21" s="178">
        <f t="shared" si="27"/>
        <v>53.589374999999997</v>
      </c>
      <c r="AH21" s="178">
        <f t="shared" si="51"/>
        <v>1.7946428571427475E-2</v>
      </c>
      <c r="AI21" s="179">
        <f t="shared" si="52"/>
        <v>100</v>
      </c>
      <c r="AJ21" s="30">
        <f t="shared" si="54"/>
        <v>4</v>
      </c>
      <c r="AK21" s="204">
        <v>5</v>
      </c>
      <c r="AL21" s="204">
        <v>5</v>
      </c>
      <c r="AM21" s="204">
        <v>0</v>
      </c>
      <c r="AN21" s="181">
        <f t="shared" si="2"/>
        <v>10</v>
      </c>
      <c r="AO21" s="182">
        <f t="shared" si="3"/>
        <v>0</v>
      </c>
      <c r="AP21" s="183">
        <f t="shared" si="28"/>
        <v>100</v>
      </c>
      <c r="AQ21" s="38">
        <f t="shared" si="55"/>
        <v>2</v>
      </c>
      <c r="AR21" s="212">
        <v>3</v>
      </c>
      <c r="AS21" s="292">
        <f t="shared" si="5"/>
        <v>0.25</v>
      </c>
      <c r="AT21" s="185">
        <f t="shared" si="29"/>
        <v>1.25</v>
      </c>
      <c r="AU21" s="185">
        <f t="shared" si="30"/>
        <v>1</v>
      </c>
      <c r="AV21" s="186">
        <f t="shared" si="6"/>
        <v>40</v>
      </c>
      <c r="AW21" s="179">
        <f t="shared" si="31"/>
        <v>100</v>
      </c>
      <c r="AX21" s="239">
        <f t="shared" si="56"/>
        <v>1</v>
      </c>
      <c r="AY21" s="54">
        <v>7</v>
      </c>
      <c r="AZ21" s="54">
        <v>21</v>
      </c>
      <c r="BA21" s="189">
        <f t="shared" si="8"/>
        <v>21</v>
      </c>
      <c r="BB21" s="178">
        <f t="shared" si="32"/>
        <v>100</v>
      </c>
      <c r="BC21" s="179">
        <f t="shared" si="33"/>
        <v>100</v>
      </c>
      <c r="BD21" s="30">
        <f t="shared" si="57"/>
        <v>1</v>
      </c>
      <c r="BE21" s="190">
        <f>6605153+2188203</f>
        <v>8793356</v>
      </c>
      <c r="BF21" s="190">
        <v>773974</v>
      </c>
      <c r="BG21" s="301">
        <v>0</v>
      </c>
      <c r="BH21" s="191">
        <f t="shared" si="10"/>
        <v>9567330</v>
      </c>
      <c r="BI21" s="178">
        <f t="shared" si="11"/>
        <v>0</v>
      </c>
      <c r="BJ21" s="294" t="str">
        <f t="shared" si="34"/>
        <v>전기전자/기계업</v>
      </c>
      <c r="BK21" s="192">
        <f t="shared" si="12"/>
        <v>2.4096449716116455</v>
      </c>
      <c r="BL21" s="193">
        <f t="shared" si="35"/>
        <v>-2.4096449716116455</v>
      </c>
      <c r="BM21" s="241">
        <f t="shared" si="36"/>
        <v>100</v>
      </c>
      <c r="BN21" s="47">
        <f t="shared" si="37"/>
        <v>2</v>
      </c>
      <c r="BO21" s="54">
        <f>3973000-532000</f>
        <v>3441000</v>
      </c>
      <c r="BP21" s="194">
        <f t="shared" si="38"/>
        <v>0.33637175170205647</v>
      </c>
      <c r="BQ21" s="179">
        <f t="shared" si="39"/>
        <v>55</v>
      </c>
      <c r="BR21" s="30">
        <f t="shared" si="58"/>
        <v>1.1000000000000001</v>
      </c>
      <c r="BS21" s="195">
        <v>13332246.464</v>
      </c>
      <c r="BT21" s="195">
        <v>222986.7</v>
      </c>
      <c r="BU21" s="196">
        <f t="shared" si="40"/>
        <v>13109259.764</v>
      </c>
      <c r="BV21" s="178">
        <f t="shared" si="14"/>
        <v>1.2814834845492495</v>
      </c>
      <c r="BW21" s="192">
        <f t="shared" si="15"/>
        <v>5.2309968128308268</v>
      </c>
      <c r="BX21" s="192">
        <f t="shared" si="41"/>
        <v>15.598655530273824</v>
      </c>
      <c r="BY21" s="192">
        <f t="shared" si="16"/>
        <v>7.0695458012309622</v>
      </c>
      <c r="BZ21" s="192">
        <f t="shared" si="42"/>
        <v>71.180508157479423</v>
      </c>
      <c r="CA21" s="192">
        <f t="shared" si="17"/>
        <v>40</v>
      </c>
      <c r="CB21" s="55">
        <f t="shared" si="43"/>
        <v>0.8</v>
      </c>
      <c r="CC21" s="197">
        <f t="shared" si="59"/>
        <v>70.046204560604892</v>
      </c>
      <c r="CD21" s="198">
        <f t="shared" si="60"/>
        <v>73.977561095249413</v>
      </c>
      <c r="CE21" s="58">
        <f t="shared" si="61"/>
        <v>1.1096634164287411</v>
      </c>
      <c r="CF21" s="245" t="s">
        <v>2326</v>
      </c>
      <c r="CG21" s="245" t="s">
        <v>2326</v>
      </c>
      <c r="CH21" s="245" t="s">
        <v>2326</v>
      </c>
      <c r="CI21" s="245" t="s">
        <v>2326</v>
      </c>
      <c r="CJ21" s="235"/>
      <c r="CK21" s="173" t="s">
        <v>2491</v>
      </c>
      <c r="CL21" s="173" t="s">
        <v>2478</v>
      </c>
      <c r="CM21" s="199">
        <f t="shared" si="44"/>
        <v>25</v>
      </c>
      <c r="CN21" s="58">
        <f t="shared" si="62"/>
        <v>0.375</v>
      </c>
      <c r="CO21" s="54">
        <v>599000</v>
      </c>
      <c r="CP21" s="186">
        <f t="shared" si="45"/>
        <v>0.15555403567922921</v>
      </c>
      <c r="CQ21" s="179">
        <f t="shared" si="46"/>
        <v>100</v>
      </c>
      <c r="CR21" s="30">
        <f t="shared" si="63"/>
        <v>3</v>
      </c>
      <c r="CS21" s="200">
        <f>_xlfn.XLOOKUP(C21, '1-1. 관계사체무보증금액 (환율 등)'!$3:$3, '1-1. 관계사체무보증금액 (환율 등)'!$33:$33)</f>
        <v>0</v>
      </c>
      <c r="CT21" s="178">
        <f t="shared" si="23"/>
        <v>0</v>
      </c>
      <c r="CU21" s="179">
        <f t="shared" si="47"/>
        <v>100</v>
      </c>
      <c r="CV21" s="30">
        <f t="shared" si="64"/>
        <v>2</v>
      </c>
      <c r="CW21" s="72">
        <f t="shared" si="48"/>
        <v>19.999725628741743</v>
      </c>
    </row>
    <row r="22" spans="1:101" x14ac:dyDescent="0.6">
      <c r="A22" s="214" t="s">
        <v>1484</v>
      </c>
      <c r="B22" s="13" t="s">
        <v>1999</v>
      </c>
      <c r="C22" s="219" t="s">
        <v>1485</v>
      </c>
      <c r="D22" s="222" t="s">
        <v>285</v>
      </c>
      <c r="E22" s="217" t="s">
        <v>867</v>
      </c>
      <c r="F22" s="217" t="s">
        <v>1486</v>
      </c>
      <c r="G22" s="218">
        <v>34558</v>
      </c>
      <c r="H22" s="217" t="s">
        <v>830</v>
      </c>
      <c r="I22" s="217" t="s">
        <v>1487</v>
      </c>
      <c r="J22" s="217" t="s">
        <v>1488</v>
      </c>
      <c r="K22" s="217" t="s">
        <v>91</v>
      </c>
      <c r="L22" s="220">
        <v>1405053368</v>
      </c>
      <c r="M22" s="206">
        <v>1006454557</v>
      </c>
      <c r="N22" s="206">
        <v>398598812</v>
      </c>
      <c r="O22" s="206">
        <v>1379461788</v>
      </c>
      <c r="P22" s="206">
        <v>37587942</v>
      </c>
      <c r="Q22" s="206">
        <v>27839730</v>
      </c>
      <c r="R22" s="206">
        <v>18200083</v>
      </c>
      <c r="S22" s="207">
        <v>37858601</v>
      </c>
      <c r="T22" s="207">
        <v>0</v>
      </c>
      <c r="U22" s="207">
        <v>6630563</v>
      </c>
      <c r="V22" s="207">
        <f>97237+18860+17000+34000</f>
        <v>167097</v>
      </c>
      <c r="W22" s="207">
        <f>24350+17000+18956+13249+15721+2190+525+6600+20000+8608+1000+748+25000</f>
        <v>153947</v>
      </c>
      <c r="X22" s="207">
        <v>869509</v>
      </c>
      <c r="Y22" s="208" t="s">
        <v>2403</v>
      </c>
      <c r="Z22" s="207">
        <f>6161208+9006833</f>
        <v>15168041</v>
      </c>
      <c r="AA22" s="207">
        <v>0</v>
      </c>
      <c r="AB22" s="176">
        <f t="shared" si="49"/>
        <v>22989157</v>
      </c>
      <c r="AC22" s="177">
        <f t="shared" si="25"/>
        <v>60.723736199338163</v>
      </c>
      <c r="AD22" s="177">
        <f t="shared" si="50"/>
        <v>47.678018239926793</v>
      </c>
      <c r="AE22" s="26">
        <f t="shared" si="53"/>
        <v>1.4303405471978037</v>
      </c>
      <c r="AF22" s="178">
        <f t="shared" si="26"/>
        <v>17.955391431394943</v>
      </c>
      <c r="AG22" s="178">
        <f t="shared" si="27"/>
        <v>60.723736199338163</v>
      </c>
      <c r="AH22" s="178">
        <f t="shared" si="51"/>
        <v>42.768344767943219</v>
      </c>
      <c r="AI22" s="179">
        <f t="shared" si="52"/>
        <v>60</v>
      </c>
      <c r="AJ22" s="30">
        <f t="shared" si="54"/>
        <v>2.4</v>
      </c>
      <c r="AK22" s="204">
        <v>8</v>
      </c>
      <c r="AL22" s="204">
        <v>26</v>
      </c>
      <c r="AM22" s="204">
        <v>1</v>
      </c>
      <c r="AN22" s="181">
        <f t="shared" si="2"/>
        <v>34</v>
      </c>
      <c r="AO22" s="182">
        <f t="shared" si="3"/>
        <v>2.9411764705882351</v>
      </c>
      <c r="AP22" s="183">
        <f t="shared" si="28"/>
        <v>100</v>
      </c>
      <c r="AQ22" s="38">
        <f t="shared" si="55"/>
        <v>2</v>
      </c>
      <c r="AR22" s="212">
        <v>4</v>
      </c>
      <c r="AS22" s="292">
        <f t="shared" si="5"/>
        <v>0.25</v>
      </c>
      <c r="AT22" s="185">
        <f t="shared" si="29"/>
        <v>2</v>
      </c>
      <c r="AU22" s="185">
        <f t="shared" si="30"/>
        <v>2</v>
      </c>
      <c r="AV22" s="186">
        <f t="shared" si="6"/>
        <v>25</v>
      </c>
      <c r="AW22" s="179">
        <f t="shared" si="31"/>
        <v>80</v>
      </c>
      <c r="AX22" s="239">
        <f t="shared" si="56"/>
        <v>0.8</v>
      </c>
      <c r="AY22" s="54">
        <v>9</v>
      </c>
      <c r="AZ22" s="54">
        <f>9*4-1</f>
        <v>35</v>
      </c>
      <c r="BA22" s="189">
        <f t="shared" si="8"/>
        <v>36</v>
      </c>
      <c r="BB22" s="178">
        <f t="shared" si="32"/>
        <v>97.222222222222214</v>
      </c>
      <c r="BC22" s="179">
        <f t="shared" si="33"/>
        <v>100</v>
      </c>
      <c r="BD22" s="30">
        <f t="shared" si="57"/>
        <v>1</v>
      </c>
      <c r="BE22" s="190">
        <v>37627818</v>
      </c>
      <c r="BF22" s="190">
        <v>3211789</v>
      </c>
      <c r="BG22" s="54">
        <v>1444334</v>
      </c>
      <c r="BH22" s="191">
        <f t="shared" si="10"/>
        <v>40839607</v>
      </c>
      <c r="BI22" s="178">
        <f t="shared" si="11"/>
        <v>3.5366011235122805</v>
      </c>
      <c r="BJ22" s="294" t="str">
        <f t="shared" si="34"/>
        <v>비제조/서비스업</v>
      </c>
      <c r="BK22" s="192">
        <f t="shared" si="12"/>
        <v>1.7464434573900924</v>
      </c>
      <c r="BL22" s="193">
        <f t="shared" si="35"/>
        <v>1.7901576661221881</v>
      </c>
      <c r="BM22" s="241">
        <f t="shared" si="36"/>
        <v>60</v>
      </c>
      <c r="BN22" s="47">
        <f t="shared" si="37"/>
        <v>1.2</v>
      </c>
      <c r="BO22" s="54">
        <v>3880000</v>
      </c>
      <c r="BP22" s="194">
        <f t="shared" si="38"/>
        <v>0.2812691176915732</v>
      </c>
      <c r="BQ22" s="179">
        <f t="shared" si="39"/>
        <v>55</v>
      </c>
      <c r="BR22" s="30">
        <f t="shared" si="58"/>
        <v>1.1000000000000001</v>
      </c>
      <c r="BS22" s="195">
        <v>332911.141</v>
      </c>
      <c r="BT22" s="195">
        <v>515990.91</v>
      </c>
      <c r="BU22" s="196">
        <f t="shared" si="40"/>
        <v>-183079.76899999997</v>
      </c>
      <c r="BV22" s="178">
        <f t="shared" si="14"/>
        <v>-1.3271826055104904E-2</v>
      </c>
      <c r="BW22" s="192">
        <f t="shared" si="15"/>
        <v>2.8482825397737606</v>
      </c>
      <c r="BX22" s="192">
        <f t="shared" si="41"/>
        <v>8.1884933885942406</v>
      </c>
      <c r="BY22" s="192">
        <f t="shared" si="16"/>
        <v>5.5697595856656799</v>
      </c>
      <c r="BZ22" s="192">
        <f t="shared" si="42"/>
        <v>69.629227839792961</v>
      </c>
      <c r="CA22" s="192">
        <f t="shared" si="17"/>
        <v>40</v>
      </c>
      <c r="CB22" s="55">
        <f t="shared" si="43"/>
        <v>0.8</v>
      </c>
      <c r="CC22" s="197">
        <f t="shared" si="59"/>
        <v>252.49813263367176</v>
      </c>
      <c r="CD22" s="198">
        <f t="shared" si="60"/>
        <v>25</v>
      </c>
      <c r="CE22" s="58">
        <f t="shared" si="61"/>
        <v>0.375</v>
      </c>
      <c r="CF22" s="245" t="s">
        <v>2326</v>
      </c>
      <c r="CG22" s="245" t="s">
        <v>2326</v>
      </c>
      <c r="CH22" s="245" t="s">
        <v>2326</v>
      </c>
      <c r="CI22" s="245" t="s">
        <v>2326</v>
      </c>
      <c r="CJ22" s="235"/>
      <c r="CK22" s="173" t="s">
        <v>2492</v>
      </c>
      <c r="CL22" s="173" t="s">
        <v>2493</v>
      </c>
      <c r="CM22" s="199">
        <f t="shared" si="44"/>
        <v>40</v>
      </c>
      <c r="CN22" s="58">
        <f t="shared" si="62"/>
        <v>0.6</v>
      </c>
      <c r="CO22" s="54">
        <f>2076000+115531000+10826000+272000+100000+1000+7405000+123685000</f>
        <v>259896000</v>
      </c>
      <c r="CP22" s="186">
        <f t="shared" si="45"/>
        <v>65.202402058338294</v>
      </c>
      <c r="CQ22" s="179">
        <f t="shared" si="46"/>
        <v>40</v>
      </c>
      <c r="CR22" s="30">
        <f t="shared" si="63"/>
        <v>1.2</v>
      </c>
      <c r="CS22" s="200">
        <f>_xlfn.XLOOKUP(C22, '1-1. 관계사체무보증금액 (환율 등)'!$3:$3, '1-1. 관계사체무보증금액 (환율 등)'!$33:$33)</f>
        <v>8308000</v>
      </c>
      <c r="CT22" s="178">
        <f t="shared" si="23"/>
        <v>2.0843012447312561</v>
      </c>
      <c r="CU22" s="179">
        <f t="shared" si="47"/>
        <v>100</v>
      </c>
      <c r="CV22" s="30">
        <f t="shared" si="64"/>
        <v>2</v>
      </c>
      <c r="CW22" s="72">
        <f t="shared" si="48"/>
        <v>14.905340547197802</v>
      </c>
    </row>
    <row r="23" spans="1:101" x14ac:dyDescent="0.6">
      <c r="A23" s="214" t="s">
        <v>1489</v>
      </c>
      <c r="B23" s="13" t="s">
        <v>2000</v>
      </c>
      <c r="C23" s="219" t="s">
        <v>1490</v>
      </c>
      <c r="D23" s="14" t="s">
        <v>285</v>
      </c>
      <c r="E23" s="217" t="s">
        <v>534</v>
      </c>
      <c r="F23" s="217" t="s">
        <v>1491</v>
      </c>
      <c r="G23" s="218">
        <v>34977</v>
      </c>
      <c r="H23" s="217" t="s">
        <v>830</v>
      </c>
      <c r="I23" s="217" t="s">
        <v>1492</v>
      </c>
      <c r="J23" s="217" t="s">
        <v>1493</v>
      </c>
      <c r="K23" s="217" t="s">
        <v>91</v>
      </c>
      <c r="L23" s="220">
        <v>25684209000</v>
      </c>
      <c r="M23" s="206">
        <v>5067672000</v>
      </c>
      <c r="N23" s="206">
        <v>20616537000</v>
      </c>
      <c r="O23" s="206">
        <v>18429889000</v>
      </c>
      <c r="P23" s="206">
        <v>9919892000</v>
      </c>
      <c r="Q23" s="206">
        <v>10124753000</v>
      </c>
      <c r="R23" s="206">
        <v>10047898000</v>
      </c>
      <c r="S23" s="207">
        <v>489039496</v>
      </c>
      <c r="T23" s="207">
        <v>0</v>
      </c>
      <c r="U23" s="207">
        <v>0</v>
      </c>
      <c r="V23" s="207">
        <v>0</v>
      </c>
      <c r="W23" s="207">
        <f>19+1720+3471+720+290+300+3617</f>
        <v>10137</v>
      </c>
      <c r="X23" s="207">
        <v>0</v>
      </c>
      <c r="Z23" s="207">
        <v>0</v>
      </c>
      <c r="AA23" s="207">
        <v>0</v>
      </c>
      <c r="AB23" s="176">
        <f t="shared" si="49"/>
        <v>10137</v>
      </c>
      <c r="AC23" s="177">
        <f t="shared" si="25"/>
        <v>2.0728387140330276E-3</v>
      </c>
      <c r="AD23" s="177">
        <f t="shared" si="50"/>
        <v>100.08451711273243</v>
      </c>
      <c r="AE23" s="26">
        <f t="shared" si="53"/>
        <v>3.0025355133819729</v>
      </c>
      <c r="AF23" s="178">
        <f t="shared" si="26"/>
        <v>0</v>
      </c>
      <c r="AG23" s="178">
        <f t="shared" si="27"/>
        <v>2.0728387140330276E-3</v>
      </c>
      <c r="AH23" s="178">
        <f t="shared" si="51"/>
        <v>2.0728387140330276E-3</v>
      </c>
      <c r="AI23" s="179">
        <f t="shared" si="52"/>
        <v>100</v>
      </c>
      <c r="AJ23" s="30">
        <f t="shared" si="54"/>
        <v>4</v>
      </c>
      <c r="AK23" s="204">
        <v>5</v>
      </c>
      <c r="AL23" s="204">
        <v>23</v>
      </c>
      <c r="AM23" s="204">
        <v>0</v>
      </c>
      <c r="AN23" s="181">
        <f t="shared" si="2"/>
        <v>28</v>
      </c>
      <c r="AO23" s="182">
        <f t="shared" si="3"/>
        <v>0</v>
      </c>
      <c r="AP23" s="183">
        <f t="shared" si="28"/>
        <v>100</v>
      </c>
      <c r="AQ23" s="38">
        <f t="shared" si="55"/>
        <v>2</v>
      </c>
      <c r="AR23" s="212">
        <v>3</v>
      </c>
      <c r="AS23" s="292">
        <f t="shared" si="5"/>
        <v>0.5</v>
      </c>
      <c r="AT23" s="185">
        <f t="shared" si="29"/>
        <v>2.5</v>
      </c>
      <c r="AU23" s="185">
        <f t="shared" si="30"/>
        <v>2</v>
      </c>
      <c r="AV23" s="186">
        <f t="shared" si="6"/>
        <v>20</v>
      </c>
      <c r="AW23" s="179">
        <f t="shared" si="31"/>
        <v>80</v>
      </c>
      <c r="AX23" s="239">
        <f t="shared" si="56"/>
        <v>0.8</v>
      </c>
      <c r="AY23" s="54">
        <v>17</v>
      </c>
      <c r="AZ23" s="54">
        <f>17*3-1</f>
        <v>50</v>
      </c>
      <c r="BA23" s="189">
        <f t="shared" si="8"/>
        <v>51</v>
      </c>
      <c r="BB23" s="178">
        <f t="shared" si="32"/>
        <v>98.039215686274503</v>
      </c>
      <c r="BC23" s="179">
        <f t="shared" si="33"/>
        <v>100</v>
      </c>
      <c r="BD23" s="30">
        <f t="shared" si="57"/>
        <v>1</v>
      </c>
      <c r="BE23" s="190">
        <v>149100000</v>
      </c>
      <c r="BF23" s="190">
        <v>12705000</v>
      </c>
      <c r="BG23" s="301">
        <v>0</v>
      </c>
      <c r="BH23" s="191">
        <f t="shared" si="10"/>
        <v>161805000</v>
      </c>
      <c r="BI23" s="178">
        <f t="shared" si="11"/>
        <v>0</v>
      </c>
      <c r="BJ23" s="294" t="str">
        <f t="shared" si="34"/>
        <v>비제조/서비스업</v>
      </c>
      <c r="BK23" s="192">
        <f t="shared" si="12"/>
        <v>1.7464434573900924</v>
      </c>
      <c r="BL23" s="193">
        <f t="shared" si="35"/>
        <v>-1.7464434573900924</v>
      </c>
      <c r="BM23" s="241">
        <f t="shared" si="36"/>
        <v>80</v>
      </c>
      <c r="BN23" s="47">
        <f t="shared" si="37"/>
        <v>1.6</v>
      </c>
      <c r="BO23" s="54">
        <v>109000</v>
      </c>
      <c r="BP23" s="194">
        <f t="shared" si="38"/>
        <v>5.9143058322272044E-4</v>
      </c>
      <c r="BQ23" s="179">
        <f t="shared" si="39"/>
        <v>40</v>
      </c>
      <c r="BR23" s="30">
        <f t="shared" si="58"/>
        <v>0.8</v>
      </c>
      <c r="BS23" s="195">
        <v>412885000</v>
      </c>
      <c r="BT23" s="195">
        <v>6198000</v>
      </c>
      <c r="BU23" s="196">
        <f t="shared" si="40"/>
        <v>406687000</v>
      </c>
      <c r="BV23" s="178">
        <f t="shared" si="14"/>
        <v>2.206670913753197</v>
      </c>
      <c r="BW23" s="192">
        <f t="shared" si="15"/>
        <v>2.8482825397737606</v>
      </c>
      <c r="BX23" s="192">
        <f t="shared" si="41"/>
        <v>0.4116654786447515</v>
      </c>
      <c r="BY23" s="192">
        <f t="shared" si="16"/>
        <v>5.5697595856656799</v>
      </c>
      <c r="BZ23" s="192">
        <f t="shared" si="42"/>
        <v>54.585494473492581</v>
      </c>
      <c r="CA23" s="192">
        <f t="shared" si="17"/>
        <v>55</v>
      </c>
      <c r="CB23" s="55">
        <f t="shared" si="43"/>
        <v>1.1000000000000001</v>
      </c>
      <c r="CC23" s="197">
        <f t="shared" si="59"/>
        <v>24.580617006629193</v>
      </c>
      <c r="CD23" s="198">
        <f t="shared" si="60"/>
        <v>91.11283278644629</v>
      </c>
      <c r="CE23" s="58">
        <f t="shared" si="61"/>
        <v>1.3666924917966943</v>
      </c>
      <c r="CF23" s="245" t="s">
        <v>2326</v>
      </c>
      <c r="CG23" s="245" t="s">
        <v>2326</v>
      </c>
      <c r="CH23" s="245" t="s">
        <v>2326</v>
      </c>
      <c r="CI23" s="245" t="s">
        <v>2326</v>
      </c>
      <c r="CJ23" s="235"/>
      <c r="CK23" s="173" t="s">
        <v>2494</v>
      </c>
      <c r="CL23" s="173" t="s">
        <v>2493</v>
      </c>
      <c r="CM23" s="199">
        <f t="shared" si="44"/>
        <v>40</v>
      </c>
      <c r="CN23" s="58">
        <f t="shared" si="62"/>
        <v>0.6</v>
      </c>
      <c r="CO23" s="54">
        <f>544740000-31141000-142000-998000-131000-3327000-43974000-152700000-1200000-19770000-519000-609000-651000-57854000-381000-373000-135000-5709000-254000-290000</f>
        <v>224582000</v>
      </c>
      <c r="CP23" s="186">
        <f t="shared" si="45"/>
        <v>1.0893294058066105</v>
      </c>
      <c r="CQ23" s="179">
        <f t="shared" si="46"/>
        <v>100</v>
      </c>
      <c r="CR23" s="30">
        <f t="shared" si="63"/>
        <v>3</v>
      </c>
      <c r="CS23" s="200">
        <f>_xlfn.XLOOKUP(C23, '1-1. 관계사체무보증금액 (환율 등)'!$3:$3, '1-1. 관계사체무보증금액 (환율 등)'!$33:$33)</f>
        <v>1443472000</v>
      </c>
      <c r="CT23" s="178">
        <f t="shared" si="23"/>
        <v>7.0015250378858491</v>
      </c>
      <c r="CU23" s="179">
        <f t="shared" si="47"/>
        <v>80</v>
      </c>
      <c r="CV23" s="30">
        <f t="shared" si="64"/>
        <v>1.6</v>
      </c>
      <c r="CW23" s="72">
        <f t="shared" si="48"/>
        <v>20.86922800517867</v>
      </c>
    </row>
    <row r="24" spans="1:101" x14ac:dyDescent="0.6">
      <c r="A24" s="214" t="s">
        <v>1494</v>
      </c>
      <c r="B24" s="13" t="s">
        <v>2001</v>
      </c>
      <c r="C24" s="219" t="s">
        <v>306</v>
      </c>
      <c r="D24" s="216" t="s">
        <v>191</v>
      </c>
      <c r="E24" s="217" t="s">
        <v>34</v>
      </c>
      <c r="F24" s="217" t="s">
        <v>670</v>
      </c>
      <c r="G24" s="218">
        <v>42670</v>
      </c>
      <c r="H24" s="217" t="s">
        <v>830</v>
      </c>
      <c r="I24" s="217" t="s">
        <v>692</v>
      </c>
      <c r="J24" s="217" t="s">
        <v>639</v>
      </c>
      <c r="K24" s="217" t="s">
        <v>425</v>
      </c>
      <c r="L24" s="220">
        <v>254329814</v>
      </c>
      <c r="M24" s="206">
        <v>113155622</v>
      </c>
      <c r="N24" s="206">
        <v>141174193</v>
      </c>
      <c r="O24" s="206">
        <v>184874804</v>
      </c>
      <c r="P24" s="206">
        <v>26315611</v>
      </c>
      <c r="Q24" s="206">
        <v>24849352</v>
      </c>
      <c r="R24" s="206">
        <v>19163516</v>
      </c>
      <c r="S24" s="207">
        <v>15834554</v>
      </c>
      <c r="T24" s="207">
        <v>350000</v>
      </c>
      <c r="U24" s="207">
        <v>6806168</v>
      </c>
      <c r="V24" s="207">
        <v>0</v>
      </c>
      <c r="W24" s="207">
        <f>10000+2000+2104</f>
        <v>14104</v>
      </c>
      <c r="X24" s="207">
        <v>0</v>
      </c>
      <c r="Z24" s="207">
        <v>0</v>
      </c>
      <c r="AA24" s="207">
        <v>0</v>
      </c>
      <c r="AB24" s="176">
        <f t="shared" si="49"/>
        <v>6820272</v>
      </c>
      <c r="AC24" s="177">
        <f t="shared" si="25"/>
        <v>43.07208147447664</v>
      </c>
      <c r="AD24" s="177">
        <f t="shared" si="50"/>
        <v>62.912472835607048</v>
      </c>
      <c r="AE24" s="26">
        <f t="shared" si="53"/>
        <v>1.8873741850682113</v>
      </c>
      <c r="AF24" s="178">
        <f t="shared" si="26"/>
        <v>43.95456272101864</v>
      </c>
      <c r="AG24" s="178">
        <f t="shared" si="27"/>
        <v>44.04564703639511</v>
      </c>
      <c r="AH24" s="178">
        <f t="shared" si="51"/>
        <v>9.1084315376470215E-2</v>
      </c>
      <c r="AI24" s="179">
        <f t="shared" si="52"/>
        <v>100</v>
      </c>
      <c r="AJ24" s="30">
        <f t="shared" si="54"/>
        <v>4</v>
      </c>
      <c r="AK24" s="204">
        <v>6</v>
      </c>
      <c r="AL24" s="204">
        <v>8</v>
      </c>
      <c r="AM24" s="180">
        <v>1</v>
      </c>
      <c r="AN24" s="181">
        <f t="shared" si="2"/>
        <v>14</v>
      </c>
      <c r="AO24" s="182">
        <f t="shared" si="3"/>
        <v>7.1428571428571423</v>
      </c>
      <c r="AP24" s="183">
        <f t="shared" si="28"/>
        <v>100</v>
      </c>
      <c r="AQ24" s="38">
        <f t="shared" si="55"/>
        <v>2</v>
      </c>
      <c r="AR24" s="212">
        <v>2</v>
      </c>
      <c r="AS24" s="292">
        <f t="shared" si="5"/>
        <v>0.25</v>
      </c>
      <c r="AT24" s="185">
        <f t="shared" si="29"/>
        <v>1.5</v>
      </c>
      <c r="AU24" s="185">
        <f t="shared" si="30"/>
        <v>1</v>
      </c>
      <c r="AV24" s="186">
        <f t="shared" si="6"/>
        <v>16.666666666666664</v>
      </c>
      <c r="AW24" s="179">
        <f t="shared" si="31"/>
        <v>60</v>
      </c>
      <c r="AX24" s="239">
        <f t="shared" si="56"/>
        <v>0.6</v>
      </c>
      <c r="AY24" s="54">
        <v>12</v>
      </c>
      <c r="AZ24" s="54">
        <f>2*12-5</f>
        <v>19</v>
      </c>
      <c r="BA24" s="189">
        <f t="shared" si="8"/>
        <v>24</v>
      </c>
      <c r="BB24" s="178">
        <f t="shared" si="32"/>
        <v>79.166666666666657</v>
      </c>
      <c r="BC24" s="179">
        <f t="shared" si="33"/>
        <v>50</v>
      </c>
      <c r="BD24" s="30">
        <f t="shared" si="57"/>
        <v>0.5</v>
      </c>
      <c r="BE24" s="190">
        <v>3313157</v>
      </c>
      <c r="BF24" s="190">
        <v>318293</v>
      </c>
      <c r="BG24" s="54">
        <v>18555</v>
      </c>
      <c r="BH24" s="191">
        <f t="shared" si="10"/>
        <v>3631450</v>
      </c>
      <c r="BI24" s="178">
        <f t="shared" si="11"/>
        <v>0.51095292514009549</v>
      </c>
      <c r="BJ24" s="294" t="str">
        <f t="shared" si="34"/>
        <v>식약/섬유/종이업</v>
      </c>
      <c r="BK24" s="192">
        <f t="shared" si="12"/>
        <v>2.1999360555264444</v>
      </c>
      <c r="BL24" s="193">
        <f t="shared" si="35"/>
        <v>-1.688983130386349</v>
      </c>
      <c r="BM24" s="241">
        <f t="shared" si="36"/>
        <v>80</v>
      </c>
      <c r="BN24" s="47">
        <f t="shared" si="37"/>
        <v>1.6</v>
      </c>
      <c r="BO24" s="54">
        <v>6899000</v>
      </c>
      <c r="BP24" s="194">
        <f t="shared" si="38"/>
        <v>3.7317145715540554</v>
      </c>
      <c r="BQ24" s="179">
        <f t="shared" si="39"/>
        <v>85</v>
      </c>
      <c r="BR24" s="30">
        <f t="shared" si="58"/>
        <v>1.7</v>
      </c>
      <c r="BS24" s="195">
        <v>7955194.7019999996</v>
      </c>
      <c r="BT24" s="195">
        <v>2000</v>
      </c>
      <c r="BU24" s="196">
        <f t="shared" si="40"/>
        <v>7953194.7019999996</v>
      </c>
      <c r="BV24" s="178">
        <f t="shared" si="14"/>
        <v>4.3019354341005815</v>
      </c>
      <c r="BW24" s="192">
        <f t="shared" si="15"/>
        <v>5.0508176117342281</v>
      </c>
      <c r="BX24" s="192">
        <f t="shared" si="41"/>
        <v>0.56082451597731253</v>
      </c>
      <c r="BY24" s="192">
        <f t="shared" si="16"/>
        <v>6.9871618081220941</v>
      </c>
      <c r="BZ24" s="192">
        <f t="shared" si="42"/>
        <v>54.267680554283835</v>
      </c>
      <c r="CA24" s="192">
        <f t="shared" si="17"/>
        <v>55</v>
      </c>
      <c r="CB24" s="55">
        <f t="shared" si="43"/>
        <v>1.1000000000000001</v>
      </c>
      <c r="CC24" s="197">
        <f t="shared" si="59"/>
        <v>80.153192021434123</v>
      </c>
      <c r="CD24" s="198">
        <f t="shared" si="60"/>
        <v>70.168394966796185</v>
      </c>
      <c r="CE24" s="58">
        <f t="shared" si="61"/>
        <v>1.0525259245019427</v>
      </c>
      <c r="CF24" s="245" t="s">
        <v>2326</v>
      </c>
      <c r="CG24" s="245" t="s">
        <v>2326</v>
      </c>
      <c r="CH24" s="245" t="s">
        <v>2326</v>
      </c>
      <c r="CI24" s="245" t="s">
        <v>2326</v>
      </c>
      <c r="CJ24" s="235"/>
      <c r="CK24" s="173" t="s">
        <v>2495</v>
      </c>
      <c r="CL24" s="173" t="s">
        <v>2478</v>
      </c>
      <c r="CM24" s="199">
        <f t="shared" si="44"/>
        <v>25</v>
      </c>
      <c r="CN24" s="58">
        <f t="shared" si="62"/>
        <v>0.375</v>
      </c>
      <c r="CO24" s="54">
        <v>14275000</v>
      </c>
      <c r="CP24" s="186">
        <f t="shared" si="45"/>
        <v>10.111621463279766</v>
      </c>
      <c r="CQ24" s="179">
        <f t="shared" si="46"/>
        <v>60</v>
      </c>
      <c r="CR24" s="30">
        <f t="shared" si="63"/>
        <v>1.7999999999999998</v>
      </c>
      <c r="CS24" s="200">
        <f>_xlfn.XLOOKUP(C24, '1-1. 관계사체무보증금액 (환율 등)'!$3:$3, '1-1. 관계사체무보증금액 (환율 등)'!$33:$33)</f>
        <v>18778000</v>
      </c>
      <c r="CT24" s="178">
        <f t="shared" si="23"/>
        <v>13.301297922064267</v>
      </c>
      <c r="CU24" s="179">
        <f t="shared" si="47"/>
        <v>60</v>
      </c>
      <c r="CV24" s="30">
        <f t="shared" si="64"/>
        <v>1.2</v>
      </c>
      <c r="CW24" s="72">
        <f t="shared" si="48"/>
        <v>17.81490010957015</v>
      </c>
    </row>
    <row r="25" spans="1:101" x14ac:dyDescent="0.6">
      <c r="A25" s="214" t="s">
        <v>1495</v>
      </c>
      <c r="B25" s="13" t="s">
        <v>2002</v>
      </c>
      <c r="C25" s="219" t="s">
        <v>1496</v>
      </c>
      <c r="D25" s="14" t="s">
        <v>203</v>
      </c>
      <c r="E25" s="217" t="s">
        <v>195</v>
      </c>
      <c r="F25" s="217" t="s">
        <v>1497</v>
      </c>
      <c r="G25" s="218">
        <v>31446</v>
      </c>
      <c r="H25" s="217" t="s">
        <v>830</v>
      </c>
      <c r="I25" s="217" t="s">
        <v>1498</v>
      </c>
      <c r="J25" s="217" t="s">
        <v>1499</v>
      </c>
      <c r="K25" s="217" t="s">
        <v>91</v>
      </c>
      <c r="L25" s="220">
        <v>2935263009</v>
      </c>
      <c r="M25" s="206">
        <v>1282845349</v>
      </c>
      <c r="N25" s="206">
        <v>1652417660</v>
      </c>
      <c r="O25" s="206">
        <v>3676462979</v>
      </c>
      <c r="P25" s="206">
        <v>325853385</v>
      </c>
      <c r="Q25" s="206">
        <v>376778870</v>
      </c>
      <c r="R25" s="206">
        <v>526787734</v>
      </c>
      <c r="S25" s="207">
        <v>100008897</v>
      </c>
      <c r="T25" s="207">
        <v>6585</v>
      </c>
      <c r="U25" s="207">
        <v>40000000</v>
      </c>
      <c r="V25" s="207">
        <v>0</v>
      </c>
      <c r="W25" s="207">
        <v>131</v>
      </c>
      <c r="X25" s="207">
        <v>0</v>
      </c>
      <c r="Z25" s="207">
        <v>0</v>
      </c>
      <c r="AA25" s="207">
        <v>0</v>
      </c>
      <c r="AB25" s="176">
        <f t="shared" si="49"/>
        <v>40000131</v>
      </c>
      <c r="AC25" s="177">
        <f t="shared" si="25"/>
        <v>39.996572504944233</v>
      </c>
      <c r="AD25" s="177">
        <f t="shared" si="50"/>
        <v>65.566824650508437</v>
      </c>
      <c r="AE25" s="26">
        <f t="shared" si="53"/>
        <v>1.967004739515253</v>
      </c>
      <c r="AF25" s="178">
        <f t="shared" si="26"/>
        <v>39.999075221380878</v>
      </c>
      <c r="AG25" s="178">
        <f t="shared" si="27"/>
        <v>39.999206218352228</v>
      </c>
      <c r="AH25" s="178">
        <f t="shared" si="51"/>
        <v>1.3099697135032784E-4</v>
      </c>
      <c r="AI25" s="179">
        <f t="shared" si="52"/>
        <v>100</v>
      </c>
      <c r="AJ25" s="30">
        <f t="shared" si="54"/>
        <v>4</v>
      </c>
      <c r="AK25" s="204">
        <v>7</v>
      </c>
      <c r="AL25" s="204">
        <v>13</v>
      </c>
      <c r="AM25" s="180">
        <v>1</v>
      </c>
      <c r="AN25" s="181">
        <f t="shared" si="2"/>
        <v>20</v>
      </c>
      <c r="AO25" s="182">
        <f t="shared" si="3"/>
        <v>5</v>
      </c>
      <c r="AP25" s="183">
        <f t="shared" si="28"/>
        <v>100</v>
      </c>
      <c r="AQ25" s="38">
        <f t="shared" si="55"/>
        <v>2</v>
      </c>
      <c r="AR25" s="212">
        <v>4</v>
      </c>
      <c r="AS25" s="292">
        <f t="shared" si="5"/>
        <v>0.5</v>
      </c>
      <c r="AT25" s="185">
        <f t="shared" si="29"/>
        <v>3.5</v>
      </c>
      <c r="AU25" s="185">
        <f t="shared" si="30"/>
        <v>3</v>
      </c>
      <c r="AV25" s="186">
        <f t="shared" si="6"/>
        <v>14.285714285714285</v>
      </c>
      <c r="AW25" s="179">
        <f t="shared" si="31"/>
        <v>60</v>
      </c>
      <c r="AX25" s="239">
        <f t="shared" si="56"/>
        <v>0.6</v>
      </c>
      <c r="AY25" s="54">
        <v>11</v>
      </c>
      <c r="AZ25" s="54">
        <f>44-3</f>
        <v>41</v>
      </c>
      <c r="BA25" s="189">
        <f t="shared" si="8"/>
        <v>44</v>
      </c>
      <c r="BB25" s="178">
        <f t="shared" si="32"/>
        <v>93.181818181818173</v>
      </c>
      <c r="BC25" s="179">
        <f t="shared" si="33"/>
        <v>100</v>
      </c>
      <c r="BD25" s="30">
        <f t="shared" si="57"/>
        <v>1</v>
      </c>
      <c r="BE25" s="190">
        <v>17067</v>
      </c>
      <c r="BF25" s="190">
        <v>1342</v>
      </c>
      <c r="BG25" s="301">
        <v>0</v>
      </c>
      <c r="BH25" s="191">
        <f t="shared" si="10"/>
        <v>18409</v>
      </c>
      <c r="BI25" s="178">
        <f t="shared" si="11"/>
        <v>0</v>
      </c>
      <c r="BJ25" s="294" t="str">
        <f t="shared" si="34"/>
        <v>금속/비금속/화학업</v>
      </c>
      <c r="BK25" s="192">
        <f t="shared" si="12"/>
        <v>3.9534118626990464</v>
      </c>
      <c r="BL25" s="193">
        <f t="shared" si="35"/>
        <v>-3.9534118626990464</v>
      </c>
      <c r="BM25" s="241">
        <f t="shared" si="36"/>
        <v>100</v>
      </c>
      <c r="BN25" s="47">
        <f t="shared" si="37"/>
        <v>2</v>
      </c>
      <c r="BO25" s="54">
        <v>2143000</v>
      </c>
      <c r="BP25" s="194">
        <f t="shared" si="38"/>
        <v>5.8289720642934285E-2</v>
      </c>
      <c r="BQ25" s="179">
        <f t="shared" si="39"/>
        <v>40</v>
      </c>
      <c r="BR25" s="30">
        <f t="shared" si="58"/>
        <v>0.8</v>
      </c>
      <c r="BS25" s="195">
        <v>30241194.454</v>
      </c>
      <c r="BT25" s="195">
        <v>44482986.773000002</v>
      </c>
      <c r="BU25" s="196">
        <f t="shared" si="40"/>
        <v>-14241792.319000002</v>
      </c>
      <c r="BV25" s="178">
        <f t="shared" si="14"/>
        <v>-0.38737755283676972</v>
      </c>
      <c r="BW25" s="192">
        <f t="shared" si="15"/>
        <v>5.1474158565187729</v>
      </c>
      <c r="BX25" s="192">
        <f t="shared" si="41"/>
        <v>30.633938084245553</v>
      </c>
      <c r="BY25" s="192">
        <f t="shared" si="16"/>
        <v>6.6930498535228526</v>
      </c>
      <c r="BZ25" s="192">
        <f t="shared" si="42"/>
        <v>79.586627574008872</v>
      </c>
      <c r="CA25" s="192">
        <f t="shared" si="17"/>
        <v>40</v>
      </c>
      <c r="CB25" s="55">
        <f t="shared" si="43"/>
        <v>0.8</v>
      </c>
      <c r="CC25" s="197">
        <f t="shared" si="59"/>
        <v>77.634449210619067</v>
      </c>
      <c r="CD25" s="198">
        <f t="shared" si="60"/>
        <v>71.117669895495325</v>
      </c>
      <c r="CE25" s="58">
        <f t="shared" si="61"/>
        <v>1.0667650484324298</v>
      </c>
      <c r="CF25" s="245" t="s">
        <v>2326</v>
      </c>
      <c r="CG25" s="245" t="s">
        <v>2326</v>
      </c>
      <c r="CH25" s="245" t="s">
        <v>2326</v>
      </c>
      <c r="CI25" s="245" t="s">
        <v>2326</v>
      </c>
      <c r="CJ25" s="235"/>
      <c r="CK25" s="173" t="s">
        <v>2491</v>
      </c>
      <c r="CL25" s="173" t="s">
        <v>2478</v>
      </c>
      <c r="CM25" s="199">
        <f t="shared" si="44"/>
        <v>25</v>
      </c>
      <c r="CN25" s="58">
        <f t="shared" si="62"/>
        <v>0.375</v>
      </c>
      <c r="CO25" s="54">
        <f>209000+2530000+5773000+206430000+4351000+90000000+411000</f>
        <v>309704000</v>
      </c>
      <c r="CP25" s="186">
        <f t="shared" si="45"/>
        <v>18.742477007901257</v>
      </c>
      <c r="CQ25" s="179">
        <f t="shared" si="46"/>
        <v>60</v>
      </c>
      <c r="CR25" s="30">
        <f t="shared" si="63"/>
        <v>1.7999999999999998</v>
      </c>
      <c r="CS25" s="200">
        <f>_xlfn.XLOOKUP(C25, '1-1. 관계사체무보증금액 (환율 등)'!$3:$3, '1-1. 관계사체무보증금액 (환율 등)'!$33:$33)</f>
        <v>20268341.772151899</v>
      </c>
      <c r="CT25" s="178">
        <f t="shared" si="23"/>
        <v>1.2265870949449851</v>
      </c>
      <c r="CU25" s="179">
        <f t="shared" si="47"/>
        <v>100</v>
      </c>
      <c r="CV25" s="30">
        <f t="shared" si="64"/>
        <v>2</v>
      </c>
      <c r="CW25" s="72">
        <f t="shared" si="48"/>
        <v>18.408769787947683</v>
      </c>
    </row>
    <row r="26" spans="1:101" x14ac:dyDescent="0.6">
      <c r="A26" s="214" t="s">
        <v>313</v>
      </c>
      <c r="B26" s="13" t="s">
        <v>2003</v>
      </c>
      <c r="C26" s="219" t="s">
        <v>400</v>
      </c>
      <c r="D26" s="216" t="s">
        <v>203</v>
      </c>
      <c r="E26" s="217" t="s">
        <v>180</v>
      </c>
      <c r="F26" s="217" t="s">
        <v>115</v>
      </c>
      <c r="G26" s="218">
        <v>34695</v>
      </c>
      <c r="H26" s="217" t="s">
        <v>830</v>
      </c>
      <c r="I26" s="217" t="s">
        <v>1027</v>
      </c>
      <c r="J26" s="217" t="s">
        <v>1233</v>
      </c>
      <c r="K26" s="217" t="s">
        <v>91</v>
      </c>
      <c r="L26" s="220">
        <v>700649653</v>
      </c>
      <c r="M26" s="206">
        <v>158687185</v>
      </c>
      <c r="N26" s="206">
        <v>541962468</v>
      </c>
      <c r="O26" s="206">
        <v>797448219</v>
      </c>
      <c r="P26" s="206">
        <v>35898934</v>
      </c>
      <c r="Q26" s="206">
        <v>35959716</v>
      </c>
      <c r="R26" s="206">
        <v>29458044</v>
      </c>
      <c r="S26" s="207">
        <v>4840000</v>
      </c>
      <c r="T26" s="207">
        <v>84779</v>
      </c>
      <c r="U26" s="207">
        <v>2401112</v>
      </c>
      <c r="V26" s="207">
        <f>56656+5254+933+7414+416</f>
        <v>70673</v>
      </c>
      <c r="W26" s="207">
        <v>5254</v>
      </c>
      <c r="X26" s="207">
        <v>0</v>
      </c>
      <c r="Z26" s="207">
        <v>0</v>
      </c>
      <c r="AA26" s="207">
        <v>0</v>
      </c>
      <c r="AB26" s="176">
        <f t="shared" si="49"/>
        <v>2477039</v>
      </c>
      <c r="AC26" s="177">
        <f t="shared" si="25"/>
        <v>51.178491735537193</v>
      </c>
      <c r="AD26" s="177">
        <f t="shared" si="50"/>
        <v>55.91614637324178</v>
      </c>
      <c r="AE26" s="26">
        <f t="shared" si="53"/>
        <v>1.6774843911972532</v>
      </c>
      <c r="AF26" s="178">
        <f t="shared" si="26"/>
        <v>51.980444231719204</v>
      </c>
      <c r="AG26" s="178">
        <f t="shared" si="27"/>
        <v>52.090933313088918</v>
      </c>
      <c r="AH26" s="178">
        <f t="shared" si="51"/>
        <v>0.11048908136971392</v>
      </c>
      <c r="AI26" s="179">
        <f t="shared" si="52"/>
        <v>100</v>
      </c>
      <c r="AJ26" s="30">
        <f t="shared" si="54"/>
        <v>4</v>
      </c>
      <c r="AK26" s="204">
        <v>7</v>
      </c>
      <c r="AL26" s="204">
        <v>16</v>
      </c>
      <c r="AM26" s="180">
        <v>1</v>
      </c>
      <c r="AN26" s="181">
        <f t="shared" si="2"/>
        <v>23</v>
      </c>
      <c r="AO26" s="182">
        <f t="shared" si="3"/>
        <v>4.3478260869565215</v>
      </c>
      <c r="AP26" s="183">
        <f t="shared" si="28"/>
        <v>100</v>
      </c>
      <c r="AQ26" s="38">
        <f t="shared" si="55"/>
        <v>2</v>
      </c>
      <c r="AR26" s="212">
        <v>2</v>
      </c>
      <c r="AS26" s="292">
        <f t="shared" si="5"/>
        <v>0.25</v>
      </c>
      <c r="AT26" s="185">
        <f t="shared" si="29"/>
        <v>1.75</v>
      </c>
      <c r="AU26" s="185">
        <f t="shared" si="30"/>
        <v>1</v>
      </c>
      <c r="AV26" s="186">
        <f t="shared" si="6"/>
        <v>14.285714285714285</v>
      </c>
      <c r="AW26" s="179">
        <f t="shared" si="31"/>
        <v>60</v>
      </c>
      <c r="AX26" s="239">
        <f t="shared" si="56"/>
        <v>0.6</v>
      </c>
      <c r="AY26" s="54">
        <v>13</v>
      </c>
      <c r="AZ26" s="54">
        <v>26</v>
      </c>
      <c r="BA26" s="189">
        <f t="shared" si="8"/>
        <v>26</v>
      </c>
      <c r="BB26" s="178">
        <f t="shared" si="32"/>
        <v>100</v>
      </c>
      <c r="BC26" s="179">
        <f t="shared" si="33"/>
        <v>100</v>
      </c>
      <c r="BD26" s="30">
        <f t="shared" si="57"/>
        <v>1</v>
      </c>
      <c r="BE26" s="190">
        <v>6785886.6339999996</v>
      </c>
      <c r="BF26" s="190">
        <v>501528.96100000001</v>
      </c>
      <c r="BG26" s="54">
        <v>674616.25600000005</v>
      </c>
      <c r="BH26" s="191">
        <f t="shared" si="10"/>
        <v>7287415.5949999997</v>
      </c>
      <c r="BI26" s="178">
        <f t="shared" si="11"/>
        <v>9.2572771129296356</v>
      </c>
      <c r="BJ26" s="294" t="str">
        <f t="shared" si="34"/>
        <v>금속/비금속/화학업</v>
      </c>
      <c r="BK26" s="192">
        <f t="shared" si="12"/>
        <v>3.9534118626990464</v>
      </c>
      <c r="BL26" s="193">
        <f t="shared" si="35"/>
        <v>5.3038652502305892</v>
      </c>
      <c r="BM26" s="241">
        <f t="shared" si="36"/>
        <v>40</v>
      </c>
      <c r="BN26" s="47">
        <f t="shared" si="37"/>
        <v>0.8</v>
      </c>
      <c r="BO26" s="54">
        <v>4614897</v>
      </c>
      <c r="BP26" s="194">
        <f t="shared" si="38"/>
        <v>0.57870804524299779</v>
      </c>
      <c r="BQ26" s="179">
        <f t="shared" si="39"/>
        <v>70</v>
      </c>
      <c r="BR26" s="30">
        <f t="shared" si="58"/>
        <v>1.4000000000000001</v>
      </c>
      <c r="BS26" s="195">
        <v>46082546.153999999</v>
      </c>
      <c r="BT26" s="195">
        <v>35727.364000000001</v>
      </c>
      <c r="BU26" s="196">
        <f t="shared" si="40"/>
        <v>46046818.789999999</v>
      </c>
      <c r="BV26" s="178">
        <f t="shared" si="14"/>
        <v>5.7742706915494404</v>
      </c>
      <c r="BW26" s="192">
        <f t="shared" si="15"/>
        <v>5.1474158565187729</v>
      </c>
      <c r="BX26" s="192">
        <f t="shared" si="41"/>
        <v>0.3929469842013254</v>
      </c>
      <c r="BY26" s="192">
        <f t="shared" si="16"/>
        <v>6.6930498535228526</v>
      </c>
      <c r="BZ26" s="192">
        <f t="shared" si="42"/>
        <v>46.269058519024561</v>
      </c>
      <c r="CA26" s="192">
        <f t="shared" si="17"/>
        <v>55</v>
      </c>
      <c r="CB26" s="55">
        <f t="shared" si="43"/>
        <v>1.1000000000000001</v>
      </c>
      <c r="CC26" s="197">
        <f t="shared" si="59"/>
        <v>29.280105979589717</v>
      </c>
      <c r="CD26" s="198">
        <f t="shared" si="60"/>
        <v>89.341668600657144</v>
      </c>
      <c r="CE26" s="58">
        <f t="shared" si="61"/>
        <v>1.3401250290098572</v>
      </c>
      <c r="CF26" s="245" t="s">
        <v>2326</v>
      </c>
      <c r="CG26" s="245" t="s">
        <v>2326</v>
      </c>
      <c r="CH26" s="245" t="s">
        <v>2326</v>
      </c>
      <c r="CI26" s="245" t="s">
        <v>2326</v>
      </c>
      <c r="CJ26" s="235"/>
      <c r="CK26" s="173" t="s">
        <v>2479</v>
      </c>
      <c r="CL26" s="173" t="s">
        <v>2478</v>
      </c>
      <c r="CM26" s="199">
        <f t="shared" si="44"/>
        <v>25</v>
      </c>
      <c r="CN26" s="58">
        <f t="shared" si="62"/>
        <v>0.375</v>
      </c>
      <c r="CO26" s="54">
        <f>8731434+420200+3208650</f>
        <v>12360284</v>
      </c>
      <c r="CP26" s="186">
        <f t="shared" si="45"/>
        <v>2.2806531318696406</v>
      </c>
      <c r="CQ26" s="179">
        <f t="shared" si="46"/>
        <v>100</v>
      </c>
      <c r="CR26" s="30">
        <f t="shared" si="63"/>
        <v>3</v>
      </c>
      <c r="CS26" s="200">
        <f>_xlfn.XLOOKUP(C26, '1-1. 관계사체무보증금액 (환율 등)'!$3:$3, '1-1. 관계사체무보증금액 (환율 등)'!$33:$33)</f>
        <v>10114525.214234229</v>
      </c>
      <c r="CT26" s="178">
        <f t="shared" si="23"/>
        <v>1.8662777980843921</v>
      </c>
      <c r="CU26" s="179">
        <f t="shared" si="47"/>
        <v>100</v>
      </c>
      <c r="CV26" s="30">
        <f t="shared" si="64"/>
        <v>2</v>
      </c>
      <c r="CW26" s="72">
        <f t="shared" si="48"/>
        <v>19.292609420207111</v>
      </c>
    </row>
    <row r="27" spans="1:101" x14ac:dyDescent="0.6">
      <c r="A27" s="214" t="s">
        <v>1500</v>
      </c>
      <c r="B27" s="13" t="s">
        <v>2004</v>
      </c>
      <c r="C27" s="219" t="s">
        <v>74</v>
      </c>
      <c r="D27" s="216" t="s">
        <v>285</v>
      </c>
      <c r="E27" s="217" t="s">
        <v>534</v>
      </c>
      <c r="F27" s="217" t="s">
        <v>1501</v>
      </c>
      <c r="G27" s="218">
        <v>39381</v>
      </c>
      <c r="H27" s="217" t="s">
        <v>830</v>
      </c>
      <c r="I27" s="217" t="s">
        <v>1502</v>
      </c>
      <c r="J27" s="217" t="s">
        <v>1503</v>
      </c>
      <c r="K27" s="217" t="s">
        <v>91</v>
      </c>
      <c r="L27" s="220">
        <v>1612037798</v>
      </c>
      <c r="M27" s="206">
        <v>1209670390</v>
      </c>
      <c r="N27" s="206">
        <v>402367409</v>
      </c>
      <c r="O27" s="206">
        <v>403836166</v>
      </c>
      <c r="P27" s="206">
        <v>64029204</v>
      </c>
      <c r="Q27" s="206">
        <v>42678216</v>
      </c>
      <c r="R27" s="206">
        <v>42137473</v>
      </c>
      <c r="S27" s="207">
        <v>23085880</v>
      </c>
      <c r="T27" s="207">
        <v>508355</v>
      </c>
      <c r="U27" s="207">
        <v>3585386</v>
      </c>
      <c r="V27" s="207">
        <f>100000*3+300000*2+900</f>
        <v>900900</v>
      </c>
      <c r="W27" s="207">
        <f>11000+10536+2800+1899</f>
        <v>26235</v>
      </c>
      <c r="X27" s="207">
        <v>400000</v>
      </c>
      <c r="Y27" s="208" t="s">
        <v>2404</v>
      </c>
      <c r="Z27" s="207">
        <v>0</v>
      </c>
      <c r="AA27" s="207">
        <v>0</v>
      </c>
      <c r="AB27" s="176">
        <f t="shared" si="49"/>
        <v>4912521</v>
      </c>
      <c r="AC27" s="177">
        <f t="shared" si="25"/>
        <v>21.27933178202434</v>
      </c>
      <c r="AD27" s="177">
        <f t="shared" si="50"/>
        <v>81.720944952222951</v>
      </c>
      <c r="AE27" s="26">
        <f t="shared" si="53"/>
        <v>2.4516283485666883</v>
      </c>
      <c r="AF27" s="178">
        <f t="shared" si="26"/>
        <v>19.87058368886758</v>
      </c>
      <c r="AG27" s="178">
        <f t="shared" si="27"/>
        <v>21.75845669531979</v>
      </c>
      <c r="AH27" s="178">
        <f t="shared" si="51"/>
        <v>1.8878730064522102</v>
      </c>
      <c r="AI27" s="179">
        <f t="shared" si="52"/>
        <v>100</v>
      </c>
      <c r="AJ27" s="30">
        <f t="shared" si="54"/>
        <v>4</v>
      </c>
      <c r="AK27" s="204">
        <v>7</v>
      </c>
      <c r="AL27" s="204">
        <v>0</v>
      </c>
      <c r="AM27" s="204">
        <v>0</v>
      </c>
      <c r="AN27" s="181">
        <f t="shared" si="2"/>
        <v>7</v>
      </c>
      <c r="AO27" s="182">
        <f t="shared" si="3"/>
        <v>0</v>
      </c>
      <c r="AP27" s="183">
        <f t="shared" si="28"/>
        <v>100</v>
      </c>
      <c r="AQ27" s="38">
        <f t="shared" si="55"/>
        <v>2</v>
      </c>
      <c r="AR27" s="212">
        <v>5</v>
      </c>
      <c r="AS27" s="292">
        <f t="shared" si="5"/>
        <v>0.25</v>
      </c>
      <c r="AT27" s="185">
        <f t="shared" si="29"/>
        <v>1.75</v>
      </c>
      <c r="AU27" s="185">
        <f t="shared" si="30"/>
        <v>1</v>
      </c>
      <c r="AV27" s="186">
        <f t="shared" si="6"/>
        <v>57.142857142857139</v>
      </c>
      <c r="AW27" s="179">
        <f t="shared" si="31"/>
        <v>100</v>
      </c>
      <c r="AX27" s="239">
        <f t="shared" si="56"/>
        <v>1</v>
      </c>
      <c r="AY27" s="54">
        <v>12</v>
      </c>
      <c r="AZ27" s="54">
        <f>12*4+9</f>
        <v>57</v>
      </c>
      <c r="BA27" s="189">
        <f t="shared" si="8"/>
        <v>60</v>
      </c>
      <c r="BB27" s="178">
        <f t="shared" si="32"/>
        <v>95</v>
      </c>
      <c r="BC27" s="179">
        <f t="shared" si="33"/>
        <v>100</v>
      </c>
      <c r="BD27" s="30">
        <f t="shared" si="57"/>
        <v>1</v>
      </c>
      <c r="BE27" s="190">
        <v>34395298</v>
      </c>
      <c r="BF27" s="190">
        <v>2599484</v>
      </c>
      <c r="BG27" s="301">
        <v>0</v>
      </c>
      <c r="BH27" s="191">
        <f t="shared" si="10"/>
        <v>36994782</v>
      </c>
      <c r="BI27" s="178">
        <f t="shared" si="11"/>
        <v>0</v>
      </c>
      <c r="BJ27" s="294" t="str">
        <f t="shared" si="34"/>
        <v>비제조/서비스업</v>
      </c>
      <c r="BK27" s="192">
        <f t="shared" si="12"/>
        <v>1.7464434573900924</v>
      </c>
      <c r="BL27" s="193">
        <f t="shared" si="35"/>
        <v>-1.7464434573900924</v>
      </c>
      <c r="BM27" s="241">
        <f t="shared" si="36"/>
        <v>80</v>
      </c>
      <c r="BN27" s="47">
        <f t="shared" si="37"/>
        <v>1.6</v>
      </c>
      <c r="BO27" s="54">
        <v>0</v>
      </c>
      <c r="BP27" s="194">
        <f t="shared" si="38"/>
        <v>0</v>
      </c>
      <c r="BQ27" s="179">
        <f t="shared" si="39"/>
        <v>25</v>
      </c>
      <c r="BR27" s="30">
        <f t="shared" si="58"/>
        <v>0.5</v>
      </c>
      <c r="BS27" s="195">
        <v>168776489</v>
      </c>
      <c r="BT27" s="195">
        <v>15439315</v>
      </c>
      <c r="BU27" s="196">
        <f t="shared" si="40"/>
        <v>153337174</v>
      </c>
      <c r="BV27" s="178">
        <f t="shared" si="14"/>
        <v>37.970144060846692</v>
      </c>
      <c r="BW27" s="192">
        <f t="shared" si="15"/>
        <v>2.8482825397737606</v>
      </c>
      <c r="BX27" s="192">
        <f t="shared" si="41"/>
        <v>1233.5451567054233</v>
      </c>
      <c r="BY27" s="192">
        <f t="shared" si="16"/>
        <v>5.5697595856656799</v>
      </c>
      <c r="BZ27" s="192">
        <f t="shared" si="42"/>
        <v>1.4334267106619336E-8</v>
      </c>
      <c r="CA27" s="192">
        <f t="shared" si="17"/>
        <v>100</v>
      </c>
      <c r="CB27" s="55">
        <f t="shared" si="43"/>
        <v>2</v>
      </c>
      <c r="CC27" s="197">
        <f t="shared" si="59"/>
        <v>300.63826317503765</v>
      </c>
      <c r="CD27" s="198">
        <f t="shared" si="60"/>
        <v>25</v>
      </c>
      <c r="CE27" s="58">
        <f t="shared" si="61"/>
        <v>0.375</v>
      </c>
      <c r="CF27" s="245" t="s">
        <v>2326</v>
      </c>
      <c r="CG27" s="245" t="s">
        <v>2326</v>
      </c>
      <c r="CH27" s="245" t="s">
        <v>2326</v>
      </c>
      <c r="CI27" s="245" t="s">
        <v>2326</v>
      </c>
      <c r="CJ27" s="235"/>
      <c r="CK27" s="173" t="s">
        <v>2491</v>
      </c>
      <c r="CL27" s="173" t="s">
        <v>2478</v>
      </c>
      <c r="CM27" s="199">
        <f t="shared" si="44"/>
        <v>25</v>
      </c>
      <c r="CN27" s="58">
        <f t="shared" si="62"/>
        <v>0.375</v>
      </c>
      <c r="CO27" s="54">
        <f>1125000+120000</f>
        <v>1245000</v>
      </c>
      <c r="CP27" s="186">
        <f t="shared" si="45"/>
        <v>0.30941869847117764</v>
      </c>
      <c r="CQ27" s="179">
        <f t="shared" si="46"/>
        <v>100</v>
      </c>
      <c r="CR27" s="30">
        <f t="shared" si="63"/>
        <v>3</v>
      </c>
      <c r="CS27" s="200">
        <f>_xlfn.XLOOKUP(C27, '1-1. 관계사체무보증금액 (환율 등)'!$3:$3, '1-1. 관계사체무보증금액 (환율 등)'!$33:$33)</f>
        <v>0</v>
      </c>
      <c r="CT27" s="178">
        <f t="shared" si="23"/>
        <v>0</v>
      </c>
      <c r="CU27" s="179">
        <f t="shared" si="47"/>
        <v>100</v>
      </c>
      <c r="CV27" s="30">
        <f t="shared" si="64"/>
        <v>2</v>
      </c>
      <c r="CW27" s="72">
        <f t="shared" si="48"/>
        <v>20.301628348566688</v>
      </c>
    </row>
    <row r="28" spans="1:101" x14ac:dyDescent="0.6">
      <c r="A28" s="214" t="s">
        <v>292</v>
      </c>
      <c r="B28" s="13" t="s">
        <v>2005</v>
      </c>
      <c r="C28" s="219" t="s">
        <v>398</v>
      </c>
      <c r="D28" s="216" t="s">
        <v>285</v>
      </c>
      <c r="E28" s="217" t="s">
        <v>283</v>
      </c>
      <c r="F28" s="217" t="s">
        <v>1008</v>
      </c>
      <c r="G28" s="218">
        <v>40437</v>
      </c>
      <c r="H28" s="217" t="s">
        <v>830</v>
      </c>
      <c r="I28" s="217" t="s">
        <v>686</v>
      </c>
      <c r="J28" s="217" t="s">
        <v>1025</v>
      </c>
      <c r="K28" s="217" t="s">
        <v>934</v>
      </c>
      <c r="L28" s="220">
        <v>302046228</v>
      </c>
      <c r="M28" s="206">
        <v>136864055</v>
      </c>
      <c r="N28" s="206">
        <v>165182173</v>
      </c>
      <c r="O28" s="206">
        <v>591580546</v>
      </c>
      <c r="P28" s="206">
        <v>16184660</v>
      </c>
      <c r="Q28" s="206">
        <v>17205979</v>
      </c>
      <c r="R28" s="206">
        <v>13158812</v>
      </c>
      <c r="S28" s="207">
        <v>42685000</v>
      </c>
      <c r="T28" s="207">
        <v>4746271</v>
      </c>
      <c r="U28" s="207">
        <f>4954704+3177426</f>
        <v>8132130</v>
      </c>
      <c r="V28" s="207">
        <v>0</v>
      </c>
      <c r="W28" s="207">
        <f>5440+6707+5121+2000+5000+4600+3000+1000</f>
        <v>32868</v>
      </c>
      <c r="X28" s="207">
        <v>0</v>
      </c>
      <c r="Z28" s="207">
        <v>4800000</v>
      </c>
      <c r="AA28" s="207">
        <v>0</v>
      </c>
      <c r="AB28" s="176">
        <f t="shared" si="49"/>
        <v>12964998</v>
      </c>
      <c r="AC28" s="177">
        <f t="shared" si="25"/>
        <v>30.373662879231578</v>
      </c>
      <c r="AD28" s="177">
        <f t="shared" si="50"/>
        <v>73.871982555323726</v>
      </c>
      <c r="AE28" s="26">
        <f t="shared" si="53"/>
        <v>2.2161594766597115</v>
      </c>
      <c r="AF28" s="178">
        <f t="shared" si="26"/>
        <v>21.434903631062603</v>
      </c>
      <c r="AG28" s="178">
        <f t="shared" si="27"/>
        <v>34.173516988405176</v>
      </c>
      <c r="AH28" s="178">
        <f t="shared" si="51"/>
        <v>12.738613357342572</v>
      </c>
      <c r="AI28" s="179">
        <f t="shared" si="52"/>
        <v>80</v>
      </c>
      <c r="AJ28" s="30">
        <f t="shared" si="54"/>
        <v>3.2</v>
      </c>
      <c r="AK28" s="204">
        <v>7</v>
      </c>
      <c r="AL28" s="204">
        <v>11</v>
      </c>
      <c r="AM28" s="204">
        <v>0</v>
      </c>
      <c r="AN28" s="181">
        <f t="shared" si="2"/>
        <v>18</v>
      </c>
      <c r="AO28" s="182">
        <f t="shared" si="3"/>
        <v>0</v>
      </c>
      <c r="AP28" s="183">
        <f t="shared" si="28"/>
        <v>100</v>
      </c>
      <c r="AQ28" s="38">
        <f t="shared" si="55"/>
        <v>2</v>
      </c>
      <c r="AR28" s="212">
        <v>3</v>
      </c>
      <c r="AS28" s="292">
        <f t="shared" si="5"/>
        <v>0.25</v>
      </c>
      <c r="AT28" s="185">
        <f t="shared" si="29"/>
        <v>1.75</v>
      </c>
      <c r="AU28" s="185">
        <f t="shared" si="30"/>
        <v>1</v>
      </c>
      <c r="AV28" s="186">
        <f t="shared" si="6"/>
        <v>28.571428571428569</v>
      </c>
      <c r="AW28" s="179">
        <f t="shared" si="31"/>
        <v>80</v>
      </c>
      <c r="AX28" s="239">
        <f t="shared" si="56"/>
        <v>0.8</v>
      </c>
      <c r="AY28" s="54">
        <v>8</v>
      </c>
      <c r="AZ28" s="54">
        <v>24</v>
      </c>
      <c r="BA28" s="189">
        <f t="shared" si="8"/>
        <v>24</v>
      </c>
      <c r="BB28" s="178">
        <f t="shared" si="32"/>
        <v>100</v>
      </c>
      <c r="BC28" s="179">
        <f t="shared" si="33"/>
        <v>100</v>
      </c>
      <c r="BD28" s="30">
        <f t="shared" si="57"/>
        <v>1</v>
      </c>
      <c r="BE28" s="190">
        <v>283163746</v>
      </c>
      <c r="BF28" s="190">
        <f>11407128+9033994</f>
        <v>20441122</v>
      </c>
      <c r="BG28" s="54">
        <v>41561</v>
      </c>
      <c r="BH28" s="191">
        <f t="shared" si="10"/>
        <v>303604868</v>
      </c>
      <c r="BI28" s="178">
        <f t="shared" si="11"/>
        <v>1.3689174443671964E-2</v>
      </c>
      <c r="BJ28" s="294" t="str">
        <f t="shared" si="34"/>
        <v>비제조/서비스업</v>
      </c>
      <c r="BK28" s="192">
        <f t="shared" si="12"/>
        <v>1.7464434573900924</v>
      </c>
      <c r="BL28" s="193">
        <f t="shared" si="35"/>
        <v>-1.7327542829464204</v>
      </c>
      <c r="BM28" s="241">
        <f t="shared" si="36"/>
        <v>80</v>
      </c>
      <c r="BN28" s="47">
        <f t="shared" si="37"/>
        <v>1.6</v>
      </c>
      <c r="BO28" s="54">
        <v>0</v>
      </c>
      <c r="BP28" s="194">
        <f t="shared" si="38"/>
        <v>0</v>
      </c>
      <c r="BQ28" s="179">
        <f t="shared" si="39"/>
        <v>25</v>
      </c>
      <c r="BR28" s="30">
        <f t="shared" si="58"/>
        <v>0.5</v>
      </c>
      <c r="BS28" s="195">
        <v>8637224.7809999995</v>
      </c>
      <c r="BT28" s="195">
        <v>19096.919999999998</v>
      </c>
      <c r="BU28" s="196">
        <f t="shared" si="40"/>
        <v>8618127.8609999996</v>
      </c>
      <c r="BV28" s="178">
        <f t="shared" si="14"/>
        <v>1.4567970362230267</v>
      </c>
      <c r="BW28" s="192">
        <f t="shared" si="15"/>
        <v>2.8482825397737606</v>
      </c>
      <c r="BX28" s="192">
        <f t="shared" si="41"/>
        <v>1.9362319065918394</v>
      </c>
      <c r="BY28" s="192">
        <f t="shared" si="16"/>
        <v>5.5697595856656799</v>
      </c>
      <c r="BZ28" s="192">
        <f t="shared" si="42"/>
        <v>59.864006767141561</v>
      </c>
      <c r="CA28" s="192">
        <f t="shared" si="17"/>
        <v>55</v>
      </c>
      <c r="CB28" s="55">
        <f t="shared" si="43"/>
        <v>1.1000000000000001</v>
      </c>
      <c r="CC28" s="197">
        <f t="shared" si="59"/>
        <v>82.856432092099922</v>
      </c>
      <c r="CD28" s="198">
        <f t="shared" si="60"/>
        <v>69.149585894937218</v>
      </c>
      <c r="CE28" s="58">
        <f t="shared" si="61"/>
        <v>1.0372437884240582</v>
      </c>
      <c r="CF28" s="245" t="s">
        <v>2326</v>
      </c>
      <c r="CG28" s="245" t="s">
        <v>2326</v>
      </c>
      <c r="CH28" s="245" t="s">
        <v>2326</v>
      </c>
      <c r="CI28" s="245" t="s">
        <v>2326</v>
      </c>
      <c r="CJ28" s="235"/>
      <c r="CK28" s="173" t="s">
        <v>2486</v>
      </c>
      <c r="CL28" s="173" t="s">
        <v>2487</v>
      </c>
      <c r="CM28" s="199">
        <f t="shared" si="44"/>
        <v>70</v>
      </c>
      <c r="CN28" s="58">
        <f t="shared" si="62"/>
        <v>1.05</v>
      </c>
      <c r="CO28" s="54">
        <f>17893000+610000</f>
        <v>18503000</v>
      </c>
      <c r="CP28" s="186">
        <f t="shared" si="45"/>
        <v>11.201571975929872</v>
      </c>
      <c r="CQ28" s="179">
        <f t="shared" si="46"/>
        <v>60</v>
      </c>
      <c r="CR28" s="30">
        <f t="shared" si="63"/>
        <v>1.7999999999999998</v>
      </c>
      <c r="CS28" s="200">
        <f>_xlfn.XLOOKUP(C28, '1-1. 관계사체무보증금액 (환율 등)'!$3:$3, '1-1. 관계사체무보증금액 (환율 등)'!$33:$33)</f>
        <v>0</v>
      </c>
      <c r="CT28" s="178">
        <f t="shared" si="23"/>
        <v>0</v>
      </c>
      <c r="CU28" s="179">
        <f t="shared" si="47"/>
        <v>100</v>
      </c>
      <c r="CV28" s="30">
        <f t="shared" si="64"/>
        <v>2</v>
      </c>
      <c r="CW28" s="72">
        <f t="shared" si="48"/>
        <v>18.303403265083769</v>
      </c>
    </row>
    <row r="29" spans="1:101" x14ac:dyDescent="0.6">
      <c r="A29" s="214" t="s">
        <v>1504</v>
      </c>
      <c r="B29" s="13" t="s">
        <v>2006</v>
      </c>
      <c r="C29" s="219" t="s">
        <v>1505</v>
      </c>
      <c r="D29" s="222" t="s">
        <v>285</v>
      </c>
      <c r="E29" s="217" t="s">
        <v>283</v>
      </c>
      <c r="F29" s="217" t="s">
        <v>1506</v>
      </c>
      <c r="G29" s="218">
        <v>40529</v>
      </c>
      <c r="H29" s="217" t="s">
        <v>830</v>
      </c>
      <c r="I29" s="217" t="s">
        <v>1507</v>
      </c>
      <c r="J29" s="217" t="s">
        <v>1508</v>
      </c>
      <c r="K29" s="217" t="s">
        <v>91</v>
      </c>
      <c r="L29" s="220">
        <v>396208069</v>
      </c>
      <c r="M29" s="206">
        <v>199203706</v>
      </c>
      <c r="N29" s="206">
        <v>197004363</v>
      </c>
      <c r="O29" s="206">
        <v>535783306</v>
      </c>
      <c r="P29" s="206">
        <v>19544619</v>
      </c>
      <c r="Q29" s="206">
        <v>19862607</v>
      </c>
      <c r="R29" s="206">
        <v>15916624</v>
      </c>
      <c r="S29" s="207">
        <v>34802000</v>
      </c>
      <c r="T29" s="207">
        <v>4182218</v>
      </c>
      <c r="U29" s="207">
        <v>10196190</v>
      </c>
      <c r="V29" s="207">
        <v>0</v>
      </c>
      <c r="W29" s="207">
        <f>4000*3+620+2000+310+100+548</f>
        <v>15578</v>
      </c>
      <c r="X29" s="207">
        <v>0</v>
      </c>
      <c r="Z29" s="207">
        <v>0</v>
      </c>
      <c r="AA29" s="207">
        <v>0</v>
      </c>
      <c r="AB29" s="176">
        <f t="shared" si="49"/>
        <v>10211768</v>
      </c>
      <c r="AC29" s="177">
        <f t="shared" si="25"/>
        <v>29.342474570426987</v>
      </c>
      <c r="AD29" s="177">
        <f t="shared" si="50"/>
        <v>74.761960957629185</v>
      </c>
      <c r="AE29" s="26">
        <f t="shared" si="53"/>
        <v>2.2428588287288753</v>
      </c>
      <c r="AF29" s="178">
        <f t="shared" si="26"/>
        <v>33.29935529913309</v>
      </c>
      <c r="AG29" s="178">
        <f t="shared" si="27"/>
        <v>33.350230906281439</v>
      </c>
      <c r="AH29" s="178">
        <f t="shared" si="51"/>
        <v>5.0875607148348934E-2</v>
      </c>
      <c r="AI29" s="179">
        <f t="shared" si="52"/>
        <v>100</v>
      </c>
      <c r="AJ29" s="30">
        <f t="shared" si="54"/>
        <v>4</v>
      </c>
      <c r="AK29" s="204">
        <v>7</v>
      </c>
      <c r="AL29" s="204">
        <v>10</v>
      </c>
      <c r="AM29" s="204">
        <v>0</v>
      </c>
      <c r="AN29" s="181">
        <f t="shared" si="2"/>
        <v>17</v>
      </c>
      <c r="AO29" s="182">
        <f t="shared" si="3"/>
        <v>0</v>
      </c>
      <c r="AP29" s="183">
        <f t="shared" si="28"/>
        <v>100</v>
      </c>
      <c r="AQ29" s="38">
        <f t="shared" si="55"/>
        <v>2</v>
      </c>
      <c r="AR29" s="212">
        <v>3</v>
      </c>
      <c r="AS29" s="292">
        <f t="shared" si="5"/>
        <v>0.25</v>
      </c>
      <c r="AT29" s="185">
        <f t="shared" si="29"/>
        <v>1.75</v>
      </c>
      <c r="AU29" s="185">
        <f t="shared" si="30"/>
        <v>1</v>
      </c>
      <c r="AV29" s="186">
        <f t="shared" si="6"/>
        <v>28.571428571428569</v>
      </c>
      <c r="AW29" s="179">
        <f t="shared" si="31"/>
        <v>80</v>
      </c>
      <c r="AX29" s="239">
        <f t="shared" si="56"/>
        <v>0.8</v>
      </c>
      <c r="AY29" s="54">
        <v>11</v>
      </c>
      <c r="AZ29" s="54">
        <f>3*9+4</f>
        <v>31</v>
      </c>
      <c r="BA29" s="189">
        <f t="shared" si="8"/>
        <v>33</v>
      </c>
      <c r="BB29" s="178">
        <f t="shared" si="32"/>
        <v>93.939393939393938</v>
      </c>
      <c r="BC29" s="179">
        <f t="shared" si="33"/>
        <v>100</v>
      </c>
      <c r="BD29" s="30">
        <f t="shared" si="57"/>
        <v>1</v>
      </c>
      <c r="BE29" s="190">
        <v>255347461</v>
      </c>
      <c r="BF29" s="190">
        <f>16175248+4096262</f>
        <v>20271510</v>
      </c>
      <c r="BG29" s="301">
        <v>0</v>
      </c>
      <c r="BH29" s="191">
        <f t="shared" si="10"/>
        <v>275618971</v>
      </c>
      <c r="BI29" s="178">
        <f t="shared" si="11"/>
        <v>0</v>
      </c>
      <c r="BJ29" s="294" t="str">
        <f t="shared" si="34"/>
        <v>비제조/서비스업</v>
      </c>
      <c r="BK29" s="192">
        <f t="shared" si="12"/>
        <v>1.7464434573900924</v>
      </c>
      <c r="BL29" s="193">
        <f t="shared" si="35"/>
        <v>-1.7464434573900924</v>
      </c>
      <c r="BM29" s="241">
        <f t="shared" si="36"/>
        <v>80</v>
      </c>
      <c r="BN29" s="47">
        <f t="shared" si="37"/>
        <v>1.6</v>
      </c>
      <c r="BO29" s="54">
        <v>0</v>
      </c>
      <c r="BP29" s="194">
        <f t="shared" si="38"/>
        <v>0</v>
      </c>
      <c r="BQ29" s="179">
        <f t="shared" si="39"/>
        <v>25</v>
      </c>
      <c r="BR29" s="30">
        <f t="shared" si="58"/>
        <v>0.5</v>
      </c>
      <c r="BS29" s="195">
        <v>19768142.912999999</v>
      </c>
      <c r="BT29" s="195">
        <v>187058.07500000001</v>
      </c>
      <c r="BU29" s="196">
        <f t="shared" si="40"/>
        <v>19581084.838</v>
      </c>
      <c r="BV29" s="178">
        <f t="shared" si="14"/>
        <v>3.6546649771876245</v>
      </c>
      <c r="BW29" s="192">
        <f t="shared" si="15"/>
        <v>2.8482825397737606</v>
      </c>
      <c r="BX29" s="192">
        <f t="shared" si="41"/>
        <v>0.65025263536952416</v>
      </c>
      <c r="BY29" s="192">
        <f t="shared" si="16"/>
        <v>5.5697595856656799</v>
      </c>
      <c r="BZ29" s="192">
        <f t="shared" si="42"/>
        <v>44.244280810891134</v>
      </c>
      <c r="CA29" s="192">
        <f t="shared" si="17"/>
        <v>55</v>
      </c>
      <c r="CB29" s="55">
        <f t="shared" si="43"/>
        <v>1.1000000000000001</v>
      </c>
      <c r="CC29" s="197">
        <f t="shared" si="59"/>
        <v>101.11639304150843</v>
      </c>
      <c r="CD29" s="198">
        <f t="shared" si="60"/>
        <v>62.267691064758132</v>
      </c>
      <c r="CE29" s="58">
        <f t="shared" si="61"/>
        <v>0.93401536597137191</v>
      </c>
      <c r="CF29" s="245" t="s">
        <v>2326</v>
      </c>
      <c r="CG29" s="245" t="s">
        <v>2326</v>
      </c>
      <c r="CH29" s="245" t="s">
        <v>2326</v>
      </c>
      <c r="CI29" s="245" t="s">
        <v>2326</v>
      </c>
      <c r="CJ29" s="235"/>
      <c r="CK29" s="173" t="s">
        <v>2476</v>
      </c>
      <c r="CL29" s="173" t="s">
        <v>2477</v>
      </c>
      <c r="CM29" s="199">
        <f t="shared" si="44"/>
        <v>85</v>
      </c>
      <c r="CN29" s="58">
        <f t="shared" si="62"/>
        <v>1.2749999999999999</v>
      </c>
      <c r="CO29" s="54">
        <f>22961000+6598000+643000+3240000+569000</f>
        <v>34011000</v>
      </c>
      <c r="CP29" s="186">
        <f t="shared" si="45"/>
        <v>17.264084653800282</v>
      </c>
      <c r="CQ29" s="179">
        <f t="shared" si="46"/>
        <v>60</v>
      </c>
      <c r="CR29" s="30">
        <f t="shared" si="63"/>
        <v>1.7999999999999998</v>
      </c>
      <c r="CS29" s="200">
        <f>_xlfn.XLOOKUP(C29, '1-1. 관계사체무보증금액 (환율 등)'!$3:$3, '1-1. 관계사체무보증금액 (환율 등)'!$33:$33)</f>
        <v>0</v>
      </c>
      <c r="CT29" s="178">
        <f t="shared" si="23"/>
        <v>0</v>
      </c>
      <c r="CU29" s="179">
        <f t="shared" si="47"/>
        <v>100</v>
      </c>
      <c r="CV29" s="30">
        <f t="shared" si="64"/>
        <v>2</v>
      </c>
      <c r="CW29" s="72">
        <f t="shared" si="48"/>
        <v>19.251874194700246</v>
      </c>
    </row>
    <row r="30" spans="1:101" x14ac:dyDescent="0.6">
      <c r="A30" s="214" t="s">
        <v>709</v>
      </c>
      <c r="B30" s="13" t="s">
        <v>2007</v>
      </c>
      <c r="C30" s="219" t="s">
        <v>513</v>
      </c>
      <c r="D30" s="216" t="s">
        <v>191</v>
      </c>
      <c r="E30" s="217" t="s">
        <v>190</v>
      </c>
      <c r="F30" s="217" t="s">
        <v>618</v>
      </c>
      <c r="G30" s="218">
        <v>39052</v>
      </c>
      <c r="H30" s="217" t="s">
        <v>830</v>
      </c>
      <c r="I30" s="217" t="s">
        <v>970</v>
      </c>
      <c r="J30" s="217" t="s">
        <v>1047</v>
      </c>
      <c r="K30" s="217" t="s">
        <v>91</v>
      </c>
      <c r="L30" s="220">
        <v>1973686923</v>
      </c>
      <c r="M30" s="206">
        <v>455919080</v>
      </c>
      <c r="N30" s="206">
        <v>1517767844</v>
      </c>
      <c r="O30" s="206">
        <v>1271908968</v>
      </c>
      <c r="P30" s="206">
        <v>75779686</v>
      </c>
      <c r="Q30" s="206">
        <v>170929776</v>
      </c>
      <c r="R30" s="206">
        <v>155782948</v>
      </c>
      <c r="S30" s="207">
        <v>29240000</v>
      </c>
      <c r="T30" s="207">
        <v>780000</v>
      </c>
      <c r="U30" s="207">
        <v>5587890</v>
      </c>
      <c r="V30" s="207">
        <f>37908+322491+2501476+179300+1707100+344259+151022+127+648999+20000+89340+27937+32175+3498</f>
        <v>6065632</v>
      </c>
      <c r="W30" s="207">
        <f>15131+8330</f>
        <v>23461</v>
      </c>
      <c r="X30" s="207">
        <v>12860</v>
      </c>
      <c r="Y30" s="208" t="s">
        <v>2405</v>
      </c>
      <c r="Z30" s="207">
        <f>463564+1987823</f>
        <v>2451387</v>
      </c>
      <c r="AA30" s="207">
        <v>0</v>
      </c>
      <c r="AB30" s="176">
        <f t="shared" si="49"/>
        <v>14141230</v>
      </c>
      <c r="AC30" s="177">
        <f t="shared" si="25"/>
        <v>48.362619699042412</v>
      </c>
      <c r="AD30" s="177">
        <f t="shared" si="50"/>
        <v>58.346415679767773</v>
      </c>
      <c r="AE30" s="26">
        <f t="shared" si="53"/>
        <v>1.7503924703930331</v>
      </c>
      <c r="AF30" s="178">
        <f t="shared" si="26"/>
        <v>40.947020379479973</v>
      </c>
      <c r="AG30" s="178">
        <f t="shared" si="27"/>
        <v>49.688088545326778</v>
      </c>
      <c r="AH30" s="178">
        <f t="shared" si="51"/>
        <v>8.741068165846805</v>
      </c>
      <c r="AI30" s="179">
        <f t="shared" si="52"/>
        <v>100</v>
      </c>
      <c r="AJ30" s="30">
        <f t="shared" si="54"/>
        <v>4</v>
      </c>
      <c r="AK30" s="204">
        <v>7</v>
      </c>
      <c r="AL30" s="204">
        <v>29</v>
      </c>
      <c r="AM30" s="204">
        <v>1</v>
      </c>
      <c r="AN30" s="181">
        <f t="shared" si="2"/>
        <v>36</v>
      </c>
      <c r="AO30" s="182">
        <f t="shared" si="3"/>
        <v>2.7777777777777777</v>
      </c>
      <c r="AP30" s="183">
        <f t="shared" si="28"/>
        <v>100</v>
      </c>
      <c r="AQ30" s="38">
        <f t="shared" si="55"/>
        <v>2</v>
      </c>
      <c r="AR30" s="212">
        <v>3</v>
      </c>
      <c r="AS30" s="292">
        <f t="shared" si="5"/>
        <v>0.25</v>
      </c>
      <c r="AT30" s="185">
        <f t="shared" si="29"/>
        <v>1.75</v>
      </c>
      <c r="AU30" s="185">
        <f t="shared" si="30"/>
        <v>1</v>
      </c>
      <c r="AV30" s="186">
        <f t="shared" si="6"/>
        <v>28.571428571428569</v>
      </c>
      <c r="AW30" s="179">
        <f t="shared" si="31"/>
        <v>80</v>
      </c>
      <c r="AX30" s="239">
        <f t="shared" si="56"/>
        <v>0.8</v>
      </c>
      <c r="AY30" s="54">
        <v>6</v>
      </c>
      <c r="AZ30" s="54">
        <v>18</v>
      </c>
      <c r="BA30" s="189">
        <f t="shared" si="8"/>
        <v>18</v>
      </c>
      <c r="BB30" s="178">
        <f t="shared" si="32"/>
        <v>100</v>
      </c>
      <c r="BC30" s="179">
        <f t="shared" si="33"/>
        <v>100</v>
      </c>
      <c r="BD30" s="30">
        <f t="shared" si="57"/>
        <v>1</v>
      </c>
      <c r="BE30" s="190">
        <v>83467000</v>
      </c>
      <c r="BF30" s="190">
        <v>8849000</v>
      </c>
      <c r="BG30" s="301">
        <v>0</v>
      </c>
      <c r="BH30" s="191">
        <f t="shared" si="10"/>
        <v>92316000</v>
      </c>
      <c r="BI30" s="178">
        <f t="shared" si="11"/>
        <v>0</v>
      </c>
      <c r="BJ30" s="294" t="str">
        <f t="shared" si="34"/>
        <v>식약/섬유/종이업</v>
      </c>
      <c r="BK30" s="192">
        <f t="shared" si="12"/>
        <v>2.1999360555264444</v>
      </c>
      <c r="BL30" s="193">
        <f t="shared" si="35"/>
        <v>-2.1999360555264444</v>
      </c>
      <c r="BM30" s="241">
        <f t="shared" si="36"/>
        <v>100</v>
      </c>
      <c r="BN30" s="47">
        <f t="shared" si="37"/>
        <v>2</v>
      </c>
      <c r="BO30" s="54">
        <v>473000</v>
      </c>
      <c r="BP30" s="194">
        <f t="shared" si="38"/>
        <v>3.7188196003033448E-2</v>
      </c>
      <c r="BQ30" s="179">
        <f t="shared" si="39"/>
        <v>40</v>
      </c>
      <c r="BR30" s="30">
        <f t="shared" si="58"/>
        <v>0.8</v>
      </c>
      <c r="BS30" s="195">
        <v>19420249.263</v>
      </c>
      <c r="BT30" s="195">
        <v>103169.977</v>
      </c>
      <c r="BU30" s="196">
        <f t="shared" si="40"/>
        <v>19317079.285999998</v>
      </c>
      <c r="BV30" s="178">
        <f t="shared" si="14"/>
        <v>1.5187469993528655</v>
      </c>
      <c r="BW30" s="192">
        <f t="shared" si="15"/>
        <v>5.0508176117342281</v>
      </c>
      <c r="BX30" s="192">
        <f t="shared" si="41"/>
        <v>12.475522810848053</v>
      </c>
      <c r="BY30" s="192">
        <f t="shared" si="16"/>
        <v>6.9871618081220941</v>
      </c>
      <c r="BZ30" s="192">
        <f t="shared" si="42"/>
        <v>69.33991816644432</v>
      </c>
      <c r="CA30" s="192">
        <f t="shared" si="17"/>
        <v>40</v>
      </c>
      <c r="CB30" s="55">
        <f t="shared" si="43"/>
        <v>0.8</v>
      </c>
      <c r="CC30" s="197">
        <f t="shared" si="59"/>
        <v>30.038788988864624</v>
      </c>
      <c r="CD30" s="198">
        <f t="shared" si="60"/>
        <v>89.055732793141473</v>
      </c>
      <c r="CE30" s="58">
        <f t="shared" si="61"/>
        <v>1.3358359918971221</v>
      </c>
      <c r="CF30" s="245" t="s">
        <v>2326</v>
      </c>
      <c r="CG30" s="245" t="s">
        <v>2326</v>
      </c>
      <c r="CH30" s="245" t="s">
        <v>2326</v>
      </c>
      <c r="CI30" s="245" t="s">
        <v>2326</v>
      </c>
      <c r="CJ30" s="235"/>
      <c r="CK30" s="173" t="s">
        <v>2486</v>
      </c>
      <c r="CL30" s="173" t="s">
        <v>2487</v>
      </c>
      <c r="CM30" s="199">
        <f t="shared" si="44"/>
        <v>70</v>
      </c>
      <c r="CN30" s="58">
        <f t="shared" si="62"/>
        <v>1.05</v>
      </c>
      <c r="CO30" s="54">
        <f>110908000+4000+10372000+39768000+264000+5167000+2674000+21749000+1646000+18037000+2822000+379077000+779000+9323000+23863000+4627000+96679000+6956000+10316000+6960000</f>
        <v>751991000</v>
      </c>
      <c r="CP30" s="186">
        <f t="shared" si="45"/>
        <v>49.545851361441812</v>
      </c>
      <c r="CQ30" s="179">
        <f t="shared" si="46"/>
        <v>40</v>
      </c>
      <c r="CR30" s="30">
        <f t="shared" si="63"/>
        <v>1.2</v>
      </c>
      <c r="CS30" s="200">
        <f>_xlfn.XLOOKUP(C30, '1-1. 관계사체무보증금액 (환율 등)'!$3:$3, '1-1. 관계사체무보증금액 (환율 등)'!$33:$33)</f>
        <v>101037780.92754345</v>
      </c>
      <c r="CT30" s="178">
        <f t="shared" si="23"/>
        <v>6.6569983892440039</v>
      </c>
      <c r="CU30" s="179">
        <f t="shared" si="47"/>
        <v>80</v>
      </c>
      <c r="CV30" s="30">
        <f t="shared" si="64"/>
        <v>1.6</v>
      </c>
      <c r="CW30" s="72">
        <f t="shared" si="48"/>
        <v>18.336228462290158</v>
      </c>
    </row>
    <row r="31" spans="1:101" x14ac:dyDescent="0.6">
      <c r="A31" s="214" t="s">
        <v>1509</v>
      </c>
      <c r="B31" s="13" t="s">
        <v>2008</v>
      </c>
      <c r="C31" s="219" t="s">
        <v>1510</v>
      </c>
      <c r="D31" s="14" t="s">
        <v>191</v>
      </c>
      <c r="E31" s="217" t="s">
        <v>188</v>
      </c>
      <c r="F31" s="217" t="s">
        <v>1511</v>
      </c>
      <c r="G31" s="218">
        <v>37006</v>
      </c>
      <c r="H31" s="217" t="s">
        <v>830</v>
      </c>
      <c r="I31" s="217" t="s">
        <v>1512</v>
      </c>
      <c r="J31" s="217" t="s">
        <v>1513</v>
      </c>
      <c r="K31" s="217" t="s">
        <v>91</v>
      </c>
      <c r="L31" s="220">
        <v>4707323720</v>
      </c>
      <c r="M31" s="206">
        <v>579230693</v>
      </c>
      <c r="N31" s="206">
        <v>4128093027</v>
      </c>
      <c r="O31" s="206">
        <v>3783321412</v>
      </c>
      <c r="P31" s="206">
        <v>428276866</v>
      </c>
      <c r="Q31" s="206">
        <v>165920076</v>
      </c>
      <c r="R31" s="206">
        <v>76950845</v>
      </c>
      <c r="S31" s="207">
        <v>15618197</v>
      </c>
      <c r="T31" s="207">
        <v>958412</v>
      </c>
      <c r="U31" s="207">
        <v>5315500</v>
      </c>
      <c r="V31" s="207">
        <v>0</v>
      </c>
      <c r="W31" s="207">
        <v>10000</v>
      </c>
      <c r="X31" s="207">
        <v>0</v>
      </c>
      <c r="Z31" s="207">
        <v>0</v>
      </c>
      <c r="AA31" s="207">
        <v>0</v>
      </c>
      <c r="AB31" s="176">
        <f t="shared" si="49"/>
        <v>5325500</v>
      </c>
      <c r="AC31" s="177">
        <f t="shared" si="25"/>
        <v>34.098046016451192</v>
      </c>
      <c r="AD31" s="177">
        <f t="shared" si="50"/>
        <v>70.657612759104268</v>
      </c>
      <c r="AE31" s="26">
        <f t="shared" si="53"/>
        <v>2.1197283827731281</v>
      </c>
      <c r="AF31" s="178">
        <f t="shared" si="26"/>
        <v>36.259058369546352</v>
      </c>
      <c r="AG31" s="178">
        <f t="shared" si="27"/>
        <v>36.327272193964646</v>
      </c>
      <c r="AH31" s="178">
        <f t="shared" si="51"/>
        <v>6.8213824418293711E-2</v>
      </c>
      <c r="AI31" s="179">
        <f t="shared" si="52"/>
        <v>100</v>
      </c>
      <c r="AJ31" s="30">
        <f t="shared" si="54"/>
        <v>4</v>
      </c>
      <c r="AK31" s="204">
        <v>7</v>
      </c>
      <c r="AL31" s="204">
        <v>40</v>
      </c>
      <c r="AM31" s="204">
        <v>0</v>
      </c>
      <c r="AN31" s="181">
        <f t="shared" si="2"/>
        <v>47</v>
      </c>
      <c r="AO31" s="182">
        <f t="shared" si="3"/>
        <v>0</v>
      </c>
      <c r="AP31" s="183">
        <f t="shared" si="28"/>
        <v>100</v>
      </c>
      <c r="AQ31" s="38">
        <f t="shared" si="55"/>
        <v>2</v>
      </c>
      <c r="AR31" s="212">
        <v>4</v>
      </c>
      <c r="AS31" s="292">
        <f t="shared" si="5"/>
        <v>0.5</v>
      </c>
      <c r="AT31" s="185">
        <f t="shared" si="29"/>
        <v>3.5</v>
      </c>
      <c r="AU31" s="185">
        <f t="shared" si="30"/>
        <v>3</v>
      </c>
      <c r="AV31" s="186">
        <f t="shared" si="6"/>
        <v>14.285714285714285</v>
      </c>
      <c r="AW31" s="179">
        <f t="shared" si="31"/>
        <v>60</v>
      </c>
      <c r="AX31" s="239">
        <f t="shared" si="56"/>
        <v>0.6</v>
      </c>
      <c r="AY31" s="54">
        <v>8</v>
      </c>
      <c r="AZ31" s="54">
        <f>8*4-2</f>
        <v>30</v>
      </c>
      <c r="BA31" s="189">
        <f t="shared" si="8"/>
        <v>32</v>
      </c>
      <c r="BB31" s="178">
        <f t="shared" si="32"/>
        <v>93.75</v>
      </c>
      <c r="BC31" s="179">
        <f t="shared" si="33"/>
        <v>100</v>
      </c>
      <c r="BD31" s="30">
        <f t="shared" si="57"/>
        <v>1</v>
      </c>
      <c r="BE31" s="190">
        <v>247963000</v>
      </c>
      <c r="BF31" s="190">
        <v>22285000</v>
      </c>
      <c r="BG31" s="301">
        <v>0</v>
      </c>
      <c r="BH31" s="191">
        <f t="shared" si="10"/>
        <v>270248000</v>
      </c>
      <c r="BI31" s="178">
        <f t="shared" si="11"/>
        <v>0</v>
      </c>
      <c r="BJ31" s="294" t="str">
        <f t="shared" si="34"/>
        <v>식약/섬유/종이업</v>
      </c>
      <c r="BK31" s="192">
        <f t="shared" si="12"/>
        <v>2.1999360555264444</v>
      </c>
      <c r="BL31" s="193">
        <f t="shared" si="35"/>
        <v>-2.1999360555264444</v>
      </c>
      <c r="BM31" s="241">
        <f t="shared" si="36"/>
        <v>100</v>
      </c>
      <c r="BN31" s="47">
        <f t="shared" si="37"/>
        <v>2</v>
      </c>
      <c r="BO31" s="54">
        <v>153479000</v>
      </c>
      <c r="BP31" s="194">
        <f t="shared" si="38"/>
        <v>4.0567264391862885</v>
      </c>
      <c r="BQ31" s="179">
        <f t="shared" si="39"/>
        <v>100</v>
      </c>
      <c r="BR31" s="30">
        <f t="shared" si="58"/>
        <v>2</v>
      </c>
      <c r="BS31" s="195">
        <v>77617671.924999997</v>
      </c>
      <c r="BT31" s="195">
        <v>1269449.452</v>
      </c>
      <c r="BU31" s="196">
        <f t="shared" si="40"/>
        <v>76348222.47299999</v>
      </c>
      <c r="BV31" s="178">
        <f t="shared" si="14"/>
        <v>2.018021049727297</v>
      </c>
      <c r="BW31" s="192">
        <f t="shared" si="15"/>
        <v>5.0508176117342281</v>
      </c>
      <c r="BX31" s="192">
        <f t="shared" si="41"/>
        <v>9.1978549865210599</v>
      </c>
      <c r="BY31" s="192">
        <f t="shared" si="16"/>
        <v>6.9871618081220941</v>
      </c>
      <c r="BZ31" s="192">
        <f t="shared" si="42"/>
        <v>66.787491978468267</v>
      </c>
      <c r="CA31" s="192">
        <f t="shared" si="17"/>
        <v>40</v>
      </c>
      <c r="CB31" s="55">
        <f t="shared" si="43"/>
        <v>0.8</v>
      </c>
      <c r="CC31" s="197">
        <f t="shared" si="59"/>
        <v>14.031435076959568</v>
      </c>
      <c r="CD31" s="198">
        <f t="shared" si="60"/>
        <v>95.0886551217489</v>
      </c>
      <c r="CE31" s="58">
        <f t="shared" si="61"/>
        <v>1.4263298268262334</v>
      </c>
      <c r="CF31" s="245" t="s">
        <v>2326</v>
      </c>
      <c r="CG31" s="245" t="s">
        <v>2326</v>
      </c>
      <c r="CH31" s="245" t="s">
        <v>2326</v>
      </c>
      <c r="CI31" s="245" t="s">
        <v>2326</v>
      </c>
      <c r="CJ31" s="235"/>
      <c r="CK31" s="173" t="s">
        <v>2489</v>
      </c>
      <c r="CL31" s="173" t="s">
        <v>2484</v>
      </c>
      <c r="CM31" s="199">
        <f t="shared" si="44"/>
        <v>100</v>
      </c>
      <c r="CN31" s="58">
        <f t="shared" si="62"/>
        <v>1.5</v>
      </c>
      <c r="CO31" s="54">
        <f>1585663000-7403000-1980000-915000-450000-191000-438000-536000</f>
        <v>1573750000</v>
      </c>
      <c r="CP31" s="186">
        <f t="shared" si="45"/>
        <v>38.122929636197853</v>
      </c>
      <c r="CQ31" s="179">
        <f t="shared" si="46"/>
        <v>40</v>
      </c>
      <c r="CR31" s="30">
        <f t="shared" si="63"/>
        <v>1.2</v>
      </c>
      <c r="CS31" s="200">
        <f>_xlfn.XLOOKUP(C31, '1-1. 관계사체무보증금액 (환율 등)'!$3:$3, '1-1. 관계사체무보증금액 (환율 등)'!$33:$33)</f>
        <v>0</v>
      </c>
      <c r="CT31" s="178">
        <f t="shared" si="23"/>
        <v>0</v>
      </c>
      <c r="CU31" s="179">
        <f t="shared" si="47"/>
        <v>100</v>
      </c>
      <c r="CV31" s="30">
        <f t="shared" si="64"/>
        <v>2</v>
      </c>
      <c r="CW31" s="72">
        <f t="shared" si="48"/>
        <v>20.646058209599364</v>
      </c>
    </row>
    <row r="32" spans="1:101" x14ac:dyDescent="0.6">
      <c r="A32" s="214" t="s">
        <v>2407</v>
      </c>
      <c r="B32" s="13" t="s">
        <v>2009</v>
      </c>
      <c r="C32" s="219" t="s">
        <v>471</v>
      </c>
      <c r="D32" s="216" t="s">
        <v>285</v>
      </c>
      <c r="E32" s="217" t="s">
        <v>56</v>
      </c>
      <c r="F32" s="217" t="s">
        <v>148</v>
      </c>
      <c r="G32" s="218">
        <v>39559</v>
      </c>
      <c r="H32" s="217" t="s">
        <v>830</v>
      </c>
      <c r="I32" s="217" t="s">
        <v>806</v>
      </c>
      <c r="J32" s="217" t="s">
        <v>1042</v>
      </c>
      <c r="K32" s="217" t="s">
        <v>91</v>
      </c>
      <c r="L32" s="220">
        <v>18621116000</v>
      </c>
      <c r="M32" s="206">
        <v>10475153000</v>
      </c>
      <c r="N32" s="206">
        <v>8145963000</v>
      </c>
      <c r="O32" s="206">
        <v>12781569000</v>
      </c>
      <c r="P32" s="206">
        <v>1049830000</v>
      </c>
      <c r="Q32" s="206">
        <v>859263000</v>
      </c>
      <c r="R32" s="206">
        <v>661692000</v>
      </c>
      <c r="S32" s="207">
        <v>436611361</v>
      </c>
      <c r="T32" s="207">
        <v>6783009</v>
      </c>
      <c r="U32" s="207">
        <v>164422375</v>
      </c>
      <c r="V32" s="207">
        <v>0</v>
      </c>
      <c r="W32" s="207">
        <f>16000+45800+1000+8100+50040+10+300+1580+662+1602+8318+1000+6000+1000+3006+10+1250+12851</f>
        <v>158529</v>
      </c>
      <c r="X32" s="207">
        <v>0</v>
      </c>
      <c r="Z32" s="207">
        <v>0</v>
      </c>
      <c r="AA32" s="207">
        <v>0</v>
      </c>
      <c r="AB32" s="176">
        <f t="shared" si="49"/>
        <v>164580904</v>
      </c>
      <c r="AC32" s="177">
        <f t="shared" si="25"/>
        <v>37.695057596084865</v>
      </c>
      <c r="AD32" s="177">
        <f t="shared" si="50"/>
        <v>67.553172385427331</v>
      </c>
      <c r="AE32" s="26">
        <f t="shared" si="53"/>
        <v>2.0265951715628199</v>
      </c>
      <c r="AF32" s="178">
        <f t="shared" si="26"/>
        <v>38.253031526408009</v>
      </c>
      <c r="AG32" s="178">
        <f t="shared" si="27"/>
        <v>38.289913458291366</v>
      </c>
      <c r="AH32" s="178">
        <f t="shared" si="51"/>
        <v>3.6881931883357311E-2</v>
      </c>
      <c r="AI32" s="179">
        <f t="shared" si="52"/>
        <v>100</v>
      </c>
      <c r="AJ32" s="30">
        <f t="shared" si="54"/>
        <v>4</v>
      </c>
      <c r="AK32" s="204">
        <v>7</v>
      </c>
      <c r="AL32" s="204">
        <v>71</v>
      </c>
      <c r="AM32" s="204">
        <v>0</v>
      </c>
      <c r="AN32" s="181">
        <f t="shared" si="2"/>
        <v>78</v>
      </c>
      <c r="AO32" s="182">
        <f t="shared" si="3"/>
        <v>0</v>
      </c>
      <c r="AP32" s="183">
        <f t="shared" si="28"/>
        <v>100</v>
      </c>
      <c r="AQ32" s="38">
        <f t="shared" si="55"/>
        <v>2</v>
      </c>
      <c r="AR32" s="212">
        <v>4</v>
      </c>
      <c r="AS32" s="292">
        <f t="shared" si="5"/>
        <v>0.5</v>
      </c>
      <c r="AT32" s="185">
        <f t="shared" si="29"/>
        <v>3.5</v>
      </c>
      <c r="AU32" s="185">
        <f t="shared" si="30"/>
        <v>3</v>
      </c>
      <c r="AV32" s="186">
        <f t="shared" si="6"/>
        <v>14.285714285714285</v>
      </c>
      <c r="AW32" s="179">
        <f t="shared" si="31"/>
        <v>60</v>
      </c>
      <c r="AX32" s="239">
        <f t="shared" si="56"/>
        <v>0.6</v>
      </c>
      <c r="AY32" s="54">
        <v>7</v>
      </c>
      <c r="AZ32" s="54">
        <f>7*4-1</f>
        <v>27</v>
      </c>
      <c r="BA32" s="189">
        <f t="shared" si="8"/>
        <v>28</v>
      </c>
      <c r="BB32" s="178">
        <f t="shared" si="32"/>
        <v>96.428571428571431</v>
      </c>
      <c r="BC32" s="179">
        <f t="shared" si="33"/>
        <v>100</v>
      </c>
      <c r="BD32" s="30">
        <f t="shared" si="57"/>
        <v>1</v>
      </c>
      <c r="BE32" s="190">
        <f>(38424-4)*1000</f>
        <v>38420000</v>
      </c>
      <c r="BF32" s="190">
        <v>4751000</v>
      </c>
      <c r="BG32" s="301">
        <v>0</v>
      </c>
      <c r="BH32" s="191">
        <f t="shared" si="10"/>
        <v>43171000</v>
      </c>
      <c r="BI32" s="178">
        <f t="shared" si="11"/>
        <v>0</v>
      </c>
      <c r="BJ32" s="294" t="str">
        <f t="shared" si="34"/>
        <v>비제조/서비스업</v>
      </c>
      <c r="BK32" s="192">
        <f t="shared" si="12"/>
        <v>1.7464434573900924</v>
      </c>
      <c r="BL32" s="193">
        <f t="shared" si="35"/>
        <v>-1.7464434573900924</v>
      </c>
      <c r="BM32" s="241">
        <f t="shared" si="36"/>
        <v>80</v>
      </c>
      <c r="BN32" s="47">
        <f t="shared" si="37"/>
        <v>1.6</v>
      </c>
      <c r="BO32" s="54">
        <v>125535000</v>
      </c>
      <c r="BP32" s="194">
        <f t="shared" si="38"/>
        <v>0.98215641600808168</v>
      </c>
      <c r="BQ32" s="179">
        <f t="shared" si="39"/>
        <v>70</v>
      </c>
      <c r="BR32" s="30">
        <f t="shared" si="58"/>
        <v>1.4000000000000001</v>
      </c>
      <c r="BS32" s="195">
        <v>2216708000</v>
      </c>
      <c r="BT32" s="195">
        <v>12777000</v>
      </c>
      <c r="BU32" s="196">
        <f t="shared" si="40"/>
        <v>2203931000</v>
      </c>
      <c r="BV32" s="178">
        <f t="shared" si="14"/>
        <v>17.243039567364537</v>
      </c>
      <c r="BW32" s="192">
        <f t="shared" si="15"/>
        <v>2.8482825397737606</v>
      </c>
      <c r="BX32" s="192">
        <f t="shared" si="41"/>
        <v>207.20902988337403</v>
      </c>
      <c r="BY32" s="192">
        <f t="shared" si="16"/>
        <v>5.5697595856656799</v>
      </c>
      <c r="BZ32" s="192">
        <f t="shared" si="42"/>
        <v>0.48767429150663455</v>
      </c>
      <c r="CA32" s="192">
        <f t="shared" si="17"/>
        <v>100</v>
      </c>
      <c r="CB32" s="55">
        <f t="shared" si="43"/>
        <v>2</v>
      </c>
      <c r="CC32" s="197">
        <f t="shared" si="59"/>
        <v>128.5931816778446</v>
      </c>
      <c r="CD32" s="198">
        <f t="shared" si="60"/>
        <v>51.91211745809877</v>
      </c>
      <c r="CE32" s="58">
        <f t="shared" si="61"/>
        <v>0.77868176187148153</v>
      </c>
      <c r="CF32" s="245" t="s">
        <v>2326</v>
      </c>
      <c r="CG32" s="245" t="s">
        <v>2326</v>
      </c>
      <c r="CH32" s="245" t="s">
        <v>2326</v>
      </c>
      <c r="CI32" s="245" t="s">
        <v>2326</v>
      </c>
      <c r="CJ32" s="235"/>
      <c r="CK32" s="173" t="s">
        <v>2476</v>
      </c>
      <c r="CL32" s="173" t="s">
        <v>2477</v>
      </c>
      <c r="CM32" s="199">
        <f t="shared" si="44"/>
        <v>85</v>
      </c>
      <c r="CN32" s="58">
        <f t="shared" si="62"/>
        <v>1.2749999999999999</v>
      </c>
      <c r="CO32" s="54">
        <f>434000+272000+5964000+70990000+2633000+400000+56135000+635765000</f>
        <v>772593000</v>
      </c>
      <c r="CP32" s="186">
        <f t="shared" si="45"/>
        <v>9.4843666734062015</v>
      </c>
      <c r="CQ32" s="179">
        <f t="shared" si="46"/>
        <v>80</v>
      </c>
      <c r="CR32" s="30">
        <f t="shared" si="63"/>
        <v>2.4</v>
      </c>
      <c r="CS32" s="200">
        <f>_xlfn.XLOOKUP(C32, '1-1. 관계사체무보증금액 (환율 등)'!$3:$3, '1-1. 관계사체무보증금액 (환율 등)'!$33:$33)</f>
        <v>0</v>
      </c>
      <c r="CT32" s="178">
        <f t="shared" si="23"/>
        <v>0</v>
      </c>
      <c r="CU32" s="179">
        <f t="shared" si="47"/>
        <v>100</v>
      </c>
      <c r="CV32" s="30">
        <f t="shared" si="64"/>
        <v>2</v>
      </c>
      <c r="CW32" s="72">
        <f t="shared" si="48"/>
        <v>21.080276933434298</v>
      </c>
    </row>
    <row r="33" spans="1:101" x14ac:dyDescent="0.6">
      <c r="A33" s="214" t="s">
        <v>850</v>
      </c>
      <c r="B33" s="13" t="s">
        <v>2010</v>
      </c>
      <c r="C33" s="219" t="s">
        <v>498</v>
      </c>
      <c r="D33" s="216" t="s">
        <v>202</v>
      </c>
      <c r="E33" s="217" t="s">
        <v>205</v>
      </c>
      <c r="F33" s="217" t="s">
        <v>183</v>
      </c>
      <c r="G33" s="218">
        <v>39653</v>
      </c>
      <c r="H33" s="217" t="s">
        <v>830</v>
      </c>
      <c r="I33" s="217" t="s">
        <v>737</v>
      </c>
      <c r="J33" s="217" t="s">
        <v>1229</v>
      </c>
      <c r="K33" s="217" t="s">
        <v>91</v>
      </c>
      <c r="L33" s="220">
        <v>8668015355</v>
      </c>
      <c r="M33" s="206">
        <v>5103993834</v>
      </c>
      <c r="N33" s="206">
        <v>3564021521</v>
      </c>
      <c r="O33" s="206">
        <v>19092897004</v>
      </c>
      <c r="P33" s="206">
        <v>1016233433</v>
      </c>
      <c r="Q33" s="206">
        <v>955882532</v>
      </c>
      <c r="R33" s="206">
        <v>720393793</v>
      </c>
      <c r="S33" s="207">
        <v>23667107</v>
      </c>
      <c r="T33" s="207">
        <v>2600</v>
      </c>
      <c r="U33" s="207">
        <v>9653181</v>
      </c>
      <c r="V33" s="207">
        <v>0</v>
      </c>
      <c r="W33" s="207">
        <f>2000+1200+718+50+41+300+148+179+240</f>
        <v>4876</v>
      </c>
      <c r="X33" s="207">
        <v>0</v>
      </c>
      <c r="Z33" s="207">
        <v>0</v>
      </c>
      <c r="AA33" s="207">
        <v>0</v>
      </c>
      <c r="AB33" s="176">
        <f t="shared" si="49"/>
        <v>9658057</v>
      </c>
      <c r="AC33" s="177">
        <f t="shared" si="25"/>
        <v>40.807932291851301</v>
      </c>
      <c r="AD33" s="177">
        <f t="shared" si="50"/>
        <v>64.866571669863674</v>
      </c>
      <c r="AE33" s="26">
        <f t="shared" si="53"/>
        <v>1.9459971500959101</v>
      </c>
      <c r="AF33" s="178">
        <f t="shared" si="26"/>
        <v>40.791811128793007</v>
      </c>
      <c r="AG33" s="178">
        <f t="shared" si="27"/>
        <v>40.812415825945578</v>
      </c>
      <c r="AH33" s="178">
        <f t="shared" si="51"/>
        <v>2.060469715257085E-2</v>
      </c>
      <c r="AI33" s="179">
        <f t="shared" si="52"/>
        <v>100</v>
      </c>
      <c r="AJ33" s="30">
        <f t="shared" si="54"/>
        <v>4</v>
      </c>
      <c r="AK33" s="204">
        <v>7</v>
      </c>
      <c r="AL33" s="204">
        <v>39</v>
      </c>
      <c r="AM33" s="204">
        <v>0</v>
      </c>
      <c r="AN33" s="181">
        <f t="shared" si="2"/>
        <v>46</v>
      </c>
      <c r="AO33" s="182">
        <f t="shared" si="3"/>
        <v>0</v>
      </c>
      <c r="AP33" s="183">
        <f t="shared" si="28"/>
        <v>100</v>
      </c>
      <c r="AQ33" s="38">
        <f t="shared" si="55"/>
        <v>2</v>
      </c>
      <c r="AR33" s="212">
        <v>4</v>
      </c>
      <c r="AS33" s="292">
        <f t="shared" si="5"/>
        <v>0.5</v>
      </c>
      <c r="AT33" s="185">
        <f t="shared" si="29"/>
        <v>3.5</v>
      </c>
      <c r="AU33" s="185">
        <f t="shared" si="30"/>
        <v>3</v>
      </c>
      <c r="AV33" s="186">
        <f t="shared" si="6"/>
        <v>14.285714285714285</v>
      </c>
      <c r="AW33" s="179">
        <f t="shared" si="31"/>
        <v>60</v>
      </c>
      <c r="AX33" s="239">
        <f t="shared" si="56"/>
        <v>0.6</v>
      </c>
      <c r="AY33" s="54">
        <v>9</v>
      </c>
      <c r="AZ33" s="54">
        <f>36-2</f>
        <v>34</v>
      </c>
      <c r="BA33" s="189">
        <f t="shared" si="8"/>
        <v>36</v>
      </c>
      <c r="BB33" s="178">
        <f t="shared" si="32"/>
        <v>94.444444444444443</v>
      </c>
      <c r="BC33" s="179">
        <f t="shared" si="33"/>
        <v>100</v>
      </c>
      <c r="BD33" s="30">
        <f t="shared" si="57"/>
        <v>1</v>
      </c>
      <c r="BE33" s="190">
        <v>317359000</v>
      </c>
      <c r="BF33" s="190">
        <v>23138000</v>
      </c>
      <c r="BG33" s="301">
        <v>0</v>
      </c>
      <c r="BH33" s="191">
        <f t="shared" si="10"/>
        <v>340497000</v>
      </c>
      <c r="BI33" s="178">
        <f t="shared" si="11"/>
        <v>0</v>
      </c>
      <c r="BJ33" s="294" t="str">
        <f t="shared" si="34"/>
        <v>전기전자/기계업</v>
      </c>
      <c r="BK33" s="192">
        <f t="shared" si="12"/>
        <v>2.4096449716116455</v>
      </c>
      <c r="BL33" s="193">
        <f t="shared" si="35"/>
        <v>-2.4096449716116455</v>
      </c>
      <c r="BM33" s="241">
        <f t="shared" si="36"/>
        <v>100</v>
      </c>
      <c r="BN33" s="47">
        <f t="shared" si="37"/>
        <v>2</v>
      </c>
      <c r="BO33" s="54">
        <f>(752983-206)*1000</f>
        <v>752777000</v>
      </c>
      <c r="BP33" s="194">
        <f t="shared" si="38"/>
        <v>3.9427070697667919</v>
      </c>
      <c r="BQ33" s="179">
        <f t="shared" si="39"/>
        <v>85</v>
      </c>
      <c r="BR33" s="30">
        <f t="shared" si="58"/>
        <v>1.7</v>
      </c>
      <c r="BS33" s="195">
        <v>1445111505.309</v>
      </c>
      <c r="BT33" s="195">
        <v>30874786.116999999</v>
      </c>
      <c r="BU33" s="196">
        <f t="shared" si="40"/>
        <v>1414236719.1919999</v>
      </c>
      <c r="BV33" s="178">
        <f t="shared" si="14"/>
        <v>7.4071353283669552</v>
      </c>
      <c r="BW33" s="192">
        <f t="shared" si="15"/>
        <v>5.2309968128308268</v>
      </c>
      <c r="BX33" s="192">
        <f t="shared" si="41"/>
        <v>4.7355788387997846</v>
      </c>
      <c r="BY33" s="192">
        <f t="shared" si="16"/>
        <v>7.0695458012309622</v>
      </c>
      <c r="BZ33" s="192">
        <f t="shared" si="42"/>
        <v>37.911013942896929</v>
      </c>
      <c r="CA33" s="192">
        <f t="shared" si="17"/>
        <v>55</v>
      </c>
      <c r="CB33" s="55">
        <f t="shared" si="43"/>
        <v>1.1000000000000001</v>
      </c>
      <c r="CC33" s="197">
        <f t="shared" si="59"/>
        <v>143.20883877737953</v>
      </c>
      <c r="CD33" s="198">
        <f t="shared" si="60"/>
        <v>46.403703978374551</v>
      </c>
      <c r="CE33" s="58">
        <f t="shared" si="61"/>
        <v>0.69605555967561827</v>
      </c>
      <c r="CF33" s="245" t="s">
        <v>2326</v>
      </c>
      <c r="CG33" s="245" t="s">
        <v>2326</v>
      </c>
      <c r="CH33" s="245" t="s">
        <v>2326</v>
      </c>
      <c r="CI33" s="245" t="s">
        <v>2326</v>
      </c>
      <c r="CJ33" s="235"/>
      <c r="CK33" s="173" t="s">
        <v>2489</v>
      </c>
      <c r="CL33" s="173" t="s">
        <v>2484</v>
      </c>
      <c r="CM33" s="199">
        <f t="shared" si="44"/>
        <v>100</v>
      </c>
      <c r="CN33" s="58">
        <f t="shared" si="62"/>
        <v>1.5</v>
      </c>
      <c r="CO33" s="54">
        <f>247338000-142000-1269000-7774000</f>
        <v>238153000</v>
      </c>
      <c r="CP33" s="186">
        <f t="shared" si="45"/>
        <v>6.6821425907994687</v>
      </c>
      <c r="CQ33" s="179">
        <f t="shared" si="46"/>
        <v>80</v>
      </c>
      <c r="CR33" s="30">
        <f t="shared" si="63"/>
        <v>2.4</v>
      </c>
      <c r="CS33" s="200">
        <f>_xlfn.XLOOKUP(C33, '1-1. 관계사체무보증금액 (환율 등)'!$3:$3, '1-1. 관계사체무보증금액 (환율 등)'!$33:$33)</f>
        <v>1125948000</v>
      </c>
      <c r="CT33" s="178">
        <f t="shared" si="23"/>
        <v>31.59206512546757</v>
      </c>
      <c r="CU33" s="179">
        <f t="shared" si="47"/>
        <v>60</v>
      </c>
      <c r="CV33" s="30">
        <f t="shared" si="64"/>
        <v>1.2</v>
      </c>
      <c r="CW33" s="72">
        <f t="shared" si="48"/>
        <v>20.142052709771527</v>
      </c>
    </row>
    <row r="34" spans="1:101" x14ac:dyDescent="0.6">
      <c r="A34" s="214" t="s">
        <v>947</v>
      </c>
      <c r="B34" s="13" t="s">
        <v>2011</v>
      </c>
      <c r="C34" s="219" t="s">
        <v>895</v>
      </c>
      <c r="D34" s="216" t="s">
        <v>202</v>
      </c>
      <c r="E34" s="217" t="s">
        <v>606</v>
      </c>
      <c r="F34" s="217" t="s">
        <v>207</v>
      </c>
      <c r="G34" s="218">
        <v>42279</v>
      </c>
      <c r="H34" s="217" t="s">
        <v>830</v>
      </c>
      <c r="I34" s="217" t="s">
        <v>687</v>
      </c>
      <c r="J34" s="217" t="s">
        <v>1046</v>
      </c>
      <c r="K34" s="217" t="s">
        <v>690</v>
      </c>
      <c r="L34" s="220">
        <v>3007428048</v>
      </c>
      <c r="M34" s="206">
        <v>2072248980</v>
      </c>
      <c r="N34" s="206">
        <v>935179068</v>
      </c>
      <c r="O34" s="206">
        <v>2216162119</v>
      </c>
      <c r="P34" s="206">
        <v>178794933</v>
      </c>
      <c r="Q34" s="206">
        <v>157788508</v>
      </c>
      <c r="R34" s="206">
        <v>122939587</v>
      </c>
      <c r="S34" s="207">
        <v>22000000</v>
      </c>
      <c r="T34" s="207">
        <v>205640</v>
      </c>
      <c r="U34" s="207">
        <v>9239461</v>
      </c>
      <c r="V34" s="207">
        <f>60000+40000+1440+960+360+240</f>
        <v>103000</v>
      </c>
      <c r="W34" s="207">
        <f>5215+6000+2500+1584+1900+60000+4639+1500+1000+1500+1250+600+867</f>
        <v>88555</v>
      </c>
      <c r="X34" s="207">
        <v>0</v>
      </c>
      <c r="Z34" s="207">
        <v>0</v>
      </c>
      <c r="AA34" s="207">
        <v>0</v>
      </c>
      <c r="AB34" s="176">
        <f t="shared" si="49"/>
        <v>9431016</v>
      </c>
      <c r="AC34" s="177">
        <f t="shared" si="25"/>
        <v>42.868254545454541</v>
      </c>
      <c r="AD34" s="177">
        <f t="shared" si="50"/>
        <v>63.088387906684808</v>
      </c>
      <c r="AE34" s="26">
        <f t="shared" si="53"/>
        <v>1.8926516372005442</v>
      </c>
      <c r="AF34" s="178">
        <f t="shared" si="26"/>
        <v>42.866415898425096</v>
      </c>
      <c r="AG34" s="178">
        <f t="shared" si="27"/>
        <v>43.272736616262186</v>
      </c>
      <c r="AH34" s="178">
        <f t="shared" si="51"/>
        <v>0.40632071783709023</v>
      </c>
      <c r="AI34" s="179">
        <f t="shared" si="52"/>
        <v>100</v>
      </c>
      <c r="AJ34" s="30">
        <f t="shared" si="54"/>
        <v>4</v>
      </c>
      <c r="AK34" s="204">
        <v>7</v>
      </c>
      <c r="AL34" s="204">
        <v>28</v>
      </c>
      <c r="AM34" s="180">
        <v>1</v>
      </c>
      <c r="AN34" s="181">
        <f t="shared" si="2"/>
        <v>35</v>
      </c>
      <c r="AO34" s="182">
        <f t="shared" si="3"/>
        <v>2.8571428571428572</v>
      </c>
      <c r="AP34" s="183">
        <f t="shared" si="28"/>
        <v>100</v>
      </c>
      <c r="AQ34" s="38">
        <f t="shared" si="55"/>
        <v>2</v>
      </c>
      <c r="AR34" s="212">
        <v>4</v>
      </c>
      <c r="AS34" s="292">
        <f t="shared" si="5"/>
        <v>0.5</v>
      </c>
      <c r="AT34" s="185">
        <f t="shared" si="29"/>
        <v>3.5</v>
      </c>
      <c r="AU34" s="185">
        <f t="shared" si="30"/>
        <v>3</v>
      </c>
      <c r="AV34" s="186">
        <f t="shared" si="6"/>
        <v>14.285714285714285</v>
      </c>
      <c r="AW34" s="179">
        <f t="shared" si="31"/>
        <v>60</v>
      </c>
      <c r="AX34" s="239">
        <f t="shared" si="56"/>
        <v>0.6</v>
      </c>
      <c r="AY34" s="54">
        <v>11</v>
      </c>
      <c r="AZ34" s="54">
        <v>44</v>
      </c>
      <c r="BA34" s="189">
        <f t="shared" si="8"/>
        <v>44</v>
      </c>
      <c r="BB34" s="178">
        <f t="shared" si="32"/>
        <v>100</v>
      </c>
      <c r="BC34" s="179">
        <f t="shared" si="33"/>
        <v>100</v>
      </c>
      <c r="BD34" s="30">
        <f t="shared" si="57"/>
        <v>1</v>
      </c>
      <c r="BE34" s="190">
        <f>10312869+38917042</f>
        <v>49229911</v>
      </c>
      <c r="BF34" s="190">
        <v>4149778</v>
      </c>
      <c r="BG34" s="301">
        <v>0</v>
      </c>
      <c r="BH34" s="191">
        <f t="shared" si="10"/>
        <v>53379689</v>
      </c>
      <c r="BI34" s="178">
        <f t="shared" si="11"/>
        <v>0</v>
      </c>
      <c r="BJ34" s="294" t="str">
        <f t="shared" si="34"/>
        <v>전기전자/기계업</v>
      </c>
      <c r="BK34" s="192">
        <f t="shared" si="12"/>
        <v>2.4096449716116455</v>
      </c>
      <c r="BL34" s="193">
        <f t="shared" si="35"/>
        <v>-2.4096449716116455</v>
      </c>
      <c r="BM34" s="241">
        <f t="shared" si="36"/>
        <v>100</v>
      </c>
      <c r="BN34" s="47">
        <f t="shared" si="37"/>
        <v>2</v>
      </c>
      <c r="BO34" s="54">
        <f>(74527-9402)*1000</f>
        <v>65125000</v>
      </c>
      <c r="BP34" s="194">
        <f t="shared" si="38"/>
        <v>2.9386388045196976</v>
      </c>
      <c r="BQ34" s="179">
        <f t="shared" si="39"/>
        <v>85</v>
      </c>
      <c r="BR34" s="30">
        <f t="shared" si="58"/>
        <v>1.7</v>
      </c>
      <c r="BS34" s="195">
        <v>45533550.605999999</v>
      </c>
      <c r="BT34" s="195">
        <v>727.27300000000002</v>
      </c>
      <c r="BU34" s="196">
        <f t="shared" si="40"/>
        <v>45532823.332999997</v>
      </c>
      <c r="BV34" s="178">
        <f t="shared" si="14"/>
        <v>2.0545799850394428</v>
      </c>
      <c r="BW34" s="192">
        <f t="shared" si="15"/>
        <v>5.2309968128308268</v>
      </c>
      <c r="BX34" s="192">
        <f t="shared" si="41"/>
        <v>10.089623863876279</v>
      </c>
      <c r="BY34" s="192">
        <f t="shared" si="16"/>
        <v>7.0695458012309622</v>
      </c>
      <c r="BZ34" s="192">
        <f t="shared" si="42"/>
        <v>67.339593688867154</v>
      </c>
      <c r="CA34" s="192">
        <f t="shared" si="17"/>
        <v>40</v>
      </c>
      <c r="CB34" s="55">
        <f t="shared" si="43"/>
        <v>0.8</v>
      </c>
      <c r="CC34" s="197">
        <f t="shared" si="59"/>
        <v>221.58846908664981</v>
      </c>
      <c r="CD34" s="198">
        <f t="shared" si="60"/>
        <v>25</v>
      </c>
      <c r="CE34" s="58">
        <f t="shared" si="61"/>
        <v>0.375</v>
      </c>
      <c r="CF34" s="245" t="s">
        <v>2326</v>
      </c>
      <c r="CG34" s="245" t="s">
        <v>2326</v>
      </c>
      <c r="CH34" s="245" t="s">
        <v>2326</v>
      </c>
      <c r="CI34" s="245" t="s">
        <v>2326</v>
      </c>
      <c r="CJ34" s="235"/>
      <c r="CK34" s="173" t="s">
        <v>2480</v>
      </c>
      <c r="CL34" s="173" t="s">
        <v>2477</v>
      </c>
      <c r="CM34" s="199">
        <f t="shared" si="44"/>
        <v>85</v>
      </c>
      <c r="CN34" s="58">
        <f t="shared" si="62"/>
        <v>1.2749999999999999</v>
      </c>
      <c r="CO34" s="54">
        <f>909000+7869000</f>
        <v>8778000</v>
      </c>
      <c r="CP34" s="186">
        <f t="shared" si="45"/>
        <v>0.93864376357063639</v>
      </c>
      <c r="CQ34" s="179">
        <f t="shared" si="46"/>
        <v>100</v>
      </c>
      <c r="CR34" s="30">
        <f t="shared" si="63"/>
        <v>3</v>
      </c>
      <c r="CS34" s="200">
        <f>_xlfn.XLOOKUP(C34, '1-1. 관계사체무보증금액 (환율 등)'!$3:$3, '1-1. 관계사체무보증금액 (환율 등)'!$33:$33)</f>
        <v>0</v>
      </c>
      <c r="CT34" s="178">
        <f t="shared" si="23"/>
        <v>0</v>
      </c>
      <c r="CU34" s="179">
        <f t="shared" si="47"/>
        <v>100</v>
      </c>
      <c r="CV34" s="30">
        <f t="shared" si="64"/>
        <v>2</v>
      </c>
      <c r="CW34" s="72">
        <f t="shared" si="48"/>
        <v>20.642651637200544</v>
      </c>
    </row>
    <row r="35" spans="1:101" x14ac:dyDescent="0.6">
      <c r="A35" s="214" t="s">
        <v>1514</v>
      </c>
      <c r="B35" s="13" t="s">
        <v>2012</v>
      </c>
      <c r="C35" s="219" t="s">
        <v>436</v>
      </c>
      <c r="D35" s="216" t="s">
        <v>285</v>
      </c>
      <c r="E35" s="217" t="s">
        <v>444</v>
      </c>
      <c r="F35" s="217" t="s">
        <v>1158</v>
      </c>
      <c r="G35" s="218">
        <v>27789</v>
      </c>
      <c r="H35" s="217" t="s">
        <v>830</v>
      </c>
      <c r="I35" s="217" t="s">
        <v>720</v>
      </c>
      <c r="J35" s="217" t="s">
        <v>388</v>
      </c>
      <c r="K35" s="217" t="s">
        <v>91</v>
      </c>
      <c r="L35" s="220">
        <v>3782850589</v>
      </c>
      <c r="M35" s="206">
        <v>1473354089</v>
      </c>
      <c r="N35" s="206">
        <v>2309496500</v>
      </c>
      <c r="O35" s="206">
        <v>4108362284</v>
      </c>
      <c r="P35" s="206">
        <v>101552809</v>
      </c>
      <c r="Q35" s="206">
        <v>640421674</v>
      </c>
      <c r="R35" s="206">
        <v>528557910</v>
      </c>
      <c r="S35" s="207">
        <v>38760000</v>
      </c>
      <c r="T35" s="207">
        <v>2792098</v>
      </c>
      <c r="U35" s="207">
        <v>9571336</v>
      </c>
      <c r="V35" s="207">
        <v>0</v>
      </c>
      <c r="W35" s="207">
        <f>6855+5000+500</f>
        <v>12355</v>
      </c>
      <c r="X35" s="207">
        <v>17046</v>
      </c>
      <c r="Y35" s="208" t="s">
        <v>2406</v>
      </c>
      <c r="Z35" s="207">
        <v>0</v>
      </c>
      <c r="AA35" s="207">
        <v>0</v>
      </c>
      <c r="AB35" s="176">
        <f t="shared" si="49"/>
        <v>9600737</v>
      </c>
      <c r="AC35" s="177">
        <f t="shared" si="25"/>
        <v>24.769703302373578</v>
      </c>
      <c r="AD35" s="177">
        <f t="shared" si="50"/>
        <v>78.708541453647655</v>
      </c>
      <c r="AE35" s="26">
        <f t="shared" si="53"/>
        <v>2.3612562436094295</v>
      </c>
      <c r="AF35" s="178">
        <f t="shared" si="26"/>
        <v>26.610770903457198</v>
      </c>
      <c r="AG35" s="178">
        <f t="shared" si="27"/>
        <v>26.692513230268478</v>
      </c>
      <c r="AH35" s="178">
        <f t="shared" si="51"/>
        <v>8.1742326811280464E-2</v>
      </c>
      <c r="AI35" s="179">
        <f t="shared" si="52"/>
        <v>100</v>
      </c>
      <c r="AJ35" s="30">
        <f t="shared" si="54"/>
        <v>4</v>
      </c>
      <c r="AK35" s="204">
        <v>7</v>
      </c>
      <c r="AL35" s="204">
        <v>16</v>
      </c>
      <c r="AM35" s="204">
        <v>0</v>
      </c>
      <c r="AN35" s="181">
        <f t="shared" si="2"/>
        <v>23</v>
      </c>
      <c r="AO35" s="182">
        <f t="shared" si="3"/>
        <v>0</v>
      </c>
      <c r="AP35" s="183">
        <f t="shared" si="28"/>
        <v>100</v>
      </c>
      <c r="AQ35" s="38">
        <f t="shared" si="55"/>
        <v>2</v>
      </c>
      <c r="AR35" s="212">
        <v>4</v>
      </c>
      <c r="AS35" s="292">
        <f t="shared" si="5"/>
        <v>0.5</v>
      </c>
      <c r="AT35" s="185">
        <f t="shared" si="29"/>
        <v>3.5</v>
      </c>
      <c r="AU35" s="185">
        <f t="shared" si="30"/>
        <v>3</v>
      </c>
      <c r="AV35" s="186">
        <f t="shared" si="6"/>
        <v>14.285714285714285</v>
      </c>
      <c r="AW35" s="179">
        <f t="shared" si="31"/>
        <v>60</v>
      </c>
      <c r="AX35" s="239">
        <f t="shared" si="56"/>
        <v>0.6</v>
      </c>
      <c r="AY35" s="54">
        <v>10</v>
      </c>
      <c r="AZ35" s="54">
        <f>40-3</f>
        <v>37</v>
      </c>
      <c r="BA35" s="189">
        <f t="shared" si="8"/>
        <v>40</v>
      </c>
      <c r="BB35" s="178">
        <f t="shared" si="32"/>
        <v>92.5</v>
      </c>
      <c r="BC35" s="179">
        <f t="shared" si="33"/>
        <v>100</v>
      </c>
      <c r="BD35" s="30">
        <f t="shared" si="57"/>
        <v>1</v>
      </c>
      <c r="BE35" s="190">
        <v>53400000</v>
      </c>
      <c r="BF35" s="190">
        <v>5172000</v>
      </c>
      <c r="BG35" s="301">
        <v>0</v>
      </c>
      <c r="BH35" s="191">
        <f t="shared" si="10"/>
        <v>58572000</v>
      </c>
      <c r="BI35" s="178">
        <f t="shared" si="11"/>
        <v>0</v>
      </c>
      <c r="BJ35" s="294" t="str">
        <f t="shared" si="34"/>
        <v>비제조/서비스업</v>
      </c>
      <c r="BK35" s="192">
        <f t="shared" si="12"/>
        <v>1.7464434573900924</v>
      </c>
      <c r="BL35" s="193">
        <f t="shared" si="35"/>
        <v>-1.7464434573900924</v>
      </c>
      <c r="BM35" s="241">
        <f t="shared" si="36"/>
        <v>80</v>
      </c>
      <c r="BN35" s="47">
        <f t="shared" si="37"/>
        <v>1.6</v>
      </c>
      <c r="BO35" s="54">
        <v>0</v>
      </c>
      <c r="BP35" s="194">
        <f t="shared" si="38"/>
        <v>0</v>
      </c>
      <c r="BQ35" s="179">
        <f t="shared" si="39"/>
        <v>25</v>
      </c>
      <c r="BR35" s="30">
        <f t="shared" si="58"/>
        <v>0.5</v>
      </c>
      <c r="BS35" s="195">
        <v>900435.38399999996</v>
      </c>
      <c r="BT35" s="195">
        <v>171.59399999999999</v>
      </c>
      <c r="BU35" s="196">
        <f t="shared" si="40"/>
        <v>900263.78999999992</v>
      </c>
      <c r="BV35" s="178">
        <f t="shared" si="14"/>
        <v>2.191296014730915E-2</v>
      </c>
      <c r="BW35" s="192">
        <f t="shared" si="15"/>
        <v>2.8482825397737606</v>
      </c>
      <c r="BX35" s="192">
        <f t="shared" si="41"/>
        <v>7.9883650006378035</v>
      </c>
      <c r="BY35" s="192">
        <f t="shared" si="16"/>
        <v>5.5697595856656799</v>
      </c>
      <c r="BZ35" s="192">
        <f t="shared" si="42"/>
        <v>69.408013473452229</v>
      </c>
      <c r="CA35" s="192">
        <f t="shared" si="17"/>
        <v>40</v>
      </c>
      <c r="CB35" s="55">
        <f t="shared" si="43"/>
        <v>0.8</v>
      </c>
      <c r="CC35" s="197">
        <f t="shared" si="59"/>
        <v>63.795467496919777</v>
      </c>
      <c r="CD35" s="198">
        <f t="shared" si="60"/>
        <v>76.333366521261397</v>
      </c>
      <c r="CE35" s="58">
        <f t="shared" si="61"/>
        <v>1.145000497818921</v>
      </c>
      <c r="CF35" s="245" t="s">
        <v>2326</v>
      </c>
      <c r="CG35" s="245" t="s">
        <v>2326</v>
      </c>
      <c r="CH35" s="245" t="s">
        <v>2326</v>
      </c>
      <c r="CI35" s="245" t="s">
        <v>2326</v>
      </c>
      <c r="CJ35" s="235"/>
      <c r="CK35" s="173" t="s">
        <v>2486</v>
      </c>
      <c r="CL35" s="173" t="s">
        <v>2487</v>
      </c>
      <c r="CM35" s="199">
        <f t="shared" si="44"/>
        <v>70</v>
      </c>
      <c r="CN35" s="58">
        <f t="shared" si="62"/>
        <v>1.05</v>
      </c>
      <c r="CO35" s="54">
        <f>48401000+5059000+13533000+27252000+11025000+9292000+1889000+2330000+90617000+106576000+71245000+410393000+173669000+4000+194199000+4671000+29267000+672838000+42784000+76801000+90718000+6304000+110036000</f>
        <v>2198903000</v>
      </c>
      <c r="CP35" s="186">
        <f t="shared" si="45"/>
        <v>95.21135883946998</v>
      </c>
      <c r="CQ35" s="179">
        <f t="shared" si="46"/>
        <v>40</v>
      </c>
      <c r="CR35" s="30">
        <f t="shared" si="63"/>
        <v>1.2</v>
      </c>
      <c r="CS35" s="200">
        <f>_xlfn.XLOOKUP(C35, '1-1. 관계사체무보증금액 (환율 등)'!$3:$3, '1-1. 관계사체무보증금액 (환율 등)'!$33:$33)</f>
        <v>1637002000</v>
      </c>
      <c r="CT35" s="178">
        <f t="shared" si="23"/>
        <v>70.88133712261525</v>
      </c>
      <c r="CU35" s="179">
        <f t="shared" si="47"/>
        <v>40</v>
      </c>
      <c r="CV35" s="30">
        <f t="shared" si="64"/>
        <v>0.8</v>
      </c>
      <c r="CW35" s="72">
        <f t="shared" si="48"/>
        <v>17.056256741428353</v>
      </c>
    </row>
    <row r="36" spans="1:101" x14ac:dyDescent="0.6">
      <c r="A36" s="214" t="s">
        <v>458</v>
      </c>
      <c r="B36" s="13" t="s">
        <v>2013</v>
      </c>
      <c r="C36" s="219" t="s">
        <v>410</v>
      </c>
      <c r="D36" s="221" t="s">
        <v>350</v>
      </c>
      <c r="E36" s="217" t="s">
        <v>179</v>
      </c>
      <c r="F36" s="217" t="s">
        <v>186</v>
      </c>
      <c r="G36" s="218">
        <v>27667</v>
      </c>
      <c r="H36" s="217" t="s">
        <v>830</v>
      </c>
      <c r="I36" s="217" t="s">
        <v>723</v>
      </c>
      <c r="J36" s="217" t="s">
        <v>1005</v>
      </c>
      <c r="K36" s="217" t="s">
        <v>91</v>
      </c>
      <c r="L36" s="220">
        <v>50402862000</v>
      </c>
      <c r="M36" s="206">
        <v>43550273000</v>
      </c>
      <c r="N36" s="206">
        <v>6852589000</v>
      </c>
      <c r="O36" s="206">
        <v>10731117000</v>
      </c>
      <c r="P36" s="206">
        <v>550151000</v>
      </c>
      <c r="Q36" s="206">
        <v>480268000</v>
      </c>
      <c r="R36" s="206">
        <v>338500000</v>
      </c>
      <c r="S36" s="207">
        <v>331665921</v>
      </c>
      <c r="T36" s="207">
        <v>683671</v>
      </c>
      <c r="U36" s="207">
        <v>188452535</v>
      </c>
      <c r="V36" s="207">
        <v>0</v>
      </c>
      <c r="W36" s="207">
        <f>16697+500+1000*4+5+8356+850+50+1+5297+3000+1300+919+5000+100+10+61+1800</f>
        <v>47946</v>
      </c>
      <c r="X36" s="207">
        <v>0</v>
      </c>
      <c r="Z36" s="207">
        <v>0</v>
      </c>
      <c r="AA36" s="207">
        <v>0</v>
      </c>
      <c r="AB36" s="176">
        <f t="shared" si="49"/>
        <v>188500481</v>
      </c>
      <c r="AC36" s="177">
        <f t="shared" si="25"/>
        <v>56.834443656935143</v>
      </c>
      <c r="AD36" s="177">
        <f t="shared" si="50"/>
        <v>51.034714910585322</v>
      </c>
      <c r="AE36" s="60">
        <f>AD36*0.04</f>
        <v>2.0413885964234129</v>
      </c>
      <c r="AF36" s="178">
        <f t="shared" si="26"/>
        <v>56.937353891334055</v>
      </c>
      <c r="AG36" s="178">
        <f t="shared" si="27"/>
        <v>56.951839864524459</v>
      </c>
      <c r="AH36" s="178">
        <f t="shared" si="51"/>
        <v>1.4485973190403456E-2</v>
      </c>
      <c r="AI36" s="179">
        <f t="shared" si="52"/>
        <v>100</v>
      </c>
      <c r="AJ36" s="61">
        <f>AI36*0.05</f>
        <v>5</v>
      </c>
      <c r="AK36" s="204">
        <v>8</v>
      </c>
      <c r="AL36" s="204">
        <v>53</v>
      </c>
      <c r="AM36" s="204">
        <v>0</v>
      </c>
      <c r="AN36" s="181">
        <f t="shared" si="2"/>
        <v>61</v>
      </c>
      <c r="AO36" s="182">
        <f t="shared" si="3"/>
        <v>0</v>
      </c>
      <c r="AP36" s="183">
        <f t="shared" si="28"/>
        <v>100</v>
      </c>
      <c r="AQ36" s="62">
        <f>AP36*0.03</f>
        <v>3</v>
      </c>
      <c r="AR36" s="212">
        <v>5</v>
      </c>
      <c r="AS36" s="292">
        <f t="shared" si="5"/>
        <v>0.5</v>
      </c>
      <c r="AT36" s="185">
        <f t="shared" si="29"/>
        <v>4</v>
      </c>
      <c r="AU36" s="185">
        <f t="shared" si="30"/>
        <v>4</v>
      </c>
      <c r="AV36" s="186">
        <f t="shared" si="6"/>
        <v>12.5</v>
      </c>
      <c r="AW36" s="179">
        <f t="shared" si="31"/>
        <v>60</v>
      </c>
      <c r="AX36" s="240">
        <f>AW36*0.02</f>
        <v>1.2</v>
      </c>
      <c r="AY36" s="54">
        <v>13</v>
      </c>
      <c r="AZ36" s="54">
        <f>13*5-2</f>
        <v>63</v>
      </c>
      <c r="BA36" s="189">
        <f t="shared" si="8"/>
        <v>65</v>
      </c>
      <c r="BB36" s="178">
        <f t="shared" si="32"/>
        <v>96.92307692307692</v>
      </c>
      <c r="BC36" s="179">
        <f t="shared" si="33"/>
        <v>100</v>
      </c>
      <c r="BD36" s="61">
        <f>BC36*0.02</f>
        <v>2</v>
      </c>
      <c r="BE36" s="190">
        <v>316982000</v>
      </c>
      <c r="BF36" s="190">
        <v>52377000</v>
      </c>
      <c r="BG36" s="54">
        <v>18234000</v>
      </c>
      <c r="BH36" s="191">
        <f t="shared" si="10"/>
        <v>369359000</v>
      </c>
      <c r="BI36" s="178">
        <f t="shared" si="11"/>
        <v>4.9366605389336664</v>
      </c>
      <c r="BJ36" s="294" t="str">
        <f t="shared" si="34"/>
        <v>금융업</v>
      </c>
      <c r="BK36" s="192">
        <f t="shared" si="12"/>
        <v>2.7106886075318837</v>
      </c>
      <c r="BL36" s="193">
        <f t="shared" si="35"/>
        <v>2.2259719314017827</v>
      </c>
      <c r="BM36" s="241">
        <f t="shared" si="36"/>
        <v>40</v>
      </c>
      <c r="BN36" s="47">
        <f t="shared" si="37"/>
        <v>0.8</v>
      </c>
      <c r="BO36" s="54">
        <v>0</v>
      </c>
      <c r="BP36" s="194">
        <f t="shared" si="38"/>
        <v>0</v>
      </c>
      <c r="BQ36" s="179">
        <f t="shared" si="39"/>
        <v>25</v>
      </c>
      <c r="BR36" s="61">
        <f>BQ36*0.01</f>
        <v>0.25</v>
      </c>
      <c r="BS36" s="195">
        <v>55221000</v>
      </c>
      <c r="BT36" s="195">
        <v>1158000</v>
      </c>
      <c r="BU36" s="196">
        <f t="shared" si="40"/>
        <v>54063000</v>
      </c>
      <c r="BV36" s="178">
        <f t="shared" si="14"/>
        <v>0.50379657588301385</v>
      </c>
      <c r="BW36" s="192">
        <f t="shared" si="15"/>
        <v>0.39407896396795111</v>
      </c>
      <c r="BX36" s="192">
        <f t="shared" si="41"/>
        <v>1.2037954364344317E-2</v>
      </c>
      <c r="BY36" s="192">
        <f t="shared" si="16"/>
        <v>1.5698937849002934</v>
      </c>
      <c r="BZ36" s="192">
        <f t="shared" si="42"/>
        <v>47.214118036137464</v>
      </c>
      <c r="CA36" s="192">
        <f t="shared" si="17"/>
        <v>55</v>
      </c>
      <c r="CB36" s="55">
        <f t="shared" si="43"/>
        <v>1.1000000000000001</v>
      </c>
      <c r="CC36" s="242" t="s">
        <v>1273</v>
      </c>
      <c r="CD36" s="243" t="s">
        <v>1273</v>
      </c>
      <c r="CE36" s="244"/>
      <c r="CF36" s="295" t="s">
        <v>2379</v>
      </c>
      <c r="CG36" s="210">
        <v>1.23</v>
      </c>
      <c r="CH36" s="295" t="s">
        <v>2379</v>
      </c>
      <c r="CI36" s="188">
        <f>IF((100-(75*(CG36-1)/9))&gt;100,100,IF((100-(75*(CG36-1)/9))&lt;25,25,(100-(75*(CG36-1)/9))))</f>
        <v>98.083333333333329</v>
      </c>
      <c r="CJ36" s="63">
        <f>CI36*0.04</f>
        <v>3.9233333333333333</v>
      </c>
      <c r="CK36" s="173" t="s">
        <v>2496</v>
      </c>
      <c r="CL36" s="173" t="s">
        <v>2477</v>
      </c>
      <c r="CM36" s="199">
        <f t="shared" si="44"/>
        <v>85</v>
      </c>
      <c r="CN36" s="65">
        <f>CM36*0.03</f>
        <v>2.5499999999999998</v>
      </c>
      <c r="CO36" s="54">
        <v>867009000</v>
      </c>
      <c r="CP36" s="186">
        <f t="shared" si="45"/>
        <v>12.652283684312602</v>
      </c>
      <c r="CQ36" s="179">
        <f t="shared" si="46"/>
        <v>60</v>
      </c>
      <c r="CR36" s="61">
        <f>CQ36*0.04</f>
        <v>2.4</v>
      </c>
      <c r="CS36" s="200">
        <f>_xlfn.XLOOKUP(C36, '1-1. 관계사체무보증금액 (환율 등)'!$3:$3, '1-1. 관계사체무보증금액 (환율 등)'!$33:$33)</f>
        <v>530000000</v>
      </c>
      <c r="CT36" s="178">
        <f t="shared" si="23"/>
        <v>7.7343030495481342</v>
      </c>
      <c r="CU36" s="179">
        <f t="shared" si="47"/>
        <v>80</v>
      </c>
      <c r="CV36" s="70">
        <f>CU36*0.03</f>
        <v>2.4</v>
      </c>
      <c r="CW36" s="72">
        <f t="shared" si="48"/>
        <v>26.664721929756745</v>
      </c>
    </row>
    <row r="37" spans="1:101" x14ac:dyDescent="0.6">
      <c r="A37" s="214" t="s">
        <v>307</v>
      </c>
      <c r="B37" s="13" t="s">
        <v>2014</v>
      </c>
      <c r="C37" s="219" t="s">
        <v>68</v>
      </c>
      <c r="D37" s="216" t="s">
        <v>203</v>
      </c>
      <c r="E37" s="217" t="s">
        <v>195</v>
      </c>
      <c r="F37" s="217" t="s">
        <v>967</v>
      </c>
      <c r="G37" s="218">
        <v>27573</v>
      </c>
      <c r="H37" s="217" t="s">
        <v>830</v>
      </c>
      <c r="I37" s="217" t="s">
        <v>1515</v>
      </c>
      <c r="J37" s="217" t="s">
        <v>1085</v>
      </c>
      <c r="K37" s="217" t="s">
        <v>91</v>
      </c>
      <c r="L37" s="220">
        <v>397444643</v>
      </c>
      <c r="M37" s="206">
        <v>209249323</v>
      </c>
      <c r="N37" s="206">
        <v>188195320</v>
      </c>
      <c r="O37" s="206">
        <v>355390202</v>
      </c>
      <c r="P37" s="206">
        <v>67734933</v>
      </c>
      <c r="Q37" s="206">
        <v>63871175</v>
      </c>
      <c r="R37" s="206">
        <v>48789612</v>
      </c>
      <c r="S37" s="207">
        <v>28600117</v>
      </c>
      <c r="T37" s="207">
        <v>0</v>
      </c>
      <c r="U37" s="207">
        <v>11358595</v>
      </c>
      <c r="V37" s="207">
        <f>1698811+339024+348733+343673+683290</f>
        <v>3413531</v>
      </c>
      <c r="W37" s="207">
        <v>0</v>
      </c>
      <c r="X37" s="207">
        <v>0</v>
      </c>
      <c r="Z37" s="207">
        <v>2086633</v>
      </c>
      <c r="AA37" s="207">
        <v>0</v>
      </c>
      <c r="AB37" s="176">
        <f t="shared" si="49"/>
        <v>16858759</v>
      </c>
      <c r="AC37" s="177">
        <f t="shared" si="25"/>
        <v>58.946468645565332</v>
      </c>
      <c r="AD37" s="177">
        <f t="shared" si="50"/>
        <v>49.211908533746843</v>
      </c>
      <c r="AE37" s="26">
        <f t="shared" ref="AE37:AE45" si="65">AD37*0.03</f>
        <v>1.4763572560124052</v>
      </c>
      <c r="AF37" s="178">
        <f t="shared" si="26"/>
        <v>51.650578911967393</v>
      </c>
      <c r="AG37" s="178">
        <f t="shared" si="27"/>
        <v>58.946468645565332</v>
      </c>
      <c r="AH37" s="178">
        <f t="shared" si="51"/>
        <v>7.2958897335979387</v>
      </c>
      <c r="AI37" s="179">
        <f t="shared" si="52"/>
        <v>100</v>
      </c>
      <c r="AJ37" s="30">
        <f t="shared" ref="AJ37:AJ45" si="66">AI37*0.04</f>
        <v>4</v>
      </c>
      <c r="AK37" s="204">
        <v>4</v>
      </c>
      <c r="AL37" s="204">
        <v>15</v>
      </c>
      <c r="AM37" s="204">
        <v>1</v>
      </c>
      <c r="AN37" s="181">
        <f t="shared" si="2"/>
        <v>19</v>
      </c>
      <c r="AO37" s="182">
        <f t="shared" si="3"/>
        <v>5.2631578947368416</v>
      </c>
      <c r="AP37" s="183">
        <f t="shared" si="28"/>
        <v>100</v>
      </c>
      <c r="AQ37" s="38">
        <f t="shared" ref="AQ37:AQ45" si="67">AP37*0.02</f>
        <v>2</v>
      </c>
      <c r="AR37" s="212">
        <v>1</v>
      </c>
      <c r="AS37" s="292">
        <f t="shared" si="5"/>
        <v>0.25</v>
      </c>
      <c r="AT37" s="185">
        <f t="shared" si="29"/>
        <v>1</v>
      </c>
      <c r="AU37" s="185">
        <f t="shared" si="30"/>
        <v>1</v>
      </c>
      <c r="AV37" s="186">
        <f t="shared" si="6"/>
        <v>0</v>
      </c>
      <c r="AW37" s="179">
        <f t="shared" si="31"/>
        <v>40</v>
      </c>
      <c r="AX37" s="239">
        <f t="shared" ref="AX37:AX45" si="68">AW37*0.01</f>
        <v>0.4</v>
      </c>
      <c r="AY37" s="54">
        <v>10</v>
      </c>
      <c r="AZ37" s="54">
        <v>10</v>
      </c>
      <c r="BA37" s="189">
        <f t="shared" si="8"/>
        <v>10</v>
      </c>
      <c r="BB37" s="178">
        <f t="shared" si="32"/>
        <v>100</v>
      </c>
      <c r="BC37" s="179">
        <f t="shared" si="33"/>
        <v>100</v>
      </c>
      <c r="BD37" s="30">
        <f t="shared" ref="BD37:BD45" si="69">BC37*0.01</f>
        <v>1</v>
      </c>
      <c r="BE37" s="190">
        <v>4462443</v>
      </c>
      <c r="BF37" s="190">
        <v>1154379</v>
      </c>
      <c r="BG37" s="54">
        <v>442967</v>
      </c>
      <c r="BH37" s="191">
        <f t="shared" si="10"/>
        <v>5616822</v>
      </c>
      <c r="BI37" s="178">
        <f t="shared" si="11"/>
        <v>7.8864347134375983</v>
      </c>
      <c r="BJ37" s="294" t="str">
        <f t="shared" si="34"/>
        <v>금속/비금속/화학업</v>
      </c>
      <c r="BK37" s="192">
        <f t="shared" si="12"/>
        <v>3.9534118626990464</v>
      </c>
      <c r="BL37" s="193">
        <f t="shared" si="35"/>
        <v>3.9330228507385518</v>
      </c>
      <c r="BM37" s="241">
        <f t="shared" si="36"/>
        <v>40</v>
      </c>
      <c r="BN37" s="47">
        <f t="shared" si="37"/>
        <v>0.8</v>
      </c>
      <c r="BO37" s="54">
        <v>605898.32700000005</v>
      </c>
      <c r="BP37" s="194">
        <f t="shared" si="38"/>
        <v>0.17048819117416186</v>
      </c>
      <c r="BQ37" s="179">
        <f t="shared" si="39"/>
        <v>55</v>
      </c>
      <c r="BR37" s="30">
        <f t="shared" ref="BR37:BR45" si="70">BQ37*0.02</f>
        <v>1.1000000000000001</v>
      </c>
      <c r="BS37" s="195">
        <v>34335772.386</v>
      </c>
      <c r="BT37" s="195">
        <v>180943.15</v>
      </c>
      <c r="BU37" s="196">
        <f t="shared" si="40"/>
        <v>34154829.236000001</v>
      </c>
      <c r="BV37" s="178">
        <f t="shared" si="14"/>
        <v>9.6105151587718787</v>
      </c>
      <c r="BW37" s="192">
        <f t="shared" si="15"/>
        <v>5.1474158565187729</v>
      </c>
      <c r="BX37" s="192">
        <f t="shared" si="41"/>
        <v>19.91925538177216</v>
      </c>
      <c r="BY37" s="192">
        <f t="shared" si="16"/>
        <v>6.6930498535228526</v>
      </c>
      <c r="BZ37" s="192">
        <f t="shared" si="42"/>
        <v>25.24416586851882</v>
      </c>
      <c r="CA37" s="192">
        <f t="shared" si="17"/>
        <v>70</v>
      </c>
      <c r="CB37" s="55">
        <f t="shared" si="43"/>
        <v>1.4000000000000001</v>
      </c>
      <c r="CC37" s="197">
        <f t="shared" ref="CC37:CC45" si="71">(M37/N37)*100</f>
        <v>111.18731485990195</v>
      </c>
      <c r="CD37" s="198">
        <f t="shared" ref="CD37:CD45" si="72">IF((100-(75*(CC37-1)/(200-1)))&gt;100, 100, IF((100-(75*(CC37-1)/(200-1)))&lt;25, 25, (100-(75*(CC37-1)/(200-1)))))</f>
        <v>58.472117515112338</v>
      </c>
      <c r="CE37" s="58">
        <f t="shared" ref="CE37:CE45" si="73">CD37*0.015</f>
        <v>0.87708176272668503</v>
      </c>
      <c r="CF37" s="245" t="s">
        <v>2326</v>
      </c>
      <c r="CG37" s="245" t="s">
        <v>2326</v>
      </c>
      <c r="CH37" s="245" t="s">
        <v>2326</v>
      </c>
      <c r="CI37" s="245" t="s">
        <v>2326</v>
      </c>
      <c r="CJ37" s="235"/>
      <c r="CK37" s="173" t="s">
        <v>2479</v>
      </c>
      <c r="CL37" s="173" t="s">
        <v>2478</v>
      </c>
      <c r="CM37" s="199">
        <f t="shared" si="44"/>
        <v>25</v>
      </c>
      <c r="CN37" s="58">
        <f t="shared" ref="CN37:CN45" si="74">CM37*0.015</f>
        <v>0.375</v>
      </c>
      <c r="CO37" s="54">
        <v>3592103</v>
      </c>
      <c r="CP37" s="186">
        <f t="shared" si="45"/>
        <v>1.9087100571895201</v>
      </c>
      <c r="CQ37" s="179">
        <f t="shared" si="46"/>
        <v>100</v>
      </c>
      <c r="CR37" s="30">
        <f t="shared" ref="CR37:CR45" si="75">CQ37*0.03</f>
        <v>3</v>
      </c>
      <c r="CS37" s="200">
        <f>_xlfn.XLOOKUP(C37, '1-1. 관계사체무보증금액 (환율 등)'!$3:$3, '1-1. 관계사체무보증금액 (환율 등)'!$33:$33)</f>
        <v>0</v>
      </c>
      <c r="CT37" s="178">
        <f t="shared" si="23"/>
        <v>0</v>
      </c>
      <c r="CU37" s="179">
        <f t="shared" si="47"/>
        <v>100</v>
      </c>
      <c r="CV37" s="30">
        <f t="shared" ref="CV37:CV45" si="76">CU37*0.02</f>
        <v>2</v>
      </c>
      <c r="CW37" s="72">
        <f t="shared" si="48"/>
        <v>18.428439018739091</v>
      </c>
    </row>
    <row r="38" spans="1:101" x14ac:dyDescent="0.6">
      <c r="A38" s="214" t="s">
        <v>1516</v>
      </c>
      <c r="B38" s="13" t="s">
        <v>2015</v>
      </c>
      <c r="C38" s="219" t="s">
        <v>1517</v>
      </c>
      <c r="D38" s="14" t="s">
        <v>203</v>
      </c>
      <c r="E38" s="217" t="s">
        <v>246</v>
      </c>
      <c r="F38" s="217" t="s">
        <v>1518</v>
      </c>
      <c r="G38" s="218">
        <v>44417</v>
      </c>
      <c r="H38" s="217" t="s">
        <v>830</v>
      </c>
      <c r="I38" s="217" t="s">
        <v>1519</v>
      </c>
      <c r="J38" s="217" t="s">
        <v>1520</v>
      </c>
      <c r="K38" s="217" t="s">
        <v>317</v>
      </c>
      <c r="L38" s="220">
        <v>498996616</v>
      </c>
      <c r="M38" s="206">
        <v>157543399</v>
      </c>
      <c r="N38" s="206">
        <v>341453217</v>
      </c>
      <c r="O38" s="206">
        <v>276440430</v>
      </c>
      <c r="P38" s="206">
        <v>52135090</v>
      </c>
      <c r="Q38" s="206">
        <v>53978399</v>
      </c>
      <c r="R38" s="206">
        <v>45710486</v>
      </c>
      <c r="S38" s="207">
        <v>29366322</v>
      </c>
      <c r="T38" s="207">
        <v>0</v>
      </c>
      <c r="U38" s="207">
        <v>15877400</v>
      </c>
      <c r="V38" s="207">
        <v>0</v>
      </c>
      <c r="W38" s="207">
        <f>24390+2705+19254+2000+10275+3000+600</f>
        <v>62224</v>
      </c>
      <c r="X38" s="207">
        <v>0</v>
      </c>
      <c r="Z38" s="207">
        <v>0</v>
      </c>
      <c r="AA38" s="207">
        <v>0</v>
      </c>
      <c r="AB38" s="176">
        <f t="shared" si="49"/>
        <v>15939624</v>
      </c>
      <c r="AC38" s="177">
        <f t="shared" si="25"/>
        <v>54.278584836058116</v>
      </c>
      <c r="AD38" s="177">
        <f t="shared" si="50"/>
        <v>53.240576953919927</v>
      </c>
      <c r="AE38" s="26">
        <f t="shared" si="65"/>
        <v>1.5972173086175978</v>
      </c>
      <c r="AF38" s="178">
        <f t="shared" si="26"/>
        <v>54.066695856566582</v>
      </c>
      <c r="AG38" s="178">
        <f t="shared" si="27"/>
        <v>54.278584836058116</v>
      </c>
      <c r="AH38" s="178">
        <f t="shared" si="51"/>
        <v>0.21188897949153329</v>
      </c>
      <c r="AI38" s="179">
        <f t="shared" si="52"/>
        <v>100</v>
      </c>
      <c r="AJ38" s="30">
        <f t="shared" si="66"/>
        <v>4</v>
      </c>
      <c r="AK38" s="204">
        <v>7</v>
      </c>
      <c r="AL38" s="204">
        <v>8</v>
      </c>
      <c r="AM38" s="204">
        <v>1</v>
      </c>
      <c r="AN38" s="181">
        <f t="shared" si="2"/>
        <v>15</v>
      </c>
      <c r="AO38" s="182">
        <f t="shared" si="3"/>
        <v>6.666666666666667</v>
      </c>
      <c r="AP38" s="183">
        <f t="shared" si="28"/>
        <v>100</v>
      </c>
      <c r="AQ38" s="38">
        <f t="shared" si="67"/>
        <v>2</v>
      </c>
      <c r="AR38" s="212">
        <v>3</v>
      </c>
      <c r="AS38" s="292">
        <f t="shared" si="5"/>
        <v>0.25</v>
      </c>
      <c r="AT38" s="185">
        <f t="shared" si="29"/>
        <v>1.75</v>
      </c>
      <c r="AU38" s="185">
        <f t="shared" si="30"/>
        <v>1</v>
      </c>
      <c r="AV38" s="186">
        <f t="shared" si="6"/>
        <v>28.571428571428569</v>
      </c>
      <c r="AW38" s="179">
        <f t="shared" si="31"/>
        <v>80</v>
      </c>
      <c r="AX38" s="239">
        <f t="shared" si="68"/>
        <v>0.8</v>
      </c>
      <c r="AY38" s="54">
        <v>8</v>
      </c>
      <c r="AZ38" s="54">
        <v>24</v>
      </c>
      <c r="BA38" s="189">
        <f t="shared" si="8"/>
        <v>24</v>
      </c>
      <c r="BB38" s="178">
        <f t="shared" si="32"/>
        <v>100</v>
      </c>
      <c r="BC38" s="179">
        <f t="shared" si="33"/>
        <v>100</v>
      </c>
      <c r="BD38" s="30">
        <f t="shared" si="69"/>
        <v>1</v>
      </c>
      <c r="BE38" s="190">
        <v>6383837</v>
      </c>
      <c r="BF38" s="190">
        <v>940896</v>
      </c>
      <c r="BG38" s="54">
        <v>304983</v>
      </c>
      <c r="BH38" s="191">
        <f t="shared" si="10"/>
        <v>7324733</v>
      </c>
      <c r="BI38" s="178">
        <f t="shared" si="11"/>
        <v>4.1637422142213243</v>
      </c>
      <c r="BJ38" s="294" t="str">
        <f t="shared" si="34"/>
        <v>금속/비금속/화학업</v>
      </c>
      <c r="BK38" s="192">
        <f t="shared" si="12"/>
        <v>3.9534118626990464</v>
      </c>
      <c r="BL38" s="193">
        <f t="shared" si="35"/>
        <v>0.21033035152227786</v>
      </c>
      <c r="BM38" s="241">
        <f t="shared" si="36"/>
        <v>60</v>
      </c>
      <c r="BN38" s="47">
        <f t="shared" si="37"/>
        <v>1.2</v>
      </c>
      <c r="BO38" s="54">
        <v>9934818</v>
      </c>
      <c r="BP38" s="194">
        <f t="shared" si="38"/>
        <v>3.5938368349376395</v>
      </c>
      <c r="BQ38" s="179">
        <f t="shared" si="39"/>
        <v>85</v>
      </c>
      <c r="BR38" s="30">
        <f t="shared" si="70"/>
        <v>1.7</v>
      </c>
      <c r="BS38" s="195">
        <v>107792826.604</v>
      </c>
      <c r="BT38" s="195">
        <v>27595.5</v>
      </c>
      <c r="BU38" s="196">
        <f t="shared" si="40"/>
        <v>107765231.104</v>
      </c>
      <c r="BV38" s="178">
        <f t="shared" si="14"/>
        <v>38.983165777885674</v>
      </c>
      <c r="BW38" s="192">
        <f t="shared" si="15"/>
        <v>5.1474158565187729</v>
      </c>
      <c r="BX38" s="192">
        <f t="shared" si="41"/>
        <v>1144.85797274128</v>
      </c>
      <c r="BY38" s="192">
        <f t="shared" si="16"/>
        <v>6.6930498535228526</v>
      </c>
      <c r="BZ38" s="192">
        <f t="shared" si="42"/>
        <v>2.147943012342779E-5</v>
      </c>
      <c r="CA38" s="192">
        <f t="shared" si="17"/>
        <v>100</v>
      </c>
      <c r="CB38" s="55">
        <f t="shared" si="43"/>
        <v>2</v>
      </c>
      <c r="CC38" s="197">
        <f t="shared" si="71"/>
        <v>46.139087627925321</v>
      </c>
      <c r="CD38" s="198">
        <f t="shared" si="72"/>
        <v>82.987781044751756</v>
      </c>
      <c r="CE38" s="58">
        <f t="shared" si="73"/>
        <v>1.2448167156712764</v>
      </c>
      <c r="CF38" s="245" t="s">
        <v>2326</v>
      </c>
      <c r="CG38" s="245" t="s">
        <v>2326</v>
      </c>
      <c r="CH38" s="245" t="s">
        <v>2326</v>
      </c>
      <c r="CI38" s="245" t="s">
        <v>2326</v>
      </c>
      <c r="CJ38" s="235"/>
      <c r="CK38" s="173" t="s">
        <v>2491</v>
      </c>
      <c r="CL38" s="173" t="s">
        <v>2478</v>
      </c>
      <c r="CM38" s="199">
        <f t="shared" si="44"/>
        <v>25</v>
      </c>
      <c r="CN38" s="58">
        <f t="shared" si="74"/>
        <v>0.375</v>
      </c>
      <c r="CO38" s="54">
        <v>0</v>
      </c>
      <c r="CP38" s="186">
        <f t="shared" si="45"/>
        <v>0</v>
      </c>
      <c r="CQ38" s="179">
        <f t="shared" si="46"/>
        <v>100</v>
      </c>
      <c r="CR38" s="30">
        <f t="shared" si="75"/>
        <v>3</v>
      </c>
      <c r="CS38" s="200">
        <f>_xlfn.XLOOKUP(C38, '1-1. 관계사체무보증금액 (환율 등)'!$3:$3, '1-1. 관계사체무보증금액 (환율 등)'!$33:$33)</f>
        <v>0</v>
      </c>
      <c r="CT38" s="178">
        <f t="shared" si="23"/>
        <v>0</v>
      </c>
      <c r="CU38" s="179">
        <f t="shared" si="47"/>
        <v>100</v>
      </c>
      <c r="CV38" s="30">
        <f t="shared" si="76"/>
        <v>2</v>
      </c>
      <c r="CW38" s="72">
        <f t="shared" si="48"/>
        <v>20.917034024288874</v>
      </c>
    </row>
    <row r="39" spans="1:101" x14ac:dyDescent="0.6">
      <c r="A39" s="214" t="s">
        <v>1521</v>
      </c>
      <c r="B39" s="13" t="s">
        <v>2016</v>
      </c>
      <c r="C39" s="219" t="s">
        <v>1522</v>
      </c>
      <c r="D39" s="14" t="s">
        <v>202</v>
      </c>
      <c r="E39" s="217" t="s">
        <v>1523</v>
      </c>
      <c r="F39" s="217" t="s">
        <v>1524</v>
      </c>
      <c r="G39" s="218">
        <v>33975</v>
      </c>
      <c r="H39" s="217" t="s">
        <v>830</v>
      </c>
      <c r="I39" s="217" t="s">
        <v>1525</v>
      </c>
      <c r="J39" s="217" t="s">
        <v>1526</v>
      </c>
      <c r="K39" s="217" t="s">
        <v>91</v>
      </c>
      <c r="L39" s="220">
        <v>1689083868</v>
      </c>
      <c r="M39" s="206">
        <v>1058363402</v>
      </c>
      <c r="N39" s="206">
        <v>630720466</v>
      </c>
      <c r="O39" s="206">
        <v>903462137</v>
      </c>
      <c r="P39" s="206">
        <v>135794969</v>
      </c>
      <c r="Q39" s="206">
        <v>110455021</v>
      </c>
      <c r="R39" s="206">
        <v>82620907</v>
      </c>
      <c r="S39" s="207">
        <v>14677004</v>
      </c>
      <c r="T39" s="207">
        <v>269762</v>
      </c>
      <c r="U39" s="207">
        <v>2822815</v>
      </c>
      <c r="V39" s="207">
        <f>1512002+2598902+103000+20415</f>
        <v>4234319</v>
      </c>
      <c r="W39" s="207">
        <f>4000+2000</f>
        <v>6000</v>
      </c>
      <c r="X39" s="207">
        <v>0</v>
      </c>
      <c r="Z39" s="207">
        <f>819018+468354</f>
        <v>1287372</v>
      </c>
      <c r="AA39" s="207">
        <v>820849</v>
      </c>
      <c r="AB39" s="176">
        <f t="shared" si="49"/>
        <v>8350506</v>
      </c>
      <c r="AC39" s="177">
        <f t="shared" si="25"/>
        <v>56.895167433353564</v>
      </c>
      <c r="AD39" s="177">
        <f t="shared" si="50"/>
        <v>50.982306588014765</v>
      </c>
      <c r="AE39" s="26">
        <f t="shared" si="65"/>
        <v>1.5294691976404429</v>
      </c>
      <c r="AF39" s="178">
        <f t="shared" si="26"/>
        <v>51.942660572235766</v>
      </c>
      <c r="AG39" s="178">
        <f t="shared" si="27"/>
        <v>55.420574099394891</v>
      </c>
      <c r="AH39" s="178">
        <f t="shared" si="51"/>
        <v>3.4779135271591244</v>
      </c>
      <c r="AI39" s="179">
        <f t="shared" si="52"/>
        <v>100</v>
      </c>
      <c r="AJ39" s="30">
        <f t="shared" si="66"/>
        <v>4</v>
      </c>
      <c r="AK39" s="204">
        <v>7</v>
      </c>
      <c r="AL39" s="204">
        <v>8</v>
      </c>
      <c r="AM39" s="204">
        <v>2</v>
      </c>
      <c r="AN39" s="181">
        <f t="shared" si="2"/>
        <v>15</v>
      </c>
      <c r="AO39" s="182">
        <f t="shared" si="3"/>
        <v>13.333333333333334</v>
      </c>
      <c r="AP39" s="183">
        <f t="shared" si="28"/>
        <v>80</v>
      </c>
      <c r="AQ39" s="38">
        <f t="shared" si="67"/>
        <v>1.6</v>
      </c>
      <c r="AR39" s="212">
        <v>2</v>
      </c>
      <c r="AS39" s="292">
        <f t="shared" si="5"/>
        <v>0.25</v>
      </c>
      <c r="AT39" s="185">
        <f t="shared" si="29"/>
        <v>1.75</v>
      </c>
      <c r="AU39" s="185">
        <f t="shared" si="30"/>
        <v>1</v>
      </c>
      <c r="AV39" s="186">
        <f t="shared" si="6"/>
        <v>14.285714285714285</v>
      </c>
      <c r="AW39" s="179">
        <f t="shared" si="31"/>
        <v>60</v>
      </c>
      <c r="AX39" s="239">
        <f t="shared" si="68"/>
        <v>0.6</v>
      </c>
      <c r="AY39" s="54">
        <v>14</v>
      </c>
      <c r="AZ39" s="54">
        <v>28</v>
      </c>
      <c r="BA39" s="189">
        <f t="shared" si="8"/>
        <v>28</v>
      </c>
      <c r="BB39" s="178">
        <f t="shared" si="32"/>
        <v>100</v>
      </c>
      <c r="BC39" s="179">
        <f t="shared" si="33"/>
        <v>100</v>
      </c>
      <c r="BD39" s="30">
        <f t="shared" si="69"/>
        <v>1</v>
      </c>
      <c r="BE39" s="190">
        <v>3968983</v>
      </c>
      <c r="BF39" s="190">
        <v>319873</v>
      </c>
      <c r="BG39" s="54">
        <v>206124</v>
      </c>
      <c r="BH39" s="191">
        <f t="shared" si="10"/>
        <v>4288856</v>
      </c>
      <c r="BI39" s="178">
        <f t="shared" si="11"/>
        <v>4.8060368545831338</v>
      </c>
      <c r="BJ39" s="294" t="str">
        <f t="shared" si="34"/>
        <v>전기전자/기계업</v>
      </c>
      <c r="BK39" s="192">
        <f t="shared" si="12"/>
        <v>2.4096449716116455</v>
      </c>
      <c r="BL39" s="193">
        <f t="shared" si="35"/>
        <v>2.3963918829714883</v>
      </c>
      <c r="BM39" s="241">
        <f t="shared" si="36"/>
        <v>40</v>
      </c>
      <c r="BN39" s="47">
        <f t="shared" si="37"/>
        <v>0.8</v>
      </c>
      <c r="BO39" s="54">
        <v>255809</v>
      </c>
      <c r="BP39" s="194">
        <f t="shared" si="38"/>
        <v>2.8314302229579768E-2</v>
      </c>
      <c r="BQ39" s="179">
        <f t="shared" si="39"/>
        <v>40</v>
      </c>
      <c r="BR39" s="30">
        <f t="shared" si="70"/>
        <v>0.8</v>
      </c>
      <c r="BS39" s="195">
        <v>35539606.410999998</v>
      </c>
      <c r="BT39" s="195">
        <v>135709.29999999999</v>
      </c>
      <c r="BU39" s="196">
        <f t="shared" si="40"/>
        <v>35403897.111000001</v>
      </c>
      <c r="BV39" s="178">
        <f t="shared" si="14"/>
        <v>3.9186918478466359</v>
      </c>
      <c r="BW39" s="192">
        <f t="shared" si="15"/>
        <v>5.2309968128308268</v>
      </c>
      <c r="BX39" s="192">
        <f t="shared" si="41"/>
        <v>1.7221443211221585</v>
      </c>
      <c r="BY39" s="192">
        <f t="shared" si="16"/>
        <v>7.0695458012309622</v>
      </c>
      <c r="BZ39" s="192">
        <f t="shared" si="42"/>
        <v>57.363171494041886</v>
      </c>
      <c r="CA39" s="192">
        <f t="shared" si="17"/>
        <v>55</v>
      </c>
      <c r="CB39" s="55">
        <f t="shared" si="43"/>
        <v>1.1000000000000001</v>
      </c>
      <c r="CC39" s="197">
        <f t="shared" si="71"/>
        <v>167.8022926245111</v>
      </c>
      <c r="CD39" s="198">
        <f t="shared" si="72"/>
        <v>37.134814337495818</v>
      </c>
      <c r="CE39" s="58">
        <f t="shared" si="73"/>
        <v>0.55702221506243721</v>
      </c>
      <c r="CF39" s="245" t="s">
        <v>2326</v>
      </c>
      <c r="CG39" s="245" t="s">
        <v>2326</v>
      </c>
      <c r="CH39" s="245" t="s">
        <v>2326</v>
      </c>
      <c r="CI39" s="245" t="s">
        <v>2326</v>
      </c>
      <c r="CJ39" s="235"/>
      <c r="CK39" s="173" t="s">
        <v>2490</v>
      </c>
      <c r="CL39" s="173" t="s">
        <v>2487</v>
      </c>
      <c r="CM39" s="199">
        <f t="shared" si="44"/>
        <v>70</v>
      </c>
      <c r="CN39" s="58">
        <f t="shared" si="74"/>
        <v>1.05</v>
      </c>
      <c r="CO39" s="54">
        <v>318993000</v>
      </c>
      <c r="CP39" s="186">
        <f t="shared" si="45"/>
        <v>50.575971003928068</v>
      </c>
      <c r="CQ39" s="179">
        <f t="shared" si="46"/>
        <v>40</v>
      </c>
      <c r="CR39" s="30">
        <f t="shared" si="75"/>
        <v>1.2</v>
      </c>
      <c r="CS39" s="200">
        <f>_xlfn.XLOOKUP(C39, '1-1. 관계사체무보증금액 (환율 등)'!$3:$3, '1-1. 관계사체무보증금액 (환율 등)'!$33:$33)</f>
        <v>1144339697</v>
      </c>
      <c r="CT39" s="178">
        <f t="shared" si="23"/>
        <v>181.43373470300551</v>
      </c>
      <c r="CU39" s="179">
        <f t="shared" si="47"/>
        <v>20</v>
      </c>
      <c r="CV39" s="30">
        <f t="shared" si="76"/>
        <v>0.4</v>
      </c>
      <c r="CW39" s="72">
        <f t="shared" si="48"/>
        <v>14.636491412702881</v>
      </c>
    </row>
    <row r="40" spans="1:101" x14ac:dyDescent="0.6">
      <c r="A40" s="214" t="s">
        <v>2408</v>
      </c>
      <c r="B40" s="13" t="s">
        <v>2017</v>
      </c>
      <c r="C40" s="219" t="s">
        <v>1528</v>
      </c>
      <c r="D40" s="14" t="s">
        <v>203</v>
      </c>
      <c r="E40" s="217" t="s">
        <v>195</v>
      </c>
      <c r="F40" s="217" t="s">
        <v>1529</v>
      </c>
      <c r="G40" s="218">
        <v>32470</v>
      </c>
      <c r="H40" s="217" t="s">
        <v>830</v>
      </c>
      <c r="I40" s="217" t="s">
        <v>1530</v>
      </c>
      <c r="J40" s="217" t="s">
        <v>1531</v>
      </c>
      <c r="K40" s="217" t="s">
        <v>690</v>
      </c>
      <c r="L40" s="220">
        <v>88291972</v>
      </c>
      <c r="M40" s="206">
        <v>36836002</v>
      </c>
      <c r="N40" s="206">
        <v>51455970</v>
      </c>
      <c r="O40" s="206">
        <v>125263993</v>
      </c>
      <c r="P40" s="206">
        <v>14179053</v>
      </c>
      <c r="Q40" s="206">
        <v>13787797</v>
      </c>
      <c r="R40" s="206">
        <v>10819014</v>
      </c>
      <c r="S40" s="207">
        <v>1214878</v>
      </c>
      <c r="T40" s="207">
        <v>557609</v>
      </c>
      <c r="U40" s="207">
        <v>557609</v>
      </c>
      <c r="V40" s="207">
        <f>4000+7441+1441+707</f>
        <v>13589</v>
      </c>
      <c r="W40" s="207">
        <v>0</v>
      </c>
      <c r="X40" s="207">
        <v>0</v>
      </c>
      <c r="Z40" s="207">
        <v>0</v>
      </c>
      <c r="AA40" s="207">
        <v>0</v>
      </c>
      <c r="AB40" s="176">
        <f t="shared" si="49"/>
        <v>571198</v>
      </c>
      <c r="AC40" s="177">
        <f t="shared" si="25"/>
        <v>47.016902108689102</v>
      </c>
      <c r="AD40" s="177">
        <f t="shared" si="50"/>
        <v>59.507852035078457</v>
      </c>
      <c r="AE40" s="26">
        <f t="shared" si="65"/>
        <v>1.7852355610523536</v>
      </c>
      <c r="AF40" s="178">
        <f t="shared" si="26"/>
        <v>86.904752848529299</v>
      </c>
      <c r="AG40" s="178">
        <f t="shared" si="27"/>
        <v>86.904752848529299</v>
      </c>
      <c r="AH40" s="178">
        <f t="shared" si="51"/>
        <v>0</v>
      </c>
      <c r="AI40" s="179">
        <f t="shared" si="52"/>
        <v>100</v>
      </c>
      <c r="AJ40" s="30">
        <f t="shared" si="66"/>
        <v>4</v>
      </c>
      <c r="AK40" s="204">
        <v>4</v>
      </c>
      <c r="AL40" s="204">
        <v>0</v>
      </c>
      <c r="AM40" s="204">
        <v>1</v>
      </c>
      <c r="AN40" s="181">
        <f t="shared" si="2"/>
        <v>4</v>
      </c>
      <c r="AO40" s="182">
        <f t="shared" si="3"/>
        <v>25</v>
      </c>
      <c r="AP40" s="183">
        <f t="shared" si="28"/>
        <v>60</v>
      </c>
      <c r="AQ40" s="38">
        <f t="shared" si="67"/>
        <v>1.2</v>
      </c>
      <c r="AR40" s="212">
        <v>2</v>
      </c>
      <c r="AS40" s="292">
        <f t="shared" si="5"/>
        <v>0.25</v>
      </c>
      <c r="AT40" s="185">
        <f t="shared" si="29"/>
        <v>1</v>
      </c>
      <c r="AU40" s="185">
        <f t="shared" si="30"/>
        <v>1</v>
      </c>
      <c r="AV40" s="186">
        <f t="shared" si="6"/>
        <v>25</v>
      </c>
      <c r="AW40" s="179">
        <f t="shared" si="31"/>
        <v>80</v>
      </c>
      <c r="AX40" s="239">
        <f t="shared" si="68"/>
        <v>0.8</v>
      </c>
      <c r="AY40" s="54">
        <v>11</v>
      </c>
      <c r="AZ40" s="54">
        <v>22</v>
      </c>
      <c r="BA40" s="189">
        <f t="shared" si="8"/>
        <v>22</v>
      </c>
      <c r="BB40" s="178">
        <f t="shared" si="32"/>
        <v>100</v>
      </c>
      <c r="BC40" s="179">
        <f t="shared" si="33"/>
        <v>100</v>
      </c>
      <c r="BD40" s="30">
        <f t="shared" si="69"/>
        <v>1</v>
      </c>
      <c r="BE40" s="190">
        <v>986702</v>
      </c>
      <c r="BF40" s="190">
        <v>52771</v>
      </c>
      <c r="BG40" s="54">
        <v>120568</v>
      </c>
      <c r="BH40" s="191">
        <f t="shared" si="10"/>
        <v>1039473</v>
      </c>
      <c r="BI40" s="178">
        <f t="shared" si="11"/>
        <v>11.59895447019788</v>
      </c>
      <c r="BJ40" s="294" t="str">
        <f t="shared" si="34"/>
        <v>금속/비금속/화학업</v>
      </c>
      <c r="BK40" s="192">
        <f t="shared" si="12"/>
        <v>3.9534118626990464</v>
      </c>
      <c r="BL40" s="193">
        <f t="shared" si="35"/>
        <v>7.6455426074988333</v>
      </c>
      <c r="BM40" s="241">
        <f t="shared" si="36"/>
        <v>40</v>
      </c>
      <c r="BN40" s="47">
        <f t="shared" si="37"/>
        <v>0.8</v>
      </c>
      <c r="BO40" s="54">
        <v>0</v>
      </c>
      <c r="BP40" s="194">
        <f t="shared" si="38"/>
        <v>0</v>
      </c>
      <c r="BQ40" s="179">
        <f t="shared" si="39"/>
        <v>25</v>
      </c>
      <c r="BR40" s="30">
        <f t="shared" si="70"/>
        <v>0.5</v>
      </c>
      <c r="BS40" s="195">
        <v>1846808</v>
      </c>
      <c r="BT40" s="195">
        <v>2339</v>
      </c>
      <c r="BU40" s="196">
        <f t="shared" si="40"/>
        <v>1844469</v>
      </c>
      <c r="BV40" s="178">
        <f t="shared" si="14"/>
        <v>1.4724654354583764</v>
      </c>
      <c r="BW40" s="192">
        <f t="shared" si="15"/>
        <v>5.1474158565187729</v>
      </c>
      <c r="BX40" s="192">
        <f t="shared" si="41"/>
        <v>13.505260597251985</v>
      </c>
      <c r="BY40" s="192">
        <f t="shared" si="16"/>
        <v>6.6930498535228526</v>
      </c>
      <c r="BZ40" s="192">
        <f t="shared" si="42"/>
        <v>70.852116767511319</v>
      </c>
      <c r="CA40" s="192">
        <f t="shared" si="17"/>
        <v>40</v>
      </c>
      <c r="CB40" s="55">
        <f t="shared" si="43"/>
        <v>0.8</v>
      </c>
      <c r="CC40" s="197">
        <f t="shared" si="71"/>
        <v>71.587421245775758</v>
      </c>
      <c r="CD40" s="198">
        <f t="shared" si="72"/>
        <v>73.396700535511656</v>
      </c>
      <c r="CE40" s="58">
        <f t="shared" si="73"/>
        <v>1.1009505080326747</v>
      </c>
      <c r="CF40" s="245" t="s">
        <v>2326</v>
      </c>
      <c r="CG40" s="245" t="s">
        <v>2326</v>
      </c>
      <c r="CH40" s="245" t="s">
        <v>2326</v>
      </c>
      <c r="CI40" s="245" t="s">
        <v>2326</v>
      </c>
      <c r="CJ40" s="235"/>
      <c r="CK40" s="173" t="s">
        <v>2479</v>
      </c>
      <c r="CL40" s="173" t="s">
        <v>2478</v>
      </c>
      <c r="CM40" s="199">
        <f t="shared" si="44"/>
        <v>25</v>
      </c>
      <c r="CN40" s="58">
        <f t="shared" si="74"/>
        <v>0.375</v>
      </c>
      <c r="CO40" s="54">
        <v>0</v>
      </c>
      <c r="CP40" s="186">
        <f t="shared" si="45"/>
        <v>0</v>
      </c>
      <c r="CQ40" s="179">
        <f t="shared" si="46"/>
        <v>100</v>
      </c>
      <c r="CR40" s="30">
        <f t="shared" si="75"/>
        <v>3</v>
      </c>
      <c r="CS40" s="200">
        <f>_xlfn.XLOOKUP(C40, '1-1. 관계사체무보증금액 (환율 등)'!$3:$3, '1-1. 관계사체무보증금액 (환율 등)'!$33:$33)</f>
        <v>0</v>
      </c>
      <c r="CT40" s="178">
        <f t="shared" si="23"/>
        <v>0</v>
      </c>
      <c r="CU40" s="179">
        <f t="shared" si="47"/>
        <v>100</v>
      </c>
      <c r="CV40" s="30">
        <f t="shared" si="76"/>
        <v>2</v>
      </c>
      <c r="CW40" s="72">
        <f t="shared" si="48"/>
        <v>17.361186069085029</v>
      </c>
    </row>
    <row r="41" spans="1:101" x14ac:dyDescent="0.6">
      <c r="A41" s="214" t="s">
        <v>550</v>
      </c>
      <c r="B41" s="13" t="s">
        <v>2018</v>
      </c>
      <c r="C41" s="219" t="s">
        <v>892</v>
      </c>
      <c r="D41" s="216" t="s">
        <v>203</v>
      </c>
      <c r="E41" s="217" t="s">
        <v>195</v>
      </c>
      <c r="F41" s="217" t="s">
        <v>174</v>
      </c>
      <c r="G41" s="218">
        <v>32718</v>
      </c>
      <c r="H41" s="217" t="s">
        <v>830</v>
      </c>
      <c r="I41" s="217" t="s">
        <v>780</v>
      </c>
      <c r="J41" s="217" t="s">
        <v>1024</v>
      </c>
      <c r="K41" s="217" t="s">
        <v>346</v>
      </c>
      <c r="L41" s="220">
        <v>784010055</v>
      </c>
      <c r="M41" s="206">
        <v>266944685</v>
      </c>
      <c r="N41" s="206">
        <v>517065370</v>
      </c>
      <c r="O41" s="206">
        <v>504474738</v>
      </c>
      <c r="P41" s="206">
        <v>87061651</v>
      </c>
      <c r="Q41" s="206">
        <v>64111344</v>
      </c>
      <c r="R41" s="206">
        <v>47519888</v>
      </c>
      <c r="S41" s="207">
        <v>65429516</v>
      </c>
      <c r="T41" s="207">
        <v>11160000</v>
      </c>
      <c r="U41" s="207">
        <v>34270791</v>
      </c>
      <c r="V41" s="207">
        <f>500000+143873</f>
        <v>643873</v>
      </c>
      <c r="W41" s="207">
        <f>3680712+33549</f>
        <v>3714261</v>
      </c>
      <c r="X41" s="207">
        <v>621426</v>
      </c>
      <c r="Y41" s="208" t="s">
        <v>2409</v>
      </c>
      <c r="Z41" s="207">
        <v>0</v>
      </c>
      <c r="AA41" s="207">
        <v>0</v>
      </c>
      <c r="AB41" s="176">
        <f t="shared" si="49"/>
        <v>39250351</v>
      </c>
      <c r="AC41" s="177">
        <f t="shared" si="25"/>
        <v>59.988753393804714</v>
      </c>
      <c r="AD41" s="177">
        <f t="shared" si="50"/>
        <v>48.312353227441271</v>
      </c>
      <c r="AE41" s="26">
        <f t="shared" si="65"/>
        <v>1.449370596823238</v>
      </c>
      <c r="AF41" s="178">
        <f t="shared" si="26"/>
        <v>64.335683406500252</v>
      </c>
      <c r="AG41" s="178">
        <f t="shared" si="27"/>
        <v>72.324859134546188</v>
      </c>
      <c r="AH41" s="178">
        <f t="shared" si="51"/>
        <v>7.9891757280459359</v>
      </c>
      <c r="AI41" s="179">
        <f t="shared" si="52"/>
        <v>100</v>
      </c>
      <c r="AJ41" s="30">
        <f t="shared" si="66"/>
        <v>4</v>
      </c>
      <c r="AK41" s="204">
        <v>5</v>
      </c>
      <c r="AL41" s="204">
        <v>15</v>
      </c>
      <c r="AM41" s="204">
        <v>1</v>
      </c>
      <c r="AN41" s="181">
        <f t="shared" si="2"/>
        <v>20</v>
      </c>
      <c r="AO41" s="182">
        <f t="shared" si="3"/>
        <v>5</v>
      </c>
      <c r="AP41" s="183">
        <f t="shared" si="28"/>
        <v>100</v>
      </c>
      <c r="AQ41" s="38">
        <f t="shared" si="67"/>
        <v>2</v>
      </c>
      <c r="AR41" s="212">
        <v>1</v>
      </c>
      <c r="AS41" s="292">
        <f t="shared" si="5"/>
        <v>0.25</v>
      </c>
      <c r="AT41" s="185">
        <f t="shared" si="29"/>
        <v>1.25</v>
      </c>
      <c r="AU41" s="185">
        <f t="shared" si="30"/>
        <v>1</v>
      </c>
      <c r="AV41" s="186">
        <f t="shared" si="6"/>
        <v>0</v>
      </c>
      <c r="AW41" s="179">
        <f t="shared" si="31"/>
        <v>40</v>
      </c>
      <c r="AX41" s="239">
        <f t="shared" si="68"/>
        <v>0.4</v>
      </c>
      <c r="AY41" s="54">
        <v>24</v>
      </c>
      <c r="AZ41" s="54">
        <v>24</v>
      </c>
      <c r="BA41" s="189">
        <f t="shared" si="8"/>
        <v>24</v>
      </c>
      <c r="BB41" s="178">
        <f t="shared" si="32"/>
        <v>100</v>
      </c>
      <c r="BC41" s="179">
        <f t="shared" si="33"/>
        <v>100</v>
      </c>
      <c r="BD41" s="30">
        <f t="shared" si="69"/>
        <v>1</v>
      </c>
      <c r="BE41" s="190">
        <v>14662400</v>
      </c>
      <c r="BF41" s="190">
        <v>1474308</v>
      </c>
      <c r="BG41" s="301">
        <v>0</v>
      </c>
      <c r="BH41" s="191">
        <f t="shared" si="10"/>
        <v>16136708</v>
      </c>
      <c r="BI41" s="178">
        <f t="shared" si="11"/>
        <v>0</v>
      </c>
      <c r="BJ41" s="294" t="str">
        <f t="shared" si="34"/>
        <v>금속/비금속/화학업</v>
      </c>
      <c r="BK41" s="192">
        <f t="shared" si="12"/>
        <v>3.9534118626990464</v>
      </c>
      <c r="BL41" s="193">
        <f t="shared" si="35"/>
        <v>-3.9534118626990464</v>
      </c>
      <c r="BM41" s="241">
        <f t="shared" si="36"/>
        <v>100</v>
      </c>
      <c r="BN41" s="47">
        <f t="shared" si="37"/>
        <v>2</v>
      </c>
      <c r="BO41" s="54">
        <v>0</v>
      </c>
      <c r="BP41" s="194">
        <f t="shared" si="38"/>
        <v>0</v>
      </c>
      <c r="BQ41" s="179">
        <f t="shared" si="39"/>
        <v>25</v>
      </c>
      <c r="BR41" s="30">
        <f t="shared" si="70"/>
        <v>0.5</v>
      </c>
      <c r="BS41" s="195">
        <v>13731263.091</v>
      </c>
      <c r="BT41" s="195">
        <v>1020389.6040000001</v>
      </c>
      <c r="BU41" s="196">
        <f t="shared" si="40"/>
        <v>12710873.487</v>
      </c>
      <c r="BV41" s="178">
        <f t="shared" si="14"/>
        <v>2.5196253706166747</v>
      </c>
      <c r="BW41" s="192">
        <f t="shared" si="15"/>
        <v>5.1474158565187729</v>
      </c>
      <c r="BX41" s="192">
        <f t="shared" si="41"/>
        <v>6.9052828377975857</v>
      </c>
      <c r="BY41" s="192">
        <f t="shared" si="16"/>
        <v>6.6930498535228526</v>
      </c>
      <c r="BZ41" s="192">
        <f t="shared" si="42"/>
        <v>65.269799971697282</v>
      </c>
      <c r="CA41" s="192">
        <f t="shared" si="17"/>
        <v>40</v>
      </c>
      <c r="CB41" s="55">
        <f t="shared" si="43"/>
        <v>0.8</v>
      </c>
      <c r="CC41" s="197">
        <f t="shared" si="71"/>
        <v>51.626873600140733</v>
      </c>
      <c r="CD41" s="198">
        <f t="shared" si="72"/>
        <v>80.919519999946957</v>
      </c>
      <c r="CE41" s="58">
        <f t="shared" si="73"/>
        <v>1.2137927999992042</v>
      </c>
      <c r="CF41" s="245" t="s">
        <v>2326</v>
      </c>
      <c r="CG41" s="245" t="s">
        <v>2326</v>
      </c>
      <c r="CH41" s="245" t="s">
        <v>2326</v>
      </c>
      <c r="CI41" s="245" t="s">
        <v>2326</v>
      </c>
      <c r="CJ41" s="235"/>
      <c r="CK41" s="173" t="s">
        <v>2479</v>
      </c>
      <c r="CL41" s="173" t="s">
        <v>2478</v>
      </c>
      <c r="CM41" s="199">
        <f t="shared" si="44"/>
        <v>25</v>
      </c>
      <c r="CN41" s="58">
        <f t="shared" si="74"/>
        <v>0.375</v>
      </c>
      <c r="CO41" s="54">
        <f>211530000-7976000</f>
        <v>203554000</v>
      </c>
      <c r="CP41" s="186">
        <f t="shared" si="45"/>
        <v>39.367169377442544</v>
      </c>
      <c r="CQ41" s="179">
        <f t="shared" si="46"/>
        <v>40</v>
      </c>
      <c r="CR41" s="30">
        <f t="shared" si="75"/>
        <v>1.2</v>
      </c>
      <c r="CS41" s="200">
        <f>_xlfn.XLOOKUP(C41, '1-1. 관계사체무보증금액 (환율 등)'!$3:$3, '1-1. 관계사체무보증금액 (환율 등)'!$33:$33)</f>
        <v>0</v>
      </c>
      <c r="CT41" s="178">
        <f t="shared" si="23"/>
        <v>0</v>
      </c>
      <c r="CU41" s="179">
        <f t="shared" si="47"/>
        <v>100</v>
      </c>
      <c r="CV41" s="30">
        <f t="shared" si="76"/>
        <v>2</v>
      </c>
      <c r="CW41" s="72">
        <f t="shared" si="48"/>
        <v>16.938163396822443</v>
      </c>
    </row>
    <row r="42" spans="1:101" x14ac:dyDescent="0.6">
      <c r="A42" s="214" t="s">
        <v>1532</v>
      </c>
      <c r="B42" s="13" t="s">
        <v>2019</v>
      </c>
      <c r="C42" s="219" t="s">
        <v>457</v>
      </c>
      <c r="D42" s="216" t="s">
        <v>285</v>
      </c>
      <c r="E42" s="217" t="s">
        <v>171</v>
      </c>
      <c r="F42" s="217" t="s">
        <v>1031</v>
      </c>
      <c r="G42" s="218">
        <v>35669</v>
      </c>
      <c r="H42" s="217" t="s">
        <v>830</v>
      </c>
      <c r="I42" s="217" t="s">
        <v>728</v>
      </c>
      <c r="J42" s="217" t="s">
        <v>1043</v>
      </c>
      <c r="K42" s="217" t="s">
        <v>690</v>
      </c>
      <c r="L42" s="220">
        <v>4987103374</v>
      </c>
      <c r="M42" s="206">
        <v>2920774145</v>
      </c>
      <c r="N42" s="206">
        <v>2066329229</v>
      </c>
      <c r="O42" s="206">
        <v>6978937449</v>
      </c>
      <c r="P42" s="206">
        <v>427890389</v>
      </c>
      <c r="Q42" s="206">
        <v>355031852</v>
      </c>
      <c r="R42" s="206">
        <v>268904384</v>
      </c>
      <c r="S42" s="207">
        <v>9230244</v>
      </c>
      <c r="T42" s="207">
        <v>255198</v>
      </c>
      <c r="U42" s="207">
        <v>6664401</v>
      </c>
      <c r="V42" s="207">
        <v>0</v>
      </c>
      <c r="W42" s="207">
        <f>2916+9129+773+300+160+270+461+70+100+402+65+35+633+90+88+150+129+52+2433+60+2110+100+60+1365</f>
        <v>21951</v>
      </c>
      <c r="X42" s="207">
        <v>0</v>
      </c>
      <c r="Z42" s="207">
        <v>0</v>
      </c>
      <c r="AA42" s="207">
        <v>0</v>
      </c>
      <c r="AB42" s="176">
        <f t="shared" si="49"/>
        <v>6686352</v>
      </c>
      <c r="AC42" s="177">
        <f t="shared" si="25"/>
        <v>72.439601813343174</v>
      </c>
      <c r="AD42" s="177">
        <f t="shared" si="50"/>
        <v>37.566511668576084</v>
      </c>
      <c r="AE42" s="26">
        <f t="shared" si="65"/>
        <v>1.1269953500572825</v>
      </c>
      <c r="AF42" s="178">
        <f t="shared" si="26"/>
        <v>74.254783763782385</v>
      </c>
      <c r="AG42" s="178">
        <f t="shared" si="27"/>
        <v>74.499361897420911</v>
      </c>
      <c r="AH42" s="178">
        <f t="shared" si="51"/>
        <v>0.24457813363852665</v>
      </c>
      <c r="AI42" s="179">
        <f t="shared" si="52"/>
        <v>100</v>
      </c>
      <c r="AJ42" s="30">
        <f t="shared" si="66"/>
        <v>4</v>
      </c>
      <c r="AK42" s="204">
        <v>7</v>
      </c>
      <c r="AL42" s="204">
        <v>28</v>
      </c>
      <c r="AM42" s="180">
        <v>1</v>
      </c>
      <c r="AN42" s="181">
        <f t="shared" si="2"/>
        <v>35</v>
      </c>
      <c r="AO42" s="182">
        <f t="shared" si="3"/>
        <v>2.8571428571428572</v>
      </c>
      <c r="AP42" s="183">
        <f t="shared" si="28"/>
        <v>100</v>
      </c>
      <c r="AQ42" s="38">
        <f t="shared" si="67"/>
        <v>2</v>
      </c>
      <c r="AR42" s="212">
        <v>4</v>
      </c>
      <c r="AS42" s="292">
        <f t="shared" si="5"/>
        <v>0.5</v>
      </c>
      <c r="AT42" s="185">
        <f t="shared" si="29"/>
        <v>3.5</v>
      </c>
      <c r="AU42" s="185">
        <f t="shared" si="30"/>
        <v>3</v>
      </c>
      <c r="AV42" s="186">
        <f t="shared" si="6"/>
        <v>14.285714285714285</v>
      </c>
      <c r="AW42" s="179">
        <f t="shared" si="31"/>
        <v>60</v>
      </c>
      <c r="AX42" s="239">
        <f t="shared" si="68"/>
        <v>0.6</v>
      </c>
      <c r="AY42" s="54">
        <v>15</v>
      </c>
      <c r="AZ42" s="54">
        <f>15*4</f>
        <v>60</v>
      </c>
      <c r="BA42" s="189">
        <f t="shared" si="8"/>
        <v>60</v>
      </c>
      <c r="BB42" s="178">
        <f t="shared" si="32"/>
        <v>100</v>
      </c>
      <c r="BC42" s="179">
        <f t="shared" si="33"/>
        <v>100</v>
      </c>
      <c r="BD42" s="30">
        <f t="shared" si="69"/>
        <v>1</v>
      </c>
      <c r="BE42" s="190">
        <v>75219641</v>
      </c>
      <c r="BF42" s="190">
        <v>4259073</v>
      </c>
      <c r="BG42" s="54">
        <v>2415184</v>
      </c>
      <c r="BH42" s="191">
        <f t="shared" si="10"/>
        <v>79478714</v>
      </c>
      <c r="BI42" s="178">
        <f t="shared" si="11"/>
        <v>3.0387809244120381</v>
      </c>
      <c r="BJ42" s="294" t="str">
        <f t="shared" si="34"/>
        <v>비제조/서비스업</v>
      </c>
      <c r="BK42" s="192">
        <f t="shared" si="12"/>
        <v>1.7464434573900924</v>
      </c>
      <c r="BL42" s="193">
        <f t="shared" si="35"/>
        <v>1.2923374670219456</v>
      </c>
      <c r="BM42" s="241">
        <f t="shared" si="36"/>
        <v>60</v>
      </c>
      <c r="BN42" s="47">
        <f t="shared" si="37"/>
        <v>1.2</v>
      </c>
      <c r="BO42" s="54">
        <v>0</v>
      </c>
      <c r="BP42" s="194">
        <f t="shared" si="38"/>
        <v>0</v>
      </c>
      <c r="BQ42" s="179">
        <f t="shared" si="39"/>
        <v>25</v>
      </c>
      <c r="BR42" s="30">
        <f t="shared" si="70"/>
        <v>0.5</v>
      </c>
      <c r="BS42" s="195">
        <v>73343823.185000002</v>
      </c>
      <c r="BT42" s="195">
        <v>43292.017</v>
      </c>
      <c r="BU42" s="196">
        <f t="shared" si="40"/>
        <v>73300531.167999998</v>
      </c>
      <c r="BV42" s="178">
        <f t="shared" si="14"/>
        <v>1.0503107629729953</v>
      </c>
      <c r="BW42" s="192">
        <f t="shared" si="15"/>
        <v>2.8482825397737606</v>
      </c>
      <c r="BX42" s="192">
        <f t="shared" si="41"/>
        <v>3.2327025101721008</v>
      </c>
      <c r="BY42" s="192">
        <f t="shared" si="16"/>
        <v>5.5697595856656799</v>
      </c>
      <c r="BZ42" s="192">
        <f t="shared" si="42"/>
        <v>62.658027298623473</v>
      </c>
      <c r="CA42" s="192">
        <f t="shared" si="17"/>
        <v>40</v>
      </c>
      <c r="CB42" s="55">
        <f t="shared" si="43"/>
        <v>0.8</v>
      </c>
      <c r="CC42" s="197">
        <f t="shared" si="71"/>
        <v>141.35086045380623</v>
      </c>
      <c r="CD42" s="198">
        <f t="shared" si="72"/>
        <v>47.103947065148404</v>
      </c>
      <c r="CE42" s="58">
        <f t="shared" si="73"/>
        <v>0.70655920597722599</v>
      </c>
      <c r="CF42" s="245" t="s">
        <v>2326</v>
      </c>
      <c r="CG42" s="245" t="s">
        <v>2326</v>
      </c>
      <c r="CH42" s="245" t="s">
        <v>2326</v>
      </c>
      <c r="CI42" s="245" t="s">
        <v>2326</v>
      </c>
      <c r="CJ42" s="235"/>
      <c r="CK42" s="173" t="s">
        <v>2486</v>
      </c>
      <c r="CL42" s="173" t="s">
        <v>2487</v>
      </c>
      <c r="CM42" s="199">
        <f t="shared" si="44"/>
        <v>70</v>
      </c>
      <c r="CN42" s="58">
        <f t="shared" si="74"/>
        <v>1.05</v>
      </c>
      <c r="CO42" s="54">
        <v>657540000</v>
      </c>
      <c r="CP42" s="186">
        <f t="shared" si="45"/>
        <v>31.82164733343178</v>
      </c>
      <c r="CQ42" s="179">
        <f t="shared" si="46"/>
        <v>60</v>
      </c>
      <c r="CR42" s="30">
        <f t="shared" si="75"/>
        <v>1.7999999999999998</v>
      </c>
      <c r="CS42" s="200">
        <f>_xlfn.XLOOKUP(C42, '1-1. 관계사체무보증금액 (환율 등)'!$3:$3, '1-1. 관계사체무보증금액 (환율 등)'!$33:$33)</f>
        <v>520401136.82278478</v>
      </c>
      <c r="CT42" s="178">
        <f t="shared" si="23"/>
        <v>25.184812251561329</v>
      </c>
      <c r="CU42" s="179">
        <f t="shared" si="47"/>
        <v>60</v>
      </c>
      <c r="CV42" s="30">
        <f t="shared" si="76"/>
        <v>1.2</v>
      </c>
      <c r="CW42" s="72">
        <f t="shared" si="48"/>
        <v>15.983554556034509</v>
      </c>
    </row>
    <row r="43" spans="1:101" x14ac:dyDescent="0.6">
      <c r="A43" s="214" t="s">
        <v>1533</v>
      </c>
      <c r="B43" s="13" t="s">
        <v>2020</v>
      </c>
      <c r="C43" s="219" t="s">
        <v>450</v>
      </c>
      <c r="D43" s="216" t="s">
        <v>285</v>
      </c>
      <c r="E43" s="217" t="s">
        <v>185</v>
      </c>
      <c r="F43" s="217" t="s">
        <v>175</v>
      </c>
      <c r="G43" s="218">
        <v>41117</v>
      </c>
      <c r="H43" s="217" t="s">
        <v>830</v>
      </c>
      <c r="I43" s="217" t="s">
        <v>732</v>
      </c>
      <c r="J43" s="217" t="s">
        <v>157</v>
      </c>
      <c r="K43" s="217" t="s">
        <v>91</v>
      </c>
      <c r="L43" s="220">
        <v>3341658508</v>
      </c>
      <c r="M43" s="206">
        <v>2823131632</v>
      </c>
      <c r="N43" s="206">
        <v>518526876</v>
      </c>
      <c r="O43" s="206">
        <v>1247543929</v>
      </c>
      <c r="P43" s="206">
        <v>94379336</v>
      </c>
      <c r="Q43" s="206">
        <v>30714021</v>
      </c>
      <c r="R43" s="206">
        <v>21213587</v>
      </c>
      <c r="S43" s="207">
        <v>47285840</v>
      </c>
      <c r="T43" s="207">
        <v>1877845</v>
      </c>
      <c r="U43" s="207">
        <v>34493200</v>
      </c>
      <c r="V43" s="207">
        <v>0</v>
      </c>
      <c r="W43" s="207">
        <f>10+7500+5000*2</f>
        <v>17510</v>
      </c>
      <c r="X43" s="207">
        <v>0</v>
      </c>
      <c r="Z43" s="207">
        <v>0</v>
      </c>
      <c r="AA43" s="207">
        <v>0</v>
      </c>
      <c r="AB43" s="176">
        <f t="shared" si="49"/>
        <v>34510710</v>
      </c>
      <c r="AC43" s="177">
        <f t="shared" si="25"/>
        <v>72.983180588522913</v>
      </c>
      <c r="AD43" s="177">
        <f t="shared" si="50"/>
        <v>37.097370032920388</v>
      </c>
      <c r="AE43" s="26">
        <f t="shared" si="65"/>
        <v>1.1129211009876117</v>
      </c>
      <c r="AF43" s="178">
        <f t="shared" si="26"/>
        <v>75.962834298233162</v>
      </c>
      <c r="AG43" s="178">
        <f t="shared" si="27"/>
        <v>76.001395789441929</v>
      </c>
      <c r="AH43" s="178">
        <f t="shared" si="51"/>
        <v>3.8561491208767507E-2</v>
      </c>
      <c r="AI43" s="179">
        <f t="shared" si="52"/>
        <v>100</v>
      </c>
      <c r="AJ43" s="30">
        <f t="shared" si="66"/>
        <v>4</v>
      </c>
      <c r="AK43" s="204">
        <v>5</v>
      </c>
      <c r="AL43" s="204">
        <v>14</v>
      </c>
      <c r="AM43" s="204">
        <v>0</v>
      </c>
      <c r="AN43" s="181">
        <f t="shared" si="2"/>
        <v>19</v>
      </c>
      <c r="AO43" s="182">
        <f t="shared" si="3"/>
        <v>0</v>
      </c>
      <c r="AP43" s="183">
        <f t="shared" si="28"/>
        <v>100</v>
      </c>
      <c r="AQ43" s="38">
        <f t="shared" si="67"/>
        <v>2</v>
      </c>
      <c r="AR43" s="212">
        <v>3</v>
      </c>
      <c r="AS43" s="292">
        <f t="shared" si="5"/>
        <v>0.5</v>
      </c>
      <c r="AT43" s="185">
        <f t="shared" si="29"/>
        <v>2.5</v>
      </c>
      <c r="AU43" s="185">
        <f t="shared" si="30"/>
        <v>2</v>
      </c>
      <c r="AV43" s="186">
        <f t="shared" si="6"/>
        <v>20</v>
      </c>
      <c r="AW43" s="179">
        <f t="shared" si="31"/>
        <v>80</v>
      </c>
      <c r="AX43" s="239">
        <f t="shared" si="68"/>
        <v>0.8</v>
      </c>
      <c r="AY43" s="54">
        <v>12</v>
      </c>
      <c r="AZ43" s="54">
        <f>36-1</f>
        <v>35</v>
      </c>
      <c r="BA43" s="189">
        <f t="shared" si="8"/>
        <v>36</v>
      </c>
      <c r="BB43" s="178">
        <f t="shared" si="32"/>
        <v>97.222222222222214</v>
      </c>
      <c r="BC43" s="179">
        <f t="shared" si="33"/>
        <v>100</v>
      </c>
      <c r="BD43" s="30">
        <f t="shared" si="69"/>
        <v>1</v>
      </c>
      <c r="BE43" s="190">
        <v>49661530</v>
      </c>
      <c r="BF43" s="190">
        <v>4037239</v>
      </c>
      <c r="BG43" s="54">
        <v>659580</v>
      </c>
      <c r="BH43" s="191">
        <f t="shared" si="10"/>
        <v>53698769</v>
      </c>
      <c r="BI43" s="178">
        <f t="shared" si="11"/>
        <v>1.2282963134592528</v>
      </c>
      <c r="BJ43" s="294" t="str">
        <f t="shared" si="34"/>
        <v>비제조/서비스업</v>
      </c>
      <c r="BK43" s="192">
        <f t="shared" si="12"/>
        <v>1.7464434573900924</v>
      </c>
      <c r="BL43" s="193">
        <f t="shared" si="35"/>
        <v>-0.5181471439308396</v>
      </c>
      <c r="BM43" s="241">
        <f t="shared" si="36"/>
        <v>80</v>
      </c>
      <c r="BN43" s="47">
        <f t="shared" si="37"/>
        <v>1.6</v>
      </c>
      <c r="BO43" s="54">
        <v>0</v>
      </c>
      <c r="BP43" s="194">
        <f t="shared" si="38"/>
        <v>0</v>
      </c>
      <c r="BQ43" s="179">
        <f t="shared" si="39"/>
        <v>25</v>
      </c>
      <c r="BR43" s="30">
        <f t="shared" si="70"/>
        <v>0.5</v>
      </c>
      <c r="BS43" s="195">
        <v>22285516.083000001</v>
      </c>
      <c r="BT43" s="195">
        <v>10927.271000000001</v>
      </c>
      <c r="BU43" s="196">
        <f t="shared" si="40"/>
        <v>22274588.811999999</v>
      </c>
      <c r="BV43" s="178">
        <f t="shared" si="14"/>
        <v>1.785475308260668</v>
      </c>
      <c r="BW43" s="192">
        <f t="shared" si="15"/>
        <v>2.8482825397737606</v>
      </c>
      <c r="BX43" s="192">
        <f t="shared" si="41"/>
        <v>1.1295592113565243</v>
      </c>
      <c r="BY43" s="192">
        <f t="shared" si="16"/>
        <v>5.5697595856656799</v>
      </c>
      <c r="BZ43" s="192">
        <f t="shared" si="42"/>
        <v>57.566568530763199</v>
      </c>
      <c r="CA43" s="192">
        <f t="shared" si="17"/>
        <v>55</v>
      </c>
      <c r="CB43" s="55">
        <f t="shared" si="43"/>
        <v>1.1000000000000001</v>
      </c>
      <c r="CC43" s="197">
        <f t="shared" si="71"/>
        <v>544.45232497456891</v>
      </c>
      <c r="CD43" s="198">
        <f t="shared" si="72"/>
        <v>25</v>
      </c>
      <c r="CE43" s="58">
        <f t="shared" si="73"/>
        <v>0.375</v>
      </c>
      <c r="CF43" s="245" t="s">
        <v>2326</v>
      </c>
      <c r="CG43" s="245" t="s">
        <v>2326</v>
      </c>
      <c r="CH43" s="245" t="s">
        <v>2326</v>
      </c>
      <c r="CI43" s="245" t="s">
        <v>2326</v>
      </c>
      <c r="CJ43" s="235"/>
      <c r="CK43" s="173" t="s">
        <v>2485</v>
      </c>
      <c r="CL43" s="173" t="s">
        <v>2482</v>
      </c>
      <c r="CM43" s="199">
        <f t="shared" si="44"/>
        <v>55</v>
      </c>
      <c r="CN43" s="58">
        <f t="shared" si="74"/>
        <v>0.82499999999999996</v>
      </c>
      <c r="CO43" s="54">
        <v>6493000</v>
      </c>
      <c r="CP43" s="186">
        <f t="shared" si="45"/>
        <v>1.2522012455917522</v>
      </c>
      <c r="CQ43" s="179">
        <f t="shared" si="46"/>
        <v>100</v>
      </c>
      <c r="CR43" s="30">
        <f t="shared" si="75"/>
        <v>3</v>
      </c>
      <c r="CS43" s="200">
        <f>_xlfn.XLOOKUP(C43, '1-1. 관계사체무보증금액 (환율 등)'!$3:$3, '1-1. 관계사체무보증금액 (환율 등)'!$33:$33)</f>
        <v>0</v>
      </c>
      <c r="CT43" s="178">
        <f t="shared" si="23"/>
        <v>0</v>
      </c>
      <c r="CU43" s="179">
        <f t="shared" si="47"/>
        <v>100</v>
      </c>
      <c r="CV43" s="30">
        <f t="shared" si="76"/>
        <v>2</v>
      </c>
      <c r="CW43" s="72">
        <f t="shared" si="48"/>
        <v>18.312921100987609</v>
      </c>
    </row>
    <row r="44" spans="1:101" x14ac:dyDescent="0.6">
      <c r="A44" s="214" t="s">
        <v>1534</v>
      </c>
      <c r="B44" s="13" t="s">
        <v>2021</v>
      </c>
      <c r="C44" s="219" t="s">
        <v>1535</v>
      </c>
      <c r="D44" s="14" t="s">
        <v>191</v>
      </c>
      <c r="E44" s="217" t="s">
        <v>1091</v>
      </c>
      <c r="F44" s="217" t="s">
        <v>1536</v>
      </c>
      <c r="G44" s="218">
        <v>44273</v>
      </c>
      <c r="H44" s="217" t="s">
        <v>830</v>
      </c>
      <c r="I44" s="217" t="s">
        <v>1537</v>
      </c>
      <c r="J44" s="217" t="s">
        <v>1538</v>
      </c>
      <c r="K44" s="217" t="s">
        <v>690</v>
      </c>
      <c r="L44" s="220">
        <v>2142189396</v>
      </c>
      <c r="M44" s="206">
        <v>399934106</v>
      </c>
      <c r="N44" s="206">
        <v>1742255291</v>
      </c>
      <c r="O44" s="206">
        <v>456725871</v>
      </c>
      <c r="P44" s="206">
        <v>115378989</v>
      </c>
      <c r="Q44" s="206">
        <v>142097807</v>
      </c>
      <c r="R44" s="206">
        <v>122816574</v>
      </c>
      <c r="S44" s="207">
        <v>76784046</v>
      </c>
      <c r="T44" s="207">
        <v>0</v>
      </c>
      <c r="U44" s="207">
        <v>52350000</v>
      </c>
      <c r="V44" s="207">
        <v>0</v>
      </c>
      <c r="W44" s="207">
        <f>21852*2+1000+10000+7080+3000+8000+6161+13275+6354+7433+1763</f>
        <v>107770</v>
      </c>
      <c r="X44" s="207">
        <v>0</v>
      </c>
      <c r="Z44" s="207">
        <v>0</v>
      </c>
      <c r="AA44" s="207">
        <v>0</v>
      </c>
      <c r="AB44" s="176">
        <f t="shared" si="49"/>
        <v>52457770</v>
      </c>
      <c r="AC44" s="177">
        <f t="shared" si="25"/>
        <v>68.318580138379275</v>
      </c>
      <c r="AD44" s="177">
        <f t="shared" si="50"/>
        <v>41.123204713711786</v>
      </c>
      <c r="AE44" s="26">
        <f t="shared" si="65"/>
        <v>1.2336961414113536</v>
      </c>
      <c r="AF44" s="178">
        <f t="shared" si="26"/>
        <v>68.178225461054765</v>
      </c>
      <c r="AG44" s="178">
        <f t="shared" si="27"/>
        <v>68.318580138379275</v>
      </c>
      <c r="AH44" s="178">
        <f t="shared" si="51"/>
        <v>0.14035467732450968</v>
      </c>
      <c r="AI44" s="179">
        <f t="shared" si="52"/>
        <v>100</v>
      </c>
      <c r="AJ44" s="30">
        <f t="shared" si="66"/>
        <v>4</v>
      </c>
      <c r="AK44" s="204">
        <v>7</v>
      </c>
      <c r="AL44" s="204">
        <v>31</v>
      </c>
      <c r="AM44" s="204">
        <v>0</v>
      </c>
      <c r="AN44" s="181">
        <f t="shared" si="2"/>
        <v>38</v>
      </c>
      <c r="AO44" s="182">
        <f t="shared" si="3"/>
        <v>0</v>
      </c>
      <c r="AP44" s="183">
        <f t="shared" si="28"/>
        <v>100</v>
      </c>
      <c r="AQ44" s="38">
        <f t="shared" si="67"/>
        <v>2</v>
      </c>
      <c r="AR44" s="212">
        <v>4</v>
      </c>
      <c r="AS44" s="292">
        <f t="shared" si="5"/>
        <v>0.5</v>
      </c>
      <c r="AT44" s="185">
        <f t="shared" si="29"/>
        <v>3.5</v>
      </c>
      <c r="AU44" s="185">
        <f t="shared" si="30"/>
        <v>3</v>
      </c>
      <c r="AV44" s="186">
        <f t="shared" si="6"/>
        <v>14.285714285714285</v>
      </c>
      <c r="AW44" s="179">
        <f t="shared" si="31"/>
        <v>60</v>
      </c>
      <c r="AX44" s="239">
        <f t="shared" si="68"/>
        <v>0.6</v>
      </c>
      <c r="AY44" s="54">
        <v>15</v>
      </c>
      <c r="AZ44" s="54">
        <f>15*4-1</f>
        <v>59</v>
      </c>
      <c r="BA44" s="189">
        <f t="shared" si="8"/>
        <v>60</v>
      </c>
      <c r="BB44" s="178">
        <f t="shared" si="32"/>
        <v>98.333333333333329</v>
      </c>
      <c r="BC44" s="179">
        <f t="shared" si="33"/>
        <v>100</v>
      </c>
      <c r="BD44" s="30">
        <f t="shared" si="69"/>
        <v>1</v>
      </c>
      <c r="BE44" s="190">
        <v>27333164</v>
      </c>
      <c r="BF44" s="190">
        <v>2578847</v>
      </c>
      <c r="BG44" s="54">
        <v>597085</v>
      </c>
      <c r="BH44" s="191">
        <f t="shared" si="10"/>
        <v>29912011</v>
      </c>
      <c r="BI44" s="178">
        <f t="shared" si="11"/>
        <v>1.9961379393715788</v>
      </c>
      <c r="BJ44" s="294" t="str">
        <f t="shared" si="34"/>
        <v>식약/섬유/종이업</v>
      </c>
      <c r="BK44" s="192">
        <f t="shared" si="12"/>
        <v>2.1999360555264444</v>
      </c>
      <c r="BL44" s="193">
        <f t="shared" si="35"/>
        <v>-0.20379811615486565</v>
      </c>
      <c r="BM44" s="241">
        <f t="shared" si="36"/>
        <v>80</v>
      </c>
      <c r="BN44" s="47">
        <f t="shared" si="37"/>
        <v>1.6</v>
      </c>
      <c r="BO44" s="54">
        <v>59124000</v>
      </c>
      <c r="BP44" s="194">
        <f t="shared" si="38"/>
        <v>12.94518304175504</v>
      </c>
      <c r="BQ44" s="179">
        <f t="shared" si="39"/>
        <v>100</v>
      </c>
      <c r="BR44" s="30">
        <f t="shared" si="70"/>
        <v>2</v>
      </c>
      <c r="BS44" s="195">
        <v>72235836.024000004</v>
      </c>
      <c r="BT44" s="195">
        <v>34566</v>
      </c>
      <c r="BU44" s="196">
        <f t="shared" si="40"/>
        <v>72201270.024000004</v>
      </c>
      <c r="BV44" s="178">
        <f t="shared" si="14"/>
        <v>15.808447606857815</v>
      </c>
      <c r="BW44" s="192">
        <f t="shared" si="15"/>
        <v>5.0508176117342281</v>
      </c>
      <c r="BX44" s="192">
        <f t="shared" si="41"/>
        <v>115.7266031119827</v>
      </c>
      <c r="BY44" s="192">
        <f t="shared" si="16"/>
        <v>6.9871618081220941</v>
      </c>
      <c r="BZ44" s="192">
        <f t="shared" si="42"/>
        <v>6.182552753625659</v>
      </c>
      <c r="CA44" s="192">
        <f t="shared" si="17"/>
        <v>85</v>
      </c>
      <c r="CB44" s="55">
        <f t="shared" si="43"/>
        <v>1.7</v>
      </c>
      <c r="CC44" s="197">
        <f t="shared" si="71"/>
        <v>22.954965788650316</v>
      </c>
      <c r="CD44" s="198">
        <f t="shared" si="72"/>
        <v>91.72551540628757</v>
      </c>
      <c r="CE44" s="58">
        <f t="shared" si="73"/>
        <v>1.3758827310943136</v>
      </c>
      <c r="CF44" s="245" t="s">
        <v>2326</v>
      </c>
      <c r="CG44" s="245" t="s">
        <v>2326</v>
      </c>
      <c r="CH44" s="245" t="s">
        <v>2326</v>
      </c>
      <c r="CI44" s="245" t="s">
        <v>2326</v>
      </c>
      <c r="CJ44" s="235"/>
      <c r="CK44" s="173" t="s">
        <v>2490</v>
      </c>
      <c r="CL44" s="173" t="s">
        <v>2487</v>
      </c>
      <c r="CM44" s="199">
        <f t="shared" si="44"/>
        <v>70</v>
      </c>
      <c r="CN44" s="58">
        <f t="shared" si="74"/>
        <v>1.05</v>
      </c>
      <c r="CO44" s="54">
        <v>6551000</v>
      </c>
      <c r="CP44" s="186">
        <f t="shared" si="45"/>
        <v>0.37600689369925411</v>
      </c>
      <c r="CQ44" s="179">
        <f t="shared" si="46"/>
        <v>100</v>
      </c>
      <c r="CR44" s="30">
        <f t="shared" si="75"/>
        <v>3</v>
      </c>
      <c r="CS44" s="200">
        <f>_xlfn.XLOOKUP(C44, '1-1. 관계사체무보증금액 (환율 등)'!$3:$3, '1-1. 관계사체무보증금액 (환율 등)'!$33:$33)</f>
        <v>0</v>
      </c>
      <c r="CT44" s="178">
        <f t="shared" si="23"/>
        <v>0</v>
      </c>
      <c r="CU44" s="179">
        <f t="shared" si="47"/>
        <v>100</v>
      </c>
      <c r="CV44" s="30">
        <f t="shared" si="76"/>
        <v>2</v>
      </c>
      <c r="CW44" s="72">
        <f t="shared" si="48"/>
        <v>21.559578872505664</v>
      </c>
    </row>
    <row r="45" spans="1:101" x14ac:dyDescent="0.6">
      <c r="A45" s="214" t="s">
        <v>1539</v>
      </c>
      <c r="B45" s="1" t="s">
        <v>2022</v>
      </c>
      <c r="C45" s="219" t="s">
        <v>1540</v>
      </c>
      <c r="D45" s="14" t="s">
        <v>203</v>
      </c>
      <c r="E45" s="217" t="s">
        <v>187</v>
      </c>
      <c r="F45" s="217" t="s">
        <v>1541</v>
      </c>
      <c r="G45" s="218">
        <v>39288</v>
      </c>
      <c r="H45" s="217" t="s">
        <v>830</v>
      </c>
      <c r="I45" s="217" t="s">
        <v>1542</v>
      </c>
      <c r="J45" s="217" t="s">
        <v>1543</v>
      </c>
      <c r="K45" s="217" t="s">
        <v>91</v>
      </c>
      <c r="L45" s="220">
        <v>19550742827</v>
      </c>
      <c r="M45" s="206">
        <v>3581307796</v>
      </c>
      <c r="N45" s="206">
        <v>15969435031</v>
      </c>
      <c r="O45" s="206">
        <v>1983533544</v>
      </c>
      <c r="P45" s="206">
        <v>611371885</v>
      </c>
      <c r="Q45" s="206">
        <v>602096059</v>
      </c>
      <c r="R45" s="206">
        <v>453183233</v>
      </c>
      <c r="S45" s="207">
        <v>92465564</v>
      </c>
      <c r="T45" s="207">
        <v>8246029</v>
      </c>
      <c r="U45" s="207">
        <v>31223509</v>
      </c>
      <c r="V45" s="207">
        <f>8088</f>
        <v>8088</v>
      </c>
      <c r="W45" s="207">
        <f>2634+583+60+385+463+362+496+188+1515+102+145+102+95+140+135+60+140+60*17+70+943+161+145+167+211+145+140+470+67+262+150+2145+60*5+2694+60*4+1962+60*10+66+277+65+60+140+115+161</f>
        <v>20381</v>
      </c>
      <c r="X45" s="207">
        <v>0</v>
      </c>
      <c r="Z45" s="207">
        <v>0</v>
      </c>
      <c r="AA45" s="207">
        <v>0</v>
      </c>
      <c r="AB45" s="176">
        <f t="shared" si="49"/>
        <v>31251978</v>
      </c>
      <c r="AC45" s="177">
        <f t="shared" si="25"/>
        <v>33.79850470603305</v>
      </c>
      <c r="AD45" s="177">
        <f t="shared" si="50"/>
        <v>70.916135178912796</v>
      </c>
      <c r="AE45" s="26">
        <f t="shared" si="65"/>
        <v>2.1274840553673839</v>
      </c>
      <c r="AF45" s="178">
        <f t="shared" si="26"/>
        <v>37.083554308391754</v>
      </c>
      <c r="AG45" s="178">
        <f t="shared" si="27"/>
        <v>37.10775415703732</v>
      </c>
      <c r="AH45" s="178">
        <f t="shared" si="51"/>
        <v>2.419984864556568E-2</v>
      </c>
      <c r="AI45" s="179">
        <f t="shared" si="52"/>
        <v>100</v>
      </c>
      <c r="AJ45" s="30">
        <f t="shared" si="66"/>
        <v>4</v>
      </c>
      <c r="AK45" s="204">
        <v>7</v>
      </c>
      <c r="AL45" s="204">
        <v>57</v>
      </c>
      <c r="AM45" s="180">
        <v>1</v>
      </c>
      <c r="AN45" s="181">
        <f t="shared" si="2"/>
        <v>64</v>
      </c>
      <c r="AO45" s="182">
        <f t="shared" si="3"/>
        <v>1.5625</v>
      </c>
      <c r="AP45" s="183">
        <f t="shared" si="28"/>
        <v>100</v>
      </c>
      <c r="AQ45" s="38">
        <f t="shared" si="67"/>
        <v>2</v>
      </c>
      <c r="AR45" s="212">
        <v>5</v>
      </c>
      <c r="AS45" s="292">
        <f t="shared" si="5"/>
        <v>0.5</v>
      </c>
      <c r="AT45" s="185">
        <f t="shared" si="29"/>
        <v>3.5</v>
      </c>
      <c r="AU45" s="185">
        <f t="shared" si="30"/>
        <v>3</v>
      </c>
      <c r="AV45" s="186">
        <f t="shared" si="6"/>
        <v>28.571428571428569</v>
      </c>
      <c r="AW45" s="179">
        <f t="shared" si="31"/>
        <v>80</v>
      </c>
      <c r="AX45" s="239">
        <f t="shared" si="68"/>
        <v>0.8</v>
      </c>
      <c r="AY45" s="54">
        <v>14</v>
      </c>
      <c r="AZ45" s="54">
        <f>3*3+5*11-1</f>
        <v>63</v>
      </c>
      <c r="BA45" s="189">
        <f t="shared" si="8"/>
        <v>70</v>
      </c>
      <c r="BB45" s="178">
        <f t="shared" si="32"/>
        <v>90</v>
      </c>
      <c r="BC45" s="179">
        <f t="shared" si="33"/>
        <v>100</v>
      </c>
      <c r="BD45" s="30">
        <f t="shared" si="69"/>
        <v>1</v>
      </c>
      <c r="BE45" s="190">
        <v>58081000</v>
      </c>
      <c r="BF45" s="190">
        <v>10531000</v>
      </c>
      <c r="BG45" s="301">
        <v>0</v>
      </c>
      <c r="BH45" s="191">
        <f t="shared" si="10"/>
        <v>68612000</v>
      </c>
      <c r="BI45" s="178">
        <f t="shared" si="11"/>
        <v>0</v>
      </c>
      <c r="BJ45" s="294" t="str">
        <f t="shared" si="34"/>
        <v>금속/비금속/화학업</v>
      </c>
      <c r="BK45" s="192">
        <f t="shared" si="12"/>
        <v>3.9534118626990464</v>
      </c>
      <c r="BL45" s="193">
        <f t="shared" si="35"/>
        <v>-3.9534118626990464</v>
      </c>
      <c r="BM45" s="241">
        <f t="shared" si="36"/>
        <v>100</v>
      </c>
      <c r="BN45" s="47">
        <f t="shared" si="37"/>
        <v>2</v>
      </c>
      <c r="BO45" s="54">
        <v>417652000</v>
      </c>
      <c r="BP45" s="194">
        <f t="shared" si="38"/>
        <v>21.055958507147889</v>
      </c>
      <c r="BQ45" s="179">
        <f t="shared" si="39"/>
        <v>100</v>
      </c>
      <c r="BR45" s="30">
        <f t="shared" si="70"/>
        <v>2</v>
      </c>
      <c r="BS45" s="195">
        <v>73324482</v>
      </c>
      <c r="BT45" s="195">
        <v>5546272</v>
      </c>
      <c r="BU45" s="196">
        <f t="shared" si="40"/>
        <v>67778210</v>
      </c>
      <c r="BV45" s="178">
        <f t="shared" si="14"/>
        <v>3.417043800697126</v>
      </c>
      <c r="BW45" s="192">
        <f t="shared" si="15"/>
        <v>5.1474158565187729</v>
      </c>
      <c r="BX45" s="192">
        <f t="shared" si="41"/>
        <v>2.9941874515684326</v>
      </c>
      <c r="BY45" s="192">
        <f t="shared" si="16"/>
        <v>6.6930498535228526</v>
      </c>
      <c r="BZ45" s="192">
        <f t="shared" si="42"/>
        <v>60.200208105021446</v>
      </c>
      <c r="CA45" s="192">
        <f t="shared" si="17"/>
        <v>40</v>
      </c>
      <c r="CB45" s="55">
        <f t="shared" si="43"/>
        <v>0.8</v>
      </c>
      <c r="CC45" s="197">
        <f t="shared" si="71"/>
        <v>22.426014377139428</v>
      </c>
      <c r="CD45" s="198">
        <f t="shared" si="72"/>
        <v>91.924868953339413</v>
      </c>
      <c r="CE45" s="58">
        <f t="shared" si="73"/>
        <v>1.3788730343000912</v>
      </c>
      <c r="CF45" s="245" t="s">
        <v>2326</v>
      </c>
      <c r="CG45" s="245" t="s">
        <v>2326</v>
      </c>
      <c r="CH45" s="245" t="s">
        <v>2326</v>
      </c>
      <c r="CI45" s="245" t="s">
        <v>2326</v>
      </c>
      <c r="CJ45" s="235"/>
      <c r="CK45" s="173" t="s">
        <v>2476</v>
      </c>
      <c r="CL45" s="173" t="s">
        <v>2477</v>
      </c>
      <c r="CM45" s="199">
        <f t="shared" si="44"/>
        <v>85</v>
      </c>
      <c r="CN45" s="58">
        <f t="shared" si="74"/>
        <v>1.2749999999999999</v>
      </c>
      <c r="CO45" s="54">
        <v>9645044000</v>
      </c>
      <c r="CP45" s="186">
        <f t="shared" si="45"/>
        <v>60.396901839526315</v>
      </c>
      <c r="CQ45" s="179">
        <f t="shared" si="46"/>
        <v>40</v>
      </c>
      <c r="CR45" s="30">
        <f t="shared" si="75"/>
        <v>1.2</v>
      </c>
      <c r="CS45" s="200">
        <f>_xlfn.XLOOKUP(C45, '1-1. 관계사체무보증금액 (환율 등)'!$3:$3, '1-1. 관계사체무보증금액 (환율 등)'!$33:$33)</f>
        <v>17638812000</v>
      </c>
      <c r="CT45" s="178">
        <f t="shared" si="23"/>
        <v>110.45357563219606</v>
      </c>
      <c r="CU45" s="179">
        <f t="shared" si="47"/>
        <v>20</v>
      </c>
      <c r="CV45" s="30">
        <f t="shared" si="76"/>
        <v>0.4</v>
      </c>
      <c r="CW45" s="72">
        <f t="shared" si="48"/>
        <v>18.981357089667473</v>
      </c>
    </row>
    <row r="46" spans="1:101" x14ac:dyDescent="0.6">
      <c r="A46" s="214" t="s">
        <v>1544</v>
      </c>
      <c r="B46" s="13" t="s">
        <v>2023</v>
      </c>
      <c r="C46" s="219" t="s">
        <v>543</v>
      </c>
      <c r="D46" s="221" t="s">
        <v>350</v>
      </c>
      <c r="E46" s="217" t="s">
        <v>179</v>
      </c>
      <c r="F46" s="217" t="s">
        <v>199</v>
      </c>
      <c r="G46" s="218">
        <v>31675</v>
      </c>
      <c r="H46" s="217" t="s">
        <v>830</v>
      </c>
      <c r="I46" s="217" t="s">
        <v>1545</v>
      </c>
      <c r="J46" s="217" t="s">
        <v>1035</v>
      </c>
      <c r="K46" s="217" t="s">
        <v>91</v>
      </c>
      <c r="L46" s="220">
        <v>5612706908</v>
      </c>
      <c r="M46" s="206">
        <v>5005166436</v>
      </c>
      <c r="N46" s="206">
        <v>607540471</v>
      </c>
      <c r="O46" s="206">
        <v>1137658845</v>
      </c>
      <c r="P46" s="206">
        <v>12048913</v>
      </c>
      <c r="Q46" s="206">
        <v>5565314</v>
      </c>
      <c r="R46" s="206">
        <v>4440548</v>
      </c>
      <c r="S46" s="207">
        <v>472590171</v>
      </c>
      <c r="T46" s="207">
        <v>58683968</v>
      </c>
      <c r="U46" s="207">
        <v>92609439</v>
      </c>
      <c r="V46" s="207">
        <v>0</v>
      </c>
      <c r="W46" s="207">
        <f>16548+240+238+176+228+204+217+2000+176+43770</f>
        <v>63797</v>
      </c>
      <c r="X46" s="207">
        <v>0</v>
      </c>
      <c r="Z46" s="207">
        <v>0</v>
      </c>
      <c r="AA46" s="207">
        <v>0</v>
      </c>
      <c r="AB46" s="176">
        <f t="shared" si="49"/>
        <v>92673236</v>
      </c>
      <c r="AC46" s="177">
        <f t="shared" si="25"/>
        <v>19.609641013883888</v>
      </c>
      <c r="AD46" s="177">
        <f t="shared" si="50"/>
        <v>83.16198991897248</v>
      </c>
      <c r="AE46" s="60">
        <f>AD46*0.04</f>
        <v>3.3264795967588991</v>
      </c>
      <c r="AF46" s="178">
        <f t="shared" si="26"/>
        <v>22.37449893931645</v>
      </c>
      <c r="AG46" s="178">
        <f t="shared" si="27"/>
        <v>22.389912334800162</v>
      </c>
      <c r="AH46" s="178">
        <f t="shared" si="51"/>
        <v>1.5413395483712122E-2</v>
      </c>
      <c r="AI46" s="179">
        <f t="shared" si="52"/>
        <v>100</v>
      </c>
      <c r="AJ46" s="61">
        <f>AI46*0.05</f>
        <v>5</v>
      </c>
      <c r="AK46" s="204">
        <v>8</v>
      </c>
      <c r="AL46" s="204">
        <v>98</v>
      </c>
      <c r="AM46" s="204">
        <v>0</v>
      </c>
      <c r="AN46" s="181">
        <f t="shared" si="2"/>
        <v>106</v>
      </c>
      <c r="AO46" s="182">
        <f t="shared" si="3"/>
        <v>0</v>
      </c>
      <c r="AP46" s="183">
        <f t="shared" si="28"/>
        <v>100</v>
      </c>
      <c r="AQ46" s="62">
        <f>AP46*0.03</f>
        <v>3</v>
      </c>
      <c r="AR46" s="212">
        <v>5</v>
      </c>
      <c r="AS46" s="292">
        <f t="shared" si="5"/>
        <v>0.5</v>
      </c>
      <c r="AT46" s="185">
        <f t="shared" si="29"/>
        <v>4</v>
      </c>
      <c r="AU46" s="185">
        <f t="shared" si="30"/>
        <v>4</v>
      </c>
      <c r="AV46" s="186">
        <f t="shared" si="6"/>
        <v>12.5</v>
      </c>
      <c r="AW46" s="179">
        <f t="shared" si="31"/>
        <v>60</v>
      </c>
      <c r="AX46" s="240">
        <f>AW46*0.02</f>
        <v>1.2</v>
      </c>
      <c r="AY46" s="54">
        <v>9</v>
      </c>
      <c r="AZ46" s="54">
        <v>45</v>
      </c>
      <c r="BA46" s="189">
        <f t="shared" si="8"/>
        <v>45</v>
      </c>
      <c r="BB46" s="178">
        <f t="shared" si="32"/>
        <v>100</v>
      </c>
      <c r="BC46" s="179">
        <f t="shared" si="33"/>
        <v>100</v>
      </c>
      <c r="BD46" s="61">
        <f>BC46*0.02</f>
        <v>2</v>
      </c>
      <c r="BE46" s="190">
        <v>105515000</v>
      </c>
      <c r="BF46" s="190">
        <v>11294000</v>
      </c>
      <c r="BG46" s="54">
        <v>7385000</v>
      </c>
      <c r="BH46" s="191">
        <f t="shared" si="10"/>
        <v>116809000</v>
      </c>
      <c r="BI46" s="178">
        <f t="shared" si="11"/>
        <v>6.3222868100916889</v>
      </c>
      <c r="BJ46" s="294" t="str">
        <f t="shared" si="34"/>
        <v>금융업</v>
      </c>
      <c r="BK46" s="192">
        <f t="shared" si="12"/>
        <v>2.7106886075318837</v>
      </c>
      <c r="BL46" s="193">
        <f t="shared" si="35"/>
        <v>3.6115982025598052</v>
      </c>
      <c r="BM46" s="241">
        <f t="shared" si="36"/>
        <v>40</v>
      </c>
      <c r="BN46" s="47">
        <f t="shared" si="37"/>
        <v>0.8</v>
      </c>
      <c r="BO46" s="54">
        <v>0</v>
      </c>
      <c r="BP46" s="194">
        <f t="shared" si="38"/>
        <v>0</v>
      </c>
      <c r="BQ46" s="179">
        <f t="shared" si="39"/>
        <v>25</v>
      </c>
      <c r="BR46" s="61">
        <f>BQ46*0.01</f>
        <v>0.25</v>
      </c>
      <c r="BS46" s="195">
        <v>7734953.2489999998</v>
      </c>
      <c r="BT46" s="195">
        <v>27948.984</v>
      </c>
      <c r="BU46" s="196">
        <f t="shared" si="40"/>
        <v>7707004.2649999997</v>
      </c>
      <c r="BV46" s="178">
        <f t="shared" si="14"/>
        <v>0.67744423549047339</v>
      </c>
      <c r="BW46" s="192">
        <f t="shared" si="15"/>
        <v>0.39407896396795111</v>
      </c>
      <c r="BX46" s="192">
        <f t="shared" si="41"/>
        <v>8.0295877105032776E-2</v>
      </c>
      <c r="BY46" s="192">
        <f t="shared" si="16"/>
        <v>1.5698937849002934</v>
      </c>
      <c r="BZ46" s="192">
        <f t="shared" si="42"/>
        <v>42.838016636844458</v>
      </c>
      <c r="CA46" s="192">
        <f t="shared" si="17"/>
        <v>55</v>
      </c>
      <c r="CB46" s="55">
        <f t="shared" si="43"/>
        <v>1.1000000000000001</v>
      </c>
      <c r="CC46" s="242" t="s">
        <v>1273</v>
      </c>
      <c r="CD46" s="243" t="s">
        <v>1273</v>
      </c>
      <c r="CE46" s="244"/>
      <c r="CF46" s="295" t="s">
        <v>2379</v>
      </c>
      <c r="CG46" s="210">
        <v>4.41</v>
      </c>
      <c r="CH46" s="295" t="s">
        <v>2379</v>
      </c>
      <c r="CI46" s="188">
        <f>IF((100-(75*(CG46-1)/9))&gt;100,100,IF((100-(75*(CG46-1)/9))&lt;25,25,(100-(75*(CG46-1)/9))))</f>
        <v>71.583333333333329</v>
      </c>
      <c r="CJ46" s="63">
        <f>CI46*0.04</f>
        <v>2.8633333333333333</v>
      </c>
      <c r="CK46" s="173" t="s">
        <v>2497</v>
      </c>
      <c r="CL46" s="173" t="s">
        <v>2482</v>
      </c>
      <c r="CM46" s="199">
        <f t="shared" si="44"/>
        <v>55</v>
      </c>
      <c r="CN46" s="65">
        <f>CM46*0.03</f>
        <v>1.65</v>
      </c>
      <c r="CO46" s="54">
        <v>264955000</v>
      </c>
      <c r="CP46" s="186">
        <f t="shared" si="45"/>
        <v>43.611086445630384</v>
      </c>
      <c r="CQ46" s="179">
        <f t="shared" si="46"/>
        <v>40</v>
      </c>
      <c r="CR46" s="61">
        <f>CQ46*0.04</f>
        <v>1.6</v>
      </c>
      <c r="CS46" s="200">
        <f>_xlfn.XLOOKUP(C46, '1-1. 관계사체무보증금액 (환율 등)'!$3:$3, '1-1. 관계사체무보증금액 (환율 등)'!$33:$33)</f>
        <v>0</v>
      </c>
      <c r="CT46" s="178">
        <f t="shared" si="23"/>
        <v>0</v>
      </c>
      <c r="CU46" s="179">
        <f t="shared" si="47"/>
        <v>100</v>
      </c>
      <c r="CV46" s="70">
        <f>CU46*0.03</f>
        <v>3</v>
      </c>
      <c r="CW46" s="72">
        <f t="shared" si="48"/>
        <v>25.789812930092232</v>
      </c>
    </row>
    <row r="47" spans="1:101" x14ac:dyDescent="0.6">
      <c r="A47" s="214" t="s">
        <v>1546</v>
      </c>
      <c r="B47" s="13" t="s">
        <v>2024</v>
      </c>
      <c r="C47" s="219" t="s">
        <v>1547</v>
      </c>
      <c r="D47" s="14" t="s">
        <v>203</v>
      </c>
      <c r="E47" s="217" t="s">
        <v>1548</v>
      </c>
      <c r="F47" s="217" t="s">
        <v>1549</v>
      </c>
      <c r="G47" s="218">
        <v>43105</v>
      </c>
      <c r="H47" s="217" t="s">
        <v>830</v>
      </c>
      <c r="I47" s="217" t="s">
        <v>1550</v>
      </c>
      <c r="J47" s="217" t="s">
        <v>1551</v>
      </c>
      <c r="K47" s="217" t="s">
        <v>690</v>
      </c>
      <c r="L47" s="220">
        <v>1810477193</v>
      </c>
      <c r="M47" s="206">
        <v>690879147</v>
      </c>
      <c r="N47" s="206">
        <v>1119598046</v>
      </c>
      <c r="O47" s="206">
        <v>1256030179</v>
      </c>
      <c r="P47" s="206">
        <v>107526937</v>
      </c>
      <c r="Q47" s="206">
        <v>88400704</v>
      </c>
      <c r="R47" s="206">
        <v>69270430</v>
      </c>
      <c r="S47" s="207">
        <v>17253783</v>
      </c>
      <c r="T47" s="207">
        <v>30857</v>
      </c>
      <c r="U47" s="207">
        <v>7056899</v>
      </c>
      <c r="V47" s="207">
        <f>12177+37359+62389</f>
        <v>111925</v>
      </c>
      <c r="W47" s="207">
        <f>3000+775+1164+1024+477+90+17+317+327</f>
        <v>7191</v>
      </c>
      <c r="X47" s="207">
        <v>186808</v>
      </c>
      <c r="Y47" s="208" t="s">
        <v>2410</v>
      </c>
      <c r="Z47" s="207">
        <v>0</v>
      </c>
      <c r="AA47" s="207">
        <v>0</v>
      </c>
      <c r="AB47" s="176">
        <f t="shared" si="49"/>
        <v>7362823</v>
      </c>
      <c r="AC47" s="177">
        <f t="shared" si="25"/>
        <v>42.673673361951984</v>
      </c>
      <c r="AD47" s="177">
        <f t="shared" si="50"/>
        <v>63.256323335484481</v>
      </c>
      <c r="AE47" s="26">
        <f t="shared" ref="AE47:AE62" si="77">AD47*0.03</f>
        <v>1.8976897000645343</v>
      </c>
      <c r="AF47" s="178">
        <f t="shared" si="26"/>
        <v>41.623728743884755</v>
      </c>
      <c r="AG47" s="178">
        <f t="shared" si="27"/>
        <v>42.750128520554519</v>
      </c>
      <c r="AH47" s="178">
        <f t="shared" si="51"/>
        <v>1.1263997766697642</v>
      </c>
      <c r="AI47" s="179">
        <f t="shared" si="52"/>
        <v>100</v>
      </c>
      <c r="AJ47" s="30">
        <f t="shared" ref="AJ47:AJ62" si="78">AI47*0.04</f>
        <v>4</v>
      </c>
      <c r="AK47" s="204">
        <v>7</v>
      </c>
      <c r="AL47" s="204">
        <v>26</v>
      </c>
      <c r="AM47" s="204">
        <v>0</v>
      </c>
      <c r="AN47" s="181">
        <f t="shared" si="2"/>
        <v>33</v>
      </c>
      <c r="AO47" s="182">
        <f t="shared" si="3"/>
        <v>0</v>
      </c>
      <c r="AP47" s="183">
        <f t="shared" si="28"/>
        <v>100</v>
      </c>
      <c r="AQ47" s="38">
        <f t="shared" ref="AQ47:AQ62" si="79">AP47*0.02</f>
        <v>2</v>
      </c>
      <c r="AR47" s="212">
        <v>4</v>
      </c>
      <c r="AS47" s="292">
        <f t="shared" si="5"/>
        <v>0.25</v>
      </c>
      <c r="AT47" s="185">
        <f t="shared" si="29"/>
        <v>1.75</v>
      </c>
      <c r="AU47" s="185">
        <f t="shared" si="30"/>
        <v>1</v>
      </c>
      <c r="AV47" s="186">
        <f t="shared" si="6"/>
        <v>42.857142857142854</v>
      </c>
      <c r="AW47" s="179">
        <f t="shared" si="31"/>
        <v>100</v>
      </c>
      <c r="AX47" s="239">
        <f t="shared" ref="AX47:AX62" si="80">AW47*0.01</f>
        <v>1</v>
      </c>
      <c r="AY47" s="54">
        <v>16</v>
      </c>
      <c r="AZ47" s="54">
        <f>16*4</f>
        <v>64</v>
      </c>
      <c r="BA47" s="189">
        <f t="shared" si="8"/>
        <v>64</v>
      </c>
      <c r="BB47" s="178">
        <f t="shared" si="32"/>
        <v>100</v>
      </c>
      <c r="BC47" s="179">
        <f t="shared" si="33"/>
        <v>100</v>
      </c>
      <c r="BD47" s="30">
        <f t="shared" ref="BD47:BD62" si="81">BC47*0.01</f>
        <v>1</v>
      </c>
      <c r="BE47" s="190">
        <v>60629194</v>
      </c>
      <c r="BF47" s="190">
        <v>4824961</v>
      </c>
      <c r="BG47" s="54">
        <v>1093949</v>
      </c>
      <c r="BH47" s="191">
        <f t="shared" si="10"/>
        <v>65454155</v>
      </c>
      <c r="BI47" s="178">
        <f t="shared" si="11"/>
        <v>1.6713209421158979</v>
      </c>
      <c r="BJ47" s="294" t="str">
        <f t="shared" si="34"/>
        <v>금속/비금속/화학업</v>
      </c>
      <c r="BK47" s="192">
        <f t="shared" si="12"/>
        <v>3.9534118626990464</v>
      </c>
      <c r="BL47" s="193">
        <f t="shared" si="35"/>
        <v>-2.2820909205831486</v>
      </c>
      <c r="BM47" s="241">
        <f t="shared" si="36"/>
        <v>100</v>
      </c>
      <c r="BN47" s="47">
        <f t="shared" si="37"/>
        <v>2</v>
      </c>
      <c r="BO47" s="54">
        <v>42267000</v>
      </c>
      <c r="BP47" s="194">
        <f t="shared" si="38"/>
        <v>3.3651261495684177</v>
      </c>
      <c r="BQ47" s="179">
        <f t="shared" si="39"/>
        <v>85</v>
      </c>
      <c r="BR47" s="30">
        <f t="shared" ref="BR47:BR62" si="82">BQ47*0.02</f>
        <v>1.7</v>
      </c>
      <c r="BS47" s="195">
        <v>61770720.064999998</v>
      </c>
      <c r="BT47" s="195">
        <v>1306234.469</v>
      </c>
      <c r="BU47" s="196">
        <f t="shared" si="40"/>
        <v>60464485.596000001</v>
      </c>
      <c r="BV47" s="178">
        <f t="shared" si="14"/>
        <v>4.8139357323515393</v>
      </c>
      <c r="BW47" s="192">
        <f t="shared" si="15"/>
        <v>5.1474158565187729</v>
      </c>
      <c r="BX47" s="192">
        <f t="shared" si="41"/>
        <v>0.11120899321459354</v>
      </c>
      <c r="BY47" s="192">
        <f t="shared" si="16"/>
        <v>6.6930498535228526</v>
      </c>
      <c r="BZ47" s="192">
        <f t="shared" si="42"/>
        <v>51.986901326983535</v>
      </c>
      <c r="CA47" s="192">
        <f t="shared" si="17"/>
        <v>55</v>
      </c>
      <c r="CB47" s="55">
        <f t="shared" si="43"/>
        <v>1.1000000000000001</v>
      </c>
      <c r="CC47" s="197">
        <f t="shared" ref="CC47:CC62" si="83">(M47/N47)*100</f>
        <v>61.707784277429866</v>
      </c>
      <c r="CD47" s="198">
        <f t="shared" ref="CD47:CD62" si="84">IF((100-(75*(CC47-1)/(200-1)))&gt;100, 100, IF((100-(75*(CC47-1)/(200-1)))&lt;25, 25, (100-(75*(CC47-1)/(200-1)))))</f>
        <v>77.120181804988746</v>
      </c>
      <c r="CE47" s="58">
        <f t="shared" ref="CE47:CE62" si="85">CD47*0.015</f>
        <v>1.1568027270748311</v>
      </c>
      <c r="CF47" s="245" t="s">
        <v>2326</v>
      </c>
      <c r="CG47" s="245" t="s">
        <v>2326</v>
      </c>
      <c r="CH47" s="245" t="s">
        <v>2326</v>
      </c>
      <c r="CI47" s="245" t="s">
        <v>2326</v>
      </c>
      <c r="CJ47" s="235"/>
      <c r="CK47" s="173" t="s">
        <v>2490</v>
      </c>
      <c r="CL47" s="173" t="s">
        <v>2487</v>
      </c>
      <c r="CM47" s="199">
        <f t="shared" si="44"/>
        <v>70</v>
      </c>
      <c r="CN47" s="58">
        <f t="shared" ref="CN47:CN62" si="86">CM47*0.015</f>
        <v>1.05</v>
      </c>
      <c r="CO47" s="54">
        <f>439018000-3369000-1000000-1500000-3000000-2712000-25128000-7700000-4892000</f>
        <v>389717000</v>
      </c>
      <c r="CP47" s="186">
        <f t="shared" si="45"/>
        <v>34.808653104776852</v>
      </c>
      <c r="CQ47" s="179">
        <f t="shared" si="46"/>
        <v>60</v>
      </c>
      <c r="CR47" s="30">
        <f t="shared" ref="CR47:CR62" si="87">CQ47*0.03</f>
        <v>1.7999999999999998</v>
      </c>
      <c r="CS47" s="200">
        <f>_xlfn.XLOOKUP(C47, '1-1. 관계사체무보증금액 (환율 등)'!$3:$3, '1-1. 관계사체무보증금액 (환율 등)'!$33:$33)</f>
        <v>48642504.027617946</v>
      </c>
      <c r="CT47" s="178">
        <f t="shared" si="23"/>
        <v>4.3446399537229938</v>
      </c>
      <c r="CU47" s="179">
        <f t="shared" si="47"/>
        <v>80</v>
      </c>
      <c r="CV47" s="30">
        <f t="shared" ref="CV47:CV62" si="88">CU47*0.02</f>
        <v>1.6</v>
      </c>
      <c r="CW47" s="72">
        <f t="shared" si="48"/>
        <v>20.304492427139365</v>
      </c>
    </row>
    <row r="48" spans="1:101" x14ac:dyDescent="0.6">
      <c r="A48" s="214" t="s">
        <v>1552</v>
      </c>
      <c r="B48" s="13" t="s">
        <v>2025</v>
      </c>
      <c r="C48" s="219" t="s">
        <v>1553</v>
      </c>
      <c r="D48" s="14" t="s">
        <v>285</v>
      </c>
      <c r="E48" s="217" t="s">
        <v>56</v>
      </c>
      <c r="F48" s="217" t="s">
        <v>1554</v>
      </c>
      <c r="G48" s="218">
        <v>32819</v>
      </c>
      <c r="H48" s="217" t="s">
        <v>830</v>
      </c>
      <c r="I48" s="217" t="s">
        <v>1555</v>
      </c>
      <c r="J48" s="217" t="s">
        <v>1556</v>
      </c>
      <c r="K48" s="217" t="s">
        <v>91</v>
      </c>
      <c r="L48" s="220">
        <v>26432121000</v>
      </c>
      <c r="M48" s="206">
        <v>16048739000</v>
      </c>
      <c r="N48" s="206">
        <v>10383382000</v>
      </c>
      <c r="O48" s="206">
        <v>12414588000</v>
      </c>
      <c r="P48" s="206">
        <v>1321131000</v>
      </c>
      <c r="Q48" s="206">
        <v>1146250000</v>
      </c>
      <c r="R48" s="206">
        <v>869490000</v>
      </c>
      <c r="S48" s="207">
        <v>218833144</v>
      </c>
      <c r="T48" s="207">
        <v>801091</v>
      </c>
      <c r="U48" s="207">
        <f>65668397+303</f>
        <v>65668700</v>
      </c>
      <c r="V48" s="207">
        <v>0</v>
      </c>
      <c r="W48" s="207">
        <f>762+21530+7340+1711+1447*4+455+2733+3484</f>
        <v>43803</v>
      </c>
      <c r="X48" s="207">
        <v>0</v>
      </c>
      <c r="Z48" s="207">
        <v>0</v>
      </c>
      <c r="AA48" s="207">
        <v>0</v>
      </c>
      <c r="AB48" s="176">
        <f t="shared" si="49"/>
        <v>65712503</v>
      </c>
      <c r="AC48" s="177">
        <f t="shared" si="25"/>
        <v>30.02858789982929</v>
      </c>
      <c r="AD48" s="177">
        <f t="shared" si="50"/>
        <v>74.169803308547799</v>
      </c>
      <c r="AE48" s="26">
        <f t="shared" si="77"/>
        <v>2.2250940992564341</v>
      </c>
      <c r="AF48" s="178">
        <f t="shared" si="26"/>
        <v>30.118828445834062</v>
      </c>
      <c r="AG48" s="178">
        <f t="shared" si="27"/>
        <v>30.138918611200712</v>
      </c>
      <c r="AH48" s="178">
        <f t="shared" si="51"/>
        <v>2.009016536664987E-2</v>
      </c>
      <c r="AI48" s="179">
        <f t="shared" si="52"/>
        <v>100</v>
      </c>
      <c r="AJ48" s="30">
        <f t="shared" si="78"/>
        <v>4</v>
      </c>
      <c r="AK48" s="204">
        <v>8</v>
      </c>
      <c r="AL48" s="204">
        <v>99</v>
      </c>
      <c r="AM48" s="180">
        <v>1</v>
      </c>
      <c r="AN48" s="181">
        <f t="shared" si="2"/>
        <v>107</v>
      </c>
      <c r="AO48" s="182">
        <f t="shared" si="3"/>
        <v>0.93457943925233633</v>
      </c>
      <c r="AP48" s="183">
        <f t="shared" si="28"/>
        <v>100</v>
      </c>
      <c r="AQ48" s="38">
        <f t="shared" si="79"/>
        <v>2</v>
      </c>
      <c r="AR48" s="212">
        <v>5</v>
      </c>
      <c r="AS48" s="292">
        <f t="shared" si="5"/>
        <v>0.5</v>
      </c>
      <c r="AT48" s="185">
        <f t="shared" si="29"/>
        <v>4</v>
      </c>
      <c r="AU48" s="185">
        <f t="shared" si="30"/>
        <v>4</v>
      </c>
      <c r="AV48" s="186">
        <f t="shared" si="6"/>
        <v>12.5</v>
      </c>
      <c r="AW48" s="179">
        <f t="shared" si="31"/>
        <v>60</v>
      </c>
      <c r="AX48" s="239">
        <f t="shared" si="80"/>
        <v>0.6</v>
      </c>
      <c r="AY48" s="54">
        <v>13</v>
      </c>
      <c r="AZ48" s="54">
        <f>13*5</f>
        <v>65</v>
      </c>
      <c r="BA48" s="189">
        <f t="shared" si="8"/>
        <v>65</v>
      </c>
      <c r="BB48" s="178">
        <f t="shared" si="32"/>
        <v>100</v>
      </c>
      <c r="BC48" s="179">
        <f t="shared" si="33"/>
        <v>100</v>
      </c>
      <c r="BD48" s="30">
        <f t="shared" si="81"/>
        <v>1</v>
      </c>
      <c r="BE48" s="190">
        <v>992964000</v>
      </c>
      <c r="BF48" s="190">
        <v>28932000</v>
      </c>
      <c r="BG48" s="301">
        <v>0</v>
      </c>
      <c r="BH48" s="191">
        <f t="shared" si="10"/>
        <v>1021896000</v>
      </c>
      <c r="BI48" s="178">
        <f t="shared" si="11"/>
        <v>0</v>
      </c>
      <c r="BJ48" s="294" t="str">
        <f t="shared" si="34"/>
        <v>비제조/서비스업</v>
      </c>
      <c r="BK48" s="192">
        <f t="shared" si="12"/>
        <v>1.7464434573900924</v>
      </c>
      <c r="BL48" s="193">
        <f t="shared" si="35"/>
        <v>-1.7464434573900924</v>
      </c>
      <c r="BM48" s="241">
        <f t="shared" si="36"/>
        <v>80</v>
      </c>
      <c r="BN48" s="47">
        <f t="shared" si="37"/>
        <v>1.6</v>
      </c>
      <c r="BO48" s="54">
        <v>374360000</v>
      </c>
      <c r="BP48" s="194">
        <f t="shared" si="38"/>
        <v>3.0154846862417024</v>
      </c>
      <c r="BQ48" s="179">
        <f t="shared" si="39"/>
        <v>85</v>
      </c>
      <c r="BR48" s="30">
        <f t="shared" si="82"/>
        <v>1.7</v>
      </c>
      <c r="BS48" s="195">
        <v>2074860000</v>
      </c>
      <c r="BT48" s="195">
        <v>12795000</v>
      </c>
      <c r="BU48" s="196">
        <f t="shared" si="40"/>
        <v>2062065000</v>
      </c>
      <c r="BV48" s="178">
        <f t="shared" si="14"/>
        <v>16.610015572002872</v>
      </c>
      <c r="BW48" s="192">
        <f t="shared" si="15"/>
        <v>2.8482825397737606</v>
      </c>
      <c r="BX48" s="192">
        <f t="shared" si="41"/>
        <v>189.38529605034586</v>
      </c>
      <c r="BY48" s="192">
        <f t="shared" si="16"/>
        <v>5.5697595856656799</v>
      </c>
      <c r="BZ48" s="192">
        <f t="shared" si="42"/>
        <v>0.67406575162560767</v>
      </c>
      <c r="CA48" s="192">
        <f t="shared" si="17"/>
        <v>100</v>
      </c>
      <c r="CB48" s="55">
        <f t="shared" si="43"/>
        <v>2</v>
      </c>
      <c r="CC48" s="197">
        <f t="shared" si="83"/>
        <v>154.5617699512548</v>
      </c>
      <c r="CD48" s="198">
        <f t="shared" si="84"/>
        <v>42.12496107364769</v>
      </c>
      <c r="CE48" s="58">
        <f t="shared" si="85"/>
        <v>0.63187441610471529</v>
      </c>
      <c r="CF48" s="245" t="s">
        <v>2326</v>
      </c>
      <c r="CG48" s="245" t="s">
        <v>2326</v>
      </c>
      <c r="CH48" s="245" t="s">
        <v>2326</v>
      </c>
      <c r="CI48" s="245" t="s">
        <v>2326</v>
      </c>
      <c r="CJ48" s="235"/>
      <c r="CK48" s="173" t="s">
        <v>2498</v>
      </c>
      <c r="CL48" s="173" t="s">
        <v>2484</v>
      </c>
      <c r="CM48" s="199">
        <f t="shared" si="44"/>
        <v>100</v>
      </c>
      <c r="CN48" s="58">
        <f t="shared" si="86"/>
        <v>1.5</v>
      </c>
      <c r="CO48" s="54">
        <v>3786536000</v>
      </c>
      <c r="CP48" s="186">
        <f t="shared" si="45"/>
        <v>36.467270490481809</v>
      </c>
      <c r="CQ48" s="179">
        <f t="shared" si="46"/>
        <v>40</v>
      </c>
      <c r="CR48" s="30">
        <f t="shared" si="87"/>
        <v>1.2</v>
      </c>
      <c r="CS48" s="200">
        <f>_xlfn.XLOOKUP(C48, '1-1. 관계사체무보증금액 (환율 등)'!$3:$3, '1-1. 관계사체무보증금액 (환율 등)'!$33:$33)</f>
        <v>38705000</v>
      </c>
      <c r="CT48" s="178">
        <f t="shared" si="23"/>
        <v>0.372759087549702</v>
      </c>
      <c r="CU48" s="179">
        <f t="shared" si="47"/>
        <v>100</v>
      </c>
      <c r="CV48" s="30">
        <f t="shared" si="88"/>
        <v>2</v>
      </c>
      <c r="CW48" s="72">
        <f t="shared" si="48"/>
        <v>20.456968515361147</v>
      </c>
    </row>
    <row r="49" spans="1:101" x14ac:dyDescent="0.6">
      <c r="A49" s="214" t="s">
        <v>479</v>
      </c>
      <c r="B49" s="13" t="s">
        <v>2026</v>
      </c>
      <c r="C49" s="219" t="s">
        <v>907</v>
      </c>
      <c r="D49" s="216" t="s">
        <v>202</v>
      </c>
      <c r="E49" s="217" t="s">
        <v>950</v>
      </c>
      <c r="F49" s="217" t="s">
        <v>961</v>
      </c>
      <c r="G49" s="218">
        <v>35425</v>
      </c>
      <c r="H49" s="217" t="s">
        <v>830</v>
      </c>
      <c r="I49" s="217" t="s">
        <v>616</v>
      </c>
      <c r="J49" s="217" t="s">
        <v>1041</v>
      </c>
      <c r="K49" s="217" t="s">
        <v>690</v>
      </c>
      <c r="L49" s="220">
        <v>91800233000</v>
      </c>
      <c r="M49" s="206">
        <v>31637411000</v>
      </c>
      <c r="N49" s="206">
        <v>60162822000</v>
      </c>
      <c r="O49" s="206">
        <v>37878699000</v>
      </c>
      <c r="P49" s="206">
        <v>7660947000</v>
      </c>
      <c r="Q49" s="206">
        <v>4467040000</v>
      </c>
      <c r="R49" s="206">
        <v>2790457000</v>
      </c>
      <c r="S49" s="207">
        <v>728002365</v>
      </c>
      <c r="T49" s="207">
        <v>40351325</v>
      </c>
      <c r="U49" s="207">
        <v>146100000</v>
      </c>
      <c r="V49" s="207">
        <v>0</v>
      </c>
      <c r="W49" s="207">
        <f>18023+2211+1000+920+785+650+785+650*2</f>
        <v>25674</v>
      </c>
      <c r="X49" s="207">
        <v>0</v>
      </c>
      <c r="Z49" s="207">
        <v>0</v>
      </c>
      <c r="AA49" s="207">
        <v>0</v>
      </c>
      <c r="AB49" s="176">
        <f t="shared" si="49"/>
        <v>146125674</v>
      </c>
      <c r="AC49" s="177">
        <f t="shared" si="25"/>
        <v>20.072142760140622</v>
      </c>
      <c r="AD49" s="177">
        <f t="shared" si="50"/>
        <v>82.762822704136397</v>
      </c>
      <c r="AE49" s="26">
        <f t="shared" si="77"/>
        <v>2.4828846811240917</v>
      </c>
      <c r="AF49" s="178">
        <f t="shared" si="26"/>
        <v>21.24624140756044</v>
      </c>
      <c r="AG49" s="178">
        <f t="shared" si="27"/>
        <v>21.249974987313333</v>
      </c>
      <c r="AH49" s="178">
        <f t="shared" si="51"/>
        <v>3.7335797528932346E-3</v>
      </c>
      <c r="AI49" s="179">
        <f t="shared" si="52"/>
        <v>100</v>
      </c>
      <c r="AJ49" s="30">
        <f t="shared" si="78"/>
        <v>4</v>
      </c>
      <c r="AK49" s="204">
        <v>9</v>
      </c>
      <c r="AL49" s="204">
        <v>188</v>
      </c>
      <c r="AM49" s="180">
        <v>1</v>
      </c>
      <c r="AN49" s="181">
        <f t="shared" si="2"/>
        <v>197</v>
      </c>
      <c r="AO49" s="182">
        <f t="shared" si="3"/>
        <v>0.50761421319796951</v>
      </c>
      <c r="AP49" s="183">
        <f t="shared" si="28"/>
        <v>100</v>
      </c>
      <c r="AQ49" s="38">
        <f t="shared" si="79"/>
        <v>2</v>
      </c>
      <c r="AR49" s="212">
        <v>6</v>
      </c>
      <c r="AS49" s="292">
        <f t="shared" si="5"/>
        <v>0.5</v>
      </c>
      <c r="AT49" s="185">
        <f t="shared" si="29"/>
        <v>4.5</v>
      </c>
      <c r="AU49" s="185">
        <f t="shared" si="30"/>
        <v>4</v>
      </c>
      <c r="AV49" s="186">
        <f t="shared" si="6"/>
        <v>22.222222222222221</v>
      </c>
      <c r="AW49" s="179">
        <f t="shared" si="31"/>
        <v>80</v>
      </c>
      <c r="AX49" s="239">
        <f t="shared" si="80"/>
        <v>0.8</v>
      </c>
      <c r="AY49" s="54">
        <v>11</v>
      </c>
      <c r="AZ49" s="54">
        <v>66</v>
      </c>
      <c r="BA49" s="189">
        <f t="shared" si="8"/>
        <v>66</v>
      </c>
      <c r="BB49" s="178">
        <f t="shared" si="32"/>
        <v>100</v>
      </c>
      <c r="BC49" s="179">
        <f t="shared" si="33"/>
        <v>100</v>
      </c>
      <c r="BD49" s="30">
        <f t="shared" si="81"/>
        <v>1</v>
      </c>
      <c r="BE49" s="190">
        <v>560673000</v>
      </c>
      <c r="BF49" s="190">
        <v>37151000</v>
      </c>
      <c r="BG49" s="301">
        <v>0</v>
      </c>
      <c r="BH49" s="191">
        <f t="shared" si="10"/>
        <v>597824000</v>
      </c>
      <c r="BI49" s="178">
        <f t="shared" si="11"/>
        <v>0</v>
      </c>
      <c r="BJ49" s="294" t="str">
        <f t="shared" si="34"/>
        <v>전기전자/기계업</v>
      </c>
      <c r="BK49" s="192">
        <f t="shared" si="12"/>
        <v>2.4096449716116455</v>
      </c>
      <c r="BL49" s="193">
        <f t="shared" si="35"/>
        <v>-2.4096449716116455</v>
      </c>
      <c r="BM49" s="241">
        <f t="shared" si="36"/>
        <v>100</v>
      </c>
      <c r="BN49" s="47">
        <f t="shared" si="37"/>
        <v>2</v>
      </c>
      <c r="BO49" s="54">
        <v>4905334000</v>
      </c>
      <c r="BP49" s="194">
        <f t="shared" si="38"/>
        <v>12.950112146143139</v>
      </c>
      <c r="BQ49" s="179">
        <f t="shared" si="39"/>
        <v>100</v>
      </c>
      <c r="BR49" s="30">
        <f t="shared" si="82"/>
        <v>2</v>
      </c>
      <c r="BS49" s="195">
        <v>15585906000</v>
      </c>
      <c r="BT49" s="195">
        <v>231593000</v>
      </c>
      <c r="BU49" s="196">
        <f t="shared" si="40"/>
        <v>15354313000</v>
      </c>
      <c r="BV49" s="178">
        <f t="shared" si="14"/>
        <v>40.535481432453636</v>
      </c>
      <c r="BW49" s="192">
        <f t="shared" si="15"/>
        <v>5.2309968128308268</v>
      </c>
      <c r="BX49" s="192">
        <f t="shared" si="41"/>
        <v>1246.4066342571837</v>
      </c>
      <c r="BY49" s="192">
        <f t="shared" si="16"/>
        <v>7.0695458012309622</v>
      </c>
      <c r="BZ49" s="192">
        <f t="shared" si="42"/>
        <v>2.958862744817381E-5</v>
      </c>
      <c r="CA49" s="192">
        <f t="shared" si="17"/>
        <v>100</v>
      </c>
      <c r="CB49" s="55">
        <f t="shared" si="43"/>
        <v>2</v>
      </c>
      <c r="CC49" s="197">
        <f t="shared" si="83"/>
        <v>52.586314850722928</v>
      </c>
      <c r="CD49" s="198">
        <f t="shared" si="84"/>
        <v>80.557921538672261</v>
      </c>
      <c r="CE49" s="58">
        <f t="shared" si="85"/>
        <v>1.208368823080084</v>
      </c>
      <c r="CF49" s="245" t="s">
        <v>2326</v>
      </c>
      <c r="CG49" s="245" t="s">
        <v>2326</v>
      </c>
      <c r="CH49" s="245" t="s">
        <v>2326</v>
      </c>
      <c r="CI49" s="245" t="s">
        <v>2326</v>
      </c>
      <c r="CJ49" s="235"/>
      <c r="CK49" s="173" t="s">
        <v>2499</v>
      </c>
      <c r="CL49" s="173" t="s">
        <v>2482</v>
      </c>
      <c r="CM49" s="199">
        <f t="shared" si="44"/>
        <v>55</v>
      </c>
      <c r="CN49" s="58">
        <f t="shared" si="86"/>
        <v>0.82499999999999996</v>
      </c>
      <c r="CO49" s="54">
        <v>12966201000</v>
      </c>
      <c r="CP49" s="186">
        <f t="shared" si="45"/>
        <v>21.551849745346054</v>
      </c>
      <c r="CQ49" s="179">
        <f t="shared" si="46"/>
        <v>60</v>
      </c>
      <c r="CR49" s="30">
        <f t="shared" si="87"/>
        <v>1.7999999999999998</v>
      </c>
      <c r="CS49" s="200">
        <f>_xlfn.XLOOKUP(C49, '1-1. 관계사체무보증금액 (환율 등)'!$3:$3, '1-1. 관계사체무보증금액 (환율 등)'!$33:$33)</f>
        <v>341378596.08745682</v>
      </c>
      <c r="CT49" s="178">
        <f t="shared" si="23"/>
        <v>0.56742450692797763</v>
      </c>
      <c r="CU49" s="179">
        <f t="shared" si="47"/>
        <v>100</v>
      </c>
      <c r="CV49" s="30">
        <f t="shared" si="88"/>
        <v>2</v>
      </c>
      <c r="CW49" s="72">
        <f t="shared" si="48"/>
        <v>22.116253504204174</v>
      </c>
    </row>
    <row r="50" spans="1:101" x14ac:dyDescent="0.6">
      <c r="A50" s="214" t="s">
        <v>1557</v>
      </c>
      <c r="B50" s="13" t="s">
        <v>2027</v>
      </c>
      <c r="C50" s="219" t="s">
        <v>1558</v>
      </c>
      <c r="D50" s="14" t="s">
        <v>202</v>
      </c>
      <c r="E50" s="217" t="s">
        <v>954</v>
      </c>
      <c r="F50" s="217" t="s">
        <v>1559</v>
      </c>
      <c r="G50" s="218">
        <v>27949</v>
      </c>
      <c r="H50" s="217" t="s">
        <v>830</v>
      </c>
      <c r="I50" s="217" t="s">
        <v>1560</v>
      </c>
      <c r="J50" s="217" t="s">
        <v>1561</v>
      </c>
      <c r="K50" s="217" t="s">
        <v>50</v>
      </c>
      <c r="L50" s="220">
        <v>913694578</v>
      </c>
      <c r="M50" s="206">
        <v>256815975</v>
      </c>
      <c r="N50" s="206">
        <v>656878603</v>
      </c>
      <c r="O50" s="206">
        <v>320369756</v>
      </c>
      <c r="P50" s="206">
        <v>25070424</v>
      </c>
      <c r="Q50" s="206">
        <v>28857902</v>
      </c>
      <c r="R50" s="206">
        <v>22824949</v>
      </c>
      <c r="S50" s="207">
        <v>33252697</v>
      </c>
      <c r="T50" s="207">
        <v>10858846</v>
      </c>
      <c r="U50" s="207">
        <v>14055889</v>
      </c>
      <c r="V50" s="207">
        <v>0</v>
      </c>
      <c r="W50" s="207">
        <v>0</v>
      </c>
      <c r="X50" s="207">
        <v>1000000</v>
      </c>
      <c r="Y50" s="208" t="s">
        <v>2411</v>
      </c>
      <c r="Z50" s="207">
        <v>0</v>
      </c>
      <c r="AA50" s="207">
        <v>0</v>
      </c>
      <c r="AB50" s="176">
        <f t="shared" si="49"/>
        <v>15055889</v>
      </c>
      <c r="AC50" s="177">
        <f t="shared" si="25"/>
        <v>45.277196613555887</v>
      </c>
      <c r="AD50" s="177">
        <f t="shared" si="50"/>
        <v>61.009323981395958</v>
      </c>
      <c r="AE50" s="26">
        <f t="shared" si="77"/>
        <v>1.8302797194418787</v>
      </c>
      <c r="AF50" s="178">
        <f t="shared" si="26"/>
        <v>62.766734493321408</v>
      </c>
      <c r="AG50" s="178">
        <f t="shared" si="27"/>
        <v>67.232246030394677</v>
      </c>
      <c r="AH50" s="178">
        <f t="shared" si="51"/>
        <v>4.4655115370732688</v>
      </c>
      <c r="AI50" s="179">
        <f t="shared" si="52"/>
        <v>100</v>
      </c>
      <c r="AJ50" s="30">
        <f t="shared" si="78"/>
        <v>4</v>
      </c>
      <c r="AK50" s="204">
        <v>5</v>
      </c>
      <c r="AL50" s="204">
        <v>7</v>
      </c>
      <c r="AM50" s="204">
        <v>0</v>
      </c>
      <c r="AN50" s="181">
        <f t="shared" si="2"/>
        <v>12</v>
      </c>
      <c r="AO50" s="182">
        <f t="shared" si="3"/>
        <v>0</v>
      </c>
      <c r="AP50" s="183">
        <f t="shared" si="28"/>
        <v>100</v>
      </c>
      <c r="AQ50" s="38">
        <f t="shared" si="79"/>
        <v>2</v>
      </c>
      <c r="AR50" s="212">
        <v>1</v>
      </c>
      <c r="AS50" s="292">
        <f t="shared" si="5"/>
        <v>0.25</v>
      </c>
      <c r="AT50" s="185">
        <f t="shared" si="29"/>
        <v>1.25</v>
      </c>
      <c r="AU50" s="185">
        <f t="shared" si="30"/>
        <v>1</v>
      </c>
      <c r="AV50" s="186">
        <f t="shared" si="6"/>
        <v>0</v>
      </c>
      <c r="AW50" s="179">
        <f t="shared" si="31"/>
        <v>40</v>
      </c>
      <c r="AX50" s="239">
        <f t="shared" si="80"/>
        <v>0.4</v>
      </c>
      <c r="AY50" s="54">
        <v>14</v>
      </c>
      <c r="AZ50" s="54">
        <v>14</v>
      </c>
      <c r="BA50" s="189">
        <f t="shared" si="8"/>
        <v>14</v>
      </c>
      <c r="BB50" s="178">
        <f t="shared" si="32"/>
        <v>100</v>
      </c>
      <c r="BC50" s="179">
        <f t="shared" si="33"/>
        <v>100</v>
      </c>
      <c r="BD50" s="30">
        <f t="shared" si="81"/>
        <v>1</v>
      </c>
      <c r="BE50" s="190">
        <v>4807476</v>
      </c>
      <c r="BF50" s="190">
        <v>504311</v>
      </c>
      <c r="BG50" s="54">
        <v>265271</v>
      </c>
      <c r="BH50" s="191">
        <f t="shared" si="10"/>
        <v>5311787</v>
      </c>
      <c r="BI50" s="178">
        <f t="shared" si="11"/>
        <v>4.9940067250437563</v>
      </c>
      <c r="BJ50" s="294" t="str">
        <f t="shared" si="34"/>
        <v>전기전자/기계업</v>
      </c>
      <c r="BK50" s="192">
        <f t="shared" si="12"/>
        <v>2.4096449716116455</v>
      </c>
      <c r="BL50" s="193">
        <f t="shared" si="35"/>
        <v>2.5843617534321108</v>
      </c>
      <c r="BM50" s="241">
        <f t="shared" si="36"/>
        <v>40</v>
      </c>
      <c r="BN50" s="47">
        <f t="shared" si="37"/>
        <v>0.8</v>
      </c>
      <c r="BO50" s="54">
        <f>(15635-12036)*1000</f>
        <v>3599000</v>
      </c>
      <c r="BP50" s="194">
        <f t="shared" si="38"/>
        <v>1.1233894375472822</v>
      </c>
      <c r="BQ50" s="179">
        <f t="shared" si="39"/>
        <v>70</v>
      </c>
      <c r="BR50" s="30">
        <f t="shared" si="82"/>
        <v>1.4000000000000001</v>
      </c>
      <c r="BS50" s="195">
        <f>(1023277480+2981858000+353669074+1907094578+292927164+1280559899)/1000</f>
        <v>7839386.1950000003</v>
      </c>
      <c r="BT50" s="195">
        <f>(282473920+70227273+2295500)/1000</f>
        <v>354996.69300000003</v>
      </c>
      <c r="BU50" s="196">
        <f t="shared" si="40"/>
        <v>7484389.5020000003</v>
      </c>
      <c r="BV50" s="178">
        <f t="shared" si="14"/>
        <v>2.3361723014827902</v>
      </c>
      <c r="BW50" s="192">
        <f t="shared" si="15"/>
        <v>5.2309968128308268</v>
      </c>
      <c r="BX50" s="192">
        <f t="shared" si="41"/>
        <v>8.3800089515013987</v>
      </c>
      <c r="BY50" s="192">
        <f t="shared" si="16"/>
        <v>7.0695458012309622</v>
      </c>
      <c r="BZ50" s="192">
        <f t="shared" si="42"/>
        <v>65.890559946726384</v>
      </c>
      <c r="CA50" s="192">
        <f t="shared" si="17"/>
        <v>40</v>
      </c>
      <c r="CB50" s="55">
        <f t="shared" si="43"/>
        <v>0.8</v>
      </c>
      <c r="CC50" s="197">
        <f t="shared" si="83"/>
        <v>39.096413527112553</v>
      </c>
      <c r="CD50" s="198">
        <f t="shared" si="84"/>
        <v>85.642055203349543</v>
      </c>
      <c r="CE50" s="58">
        <f t="shared" si="85"/>
        <v>1.2846308280502432</v>
      </c>
      <c r="CF50" s="245" t="s">
        <v>2326</v>
      </c>
      <c r="CG50" s="245" t="s">
        <v>2326</v>
      </c>
      <c r="CH50" s="245" t="s">
        <v>2326</v>
      </c>
      <c r="CI50" s="245" t="s">
        <v>2326</v>
      </c>
      <c r="CJ50" s="235"/>
      <c r="CK50" s="173" t="s">
        <v>2490</v>
      </c>
      <c r="CL50" s="173" t="s">
        <v>2487</v>
      </c>
      <c r="CM50" s="199">
        <f t="shared" si="44"/>
        <v>70</v>
      </c>
      <c r="CN50" s="58">
        <f t="shared" si="86"/>
        <v>1.05</v>
      </c>
      <c r="CO50" s="54">
        <f>10922000+10432000+13460000</f>
        <v>34814000</v>
      </c>
      <c r="CP50" s="186">
        <f t="shared" si="45"/>
        <v>5.2999138411576485</v>
      </c>
      <c r="CQ50" s="179">
        <f t="shared" si="46"/>
        <v>80</v>
      </c>
      <c r="CR50" s="30">
        <f t="shared" si="87"/>
        <v>2.4</v>
      </c>
      <c r="CS50" s="200">
        <f>_xlfn.XLOOKUP(C50, '1-1. 관계사체무보증금액 (환율 등)'!$3:$3, '1-1. 관계사체무보증금액 (환율 등)'!$33:$33)</f>
        <v>396958575.83544302</v>
      </c>
      <c r="CT50" s="178">
        <f t="shared" si="23"/>
        <v>60.431040685830197</v>
      </c>
      <c r="CU50" s="179">
        <f t="shared" si="47"/>
        <v>40</v>
      </c>
      <c r="CV50" s="30">
        <f t="shared" si="88"/>
        <v>0.8</v>
      </c>
      <c r="CW50" s="72">
        <f t="shared" si="48"/>
        <v>17.764910547492125</v>
      </c>
    </row>
    <row r="51" spans="1:101" x14ac:dyDescent="0.6">
      <c r="A51" s="214" t="s">
        <v>338</v>
      </c>
      <c r="B51" s="13" t="s">
        <v>2028</v>
      </c>
      <c r="C51" s="219" t="s">
        <v>80</v>
      </c>
      <c r="D51" s="216" t="s">
        <v>202</v>
      </c>
      <c r="E51" s="217" t="s">
        <v>954</v>
      </c>
      <c r="F51" s="217" t="s">
        <v>146</v>
      </c>
      <c r="G51" s="218">
        <v>37326</v>
      </c>
      <c r="H51" s="217" t="s">
        <v>830</v>
      </c>
      <c r="I51" s="217" t="s">
        <v>1562</v>
      </c>
      <c r="J51" s="217" t="s">
        <v>1239</v>
      </c>
      <c r="K51" s="217" t="s">
        <v>484</v>
      </c>
      <c r="L51" s="220">
        <v>1219422735</v>
      </c>
      <c r="M51" s="206">
        <v>343607691</v>
      </c>
      <c r="N51" s="206">
        <v>875815044</v>
      </c>
      <c r="O51" s="206">
        <v>1004821817</v>
      </c>
      <c r="P51" s="206">
        <v>113170594</v>
      </c>
      <c r="Q51" s="206">
        <v>122466158</v>
      </c>
      <c r="R51" s="206">
        <v>91032057</v>
      </c>
      <c r="S51" s="207">
        <v>14623136</v>
      </c>
      <c r="T51" s="207">
        <v>1393076</v>
      </c>
      <c r="U51" s="207">
        <v>5853873</v>
      </c>
      <c r="V51" s="207">
        <v>0</v>
      </c>
      <c r="W51" s="207">
        <v>0</v>
      </c>
      <c r="X51" s="207">
        <v>155521</v>
      </c>
      <c r="Y51" s="208" t="s">
        <v>2411</v>
      </c>
      <c r="Z51" s="207">
        <v>0</v>
      </c>
      <c r="AA51" s="207">
        <v>0</v>
      </c>
      <c r="AB51" s="176">
        <f t="shared" si="49"/>
        <v>6009394</v>
      </c>
      <c r="AC51" s="177">
        <f t="shared" si="25"/>
        <v>41.095111199129924</v>
      </c>
      <c r="AD51" s="177">
        <f t="shared" si="50"/>
        <v>64.6187187579431</v>
      </c>
      <c r="AE51" s="26">
        <f t="shared" si="77"/>
        <v>1.9385615627382928</v>
      </c>
      <c r="AF51" s="178">
        <f t="shared" si="26"/>
        <v>44.246760785665373</v>
      </c>
      <c r="AG51" s="178">
        <f t="shared" si="27"/>
        <v>45.422273217203852</v>
      </c>
      <c r="AH51" s="178">
        <f t="shared" si="51"/>
        <v>1.1755124315384791</v>
      </c>
      <c r="AI51" s="179">
        <f t="shared" si="52"/>
        <v>100</v>
      </c>
      <c r="AJ51" s="30">
        <f t="shared" si="78"/>
        <v>4</v>
      </c>
      <c r="AK51" s="204">
        <v>5</v>
      </c>
      <c r="AL51" s="204">
        <v>9</v>
      </c>
      <c r="AM51" s="204">
        <v>0</v>
      </c>
      <c r="AN51" s="181">
        <f t="shared" si="2"/>
        <v>14</v>
      </c>
      <c r="AO51" s="182">
        <f t="shared" si="3"/>
        <v>0</v>
      </c>
      <c r="AP51" s="183">
        <f t="shared" si="28"/>
        <v>100</v>
      </c>
      <c r="AQ51" s="38">
        <f t="shared" si="79"/>
        <v>2</v>
      </c>
      <c r="AR51" s="212">
        <v>1</v>
      </c>
      <c r="AS51" s="292">
        <f t="shared" si="5"/>
        <v>0.25</v>
      </c>
      <c r="AT51" s="185">
        <f t="shared" si="29"/>
        <v>1.25</v>
      </c>
      <c r="AU51" s="185">
        <f t="shared" si="30"/>
        <v>1</v>
      </c>
      <c r="AV51" s="186">
        <f t="shared" si="6"/>
        <v>0</v>
      </c>
      <c r="AW51" s="179">
        <f t="shared" si="31"/>
        <v>40</v>
      </c>
      <c r="AX51" s="239">
        <f t="shared" si="80"/>
        <v>0.4</v>
      </c>
      <c r="AY51" s="54">
        <v>11</v>
      </c>
      <c r="AZ51" s="54">
        <v>11</v>
      </c>
      <c r="BA51" s="189">
        <f t="shared" si="8"/>
        <v>11</v>
      </c>
      <c r="BB51" s="178">
        <f t="shared" si="32"/>
        <v>100</v>
      </c>
      <c r="BC51" s="179">
        <f t="shared" si="33"/>
        <v>100</v>
      </c>
      <c r="BD51" s="30">
        <f t="shared" si="81"/>
        <v>1</v>
      </c>
      <c r="BE51" s="190">
        <v>3912241</v>
      </c>
      <c r="BF51" s="190">
        <v>270735</v>
      </c>
      <c r="BG51" s="54">
        <v>388212</v>
      </c>
      <c r="BH51" s="191">
        <f t="shared" si="10"/>
        <v>4182976</v>
      </c>
      <c r="BI51" s="178">
        <f t="shared" si="11"/>
        <v>9.2807608745543853</v>
      </c>
      <c r="BJ51" s="294" t="str">
        <f t="shared" si="34"/>
        <v>전기전자/기계업</v>
      </c>
      <c r="BK51" s="192">
        <f t="shared" si="12"/>
        <v>2.4096449716116455</v>
      </c>
      <c r="BL51" s="193">
        <f t="shared" si="35"/>
        <v>6.8711159029427398</v>
      </c>
      <c r="BM51" s="241">
        <f t="shared" si="36"/>
        <v>40</v>
      </c>
      <c r="BN51" s="47">
        <f t="shared" si="37"/>
        <v>0.8</v>
      </c>
      <c r="BO51" s="54">
        <f>(16245-492)*1000</f>
        <v>15753000</v>
      </c>
      <c r="BP51" s="194">
        <f t="shared" si="38"/>
        <v>1.5677406415231128</v>
      </c>
      <c r="BQ51" s="179">
        <f t="shared" si="39"/>
        <v>70</v>
      </c>
      <c r="BR51" s="30">
        <f t="shared" si="82"/>
        <v>1.4000000000000001</v>
      </c>
      <c r="BS51" s="195">
        <v>31097334.322999999</v>
      </c>
      <c r="BT51" s="195">
        <v>103495.58199999999</v>
      </c>
      <c r="BU51" s="196">
        <f t="shared" si="40"/>
        <v>30993838.741</v>
      </c>
      <c r="BV51" s="178">
        <f t="shared" si="14"/>
        <v>3.0845109268761028</v>
      </c>
      <c r="BW51" s="192">
        <f t="shared" si="15"/>
        <v>5.2309968128308268</v>
      </c>
      <c r="BX51" s="192">
        <f t="shared" si="41"/>
        <v>4.6074016586028366</v>
      </c>
      <c r="BY51" s="192">
        <f t="shared" si="16"/>
        <v>7.0695458012309622</v>
      </c>
      <c r="BZ51" s="192">
        <f t="shared" si="42"/>
        <v>61.929293133718978</v>
      </c>
      <c r="CA51" s="192">
        <f t="shared" si="17"/>
        <v>40</v>
      </c>
      <c r="CB51" s="55">
        <f t="shared" si="43"/>
        <v>0.8</v>
      </c>
      <c r="CC51" s="197">
        <f t="shared" si="83"/>
        <v>39.23290577776374</v>
      </c>
      <c r="CD51" s="198">
        <f t="shared" si="84"/>
        <v>85.590613400340303</v>
      </c>
      <c r="CE51" s="58">
        <f t="shared" si="85"/>
        <v>1.2838592010051044</v>
      </c>
      <c r="CF51" s="245" t="s">
        <v>2326</v>
      </c>
      <c r="CG51" s="245" t="s">
        <v>2326</v>
      </c>
      <c r="CH51" s="245" t="s">
        <v>2326</v>
      </c>
      <c r="CI51" s="245" t="s">
        <v>2326</v>
      </c>
      <c r="CJ51" s="235"/>
      <c r="CK51" s="173" t="s">
        <v>2486</v>
      </c>
      <c r="CL51" s="173" t="s">
        <v>2487</v>
      </c>
      <c r="CM51" s="199">
        <f t="shared" si="44"/>
        <v>70</v>
      </c>
      <c r="CN51" s="58">
        <f t="shared" si="86"/>
        <v>1.05</v>
      </c>
      <c r="CO51" s="54">
        <f>554000+39000+39132000</f>
        <v>39725000</v>
      </c>
      <c r="CP51" s="186">
        <f t="shared" si="45"/>
        <v>4.5357750214667476</v>
      </c>
      <c r="CQ51" s="179">
        <f t="shared" si="46"/>
        <v>80</v>
      </c>
      <c r="CR51" s="30">
        <f t="shared" si="87"/>
        <v>2.4</v>
      </c>
      <c r="CS51" s="200">
        <f>_xlfn.XLOOKUP(C51, '1-1. 관계사체무보증금액 (환율 등)'!$3:$3, '1-1. 관계사체무보증금액 (환율 등)'!$33:$33)</f>
        <v>264770910.75949365</v>
      </c>
      <c r="CT51" s="178">
        <f t="shared" si="23"/>
        <v>30.23137277366677</v>
      </c>
      <c r="CU51" s="179">
        <f t="shared" si="47"/>
        <v>60</v>
      </c>
      <c r="CV51" s="30">
        <f t="shared" si="88"/>
        <v>1.2</v>
      </c>
      <c r="CW51" s="72">
        <f t="shared" si="48"/>
        <v>18.272420763743398</v>
      </c>
    </row>
    <row r="52" spans="1:101" x14ac:dyDescent="0.6">
      <c r="A52" s="214" t="s">
        <v>519</v>
      </c>
      <c r="B52" s="13" t="s">
        <v>2029</v>
      </c>
      <c r="C52" s="219" t="s">
        <v>33</v>
      </c>
      <c r="D52" s="216" t="s">
        <v>202</v>
      </c>
      <c r="E52" s="217" t="s">
        <v>613</v>
      </c>
      <c r="F52" s="217" t="s">
        <v>956</v>
      </c>
      <c r="G52" s="218">
        <v>31936</v>
      </c>
      <c r="H52" s="217" t="s">
        <v>830</v>
      </c>
      <c r="I52" s="217" t="s">
        <v>1563</v>
      </c>
      <c r="J52" s="217" t="s">
        <v>1165</v>
      </c>
      <c r="K52" s="217" t="s">
        <v>690</v>
      </c>
      <c r="L52" s="220">
        <v>692740658</v>
      </c>
      <c r="M52" s="206">
        <v>395155324</v>
      </c>
      <c r="N52" s="206">
        <v>297585335</v>
      </c>
      <c r="O52" s="206">
        <v>1186678750</v>
      </c>
      <c r="P52" s="206">
        <v>24052569</v>
      </c>
      <c r="Q52" s="206">
        <v>10186256</v>
      </c>
      <c r="R52" s="206">
        <v>7026979</v>
      </c>
      <c r="S52" s="207">
        <v>6358926</v>
      </c>
      <c r="T52" s="207">
        <v>229298</v>
      </c>
      <c r="U52" s="207">
        <v>3021193</v>
      </c>
      <c r="V52" s="207">
        <v>0</v>
      </c>
      <c r="W52" s="207">
        <v>0</v>
      </c>
      <c r="X52" s="207">
        <v>0</v>
      </c>
      <c r="Z52" s="207">
        <v>0</v>
      </c>
      <c r="AA52" s="207">
        <v>0</v>
      </c>
      <c r="AB52" s="176">
        <f t="shared" si="49"/>
        <v>3021193</v>
      </c>
      <c r="AC52" s="177">
        <f t="shared" si="25"/>
        <v>47.511057684898361</v>
      </c>
      <c r="AD52" s="177">
        <f t="shared" si="50"/>
        <v>59.081365634437553</v>
      </c>
      <c r="AE52" s="26">
        <f t="shared" si="77"/>
        <v>1.7724409690331264</v>
      </c>
      <c r="AF52" s="178">
        <f t="shared" si="26"/>
        <v>49.288358118959259</v>
      </c>
      <c r="AG52" s="178">
        <f t="shared" si="27"/>
        <v>49.288358118959259</v>
      </c>
      <c r="AH52" s="178">
        <f t="shared" si="51"/>
        <v>0</v>
      </c>
      <c r="AI52" s="179">
        <f t="shared" si="52"/>
        <v>100</v>
      </c>
      <c r="AJ52" s="30">
        <f t="shared" si="78"/>
        <v>4</v>
      </c>
      <c r="AK52" s="204">
        <v>6</v>
      </c>
      <c r="AL52" s="204">
        <v>5</v>
      </c>
      <c r="AM52" s="204">
        <v>0</v>
      </c>
      <c r="AN52" s="181">
        <f t="shared" si="2"/>
        <v>11</v>
      </c>
      <c r="AO52" s="182">
        <f t="shared" si="3"/>
        <v>0</v>
      </c>
      <c r="AP52" s="183">
        <f t="shared" si="28"/>
        <v>100</v>
      </c>
      <c r="AQ52" s="38">
        <f t="shared" si="79"/>
        <v>2</v>
      </c>
      <c r="AR52" s="212">
        <v>3</v>
      </c>
      <c r="AS52" s="292">
        <f t="shared" si="5"/>
        <v>0.25</v>
      </c>
      <c r="AT52" s="185">
        <f t="shared" si="29"/>
        <v>1.5</v>
      </c>
      <c r="AU52" s="185">
        <f t="shared" si="30"/>
        <v>1</v>
      </c>
      <c r="AV52" s="186">
        <f t="shared" si="6"/>
        <v>33.333333333333329</v>
      </c>
      <c r="AW52" s="179">
        <f t="shared" si="31"/>
        <v>80</v>
      </c>
      <c r="AX52" s="239">
        <f t="shared" si="80"/>
        <v>0.8</v>
      </c>
      <c r="AY52" s="54">
        <v>7</v>
      </c>
      <c r="AZ52" s="54">
        <f>21-1</f>
        <v>20</v>
      </c>
      <c r="BA52" s="189">
        <f t="shared" si="8"/>
        <v>21</v>
      </c>
      <c r="BB52" s="178">
        <f t="shared" si="32"/>
        <v>95.238095238095227</v>
      </c>
      <c r="BC52" s="179">
        <f t="shared" si="33"/>
        <v>100</v>
      </c>
      <c r="BD52" s="30">
        <f t="shared" si="81"/>
        <v>1</v>
      </c>
      <c r="BE52" s="190">
        <v>13771619</v>
      </c>
      <c r="BF52" s="190">
        <v>1031272</v>
      </c>
      <c r="BG52" s="54">
        <v>1344018</v>
      </c>
      <c r="BH52" s="191">
        <f t="shared" si="10"/>
        <v>14802891</v>
      </c>
      <c r="BI52" s="178">
        <f t="shared" si="11"/>
        <v>9.0794291466443955</v>
      </c>
      <c r="BJ52" s="294" t="str">
        <f t="shared" si="34"/>
        <v>전기전자/기계업</v>
      </c>
      <c r="BK52" s="192">
        <f t="shared" si="12"/>
        <v>2.4096449716116455</v>
      </c>
      <c r="BL52" s="193">
        <f t="shared" si="35"/>
        <v>6.66978417503275</v>
      </c>
      <c r="BM52" s="241">
        <f t="shared" si="36"/>
        <v>40</v>
      </c>
      <c r="BN52" s="47">
        <f t="shared" si="37"/>
        <v>0.8</v>
      </c>
      <c r="BO52" s="54">
        <v>699279</v>
      </c>
      <c r="BP52" s="194">
        <f t="shared" si="38"/>
        <v>5.8927405584704363E-2</v>
      </c>
      <c r="BQ52" s="179">
        <f t="shared" si="39"/>
        <v>40</v>
      </c>
      <c r="BR52" s="30">
        <f t="shared" si="82"/>
        <v>0.8</v>
      </c>
      <c r="BS52" s="195">
        <v>5478447.8339999998</v>
      </c>
      <c r="BT52" s="195">
        <v>27259.4</v>
      </c>
      <c r="BU52" s="196">
        <f t="shared" si="40"/>
        <v>5451188.4339999994</v>
      </c>
      <c r="BV52" s="178">
        <f t="shared" si="14"/>
        <v>0.45936513432974174</v>
      </c>
      <c r="BW52" s="192">
        <f t="shared" si="15"/>
        <v>5.2309968128308268</v>
      </c>
      <c r="BX52" s="192">
        <f t="shared" si="41"/>
        <v>22.768468875275079</v>
      </c>
      <c r="BY52" s="192">
        <f t="shared" si="16"/>
        <v>7.0695458012309622</v>
      </c>
      <c r="BZ52" s="192">
        <f t="shared" si="42"/>
        <v>75.014810952877326</v>
      </c>
      <c r="CA52" s="192">
        <f t="shared" si="17"/>
        <v>40</v>
      </c>
      <c r="CB52" s="55">
        <f t="shared" si="43"/>
        <v>0.8</v>
      </c>
      <c r="CC52" s="197">
        <f t="shared" si="83"/>
        <v>132.78723025783512</v>
      </c>
      <c r="CD52" s="198">
        <f t="shared" si="84"/>
        <v>50.331445882725461</v>
      </c>
      <c r="CE52" s="58">
        <f t="shared" si="85"/>
        <v>0.7549716882408819</v>
      </c>
      <c r="CF52" s="245" t="s">
        <v>2326</v>
      </c>
      <c r="CG52" s="245" t="s">
        <v>2326</v>
      </c>
      <c r="CH52" s="245" t="s">
        <v>2326</v>
      </c>
      <c r="CI52" s="245" t="s">
        <v>2326</v>
      </c>
      <c r="CJ52" s="235"/>
      <c r="CK52" s="173" t="s">
        <v>2500</v>
      </c>
      <c r="CL52" s="173" t="s">
        <v>2487</v>
      </c>
      <c r="CM52" s="199">
        <f t="shared" si="44"/>
        <v>70</v>
      </c>
      <c r="CN52" s="58">
        <f t="shared" si="86"/>
        <v>1.05</v>
      </c>
      <c r="CO52" s="54">
        <f>13983000+4201000+4927000</f>
        <v>23111000</v>
      </c>
      <c r="CP52" s="186">
        <f t="shared" si="45"/>
        <v>7.7661757088937193</v>
      </c>
      <c r="CQ52" s="179">
        <f t="shared" si="46"/>
        <v>80</v>
      </c>
      <c r="CR52" s="30">
        <f t="shared" si="87"/>
        <v>2.4</v>
      </c>
      <c r="CS52" s="200">
        <f>_xlfn.XLOOKUP(C52, '1-1. 관계사체무보증금액 (환율 등)'!$3:$3, '1-1. 관계사체무보증금액 (환율 등)'!$33:$33)</f>
        <v>0</v>
      </c>
      <c r="CT52" s="178">
        <f t="shared" si="23"/>
        <v>0</v>
      </c>
      <c r="CU52" s="179">
        <f t="shared" si="47"/>
        <v>100</v>
      </c>
      <c r="CV52" s="30">
        <f t="shared" si="88"/>
        <v>2</v>
      </c>
      <c r="CW52" s="72">
        <f t="shared" si="48"/>
        <v>18.177412657274012</v>
      </c>
    </row>
    <row r="53" spans="1:101" x14ac:dyDescent="0.6">
      <c r="A53" s="214" t="s">
        <v>1564</v>
      </c>
      <c r="B53" s="13" t="s">
        <v>2030</v>
      </c>
      <c r="C53" s="219" t="s">
        <v>1565</v>
      </c>
      <c r="D53" s="14" t="s">
        <v>285</v>
      </c>
      <c r="E53" s="217" t="s">
        <v>1566</v>
      </c>
      <c r="F53" s="217" t="s">
        <v>1567</v>
      </c>
      <c r="G53" s="218">
        <v>32826</v>
      </c>
      <c r="H53" s="217" t="s">
        <v>830</v>
      </c>
      <c r="I53" s="217" t="s">
        <v>1568</v>
      </c>
      <c r="J53" s="217" t="s">
        <v>1569</v>
      </c>
      <c r="K53" s="217" t="s">
        <v>91</v>
      </c>
      <c r="L53" s="220">
        <v>57863012</v>
      </c>
      <c r="M53" s="206">
        <v>24529480</v>
      </c>
      <c r="N53" s="206">
        <v>33333532</v>
      </c>
      <c r="O53" s="206">
        <v>30093883</v>
      </c>
      <c r="P53" s="206">
        <v>4174665</v>
      </c>
      <c r="Q53" s="206">
        <v>4390397</v>
      </c>
      <c r="R53" s="206">
        <v>4613111</v>
      </c>
      <c r="S53" s="207">
        <v>27549644</v>
      </c>
      <c r="T53" s="207">
        <v>0</v>
      </c>
      <c r="U53" s="207">
        <f>6174916+3127161+241592</f>
        <v>9543669</v>
      </c>
      <c r="V53" s="207">
        <v>0</v>
      </c>
      <c r="W53" s="207">
        <v>1736111</v>
      </c>
      <c r="X53" s="207">
        <v>0</v>
      </c>
      <c r="Z53" s="207">
        <v>1736111</v>
      </c>
      <c r="AA53" s="207">
        <v>0</v>
      </c>
      <c r="AB53" s="176">
        <f t="shared" si="49"/>
        <v>13015891</v>
      </c>
      <c r="AC53" s="177">
        <f t="shared" si="25"/>
        <v>47.245223931024299</v>
      </c>
      <c r="AD53" s="177">
        <f t="shared" si="50"/>
        <v>59.310796377136683</v>
      </c>
      <c r="AE53" s="26">
        <f t="shared" si="77"/>
        <v>1.7793238913141005</v>
      </c>
      <c r="AF53" s="178">
        <f t="shared" si="26"/>
        <v>34.641714426509466</v>
      </c>
      <c r="AG53" s="178">
        <f t="shared" si="27"/>
        <v>47.245223931024299</v>
      </c>
      <c r="AH53" s="178">
        <f t="shared" si="51"/>
        <v>12.603509504514832</v>
      </c>
      <c r="AI53" s="179">
        <f t="shared" si="52"/>
        <v>80</v>
      </c>
      <c r="AJ53" s="30">
        <f t="shared" si="78"/>
        <v>3.2</v>
      </c>
      <c r="AK53" s="204">
        <v>5</v>
      </c>
      <c r="AL53" s="204">
        <v>1</v>
      </c>
      <c r="AM53" s="204">
        <v>0</v>
      </c>
      <c r="AN53" s="181">
        <f t="shared" si="2"/>
        <v>6</v>
      </c>
      <c r="AO53" s="182">
        <f t="shared" si="3"/>
        <v>0</v>
      </c>
      <c r="AP53" s="183">
        <f t="shared" si="28"/>
        <v>100</v>
      </c>
      <c r="AQ53" s="38">
        <f t="shared" si="79"/>
        <v>2</v>
      </c>
      <c r="AR53" s="212">
        <v>1</v>
      </c>
      <c r="AS53" s="292">
        <f t="shared" si="5"/>
        <v>0.25</v>
      </c>
      <c r="AT53" s="185">
        <f t="shared" si="29"/>
        <v>1.25</v>
      </c>
      <c r="AU53" s="185">
        <f t="shared" si="30"/>
        <v>1</v>
      </c>
      <c r="AV53" s="186">
        <f t="shared" si="6"/>
        <v>0</v>
      </c>
      <c r="AW53" s="179">
        <f t="shared" si="31"/>
        <v>40</v>
      </c>
      <c r="AX53" s="239">
        <f t="shared" si="80"/>
        <v>0.4</v>
      </c>
      <c r="AY53" s="54">
        <v>6</v>
      </c>
      <c r="AZ53" s="54">
        <v>6</v>
      </c>
      <c r="BA53" s="189">
        <f t="shared" si="8"/>
        <v>6</v>
      </c>
      <c r="BB53" s="178">
        <f t="shared" si="32"/>
        <v>100</v>
      </c>
      <c r="BC53" s="179">
        <f t="shared" si="33"/>
        <v>100</v>
      </c>
      <c r="BD53" s="30">
        <f t="shared" si="81"/>
        <v>1</v>
      </c>
      <c r="BE53" s="190">
        <v>1497944</v>
      </c>
      <c r="BF53" s="300">
        <v>70537</v>
      </c>
      <c r="BG53" s="54">
        <v>143168</v>
      </c>
      <c r="BH53" s="191">
        <f t="shared" si="10"/>
        <v>1568481</v>
      </c>
      <c r="BI53" s="178">
        <f t="shared" si="11"/>
        <v>9.12781219536609</v>
      </c>
      <c r="BJ53" s="294" t="str">
        <f t="shared" si="34"/>
        <v>비제조/서비스업</v>
      </c>
      <c r="BK53" s="192">
        <f t="shared" si="12"/>
        <v>1.7464434573900924</v>
      </c>
      <c r="BL53" s="193">
        <f t="shared" si="35"/>
        <v>7.3813687379759978</v>
      </c>
      <c r="BM53" s="241">
        <f t="shared" si="36"/>
        <v>40</v>
      </c>
      <c r="BN53" s="47">
        <f t="shared" si="37"/>
        <v>0.8</v>
      </c>
      <c r="BO53" s="54">
        <v>0</v>
      </c>
      <c r="BP53" s="194">
        <f t="shared" si="38"/>
        <v>0</v>
      </c>
      <c r="BQ53" s="179">
        <f t="shared" si="39"/>
        <v>25</v>
      </c>
      <c r="BR53" s="30">
        <f t="shared" si="82"/>
        <v>0.5</v>
      </c>
      <c r="BS53" s="195">
        <v>18087.928</v>
      </c>
      <c r="BT53" s="195">
        <v>0</v>
      </c>
      <c r="BU53" s="196">
        <f t="shared" si="40"/>
        <v>18087.928</v>
      </c>
      <c r="BV53" s="178">
        <f t="shared" si="14"/>
        <v>6.0104998746755282E-2</v>
      </c>
      <c r="BW53" s="192">
        <f t="shared" si="15"/>
        <v>2.8482825397737606</v>
      </c>
      <c r="BX53" s="192">
        <f t="shared" si="41"/>
        <v>7.7739340002873965</v>
      </c>
      <c r="BY53" s="192">
        <f t="shared" si="16"/>
        <v>5.5697595856656799</v>
      </c>
      <c r="BZ53" s="192">
        <f t="shared" si="42"/>
        <v>69.167088156074129</v>
      </c>
      <c r="CA53" s="192">
        <f t="shared" si="17"/>
        <v>40</v>
      </c>
      <c r="CB53" s="55">
        <f t="shared" si="43"/>
        <v>0.8</v>
      </c>
      <c r="CC53" s="197">
        <f t="shared" si="83"/>
        <v>73.588001415511556</v>
      </c>
      <c r="CD53" s="198">
        <f t="shared" si="84"/>
        <v>72.642713034354941</v>
      </c>
      <c r="CE53" s="58">
        <f t="shared" si="85"/>
        <v>1.0896406955153242</v>
      </c>
      <c r="CF53" s="245" t="s">
        <v>2326</v>
      </c>
      <c r="CG53" s="245" t="s">
        <v>2326</v>
      </c>
      <c r="CH53" s="245" t="s">
        <v>2326</v>
      </c>
      <c r="CI53" s="245" t="s">
        <v>2326</v>
      </c>
      <c r="CJ53" s="235"/>
      <c r="CK53" s="173" t="s">
        <v>2501</v>
      </c>
      <c r="CL53" s="173" t="s">
        <v>2493</v>
      </c>
      <c r="CM53" s="199">
        <f t="shared" si="44"/>
        <v>40</v>
      </c>
      <c r="CN53" s="58">
        <f t="shared" si="86"/>
        <v>0.6</v>
      </c>
      <c r="CO53" s="54">
        <v>0</v>
      </c>
      <c r="CP53" s="186">
        <f t="shared" si="45"/>
        <v>0</v>
      </c>
      <c r="CQ53" s="179">
        <f t="shared" si="46"/>
        <v>100</v>
      </c>
      <c r="CR53" s="30">
        <f t="shared" si="87"/>
        <v>3</v>
      </c>
      <c r="CS53" s="200">
        <f>_xlfn.XLOOKUP(C53, '1-1. 관계사체무보증금액 (환율 등)'!$3:$3, '1-1. 관계사체무보증금액 (환율 등)'!$33:$33)</f>
        <v>0</v>
      </c>
      <c r="CT53" s="178">
        <f t="shared" si="23"/>
        <v>0</v>
      </c>
      <c r="CU53" s="179">
        <f t="shared" si="47"/>
        <v>100</v>
      </c>
      <c r="CV53" s="30">
        <f t="shared" si="88"/>
        <v>2</v>
      </c>
      <c r="CW53" s="72">
        <f t="shared" si="48"/>
        <v>17.168964586829425</v>
      </c>
    </row>
    <row r="54" spans="1:101" x14ac:dyDescent="0.6">
      <c r="A54" s="214" t="s">
        <v>1570</v>
      </c>
      <c r="B54" s="13" t="s">
        <v>2031</v>
      </c>
      <c r="C54" s="219" t="s">
        <v>1571</v>
      </c>
      <c r="D54" s="14" t="s">
        <v>203</v>
      </c>
      <c r="E54" s="217" t="s">
        <v>1067</v>
      </c>
      <c r="F54" s="217" t="s">
        <v>1572</v>
      </c>
      <c r="G54" s="218">
        <v>28306</v>
      </c>
      <c r="H54" s="217" t="s">
        <v>830</v>
      </c>
      <c r="I54" s="217" t="s">
        <v>1573</v>
      </c>
      <c r="J54" s="217" t="s">
        <v>1574</v>
      </c>
      <c r="K54" s="217" t="s">
        <v>91</v>
      </c>
      <c r="L54" s="220">
        <v>342108581</v>
      </c>
      <c r="M54" s="206">
        <v>116198537</v>
      </c>
      <c r="N54" s="206">
        <v>225910045</v>
      </c>
      <c r="O54" s="206">
        <v>202589425</v>
      </c>
      <c r="P54" s="206">
        <v>26820420</v>
      </c>
      <c r="Q54" s="206">
        <v>25169767</v>
      </c>
      <c r="R54" s="206">
        <v>18699263</v>
      </c>
      <c r="S54" s="207">
        <v>19522575</v>
      </c>
      <c r="T54" s="207">
        <v>1657925</v>
      </c>
      <c r="U54" s="207">
        <f>5981170+3346417</f>
        <v>9327587</v>
      </c>
      <c r="V54" s="207">
        <f>3032463+402780+279400</f>
        <v>3714643</v>
      </c>
      <c r="W54" s="207">
        <v>0</v>
      </c>
      <c r="X54" s="207">
        <v>0</v>
      </c>
      <c r="Z54" s="207">
        <v>0</v>
      </c>
      <c r="AA54" s="207">
        <v>0</v>
      </c>
      <c r="AB54" s="176">
        <f t="shared" si="49"/>
        <v>13042230</v>
      </c>
      <c r="AC54" s="177">
        <f t="shared" si="25"/>
        <v>66.805890104148659</v>
      </c>
      <c r="AD54" s="177">
        <f t="shared" si="50"/>
        <v>42.428748471678375</v>
      </c>
      <c r="AE54" s="26">
        <f t="shared" si="77"/>
        <v>1.2728624541503513</v>
      </c>
      <c r="AF54" s="178">
        <f t="shared" si="26"/>
        <v>73.005796363208901</v>
      </c>
      <c r="AG54" s="178">
        <f t="shared" si="27"/>
        <v>73.005796363208901</v>
      </c>
      <c r="AH54" s="178">
        <f t="shared" si="51"/>
        <v>0</v>
      </c>
      <c r="AI54" s="179">
        <f t="shared" si="52"/>
        <v>100</v>
      </c>
      <c r="AJ54" s="30">
        <f t="shared" si="78"/>
        <v>4</v>
      </c>
      <c r="AK54" s="204">
        <v>5</v>
      </c>
      <c r="AL54" s="204">
        <v>10</v>
      </c>
      <c r="AM54" s="204">
        <v>3</v>
      </c>
      <c r="AN54" s="181">
        <f t="shared" si="2"/>
        <v>15</v>
      </c>
      <c r="AO54" s="182">
        <f t="shared" si="3"/>
        <v>20</v>
      </c>
      <c r="AP54" s="183">
        <f t="shared" si="28"/>
        <v>60</v>
      </c>
      <c r="AQ54" s="38">
        <f t="shared" si="79"/>
        <v>1.2</v>
      </c>
      <c r="AR54" s="212">
        <v>1</v>
      </c>
      <c r="AS54" s="292">
        <f t="shared" si="5"/>
        <v>0.25</v>
      </c>
      <c r="AT54" s="185">
        <f t="shared" si="29"/>
        <v>1.25</v>
      </c>
      <c r="AU54" s="185">
        <f t="shared" si="30"/>
        <v>1</v>
      </c>
      <c r="AV54" s="186">
        <f t="shared" si="6"/>
        <v>0</v>
      </c>
      <c r="AW54" s="179">
        <f t="shared" si="31"/>
        <v>40</v>
      </c>
      <c r="AX54" s="239">
        <f t="shared" si="80"/>
        <v>0.4</v>
      </c>
      <c r="AY54" s="54">
        <v>13</v>
      </c>
      <c r="AZ54" s="54">
        <v>12</v>
      </c>
      <c r="BA54" s="189">
        <f t="shared" si="8"/>
        <v>13</v>
      </c>
      <c r="BB54" s="178">
        <f t="shared" si="32"/>
        <v>92.307692307692307</v>
      </c>
      <c r="BC54" s="179">
        <f t="shared" si="33"/>
        <v>100</v>
      </c>
      <c r="BD54" s="30">
        <f t="shared" si="81"/>
        <v>1</v>
      </c>
      <c r="BE54" s="190">
        <v>16693447</v>
      </c>
      <c r="BF54" s="190">
        <v>1288283</v>
      </c>
      <c r="BG54" s="301">
        <v>0</v>
      </c>
      <c r="BH54" s="191">
        <f t="shared" si="10"/>
        <v>17981730</v>
      </c>
      <c r="BI54" s="178">
        <f t="shared" si="11"/>
        <v>0</v>
      </c>
      <c r="BJ54" s="294" t="str">
        <f t="shared" si="34"/>
        <v>금속/비금속/화학업</v>
      </c>
      <c r="BK54" s="192">
        <f t="shared" si="12"/>
        <v>3.9534118626990464</v>
      </c>
      <c r="BL54" s="193">
        <f t="shared" si="35"/>
        <v>-3.9534118626990464</v>
      </c>
      <c r="BM54" s="241">
        <f t="shared" si="36"/>
        <v>100</v>
      </c>
      <c r="BN54" s="47">
        <f t="shared" si="37"/>
        <v>2</v>
      </c>
      <c r="BO54" s="54">
        <f>5702422-209643</f>
        <v>5492779</v>
      </c>
      <c r="BP54" s="194">
        <f t="shared" si="38"/>
        <v>2.7112861394418784</v>
      </c>
      <c r="BQ54" s="179">
        <f t="shared" si="39"/>
        <v>85</v>
      </c>
      <c r="BR54" s="30">
        <f t="shared" si="82"/>
        <v>1.7</v>
      </c>
      <c r="BS54" s="195">
        <v>8035484.0049999999</v>
      </c>
      <c r="BT54" s="195">
        <v>52409.09</v>
      </c>
      <c r="BU54" s="196">
        <f t="shared" si="40"/>
        <v>7983074.915</v>
      </c>
      <c r="BV54" s="178">
        <f t="shared" si="14"/>
        <v>3.9405190646056671</v>
      </c>
      <c r="BW54" s="192">
        <f t="shared" si="15"/>
        <v>5.1474158565187729</v>
      </c>
      <c r="BX54" s="192">
        <f t="shared" si="41"/>
        <v>1.4565998663301465</v>
      </c>
      <c r="BY54" s="192">
        <f t="shared" si="16"/>
        <v>6.6930498535228526</v>
      </c>
      <c r="BZ54" s="192">
        <f t="shared" si="42"/>
        <v>57.154967670346309</v>
      </c>
      <c r="CA54" s="192">
        <f t="shared" si="17"/>
        <v>55</v>
      </c>
      <c r="CB54" s="55">
        <f t="shared" si="43"/>
        <v>1.1000000000000001</v>
      </c>
      <c r="CC54" s="197">
        <f t="shared" si="83"/>
        <v>51.43575488199297</v>
      </c>
      <c r="CD54" s="198">
        <f t="shared" si="84"/>
        <v>80.99154966759059</v>
      </c>
      <c r="CE54" s="58">
        <f t="shared" si="85"/>
        <v>1.2148732450138588</v>
      </c>
      <c r="CF54" s="245" t="s">
        <v>2326</v>
      </c>
      <c r="CG54" s="245" t="s">
        <v>2326</v>
      </c>
      <c r="CH54" s="245" t="s">
        <v>2326</v>
      </c>
      <c r="CI54" s="245" t="s">
        <v>2326</v>
      </c>
      <c r="CJ54" s="235"/>
      <c r="CK54" s="173" t="s">
        <v>2489</v>
      </c>
      <c r="CL54" s="173" t="s">
        <v>2484</v>
      </c>
      <c r="CM54" s="199">
        <f t="shared" si="44"/>
        <v>100</v>
      </c>
      <c r="CN54" s="58">
        <f t="shared" si="86"/>
        <v>1.5</v>
      </c>
      <c r="CO54" s="54">
        <f>33210000+11987000+1592000</f>
        <v>46789000</v>
      </c>
      <c r="CP54" s="186">
        <f t="shared" si="45"/>
        <v>20.711341100392417</v>
      </c>
      <c r="CQ54" s="179">
        <f t="shared" si="46"/>
        <v>60</v>
      </c>
      <c r="CR54" s="30">
        <f t="shared" si="87"/>
        <v>1.7999999999999998</v>
      </c>
      <c r="CS54" s="200">
        <f>_xlfn.XLOOKUP(C54, '1-1. 관계사체무보증금액 (환율 등)'!$3:$3, '1-1. 관계사체무보증금액 (환율 등)'!$33:$33)</f>
        <v>0</v>
      </c>
      <c r="CT54" s="178">
        <f t="shared" si="23"/>
        <v>0</v>
      </c>
      <c r="CU54" s="179">
        <f t="shared" si="47"/>
        <v>100</v>
      </c>
      <c r="CV54" s="30">
        <f t="shared" si="88"/>
        <v>2</v>
      </c>
      <c r="CW54" s="72">
        <f t="shared" si="48"/>
        <v>19.187735699164207</v>
      </c>
    </row>
    <row r="55" spans="1:101" x14ac:dyDescent="0.6">
      <c r="A55" s="214" t="s">
        <v>464</v>
      </c>
      <c r="B55" s="13" t="s">
        <v>2032</v>
      </c>
      <c r="C55" s="219" t="s">
        <v>314</v>
      </c>
      <c r="D55" s="216" t="s">
        <v>285</v>
      </c>
      <c r="E55" s="217" t="s">
        <v>978</v>
      </c>
      <c r="F55" s="217" t="s">
        <v>332</v>
      </c>
      <c r="G55" s="218">
        <v>42867</v>
      </c>
      <c r="H55" s="217" t="s">
        <v>830</v>
      </c>
      <c r="I55" s="217" t="s">
        <v>206</v>
      </c>
      <c r="J55" s="217" t="s">
        <v>1023</v>
      </c>
      <c r="K55" s="217" t="s">
        <v>407</v>
      </c>
      <c r="L55" s="220">
        <v>1064615087</v>
      </c>
      <c r="M55" s="206">
        <v>672093137</v>
      </c>
      <c r="N55" s="206">
        <v>392521950</v>
      </c>
      <c r="O55" s="206">
        <v>2304288140</v>
      </c>
      <c r="P55" s="206">
        <v>25053659</v>
      </c>
      <c r="Q55" s="206">
        <v>30627192</v>
      </c>
      <c r="R55" s="206">
        <v>23488574</v>
      </c>
      <c r="S55" s="207">
        <v>5895406</v>
      </c>
      <c r="T55" s="207">
        <v>4979</v>
      </c>
      <c r="U55" s="207">
        <f>2183789+77655</f>
        <v>2261444</v>
      </c>
      <c r="V55" s="207">
        <f>146991+20000*3+5000*2</f>
        <v>216991</v>
      </c>
      <c r="W55" s="207">
        <v>0</v>
      </c>
      <c r="X55" s="207">
        <v>0</v>
      </c>
      <c r="Z55" s="207">
        <f>456207+101525+29130</f>
        <v>586862</v>
      </c>
      <c r="AA55" s="207">
        <v>0</v>
      </c>
      <c r="AB55" s="176">
        <f t="shared" si="49"/>
        <v>3065297</v>
      </c>
      <c r="AC55" s="177">
        <f t="shared" si="25"/>
        <v>51.994671783419157</v>
      </c>
      <c r="AD55" s="177">
        <f t="shared" si="50"/>
        <v>55.211733213389685</v>
      </c>
      <c r="AE55" s="26">
        <f t="shared" si="77"/>
        <v>1.6563519964016904</v>
      </c>
      <c r="AF55" s="178">
        <f t="shared" si="26"/>
        <v>42.075642394006415</v>
      </c>
      <c r="AG55" s="178">
        <f t="shared" si="27"/>
        <v>52.038621308777792</v>
      </c>
      <c r="AH55" s="178">
        <f t="shared" si="51"/>
        <v>9.9629789147713765</v>
      </c>
      <c r="AI55" s="179">
        <f t="shared" si="52"/>
        <v>100</v>
      </c>
      <c r="AJ55" s="30">
        <f t="shared" si="78"/>
        <v>4</v>
      </c>
      <c r="AK55" s="204">
        <v>5</v>
      </c>
      <c r="AL55" s="204">
        <v>4</v>
      </c>
      <c r="AM55" s="204">
        <v>1</v>
      </c>
      <c r="AN55" s="181">
        <f t="shared" si="2"/>
        <v>9</v>
      </c>
      <c r="AO55" s="182">
        <f t="shared" si="3"/>
        <v>11.111111111111111</v>
      </c>
      <c r="AP55" s="183">
        <f t="shared" si="28"/>
        <v>80</v>
      </c>
      <c r="AQ55" s="38">
        <f t="shared" si="79"/>
        <v>1.6</v>
      </c>
      <c r="AR55" s="212">
        <v>1</v>
      </c>
      <c r="AS55" s="292">
        <f t="shared" si="5"/>
        <v>0.25</v>
      </c>
      <c r="AT55" s="185">
        <f t="shared" si="29"/>
        <v>1.25</v>
      </c>
      <c r="AU55" s="185">
        <f t="shared" si="30"/>
        <v>1</v>
      </c>
      <c r="AV55" s="186">
        <f t="shared" si="6"/>
        <v>0</v>
      </c>
      <c r="AW55" s="179">
        <f t="shared" si="31"/>
        <v>40</v>
      </c>
      <c r="AX55" s="239">
        <f t="shared" si="80"/>
        <v>0.4</v>
      </c>
      <c r="AY55" s="54">
        <v>3</v>
      </c>
      <c r="AZ55" s="54">
        <v>3</v>
      </c>
      <c r="BA55" s="189">
        <f t="shared" si="8"/>
        <v>3</v>
      </c>
      <c r="BB55" s="178">
        <f t="shared" si="32"/>
        <v>100</v>
      </c>
      <c r="BC55" s="179">
        <f t="shared" si="33"/>
        <v>100</v>
      </c>
      <c r="BD55" s="30">
        <f t="shared" si="81"/>
        <v>1</v>
      </c>
      <c r="BE55" s="190">
        <v>27598502</v>
      </c>
      <c r="BF55" s="190">
        <v>2170286</v>
      </c>
      <c r="BG55" s="301">
        <v>0</v>
      </c>
      <c r="BH55" s="191">
        <f t="shared" si="10"/>
        <v>29768788</v>
      </c>
      <c r="BI55" s="178">
        <f t="shared" si="11"/>
        <v>0</v>
      </c>
      <c r="BJ55" s="294" t="str">
        <f t="shared" si="34"/>
        <v>비제조/서비스업</v>
      </c>
      <c r="BK55" s="192">
        <f t="shared" si="12"/>
        <v>1.7464434573900924</v>
      </c>
      <c r="BL55" s="193">
        <f t="shared" si="35"/>
        <v>-1.7464434573900924</v>
      </c>
      <c r="BM55" s="241">
        <f t="shared" si="36"/>
        <v>80</v>
      </c>
      <c r="BN55" s="47">
        <f t="shared" si="37"/>
        <v>1.6</v>
      </c>
      <c r="BO55" s="54">
        <v>0</v>
      </c>
      <c r="BP55" s="194">
        <f t="shared" si="38"/>
        <v>0</v>
      </c>
      <c r="BQ55" s="179">
        <f t="shared" si="39"/>
        <v>25</v>
      </c>
      <c r="BR55" s="30">
        <f t="shared" si="82"/>
        <v>0.5</v>
      </c>
      <c r="BS55" s="195">
        <v>26842613.916999999</v>
      </c>
      <c r="BT55" s="195">
        <v>308877.06</v>
      </c>
      <c r="BU55" s="196">
        <f t="shared" si="40"/>
        <v>26533736.857000001</v>
      </c>
      <c r="BV55" s="178">
        <f t="shared" si="14"/>
        <v>1.1514938777144423</v>
      </c>
      <c r="BW55" s="192">
        <f t="shared" si="15"/>
        <v>2.8482825397737606</v>
      </c>
      <c r="BX55" s="192">
        <f t="shared" si="41"/>
        <v>2.8790917636930513</v>
      </c>
      <c r="BY55" s="192">
        <f t="shared" si="16"/>
        <v>5.5697595856656799</v>
      </c>
      <c r="BZ55" s="192">
        <f t="shared" si="42"/>
        <v>61.968099361638586</v>
      </c>
      <c r="CA55" s="192">
        <f t="shared" si="17"/>
        <v>40</v>
      </c>
      <c r="CB55" s="55">
        <f t="shared" si="43"/>
        <v>0.8</v>
      </c>
      <c r="CC55" s="197">
        <f t="shared" si="83"/>
        <v>171.22434477868055</v>
      </c>
      <c r="CD55" s="198">
        <f t="shared" si="84"/>
        <v>35.845096188939493</v>
      </c>
      <c r="CE55" s="58">
        <f t="shared" si="85"/>
        <v>0.53767644283409233</v>
      </c>
      <c r="CF55" s="245" t="s">
        <v>2326</v>
      </c>
      <c r="CG55" s="245" t="s">
        <v>2326</v>
      </c>
      <c r="CH55" s="245" t="s">
        <v>2326</v>
      </c>
      <c r="CI55" s="245" t="s">
        <v>2326</v>
      </c>
      <c r="CJ55" s="235"/>
      <c r="CK55" s="173" t="s">
        <v>2491</v>
      </c>
      <c r="CL55" s="173" t="s">
        <v>2478</v>
      </c>
      <c r="CM55" s="199">
        <f t="shared" si="44"/>
        <v>25</v>
      </c>
      <c r="CN55" s="58">
        <f t="shared" si="86"/>
        <v>0.375</v>
      </c>
      <c r="CO55" s="54">
        <f>14028000-800000-1028000-10932000</f>
        <v>1268000</v>
      </c>
      <c r="CP55" s="186">
        <f t="shared" si="45"/>
        <v>0.32303925933314048</v>
      </c>
      <c r="CQ55" s="179">
        <f t="shared" si="46"/>
        <v>100</v>
      </c>
      <c r="CR55" s="30">
        <f t="shared" si="87"/>
        <v>3</v>
      </c>
      <c r="CS55" s="200">
        <f>_xlfn.XLOOKUP(C55, '1-1. 관계사체무보증금액 (환율 등)'!$3:$3, '1-1. 관계사체무보증금액 (환율 등)'!$33:$33)</f>
        <v>707000</v>
      </c>
      <c r="CT55" s="178">
        <f t="shared" si="23"/>
        <v>0.18011731573227943</v>
      </c>
      <c r="CU55" s="179">
        <f t="shared" si="47"/>
        <v>100</v>
      </c>
      <c r="CV55" s="30">
        <f t="shared" si="88"/>
        <v>2</v>
      </c>
      <c r="CW55" s="72">
        <f t="shared" si="48"/>
        <v>17.469028439235785</v>
      </c>
    </row>
    <row r="56" spans="1:101" x14ac:dyDescent="0.6">
      <c r="A56" s="214" t="s">
        <v>489</v>
      </c>
      <c r="B56" s="13" t="s">
        <v>2033</v>
      </c>
      <c r="C56" s="219" t="s">
        <v>474</v>
      </c>
      <c r="D56" s="216" t="s">
        <v>285</v>
      </c>
      <c r="E56" s="217" t="s">
        <v>867</v>
      </c>
      <c r="F56" s="217" t="s">
        <v>1225</v>
      </c>
      <c r="G56" s="218">
        <v>35094</v>
      </c>
      <c r="H56" s="217" t="s">
        <v>830</v>
      </c>
      <c r="I56" s="217" t="s">
        <v>1575</v>
      </c>
      <c r="J56" s="217" t="s">
        <v>1065</v>
      </c>
      <c r="K56" s="217" t="s">
        <v>934</v>
      </c>
      <c r="L56" s="220">
        <v>1800240035</v>
      </c>
      <c r="M56" s="206">
        <v>1098232792</v>
      </c>
      <c r="N56" s="206">
        <v>702007244</v>
      </c>
      <c r="O56" s="206">
        <v>2052333741</v>
      </c>
      <c r="P56" s="206">
        <v>96367097</v>
      </c>
      <c r="Q56" s="206">
        <v>87514929</v>
      </c>
      <c r="R56" s="206">
        <v>58220411</v>
      </c>
      <c r="S56" s="207">
        <v>8930907</v>
      </c>
      <c r="T56" s="207">
        <v>73110</v>
      </c>
      <c r="U56" s="207">
        <v>2041970</v>
      </c>
      <c r="V56" s="207">
        <f>155474+98824+107525*4+97525+58136+50354+10000+4350+9680</f>
        <v>914443</v>
      </c>
      <c r="W56" s="207">
        <v>0</v>
      </c>
      <c r="X56" s="207">
        <v>499900</v>
      </c>
      <c r="Y56" s="208" t="s">
        <v>2412</v>
      </c>
      <c r="Z56" s="207">
        <v>0</v>
      </c>
      <c r="AA56" s="207">
        <v>0</v>
      </c>
      <c r="AB56" s="176">
        <f t="shared" si="49"/>
        <v>3456313</v>
      </c>
      <c r="AC56" s="177">
        <f t="shared" si="25"/>
        <v>38.700582146919679</v>
      </c>
      <c r="AD56" s="177">
        <f t="shared" si="50"/>
        <v>66.685343371473238</v>
      </c>
      <c r="AE56" s="26">
        <f t="shared" si="77"/>
        <v>2.0005603011441973</v>
      </c>
      <c r="AF56" s="178">
        <f t="shared" si="26"/>
        <v>33.376391443606124</v>
      </c>
      <c r="AG56" s="178">
        <f t="shared" si="27"/>
        <v>39.02000689336186</v>
      </c>
      <c r="AH56" s="178">
        <f t="shared" si="51"/>
        <v>5.6436154497557354</v>
      </c>
      <c r="AI56" s="179">
        <f t="shared" si="52"/>
        <v>100</v>
      </c>
      <c r="AJ56" s="30">
        <f t="shared" si="78"/>
        <v>4</v>
      </c>
      <c r="AK56" s="204">
        <v>10</v>
      </c>
      <c r="AL56" s="204">
        <v>41</v>
      </c>
      <c r="AM56" s="204">
        <v>1</v>
      </c>
      <c r="AN56" s="181">
        <f t="shared" si="2"/>
        <v>51</v>
      </c>
      <c r="AO56" s="182">
        <f t="shared" si="3"/>
        <v>1.9607843137254901</v>
      </c>
      <c r="AP56" s="183">
        <f t="shared" si="28"/>
        <v>100</v>
      </c>
      <c r="AQ56" s="38">
        <f t="shared" si="79"/>
        <v>2</v>
      </c>
      <c r="AR56" s="212">
        <v>3</v>
      </c>
      <c r="AS56" s="292">
        <f t="shared" si="5"/>
        <v>0.25</v>
      </c>
      <c r="AT56" s="185">
        <f t="shared" si="29"/>
        <v>2.5</v>
      </c>
      <c r="AU56" s="185">
        <f t="shared" si="30"/>
        <v>2</v>
      </c>
      <c r="AV56" s="186">
        <f t="shared" si="6"/>
        <v>10</v>
      </c>
      <c r="AW56" s="179">
        <f t="shared" si="31"/>
        <v>60</v>
      </c>
      <c r="AX56" s="239">
        <f t="shared" si="80"/>
        <v>0.6</v>
      </c>
      <c r="AY56" s="54">
        <v>43</v>
      </c>
      <c r="AZ56" s="54">
        <f>43*3-22</f>
        <v>107</v>
      </c>
      <c r="BA56" s="189">
        <f t="shared" si="8"/>
        <v>129</v>
      </c>
      <c r="BB56" s="178">
        <f t="shared" si="32"/>
        <v>82.945736434108525</v>
      </c>
      <c r="BC56" s="179">
        <f t="shared" si="33"/>
        <v>75</v>
      </c>
      <c r="BD56" s="30">
        <f t="shared" si="81"/>
        <v>0.75</v>
      </c>
      <c r="BE56" s="190">
        <v>28364632</v>
      </c>
      <c r="BF56" s="190">
        <v>1812693</v>
      </c>
      <c r="BG56" s="54">
        <v>1252782</v>
      </c>
      <c r="BH56" s="191">
        <f t="shared" si="10"/>
        <v>30177325</v>
      </c>
      <c r="BI56" s="178">
        <f t="shared" si="11"/>
        <v>4.1514017561198679</v>
      </c>
      <c r="BJ56" s="294" t="str">
        <f t="shared" si="34"/>
        <v>비제조/서비스업</v>
      </c>
      <c r="BK56" s="192">
        <f t="shared" si="12"/>
        <v>1.7464434573900924</v>
      </c>
      <c r="BL56" s="193">
        <f t="shared" si="35"/>
        <v>2.4049582987297757</v>
      </c>
      <c r="BM56" s="241">
        <f t="shared" si="36"/>
        <v>40</v>
      </c>
      <c r="BN56" s="47">
        <f t="shared" si="37"/>
        <v>0.8</v>
      </c>
      <c r="BO56" s="54">
        <v>2467634</v>
      </c>
      <c r="BP56" s="194">
        <f t="shared" si="38"/>
        <v>0.12023551290433129</v>
      </c>
      <c r="BQ56" s="179">
        <f t="shared" si="39"/>
        <v>55</v>
      </c>
      <c r="BR56" s="30">
        <f t="shared" si="82"/>
        <v>1.1000000000000001</v>
      </c>
      <c r="BS56" s="195">
        <v>214983.64499999999</v>
      </c>
      <c r="BT56" s="195">
        <v>15000</v>
      </c>
      <c r="BU56" s="196">
        <f t="shared" si="40"/>
        <v>199983.64499999999</v>
      </c>
      <c r="BV56" s="178">
        <f t="shared" si="14"/>
        <v>9.7442068511994512E-3</v>
      </c>
      <c r="BW56" s="192">
        <f t="shared" si="15"/>
        <v>2.8482825397737606</v>
      </c>
      <c r="BX56" s="192">
        <f t="shared" si="41"/>
        <v>8.0572998674707943</v>
      </c>
      <c r="BY56" s="192">
        <f t="shared" si="16"/>
        <v>5.5697595856656799</v>
      </c>
      <c r="BZ56" s="192">
        <f t="shared" si="42"/>
        <v>69.484601736525477</v>
      </c>
      <c r="CA56" s="192">
        <f t="shared" si="17"/>
        <v>40</v>
      </c>
      <c r="CB56" s="55">
        <f t="shared" si="43"/>
        <v>0.8</v>
      </c>
      <c r="CC56" s="197">
        <f t="shared" si="83"/>
        <v>156.44180332703232</v>
      </c>
      <c r="CD56" s="198">
        <f t="shared" si="84"/>
        <v>41.416405781269226</v>
      </c>
      <c r="CE56" s="58">
        <f t="shared" si="85"/>
        <v>0.62124608671903836</v>
      </c>
      <c r="CF56" s="245" t="s">
        <v>2326</v>
      </c>
      <c r="CG56" s="245" t="s">
        <v>2326</v>
      </c>
      <c r="CH56" s="245" t="s">
        <v>2326</v>
      </c>
      <c r="CI56" s="245" t="s">
        <v>2326</v>
      </c>
      <c r="CJ56" s="235"/>
      <c r="CK56" s="173" t="s">
        <v>2492</v>
      </c>
      <c r="CL56" s="173" t="s">
        <v>2493</v>
      </c>
      <c r="CM56" s="199">
        <f t="shared" si="44"/>
        <v>40</v>
      </c>
      <c r="CN56" s="58">
        <f t="shared" si="86"/>
        <v>0.6</v>
      </c>
      <c r="CO56" s="54">
        <f>120356000+19789000+20814000+17451000+3200000+2185000+3250000+160000</f>
        <v>187205000</v>
      </c>
      <c r="CP56" s="186">
        <f t="shared" si="45"/>
        <v>26.667103737180238</v>
      </c>
      <c r="CQ56" s="179">
        <f t="shared" si="46"/>
        <v>60</v>
      </c>
      <c r="CR56" s="30">
        <f t="shared" si="87"/>
        <v>1.7999999999999998</v>
      </c>
      <c r="CS56" s="200">
        <f>_xlfn.XLOOKUP(C56, '1-1. 관계사체무보증금액 (환율 등)'!$3:$3, '1-1. 관계사체무보증금액 (환율 등)'!$33:$33)</f>
        <v>313559000</v>
      </c>
      <c r="CT56" s="178">
        <f t="shared" si="23"/>
        <v>44.666063303472122</v>
      </c>
      <c r="CU56" s="179">
        <f t="shared" si="47"/>
        <v>40</v>
      </c>
      <c r="CV56" s="30">
        <f t="shared" si="88"/>
        <v>0.8</v>
      </c>
      <c r="CW56" s="72">
        <f t="shared" si="48"/>
        <v>15.871806387863238</v>
      </c>
    </row>
    <row r="57" spans="1:101" x14ac:dyDescent="0.6">
      <c r="A57" s="214" t="s">
        <v>5</v>
      </c>
      <c r="B57" s="13" t="s">
        <v>2034</v>
      </c>
      <c r="C57" s="219" t="s">
        <v>514</v>
      </c>
      <c r="D57" s="216" t="s">
        <v>191</v>
      </c>
      <c r="E57" s="217" t="s">
        <v>1020</v>
      </c>
      <c r="F57" s="217" t="s">
        <v>1078</v>
      </c>
      <c r="G57" s="218">
        <v>33252</v>
      </c>
      <c r="H57" s="217" t="s">
        <v>830</v>
      </c>
      <c r="I57" s="217" t="s">
        <v>994</v>
      </c>
      <c r="J57" s="217" t="s">
        <v>1021</v>
      </c>
      <c r="K57" s="217" t="s">
        <v>484</v>
      </c>
      <c r="L57" s="220">
        <v>252929703</v>
      </c>
      <c r="M57" s="206">
        <v>156846243</v>
      </c>
      <c r="N57" s="206">
        <v>96083460</v>
      </c>
      <c r="O57" s="206">
        <v>272260521</v>
      </c>
      <c r="P57" s="206">
        <v>5775173</v>
      </c>
      <c r="Q57" s="206">
        <v>1931650</v>
      </c>
      <c r="R57" s="206">
        <v>1853171</v>
      </c>
      <c r="S57" s="207">
        <v>24939425</v>
      </c>
      <c r="T57" s="207">
        <v>268005</v>
      </c>
      <c r="U57" s="207">
        <v>11818500</v>
      </c>
      <c r="V57" s="207">
        <v>0</v>
      </c>
      <c r="W57" s="207">
        <v>2010</v>
      </c>
      <c r="X57" s="207">
        <v>0</v>
      </c>
      <c r="Z57" s="207">
        <v>0</v>
      </c>
      <c r="AA57" s="207">
        <v>0</v>
      </c>
      <c r="AB57" s="176">
        <f t="shared" si="49"/>
        <v>11820510</v>
      </c>
      <c r="AC57" s="177">
        <f t="shared" si="25"/>
        <v>47.396882646652841</v>
      </c>
      <c r="AD57" s="177">
        <f t="shared" si="50"/>
        <v>59.179905655938285</v>
      </c>
      <c r="AE57" s="26">
        <f t="shared" si="77"/>
        <v>1.7753971696781485</v>
      </c>
      <c r="AF57" s="178">
        <f t="shared" si="26"/>
        <v>47.903606683360742</v>
      </c>
      <c r="AG57" s="178">
        <f t="shared" si="27"/>
        <v>47.911753762045315</v>
      </c>
      <c r="AH57" s="178">
        <f t="shared" si="51"/>
        <v>8.1470786845727616E-3</v>
      </c>
      <c r="AI57" s="179">
        <f t="shared" si="52"/>
        <v>100</v>
      </c>
      <c r="AJ57" s="30">
        <f t="shared" si="78"/>
        <v>4</v>
      </c>
      <c r="AK57" s="204">
        <v>7</v>
      </c>
      <c r="AL57" s="204">
        <v>7</v>
      </c>
      <c r="AM57" s="204">
        <v>0</v>
      </c>
      <c r="AN57" s="181">
        <f t="shared" si="2"/>
        <v>14</v>
      </c>
      <c r="AO57" s="182">
        <f t="shared" si="3"/>
        <v>0</v>
      </c>
      <c r="AP57" s="183">
        <f t="shared" si="28"/>
        <v>100</v>
      </c>
      <c r="AQ57" s="38">
        <f t="shared" si="79"/>
        <v>2</v>
      </c>
      <c r="AR57" s="212">
        <v>3</v>
      </c>
      <c r="AS57" s="292">
        <f t="shared" si="5"/>
        <v>0.25</v>
      </c>
      <c r="AT57" s="185">
        <f t="shared" si="29"/>
        <v>1.75</v>
      </c>
      <c r="AU57" s="185">
        <f t="shared" si="30"/>
        <v>1</v>
      </c>
      <c r="AV57" s="186">
        <f t="shared" si="6"/>
        <v>28.571428571428569</v>
      </c>
      <c r="AW57" s="179">
        <f t="shared" si="31"/>
        <v>80</v>
      </c>
      <c r="AX57" s="239">
        <f t="shared" si="80"/>
        <v>0.8</v>
      </c>
      <c r="AY57" s="54">
        <v>24</v>
      </c>
      <c r="AZ57" s="54">
        <f>24*3</f>
        <v>72</v>
      </c>
      <c r="BA57" s="189">
        <f t="shared" si="8"/>
        <v>72</v>
      </c>
      <c r="BB57" s="178">
        <f t="shared" si="32"/>
        <v>100</v>
      </c>
      <c r="BC57" s="179">
        <f t="shared" si="33"/>
        <v>100</v>
      </c>
      <c r="BD57" s="30">
        <f t="shared" si="81"/>
        <v>1</v>
      </c>
      <c r="BE57" s="190">
        <v>6106597</v>
      </c>
      <c r="BF57" s="190">
        <v>691565</v>
      </c>
      <c r="BG57" s="54">
        <v>449043</v>
      </c>
      <c r="BH57" s="191">
        <f t="shared" si="10"/>
        <v>6798162</v>
      </c>
      <c r="BI57" s="178">
        <f t="shared" si="11"/>
        <v>6.6053589190725379</v>
      </c>
      <c r="BJ57" s="294" t="str">
        <f t="shared" si="34"/>
        <v>식약/섬유/종이업</v>
      </c>
      <c r="BK57" s="192">
        <f t="shared" si="12"/>
        <v>2.1999360555264444</v>
      </c>
      <c r="BL57" s="193">
        <f t="shared" si="35"/>
        <v>4.405422863546093</v>
      </c>
      <c r="BM57" s="241">
        <f t="shared" si="36"/>
        <v>40</v>
      </c>
      <c r="BN57" s="47">
        <f t="shared" si="37"/>
        <v>0.8</v>
      </c>
      <c r="BO57" s="54">
        <v>691000</v>
      </c>
      <c r="BP57" s="194">
        <f t="shared" si="38"/>
        <v>0.25380102758269529</v>
      </c>
      <c r="BQ57" s="179">
        <f t="shared" si="39"/>
        <v>55</v>
      </c>
      <c r="BR57" s="30">
        <f t="shared" si="82"/>
        <v>1.1000000000000001</v>
      </c>
      <c r="BS57" s="195">
        <v>12492849.416999999</v>
      </c>
      <c r="BT57" s="195">
        <v>233346.87100000001</v>
      </c>
      <c r="BU57" s="196">
        <f t="shared" si="40"/>
        <v>12259502.546</v>
      </c>
      <c r="BV57" s="178">
        <f t="shared" si="14"/>
        <v>4.5028572269572642</v>
      </c>
      <c r="BW57" s="192">
        <f t="shared" si="15"/>
        <v>5.0508176117342281</v>
      </c>
      <c r="BX57" s="192">
        <f t="shared" si="41"/>
        <v>0.30026058328491828</v>
      </c>
      <c r="BY57" s="192">
        <f t="shared" si="16"/>
        <v>6.9871618081220941</v>
      </c>
      <c r="BZ57" s="192">
        <f t="shared" si="42"/>
        <v>53.125456332851215</v>
      </c>
      <c r="CA57" s="192">
        <f t="shared" si="17"/>
        <v>55</v>
      </c>
      <c r="CB57" s="55">
        <f t="shared" si="43"/>
        <v>1.1000000000000001</v>
      </c>
      <c r="CC57" s="197">
        <f t="shared" si="83"/>
        <v>163.2395867093046</v>
      </c>
      <c r="CD57" s="198">
        <f t="shared" si="84"/>
        <v>38.854427119608815</v>
      </c>
      <c r="CE57" s="58">
        <f t="shared" si="85"/>
        <v>0.58281640679413216</v>
      </c>
      <c r="CF57" s="245" t="s">
        <v>2326</v>
      </c>
      <c r="CG57" s="245" t="s">
        <v>2326</v>
      </c>
      <c r="CH57" s="245" t="s">
        <v>2326</v>
      </c>
      <c r="CI57" s="245" t="s">
        <v>2326</v>
      </c>
      <c r="CJ57" s="235"/>
      <c r="CK57" s="173" t="s">
        <v>2479</v>
      </c>
      <c r="CL57" s="173" t="s">
        <v>2478</v>
      </c>
      <c r="CM57" s="199">
        <f t="shared" si="44"/>
        <v>25</v>
      </c>
      <c r="CN57" s="58">
        <f t="shared" si="86"/>
        <v>0.375</v>
      </c>
      <c r="CO57" s="54">
        <f>1102000+11040000+1000000+900000+37000+834000+5252000+5379000</f>
        <v>25544000</v>
      </c>
      <c r="CP57" s="186">
        <f t="shared" si="45"/>
        <v>26.585220806994254</v>
      </c>
      <c r="CQ57" s="179">
        <f t="shared" si="46"/>
        <v>60</v>
      </c>
      <c r="CR57" s="30">
        <f t="shared" si="87"/>
        <v>1.7999999999999998</v>
      </c>
      <c r="CS57" s="200">
        <f>_xlfn.XLOOKUP(C57, '1-1. 관계사체무보증금액 (환율 등)'!$3:$3, '1-1. 관계사체무보증금액 (환율 등)'!$33:$33)</f>
        <v>0</v>
      </c>
      <c r="CT57" s="178">
        <f t="shared" si="23"/>
        <v>0</v>
      </c>
      <c r="CU57" s="179">
        <f t="shared" si="47"/>
        <v>100</v>
      </c>
      <c r="CV57" s="30">
        <f t="shared" si="88"/>
        <v>2</v>
      </c>
      <c r="CW57" s="72">
        <f t="shared" si="48"/>
        <v>17.333213576472282</v>
      </c>
    </row>
    <row r="58" spans="1:101" x14ac:dyDescent="0.6">
      <c r="A58" s="214" t="s">
        <v>896</v>
      </c>
      <c r="B58" s="13" t="s">
        <v>2035</v>
      </c>
      <c r="C58" s="219" t="s">
        <v>501</v>
      </c>
      <c r="D58" s="216" t="s">
        <v>203</v>
      </c>
      <c r="E58" s="217" t="s">
        <v>200</v>
      </c>
      <c r="F58" s="217" t="s">
        <v>173</v>
      </c>
      <c r="G58" s="218">
        <v>33082</v>
      </c>
      <c r="H58" s="217" t="s">
        <v>830</v>
      </c>
      <c r="I58" s="217" t="s">
        <v>1576</v>
      </c>
      <c r="J58" s="217" t="s">
        <v>1237</v>
      </c>
      <c r="K58" s="217" t="s">
        <v>91</v>
      </c>
      <c r="L58" s="220">
        <v>10091235345</v>
      </c>
      <c r="M58" s="206">
        <v>1690777750</v>
      </c>
      <c r="N58" s="206">
        <v>8400457595</v>
      </c>
      <c r="O58" s="206">
        <v>8081377635</v>
      </c>
      <c r="P58" s="206">
        <v>931364084</v>
      </c>
      <c r="Q58" s="206">
        <v>876898600</v>
      </c>
      <c r="R58" s="206">
        <v>656193706</v>
      </c>
      <c r="S58" s="207">
        <v>19863158</v>
      </c>
      <c r="T58" s="207">
        <v>0</v>
      </c>
      <c r="U58" s="207">
        <v>5186797</v>
      </c>
      <c r="V58" s="207">
        <f>721798+24912+342507+2686+2259+96422+160009+1450+1450+300165+1465+1209+170412+54429+382+430+332093+38182+34726+311618+9646+23625+39858+15000+77886+71626+3941+11325+260+33665+31769</f>
        <v>2917205</v>
      </c>
      <c r="W58" s="207">
        <f>721798+24912+525+500</f>
        <v>747735</v>
      </c>
      <c r="X58" s="207">
        <f>7450+54405</f>
        <v>61855</v>
      </c>
      <c r="Y58" s="208" t="s">
        <v>2413</v>
      </c>
      <c r="Z58" s="207">
        <f>186700+320212+70959+97225+11800</f>
        <v>686896</v>
      </c>
      <c r="AA58" s="207">
        <v>374745</v>
      </c>
      <c r="AB58" s="176">
        <f t="shared" si="49"/>
        <v>9600488</v>
      </c>
      <c r="AC58" s="177">
        <f t="shared" si="25"/>
        <v>48.33314017841473</v>
      </c>
      <c r="AD58" s="177">
        <f t="shared" si="50"/>
        <v>58.371858304014907</v>
      </c>
      <c r="AE58" s="26">
        <f t="shared" si="77"/>
        <v>1.7511557491204472</v>
      </c>
      <c r="AF58" s="178">
        <f t="shared" si="26"/>
        <v>41.583693859525653</v>
      </c>
      <c r="AG58" s="178">
        <f t="shared" si="27"/>
        <v>47.33963201621394</v>
      </c>
      <c r="AH58" s="178">
        <f t="shared" si="51"/>
        <v>5.7559381566882877</v>
      </c>
      <c r="AI58" s="179">
        <f t="shared" si="52"/>
        <v>100</v>
      </c>
      <c r="AJ58" s="30">
        <f t="shared" si="78"/>
        <v>4</v>
      </c>
      <c r="AK58" s="204">
        <v>9</v>
      </c>
      <c r="AL58" s="204">
        <v>41</v>
      </c>
      <c r="AM58" s="204">
        <v>2</v>
      </c>
      <c r="AN58" s="181">
        <f t="shared" si="2"/>
        <v>50</v>
      </c>
      <c r="AO58" s="182">
        <f t="shared" si="3"/>
        <v>4</v>
      </c>
      <c r="AP58" s="183">
        <f t="shared" si="28"/>
        <v>100</v>
      </c>
      <c r="AQ58" s="38">
        <f t="shared" si="79"/>
        <v>2</v>
      </c>
      <c r="AR58" s="212">
        <v>6</v>
      </c>
      <c r="AS58" s="292">
        <f t="shared" si="5"/>
        <v>0.5</v>
      </c>
      <c r="AT58" s="185">
        <f t="shared" si="29"/>
        <v>4.5</v>
      </c>
      <c r="AU58" s="185">
        <f t="shared" si="30"/>
        <v>4</v>
      </c>
      <c r="AV58" s="186">
        <f t="shared" si="6"/>
        <v>22.222222222222221</v>
      </c>
      <c r="AW58" s="179">
        <f t="shared" si="31"/>
        <v>80</v>
      </c>
      <c r="AX58" s="239">
        <f t="shared" si="80"/>
        <v>0.8</v>
      </c>
      <c r="AY58" s="54">
        <v>22</v>
      </c>
      <c r="AZ58" s="54">
        <f>22*6-15</f>
        <v>117</v>
      </c>
      <c r="BA58" s="189">
        <f t="shared" si="8"/>
        <v>132</v>
      </c>
      <c r="BB58" s="178">
        <f t="shared" si="32"/>
        <v>88.63636363636364</v>
      </c>
      <c r="BC58" s="179">
        <f t="shared" si="33"/>
        <v>75</v>
      </c>
      <c r="BD58" s="30">
        <f t="shared" si="81"/>
        <v>0.75</v>
      </c>
      <c r="BE58" s="190">
        <v>29796731</v>
      </c>
      <c r="BF58" s="190">
        <v>13220413</v>
      </c>
      <c r="BG58" s="54">
        <v>1439928</v>
      </c>
      <c r="BH58" s="191">
        <f t="shared" si="10"/>
        <v>43017144</v>
      </c>
      <c r="BI58" s="178">
        <f t="shared" si="11"/>
        <v>3.3473351926850374</v>
      </c>
      <c r="BJ58" s="294" t="str">
        <f t="shared" si="34"/>
        <v>금속/비금속/화학업</v>
      </c>
      <c r="BK58" s="192">
        <f t="shared" si="12"/>
        <v>3.9534118626990464</v>
      </c>
      <c r="BL58" s="193">
        <f t="shared" si="35"/>
        <v>-0.606076670014009</v>
      </c>
      <c r="BM58" s="241">
        <f t="shared" si="36"/>
        <v>80</v>
      </c>
      <c r="BN58" s="47">
        <f t="shared" si="37"/>
        <v>1.6</v>
      </c>
      <c r="BO58" s="54">
        <v>7559327</v>
      </c>
      <c r="BP58" s="194">
        <f t="shared" si="38"/>
        <v>9.3540078702187765E-2</v>
      </c>
      <c r="BQ58" s="179">
        <f t="shared" si="39"/>
        <v>40</v>
      </c>
      <c r="BR58" s="30">
        <f t="shared" si="82"/>
        <v>0.8</v>
      </c>
      <c r="BS58" s="195">
        <v>144087360.54100001</v>
      </c>
      <c r="BT58" s="195">
        <v>146136.36300000001</v>
      </c>
      <c r="BU58" s="196">
        <f t="shared" si="40"/>
        <v>143941224.178</v>
      </c>
      <c r="BV58" s="178">
        <f t="shared" si="14"/>
        <v>1.7811471098021521</v>
      </c>
      <c r="BW58" s="192">
        <f t="shared" si="15"/>
        <v>5.1474158565187729</v>
      </c>
      <c r="BX58" s="192">
        <f t="shared" si="41"/>
        <v>11.331765275121089</v>
      </c>
      <c r="BY58" s="192">
        <f t="shared" si="16"/>
        <v>6.6930498535228526</v>
      </c>
      <c r="BZ58" s="192">
        <f t="shared" si="42"/>
        <v>69.250025133299516</v>
      </c>
      <c r="CA58" s="192">
        <f t="shared" si="17"/>
        <v>40</v>
      </c>
      <c r="CB58" s="55">
        <f t="shared" si="43"/>
        <v>0.8</v>
      </c>
      <c r="CC58" s="197">
        <f t="shared" si="83"/>
        <v>20.127210105868048</v>
      </c>
      <c r="CD58" s="198">
        <f t="shared" si="84"/>
        <v>92.791252472662791</v>
      </c>
      <c r="CE58" s="58">
        <f t="shared" si="85"/>
        <v>1.3918687870899418</v>
      </c>
      <c r="CF58" s="245" t="s">
        <v>2326</v>
      </c>
      <c r="CG58" s="245" t="s">
        <v>2326</v>
      </c>
      <c r="CH58" s="245" t="s">
        <v>2326</v>
      </c>
      <c r="CI58" s="245" t="s">
        <v>2326</v>
      </c>
      <c r="CJ58" s="235"/>
      <c r="CK58" s="173" t="s">
        <v>2479</v>
      </c>
      <c r="CL58" s="173" t="s">
        <v>2478</v>
      </c>
      <c r="CM58" s="199">
        <f t="shared" si="44"/>
        <v>25</v>
      </c>
      <c r="CN58" s="58">
        <f t="shared" si="86"/>
        <v>0.375</v>
      </c>
      <c r="CO58" s="54">
        <f>77299000+500000+603000+12804000+616000+15917000+100200000+89151000+952329000+7214000+78347000+3532000+147570000+625000+14755000+592641000</f>
        <v>2094103000</v>
      </c>
      <c r="CP58" s="186">
        <f t="shared" si="45"/>
        <v>24.928439627460556</v>
      </c>
      <c r="CQ58" s="179">
        <f t="shared" si="46"/>
        <v>60</v>
      </c>
      <c r="CR58" s="30">
        <f t="shared" si="87"/>
        <v>1.7999999999999998</v>
      </c>
      <c r="CS58" s="200">
        <f>_xlfn.XLOOKUP(C58, '1-1. 관계사체무보증금액 (환율 등)'!$3:$3, '1-1. 관계사체무보증금액 (환율 등)'!$33:$33)</f>
        <v>0</v>
      </c>
      <c r="CT58" s="178">
        <f t="shared" si="23"/>
        <v>0</v>
      </c>
      <c r="CU58" s="179">
        <f t="shared" si="47"/>
        <v>100</v>
      </c>
      <c r="CV58" s="30">
        <f t="shared" si="88"/>
        <v>2</v>
      </c>
      <c r="CW58" s="72">
        <f t="shared" si="48"/>
        <v>18.068024536210391</v>
      </c>
    </row>
    <row r="59" spans="1:101" x14ac:dyDescent="0.6">
      <c r="A59" s="214" t="s">
        <v>520</v>
      </c>
      <c r="B59" s="13" t="s">
        <v>2036</v>
      </c>
      <c r="C59" s="219" t="s">
        <v>401</v>
      </c>
      <c r="D59" s="216" t="s">
        <v>203</v>
      </c>
      <c r="E59" s="217" t="s">
        <v>195</v>
      </c>
      <c r="F59" s="217" t="s">
        <v>636</v>
      </c>
      <c r="G59" s="218">
        <v>27905</v>
      </c>
      <c r="H59" s="217" t="s">
        <v>830</v>
      </c>
      <c r="I59" s="217" t="s">
        <v>591</v>
      </c>
      <c r="J59" s="217" t="s">
        <v>1028</v>
      </c>
      <c r="K59" s="217" t="s">
        <v>484</v>
      </c>
      <c r="L59" s="220">
        <v>1426860291</v>
      </c>
      <c r="M59" s="206">
        <v>243570816</v>
      </c>
      <c r="N59" s="206">
        <v>1183289475</v>
      </c>
      <c r="O59" s="206">
        <v>559167200</v>
      </c>
      <c r="P59" s="206">
        <v>43001257</v>
      </c>
      <c r="Q59" s="206">
        <v>60233515</v>
      </c>
      <c r="R59" s="206">
        <v>45128788</v>
      </c>
      <c r="S59" s="207">
        <v>23000000</v>
      </c>
      <c r="T59" s="207">
        <v>7973</v>
      </c>
      <c r="U59" s="207">
        <f>4615665</f>
        <v>4615665</v>
      </c>
      <c r="V59" s="207">
        <f>2641856+909001+323476+35691+29577</f>
        <v>3939601</v>
      </c>
      <c r="W59" s="207">
        <f>1915+6261</f>
        <v>8176</v>
      </c>
      <c r="X59" s="207">
        <v>230008</v>
      </c>
      <c r="Y59" s="208" t="s">
        <v>2414</v>
      </c>
      <c r="Z59" s="207">
        <f>3504812+3248625</f>
        <v>6753437</v>
      </c>
      <c r="AA59" s="207">
        <v>86612</v>
      </c>
      <c r="AB59" s="176">
        <f t="shared" si="49"/>
        <v>15546887</v>
      </c>
      <c r="AC59" s="177">
        <f t="shared" si="25"/>
        <v>67.59516086956522</v>
      </c>
      <c r="AD59" s="177">
        <f t="shared" si="50"/>
        <v>41.747559663781452</v>
      </c>
      <c r="AE59" s="26">
        <f t="shared" si="77"/>
        <v>1.2524267899134436</v>
      </c>
      <c r="AF59" s="178">
        <f t="shared" si="26"/>
        <v>37.350408189504535</v>
      </c>
      <c r="AG59" s="178">
        <f t="shared" si="27"/>
        <v>67.4961575679812</v>
      </c>
      <c r="AH59" s="178">
        <f t="shared" si="51"/>
        <v>30.145749378476665</v>
      </c>
      <c r="AI59" s="179">
        <f t="shared" si="52"/>
        <v>60</v>
      </c>
      <c r="AJ59" s="30">
        <f t="shared" si="78"/>
        <v>2.4</v>
      </c>
      <c r="AK59" s="204">
        <v>10</v>
      </c>
      <c r="AL59" s="204">
        <v>9</v>
      </c>
      <c r="AM59" s="204">
        <v>2</v>
      </c>
      <c r="AN59" s="181">
        <f t="shared" si="2"/>
        <v>19</v>
      </c>
      <c r="AO59" s="182">
        <f t="shared" si="3"/>
        <v>10.526315789473683</v>
      </c>
      <c r="AP59" s="183">
        <f t="shared" si="28"/>
        <v>80</v>
      </c>
      <c r="AQ59" s="38">
        <f t="shared" si="79"/>
        <v>1.6</v>
      </c>
      <c r="AR59" s="212">
        <v>4</v>
      </c>
      <c r="AS59" s="292">
        <f t="shared" si="5"/>
        <v>0.25</v>
      </c>
      <c r="AT59" s="185">
        <f t="shared" si="29"/>
        <v>2.5</v>
      </c>
      <c r="AU59" s="185">
        <f t="shared" si="30"/>
        <v>2</v>
      </c>
      <c r="AV59" s="186">
        <f t="shared" si="6"/>
        <v>20</v>
      </c>
      <c r="AW59" s="179">
        <f t="shared" si="31"/>
        <v>80</v>
      </c>
      <c r="AX59" s="239">
        <f t="shared" si="80"/>
        <v>0.8</v>
      </c>
      <c r="AY59" s="54">
        <v>6</v>
      </c>
      <c r="AZ59" s="54">
        <f>24</f>
        <v>24</v>
      </c>
      <c r="BA59" s="189">
        <f t="shared" si="8"/>
        <v>24</v>
      </c>
      <c r="BB59" s="178">
        <f t="shared" si="32"/>
        <v>100</v>
      </c>
      <c r="BC59" s="179">
        <f t="shared" si="33"/>
        <v>100</v>
      </c>
      <c r="BD59" s="30">
        <f t="shared" si="81"/>
        <v>1</v>
      </c>
      <c r="BE59" s="190">
        <v>14868000</v>
      </c>
      <c r="BF59" s="190">
        <v>1336000</v>
      </c>
      <c r="BG59" s="54">
        <v>1241000</v>
      </c>
      <c r="BH59" s="191">
        <f t="shared" si="10"/>
        <v>16204000</v>
      </c>
      <c r="BI59" s="178">
        <f t="shared" si="11"/>
        <v>7.6586028141199707</v>
      </c>
      <c r="BJ59" s="294" t="str">
        <f t="shared" si="34"/>
        <v>금속/비금속/화학업</v>
      </c>
      <c r="BK59" s="192">
        <f t="shared" si="12"/>
        <v>3.9534118626990464</v>
      </c>
      <c r="BL59" s="193">
        <f t="shared" si="35"/>
        <v>3.7051909514209243</v>
      </c>
      <c r="BM59" s="241">
        <f t="shared" si="36"/>
        <v>40</v>
      </c>
      <c r="BN59" s="47">
        <f t="shared" si="37"/>
        <v>0.8</v>
      </c>
      <c r="BO59" s="54">
        <v>9500000</v>
      </c>
      <c r="BP59" s="194">
        <f t="shared" si="38"/>
        <v>1.6989551604600557</v>
      </c>
      <c r="BQ59" s="179">
        <f t="shared" si="39"/>
        <v>70</v>
      </c>
      <c r="BR59" s="30">
        <f t="shared" si="82"/>
        <v>1.4000000000000001</v>
      </c>
      <c r="BS59" s="195">
        <v>9108388.6089999992</v>
      </c>
      <c r="BT59" s="195">
        <v>985894.598</v>
      </c>
      <c r="BU59" s="196">
        <f t="shared" si="40"/>
        <v>8122494.010999999</v>
      </c>
      <c r="BV59" s="178">
        <f t="shared" si="14"/>
        <v>1.4526055911362468</v>
      </c>
      <c r="BW59" s="192">
        <f t="shared" si="15"/>
        <v>5.1474158565187729</v>
      </c>
      <c r="BX59" s="192">
        <f t="shared" si="41"/>
        <v>13.651622897176093</v>
      </c>
      <c r="BY59" s="192">
        <f t="shared" si="16"/>
        <v>6.6930498535228526</v>
      </c>
      <c r="BZ59" s="192">
        <f t="shared" si="42"/>
        <v>70.953845229304306</v>
      </c>
      <c r="CA59" s="192">
        <f t="shared" si="17"/>
        <v>40</v>
      </c>
      <c r="CB59" s="55">
        <f t="shared" si="43"/>
        <v>0.8</v>
      </c>
      <c r="CC59" s="197">
        <f t="shared" si="83"/>
        <v>20.584212159919701</v>
      </c>
      <c r="CD59" s="198">
        <f t="shared" si="84"/>
        <v>92.619015517618209</v>
      </c>
      <c r="CE59" s="58">
        <f t="shared" si="85"/>
        <v>1.3892852327642731</v>
      </c>
      <c r="CF59" s="245" t="s">
        <v>2326</v>
      </c>
      <c r="CG59" s="245" t="s">
        <v>2326</v>
      </c>
      <c r="CH59" s="245" t="s">
        <v>2326</v>
      </c>
      <c r="CI59" s="245" t="s">
        <v>2326</v>
      </c>
      <c r="CJ59" s="235"/>
      <c r="CK59" s="173" t="s">
        <v>2481</v>
      </c>
      <c r="CL59" s="173" t="s">
        <v>2482</v>
      </c>
      <c r="CM59" s="199">
        <f t="shared" si="44"/>
        <v>55</v>
      </c>
      <c r="CN59" s="58">
        <f t="shared" si="86"/>
        <v>0.82499999999999996</v>
      </c>
      <c r="CO59" s="54">
        <v>544514000</v>
      </c>
      <c r="CP59" s="186">
        <f t="shared" si="45"/>
        <v>46.016973150209083</v>
      </c>
      <c r="CQ59" s="179">
        <f t="shared" si="46"/>
        <v>40</v>
      </c>
      <c r="CR59" s="30">
        <f t="shared" si="87"/>
        <v>1.2</v>
      </c>
      <c r="CS59" s="200">
        <f>_xlfn.XLOOKUP(C59, '1-1. 관계사체무보증금액 (환율 등)'!$3:$3, '1-1. 관계사체무보증금액 (환율 등)'!$33:$33)</f>
        <v>95625477.324988514</v>
      </c>
      <c r="CT59" s="178">
        <f t="shared" si="23"/>
        <v>8.0813257740662756</v>
      </c>
      <c r="CU59" s="179">
        <f t="shared" si="47"/>
        <v>80</v>
      </c>
      <c r="CV59" s="30">
        <f t="shared" si="88"/>
        <v>1.6</v>
      </c>
      <c r="CW59" s="72">
        <f t="shared" si="48"/>
        <v>15.066712022677715</v>
      </c>
    </row>
    <row r="60" spans="1:101" x14ac:dyDescent="0.6">
      <c r="A60" s="214" t="s">
        <v>549</v>
      </c>
      <c r="B60" s="13" t="s">
        <v>2037</v>
      </c>
      <c r="C60" s="219" t="s">
        <v>365</v>
      </c>
      <c r="D60" s="216" t="s">
        <v>191</v>
      </c>
      <c r="E60" s="217" t="s">
        <v>34</v>
      </c>
      <c r="F60" s="217" t="s">
        <v>566</v>
      </c>
      <c r="G60" s="218">
        <v>32829</v>
      </c>
      <c r="H60" s="217" t="s">
        <v>830</v>
      </c>
      <c r="I60" s="217" t="s">
        <v>693</v>
      </c>
      <c r="J60" s="217" t="s">
        <v>974</v>
      </c>
      <c r="K60" s="217" t="s">
        <v>91</v>
      </c>
      <c r="L60" s="220">
        <v>767629606</v>
      </c>
      <c r="M60" s="206">
        <v>261642769</v>
      </c>
      <c r="N60" s="206">
        <v>505986838</v>
      </c>
      <c r="O60" s="206">
        <v>850526444</v>
      </c>
      <c r="P60" s="206">
        <v>33566313</v>
      </c>
      <c r="Q60" s="206">
        <v>31909767</v>
      </c>
      <c r="R60" s="206">
        <v>23739402</v>
      </c>
      <c r="S60" s="207">
        <v>52420851</v>
      </c>
      <c r="T60" s="207">
        <v>11340239</v>
      </c>
      <c r="U60" s="207">
        <v>3455604</v>
      </c>
      <c r="V60" s="207">
        <f>675937+250000*2+23000+58430+50000+198283</f>
        <v>1505650</v>
      </c>
      <c r="W60" s="207">
        <f>1400+640+58758+980+680+620+10+640+1080+980</f>
        <v>65788</v>
      </c>
      <c r="X60" s="207">
        <v>2621042</v>
      </c>
      <c r="Y60" s="208" t="s">
        <v>2415</v>
      </c>
      <c r="Z60" s="207">
        <v>1600000</v>
      </c>
      <c r="AA60" s="207">
        <f>9536000/5000</f>
        <v>1907.2</v>
      </c>
      <c r="AB60" s="176">
        <f t="shared" si="49"/>
        <v>9248084</v>
      </c>
      <c r="AC60" s="177">
        <f t="shared" si="25"/>
        <v>17.641995167152093</v>
      </c>
      <c r="AD60" s="177">
        <f t="shared" si="50"/>
        <v>84.860188290720288</v>
      </c>
      <c r="AE60" s="26">
        <f t="shared" si="77"/>
        <v>2.5458056487216085</v>
      </c>
      <c r="AF60" s="178">
        <f t="shared" si="26"/>
        <v>12.077435313880686</v>
      </c>
      <c r="AG60" s="178">
        <f t="shared" si="27"/>
        <v>22.508442865998056</v>
      </c>
      <c r="AH60" s="178">
        <f t="shared" si="51"/>
        <v>10.43100755211737</v>
      </c>
      <c r="AI60" s="179">
        <f t="shared" si="52"/>
        <v>80</v>
      </c>
      <c r="AJ60" s="30">
        <f t="shared" si="78"/>
        <v>3.2</v>
      </c>
      <c r="AK60" s="204">
        <v>6</v>
      </c>
      <c r="AL60" s="204">
        <v>21</v>
      </c>
      <c r="AM60" s="204">
        <v>2</v>
      </c>
      <c r="AN60" s="181">
        <f t="shared" si="2"/>
        <v>27</v>
      </c>
      <c r="AO60" s="182">
        <f t="shared" si="3"/>
        <v>7.4074074074074066</v>
      </c>
      <c r="AP60" s="183">
        <f t="shared" si="28"/>
        <v>100</v>
      </c>
      <c r="AQ60" s="38">
        <f t="shared" si="79"/>
        <v>2</v>
      </c>
      <c r="AR60" s="212">
        <v>3</v>
      </c>
      <c r="AS60" s="292">
        <f t="shared" si="5"/>
        <v>0.25</v>
      </c>
      <c r="AT60" s="185">
        <f t="shared" si="29"/>
        <v>1.5</v>
      </c>
      <c r="AU60" s="185">
        <f t="shared" si="30"/>
        <v>1</v>
      </c>
      <c r="AV60" s="186">
        <f t="shared" si="6"/>
        <v>33.333333333333329</v>
      </c>
      <c r="AW60" s="179">
        <f t="shared" si="31"/>
        <v>80</v>
      </c>
      <c r="AX60" s="239">
        <f t="shared" si="80"/>
        <v>0.8</v>
      </c>
      <c r="AY60" s="54">
        <v>6</v>
      </c>
      <c r="AZ60" s="54">
        <v>17</v>
      </c>
      <c r="BA60" s="189">
        <f t="shared" si="8"/>
        <v>18</v>
      </c>
      <c r="BB60" s="178">
        <f t="shared" si="32"/>
        <v>94.444444444444443</v>
      </c>
      <c r="BC60" s="179">
        <f t="shared" si="33"/>
        <v>100</v>
      </c>
      <c r="BD60" s="30">
        <f t="shared" si="81"/>
        <v>1</v>
      </c>
      <c r="BE60" s="190">
        <v>50827189</v>
      </c>
      <c r="BF60" s="190">
        <v>6590842</v>
      </c>
      <c r="BG60" s="54">
        <v>730964</v>
      </c>
      <c r="BH60" s="191">
        <f t="shared" si="10"/>
        <v>57418031</v>
      </c>
      <c r="BI60" s="178">
        <f t="shared" si="11"/>
        <v>1.2730565421165347</v>
      </c>
      <c r="BJ60" s="294" t="str">
        <f t="shared" si="34"/>
        <v>식약/섬유/종이업</v>
      </c>
      <c r="BK60" s="192">
        <f t="shared" si="12"/>
        <v>2.1999360555264444</v>
      </c>
      <c r="BL60" s="193">
        <f t="shared" si="35"/>
        <v>-0.92687951340990971</v>
      </c>
      <c r="BM60" s="241">
        <f t="shared" si="36"/>
        <v>80</v>
      </c>
      <c r="BN60" s="47">
        <f t="shared" si="37"/>
        <v>1.6</v>
      </c>
      <c r="BO60" s="54">
        <v>13805000</v>
      </c>
      <c r="BP60" s="194">
        <f t="shared" si="38"/>
        <v>1.6231123790902378</v>
      </c>
      <c r="BQ60" s="179">
        <f t="shared" si="39"/>
        <v>70</v>
      </c>
      <c r="BR60" s="30">
        <f t="shared" si="82"/>
        <v>1.4000000000000001</v>
      </c>
      <c r="BS60" s="195">
        <v>24984269.456</v>
      </c>
      <c r="BT60" s="195">
        <v>267210.54300000001</v>
      </c>
      <c r="BU60" s="196">
        <f t="shared" si="40"/>
        <v>24717058.912999999</v>
      </c>
      <c r="BV60" s="178">
        <f t="shared" si="14"/>
        <v>2.9060894093729082</v>
      </c>
      <c r="BW60" s="192">
        <f t="shared" si="15"/>
        <v>5.0508176117342281</v>
      </c>
      <c r="BX60" s="192">
        <f t="shared" si="41"/>
        <v>4.5998590620040183</v>
      </c>
      <c r="BY60" s="192">
        <f t="shared" si="16"/>
        <v>6.9871618081220941</v>
      </c>
      <c r="BZ60" s="192">
        <f t="shared" si="42"/>
        <v>62.05603134904635</v>
      </c>
      <c r="CA60" s="192">
        <f t="shared" si="17"/>
        <v>40</v>
      </c>
      <c r="CB60" s="55">
        <f t="shared" si="43"/>
        <v>0.8</v>
      </c>
      <c r="CC60" s="197">
        <f t="shared" si="83"/>
        <v>51.709402172235954</v>
      </c>
      <c r="CD60" s="198">
        <f t="shared" si="84"/>
        <v>80.888416266745239</v>
      </c>
      <c r="CE60" s="58">
        <f t="shared" si="85"/>
        <v>1.2133262440011785</v>
      </c>
      <c r="CF60" s="245" t="s">
        <v>2326</v>
      </c>
      <c r="CG60" s="245" t="s">
        <v>2326</v>
      </c>
      <c r="CH60" s="245" t="s">
        <v>2326</v>
      </c>
      <c r="CI60" s="245" t="s">
        <v>2326</v>
      </c>
      <c r="CJ60" s="235"/>
      <c r="CK60" s="173" t="s">
        <v>2485</v>
      </c>
      <c r="CL60" s="173" t="s">
        <v>2482</v>
      </c>
      <c r="CM60" s="199">
        <f t="shared" si="44"/>
        <v>55</v>
      </c>
      <c r="CN60" s="58">
        <f t="shared" si="86"/>
        <v>0.82499999999999996</v>
      </c>
      <c r="CO60" s="54">
        <v>96976000</v>
      </c>
      <c r="CP60" s="186">
        <f t="shared" si="45"/>
        <v>19.165715927179907</v>
      </c>
      <c r="CQ60" s="179">
        <f t="shared" si="46"/>
        <v>60</v>
      </c>
      <c r="CR60" s="30">
        <f t="shared" si="87"/>
        <v>1.7999999999999998</v>
      </c>
      <c r="CS60" s="200">
        <f>_xlfn.XLOOKUP(C60, '1-1. 관계사체무보증금액 (환율 등)'!$3:$3, '1-1. 관계사체무보증금액 (환율 등)'!$33:$33)</f>
        <v>0</v>
      </c>
      <c r="CT60" s="178">
        <f t="shared" si="23"/>
        <v>0</v>
      </c>
      <c r="CU60" s="179">
        <f t="shared" si="47"/>
        <v>100</v>
      </c>
      <c r="CV60" s="30">
        <f t="shared" si="88"/>
        <v>2</v>
      </c>
      <c r="CW60" s="72">
        <f t="shared" si="48"/>
        <v>19.184131892722789</v>
      </c>
    </row>
    <row r="61" spans="1:101" x14ac:dyDescent="0.6">
      <c r="A61" s="214" t="s">
        <v>1577</v>
      </c>
      <c r="B61" s="13" t="s">
        <v>2038</v>
      </c>
      <c r="C61" s="219" t="s">
        <v>101</v>
      </c>
      <c r="D61" s="216" t="s">
        <v>202</v>
      </c>
      <c r="E61" s="217" t="s">
        <v>382</v>
      </c>
      <c r="F61" s="217" t="s">
        <v>127</v>
      </c>
      <c r="G61" s="218">
        <v>33130</v>
      </c>
      <c r="H61" s="217" t="s">
        <v>830</v>
      </c>
      <c r="I61" s="217" t="s">
        <v>369</v>
      </c>
      <c r="J61" s="217" t="s">
        <v>1032</v>
      </c>
      <c r="K61" s="217" t="s">
        <v>690</v>
      </c>
      <c r="L61" s="220">
        <v>153664335</v>
      </c>
      <c r="M61" s="206">
        <v>48649816</v>
      </c>
      <c r="N61" s="206">
        <v>105014518</v>
      </c>
      <c r="O61" s="206">
        <v>130228176</v>
      </c>
      <c r="P61" s="206">
        <v>4340165</v>
      </c>
      <c r="Q61" s="206">
        <v>4654301</v>
      </c>
      <c r="R61" s="206">
        <v>4153557</v>
      </c>
      <c r="S61" s="207">
        <v>43337615</v>
      </c>
      <c r="T61" s="207">
        <v>864980</v>
      </c>
      <c r="U61" s="207">
        <f>6496572*2</f>
        <v>12993144</v>
      </c>
      <c r="V61" s="207">
        <v>405508</v>
      </c>
      <c r="W61" s="207">
        <v>0</v>
      </c>
      <c r="X61" s="207">
        <v>0</v>
      </c>
      <c r="Z61" s="207">
        <v>0</v>
      </c>
      <c r="AA61" s="207">
        <v>0</v>
      </c>
      <c r="AB61" s="176">
        <f t="shared" si="49"/>
        <v>13398652</v>
      </c>
      <c r="AC61" s="177">
        <f t="shared" si="25"/>
        <v>30.916911325184831</v>
      </c>
      <c r="AD61" s="177">
        <f t="shared" si="50"/>
        <v>73.40312601393714</v>
      </c>
      <c r="AE61" s="26">
        <f t="shared" si="77"/>
        <v>2.2020937804181142</v>
      </c>
      <c r="AF61" s="178">
        <f t="shared" si="26"/>
        <v>31.546552268301696</v>
      </c>
      <c r="AG61" s="178">
        <f t="shared" si="27"/>
        <v>31.546552268301696</v>
      </c>
      <c r="AH61" s="178">
        <f t="shared" si="51"/>
        <v>0</v>
      </c>
      <c r="AI61" s="179">
        <f t="shared" si="52"/>
        <v>100</v>
      </c>
      <c r="AJ61" s="30">
        <f t="shared" si="78"/>
        <v>4</v>
      </c>
      <c r="AK61" s="204">
        <v>7</v>
      </c>
      <c r="AL61" s="204">
        <v>19</v>
      </c>
      <c r="AM61" s="204">
        <v>2</v>
      </c>
      <c r="AN61" s="181">
        <f t="shared" si="2"/>
        <v>26</v>
      </c>
      <c r="AO61" s="182">
        <f t="shared" si="3"/>
        <v>7.6923076923076925</v>
      </c>
      <c r="AP61" s="183">
        <f t="shared" si="28"/>
        <v>100</v>
      </c>
      <c r="AQ61" s="38">
        <f t="shared" si="79"/>
        <v>2</v>
      </c>
      <c r="AR61" s="212">
        <v>2</v>
      </c>
      <c r="AS61" s="292">
        <f t="shared" si="5"/>
        <v>0.25</v>
      </c>
      <c r="AT61" s="185">
        <f t="shared" si="29"/>
        <v>1.75</v>
      </c>
      <c r="AU61" s="185">
        <f t="shared" si="30"/>
        <v>1</v>
      </c>
      <c r="AV61" s="186">
        <f t="shared" si="6"/>
        <v>14.285714285714285</v>
      </c>
      <c r="AW61" s="179">
        <f t="shared" si="31"/>
        <v>60</v>
      </c>
      <c r="AX61" s="239">
        <f t="shared" si="80"/>
        <v>0.6</v>
      </c>
      <c r="AY61" s="54">
        <v>10</v>
      </c>
      <c r="AZ61" s="54">
        <v>10</v>
      </c>
      <c r="BA61" s="189">
        <f t="shared" si="8"/>
        <v>20</v>
      </c>
      <c r="BB61" s="178">
        <f t="shared" si="32"/>
        <v>50</v>
      </c>
      <c r="BC61" s="179">
        <f t="shared" si="33"/>
        <v>25</v>
      </c>
      <c r="BD61" s="30">
        <f t="shared" si="81"/>
        <v>0.25</v>
      </c>
      <c r="BE61" s="190">
        <v>3186085.1060000001</v>
      </c>
      <c r="BF61" s="190">
        <v>308417.06300000002</v>
      </c>
      <c r="BG61" s="54">
        <v>278489.71000000002</v>
      </c>
      <c r="BH61" s="191">
        <f t="shared" si="10"/>
        <v>3494502.1690000002</v>
      </c>
      <c r="BI61" s="178">
        <f t="shared" si="11"/>
        <v>7.9693672097417432</v>
      </c>
      <c r="BJ61" s="294" t="str">
        <f t="shared" si="34"/>
        <v>전기전자/기계업</v>
      </c>
      <c r="BK61" s="192">
        <f t="shared" si="12"/>
        <v>2.4096449716116455</v>
      </c>
      <c r="BL61" s="193">
        <f t="shared" si="35"/>
        <v>5.5597222381300977</v>
      </c>
      <c r="BM61" s="241">
        <f t="shared" si="36"/>
        <v>40</v>
      </c>
      <c r="BN61" s="47">
        <f t="shared" si="37"/>
        <v>0.8</v>
      </c>
      <c r="BO61" s="54">
        <v>4261938</v>
      </c>
      <c r="BP61" s="194">
        <f t="shared" si="38"/>
        <v>3.2726696563729805</v>
      </c>
      <c r="BQ61" s="179">
        <f t="shared" si="39"/>
        <v>85</v>
      </c>
      <c r="BR61" s="30">
        <f t="shared" si="82"/>
        <v>1.7</v>
      </c>
      <c r="BS61" s="195">
        <v>5830919.6830000002</v>
      </c>
      <c r="BT61" s="195">
        <v>472.33300000000003</v>
      </c>
      <c r="BU61" s="196">
        <f t="shared" si="40"/>
        <v>5830447.3500000006</v>
      </c>
      <c r="BV61" s="178">
        <f t="shared" si="14"/>
        <v>4.4771012918126107</v>
      </c>
      <c r="BW61" s="192">
        <f t="shared" si="15"/>
        <v>5.2309968128308268</v>
      </c>
      <c r="BX61" s="192">
        <f t="shared" si="41"/>
        <v>0.56835845661132756</v>
      </c>
      <c r="BY61" s="192">
        <f t="shared" si="16"/>
        <v>7.0695458012309622</v>
      </c>
      <c r="BZ61" s="192">
        <f t="shared" si="42"/>
        <v>54.246266063911875</v>
      </c>
      <c r="CA61" s="192">
        <f t="shared" si="17"/>
        <v>55</v>
      </c>
      <c r="CB61" s="55">
        <f t="shared" si="43"/>
        <v>1.1000000000000001</v>
      </c>
      <c r="CC61" s="197">
        <f t="shared" si="83"/>
        <v>46.326752649571745</v>
      </c>
      <c r="CD61" s="198">
        <f t="shared" si="84"/>
        <v>82.917053021518186</v>
      </c>
      <c r="CE61" s="58">
        <f t="shared" si="85"/>
        <v>1.2437557953227727</v>
      </c>
      <c r="CF61" s="245" t="s">
        <v>2326</v>
      </c>
      <c r="CG61" s="245" t="s">
        <v>2326</v>
      </c>
      <c r="CH61" s="245" t="s">
        <v>2326</v>
      </c>
      <c r="CI61" s="245" t="s">
        <v>2326</v>
      </c>
      <c r="CJ61" s="235"/>
      <c r="CK61" s="173" t="s">
        <v>2479</v>
      </c>
      <c r="CL61" s="173" t="s">
        <v>2478</v>
      </c>
      <c r="CM61" s="199">
        <f t="shared" si="44"/>
        <v>25</v>
      </c>
      <c r="CN61" s="58">
        <f t="shared" si="86"/>
        <v>0.375</v>
      </c>
      <c r="CO61" s="54">
        <v>3857516</v>
      </c>
      <c r="CP61" s="186">
        <f t="shared" si="45"/>
        <v>3.6733168646262797</v>
      </c>
      <c r="CQ61" s="179">
        <f t="shared" si="46"/>
        <v>80</v>
      </c>
      <c r="CR61" s="30">
        <f t="shared" si="87"/>
        <v>2.4</v>
      </c>
      <c r="CS61" s="200">
        <f>_xlfn.XLOOKUP(C61, '1-1. 관계사체무보증금액 (환율 등)'!$3:$3, '1-1. 관계사체무보증금액 (환율 등)'!$33:$33)</f>
        <v>12000000</v>
      </c>
      <c r="CT61" s="178">
        <f t="shared" si="23"/>
        <v>11.426991456552702</v>
      </c>
      <c r="CU61" s="179">
        <f t="shared" si="47"/>
        <v>60</v>
      </c>
      <c r="CV61" s="30">
        <f t="shared" si="88"/>
        <v>1.2</v>
      </c>
      <c r="CW61" s="72">
        <f t="shared" si="48"/>
        <v>17.870849575740884</v>
      </c>
    </row>
    <row r="62" spans="1:101" x14ac:dyDescent="0.6">
      <c r="A62" s="214" t="s">
        <v>353</v>
      </c>
      <c r="B62" s="13" t="s">
        <v>2039</v>
      </c>
      <c r="C62" s="219" t="s">
        <v>492</v>
      </c>
      <c r="D62" s="216" t="s">
        <v>285</v>
      </c>
      <c r="E62" s="217" t="s">
        <v>504</v>
      </c>
      <c r="F62" s="217" t="s">
        <v>713</v>
      </c>
      <c r="G62" s="218">
        <v>37294</v>
      </c>
      <c r="H62" s="217" t="s">
        <v>830</v>
      </c>
      <c r="I62" s="217" t="s">
        <v>727</v>
      </c>
      <c r="J62" s="217" t="s">
        <v>1250</v>
      </c>
      <c r="K62" s="217" t="s">
        <v>487</v>
      </c>
      <c r="L62" s="220">
        <v>913454051</v>
      </c>
      <c r="M62" s="206">
        <v>123544315</v>
      </c>
      <c r="N62" s="206">
        <v>789909736</v>
      </c>
      <c r="O62" s="206">
        <v>184873955</v>
      </c>
      <c r="P62" s="206">
        <v>65584851</v>
      </c>
      <c r="Q62" s="206">
        <v>76860200</v>
      </c>
      <c r="R62" s="206">
        <v>56946615</v>
      </c>
      <c r="S62" s="207">
        <v>8000000</v>
      </c>
      <c r="T62" s="207">
        <v>42810</v>
      </c>
      <c r="U62" s="207">
        <v>5000000</v>
      </c>
      <c r="V62" s="207">
        <v>0</v>
      </c>
      <c r="W62" s="207">
        <v>0</v>
      </c>
      <c r="X62" s="207">
        <v>0</v>
      </c>
      <c r="Z62" s="207">
        <v>0</v>
      </c>
      <c r="AA62" s="207">
        <v>0</v>
      </c>
      <c r="AB62" s="176">
        <f t="shared" si="49"/>
        <v>5000000</v>
      </c>
      <c r="AC62" s="177">
        <f t="shared" si="25"/>
        <v>62.5</v>
      </c>
      <c r="AD62" s="177">
        <f t="shared" si="50"/>
        <v>46.144994246260076</v>
      </c>
      <c r="AE62" s="26">
        <f t="shared" si="77"/>
        <v>1.3843498273878023</v>
      </c>
      <c r="AF62" s="178">
        <f t="shared" si="26"/>
        <v>62.836252496170133</v>
      </c>
      <c r="AG62" s="178">
        <f t="shared" si="27"/>
        <v>62.836252496170133</v>
      </c>
      <c r="AH62" s="178">
        <f t="shared" si="51"/>
        <v>0</v>
      </c>
      <c r="AI62" s="179">
        <f t="shared" si="52"/>
        <v>100</v>
      </c>
      <c r="AJ62" s="30">
        <f t="shared" si="78"/>
        <v>4</v>
      </c>
      <c r="AK62" s="204">
        <v>6</v>
      </c>
      <c r="AL62" s="204">
        <v>0</v>
      </c>
      <c r="AM62" s="204">
        <v>0</v>
      </c>
      <c r="AN62" s="181">
        <f t="shared" si="2"/>
        <v>6</v>
      </c>
      <c r="AO62" s="182">
        <f t="shared" si="3"/>
        <v>0</v>
      </c>
      <c r="AP62" s="183">
        <f t="shared" si="28"/>
        <v>100</v>
      </c>
      <c r="AQ62" s="38">
        <f t="shared" si="79"/>
        <v>2</v>
      </c>
      <c r="AR62" s="212">
        <v>3</v>
      </c>
      <c r="AS62" s="292">
        <f t="shared" si="5"/>
        <v>0.25</v>
      </c>
      <c r="AT62" s="185">
        <f t="shared" si="29"/>
        <v>1.5</v>
      </c>
      <c r="AU62" s="185">
        <f t="shared" si="30"/>
        <v>1</v>
      </c>
      <c r="AV62" s="186">
        <f t="shared" si="6"/>
        <v>33.333333333333329</v>
      </c>
      <c r="AW62" s="179">
        <f t="shared" si="31"/>
        <v>80</v>
      </c>
      <c r="AX62" s="239">
        <f t="shared" si="80"/>
        <v>0.8</v>
      </c>
      <c r="AY62" s="54">
        <v>8</v>
      </c>
      <c r="AZ62" s="54">
        <v>24</v>
      </c>
      <c r="BA62" s="189">
        <f t="shared" si="8"/>
        <v>24</v>
      </c>
      <c r="BB62" s="178">
        <f t="shared" si="32"/>
        <v>100</v>
      </c>
      <c r="BC62" s="179">
        <f t="shared" si="33"/>
        <v>100</v>
      </c>
      <c r="BD62" s="30">
        <f t="shared" si="81"/>
        <v>1</v>
      </c>
      <c r="BE62" s="190">
        <v>10532812</v>
      </c>
      <c r="BF62" s="190">
        <v>755843</v>
      </c>
      <c r="BG62" s="301">
        <v>0</v>
      </c>
      <c r="BH62" s="191">
        <f t="shared" si="10"/>
        <v>11288655</v>
      </c>
      <c r="BI62" s="178">
        <f t="shared" si="11"/>
        <v>0</v>
      </c>
      <c r="BJ62" s="294" t="str">
        <f t="shared" si="34"/>
        <v>비제조/서비스업</v>
      </c>
      <c r="BK62" s="192">
        <f t="shared" si="12"/>
        <v>1.7464434573900924</v>
      </c>
      <c r="BL62" s="193">
        <f t="shared" si="35"/>
        <v>-1.7464434573900924</v>
      </c>
      <c r="BM62" s="241">
        <f t="shared" si="36"/>
        <v>80</v>
      </c>
      <c r="BN62" s="47">
        <f t="shared" si="37"/>
        <v>1.6</v>
      </c>
      <c r="BO62" s="54">
        <v>5000</v>
      </c>
      <c r="BP62" s="194">
        <f t="shared" si="38"/>
        <v>2.7045453752531016E-3</v>
      </c>
      <c r="BQ62" s="179">
        <f t="shared" si="39"/>
        <v>40</v>
      </c>
      <c r="BR62" s="30">
        <f t="shared" si="82"/>
        <v>0.8</v>
      </c>
      <c r="BS62" s="195">
        <v>19779989.857999999</v>
      </c>
      <c r="BT62" s="195">
        <v>0</v>
      </c>
      <c r="BU62" s="196">
        <f t="shared" si="40"/>
        <v>19779989.857999999</v>
      </c>
      <c r="BV62" s="178">
        <f t="shared" si="14"/>
        <v>10.699176018601429</v>
      </c>
      <c r="BW62" s="192">
        <f t="shared" si="15"/>
        <v>2.8482825397737606</v>
      </c>
      <c r="BX62" s="192">
        <f t="shared" si="41"/>
        <v>61.636528415898809</v>
      </c>
      <c r="BY62" s="192">
        <f t="shared" si="16"/>
        <v>5.5697595856656799</v>
      </c>
      <c r="BZ62" s="192">
        <f t="shared" si="42"/>
        <v>7.9335269279385834</v>
      </c>
      <c r="CA62" s="192">
        <f t="shared" si="17"/>
        <v>85</v>
      </c>
      <c r="CB62" s="55">
        <f t="shared" si="43"/>
        <v>1.7</v>
      </c>
      <c r="CC62" s="197">
        <f t="shared" si="83"/>
        <v>15.640307919941881</v>
      </c>
      <c r="CD62" s="198">
        <f t="shared" si="84"/>
        <v>94.482296010072162</v>
      </c>
      <c r="CE62" s="58">
        <f t="shared" si="85"/>
        <v>1.4172344401510824</v>
      </c>
      <c r="CF62" s="245" t="s">
        <v>2326</v>
      </c>
      <c r="CG62" s="245" t="s">
        <v>2326</v>
      </c>
      <c r="CH62" s="245" t="s">
        <v>2326</v>
      </c>
      <c r="CI62" s="245" t="s">
        <v>2326</v>
      </c>
      <c r="CJ62" s="235"/>
      <c r="CK62" s="173" t="s">
        <v>2489</v>
      </c>
      <c r="CL62" s="173" t="s">
        <v>2484</v>
      </c>
      <c r="CM62" s="199">
        <f t="shared" si="44"/>
        <v>100</v>
      </c>
      <c r="CN62" s="58">
        <f t="shared" si="86"/>
        <v>1.5</v>
      </c>
      <c r="CO62" s="54">
        <v>0</v>
      </c>
      <c r="CP62" s="186">
        <f t="shared" si="45"/>
        <v>0</v>
      </c>
      <c r="CQ62" s="179">
        <f t="shared" si="46"/>
        <v>100</v>
      </c>
      <c r="CR62" s="30">
        <f t="shared" si="87"/>
        <v>3</v>
      </c>
      <c r="CS62" s="200">
        <f>_xlfn.XLOOKUP(C62, '1-1. 관계사체무보증금액 (환율 등)'!$3:$3, '1-1. 관계사체무보증금액 (환율 등)'!$33:$33)</f>
        <v>0</v>
      </c>
      <c r="CT62" s="178">
        <f t="shared" si="23"/>
        <v>0</v>
      </c>
      <c r="CU62" s="179">
        <f t="shared" si="47"/>
        <v>100</v>
      </c>
      <c r="CV62" s="30">
        <f t="shared" si="88"/>
        <v>2</v>
      </c>
      <c r="CW62" s="72">
        <f t="shared" si="48"/>
        <v>21.201584267538884</v>
      </c>
    </row>
    <row r="63" spans="1:101" x14ac:dyDescent="0.6">
      <c r="A63" s="214" t="s">
        <v>1578</v>
      </c>
      <c r="B63" s="13" t="s">
        <v>2040</v>
      </c>
      <c r="C63" s="219" t="s">
        <v>1579</v>
      </c>
      <c r="D63" s="79" t="s">
        <v>350</v>
      </c>
      <c r="E63" s="217" t="s">
        <v>179</v>
      </c>
      <c r="F63" s="217" t="s">
        <v>992</v>
      </c>
      <c r="G63" s="218">
        <v>37455</v>
      </c>
      <c r="H63" s="217" t="s">
        <v>830</v>
      </c>
      <c r="I63" s="217" t="s">
        <v>1580</v>
      </c>
      <c r="J63" s="217" t="s">
        <v>1581</v>
      </c>
      <c r="K63" s="217" t="s">
        <v>91</v>
      </c>
      <c r="L63" s="220">
        <v>12149139534</v>
      </c>
      <c r="M63" s="206">
        <v>10584274049</v>
      </c>
      <c r="N63" s="206">
        <v>1564865485</v>
      </c>
      <c r="O63" s="206">
        <v>4036211805</v>
      </c>
      <c r="P63" s="206">
        <v>90025670</v>
      </c>
      <c r="Q63" s="206">
        <v>63262018</v>
      </c>
      <c r="R63" s="206">
        <v>44599774</v>
      </c>
      <c r="S63" s="207">
        <v>64653296</v>
      </c>
      <c r="T63" s="207">
        <v>1093598</v>
      </c>
      <c r="U63" s="207">
        <v>47238769</v>
      </c>
      <c r="V63" s="207">
        <v>0</v>
      </c>
      <c r="W63" s="207">
        <f>25848+3000*4+1000</f>
        <v>38848</v>
      </c>
      <c r="X63" s="207">
        <v>0</v>
      </c>
      <c r="Z63" s="207">
        <v>0</v>
      </c>
      <c r="AA63" s="207">
        <v>0</v>
      </c>
      <c r="AB63" s="176">
        <f t="shared" si="49"/>
        <v>47277617</v>
      </c>
      <c r="AC63" s="177">
        <f t="shared" si="25"/>
        <v>73.124836512588615</v>
      </c>
      <c r="AD63" s="177">
        <f t="shared" si="50"/>
        <v>36.9751123309074</v>
      </c>
      <c r="AE63" s="60">
        <f>AD63*0.04</f>
        <v>1.479004493236296</v>
      </c>
      <c r="AF63" s="178">
        <f t="shared" si="26"/>
        <v>74.321890264488047</v>
      </c>
      <c r="AG63" s="178">
        <f t="shared" si="27"/>
        <v>74.383010756281436</v>
      </c>
      <c r="AH63" s="178">
        <f t="shared" si="51"/>
        <v>6.1120491793388965E-2</v>
      </c>
      <c r="AI63" s="179">
        <f t="shared" si="52"/>
        <v>100</v>
      </c>
      <c r="AJ63" s="61">
        <f>AI63*0.05</f>
        <v>5</v>
      </c>
      <c r="AK63" s="204">
        <v>6</v>
      </c>
      <c r="AL63" s="204">
        <v>21</v>
      </c>
      <c r="AM63" s="204">
        <v>0</v>
      </c>
      <c r="AN63" s="181">
        <f t="shared" si="2"/>
        <v>27</v>
      </c>
      <c r="AO63" s="182">
        <f t="shared" si="3"/>
        <v>0</v>
      </c>
      <c r="AP63" s="183">
        <f t="shared" si="28"/>
        <v>100</v>
      </c>
      <c r="AQ63" s="62">
        <f>AP63*0.03</f>
        <v>3</v>
      </c>
      <c r="AR63" s="212">
        <v>4</v>
      </c>
      <c r="AS63" s="292">
        <f t="shared" si="5"/>
        <v>0.5</v>
      </c>
      <c r="AT63" s="185">
        <f t="shared" si="29"/>
        <v>3</v>
      </c>
      <c r="AU63" s="185">
        <f t="shared" si="30"/>
        <v>3</v>
      </c>
      <c r="AV63" s="186">
        <f t="shared" si="6"/>
        <v>16.666666666666664</v>
      </c>
      <c r="AW63" s="179">
        <f t="shared" si="31"/>
        <v>60</v>
      </c>
      <c r="AX63" s="240">
        <f>AW63*0.02</f>
        <v>1.2</v>
      </c>
      <c r="AY63" s="54">
        <v>14</v>
      </c>
      <c r="AZ63" s="54">
        <f>14*4</f>
        <v>56</v>
      </c>
      <c r="BA63" s="189">
        <f t="shared" si="8"/>
        <v>56</v>
      </c>
      <c r="BB63" s="178">
        <f t="shared" si="32"/>
        <v>100</v>
      </c>
      <c r="BC63" s="179">
        <f t="shared" si="33"/>
        <v>100</v>
      </c>
      <c r="BD63" s="61">
        <f>BC63*0.02</f>
        <v>2</v>
      </c>
      <c r="BE63" s="190">
        <v>125523598</v>
      </c>
      <c r="BF63" s="190">
        <f>3843934+4310048</f>
        <v>8153982</v>
      </c>
      <c r="BG63" s="54">
        <v>7240850</v>
      </c>
      <c r="BH63" s="191">
        <f t="shared" si="10"/>
        <v>133677580</v>
      </c>
      <c r="BI63" s="178">
        <f t="shared" si="11"/>
        <v>5.4166525157023342</v>
      </c>
      <c r="BJ63" s="294" t="str">
        <f t="shared" si="34"/>
        <v>금융업</v>
      </c>
      <c r="BK63" s="192">
        <f t="shared" si="12"/>
        <v>2.7106886075318837</v>
      </c>
      <c r="BL63" s="193">
        <f t="shared" si="35"/>
        <v>2.7059639081704505</v>
      </c>
      <c r="BM63" s="241">
        <f t="shared" si="36"/>
        <v>40</v>
      </c>
      <c r="BN63" s="47">
        <f t="shared" si="37"/>
        <v>0.8</v>
      </c>
      <c r="BO63" s="54">
        <v>0</v>
      </c>
      <c r="BP63" s="194">
        <f t="shared" si="38"/>
        <v>0</v>
      </c>
      <c r="BQ63" s="179">
        <f t="shared" si="39"/>
        <v>25</v>
      </c>
      <c r="BR63" s="61">
        <f>BQ63*0.01</f>
        <v>0.25</v>
      </c>
      <c r="BS63" s="195">
        <v>12814286.68</v>
      </c>
      <c r="BT63" s="195">
        <v>0</v>
      </c>
      <c r="BU63" s="196">
        <f t="shared" si="40"/>
        <v>12814286.68</v>
      </c>
      <c r="BV63" s="178">
        <f t="shared" si="14"/>
        <v>0.31748300879864255</v>
      </c>
      <c r="BW63" s="192">
        <f t="shared" si="15"/>
        <v>0.39407896396795111</v>
      </c>
      <c r="BX63" s="192">
        <f t="shared" si="41"/>
        <v>5.8669403482987268E-3</v>
      </c>
      <c r="BY63" s="192">
        <f t="shared" si="16"/>
        <v>1.5698937849002934</v>
      </c>
      <c r="BZ63" s="192">
        <f t="shared" si="42"/>
        <v>51.945688678407031</v>
      </c>
      <c r="CA63" s="192">
        <f t="shared" si="17"/>
        <v>55</v>
      </c>
      <c r="CB63" s="55">
        <f t="shared" si="43"/>
        <v>1.1000000000000001</v>
      </c>
      <c r="CC63" s="242" t="s">
        <v>1273</v>
      </c>
      <c r="CD63" s="243" t="s">
        <v>1273</v>
      </c>
      <c r="CE63" s="244"/>
      <c r="CF63" s="295" t="s">
        <v>2379</v>
      </c>
      <c r="CG63" s="210">
        <v>0.55000000000000004</v>
      </c>
      <c r="CH63" s="295" t="s">
        <v>2379</v>
      </c>
      <c r="CI63" s="188">
        <f>IF((100-(75*(CG63-1)/9))&gt;100,100,IF((100-(75*(CG63-1)/9))&lt;25,25,(100-(75*(CG63-1)/9))))</f>
        <v>100</v>
      </c>
      <c r="CJ63" s="63">
        <f>CI63*0.04</f>
        <v>4</v>
      </c>
      <c r="CK63" s="173" t="s">
        <v>2480</v>
      </c>
      <c r="CL63" s="173" t="s">
        <v>2477</v>
      </c>
      <c r="CM63" s="199">
        <f t="shared" si="44"/>
        <v>85</v>
      </c>
      <c r="CN63" s="65">
        <f>CM63*0.03</f>
        <v>2.5499999999999998</v>
      </c>
      <c r="CO63" s="54">
        <v>217465000</v>
      </c>
      <c r="CP63" s="186">
        <f t="shared" si="45"/>
        <v>13.896721608630788</v>
      </c>
      <c r="CQ63" s="179">
        <f t="shared" si="46"/>
        <v>60</v>
      </c>
      <c r="CR63" s="61">
        <f>CQ63*0.04</f>
        <v>2.4</v>
      </c>
      <c r="CS63" s="200">
        <f>_xlfn.XLOOKUP(C63, '1-1. 관계사체무보증금액 (환율 등)'!$3:$3, '1-1. 관계사체무보증금액 (환율 등)'!$33:$33)</f>
        <v>15000000</v>
      </c>
      <c r="CT63" s="178">
        <f t="shared" si="23"/>
        <v>0.95854884293776854</v>
      </c>
      <c r="CU63" s="179">
        <f t="shared" si="47"/>
        <v>100</v>
      </c>
      <c r="CV63" s="70">
        <f>CU63*0.03</f>
        <v>3</v>
      </c>
      <c r="CW63" s="72">
        <f t="shared" si="48"/>
        <v>26.779004493236297</v>
      </c>
    </row>
    <row r="64" spans="1:101" x14ac:dyDescent="0.6">
      <c r="A64" s="214" t="s">
        <v>1582</v>
      </c>
      <c r="B64" s="13" t="s">
        <v>2041</v>
      </c>
      <c r="C64" s="219" t="s">
        <v>322</v>
      </c>
      <c r="D64" s="216" t="s">
        <v>191</v>
      </c>
      <c r="E64" s="217" t="s">
        <v>568</v>
      </c>
      <c r="F64" s="217" t="s">
        <v>176</v>
      </c>
      <c r="G64" s="218">
        <v>44147</v>
      </c>
      <c r="H64" s="217" t="s">
        <v>830</v>
      </c>
      <c r="I64" s="217" t="s">
        <v>719</v>
      </c>
      <c r="J64" s="217" t="s">
        <v>1045</v>
      </c>
      <c r="K64" s="217" t="s">
        <v>31</v>
      </c>
      <c r="L64" s="220">
        <v>262827323</v>
      </c>
      <c r="M64" s="206">
        <v>108764144</v>
      </c>
      <c r="N64" s="206">
        <v>154063179</v>
      </c>
      <c r="O64" s="206">
        <v>498874562</v>
      </c>
      <c r="P64" s="206">
        <v>2862765</v>
      </c>
      <c r="Q64" s="206">
        <v>2792639</v>
      </c>
      <c r="R64" s="206">
        <v>2643471</v>
      </c>
      <c r="S64" s="207">
        <v>24982540</v>
      </c>
      <c r="T64" s="207">
        <v>0</v>
      </c>
      <c r="U64" s="207">
        <v>17287554</v>
      </c>
      <c r="V64" s="207">
        <f>540+3535+2743+1713+48</f>
        <v>8579</v>
      </c>
      <c r="W64" s="207">
        <f>200000+9798+8946+4722+4813</f>
        <v>228279</v>
      </c>
      <c r="X64" s="207">
        <v>0</v>
      </c>
      <c r="Z64" s="207">
        <v>0</v>
      </c>
      <c r="AA64" s="207">
        <v>0</v>
      </c>
      <c r="AB64" s="176">
        <f t="shared" si="49"/>
        <v>17524412</v>
      </c>
      <c r="AC64" s="177">
        <f t="shared" si="25"/>
        <v>70.146638412267123</v>
      </c>
      <c r="AD64" s="177">
        <f t="shared" si="50"/>
        <v>39.545478930724578</v>
      </c>
      <c r="AE64" s="26">
        <f t="shared" ref="AE64:AE75" si="89">AD64*0.03</f>
        <v>1.1863643679217373</v>
      </c>
      <c r="AF64" s="178">
        <f t="shared" si="26"/>
        <v>69.232884246357656</v>
      </c>
      <c r="AG64" s="178">
        <f t="shared" si="27"/>
        <v>70.146638412267123</v>
      </c>
      <c r="AH64" s="178">
        <f t="shared" si="51"/>
        <v>0.91375416590946656</v>
      </c>
      <c r="AI64" s="179">
        <f t="shared" si="52"/>
        <v>100</v>
      </c>
      <c r="AJ64" s="30">
        <f t="shared" ref="AJ64:AJ75" si="90">AI64*0.04</f>
        <v>4</v>
      </c>
      <c r="AK64" s="204">
        <v>6</v>
      </c>
      <c r="AL64" s="204">
        <v>18</v>
      </c>
      <c r="AM64" s="204">
        <v>1</v>
      </c>
      <c r="AN64" s="181">
        <f t="shared" si="2"/>
        <v>24</v>
      </c>
      <c r="AO64" s="182">
        <f t="shared" si="3"/>
        <v>4.1666666666666661</v>
      </c>
      <c r="AP64" s="183">
        <f t="shared" si="28"/>
        <v>100</v>
      </c>
      <c r="AQ64" s="38">
        <f t="shared" ref="AQ64:AQ75" si="91">AP64*0.02</f>
        <v>2</v>
      </c>
      <c r="AR64" s="212">
        <v>2</v>
      </c>
      <c r="AS64" s="292">
        <f t="shared" si="5"/>
        <v>0.25</v>
      </c>
      <c r="AT64" s="185">
        <f t="shared" si="29"/>
        <v>1.5</v>
      </c>
      <c r="AU64" s="185">
        <f t="shared" si="30"/>
        <v>1</v>
      </c>
      <c r="AV64" s="186">
        <f t="shared" si="6"/>
        <v>16.666666666666664</v>
      </c>
      <c r="AW64" s="179">
        <f t="shared" si="31"/>
        <v>60</v>
      </c>
      <c r="AX64" s="239">
        <f t="shared" ref="AX64:AX75" si="92">AW64*0.01</f>
        <v>0.6</v>
      </c>
      <c r="AY64" s="54">
        <v>8</v>
      </c>
      <c r="AZ64" s="54">
        <v>14</v>
      </c>
      <c r="BA64" s="189">
        <f t="shared" si="8"/>
        <v>16</v>
      </c>
      <c r="BB64" s="178">
        <f t="shared" si="32"/>
        <v>87.5</v>
      </c>
      <c r="BC64" s="179">
        <f t="shared" si="33"/>
        <v>75</v>
      </c>
      <c r="BD64" s="30">
        <f t="shared" ref="BD64:BD75" si="93">BC64*0.01</f>
        <v>0.75</v>
      </c>
      <c r="BE64" s="190">
        <v>24136257</v>
      </c>
      <c r="BF64" s="190">
        <v>1675787</v>
      </c>
      <c r="BG64" s="54">
        <v>900613</v>
      </c>
      <c r="BH64" s="191">
        <f t="shared" si="10"/>
        <v>25812044</v>
      </c>
      <c r="BI64" s="178">
        <f t="shared" si="11"/>
        <v>3.4891192654095895</v>
      </c>
      <c r="BJ64" s="294" t="str">
        <f t="shared" si="34"/>
        <v>식약/섬유/종이업</v>
      </c>
      <c r="BK64" s="192">
        <f t="shared" si="12"/>
        <v>2.1999360555264444</v>
      </c>
      <c r="BL64" s="193">
        <f t="shared" si="35"/>
        <v>1.2891832098831451</v>
      </c>
      <c r="BM64" s="241">
        <f t="shared" si="36"/>
        <v>60</v>
      </c>
      <c r="BN64" s="47">
        <f t="shared" si="37"/>
        <v>1.2</v>
      </c>
      <c r="BO64" s="54">
        <v>1350000</v>
      </c>
      <c r="BP64" s="194">
        <f t="shared" si="38"/>
        <v>0.27060910754555573</v>
      </c>
      <c r="BQ64" s="179">
        <f t="shared" si="39"/>
        <v>55</v>
      </c>
      <c r="BR64" s="30">
        <f t="shared" ref="BR64:BR75" si="94">BQ64*0.02</f>
        <v>1.1000000000000001</v>
      </c>
      <c r="BS64" s="195">
        <v>10570232.111</v>
      </c>
      <c r="BT64" s="195">
        <v>147621.22700000001</v>
      </c>
      <c r="BU64" s="196">
        <f t="shared" si="40"/>
        <v>10422610.884</v>
      </c>
      <c r="BV64" s="178">
        <f t="shared" si="14"/>
        <v>2.0892247626769151</v>
      </c>
      <c r="BW64" s="192">
        <f t="shared" si="15"/>
        <v>5.0508176117342281</v>
      </c>
      <c r="BX64" s="192">
        <f t="shared" si="41"/>
        <v>8.7710322035874118</v>
      </c>
      <c r="BY64" s="192">
        <f t="shared" si="16"/>
        <v>6.9871618081220941</v>
      </c>
      <c r="BZ64" s="192">
        <f t="shared" si="42"/>
        <v>66.416679521713434</v>
      </c>
      <c r="CA64" s="192">
        <f t="shared" si="17"/>
        <v>40</v>
      </c>
      <c r="CB64" s="55">
        <f t="shared" si="43"/>
        <v>0.8</v>
      </c>
      <c r="CC64" s="197">
        <f t="shared" ref="CC64:CC75" si="95">(M64/N64)*100</f>
        <v>70.597104840995144</v>
      </c>
      <c r="CD64" s="198">
        <f t="shared" ref="CD64:CD75" si="96">IF((100-(75*(CC64-1)/(200-1)))&gt;100, 100, IF((100-(75*(CC64-1)/(200-1)))&lt;25, 25, (100-(75*(CC64-1)/(200-1)))))</f>
        <v>73.769935361433994</v>
      </c>
      <c r="CE64" s="58">
        <f t="shared" ref="CE64:CE75" si="97">CD64*0.015</f>
        <v>1.1065490304215098</v>
      </c>
      <c r="CF64" s="245" t="s">
        <v>2326</v>
      </c>
      <c r="CG64" s="245" t="s">
        <v>2326</v>
      </c>
      <c r="CH64" s="245" t="s">
        <v>2326</v>
      </c>
      <c r="CI64" s="245" t="s">
        <v>2326</v>
      </c>
      <c r="CJ64" s="235"/>
      <c r="CK64" s="173" t="s">
        <v>2490</v>
      </c>
      <c r="CL64" s="173" t="s">
        <v>2487</v>
      </c>
      <c r="CM64" s="199">
        <f t="shared" si="44"/>
        <v>70</v>
      </c>
      <c r="CN64" s="58">
        <f t="shared" ref="CN64:CN75" si="98">CM64*0.015</f>
        <v>1.05</v>
      </c>
      <c r="CO64" s="54">
        <f>30187546-52718-1499906</f>
        <v>28634922</v>
      </c>
      <c r="CP64" s="186">
        <f t="shared" si="45"/>
        <v>18.586480031026753</v>
      </c>
      <c r="CQ64" s="179">
        <f t="shared" si="46"/>
        <v>60</v>
      </c>
      <c r="CR64" s="30">
        <f t="shared" ref="CR64:CR75" si="99">CQ64*0.03</f>
        <v>1.7999999999999998</v>
      </c>
      <c r="CS64" s="200">
        <f>_xlfn.XLOOKUP(C64, '1-1. 관계사체무보증금액 (환율 등)'!$3:$3, '1-1. 관계사체무보증금액 (환율 등)'!$33:$33)</f>
        <v>6246752</v>
      </c>
      <c r="CT64" s="178">
        <f t="shared" si="23"/>
        <v>4.0546690263998775</v>
      </c>
      <c r="CU64" s="179">
        <f t="shared" si="47"/>
        <v>80</v>
      </c>
      <c r="CV64" s="30">
        <f t="shared" ref="CV64:CV75" si="100">CU64*0.02</f>
        <v>1.6</v>
      </c>
      <c r="CW64" s="72">
        <f t="shared" si="48"/>
        <v>17.192913398343247</v>
      </c>
    </row>
    <row r="65" spans="1:101" x14ac:dyDescent="0.6">
      <c r="A65" s="214" t="s">
        <v>512</v>
      </c>
      <c r="B65" s="13" t="s">
        <v>2042</v>
      </c>
      <c r="C65" s="219" t="s">
        <v>14</v>
      </c>
      <c r="D65" s="216" t="s">
        <v>203</v>
      </c>
      <c r="E65" s="217" t="s">
        <v>188</v>
      </c>
      <c r="F65" s="217" t="s">
        <v>582</v>
      </c>
      <c r="G65" s="218">
        <v>38645</v>
      </c>
      <c r="H65" s="217" t="s">
        <v>830</v>
      </c>
      <c r="I65" s="217" t="s">
        <v>703</v>
      </c>
      <c r="J65" s="217" t="s">
        <v>1055</v>
      </c>
      <c r="K65" s="217" t="s">
        <v>425</v>
      </c>
      <c r="L65" s="220">
        <v>196645335</v>
      </c>
      <c r="M65" s="206">
        <v>74168153</v>
      </c>
      <c r="N65" s="206">
        <v>122477182</v>
      </c>
      <c r="O65" s="206">
        <v>324927356</v>
      </c>
      <c r="P65" s="206">
        <v>17219652</v>
      </c>
      <c r="Q65" s="206">
        <v>5989331</v>
      </c>
      <c r="R65" s="206">
        <v>2870341</v>
      </c>
      <c r="S65" s="207">
        <v>24000000</v>
      </c>
      <c r="T65" s="207">
        <v>673676</v>
      </c>
      <c r="U65" s="207">
        <f>6113391+4732029</f>
        <v>10845420</v>
      </c>
      <c r="V65" s="207">
        <v>0</v>
      </c>
      <c r="W65" s="207">
        <v>0</v>
      </c>
      <c r="X65" s="207">
        <v>722436</v>
      </c>
      <c r="Y65" s="208" t="s">
        <v>2416</v>
      </c>
      <c r="Z65" s="207">
        <v>2785202</v>
      </c>
      <c r="AA65" s="207">
        <v>0</v>
      </c>
      <c r="AB65" s="176">
        <f t="shared" si="49"/>
        <v>14353058</v>
      </c>
      <c r="AC65" s="177">
        <f t="shared" si="25"/>
        <v>59.804408333333335</v>
      </c>
      <c r="AD65" s="177">
        <f t="shared" si="50"/>
        <v>48.471454257767554</v>
      </c>
      <c r="AE65" s="26">
        <f t="shared" si="89"/>
        <v>1.4541436277330266</v>
      </c>
      <c r="AF65" s="178">
        <f t="shared" si="26"/>
        <v>46.494338327805103</v>
      </c>
      <c r="AG65" s="178">
        <f t="shared" si="27"/>
        <v>61.531589803862794</v>
      </c>
      <c r="AH65" s="178">
        <f t="shared" si="51"/>
        <v>15.037251476057691</v>
      </c>
      <c r="AI65" s="179">
        <f t="shared" si="52"/>
        <v>80</v>
      </c>
      <c r="AJ65" s="30">
        <f t="shared" si="90"/>
        <v>3.2</v>
      </c>
      <c r="AK65" s="204">
        <v>5</v>
      </c>
      <c r="AL65" s="204">
        <v>4</v>
      </c>
      <c r="AM65" s="204">
        <v>1</v>
      </c>
      <c r="AN65" s="181">
        <f t="shared" si="2"/>
        <v>9</v>
      </c>
      <c r="AO65" s="182">
        <f t="shared" si="3"/>
        <v>11.111111111111111</v>
      </c>
      <c r="AP65" s="183">
        <f t="shared" si="28"/>
        <v>80</v>
      </c>
      <c r="AQ65" s="38">
        <f t="shared" si="91"/>
        <v>1.6</v>
      </c>
      <c r="AR65" s="212">
        <v>1</v>
      </c>
      <c r="AS65" s="292">
        <f t="shared" si="5"/>
        <v>0.25</v>
      </c>
      <c r="AT65" s="185">
        <f t="shared" si="29"/>
        <v>1.25</v>
      </c>
      <c r="AU65" s="185">
        <f t="shared" si="30"/>
        <v>1</v>
      </c>
      <c r="AV65" s="186">
        <f t="shared" si="6"/>
        <v>0</v>
      </c>
      <c r="AW65" s="179">
        <f t="shared" si="31"/>
        <v>40</v>
      </c>
      <c r="AX65" s="239">
        <f t="shared" si="92"/>
        <v>0.4</v>
      </c>
      <c r="AY65" s="54">
        <v>15</v>
      </c>
      <c r="AZ65" s="54">
        <v>15</v>
      </c>
      <c r="BA65" s="189">
        <f t="shared" si="8"/>
        <v>15</v>
      </c>
      <c r="BB65" s="178">
        <f t="shared" si="32"/>
        <v>100</v>
      </c>
      <c r="BC65" s="179">
        <f t="shared" si="33"/>
        <v>100</v>
      </c>
      <c r="BD65" s="30">
        <f t="shared" si="93"/>
        <v>1</v>
      </c>
      <c r="BE65" s="190">
        <v>3158313.9709999999</v>
      </c>
      <c r="BF65" s="190">
        <v>330370.95799999998</v>
      </c>
      <c r="BG65" s="301">
        <v>0</v>
      </c>
      <c r="BH65" s="191">
        <f t="shared" si="10"/>
        <v>3488684.929</v>
      </c>
      <c r="BI65" s="178">
        <f t="shared" si="11"/>
        <v>0</v>
      </c>
      <c r="BJ65" s="294" t="str">
        <f t="shared" si="34"/>
        <v>금속/비금속/화학업</v>
      </c>
      <c r="BK65" s="192">
        <f t="shared" si="12"/>
        <v>3.9534118626990464</v>
      </c>
      <c r="BL65" s="193">
        <f t="shared" si="35"/>
        <v>-3.9534118626990464</v>
      </c>
      <c r="BM65" s="241">
        <f t="shared" si="36"/>
        <v>100</v>
      </c>
      <c r="BN65" s="47">
        <f t="shared" si="37"/>
        <v>2</v>
      </c>
      <c r="BO65" s="54">
        <v>2241000</v>
      </c>
      <c r="BP65" s="194">
        <f t="shared" si="38"/>
        <v>0.68969262163324907</v>
      </c>
      <c r="BQ65" s="179">
        <f t="shared" si="39"/>
        <v>70</v>
      </c>
      <c r="BR65" s="30">
        <f t="shared" si="94"/>
        <v>1.4000000000000001</v>
      </c>
      <c r="BS65" s="195">
        <v>14411287.911</v>
      </c>
      <c r="BT65" s="195">
        <v>28515.591</v>
      </c>
      <c r="BU65" s="196">
        <f t="shared" si="40"/>
        <v>14382772.32</v>
      </c>
      <c r="BV65" s="178">
        <f t="shared" si="14"/>
        <v>4.4264578080030912</v>
      </c>
      <c r="BW65" s="192">
        <f t="shared" si="15"/>
        <v>5.1474158565187729</v>
      </c>
      <c r="BX65" s="192">
        <f t="shared" si="41"/>
        <v>0.51978050771953999</v>
      </c>
      <c r="BY65" s="192">
        <f t="shared" si="16"/>
        <v>6.6930498535228526</v>
      </c>
      <c r="BZ65" s="192">
        <f t="shared" si="42"/>
        <v>54.289007381428434</v>
      </c>
      <c r="CA65" s="192">
        <f t="shared" si="17"/>
        <v>55</v>
      </c>
      <c r="CB65" s="55">
        <f t="shared" si="43"/>
        <v>1.1000000000000001</v>
      </c>
      <c r="CC65" s="197">
        <f t="shared" si="95"/>
        <v>60.55671088186859</v>
      </c>
      <c r="CD65" s="198">
        <f t="shared" si="96"/>
        <v>77.554003436481679</v>
      </c>
      <c r="CE65" s="58">
        <f t="shared" si="97"/>
        <v>1.1633100515472252</v>
      </c>
      <c r="CF65" s="245" t="s">
        <v>2326</v>
      </c>
      <c r="CG65" s="245" t="s">
        <v>2326</v>
      </c>
      <c r="CH65" s="245" t="s">
        <v>2326</v>
      </c>
      <c r="CI65" s="245" t="s">
        <v>2326</v>
      </c>
      <c r="CJ65" s="235"/>
      <c r="CK65" s="173" t="s">
        <v>2479</v>
      </c>
      <c r="CL65" s="173" t="s">
        <v>2478</v>
      </c>
      <c r="CM65" s="199">
        <f t="shared" si="44"/>
        <v>25</v>
      </c>
      <c r="CN65" s="58">
        <f t="shared" si="98"/>
        <v>0.375</v>
      </c>
      <c r="CO65" s="54">
        <v>8651000</v>
      </c>
      <c r="CP65" s="186">
        <f t="shared" si="45"/>
        <v>7.0633565034179187</v>
      </c>
      <c r="CQ65" s="179">
        <f t="shared" si="46"/>
        <v>80</v>
      </c>
      <c r="CR65" s="30">
        <f t="shared" si="99"/>
        <v>2.4</v>
      </c>
      <c r="CS65" s="200">
        <f>_xlfn.XLOOKUP(C65, '1-1. 관계사체무보증금액 (환율 등)'!$3:$3, '1-1. 관계사체무보증금액 (환율 등)'!$33:$33)</f>
        <v>0</v>
      </c>
      <c r="CT65" s="178">
        <f t="shared" si="23"/>
        <v>0</v>
      </c>
      <c r="CU65" s="179">
        <f t="shared" si="47"/>
        <v>100</v>
      </c>
      <c r="CV65" s="30">
        <f t="shared" si="100"/>
        <v>2</v>
      </c>
      <c r="CW65" s="72">
        <f t="shared" si="48"/>
        <v>18.092453679280251</v>
      </c>
    </row>
    <row r="66" spans="1:101" x14ac:dyDescent="0.6">
      <c r="A66" s="214" t="s">
        <v>863</v>
      </c>
      <c r="B66" s="13" t="s">
        <v>2043</v>
      </c>
      <c r="C66" s="219" t="s">
        <v>106</v>
      </c>
      <c r="D66" s="216" t="s">
        <v>203</v>
      </c>
      <c r="E66" s="217" t="s">
        <v>187</v>
      </c>
      <c r="F66" s="217" t="s">
        <v>143</v>
      </c>
      <c r="G66" s="218">
        <v>33269</v>
      </c>
      <c r="H66" s="217" t="s">
        <v>830</v>
      </c>
      <c r="I66" s="217" t="s">
        <v>570</v>
      </c>
      <c r="J66" s="217" t="s">
        <v>1054</v>
      </c>
      <c r="K66" s="217" t="s">
        <v>50</v>
      </c>
      <c r="L66" s="220">
        <v>315529254</v>
      </c>
      <c r="M66" s="206">
        <v>128655873</v>
      </c>
      <c r="N66" s="206">
        <v>186873382</v>
      </c>
      <c r="O66" s="206">
        <v>1220548455</v>
      </c>
      <c r="P66" s="206">
        <v>27189227</v>
      </c>
      <c r="Q66" s="206">
        <v>23861778</v>
      </c>
      <c r="R66" s="206">
        <v>17593831</v>
      </c>
      <c r="S66" s="207">
        <v>34869420</v>
      </c>
      <c r="T66" s="207">
        <v>1200000</v>
      </c>
      <c r="U66" s="207">
        <v>7643580</v>
      </c>
      <c r="V66" s="207">
        <f>3110730+100410+1729357</f>
        <v>4940497</v>
      </c>
      <c r="W66" s="207">
        <v>0</v>
      </c>
      <c r="X66" s="207">
        <v>0</v>
      </c>
      <c r="Z66" s="207">
        <f>747000+841441+60000</f>
        <v>1648441</v>
      </c>
      <c r="AA66" s="207">
        <v>0</v>
      </c>
      <c r="AB66" s="176">
        <f t="shared" si="49"/>
        <v>14232518</v>
      </c>
      <c r="AC66" s="177">
        <f t="shared" si="25"/>
        <v>40.816618114095391</v>
      </c>
      <c r="AD66" s="177">
        <f t="shared" si="50"/>
        <v>64.859075275521818</v>
      </c>
      <c r="AE66" s="26">
        <f t="shared" si="89"/>
        <v>1.9457722582656545</v>
      </c>
      <c r="AF66" s="178">
        <f t="shared" si="26"/>
        <v>37.375389893856202</v>
      </c>
      <c r="AG66" s="178">
        <f t="shared" si="27"/>
        <v>42.271348897605009</v>
      </c>
      <c r="AH66" s="178">
        <f t="shared" si="51"/>
        <v>4.895959003748807</v>
      </c>
      <c r="AI66" s="179">
        <f t="shared" si="52"/>
        <v>100</v>
      </c>
      <c r="AJ66" s="30">
        <f t="shared" si="90"/>
        <v>4</v>
      </c>
      <c r="AK66" s="204">
        <v>7</v>
      </c>
      <c r="AL66" s="204">
        <v>6</v>
      </c>
      <c r="AM66" s="204">
        <v>2</v>
      </c>
      <c r="AN66" s="181">
        <f t="shared" ref="AN66:AN128" si="101">SUM(AK66:AL66)</f>
        <v>13</v>
      </c>
      <c r="AO66" s="182">
        <f t="shared" ref="AO66:AO128" si="102">(AM66/AN66)*100</f>
        <v>15.384615384615385</v>
      </c>
      <c r="AP66" s="183">
        <f t="shared" si="28"/>
        <v>80</v>
      </c>
      <c r="AQ66" s="38">
        <f t="shared" si="91"/>
        <v>1.6</v>
      </c>
      <c r="AR66" s="212">
        <v>1</v>
      </c>
      <c r="AS66" s="292">
        <f t="shared" ref="AS66:AS128" si="103">IF(L66&gt;=2000000000, 0.5, IF(L66&lt;2000000000, 0.25))</f>
        <v>0.25</v>
      </c>
      <c r="AT66" s="185">
        <f t="shared" ref="AT66:AT128" si="104">AK66*AS66</f>
        <v>1.75</v>
      </c>
      <c r="AU66" s="185">
        <f t="shared" si="30"/>
        <v>1</v>
      </c>
      <c r="AV66" s="186">
        <f t="shared" ref="AV66:AV128" si="105">(AR66-AU66)/AK66*100</f>
        <v>0</v>
      </c>
      <c r="AW66" s="179">
        <f t="shared" si="31"/>
        <v>40</v>
      </c>
      <c r="AX66" s="239">
        <f t="shared" si="92"/>
        <v>0.4</v>
      </c>
      <c r="AY66" s="54">
        <v>8</v>
      </c>
      <c r="AZ66" s="54">
        <v>8</v>
      </c>
      <c r="BA66" s="189">
        <f t="shared" ref="BA66:BA128" si="106">AR66*AY66</f>
        <v>8</v>
      </c>
      <c r="BB66" s="178">
        <f t="shared" si="32"/>
        <v>100</v>
      </c>
      <c r="BC66" s="179">
        <f t="shared" si="33"/>
        <v>100</v>
      </c>
      <c r="BD66" s="30">
        <f t="shared" si="93"/>
        <v>1</v>
      </c>
      <c r="BE66" s="190">
        <v>7523588</v>
      </c>
      <c r="BF66" s="190">
        <v>704282</v>
      </c>
      <c r="BG66" s="54">
        <v>906171</v>
      </c>
      <c r="BH66" s="191">
        <f t="shared" ref="BH66:BH128" si="107">SUM(BE66:BF66)</f>
        <v>8227870</v>
      </c>
      <c r="BI66" s="178">
        <f t="shared" ref="BI66:BI128" si="108">(BG66/BH66)*100</f>
        <v>11.013433610399776</v>
      </c>
      <c r="BJ66" s="294" t="str">
        <f t="shared" si="34"/>
        <v>금속/비금속/화학업</v>
      </c>
      <c r="BK66" s="192">
        <f t="shared" ref="BK66:BK129" si="109">AVERAGEIF(BJ:BJ, BJ66, BI:BI)</f>
        <v>3.9534118626990464</v>
      </c>
      <c r="BL66" s="193">
        <f t="shared" si="35"/>
        <v>7.0600217477007297</v>
      </c>
      <c r="BM66" s="241">
        <f t="shared" si="36"/>
        <v>40</v>
      </c>
      <c r="BN66" s="47">
        <f t="shared" si="37"/>
        <v>0.8</v>
      </c>
      <c r="BO66" s="54">
        <v>0</v>
      </c>
      <c r="BP66" s="194">
        <f t="shared" ref="BP66:BP128" si="110">(BO66/O66)*100</f>
        <v>0</v>
      </c>
      <c r="BQ66" s="179">
        <f t="shared" si="39"/>
        <v>25</v>
      </c>
      <c r="BR66" s="30">
        <f t="shared" si="94"/>
        <v>0.5</v>
      </c>
      <c r="BS66" s="195">
        <v>1650727.861</v>
      </c>
      <c r="BT66" s="195">
        <v>102104.40399999999</v>
      </c>
      <c r="BU66" s="196">
        <f t="shared" si="40"/>
        <v>1548623.4569999999</v>
      </c>
      <c r="BV66" s="178">
        <f t="shared" ref="BV66:BV128" si="111">BU66/O66*100</f>
        <v>0.12687930992465185</v>
      </c>
      <c r="BW66" s="192">
        <f t="shared" ref="BW66:BW129" si="112">AVERAGEIF(BJ:BJ, BJ66, BV:BV)</f>
        <v>5.1474158565187729</v>
      </c>
      <c r="BX66" s="192">
        <f t="shared" si="41"/>
        <v>25.205787215687224</v>
      </c>
      <c r="BY66" s="192">
        <f t="shared" ref="BY66:BY129" si="113">SQRT(SUMIF(BJ:BJ, BJ66, BX:BX)/COUNTIF(BJ:BJ, BJ66))</f>
        <v>6.6930498535228526</v>
      </c>
      <c r="BZ66" s="192">
        <f t="shared" si="42"/>
        <v>77.340635267324828</v>
      </c>
      <c r="CA66" s="192">
        <f t="shared" ref="CA66:CA128" si="114">IF(BZ66&lt;=5, 100, IF(BZ66&lt;=15, 85, IF(BZ66&lt;=35, 70, IF(BZ66&lt;=60, 55, IF(BZ66&lt;=90, 40, 25)))))</f>
        <v>40</v>
      </c>
      <c r="CB66" s="55">
        <f t="shared" si="43"/>
        <v>0.8</v>
      </c>
      <c r="CC66" s="197">
        <f t="shared" si="95"/>
        <v>68.846548193792529</v>
      </c>
      <c r="CD66" s="198">
        <f t="shared" si="96"/>
        <v>74.429692891786743</v>
      </c>
      <c r="CE66" s="58">
        <f t="shared" si="97"/>
        <v>1.116445393376801</v>
      </c>
      <c r="CF66" s="245" t="s">
        <v>2326</v>
      </c>
      <c r="CG66" s="245" t="s">
        <v>2326</v>
      </c>
      <c r="CH66" s="245" t="s">
        <v>2326</v>
      </c>
      <c r="CI66" s="245" t="s">
        <v>2326</v>
      </c>
      <c r="CJ66" s="235"/>
      <c r="CK66" s="173" t="s">
        <v>2492</v>
      </c>
      <c r="CL66" s="173" t="s">
        <v>2493</v>
      </c>
      <c r="CM66" s="199">
        <f t="shared" si="44"/>
        <v>40</v>
      </c>
      <c r="CN66" s="58">
        <f t="shared" si="98"/>
        <v>0.6</v>
      </c>
      <c r="CO66" s="54">
        <f>5693000+6671000+1097000+5000000</f>
        <v>18461000</v>
      </c>
      <c r="CP66" s="186">
        <f t="shared" ref="CP66:CP128" si="115">(CO66/N66)*100</f>
        <v>9.878881519894577</v>
      </c>
      <c r="CQ66" s="179">
        <f t="shared" si="46"/>
        <v>80</v>
      </c>
      <c r="CR66" s="30">
        <f t="shared" si="99"/>
        <v>2.4</v>
      </c>
      <c r="CS66" s="200">
        <f>_xlfn.XLOOKUP(C66, '1-1. 관계사체무보증금액 (환율 등)'!$3:$3, '1-1. 관계사체무보증금액 (환율 등)'!$33:$33)</f>
        <v>0</v>
      </c>
      <c r="CT66" s="178">
        <f t="shared" ref="CT66:CT128" si="116">(CS66/N66)*100</f>
        <v>0</v>
      </c>
      <c r="CU66" s="179">
        <f t="shared" si="47"/>
        <v>100</v>
      </c>
      <c r="CV66" s="30">
        <f t="shared" si="100"/>
        <v>2</v>
      </c>
      <c r="CW66" s="72">
        <f t="shared" si="48"/>
        <v>17.162217651642457</v>
      </c>
    </row>
    <row r="67" spans="1:101" x14ac:dyDescent="0.6">
      <c r="A67" s="214" t="s">
        <v>941</v>
      </c>
      <c r="B67" s="13" t="s">
        <v>2044</v>
      </c>
      <c r="C67" s="219" t="s">
        <v>866</v>
      </c>
      <c r="D67" s="216" t="s">
        <v>285</v>
      </c>
      <c r="E67" s="217" t="s">
        <v>872</v>
      </c>
      <c r="F67" s="217" t="s">
        <v>1106</v>
      </c>
      <c r="G67" s="218">
        <v>27937</v>
      </c>
      <c r="H67" s="217" t="s">
        <v>830</v>
      </c>
      <c r="I67" s="217" t="s">
        <v>779</v>
      </c>
      <c r="J67" s="217" t="s">
        <v>1030</v>
      </c>
      <c r="K67" s="217" t="s">
        <v>341</v>
      </c>
      <c r="L67" s="220">
        <v>1690618825</v>
      </c>
      <c r="M67" s="206">
        <v>1132886300</v>
      </c>
      <c r="N67" s="206">
        <v>557732525</v>
      </c>
      <c r="O67" s="206">
        <v>2041695477</v>
      </c>
      <c r="P67" s="206">
        <v>55276798</v>
      </c>
      <c r="Q67" s="206">
        <v>60210595</v>
      </c>
      <c r="R67" s="206">
        <v>23918674</v>
      </c>
      <c r="S67" s="207">
        <v>36953595</v>
      </c>
      <c r="T67" s="207">
        <v>1058230</v>
      </c>
      <c r="U67" s="207">
        <f>16325327+10000</f>
        <v>16335327</v>
      </c>
      <c r="V67" s="207">
        <f>113770</f>
        <v>113770</v>
      </c>
      <c r="W67" s="207">
        <f>1031+1670</f>
        <v>2701</v>
      </c>
      <c r="X67" s="207">
        <v>8352</v>
      </c>
      <c r="Y67" s="208" t="s">
        <v>2417</v>
      </c>
      <c r="Z67" s="207">
        <v>1213209</v>
      </c>
      <c r="AA67" s="207">
        <v>0</v>
      </c>
      <c r="AB67" s="176">
        <f t="shared" si="49"/>
        <v>17673359</v>
      </c>
      <c r="AC67" s="177">
        <f t="shared" ref="AC67:AC129" si="117">(AB67/S67)*100</f>
        <v>47.825817758732271</v>
      </c>
      <c r="AD67" s="177">
        <f t="shared" si="50"/>
        <v>58.809708493614266</v>
      </c>
      <c r="AE67" s="26">
        <f t="shared" si="89"/>
        <v>1.764291254808428</v>
      </c>
      <c r="AF67" s="178">
        <f t="shared" ref="AF67:AF129" si="118">(U67+V67)/(S67-T67-AA67)*100</f>
        <v>45.82512811890895</v>
      </c>
      <c r="AG67" s="178">
        <f t="shared" ref="AG67:AG129" si="119">(U67+V67+Z67+W67+X67-AA67)/(S67-T67-AA67)*100</f>
        <v>49.23576901920346</v>
      </c>
      <c r="AH67" s="178">
        <f t="shared" si="51"/>
        <v>3.4106409002945099</v>
      </c>
      <c r="AI67" s="179">
        <f t="shared" si="52"/>
        <v>100</v>
      </c>
      <c r="AJ67" s="30">
        <f t="shared" si="90"/>
        <v>4</v>
      </c>
      <c r="AK67" s="204">
        <v>5</v>
      </c>
      <c r="AL67" s="204">
        <v>21</v>
      </c>
      <c r="AM67" s="204">
        <v>0</v>
      </c>
      <c r="AN67" s="181">
        <f t="shared" si="101"/>
        <v>26</v>
      </c>
      <c r="AO67" s="182">
        <f t="shared" si="102"/>
        <v>0</v>
      </c>
      <c r="AP67" s="183">
        <f t="shared" ref="AP67:AP129" si="120">IF(AO67&lt;10, 100, IF(AO67&lt;20, 80, IF(AO67&lt;30, 60, IF(AO67&lt;50, 40, IF(AO67&gt;=50, 20)))))</f>
        <v>100</v>
      </c>
      <c r="AQ67" s="38">
        <f t="shared" si="91"/>
        <v>2</v>
      </c>
      <c r="AR67" s="212">
        <v>3</v>
      </c>
      <c r="AS67" s="292">
        <f t="shared" si="103"/>
        <v>0.25</v>
      </c>
      <c r="AT67" s="185">
        <f t="shared" si="104"/>
        <v>1.25</v>
      </c>
      <c r="AU67" s="185">
        <f t="shared" ref="AU67:AU129" si="121">ROUNDDOWN(AT67,0)</f>
        <v>1</v>
      </c>
      <c r="AV67" s="186">
        <f t="shared" si="105"/>
        <v>40</v>
      </c>
      <c r="AW67" s="179">
        <f t="shared" ref="AW67:AW129" si="122">IF(AV67&lt;0, 20, IF(AV67=0, 40, IF(AV67&lt;20, 60, IF(AV67&lt;40, 80, IF(AV67&gt;=40, 100)))))</f>
        <v>100</v>
      </c>
      <c r="AX67" s="239">
        <f t="shared" si="92"/>
        <v>1</v>
      </c>
      <c r="AY67" s="54">
        <v>10</v>
      </c>
      <c r="AZ67" s="54">
        <v>29</v>
      </c>
      <c r="BA67" s="189">
        <f t="shared" si="106"/>
        <v>30</v>
      </c>
      <c r="BB67" s="178">
        <f t="shared" ref="BB67:BB129" si="123">(AZ67/BA67)*100</f>
        <v>96.666666666666671</v>
      </c>
      <c r="BC67" s="179">
        <f t="shared" ref="BC67:BC129" si="124">IF(BB67&lt;70, 25, IF(BB67&lt;80, 50, IF(BB67&lt;90, 75, IF(BB67&gt;=90, 100))))</f>
        <v>100</v>
      </c>
      <c r="BD67" s="30">
        <f t="shared" si="93"/>
        <v>1</v>
      </c>
      <c r="BE67" s="190">
        <v>30995000</v>
      </c>
      <c r="BF67" s="190">
        <v>2325000</v>
      </c>
      <c r="BG67" s="54">
        <v>600000</v>
      </c>
      <c r="BH67" s="191">
        <f t="shared" si="107"/>
        <v>33320000</v>
      </c>
      <c r="BI67" s="178">
        <f t="shared" si="108"/>
        <v>1.800720288115246</v>
      </c>
      <c r="BJ67" s="294" t="str">
        <f t="shared" ref="BJ67:BJ129" si="125">IF(D67="금융업(보험)", "금융업", IF(D67="금융업(증권)", "금융업", IF(D67="금융업(종금)", "금융업", D67)))</f>
        <v>비제조/서비스업</v>
      </c>
      <c r="BK67" s="192">
        <f t="shared" si="109"/>
        <v>1.7464434573900924</v>
      </c>
      <c r="BL67" s="193">
        <f t="shared" ref="BL67:BL129" si="126">BI67-BK67</f>
        <v>5.4276830725153546E-2</v>
      </c>
      <c r="BM67" s="241">
        <f t="shared" ref="BM67:BM129" si="127">IF(BL67&lt;-2, 100, IF(BL67&lt;0, 80, IF(BL67&lt;2, 60, IF(BL67&lt;10, 40, 20))))</f>
        <v>60</v>
      </c>
      <c r="BN67" s="47">
        <f t="shared" ref="BN67:BN129" si="128">BM67*0.02</f>
        <v>1.2</v>
      </c>
      <c r="BO67" s="54">
        <v>1463000</v>
      </c>
      <c r="BP67" s="194">
        <f t="shared" si="110"/>
        <v>7.1656131704307055E-2</v>
      </c>
      <c r="BQ67" s="179">
        <f t="shared" ref="BQ67:BQ129" si="129">IF(BP67=0, 25, IF(BP67&lt;0.1, 40, IF(BP67&lt;0.5, 55, IF(BP67&lt;2, 70, IF(BP67&lt;4, 85, IF(BP67&gt;=4, 100))))))</f>
        <v>40</v>
      </c>
      <c r="BR67" s="30">
        <f t="shared" si="94"/>
        <v>0.8</v>
      </c>
      <c r="BS67" s="195">
        <v>715787</v>
      </c>
      <c r="BT67" s="195">
        <v>0</v>
      </c>
      <c r="BU67" s="196">
        <f t="shared" ref="BU67:BU129" si="130">BS67-BT67</f>
        <v>715787</v>
      </c>
      <c r="BV67" s="178">
        <f t="shared" si="111"/>
        <v>3.5058460385667005E-2</v>
      </c>
      <c r="BW67" s="192">
        <f t="shared" si="112"/>
        <v>2.8482825397737606</v>
      </c>
      <c r="BX67" s="192">
        <f t="shared" ref="BX67:BX129" si="131">(BV67-BW67)^2</f>
        <v>7.9142297208489856</v>
      </c>
      <c r="BY67" s="192">
        <f t="shared" si="113"/>
        <v>5.5697595856656799</v>
      </c>
      <c r="BZ67" s="192">
        <f t="shared" ref="BZ67:BZ129" si="132">(1-_xlfn.NORM.DIST(BV67, BW67, BY67, TRUE))*100</f>
        <v>69.325182262620771</v>
      </c>
      <c r="CA67" s="192">
        <f t="shared" si="114"/>
        <v>40</v>
      </c>
      <c r="CB67" s="55">
        <f t="shared" ref="CB67:CB129" si="133">CA67*0.02</f>
        <v>0.8</v>
      </c>
      <c r="CC67" s="197">
        <f t="shared" si="95"/>
        <v>203.12358509125858</v>
      </c>
      <c r="CD67" s="198">
        <f t="shared" si="96"/>
        <v>25</v>
      </c>
      <c r="CE67" s="58">
        <f t="shared" si="97"/>
        <v>0.375</v>
      </c>
      <c r="CF67" s="245" t="s">
        <v>2326</v>
      </c>
      <c r="CG67" s="245" t="s">
        <v>2326</v>
      </c>
      <c r="CH67" s="245" t="s">
        <v>2326</v>
      </c>
      <c r="CI67" s="245" t="s">
        <v>2326</v>
      </c>
      <c r="CJ67" s="235"/>
      <c r="CK67" s="173" t="s">
        <v>2495</v>
      </c>
      <c r="CL67" s="173" t="s">
        <v>2478</v>
      </c>
      <c r="CM67" s="199">
        <f t="shared" ref="CM67:CM129" si="134">IF(CL67="A", 100, IF(CL67="B", 85, IF(CL67="C", 70, IF(CL67="D", 55, IF(CL67="E", 40, 25)))))</f>
        <v>25</v>
      </c>
      <c r="CN67" s="58">
        <f t="shared" si="98"/>
        <v>0.375</v>
      </c>
      <c r="CO67" s="54">
        <f>1726000+900000+1000</f>
        <v>2627000</v>
      </c>
      <c r="CP67" s="186">
        <f t="shared" si="115"/>
        <v>0.47101430923362408</v>
      </c>
      <c r="CQ67" s="179">
        <f t="shared" ref="CQ67:CQ129" si="135">IF(CP67&lt;3, 100, IF(CP67&lt;10, 80, IF(CP67&lt;35, 60, IF(CP67&lt;100, 40, IF(CP67&gt;=100, 20)))))</f>
        <v>100</v>
      </c>
      <c r="CR67" s="30">
        <f t="shared" si="99"/>
        <v>3</v>
      </c>
      <c r="CS67" s="200">
        <f>_xlfn.XLOOKUP(C67, '1-1. 관계사체무보증금액 (환율 등)'!$3:$3, '1-1. 관계사체무보증금액 (환율 등)'!$33:$33)</f>
        <v>0</v>
      </c>
      <c r="CT67" s="178">
        <f t="shared" si="116"/>
        <v>0</v>
      </c>
      <c r="CU67" s="179">
        <f t="shared" ref="CU67:CU129" si="136">IF(CT67&lt;3, 100, IF(CT67&lt;10, 80, IF(CT67&lt;35, 60, IF(CT67&lt;100, 40, 20))))</f>
        <v>100</v>
      </c>
      <c r="CV67" s="30">
        <f t="shared" si="100"/>
        <v>2</v>
      </c>
      <c r="CW67" s="72">
        <f t="shared" ref="CW67:CW130" si="137">AE67+AJ67+AQ67+AX67+BD67+BN67+BR67+CB67+CE67+CJ67+CN67+CR67+CV67</f>
        <v>18.314291254808428</v>
      </c>
    </row>
    <row r="68" spans="1:101" x14ac:dyDescent="0.6">
      <c r="A68" s="214" t="s">
        <v>1583</v>
      </c>
      <c r="B68" s="13" t="s">
        <v>2045</v>
      </c>
      <c r="C68" s="219" t="s">
        <v>870</v>
      </c>
      <c r="D68" s="216" t="s">
        <v>203</v>
      </c>
      <c r="E68" s="217" t="s">
        <v>180</v>
      </c>
      <c r="F68" s="217" t="s">
        <v>141</v>
      </c>
      <c r="G68" s="218">
        <v>32164</v>
      </c>
      <c r="H68" s="217" t="s">
        <v>830</v>
      </c>
      <c r="I68" s="217" t="s">
        <v>735</v>
      </c>
      <c r="J68" s="217" t="s">
        <v>982</v>
      </c>
      <c r="K68" s="217" t="s">
        <v>91</v>
      </c>
      <c r="L68" s="220">
        <v>4278839838</v>
      </c>
      <c r="M68" s="206">
        <v>1085433049</v>
      </c>
      <c r="N68" s="206">
        <v>3193406789</v>
      </c>
      <c r="O68" s="206">
        <v>5086855586</v>
      </c>
      <c r="P68" s="206">
        <v>656205503</v>
      </c>
      <c r="Q68" s="206">
        <v>747318671</v>
      </c>
      <c r="R68" s="206">
        <v>575138552</v>
      </c>
      <c r="S68" s="207">
        <v>29314312</v>
      </c>
      <c r="T68" s="207">
        <v>5248834</v>
      </c>
      <c r="U68" s="207">
        <v>2599132</v>
      </c>
      <c r="V68" s="207">
        <f>2039629+2183120+297515+25875+14373+152400+152400+152400</f>
        <v>5017712</v>
      </c>
      <c r="W68" s="207">
        <f>7000+3071+1500*2+1000+2208+2100+3299+350+534+1500+700+1076+1032+370+100+700+400+300+500+1000+60+800+50+219+300+100+400+150+120+200</f>
        <v>32639</v>
      </c>
      <c r="X68" s="207">
        <v>0</v>
      </c>
      <c r="Z68" s="207">
        <v>0</v>
      </c>
      <c r="AA68" s="207">
        <v>0</v>
      </c>
      <c r="AB68" s="176">
        <f t="shared" ref="AB68:AB130" si="138">SUM(U68,V68,Z68,W68,X68)</f>
        <v>7649483</v>
      </c>
      <c r="AC68" s="177">
        <f t="shared" si="117"/>
        <v>26.094704184085916</v>
      </c>
      <c r="AD68" s="177">
        <f t="shared" ref="AD68:AD130" si="139">100-(75*(AC68-0.1))/(87-0.1)</f>
        <v>77.5649848813988</v>
      </c>
      <c r="AE68" s="26">
        <f t="shared" si="89"/>
        <v>2.3269495464419641</v>
      </c>
      <c r="AF68" s="178">
        <f t="shared" si="118"/>
        <v>31.650499524671815</v>
      </c>
      <c r="AG68" s="178">
        <f t="shared" si="119"/>
        <v>31.786125336882982</v>
      </c>
      <c r="AH68" s="178">
        <f t="shared" ref="AH68:AH130" si="140">AG68-AF68</f>
        <v>0.13562581221116687</v>
      </c>
      <c r="AI68" s="179">
        <f t="shared" ref="AI68:AI130" si="141">IF(AH68&lt;10, 100, IF(AH68&lt;30, 80, IF(AH68&lt;50, 60, IF(AH68&lt;80, 40, IF(AH68&lt;=100, 20)))))</f>
        <v>100</v>
      </c>
      <c r="AJ68" s="30">
        <f t="shared" si="90"/>
        <v>4</v>
      </c>
      <c r="AK68" s="204">
        <v>10</v>
      </c>
      <c r="AL68" s="204">
        <v>37</v>
      </c>
      <c r="AM68" s="204">
        <v>2</v>
      </c>
      <c r="AN68" s="181">
        <f t="shared" si="101"/>
        <v>47</v>
      </c>
      <c r="AO68" s="182">
        <f t="shared" si="102"/>
        <v>4.2553191489361701</v>
      </c>
      <c r="AP68" s="183">
        <f t="shared" si="120"/>
        <v>100</v>
      </c>
      <c r="AQ68" s="38">
        <f t="shared" si="91"/>
        <v>2</v>
      </c>
      <c r="AR68" s="212">
        <v>7</v>
      </c>
      <c r="AS68" s="292">
        <f t="shared" si="103"/>
        <v>0.5</v>
      </c>
      <c r="AT68" s="185">
        <f t="shared" si="104"/>
        <v>5</v>
      </c>
      <c r="AU68" s="185">
        <f t="shared" si="121"/>
        <v>5</v>
      </c>
      <c r="AV68" s="186">
        <f t="shared" si="105"/>
        <v>20</v>
      </c>
      <c r="AW68" s="179">
        <f t="shared" si="122"/>
        <v>80</v>
      </c>
      <c r="AX68" s="239">
        <f t="shared" si="92"/>
        <v>0.8</v>
      </c>
      <c r="AY68" s="54">
        <v>10</v>
      </c>
      <c r="AZ68" s="54">
        <v>70</v>
      </c>
      <c r="BA68" s="189">
        <f t="shared" si="106"/>
        <v>70</v>
      </c>
      <c r="BB68" s="178">
        <f t="shared" si="123"/>
        <v>100</v>
      </c>
      <c r="BC68" s="179">
        <f t="shared" si="124"/>
        <v>100</v>
      </c>
      <c r="BD68" s="30">
        <f t="shared" si="93"/>
        <v>1</v>
      </c>
      <c r="BE68" s="190">
        <v>48404000</v>
      </c>
      <c r="BF68" s="190">
        <v>5991000</v>
      </c>
      <c r="BG68" s="54">
        <v>1182000</v>
      </c>
      <c r="BH68" s="191">
        <f t="shared" si="107"/>
        <v>54395000</v>
      </c>
      <c r="BI68" s="178">
        <f t="shared" si="108"/>
        <v>2.1729938413457122</v>
      </c>
      <c r="BJ68" s="294" t="str">
        <f t="shared" si="125"/>
        <v>금속/비금속/화학업</v>
      </c>
      <c r="BK68" s="192">
        <f t="shared" si="109"/>
        <v>3.9534118626990464</v>
      </c>
      <c r="BL68" s="193">
        <f t="shared" si="126"/>
        <v>-1.7804180213533343</v>
      </c>
      <c r="BM68" s="241">
        <f t="shared" si="127"/>
        <v>80</v>
      </c>
      <c r="BN68" s="47">
        <f t="shared" si="128"/>
        <v>1.6</v>
      </c>
      <c r="BO68" s="54">
        <f>(59098-950)*1000</f>
        <v>58148000</v>
      </c>
      <c r="BP68" s="194">
        <f t="shared" si="110"/>
        <v>1.1431030234086932</v>
      </c>
      <c r="BQ68" s="179">
        <f t="shared" si="129"/>
        <v>70</v>
      </c>
      <c r="BR68" s="30">
        <f t="shared" si="94"/>
        <v>1.4000000000000001</v>
      </c>
      <c r="BS68" s="195">
        <v>255503578.07600001</v>
      </c>
      <c r="BT68" s="195">
        <v>4803000</v>
      </c>
      <c r="BU68" s="196">
        <f t="shared" si="130"/>
        <v>250700578.07600001</v>
      </c>
      <c r="BV68" s="178">
        <f t="shared" si="111"/>
        <v>4.9283997518226386</v>
      </c>
      <c r="BW68" s="192">
        <f t="shared" si="112"/>
        <v>5.1474158565187729</v>
      </c>
      <c r="BX68" s="192">
        <f t="shared" si="131"/>
        <v>4.7968054116268061E-2</v>
      </c>
      <c r="BY68" s="192">
        <f t="shared" si="113"/>
        <v>6.6930498535228526</v>
      </c>
      <c r="BZ68" s="192">
        <f t="shared" si="132"/>
        <v>51.305222511994273</v>
      </c>
      <c r="CA68" s="192">
        <f t="shared" si="114"/>
        <v>55</v>
      </c>
      <c r="CB68" s="55">
        <f t="shared" si="133"/>
        <v>1.1000000000000001</v>
      </c>
      <c r="CC68" s="197">
        <f t="shared" si="95"/>
        <v>33.98981466247519</v>
      </c>
      <c r="CD68" s="198">
        <f t="shared" si="96"/>
        <v>87.5666527653988</v>
      </c>
      <c r="CE68" s="58">
        <f t="shared" si="97"/>
        <v>1.3134997914809821</v>
      </c>
      <c r="CF68" s="245" t="s">
        <v>2326</v>
      </c>
      <c r="CG68" s="245" t="s">
        <v>2326</v>
      </c>
      <c r="CH68" s="245" t="s">
        <v>2326</v>
      </c>
      <c r="CI68" s="245" t="s">
        <v>2326</v>
      </c>
      <c r="CJ68" s="235"/>
      <c r="CK68" s="173" t="s">
        <v>2490</v>
      </c>
      <c r="CL68" s="173" t="s">
        <v>2487</v>
      </c>
      <c r="CM68" s="199">
        <f t="shared" si="134"/>
        <v>70</v>
      </c>
      <c r="CN68" s="58">
        <f t="shared" si="98"/>
        <v>1.05</v>
      </c>
      <c r="CO68" s="54">
        <f>199140000+68827000+148764000+7476000+27849000+102885000+189072000+14490000+11022000</f>
        <v>769525000</v>
      </c>
      <c r="CP68" s="186">
        <f t="shared" si="115"/>
        <v>24.097305819311956</v>
      </c>
      <c r="CQ68" s="179">
        <f t="shared" si="135"/>
        <v>60</v>
      </c>
      <c r="CR68" s="30">
        <f t="shared" si="99"/>
        <v>1.7999999999999998</v>
      </c>
      <c r="CS68" s="200">
        <f>_xlfn.XLOOKUP(C68, '1-1. 관계사체무보증금액 (환율 등)'!$3:$3, '1-1. 관계사체무보증금액 (환율 등)'!$33:$33)</f>
        <v>6545454.5454545459</v>
      </c>
      <c r="CT68" s="178">
        <f t="shared" si="116"/>
        <v>0.20496776571030662</v>
      </c>
      <c r="CU68" s="179">
        <f t="shared" si="136"/>
        <v>100</v>
      </c>
      <c r="CV68" s="30">
        <f t="shared" si="100"/>
        <v>2</v>
      </c>
      <c r="CW68" s="72">
        <f t="shared" si="137"/>
        <v>20.390449337922949</v>
      </c>
    </row>
    <row r="69" spans="1:101" x14ac:dyDescent="0.6">
      <c r="A69" s="214" t="s">
        <v>1584</v>
      </c>
      <c r="B69" s="13" t="s">
        <v>2046</v>
      </c>
      <c r="C69" s="219" t="s">
        <v>485</v>
      </c>
      <c r="D69" s="216" t="s">
        <v>202</v>
      </c>
      <c r="E69" s="217" t="s">
        <v>572</v>
      </c>
      <c r="F69" s="217" t="s">
        <v>1235</v>
      </c>
      <c r="G69" s="218">
        <v>39385</v>
      </c>
      <c r="H69" s="217" t="s">
        <v>746</v>
      </c>
      <c r="I69" s="217" t="s">
        <v>726</v>
      </c>
      <c r="J69" s="217" t="s">
        <v>1062</v>
      </c>
      <c r="K69" s="217" t="s">
        <v>346</v>
      </c>
      <c r="L69" s="220">
        <v>270299658</v>
      </c>
      <c r="M69" s="206">
        <v>18481909</v>
      </c>
      <c r="N69" s="206">
        <v>251817749</v>
      </c>
      <c r="O69" s="206">
        <v>116116871</v>
      </c>
      <c r="P69" s="206">
        <v>9240856</v>
      </c>
      <c r="Q69" s="206">
        <v>9598370</v>
      </c>
      <c r="R69" s="206">
        <v>7492215</v>
      </c>
      <c r="S69" s="207">
        <v>29200000</v>
      </c>
      <c r="T69" s="207">
        <v>0</v>
      </c>
      <c r="U69" s="207">
        <f>17779167</f>
        <v>17779167</v>
      </c>
      <c r="V69" s="207">
        <f>1301669+443569+416178</f>
        <v>2161416</v>
      </c>
      <c r="W69" s="207">
        <f>12032+12142</f>
        <v>24174</v>
      </c>
      <c r="X69" s="207">
        <v>0</v>
      </c>
      <c r="Z69" s="207">
        <f>729762+137000</f>
        <v>866762</v>
      </c>
      <c r="AA69" s="207">
        <v>0</v>
      </c>
      <c r="AB69" s="176">
        <f t="shared" si="138"/>
        <v>20831519</v>
      </c>
      <c r="AC69" s="177">
        <f t="shared" si="117"/>
        <v>71.340818493150678</v>
      </c>
      <c r="AD69" s="177">
        <f t="shared" si="139"/>
        <v>38.514828688304938</v>
      </c>
      <c r="AE69" s="26">
        <f t="shared" si="89"/>
        <v>1.1554448606491481</v>
      </c>
      <c r="AF69" s="178">
        <f t="shared" si="118"/>
        <v>68.289667808219178</v>
      </c>
      <c r="AG69" s="178">
        <f t="shared" si="119"/>
        <v>71.340818493150678</v>
      </c>
      <c r="AH69" s="178">
        <f t="shared" si="140"/>
        <v>3.0511506849314998</v>
      </c>
      <c r="AI69" s="179">
        <f t="shared" si="141"/>
        <v>100</v>
      </c>
      <c r="AJ69" s="30">
        <f t="shared" si="90"/>
        <v>4</v>
      </c>
      <c r="AK69" s="204">
        <v>6</v>
      </c>
      <c r="AL69" s="204">
        <v>5</v>
      </c>
      <c r="AM69" s="204">
        <v>1</v>
      </c>
      <c r="AN69" s="181">
        <f t="shared" si="101"/>
        <v>11</v>
      </c>
      <c r="AO69" s="182">
        <f t="shared" si="102"/>
        <v>9.0909090909090917</v>
      </c>
      <c r="AP69" s="183">
        <f t="shared" si="120"/>
        <v>100</v>
      </c>
      <c r="AQ69" s="38">
        <f t="shared" si="91"/>
        <v>2</v>
      </c>
      <c r="AR69" s="212">
        <v>1</v>
      </c>
      <c r="AS69" s="292">
        <f t="shared" si="103"/>
        <v>0.25</v>
      </c>
      <c r="AT69" s="185">
        <f t="shared" si="104"/>
        <v>1.5</v>
      </c>
      <c r="AU69" s="185">
        <f t="shared" si="121"/>
        <v>1</v>
      </c>
      <c r="AV69" s="186">
        <f t="shared" si="105"/>
        <v>0</v>
      </c>
      <c r="AW69" s="179">
        <f t="shared" si="122"/>
        <v>40</v>
      </c>
      <c r="AX69" s="239">
        <f t="shared" si="92"/>
        <v>0.4</v>
      </c>
      <c r="AY69" s="54">
        <v>4</v>
      </c>
      <c r="AZ69" s="54">
        <v>2</v>
      </c>
      <c r="BA69" s="189">
        <f t="shared" si="106"/>
        <v>4</v>
      </c>
      <c r="BB69" s="178">
        <f t="shared" si="123"/>
        <v>50</v>
      </c>
      <c r="BC69" s="179">
        <f t="shared" si="124"/>
        <v>25</v>
      </c>
      <c r="BD69" s="30">
        <f t="shared" si="93"/>
        <v>0.25</v>
      </c>
      <c r="BE69" s="190">
        <v>5104143</v>
      </c>
      <c r="BF69" s="190">
        <v>681241</v>
      </c>
      <c r="BG69" s="54">
        <v>40919</v>
      </c>
      <c r="BH69" s="191">
        <f t="shared" si="107"/>
        <v>5785384</v>
      </c>
      <c r="BI69" s="178">
        <f t="shared" si="108"/>
        <v>0.70728235152584507</v>
      </c>
      <c r="BJ69" s="294" t="str">
        <f t="shared" si="125"/>
        <v>전기전자/기계업</v>
      </c>
      <c r="BK69" s="192">
        <f t="shared" si="109"/>
        <v>2.4096449716116455</v>
      </c>
      <c r="BL69" s="193">
        <f t="shared" si="126"/>
        <v>-1.7023626200858004</v>
      </c>
      <c r="BM69" s="241">
        <f t="shared" si="127"/>
        <v>80</v>
      </c>
      <c r="BN69" s="47">
        <f t="shared" si="128"/>
        <v>1.6</v>
      </c>
      <c r="BO69" s="54">
        <v>0</v>
      </c>
      <c r="BP69" s="194">
        <f t="shared" si="110"/>
        <v>0</v>
      </c>
      <c r="BQ69" s="179">
        <f t="shared" si="129"/>
        <v>25</v>
      </c>
      <c r="BR69" s="30">
        <f t="shared" si="94"/>
        <v>0.5</v>
      </c>
      <c r="BS69" s="195">
        <v>1752467.469</v>
      </c>
      <c r="BT69" s="195">
        <v>92036</v>
      </c>
      <c r="BU69" s="196">
        <f t="shared" si="130"/>
        <v>1660431.469</v>
      </c>
      <c r="BV69" s="178">
        <f t="shared" si="111"/>
        <v>1.4299657359868059</v>
      </c>
      <c r="BW69" s="192">
        <f t="shared" si="112"/>
        <v>5.2309968128308268</v>
      </c>
      <c r="BX69" s="192">
        <f t="shared" si="131"/>
        <v>14.447837247134018</v>
      </c>
      <c r="BY69" s="192">
        <f t="shared" si="113"/>
        <v>7.0695458012309622</v>
      </c>
      <c r="BZ69" s="192">
        <f t="shared" si="132"/>
        <v>70.45950322691607</v>
      </c>
      <c r="CA69" s="192">
        <f t="shared" si="114"/>
        <v>40</v>
      </c>
      <c r="CB69" s="55">
        <f t="shared" si="133"/>
        <v>0.8</v>
      </c>
      <c r="CC69" s="197">
        <f t="shared" si="95"/>
        <v>7.3393988602447555</v>
      </c>
      <c r="CD69" s="198">
        <f t="shared" si="96"/>
        <v>97.610779324028357</v>
      </c>
      <c r="CE69" s="58">
        <f t="shared" si="97"/>
        <v>1.4641616898604253</v>
      </c>
      <c r="CF69" s="245" t="s">
        <v>2326</v>
      </c>
      <c r="CG69" s="245" t="s">
        <v>2326</v>
      </c>
      <c r="CH69" s="245" t="s">
        <v>2326</v>
      </c>
      <c r="CI69" s="245" t="s">
        <v>2326</v>
      </c>
      <c r="CJ69" s="235"/>
      <c r="CK69" s="173" t="s">
        <v>2479</v>
      </c>
      <c r="CL69" s="173" t="s">
        <v>2478</v>
      </c>
      <c r="CM69" s="199">
        <f t="shared" si="134"/>
        <v>25</v>
      </c>
      <c r="CN69" s="58">
        <f t="shared" si="98"/>
        <v>0.375</v>
      </c>
      <c r="CO69" s="54">
        <f>34216000-5393000</f>
        <v>28823000</v>
      </c>
      <c r="CP69" s="186">
        <f t="shared" si="115"/>
        <v>11.445976351730474</v>
      </c>
      <c r="CQ69" s="179">
        <f t="shared" si="135"/>
        <v>60</v>
      </c>
      <c r="CR69" s="30">
        <f t="shared" si="99"/>
        <v>1.7999999999999998</v>
      </c>
      <c r="CS69" s="200">
        <f>_xlfn.XLOOKUP(C69, '1-1. 관계사체무보증금액 (환율 등)'!$3:$3, '1-1. 관계사체무보증금액 (환율 등)'!$33:$33)</f>
        <v>0</v>
      </c>
      <c r="CT69" s="178">
        <f t="shared" si="116"/>
        <v>0</v>
      </c>
      <c r="CU69" s="179">
        <f t="shared" si="136"/>
        <v>100</v>
      </c>
      <c r="CV69" s="30">
        <f t="shared" si="100"/>
        <v>2</v>
      </c>
      <c r="CW69" s="72">
        <f t="shared" si="137"/>
        <v>16.344606550509575</v>
      </c>
    </row>
    <row r="70" spans="1:101" x14ac:dyDescent="0.6">
      <c r="A70" s="214" t="s">
        <v>781</v>
      </c>
      <c r="B70" s="13" t="s">
        <v>2047</v>
      </c>
      <c r="C70" s="219" t="s">
        <v>503</v>
      </c>
      <c r="D70" s="216" t="s">
        <v>202</v>
      </c>
      <c r="E70" s="217" t="s">
        <v>996</v>
      </c>
      <c r="F70" s="217" t="s">
        <v>389</v>
      </c>
      <c r="G70" s="218">
        <v>26866</v>
      </c>
      <c r="H70" s="217" t="s">
        <v>830</v>
      </c>
      <c r="I70" s="217" t="s">
        <v>988</v>
      </c>
      <c r="J70" s="217" t="s">
        <v>1060</v>
      </c>
      <c r="K70" s="217" t="s">
        <v>91</v>
      </c>
      <c r="L70" s="220">
        <v>46715448000</v>
      </c>
      <c r="M70" s="206">
        <v>20245275000</v>
      </c>
      <c r="N70" s="206">
        <v>26470173000</v>
      </c>
      <c r="O70" s="206">
        <v>46409721000</v>
      </c>
      <c r="P70" s="206">
        <v>3000886000</v>
      </c>
      <c r="Q70" s="206">
        <v>2639370000</v>
      </c>
      <c r="R70" s="206">
        <v>1953513000</v>
      </c>
      <c r="S70" s="207">
        <v>405363347</v>
      </c>
      <c r="T70" s="207">
        <v>4432968</v>
      </c>
      <c r="U70" s="207">
        <f>137318251+7061331</f>
        <v>144379582</v>
      </c>
      <c r="V70" s="207">
        <v>0</v>
      </c>
      <c r="W70" s="207">
        <f>3500+1718+23740+800+218+1335+1242+1222+518+2357+2084+1418+1683+1053+1138+1473+518+1722+1295+400+1683+1518+590+400+450+89+683+439+213+195+293+1020+465+9834+600+1538+900+930+1778+1310+2162+2782+507+1304+856+983+300+683+457+2467+683+2648+799+1433+317+465+1234+1983+387+983+683*2+218+1055+983+765+633+983+683+2468+518+972+983+2128+465+565+683+100+2962+683+865+983+1072+565+765+573+218+765+218+683+518+683+765+89+785+1522+1422+653+518+1524+778+313+1375+578+465+475+289+1067+2790+983+492</f>
        <v>141799</v>
      </c>
      <c r="X70" s="207">
        <v>0</v>
      </c>
      <c r="Z70" s="207">
        <v>0</v>
      </c>
      <c r="AA70" s="207">
        <v>0</v>
      </c>
      <c r="AB70" s="176">
        <f t="shared" si="138"/>
        <v>144521381</v>
      </c>
      <c r="AC70" s="177">
        <f t="shared" si="117"/>
        <v>35.652306028546782</v>
      </c>
      <c r="AD70" s="177">
        <f t="shared" si="139"/>
        <v>69.316191574902092</v>
      </c>
      <c r="AE70" s="26">
        <f t="shared" si="89"/>
        <v>2.0794857472470625</v>
      </c>
      <c r="AF70" s="178">
        <f t="shared" si="118"/>
        <v>36.011135489436185</v>
      </c>
      <c r="AG70" s="178">
        <f t="shared" si="119"/>
        <v>36.046502976518028</v>
      </c>
      <c r="AH70" s="178">
        <f t="shared" si="140"/>
        <v>3.5367487081842341E-2</v>
      </c>
      <c r="AI70" s="179">
        <f t="shared" si="141"/>
        <v>100</v>
      </c>
      <c r="AJ70" s="30">
        <f t="shared" si="90"/>
        <v>4</v>
      </c>
      <c r="AK70" s="204">
        <v>9</v>
      </c>
      <c r="AL70" s="204">
        <v>138</v>
      </c>
      <c r="AM70" s="204">
        <v>1</v>
      </c>
      <c r="AN70" s="181">
        <f t="shared" si="101"/>
        <v>147</v>
      </c>
      <c r="AO70" s="182">
        <f t="shared" si="102"/>
        <v>0.68027210884353739</v>
      </c>
      <c r="AP70" s="183">
        <f t="shared" si="120"/>
        <v>100</v>
      </c>
      <c r="AQ70" s="38">
        <f t="shared" si="91"/>
        <v>2</v>
      </c>
      <c r="AR70" s="212">
        <v>5</v>
      </c>
      <c r="AS70" s="292">
        <f t="shared" si="103"/>
        <v>0.5</v>
      </c>
      <c r="AT70" s="185">
        <f t="shared" si="104"/>
        <v>4.5</v>
      </c>
      <c r="AU70" s="185">
        <f t="shared" si="121"/>
        <v>4</v>
      </c>
      <c r="AV70" s="186">
        <f t="shared" si="105"/>
        <v>11.111111111111111</v>
      </c>
      <c r="AW70" s="179">
        <f t="shared" si="122"/>
        <v>60</v>
      </c>
      <c r="AX70" s="239">
        <f t="shared" si="92"/>
        <v>0.6</v>
      </c>
      <c r="AY70" s="54">
        <v>8</v>
      </c>
      <c r="AZ70" s="54">
        <f>40-2</f>
        <v>38</v>
      </c>
      <c r="BA70" s="189">
        <f t="shared" si="106"/>
        <v>40</v>
      </c>
      <c r="BB70" s="178">
        <f t="shared" si="123"/>
        <v>95</v>
      </c>
      <c r="BC70" s="179">
        <f t="shared" si="124"/>
        <v>100</v>
      </c>
      <c r="BD70" s="30">
        <f t="shared" si="93"/>
        <v>1</v>
      </c>
      <c r="BE70" s="190">
        <f>(552147+324986-2153)*1000</f>
        <v>874980000</v>
      </c>
      <c r="BF70" s="190">
        <v>76477000</v>
      </c>
      <c r="BG70" s="54">
        <v>1488000</v>
      </c>
      <c r="BH70" s="191">
        <f t="shared" si="107"/>
        <v>951457000</v>
      </c>
      <c r="BI70" s="178">
        <f t="shared" si="108"/>
        <v>0.15639172343048607</v>
      </c>
      <c r="BJ70" s="294" t="str">
        <f t="shared" si="125"/>
        <v>전기전자/기계업</v>
      </c>
      <c r="BK70" s="192">
        <f t="shared" si="109"/>
        <v>2.4096449716116455</v>
      </c>
      <c r="BL70" s="193">
        <f t="shared" si="126"/>
        <v>-2.2532532481811596</v>
      </c>
      <c r="BM70" s="241">
        <f t="shared" si="127"/>
        <v>100</v>
      </c>
      <c r="BN70" s="47">
        <f t="shared" si="128"/>
        <v>2</v>
      </c>
      <c r="BO70" s="54">
        <v>2162950000</v>
      </c>
      <c r="BP70" s="194">
        <f t="shared" si="110"/>
        <v>4.6605537663111569</v>
      </c>
      <c r="BQ70" s="179">
        <f t="shared" si="129"/>
        <v>100</v>
      </c>
      <c r="BR70" s="30">
        <f t="shared" si="94"/>
        <v>2</v>
      </c>
      <c r="BS70" s="195">
        <v>953755000</v>
      </c>
      <c r="BT70" s="195">
        <v>41598000</v>
      </c>
      <c r="BU70" s="196">
        <f t="shared" si="130"/>
        <v>912157000</v>
      </c>
      <c r="BV70" s="178">
        <f t="shared" si="111"/>
        <v>1.965443834493209</v>
      </c>
      <c r="BW70" s="192">
        <f t="shared" si="112"/>
        <v>5.2309968128308268</v>
      </c>
      <c r="BX70" s="192">
        <f t="shared" si="131"/>
        <v>10.663836254329684</v>
      </c>
      <c r="BY70" s="192">
        <f t="shared" si="113"/>
        <v>7.0695458012309622</v>
      </c>
      <c r="BZ70" s="192">
        <f t="shared" si="132"/>
        <v>67.793006519930287</v>
      </c>
      <c r="CA70" s="192">
        <f t="shared" si="114"/>
        <v>40</v>
      </c>
      <c r="CB70" s="55">
        <f t="shared" si="133"/>
        <v>0.8</v>
      </c>
      <c r="CC70" s="197">
        <f t="shared" si="95"/>
        <v>76.483349768813369</v>
      </c>
      <c r="CD70" s="198">
        <f t="shared" si="96"/>
        <v>71.551501343412042</v>
      </c>
      <c r="CE70" s="58">
        <f t="shared" si="97"/>
        <v>1.0732725201511806</v>
      </c>
      <c r="CF70" s="245" t="s">
        <v>2326</v>
      </c>
      <c r="CG70" s="245" t="s">
        <v>2326</v>
      </c>
      <c r="CH70" s="245" t="s">
        <v>2326</v>
      </c>
      <c r="CI70" s="245" t="s">
        <v>2326</v>
      </c>
      <c r="CJ70" s="235"/>
      <c r="CK70" s="173" t="s">
        <v>2502</v>
      </c>
      <c r="CL70" s="173" t="s">
        <v>2487</v>
      </c>
      <c r="CM70" s="199">
        <f t="shared" si="134"/>
        <v>70</v>
      </c>
      <c r="CN70" s="58">
        <f t="shared" si="98"/>
        <v>1.05</v>
      </c>
      <c r="CO70" s="54">
        <v>2423441000</v>
      </c>
      <c r="CP70" s="186">
        <f t="shared" si="115"/>
        <v>9.1553651727172323</v>
      </c>
      <c r="CQ70" s="179">
        <f t="shared" si="135"/>
        <v>80</v>
      </c>
      <c r="CR70" s="30">
        <f t="shared" si="99"/>
        <v>2.4</v>
      </c>
      <c r="CS70" s="200">
        <f>_xlfn.XLOOKUP(C70, '1-1. 관계사체무보증금액 (환율 등)'!$3:$3, '1-1. 관계사체무보증금액 (환율 등)'!$33:$33)</f>
        <v>0</v>
      </c>
      <c r="CT70" s="178">
        <f t="shared" si="116"/>
        <v>0</v>
      </c>
      <c r="CU70" s="179">
        <f t="shared" si="136"/>
        <v>100</v>
      </c>
      <c r="CV70" s="30">
        <f t="shared" si="100"/>
        <v>2</v>
      </c>
      <c r="CW70" s="72">
        <f t="shared" si="137"/>
        <v>21.002758267398242</v>
      </c>
    </row>
    <row r="71" spans="1:101" x14ac:dyDescent="0.6">
      <c r="A71" s="214" t="s">
        <v>99</v>
      </c>
      <c r="B71" s="13" t="s">
        <v>2048</v>
      </c>
      <c r="C71" s="219" t="s">
        <v>309</v>
      </c>
      <c r="D71" s="216" t="s">
        <v>285</v>
      </c>
      <c r="E71" s="217" t="s">
        <v>867</v>
      </c>
      <c r="F71" s="217" t="s">
        <v>397</v>
      </c>
      <c r="G71" s="218">
        <v>28122</v>
      </c>
      <c r="H71" s="217" t="s">
        <v>830</v>
      </c>
      <c r="I71" s="217" t="s">
        <v>725</v>
      </c>
      <c r="J71" s="217" t="s">
        <v>1249</v>
      </c>
      <c r="K71" s="217" t="s">
        <v>690</v>
      </c>
      <c r="L71" s="220">
        <v>345786655</v>
      </c>
      <c r="M71" s="206">
        <v>238784577</v>
      </c>
      <c r="N71" s="206">
        <v>107002078</v>
      </c>
      <c r="O71" s="206">
        <v>450379452</v>
      </c>
      <c r="P71" s="206">
        <v>11115820</v>
      </c>
      <c r="Q71" s="206">
        <v>15758165</v>
      </c>
      <c r="R71" s="206">
        <v>19332576</v>
      </c>
      <c r="S71" s="207">
        <v>9829014</v>
      </c>
      <c r="T71" s="207">
        <v>8858</v>
      </c>
      <c r="U71" s="207">
        <f>2200000+830000</f>
        <v>3030000</v>
      </c>
      <c r="V71" s="207">
        <v>0</v>
      </c>
      <c r="W71" s="207">
        <v>0</v>
      </c>
      <c r="X71" s="207">
        <v>0</v>
      </c>
      <c r="Z71" s="207">
        <f>2000000+1100000</f>
        <v>3100000</v>
      </c>
      <c r="AA71" s="207">
        <v>0</v>
      </c>
      <c r="AB71" s="176">
        <f t="shared" si="138"/>
        <v>6130000</v>
      </c>
      <c r="AC71" s="177">
        <f t="shared" si="117"/>
        <v>62.366377746536941</v>
      </c>
      <c r="AD71" s="177">
        <f t="shared" si="139"/>
        <v>46.260318400572267</v>
      </c>
      <c r="AE71" s="26">
        <f t="shared" si="89"/>
        <v>1.387809552017168</v>
      </c>
      <c r="AF71" s="178">
        <f t="shared" si="118"/>
        <v>30.854906989257604</v>
      </c>
      <c r="AG71" s="178">
        <f t="shared" si="119"/>
        <v>62.422633611930401</v>
      </c>
      <c r="AH71" s="178">
        <f t="shared" si="140"/>
        <v>31.567726622672797</v>
      </c>
      <c r="AI71" s="179">
        <f t="shared" si="141"/>
        <v>60</v>
      </c>
      <c r="AJ71" s="30">
        <f t="shared" si="90"/>
        <v>2.4</v>
      </c>
      <c r="AK71" s="204">
        <v>5</v>
      </c>
      <c r="AL71" s="204">
        <v>33</v>
      </c>
      <c r="AM71" s="204">
        <v>1</v>
      </c>
      <c r="AN71" s="181">
        <f t="shared" si="101"/>
        <v>38</v>
      </c>
      <c r="AO71" s="182">
        <f t="shared" si="102"/>
        <v>2.6315789473684208</v>
      </c>
      <c r="AP71" s="183">
        <f t="shared" si="120"/>
        <v>100</v>
      </c>
      <c r="AQ71" s="38">
        <f t="shared" si="91"/>
        <v>2</v>
      </c>
      <c r="AR71" s="212">
        <v>1</v>
      </c>
      <c r="AS71" s="292">
        <f t="shared" si="103"/>
        <v>0.25</v>
      </c>
      <c r="AT71" s="185">
        <f t="shared" si="104"/>
        <v>1.25</v>
      </c>
      <c r="AU71" s="185">
        <f t="shared" si="121"/>
        <v>1</v>
      </c>
      <c r="AV71" s="186">
        <f t="shared" si="105"/>
        <v>0</v>
      </c>
      <c r="AW71" s="179">
        <f t="shared" si="122"/>
        <v>40</v>
      </c>
      <c r="AX71" s="239">
        <f t="shared" si="92"/>
        <v>0.4</v>
      </c>
      <c r="AY71" s="54">
        <v>14</v>
      </c>
      <c r="AZ71" s="54">
        <v>14</v>
      </c>
      <c r="BA71" s="189">
        <f t="shared" si="106"/>
        <v>14</v>
      </c>
      <c r="BB71" s="178">
        <f t="shared" si="123"/>
        <v>100</v>
      </c>
      <c r="BC71" s="179">
        <f t="shared" si="124"/>
        <v>100</v>
      </c>
      <c r="BD71" s="30">
        <f t="shared" si="93"/>
        <v>1</v>
      </c>
      <c r="BE71" s="190">
        <v>11357889</v>
      </c>
      <c r="BF71" s="190">
        <v>842318</v>
      </c>
      <c r="BG71" s="54">
        <v>554164</v>
      </c>
      <c r="BH71" s="191">
        <f t="shared" si="107"/>
        <v>12200207</v>
      </c>
      <c r="BI71" s="178">
        <f t="shared" si="108"/>
        <v>4.5422507995151236</v>
      </c>
      <c r="BJ71" s="294" t="str">
        <f t="shared" si="125"/>
        <v>비제조/서비스업</v>
      </c>
      <c r="BK71" s="192">
        <f t="shared" si="109"/>
        <v>1.7464434573900924</v>
      </c>
      <c r="BL71" s="193">
        <f t="shared" si="126"/>
        <v>2.7958073421250313</v>
      </c>
      <c r="BM71" s="241">
        <f t="shared" si="127"/>
        <v>40</v>
      </c>
      <c r="BN71" s="47">
        <f t="shared" si="128"/>
        <v>0.8</v>
      </c>
      <c r="BO71" s="54">
        <v>851468</v>
      </c>
      <c r="BP71" s="194">
        <f t="shared" si="110"/>
        <v>0.18905569430818528</v>
      </c>
      <c r="BQ71" s="179">
        <f t="shared" si="129"/>
        <v>55</v>
      </c>
      <c r="BR71" s="30">
        <f t="shared" si="94"/>
        <v>1.1000000000000001</v>
      </c>
      <c r="BS71" s="195">
        <v>463363.73200000002</v>
      </c>
      <c r="BT71" s="195">
        <v>0</v>
      </c>
      <c r="BU71" s="196">
        <f t="shared" si="130"/>
        <v>463363.73200000002</v>
      </c>
      <c r="BV71" s="178">
        <f t="shared" si="111"/>
        <v>0.10288296456295702</v>
      </c>
      <c r="BW71" s="192">
        <f t="shared" si="112"/>
        <v>2.8482825397737606</v>
      </c>
      <c r="BX71" s="192">
        <f t="shared" si="131"/>
        <v>7.5372188275676599</v>
      </c>
      <c r="BY71" s="192">
        <f t="shared" si="113"/>
        <v>5.5697595856656799</v>
      </c>
      <c r="BZ71" s="192">
        <f t="shared" si="132"/>
        <v>68.89625042935144</v>
      </c>
      <c r="CA71" s="192">
        <f t="shared" si="114"/>
        <v>40</v>
      </c>
      <c r="CB71" s="55">
        <f t="shared" si="133"/>
        <v>0.8</v>
      </c>
      <c r="CC71" s="197">
        <f t="shared" si="95"/>
        <v>223.15882220530332</v>
      </c>
      <c r="CD71" s="198">
        <f t="shared" si="96"/>
        <v>25</v>
      </c>
      <c r="CE71" s="58">
        <f t="shared" si="97"/>
        <v>0.375</v>
      </c>
      <c r="CF71" s="245" t="s">
        <v>2326</v>
      </c>
      <c r="CG71" s="245" t="s">
        <v>2326</v>
      </c>
      <c r="CH71" s="245" t="s">
        <v>2326</v>
      </c>
      <c r="CI71" s="245" t="s">
        <v>2326</v>
      </c>
      <c r="CJ71" s="235"/>
      <c r="CK71" s="173" t="s">
        <v>2490</v>
      </c>
      <c r="CL71" s="173" t="s">
        <v>2487</v>
      </c>
      <c r="CM71" s="199">
        <f t="shared" si="134"/>
        <v>70</v>
      </c>
      <c r="CN71" s="58">
        <f t="shared" si="98"/>
        <v>1.05</v>
      </c>
      <c r="CO71" s="54">
        <v>0</v>
      </c>
      <c r="CP71" s="186">
        <f t="shared" si="115"/>
        <v>0</v>
      </c>
      <c r="CQ71" s="179">
        <f t="shared" si="135"/>
        <v>100</v>
      </c>
      <c r="CR71" s="30">
        <f t="shared" si="99"/>
        <v>3</v>
      </c>
      <c r="CS71" s="200">
        <f>_xlfn.XLOOKUP(C71, '1-1. 관계사체무보증금액 (환율 등)'!$3:$3, '1-1. 관계사체무보증금액 (환율 등)'!$33:$33)</f>
        <v>0</v>
      </c>
      <c r="CT71" s="178">
        <f t="shared" si="116"/>
        <v>0</v>
      </c>
      <c r="CU71" s="179">
        <f t="shared" si="136"/>
        <v>100</v>
      </c>
      <c r="CV71" s="30">
        <f t="shared" si="100"/>
        <v>2</v>
      </c>
      <c r="CW71" s="72">
        <f t="shared" si="137"/>
        <v>16.312809552017171</v>
      </c>
    </row>
    <row r="72" spans="1:101" x14ac:dyDescent="0.6">
      <c r="A72" s="214" t="s">
        <v>81</v>
      </c>
      <c r="B72" s="13" t="s">
        <v>2049</v>
      </c>
      <c r="C72" s="219" t="s">
        <v>857</v>
      </c>
      <c r="D72" s="216" t="s">
        <v>203</v>
      </c>
      <c r="E72" s="217" t="s">
        <v>1067</v>
      </c>
      <c r="F72" s="217" t="s">
        <v>1246</v>
      </c>
      <c r="G72" s="218">
        <v>35013</v>
      </c>
      <c r="H72" s="217" t="s">
        <v>830</v>
      </c>
      <c r="I72" s="217" t="s">
        <v>701</v>
      </c>
      <c r="J72" s="217" t="s">
        <v>1080</v>
      </c>
      <c r="K72" s="217" t="s">
        <v>91</v>
      </c>
      <c r="L72" s="220">
        <v>883470621</v>
      </c>
      <c r="M72" s="206">
        <v>371844780</v>
      </c>
      <c r="N72" s="206">
        <v>511625841</v>
      </c>
      <c r="O72" s="206">
        <v>2169565871</v>
      </c>
      <c r="P72" s="206">
        <v>63633740</v>
      </c>
      <c r="Q72" s="206">
        <v>65632977</v>
      </c>
      <c r="R72" s="206">
        <v>47307536</v>
      </c>
      <c r="S72" s="207">
        <v>49678843</v>
      </c>
      <c r="T72" s="207">
        <v>1730148</v>
      </c>
      <c r="U72" s="207">
        <v>27820149</v>
      </c>
      <c r="V72" s="207">
        <v>0</v>
      </c>
      <c r="W72" s="207">
        <v>3608</v>
      </c>
      <c r="X72" s="207">
        <v>0</v>
      </c>
      <c r="Z72" s="207">
        <v>0</v>
      </c>
      <c r="AA72" s="207">
        <v>0</v>
      </c>
      <c r="AB72" s="176">
        <f t="shared" si="138"/>
        <v>27823757</v>
      </c>
      <c r="AC72" s="177">
        <f t="shared" si="117"/>
        <v>56.007256449189043</v>
      </c>
      <c r="AD72" s="177">
        <f t="shared" si="139"/>
        <v>51.748627920722925</v>
      </c>
      <c r="AE72" s="26">
        <f t="shared" si="89"/>
        <v>1.5524588376216877</v>
      </c>
      <c r="AF72" s="178">
        <f t="shared" si="118"/>
        <v>58.02065937352414</v>
      </c>
      <c r="AG72" s="178">
        <f t="shared" si="119"/>
        <v>58.028184083007893</v>
      </c>
      <c r="AH72" s="178">
        <f t="shared" si="140"/>
        <v>7.524709483753611E-3</v>
      </c>
      <c r="AI72" s="179">
        <f t="shared" si="141"/>
        <v>100</v>
      </c>
      <c r="AJ72" s="30">
        <f t="shared" si="90"/>
        <v>4</v>
      </c>
      <c r="AK72" s="204">
        <v>12</v>
      </c>
      <c r="AL72" s="204">
        <v>0</v>
      </c>
      <c r="AM72" s="204">
        <v>0</v>
      </c>
      <c r="AN72" s="181">
        <f t="shared" si="101"/>
        <v>12</v>
      </c>
      <c r="AO72" s="182">
        <f t="shared" si="102"/>
        <v>0</v>
      </c>
      <c r="AP72" s="183">
        <f t="shared" si="120"/>
        <v>100</v>
      </c>
      <c r="AQ72" s="38">
        <f t="shared" si="91"/>
        <v>2</v>
      </c>
      <c r="AR72" s="212">
        <v>8</v>
      </c>
      <c r="AS72" s="292">
        <f t="shared" si="103"/>
        <v>0.25</v>
      </c>
      <c r="AT72" s="185">
        <f t="shared" si="104"/>
        <v>3</v>
      </c>
      <c r="AU72" s="185">
        <f t="shared" si="121"/>
        <v>3</v>
      </c>
      <c r="AV72" s="186">
        <f t="shared" si="105"/>
        <v>41.666666666666671</v>
      </c>
      <c r="AW72" s="179">
        <f t="shared" si="122"/>
        <v>100</v>
      </c>
      <c r="AX72" s="239">
        <f t="shared" si="92"/>
        <v>1</v>
      </c>
      <c r="AY72" s="54">
        <v>11</v>
      </c>
      <c r="AZ72" s="54">
        <f>11*8-3-12</f>
        <v>73</v>
      </c>
      <c r="BA72" s="189">
        <f t="shared" si="106"/>
        <v>88</v>
      </c>
      <c r="BB72" s="178">
        <f t="shared" si="123"/>
        <v>82.954545454545453</v>
      </c>
      <c r="BC72" s="179">
        <f t="shared" si="124"/>
        <v>75</v>
      </c>
      <c r="BD72" s="30">
        <f t="shared" si="93"/>
        <v>0.75</v>
      </c>
      <c r="BE72" s="190">
        <v>13038735.244000001</v>
      </c>
      <c r="BF72" s="190">
        <v>1586982.145</v>
      </c>
      <c r="BG72" s="301">
        <v>0</v>
      </c>
      <c r="BH72" s="191">
        <f t="shared" si="107"/>
        <v>14625717.389</v>
      </c>
      <c r="BI72" s="178">
        <f t="shared" si="108"/>
        <v>0</v>
      </c>
      <c r="BJ72" s="294" t="str">
        <f t="shared" si="125"/>
        <v>금속/비금속/화학업</v>
      </c>
      <c r="BK72" s="192">
        <f t="shared" si="109"/>
        <v>3.9534118626990464</v>
      </c>
      <c r="BL72" s="193">
        <f t="shared" si="126"/>
        <v>-3.9534118626990464</v>
      </c>
      <c r="BM72" s="241">
        <f t="shared" si="127"/>
        <v>100</v>
      </c>
      <c r="BN72" s="47">
        <f t="shared" si="128"/>
        <v>2</v>
      </c>
      <c r="BO72" s="54">
        <v>1524786</v>
      </c>
      <c r="BP72" s="194">
        <f t="shared" si="110"/>
        <v>7.0280696261929732E-2</v>
      </c>
      <c r="BQ72" s="179">
        <f t="shared" si="129"/>
        <v>40</v>
      </c>
      <c r="BR72" s="30">
        <f t="shared" si="94"/>
        <v>0.8</v>
      </c>
      <c r="BS72" s="195">
        <v>24869780.289000001</v>
      </c>
      <c r="BT72" s="195">
        <v>1561913.68</v>
      </c>
      <c r="BU72" s="196">
        <f t="shared" si="130"/>
        <v>23307866.609000001</v>
      </c>
      <c r="BV72" s="178">
        <f t="shared" si="111"/>
        <v>1.074310161334576</v>
      </c>
      <c r="BW72" s="192">
        <f t="shared" si="112"/>
        <v>5.1474158565187729</v>
      </c>
      <c r="BX72" s="192">
        <f t="shared" si="131"/>
        <v>16.590190004141935</v>
      </c>
      <c r="BY72" s="192">
        <f t="shared" si="113"/>
        <v>6.6930498535228526</v>
      </c>
      <c r="BZ72" s="192">
        <f t="shared" si="132"/>
        <v>72.859110938415355</v>
      </c>
      <c r="CA72" s="192">
        <f t="shared" si="114"/>
        <v>40</v>
      </c>
      <c r="CB72" s="55">
        <f t="shared" si="133"/>
        <v>0.8</v>
      </c>
      <c r="CC72" s="197">
        <f t="shared" si="95"/>
        <v>72.679045935836541</v>
      </c>
      <c r="CD72" s="198">
        <f t="shared" si="96"/>
        <v>72.985284195036485</v>
      </c>
      <c r="CE72" s="58">
        <f t="shared" si="97"/>
        <v>1.0947792629255473</v>
      </c>
      <c r="CF72" s="245" t="s">
        <v>2326</v>
      </c>
      <c r="CG72" s="245" t="s">
        <v>2326</v>
      </c>
      <c r="CH72" s="245" t="s">
        <v>2326</v>
      </c>
      <c r="CI72" s="245" t="s">
        <v>2326</v>
      </c>
      <c r="CJ72" s="235"/>
      <c r="CK72" s="173" t="s">
        <v>2485</v>
      </c>
      <c r="CL72" s="173" t="s">
        <v>2482</v>
      </c>
      <c r="CM72" s="199">
        <f t="shared" si="134"/>
        <v>55</v>
      </c>
      <c r="CN72" s="58">
        <f t="shared" si="98"/>
        <v>0.82499999999999996</v>
      </c>
      <c r="CO72" s="54">
        <v>23178000</v>
      </c>
      <c r="CP72" s="186">
        <f t="shared" si="115"/>
        <v>4.5302637479563899</v>
      </c>
      <c r="CQ72" s="179">
        <f t="shared" si="135"/>
        <v>80</v>
      </c>
      <c r="CR72" s="30">
        <f t="shared" si="99"/>
        <v>2.4</v>
      </c>
      <c r="CS72" s="200">
        <f>_xlfn.XLOOKUP(C72, '1-1. 관계사체무보증금액 (환율 등)'!$3:$3, '1-1. 관계사체무보증금액 (환율 등)'!$33:$33)</f>
        <v>0</v>
      </c>
      <c r="CT72" s="178">
        <f t="shared" si="116"/>
        <v>0</v>
      </c>
      <c r="CU72" s="179">
        <f t="shared" si="136"/>
        <v>100</v>
      </c>
      <c r="CV72" s="30">
        <f t="shared" si="100"/>
        <v>2</v>
      </c>
      <c r="CW72" s="72">
        <f t="shared" si="137"/>
        <v>19.222238100547234</v>
      </c>
    </row>
    <row r="73" spans="1:101" x14ac:dyDescent="0.6">
      <c r="A73" s="214" t="s">
        <v>1586</v>
      </c>
      <c r="B73" s="13" t="s">
        <v>2050</v>
      </c>
      <c r="C73" s="219" t="s">
        <v>102</v>
      </c>
      <c r="D73" s="216" t="s">
        <v>203</v>
      </c>
      <c r="E73" s="217" t="s">
        <v>197</v>
      </c>
      <c r="F73" s="217" t="s">
        <v>117</v>
      </c>
      <c r="G73" s="218">
        <v>32130</v>
      </c>
      <c r="H73" s="217" t="s">
        <v>830</v>
      </c>
      <c r="I73" s="217" t="s">
        <v>951</v>
      </c>
      <c r="J73" s="217" t="s">
        <v>1157</v>
      </c>
      <c r="K73" s="217" t="s">
        <v>50</v>
      </c>
      <c r="L73" s="220">
        <v>736767227</v>
      </c>
      <c r="M73" s="206">
        <v>105463213</v>
      </c>
      <c r="N73" s="206">
        <v>631304014</v>
      </c>
      <c r="O73" s="206">
        <v>737876931</v>
      </c>
      <c r="P73" s="206">
        <v>30653869</v>
      </c>
      <c r="Q73" s="206">
        <v>35607383</v>
      </c>
      <c r="R73" s="206">
        <v>31223584</v>
      </c>
      <c r="S73" s="207">
        <v>53543977</v>
      </c>
      <c r="T73" s="207">
        <v>2940839</v>
      </c>
      <c r="U73" s="207">
        <f>25965940</f>
        <v>25965940</v>
      </c>
      <c r="V73" s="207">
        <f>4612102+1210260</f>
        <v>5822362</v>
      </c>
      <c r="W73" s="207">
        <v>0</v>
      </c>
      <c r="X73" s="207">
        <v>0</v>
      </c>
      <c r="Z73" s="207">
        <v>0</v>
      </c>
      <c r="AA73" s="207">
        <v>0</v>
      </c>
      <c r="AB73" s="176">
        <f t="shared" si="138"/>
        <v>31788302</v>
      </c>
      <c r="AC73" s="177">
        <f t="shared" si="117"/>
        <v>59.368585938246611</v>
      </c>
      <c r="AD73" s="177">
        <f t="shared" si="139"/>
        <v>48.847595565379798</v>
      </c>
      <c r="AE73" s="26">
        <f t="shared" si="89"/>
        <v>1.4654278669613938</v>
      </c>
      <c r="AF73" s="178">
        <f t="shared" si="118"/>
        <v>62.818835464314482</v>
      </c>
      <c r="AG73" s="178">
        <f t="shared" si="119"/>
        <v>62.818835464314482</v>
      </c>
      <c r="AH73" s="178">
        <f t="shared" si="140"/>
        <v>0</v>
      </c>
      <c r="AI73" s="179">
        <f t="shared" si="141"/>
        <v>100</v>
      </c>
      <c r="AJ73" s="30">
        <f t="shared" si="90"/>
        <v>4</v>
      </c>
      <c r="AK73" s="204">
        <v>5</v>
      </c>
      <c r="AL73" s="204">
        <v>13</v>
      </c>
      <c r="AM73" s="204">
        <v>2</v>
      </c>
      <c r="AN73" s="181">
        <f t="shared" si="101"/>
        <v>18</v>
      </c>
      <c r="AO73" s="182">
        <f t="shared" si="102"/>
        <v>11.111111111111111</v>
      </c>
      <c r="AP73" s="183">
        <f t="shared" si="120"/>
        <v>80</v>
      </c>
      <c r="AQ73" s="38">
        <f t="shared" si="91"/>
        <v>1.6</v>
      </c>
      <c r="AR73" s="212">
        <v>3</v>
      </c>
      <c r="AS73" s="292">
        <f t="shared" si="103"/>
        <v>0.25</v>
      </c>
      <c r="AT73" s="185">
        <f t="shared" si="104"/>
        <v>1.25</v>
      </c>
      <c r="AU73" s="185">
        <f t="shared" si="121"/>
        <v>1</v>
      </c>
      <c r="AV73" s="186">
        <f t="shared" si="105"/>
        <v>40</v>
      </c>
      <c r="AW73" s="179">
        <f t="shared" si="122"/>
        <v>100</v>
      </c>
      <c r="AX73" s="239">
        <f t="shared" si="92"/>
        <v>1</v>
      </c>
      <c r="AY73" s="54">
        <v>13</v>
      </c>
      <c r="AZ73" s="54">
        <v>39</v>
      </c>
      <c r="BA73" s="189">
        <f t="shared" si="106"/>
        <v>39</v>
      </c>
      <c r="BB73" s="178">
        <f t="shared" si="123"/>
        <v>100</v>
      </c>
      <c r="BC73" s="179">
        <f t="shared" si="124"/>
        <v>100</v>
      </c>
      <c r="BD73" s="30">
        <f t="shared" si="93"/>
        <v>1</v>
      </c>
      <c r="BE73" s="190">
        <v>11883939</v>
      </c>
      <c r="BF73" s="190">
        <v>1178878</v>
      </c>
      <c r="BG73" s="54">
        <v>53545</v>
      </c>
      <c r="BH73" s="191">
        <f t="shared" si="107"/>
        <v>13062817</v>
      </c>
      <c r="BI73" s="178">
        <f t="shared" si="108"/>
        <v>0.40990392807309478</v>
      </c>
      <c r="BJ73" s="294" t="str">
        <f t="shared" si="125"/>
        <v>금속/비금속/화학업</v>
      </c>
      <c r="BK73" s="192">
        <f t="shared" si="109"/>
        <v>3.9534118626990464</v>
      </c>
      <c r="BL73" s="193">
        <f t="shared" si="126"/>
        <v>-3.5435079346259517</v>
      </c>
      <c r="BM73" s="241">
        <f t="shared" si="127"/>
        <v>100</v>
      </c>
      <c r="BN73" s="47">
        <f t="shared" si="128"/>
        <v>2</v>
      </c>
      <c r="BO73" s="54">
        <f>(90494-338)*1000</f>
        <v>90156000</v>
      </c>
      <c r="BP73" s="194">
        <f t="shared" si="110"/>
        <v>12.218297687910777</v>
      </c>
      <c r="BQ73" s="179">
        <f t="shared" si="129"/>
        <v>100</v>
      </c>
      <c r="BR73" s="30">
        <f t="shared" si="94"/>
        <v>2</v>
      </c>
      <c r="BS73" s="195">
        <v>7141363.7050000001</v>
      </c>
      <c r="BT73" s="195">
        <v>1471224.0249999999</v>
      </c>
      <c r="BU73" s="196">
        <f t="shared" si="130"/>
        <v>5670139.6799999997</v>
      </c>
      <c r="BV73" s="178">
        <f t="shared" si="111"/>
        <v>0.76843975489457328</v>
      </c>
      <c r="BW73" s="192">
        <f t="shared" si="112"/>
        <v>5.1474158565187729</v>
      </c>
      <c r="BX73" s="192">
        <f t="shared" si="131"/>
        <v>19.175431698595872</v>
      </c>
      <c r="BY73" s="192">
        <f t="shared" si="113"/>
        <v>6.6930498535228526</v>
      </c>
      <c r="BZ73" s="192">
        <f t="shared" si="132"/>
        <v>74.352694451993784</v>
      </c>
      <c r="CA73" s="192">
        <f t="shared" si="114"/>
        <v>40</v>
      </c>
      <c r="CB73" s="55">
        <f t="shared" si="133"/>
        <v>0.8</v>
      </c>
      <c r="CC73" s="197">
        <f t="shared" si="95"/>
        <v>16.705614198740072</v>
      </c>
      <c r="CD73" s="198">
        <f t="shared" si="96"/>
        <v>94.080798668816556</v>
      </c>
      <c r="CE73" s="58">
        <f t="shared" si="97"/>
        <v>1.4112119800322482</v>
      </c>
      <c r="CF73" s="245" t="s">
        <v>2326</v>
      </c>
      <c r="CG73" s="245" t="s">
        <v>2326</v>
      </c>
      <c r="CH73" s="245" t="s">
        <v>2326</v>
      </c>
      <c r="CI73" s="245" t="s">
        <v>2326</v>
      </c>
      <c r="CJ73" s="235"/>
      <c r="CK73" s="173" t="s">
        <v>2479</v>
      </c>
      <c r="CL73" s="173" t="s">
        <v>2478</v>
      </c>
      <c r="CM73" s="199">
        <f t="shared" si="134"/>
        <v>25</v>
      </c>
      <c r="CN73" s="58">
        <f t="shared" si="98"/>
        <v>0.375</v>
      </c>
      <c r="CO73" s="54">
        <f>1036000+3022000+22290000+49721000+319670000</f>
        <v>395739000</v>
      </c>
      <c r="CP73" s="186">
        <f t="shared" si="115"/>
        <v>62.685962899643464</v>
      </c>
      <c r="CQ73" s="179">
        <f t="shared" si="135"/>
        <v>40</v>
      </c>
      <c r="CR73" s="30">
        <f t="shared" si="99"/>
        <v>1.2</v>
      </c>
      <c r="CS73" s="200">
        <f>_xlfn.XLOOKUP(C73, '1-1. 관계사체무보증금액 (환율 등)'!$3:$3, '1-1. 관계사체무보증금액 (환율 등)'!$33:$33)</f>
        <v>27179926.798720799</v>
      </c>
      <c r="CT73" s="178">
        <f t="shared" si="116"/>
        <v>4.3053625822060431</v>
      </c>
      <c r="CU73" s="179">
        <f t="shared" si="136"/>
        <v>80</v>
      </c>
      <c r="CV73" s="30">
        <f t="shared" si="100"/>
        <v>1.6</v>
      </c>
      <c r="CW73" s="72">
        <f t="shared" si="137"/>
        <v>18.451639846993643</v>
      </c>
    </row>
    <row r="74" spans="1:101" x14ac:dyDescent="0.6">
      <c r="A74" s="214" t="s">
        <v>28</v>
      </c>
      <c r="B74" s="13" t="s">
        <v>2051</v>
      </c>
      <c r="C74" s="219" t="s">
        <v>849</v>
      </c>
      <c r="D74" s="216" t="s">
        <v>203</v>
      </c>
      <c r="E74" s="217" t="s">
        <v>188</v>
      </c>
      <c r="F74" s="217" t="s">
        <v>442</v>
      </c>
      <c r="G74" s="218">
        <v>38901</v>
      </c>
      <c r="H74" s="217" t="s">
        <v>830</v>
      </c>
      <c r="I74" s="217" t="s">
        <v>738</v>
      </c>
      <c r="J74" s="13" t="s">
        <v>2052</v>
      </c>
      <c r="K74" s="217" t="s">
        <v>690</v>
      </c>
      <c r="L74" s="220">
        <v>593723438</v>
      </c>
      <c r="M74" s="206">
        <v>279635129</v>
      </c>
      <c r="N74" s="206">
        <v>314088309</v>
      </c>
      <c r="O74" s="206">
        <v>667825639</v>
      </c>
      <c r="P74" s="206">
        <v>18091323</v>
      </c>
      <c r="Q74" s="206">
        <v>10916465</v>
      </c>
      <c r="R74" s="206">
        <v>7428246</v>
      </c>
      <c r="S74" s="207">
        <v>20000000</v>
      </c>
      <c r="T74" s="207">
        <v>0</v>
      </c>
      <c r="U74" s="207">
        <f>10100138+1674</f>
        <v>10101812</v>
      </c>
      <c r="V74" s="207">
        <f>98071+151801</f>
        <v>249872</v>
      </c>
      <c r="W74" s="207">
        <v>0</v>
      </c>
      <c r="X74" s="207">
        <v>0</v>
      </c>
      <c r="Z74" s="207">
        <v>0</v>
      </c>
      <c r="AA74" s="207">
        <v>0</v>
      </c>
      <c r="AB74" s="176">
        <f t="shared" si="138"/>
        <v>10351684</v>
      </c>
      <c r="AC74" s="177">
        <f t="shared" si="117"/>
        <v>51.758420000000008</v>
      </c>
      <c r="AD74" s="177">
        <f t="shared" si="139"/>
        <v>55.4156329113924</v>
      </c>
      <c r="AE74" s="26">
        <f t="shared" si="89"/>
        <v>1.662468987341772</v>
      </c>
      <c r="AF74" s="178">
        <f t="shared" si="118"/>
        <v>51.758420000000008</v>
      </c>
      <c r="AG74" s="178">
        <f t="shared" si="119"/>
        <v>51.758420000000008</v>
      </c>
      <c r="AH74" s="178">
        <f t="shared" si="140"/>
        <v>0</v>
      </c>
      <c r="AI74" s="179">
        <f t="shared" si="141"/>
        <v>100</v>
      </c>
      <c r="AJ74" s="30">
        <f t="shared" si="90"/>
        <v>4</v>
      </c>
      <c r="AK74" s="204">
        <v>8</v>
      </c>
      <c r="AL74" s="204">
        <v>9</v>
      </c>
      <c r="AM74" s="180">
        <v>1</v>
      </c>
      <c r="AN74" s="181">
        <f t="shared" si="101"/>
        <v>17</v>
      </c>
      <c r="AO74" s="182">
        <f t="shared" si="102"/>
        <v>5.8823529411764701</v>
      </c>
      <c r="AP74" s="183">
        <f t="shared" si="120"/>
        <v>100</v>
      </c>
      <c r="AQ74" s="38">
        <f t="shared" si="91"/>
        <v>2</v>
      </c>
      <c r="AR74" s="212">
        <v>2</v>
      </c>
      <c r="AS74" s="292">
        <f t="shared" si="103"/>
        <v>0.25</v>
      </c>
      <c r="AT74" s="185">
        <f t="shared" si="104"/>
        <v>2</v>
      </c>
      <c r="AU74" s="185">
        <f t="shared" si="121"/>
        <v>2</v>
      </c>
      <c r="AV74" s="186">
        <f t="shared" si="105"/>
        <v>0</v>
      </c>
      <c r="AW74" s="179">
        <f t="shared" si="122"/>
        <v>40</v>
      </c>
      <c r="AX74" s="239">
        <f t="shared" si="92"/>
        <v>0.4</v>
      </c>
      <c r="AY74" s="54">
        <v>34</v>
      </c>
      <c r="AZ74" s="54">
        <f>34*2-1</f>
        <v>67</v>
      </c>
      <c r="BA74" s="189">
        <f t="shared" si="106"/>
        <v>68</v>
      </c>
      <c r="BB74" s="178">
        <f t="shared" si="123"/>
        <v>98.529411764705884</v>
      </c>
      <c r="BC74" s="179">
        <f t="shared" si="124"/>
        <v>100</v>
      </c>
      <c r="BD74" s="30">
        <f t="shared" si="93"/>
        <v>1</v>
      </c>
      <c r="BE74" s="190">
        <v>30641560</v>
      </c>
      <c r="BF74" s="190">
        <v>3859934</v>
      </c>
      <c r="BG74" s="54">
        <v>1114040</v>
      </c>
      <c r="BH74" s="191">
        <f t="shared" si="107"/>
        <v>34501494</v>
      </c>
      <c r="BI74" s="178">
        <f t="shared" si="108"/>
        <v>3.2289616211982008</v>
      </c>
      <c r="BJ74" s="294" t="str">
        <f t="shared" si="125"/>
        <v>금속/비금속/화학업</v>
      </c>
      <c r="BK74" s="192">
        <f t="shared" si="109"/>
        <v>3.9534118626990464</v>
      </c>
      <c r="BL74" s="193">
        <f t="shared" si="126"/>
        <v>-0.72445024150084558</v>
      </c>
      <c r="BM74" s="241">
        <f t="shared" si="127"/>
        <v>80</v>
      </c>
      <c r="BN74" s="47">
        <f t="shared" si="128"/>
        <v>1.6</v>
      </c>
      <c r="BO74" s="54">
        <f>(17583-310)*1000</f>
        <v>17273000</v>
      </c>
      <c r="BP74" s="194">
        <f t="shared" si="110"/>
        <v>2.5864535578275394</v>
      </c>
      <c r="BQ74" s="179">
        <f t="shared" si="129"/>
        <v>85</v>
      </c>
      <c r="BR74" s="30">
        <f t="shared" si="94"/>
        <v>1.7</v>
      </c>
      <c r="BS74" s="195">
        <v>10410973.970000001</v>
      </c>
      <c r="BT74" s="195">
        <v>202727.27299999999</v>
      </c>
      <c r="BU74" s="196">
        <f t="shared" si="130"/>
        <v>10208246.697000001</v>
      </c>
      <c r="BV74" s="178">
        <f t="shared" si="111"/>
        <v>1.5285796322953094</v>
      </c>
      <c r="BW74" s="192">
        <f t="shared" si="112"/>
        <v>5.1474158565187729</v>
      </c>
      <c r="BX74" s="192">
        <f t="shared" si="131"/>
        <v>13.095975617751936</v>
      </c>
      <c r="BY74" s="192">
        <f t="shared" si="113"/>
        <v>6.6930498535228526</v>
      </c>
      <c r="BZ74" s="192">
        <f t="shared" si="132"/>
        <v>70.563787547060301</v>
      </c>
      <c r="CA74" s="192">
        <f t="shared" si="114"/>
        <v>40</v>
      </c>
      <c r="CB74" s="55">
        <f t="shared" si="133"/>
        <v>0.8</v>
      </c>
      <c r="CC74" s="197">
        <f t="shared" si="95"/>
        <v>89.030734665135213</v>
      </c>
      <c r="CD74" s="198">
        <f t="shared" si="96"/>
        <v>66.822587437763104</v>
      </c>
      <c r="CE74" s="58">
        <f t="shared" si="97"/>
        <v>1.0023388115664464</v>
      </c>
      <c r="CF74" s="245" t="s">
        <v>2326</v>
      </c>
      <c r="CG74" s="245" t="s">
        <v>2326</v>
      </c>
      <c r="CH74" s="245" t="s">
        <v>2326</v>
      </c>
      <c r="CI74" s="245" t="s">
        <v>2326</v>
      </c>
      <c r="CJ74" s="235"/>
      <c r="CK74" s="173" t="s">
        <v>2481</v>
      </c>
      <c r="CL74" s="173" t="s">
        <v>2482</v>
      </c>
      <c r="CM74" s="199">
        <f t="shared" si="134"/>
        <v>55</v>
      </c>
      <c r="CN74" s="58">
        <f t="shared" si="98"/>
        <v>0.82499999999999996</v>
      </c>
      <c r="CO74" s="54">
        <v>25027000</v>
      </c>
      <c r="CP74" s="186">
        <f t="shared" si="115"/>
        <v>7.9681412147053212</v>
      </c>
      <c r="CQ74" s="179">
        <f t="shared" si="135"/>
        <v>80</v>
      </c>
      <c r="CR74" s="30">
        <f t="shared" si="99"/>
        <v>2.4</v>
      </c>
      <c r="CS74" s="200">
        <f>_xlfn.XLOOKUP(C74, '1-1. 관계사체무보증금액 (환율 등)'!$3:$3, '1-1. 관계사체무보증금액 (환율 등)'!$33:$33)</f>
        <v>13264416</v>
      </c>
      <c r="CT74" s="178">
        <f t="shared" si="116"/>
        <v>4.2231485922642218</v>
      </c>
      <c r="CU74" s="179">
        <f t="shared" si="136"/>
        <v>80</v>
      </c>
      <c r="CV74" s="30">
        <f t="shared" si="100"/>
        <v>1.6</v>
      </c>
      <c r="CW74" s="72">
        <f t="shared" si="137"/>
        <v>18.989807798908217</v>
      </c>
    </row>
    <row r="75" spans="1:101" x14ac:dyDescent="0.6">
      <c r="A75" s="214" t="s">
        <v>729</v>
      </c>
      <c r="B75" s="13" t="s">
        <v>2053</v>
      </c>
      <c r="C75" s="219" t="s">
        <v>493</v>
      </c>
      <c r="D75" s="216" t="s">
        <v>191</v>
      </c>
      <c r="E75" s="217" t="s">
        <v>34</v>
      </c>
      <c r="F75" s="217" t="s">
        <v>184</v>
      </c>
      <c r="G75" s="218">
        <v>32721</v>
      </c>
      <c r="H75" s="217" t="s">
        <v>830</v>
      </c>
      <c r="I75" s="217" t="s">
        <v>776</v>
      </c>
      <c r="J75" s="217" t="s">
        <v>1058</v>
      </c>
      <c r="K75" s="217" t="s">
        <v>690</v>
      </c>
      <c r="L75" s="220">
        <v>1943161484</v>
      </c>
      <c r="M75" s="206">
        <v>692777309</v>
      </c>
      <c r="N75" s="206">
        <v>1250384175</v>
      </c>
      <c r="O75" s="206">
        <v>1244928840</v>
      </c>
      <c r="P75" s="206">
        <v>70305248</v>
      </c>
      <c r="Q75" s="206">
        <v>56807679</v>
      </c>
      <c r="R75" s="206">
        <v>54307547</v>
      </c>
      <c r="S75" s="207">
        <v>11686538</v>
      </c>
      <c r="T75" s="207">
        <v>273360</v>
      </c>
      <c r="U75" s="207">
        <f>5850482+66173</f>
        <v>5916655</v>
      </c>
      <c r="V75" s="207">
        <f>27500</f>
        <v>27500</v>
      </c>
      <c r="W75" s="207">
        <f>1000+10455+112+213+50+1000+600+500+1100+250+1000</f>
        <v>16280</v>
      </c>
      <c r="X75" s="207">
        <v>50910</v>
      </c>
      <c r="Y75" s="208" t="s">
        <v>2418</v>
      </c>
      <c r="Z75" s="207">
        <v>0</v>
      </c>
      <c r="AA75" s="207">
        <v>0</v>
      </c>
      <c r="AB75" s="176">
        <f t="shared" si="138"/>
        <v>6011345</v>
      </c>
      <c r="AC75" s="177">
        <f t="shared" si="117"/>
        <v>51.438201801080865</v>
      </c>
      <c r="AD75" s="177">
        <f t="shared" si="139"/>
        <v>55.692000747053342</v>
      </c>
      <c r="AE75" s="26">
        <f t="shared" si="89"/>
        <v>1.6707600224116002</v>
      </c>
      <c r="AF75" s="178">
        <f t="shared" si="118"/>
        <v>52.081506132647718</v>
      </c>
      <c r="AG75" s="178">
        <f t="shared" si="119"/>
        <v>52.670211574725286</v>
      </c>
      <c r="AH75" s="178">
        <f t="shared" si="140"/>
        <v>0.58870544207756836</v>
      </c>
      <c r="AI75" s="179">
        <f t="shared" si="141"/>
        <v>100</v>
      </c>
      <c r="AJ75" s="30">
        <f t="shared" si="90"/>
        <v>4</v>
      </c>
      <c r="AK75" s="204">
        <v>5</v>
      </c>
      <c r="AL75" s="204">
        <v>21</v>
      </c>
      <c r="AM75" s="180">
        <v>1</v>
      </c>
      <c r="AN75" s="181">
        <f t="shared" si="101"/>
        <v>26</v>
      </c>
      <c r="AO75" s="182">
        <f t="shared" si="102"/>
        <v>3.8461538461538463</v>
      </c>
      <c r="AP75" s="183">
        <f t="shared" si="120"/>
        <v>100</v>
      </c>
      <c r="AQ75" s="38">
        <f t="shared" si="91"/>
        <v>2</v>
      </c>
      <c r="AR75" s="212">
        <v>1</v>
      </c>
      <c r="AS75" s="292">
        <f t="shared" si="103"/>
        <v>0.25</v>
      </c>
      <c r="AT75" s="185">
        <f t="shared" si="104"/>
        <v>1.25</v>
      </c>
      <c r="AU75" s="185">
        <f t="shared" si="121"/>
        <v>1</v>
      </c>
      <c r="AV75" s="186">
        <f t="shared" si="105"/>
        <v>0</v>
      </c>
      <c r="AW75" s="179">
        <f t="shared" si="122"/>
        <v>40</v>
      </c>
      <c r="AX75" s="239">
        <f t="shared" si="92"/>
        <v>0.4</v>
      </c>
      <c r="AY75" s="54">
        <v>7</v>
      </c>
      <c r="AZ75" s="54">
        <v>7</v>
      </c>
      <c r="BA75" s="189">
        <f t="shared" si="106"/>
        <v>7</v>
      </c>
      <c r="BB75" s="178">
        <f t="shared" si="123"/>
        <v>100</v>
      </c>
      <c r="BC75" s="179">
        <f t="shared" si="124"/>
        <v>100</v>
      </c>
      <c r="BD75" s="30">
        <f t="shared" si="93"/>
        <v>1</v>
      </c>
      <c r="BE75" s="190">
        <v>58067000</v>
      </c>
      <c r="BF75" s="190">
        <v>5592000</v>
      </c>
      <c r="BG75" s="301">
        <v>0</v>
      </c>
      <c r="BH75" s="191">
        <f t="shared" si="107"/>
        <v>63659000</v>
      </c>
      <c r="BI75" s="178">
        <f t="shared" si="108"/>
        <v>0</v>
      </c>
      <c r="BJ75" s="294" t="str">
        <f t="shared" si="125"/>
        <v>식약/섬유/종이업</v>
      </c>
      <c r="BK75" s="192">
        <f t="shared" si="109"/>
        <v>2.1999360555264444</v>
      </c>
      <c r="BL75" s="193">
        <f t="shared" si="126"/>
        <v>-2.1999360555264444</v>
      </c>
      <c r="BM75" s="241">
        <f t="shared" si="127"/>
        <v>100</v>
      </c>
      <c r="BN75" s="47">
        <f t="shared" si="128"/>
        <v>2</v>
      </c>
      <c r="BO75" s="54">
        <f>(213631-5935)*1000</f>
        <v>207696000</v>
      </c>
      <c r="BP75" s="194">
        <f t="shared" si="110"/>
        <v>16.683363203313693</v>
      </c>
      <c r="BQ75" s="179">
        <f t="shared" si="129"/>
        <v>100</v>
      </c>
      <c r="BR75" s="30">
        <f t="shared" si="94"/>
        <v>2</v>
      </c>
      <c r="BS75" s="195">
        <v>35286853.031999998</v>
      </c>
      <c r="BT75" s="195">
        <v>155909.272</v>
      </c>
      <c r="BU75" s="196">
        <f t="shared" si="130"/>
        <v>35130943.759999998</v>
      </c>
      <c r="BV75" s="178">
        <f t="shared" si="111"/>
        <v>2.8219238426511186</v>
      </c>
      <c r="BW75" s="192">
        <f t="shared" si="112"/>
        <v>5.0508176117342281</v>
      </c>
      <c r="BX75" s="192">
        <f t="shared" si="131"/>
        <v>4.9679674338575097</v>
      </c>
      <c r="BY75" s="192">
        <f t="shared" si="113"/>
        <v>6.9871618081220941</v>
      </c>
      <c r="BZ75" s="192">
        <f t="shared" si="132"/>
        <v>62.513615496837517</v>
      </c>
      <c r="CA75" s="192">
        <f t="shared" si="114"/>
        <v>40</v>
      </c>
      <c r="CB75" s="55">
        <f t="shared" si="133"/>
        <v>0.8</v>
      </c>
      <c r="CC75" s="197">
        <f t="shared" si="95"/>
        <v>55.405156499201539</v>
      </c>
      <c r="CD75" s="198">
        <f t="shared" si="96"/>
        <v>79.495544032964247</v>
      </c>
      <c r="CE75" s="58">
        <f t="shared" si="97"/>
        <v>1.1924331604944636</v>
      </c>
      <c r="CF75" s="245" t="s">
        <v>2326</v>
      </c>
      <c r="CG75" s="245" t="s">
        <v>2326</v>
      </c>
      <c r="CH75" s="245" t="s">
        <v>2326</v>
      </c>
      <c r="CI75" s="245" t="s">
        <v>2326</v>
      </c>
      <c r="CJ75" s="235"/>
      <c r="CK75" s="173" t="s">
        <v>2490</v>
      </c>
      <c r="CL75" s="173" t="s">
        <v>2487</v>
      </c>
      <c r="CM75" s="199">
        <f t="shared" si="134"/>
        <v>70</v>
      </c>
      <c r="CN75" s="58">
        <f t="shared" si="98"/>
        <v>1.05</v>
      </c>
      <c r="CO75" s="54">
        <v>97723000</v>
      </c>
      <c r="CP75" s="186">
        <f t="shared" si="115"/>
        <v>7.8154380032840711</v>
      </c>
      <c r="CQ75" s="179">
        <f t="shared" si="135"/>
        <v>80</v>
      </c>
      <c r="CR75" s="30">
        <f t="shared" si="99"/>
        <v>2.4</v>
      </c>
      <c r="CS75" s="200">
        <f>_xlfn.XLOOKUP(C75, '1-1. 관계사체무보증금액 (환율 등)'!$3:$3, '1-1. 관계사체무보증금액 (환율 등)'!$33:$33)</f>
        <v>2400000</v>
      </c>
      <c r="CT75" s="178">
        <f t="shared" si="116"/>
        <v>0.19194100885033993</v>
      </c>
      <c r="CU75" s="179">
        <f t="shared" si="136"/>
        <v>100</v>
      </c>
      <c r="CV75" s="30">
        <f t="shared" si="100"/>
        <v>2</v>
      </c>
      <c r="CW75" s="72">
        <f t="shared" si="137"/>
        <v>20.513193182906061</v>
      </c>
    </row>
    <row r="76" spans="1:101" x14ac:dyDescent="0.6">
      <c r="A76" s="214" t="s">
        <v>97</v>
      </c>
      <c r="B76" s="13" t="s">
        <v>2054</v>
      </c>
      <c r="C76" s="219" t="s">
        <v>404</v>
      </c>
      <c r="D76" s="221" t="s">
        <v>350</v>
      </c>
      <c r="E76" s="217" t="s">
        <v>179</v>
      </c>
      <c r="F76" s="217" t="s">
        <v>578</v>
      </c>
      <c r="G76" s="218">
        <v>35388</v>
      </c>
      <c r="H76" s="217" t="s">
        <v>830</v>
      </c>
      <c r="I76" s="217" t="s">
        <v>1587</v>
      </c>
      <c r="J76" s="217" t="s">
        <v>1038</v>
      </c>
      <c r="K76" s="217" t="s">
        <v>91</v>
      </c>
      <c r="L76" s="220">
        <v>3939974802</v>
      </c>
      <c r="M76" s="206">
        <v>3279267721</v>
      </c>
      <c r="N76" s="206">
        <v>660707081</v>
      </c>
      <c r="O76" s="206">
        <v>1268326077</v>
      </c>
      <c r="P76" s="206">
        <v>46098647</v>
      </c>
      <c r="Q76" s="206">
        <v>67910650</v>
      </c>
      <c r="R76" s="206">
        <v>48368439</v>
      </c>
      <c r="S76" s="207">
        <v>60314092</v>
      </c>
      <c r="T76" s="207">
        <v>1748746</v>
      </c>
      <c r="U76" s="207">
        <v>15117755</v>
      </c>
      <c r="V76" s="207">
        <v>0</v>
      </c>
      <c r="W76" s="207">
        <f>160000+43266+120336+25000+12385+10000+33319+13319+21470+2265+5000+37550+27702+60000+2265+10000+993+5381+21470+1398+5000+10000+5000+20000</f>
        <v>653119</v>
      </c>
      <c r="X76" s="207">
        <v>0</v>
      </c>
      <c r="Z76" s="207">
        <v>0</v>
      </c>
      <c r="AA76" s="207">
        <v>0</v>
      </c>
      <c r="AB76" s="176">
        <f t="shared" si="138"/>
        <v>15770874</v>
      </c>
      <c r="AC76" s="177">
        <f t="shared" si="117"/>
        <v>26.147909181821056</v>
      </c>
      <c r="AD76" s="177">
        <f t="shared" si="139"/>
        <v>77.519065723399549</v>
      </c>
      <c r="AE76" s="60">
        <f>AD76*0.04</f>
        <v>3.100762628935982</v>
      </c>
      <c r="AF76" s="178">
        <f t="shared" si="118"/>
        <v>25.81348191812954</v>
      </c>
      <c r="AG76" s="178">
        <f t="shared" si="119"/>
        <v>26.928678949493445</v>
      </c>
      <c r="AH76" s="178">
        <f t="shared" si="140"/>
        <v>1.1151970313639055</v>
      </c>
      <c r="AI76" s="179">
        <f t="shared" si="141"/>
        <v>100</v>
      </c>
      <c r="AJ76" s="61">
        <f>AI76*0.05</f>
        <v>5</v>
      </c>
      <c r="AK76" s="204">
        <v>9</v>
      </c>
      <c r="AL76" s="204">
        <v>36</v>
      </c>
      <c r="AM76" s="204">
        <v>1</v>
      </c>
      <c r="AN76" s="181">
        <f t="shared" si="101"/>
        <v>45</v>
      </c>
      <c r="AO76" s="182">
        <f t="shared" si="102"/>
        <v>2.2222222222222223</v>
      </c>
      <c r="AP76" s="183">
        <f t="shared" si="120"/>
        <v>100</v>
      </c>
      <c r="AQ76" s="62">
        <f>AP76*0.03</f>
        <v>3</v>
      </c>
      <c r="AR76" s="212">
        <v>5</v>
      </c>
      <c r="AS76" s="292">
        <f t="shared" si="103"/>
        <v>0.5</v>
      </c>
      <c r="AT76" s="185">
        <f t="shared" si="104"/>
        <v>4.5</v>
      </c>
      <c r="AU76" s="185">
        <f t="shared" si="121"/>
        <v>4</v>
      </c>
      <c r="AV76" s="186">
        <f t="shared" si="105"/>
        <v>11.111111111111111</v>
      </c>
      <c r="AW76" s="179">
        <f t="shared" si="122"/>
        <v>60</v>
      </c>
      <c r="AX76" s="240">
        <f>AW76*0.02</f>
        <v>1.2</v>
      </c>
      <c r="AY76" s="54">
        <v>8</v>
      </c>
      <c r="AZ76" s="54">
        <f>40-4</f>
        <v>36</v>
      </c>
      <c r="BA76" s="189">
        <f t="shared" si="106"/>
        <v>40</v>
      </c>
      <c r="BB76" s="178">
        <f t="shared" si="123"/>
        <v>90</v>
      </c>
      <c r="BC76" s="179">
        <f t="shared" si="124"/>
        <v>100</v>
      </c>
      <c r="BD76" s="61">
        <f>BC76*0.02</f>
        <v>2</v>
      </c>
      <c r="BE76" s="190">
        <v>83113000</v>
      </c>
      <c r="BF76" s="190">
        <v>10059000</v>
      </c>
      <c r="BG76" s="54">
        <v>8958000</v>
      </c>
      <c r="BH76" s="191">
        <f t="shared" si="107"/>
        <v>93172000</v>
      </c>
      <c r="BI76" s="178">
        <f t="shared" si="108"/>
        <v>9.6144764521530082</v>
      </c>
      <c r="BJ76" s="294" t="str">
        <f t="shared" si="125"/>
        <v>금융업</v>
      </c>
      <c r="BK76" s="192">
        <f t="shared" si="109"/>
        <v>2.7106886075318837</v>
      </c>
      <c r="BL76" s="193">
        <f t="shared" si="126"/>
        <v>6.9037878446211245</v>
      </c>
      <c r="BM76" s="241">
        <f t="shared" si="127"/>
        <v>40</v>
      </c>
      <c r="BN76" s="47">
        <f t="shared" si="128"/>
        <v>0.8</v>
      </c>
      <c r="BO76" s="54">
        <v>0</v>
      </c>
      <c r="BP76" s="194">
        <f t="shared" si="110"/>
        <v>0</v>
      </c>
      <c r="BQ76" s="179">
        <f t="shared" si="129"/>
        <v>25</v>
      </c>
      <c r="BR76" s="61">
        <f>BQ76*0.01</f>
        <v>0.25</v>
      </c>
      <c r="BS76" s="195">
        <v>1590973.22</v>
      </c>
      <c r="BT76" s="195">
        <v>1836</v>
      </c>
      <c r="BU76" s="196">
        <f t="shared" si="130"/>
        <v>1589137.22</v>
      </c>
      <c r="BV76" s="178">
        <f t="shared" si="111"/>
        <v>0.12529405874543098</v>
      </c>
      <c r="BW76" s="192">
        <f t="shared" si="112"/>
        <v>0.39407896396795111</v>
      </c>
      <c r="BX76" s="192">
        <f t="shared" si="131"/>
        <v>7.2245325275479125E-2</v>
      </c>
      <c r="BY76" s="192">
        <f t="shared" si="113"/>
        <v>1.5698937849002934</v>
      </c>
      <c r="BZ76" s="192">
        <f t="shared" si="132"/>
        <v>56.797152664660679</v>
      </c>
      <c r="CA76" s="192">
        <f t="shared" si="114"/>
        <v>55</v>
      </c>
      <c r="CB76" s="55">
        <f t="shared" si="133"/>
        <v>1.1000000000000001</v>
      </c>
      <c r="CC76" s="242" t="s">
        <v>1273</v>
      </c>
      <c r="CD76" s="243" t="s">
        <v>1273</v>
      </c>
      <c r="CE76" s="244"/>
      <c r="CF76" s="295" t="s">
        <v>2379</v>
      </c>
      <c r="CG76" s="210">
        <v>7.3</v>
      </c>
      <c r="CH76" s="295" t="s">
        <v>2379</v>
      </c>
      <c r="CI76" s="188">
        <f>IF((100-(75*(CG76-1)/9))&gt;100,100,IF((100-(75*(CG76-1)/9))&lt;25,25,(100-(75*(CG76-1)/9))))</f>
        <v>47.5</v>
      </c>
      <c r="CJ76" s="63">
        <f>CI76*0.04</f>
        <v>1.9000000000000001</v>
      </c>
      <c r="CK76" s="173" t="s">
        <v>2500</v>
      </c>
      <c r="CL76" s="173" t="s">
        <v>2477</v>
      </c>
      <c r="CM76" s="199">
        <f t="shared" si="134"/>
        <v>85</v>
      </c>
      <c r="CN76" s="65">
        <f>CM76*0.03</f>
        <v>2.5499999999999998</v>
      </c>
      <c r="CO76" s="54">
        <v>409745000</v>
      </c>
      <c r="CP76" s="186">
        <f t="shared" si="115"/>
        <v>62.016135710221029</v>
      </c>
      <c r="CQ76" s="179">
        <f t="shared" si="135"/>
        <v>40</v>
      </c>
      <c r="CR76" s="61">
        <f>CQ76*0.04</f>
        <v>1.6</v>
      </c>
      <c r="CS76" s="200">
        <f>_xlfn.XLOOKUP(C76, '1-1. 관계사체무보증금액 (환율 등)'!$3:$3, '1-1. 관계사체무보증금액 (환율 등)'!$33:$33)</f>
        <v>0</v>
      </c>
      <c r="CT76" s="178">
        <f t="shared" si="116"/>
        <v>0</v>
      </c>
      <c r="CU76" s="179">
        <f t="shared" si="136"/>
        <v>100</v>
      </c>
      <c r="CV76" s="70">
        <f>CU76*0.03</f>
        <v>3</v>
      </c>
      <c r="CW76" s="72">
        <f t="shared" si="137"/>
        <v>25.500762628935984</v>
      </c>
    </row>
    <row r="77" spans="1:101" x14ac:dyDescent="0.6">
      <c r="A77" s="214" t="s">
        <v>1588</v>
      </c>
      <c r="B77" s="13" t="s">
        <v>2055</v>
      </c>
      <c r="C77" s="219" t="s">
        <v>1589</v>
      </c>
      <c r="D77" s="14" t="s">
        <v>202</v>
      </c>
      <c r="E77" s="217" t="s">
        <v>572</v>
      </c>
      <c r="F77" s="217" t="s">
        <v>1590</v>
      </c>
      <c r="G77" s="218">
        <v>27572</v>
      </c>
      <c r="H77" s="217" t="s">
        <v>830</v>
      </c>
      <c r="I77" s="217" t="s">
        <v>1591</v>
      </c>
      <c r="J77" s="217" t="s">
        <v>1592</v>
      </c>
      <c r="K77" s="217" t="s">
        <v>308</v>
      </c>
      <c r="L77" s="220">
        <v>1037444849</v>
      </c>
      <c r="M77" s="206">
        <v>756037859</v>
      </c>
      <c r="N77" s="206">
        <v>281406990</v>
      </c>
      <c r="O77" s="206">
        <v>1020419354</v>
      </c>
      <c r="P77" s="206">
        <v>62957426</v>
      </c>
      <c r="Q77" s="206">
        <v>23841777</v>
      </c>
      <c r="R77" s="206">
        <v>11209133</v>
      </c>
      <c r="S77" s="207">
        <v>23932354</v>
      </c>
      <c r="T77" s="207">
        <v>2355259</v>
      </c>
      <c r="U77" s="207">
        <v>5706555</v>
      </c>
      <c r="V77" s="207">
        <f>349675+105770+236990+27370</f>
        <v>719805</v>
      </c>
      <c r="W77" s="207">
        <v>0</v>
      </c>
      <c r="X77" s="207">
        <v>0</v>
      </c>
      <c r="Z77" s="207">
        <v>150000</v>
      </c>
      <c r="AA77" s="207">
        <v>150000</v>
      </c>
      <c r="AB77" s="176">
        <f t="shared" si="138"/>
        <v>6576360</v>
      </c>
      <c r="AC77" s="177">
        <f t="shared" si="117"/>
        <v>27.478951715322282</v>
      </c>
      <c r="AD77" s="177">
        <f t="shared" si="139"/>
        <v>76.370294837178704</v>
      </c>
      <c r="AE77" s="26">
        <f t="shared" ref="AE77:AE101" si="142">AD77*0.03</f>
        <v>2.2911088451153612</v>
      </c>
      <c r="AF77" s="178">
        <f t="shared" si="118"/>
        <v>29.991746431329119</v>
      </c>
      <c r="AG77" s="178">
        <f t="shared" si="119"/>
        <v>29.991746431329119</v>
      </c>
      <c r="AH77" s="178">
        <f t="shared" si="140"/>
        <v>0</v>
      </c>
      <c r="AI77" s="179">
        <f t="shared" si="141"/>
        <v>100</v>
      </c>
      <c r="AJ77" s="30">
        <f t="shared" ref="AJ77:AJ101" si="143">AI77*0.04</f>
        <v>4</v>
      </c>
      <c r="AK77" s="204">
        <v>6</v>
      </c>
      <c r="AL77" s="204">
        <v>15</v>
      </c>
      <c r="AM77" s="204">
        <v>1</v>
      </c>
      <c r="AN77" s="181">
        <f t="shared" si="101"/>
        <v>21</v>
      </c>
      <c r="AO77" s="182">
        <f t="shared" si="102"/>
        <v>4.7619047619047619</v>
      </c>
      <c r="AP77" s="183">
        <f t="shared" si="120"/>
        <v>100</v>
      </c>
      <c r="AQ77" s="38">
        <f t="shared" ref="AQ77:AQ101" si="144">AP77*0.02</f>
        <v>2</v>
      </c>
      <c r="AR77" s="212">
        <v>3</v>
      </c>
      <c r="AS77" s="292">
        <f t="shared" si="103"/>
        <v>0.25</v>
      </c>
      <c r="AT77" s="185">
        <f t="shared" si="104"/>
        <v>1.5</v>
      </c>
      <c r="AU77" s="185">
        <f t="shared" si="121"/>
        <v>1</v>
      </c>
      <c r="AV77" s="186">
        <f t="shared" si="105"/>
        <v>33.333333333333329</v>
      </c>
      <c r="AW77" s="179">
        <f t="shared" si="122"/>
        <v>80</v>
      </c>
      <c r="AX77" s="239">
        <f t="shared" ref="AX77:AX101" si="145">AW77*0.01</f>
        <v>0.8</v>
      </c>
      <c r="AY77" s="54">
        <v>13</v>
      </c>
      <c r="AZ77" s="54">
        <f>13*3</f>
        <v>39</v>
      </c>
      <c r="BA77" s="189">
        <f t="shared" si="106"/>
        <v>39</v>
      </c>
      <c r="BB77" s="178">
        <f t="shared" si="123"/>
        <v>100</v>
      </c>
      <c r="BC77" s="179">
        <f t="shared" si="124"/>
        <v>100</v>
      </c>
      <c r="BD77" s="30">
        <f t="shared" ref="BD77:BD101" si="146">BC77*0.01</f>
        <v>1</v>
      </c>
      <c r="BE77" s="190">
        <f>39073675+787529</f>
        <v>39861204</v>
      </c>
      <c r="BF77" s="190">
        <v>4306457</v>
      </c>
      <c r="BG77" s="54">
        <v>938840</v>
      </c>
      <c r="BH77" s="191">
        <f t="shared" si="107"/>
        <v>44167661</v>
      </c>
      <c r="BI77" s="178">
        <f t="shared" si="108"/>
        <v>2.1256276170024035</v>
      </c>
      <c r="BJ77" s="294" t="str">
        <f t="shared" si="125"/>
        <v>전기전자/기계업</v>
      </c>
      <c r="BK77" s="192">
        <f t="shared" si="109"/>
        <v>2.4096449716116455</v>
      </c>
      <c r="BL77" s="193">
        <f t="shared" si="126"/>
        <v>-0.28401735460924193</v>
      </c>
      <c r="BM77" s="241">
        <f t="shared" si="127"/>
        <v>80</v>
      </c>
      <c r="BN77" s="47">
        <f t="shared" si="128"/>
        <v>1.6</v>
      </c>
      <c r="BO77" s="54">
        <f>20997627-490656</f>
        <v>20506971</v>
      </c>
      <c r="BP77" s="194">
        <f t="shared" si="110"/>
        <v>2.0096611182072897</v>
      </c>
      <c r="BQ77" s="179">
        <f t="shared" si="129"/>
        <v>85</v>
      </c>
      <c r="BR77" s="30">
        <f t="shared" ref="BR77:BR101" si="147">BQ77*0.02</f>
        <v>1.7</v>
      </c>
      <c r="BS77" s="195">
        <v>21651909</v>
      </c>
      <c r="BT77" s="195">
        <v>341297</v>
      </c>
      <c r="BU77" s="196">
        <f t="shared" si="130"/>
        <v>21310612</v>
      </c>
      <c r="BV77" s="178">
        <f t="shared" si="111"/>
        <v>2.0884170724970392</v>
      </c>
      <c r="BW77" s="192">
        <f t="shared" si="112"/>
        <v>5.2309968128308268</v>
      </c>
      <c r="BX77" s="192">
        <f t="shared" si="131"/>
        <v>9.8758074243563758</v>
      </c>
      <c r="BY77" s="192">
        <f t="shared" si="113"/>
        <v>7.0695458012309622</v>
      </c>
      <c r="BZ77" s="192">
        <f t="shared" si="132"/>
        <v>67.166795420397335</v>
      </c>
      <c r="CA77" s="192">
        <f t="shared" si="114"/>
        <v>40</v>
      </c>
      <c r="CB77" s="55">
        <f t="shared" si="133"/>
        <v>0.8</v>
      </c>
      <c r="CC77" s="197">
        <f t="shared" ref="CC77:CC101" si="148">(M77/N77)*100</f>
        <v>268.66349659615776</v>
      </c>
      <c r="CD77" s="198">
        <f t="shared" ref="CD77:CD101" si="149">IF((100-(75*(CC77-1)/(200-1)))&gt;100, 100, IF((100-(75*(CC77-1)/(200-1)))&lt;25, 25, (100-(75*(CC77-1)/(200-1)))))</f>
        <v>25</v>
      </c>
      <c r="CE77" s="58">
        <f t="shared" ref="CE77:CE101" si="150">CD77*0.015</f>
        <v>0.375</v>
      </c>
      <c r="CF77" s="245" t="s">
        <v>2326</v>
      </c>
      <c r="CG77" s="245" t="s">
        <v>2326</v>
      </c>
      <c r="CH77" s="245" t="s">
        <v>2326</v>
      </c>
      <c r="CI77" s="245" t="s">
        <v>2326</v>
      </c>
      <c r="CJ77" s="235"/>
      <c r="CK77" s="173" t="s">
        <v>2503</v>
      </c>
      <c r="CL77" s="173" t="s">
        <v>2487</v>
      </c>
      <c r="CM77" s="199">
        <f t="shared" si="134"/>
        <v>70</v>
      </c>
      <c r="CN77" s="58">
        <f t="shared" ref="CN77:CN101" si="151">CM77*0.015</f>
        <v>1.05</v>
      </c>
      <c r="CO77" s="54">
        <v>6960900</v>
      </c>
      <c r="CP77" s="186">
        <f t="shared" si="115"/>
        <v>2.4736059328163811</v>
      </c>
      <c r="CQ77" s="179">
        <f t="shared" si="135"/>
        <v>100</v>
      </c>
      <c r="CR77" s="30">
        <f t="shared" ref="CR77:CR101" si="152">CQ77*0.03</f>
        <v>3</v>
      </c>
      <c r="CS77" s="200">
        <f>_xlfn.XLOOKUP(C77, '1-1. 관계사체무보증금액 (환율 등)'!$3:$3, '1-1. 관계사체무보증금액 (환율 등)'!$33:$33)</f>
        <v>55180150</v>
      </c>
      <c r="CT77" s="178">
        <f t="shared" si="116"/>
        <v>19.608663594319388</v>
      </c>
      <c r="CU77" s="179">
        <f t="shared" si="136"/>
        <v>60</v>
      </c>
      <c r="CV77" s="30">
        <f t="shared" ref="CV77:CV101" si="153">CU77*0.02</f>
        <v>1.2</v>
      </c>
      <c r="CW77" s="72">
        <f t="shared" si="137"/>
        <v>19.816108845115362</v>
      </c>
    </row>
    <row r="78" spans="1:101" x14ac:dyDescent="0.6">
      <c r="A78" s="214" t="s">
        <v>700</v>
      </c>
      <c r="B78" s="13" t="s">
        <v>2056</v>
      </c>
      <c r="C78" s="219" t="s">
        <v>545</v>
      </c>
      <c r="D78" s="216" t="s">
        <v>191</v>
      </c>
      <c r="E78" s="217" t="s">
        <v>178</v>
      </c>
      <c r="F78" s="217" t="s">
        <v>137</v>
      </c>
      <c r="G78" s="218">
        <v>25659</v>
      </c>
      <c r="H78" s="217" t="s">
        <v>830</v>
      </c>
      <c r="I78" s="217" t="s">
        <v>716</v>
      </c>
      <c r="J78" s="217" t="s">
        <v>1228</v>
      </c>
      <c r="K78" s="217" t="s">
        <v>91</v>
      </c>
      <c r="L78" s="220">
        <v>2858930432</v>
      </c>
      <c r="M78" s="206">
        <v>1570209001</v>
      </c>
      <c r="N78" s="206">
        <v>1288721432</v>
      </c>
      <c r="O78" s="206">
        <v>3289633814</v>
      </c>
      <c r="P78" s="206">
        <v>129259533</v>
      </c>
      <c r="Q78" s="206">
        <v>115619859</v>
      </c>
      <c r="R78" s="206">
        <v>84739843</v>
      </c>
      <c r="S78" s="207">
        <v>34648025</v>
      </c>
      <c r="T78" s="207">
        <v>0</v>
      </c>
      <c r="U78" s="207">
        <f>244670+13608456</f>
        <v>13853126</v>
      </c>
      <c r="V78" s="207">
        <v>159000</v>
      </c>
      <c r="W78" s="207">
        <f>1000</f>
        <v>1000</v>
      </c>
      <c r="X78" s="207">
        <v>1324957</v>
      </c>
      <c r="Y78" s="208" t="s">
        <v>2419</v>
      </c>
      <c r="Z78" s="207">
        <v>0</v>
      </c>
      <c r="AA78" s="207">
        <v>0</v>
      </c>
      <c r="AB78" s="176">
        <f t="shared" si="138"/>
        <v>15338083</v>
      </c>
      <c r="AC78" s="177">
        <f t="shared" si="117"/>
        <v>44.268275031549422</v>
      </c>
      <c r="AD78" s="177">
        <f t="shared" si="139"/>
        <v>61.880084840434911</v>
      </c>
      <c r="AE78" s="26">
        <f t="shared" si="142"/>
        <v>1.8564025452130473</v>
      </c>
      <c r="AF78" s="178">
        <f t="shared" si="118"/>
        <v>40.441341173126027</v>
      </c>
      <c r="AG78" s="178">
        <f t="shared" si="119"/>
        <v>44.268275031549422</v>
      </c>
      <c r="AH78" s="178">
        <f t="shared" si="140"/>
        <v>3.826933858423395</v>
      </c>
      <c r="AI78" s="179">
        <f t="shared" si="141"/>
        <v>100</v>
      </c>
      <c r="AJ78" s="30">
        <f t="shared" si="143"/>
        <v>4</v>
      </c>
      <c r="AK78" s="204">
        <v>7</v>
      </c>
      <c r="AL78" s="204">
        <v>47</v>
      </c>
      <c r="AM78" s="180">
        <v>1</v>
      </c>
      <c r="AN78" s="181">
        <f t="shared" si="101"/>
        <v>54</v>
      </c>
      <c r="AO78" s="182">
        <f t="shared" si="102"/>
        <v>1.8518518518518516</v>
      </c>
      <c r="AP78" s="183">
        <f t="shared" si="120"/>
        <v>100</v>
      </c>
      <c r="AQ78" s="38">
        <f t="shared" si="144"/>
        <v>2</v>
      </c>
      <c r="AR78" s="212">
        <v>4</v>
      </c>
      <c r="AS78" s="292">
        <f t="shared" si="103"/>
        <v>0.5</v>
      </c>
      <c r="AT78" s="185">
        <f t="shared" si="104"/>
        <v>3.5</v>
      </c>
      <c r="AU78" s="185">
        <f t="shared" si="121"/>
        <v>3</v>
      </c>
      <c r="AV78" s="186">
        <f t="shared" si="105"/>
        <v>14.285714285714285</v>
      </c>
      <c r="AW78" s="179">
        <f t="shared" si="122"/>
        <v>60</v>
      </c>
      <c r="AX78" s="239">
        <f t="shared" si="145"/>
        <v>0.6</v>
      </c>
      <c r="AY78" s="54">
        <v>11</v>
      </c>
      <c r="AZ78" s="54">
        <v>44</v>
      </c>
      <c r="BA78" s="189">
        <f t="shared" si="106"/>
        <v>44</v>
      </c>
      <c r="BB78" s="178">
        <f t="shared" si="123"/>
        <v>100</v>
      </c>
      <c r="BC78" s="179">
        <f t="shared" si="124"/>
        <v>100</v>
      </c>
      <c r="BD78" s="30">
        <f t="shared" si="146"/>
        <v>1</v>
      </c>
      <c r="BE78" s="190">
        <v>213002000</v>
      </c>
      <c r="BF78" s="190">
        <v>21538000</v>
      </c>
      <c r="BG78" s="54">
        <v>5632000</v>
      </c>
      <c r="BH78" s="191">
        <f t="shared" si="107"/>
        <v>234540000</v>
      </c>
      <c r="BI78" s="178">
        <f t="shared" si="108"/>
        <v>2.401296154174128</v>
      </c>
      <c r="BJ78" s="294" t="str">
        <f t="shared" si="125"/>
        <v>식약/섬유/종이업</v>
      </c>
      <c r="BK78" s="192">
        <f t="shared" si="109"/>
        <v>2.1999360555264444</v>
      </c>
      <c r="BL78" s="193">
        <f t="shared" si="126"/>
        <v>0.20136009864768356</v>
      </c>
      <c r="BM78" s="241">
        <f t="shared" si="127"/>
        <v>60</v>
      </c>
      <c r="BN78" s="47">
        <f t="shared" si="128"/>
        <v>1.2</v>
      </c>
      <c r="BO78" s="54">
        <v>34665000</v>
      </c>
      <c r="BP78" s="194">
        <f t="shared" si="110"/>
        <v>1.0537647033074911</v>
      </c>
      <c r="BQ78" s="179">
        <f t="shared" si="129"/>
        <v>70</v>
      </c>
      <c r="BR78" s="30">
        <f t="shared" si="147"/>
        <v>1.4000000000000001</v>
      </c>
      <c r="BS78" s="195">
        <v>148840635.29100001</v>
      </c>
      <c r="BT78" s="195">
        <v>875675.88</v>
      </c>
      <c r="BU78" s="196">
        <f t="shared" si="130"/>
        <v>147964959.41100001</v>
      </c>
      <c r="BV78" s="178">
        <f t="shared" si="111"/>
        <v>4.4979158099996353</v>
      </c>
      <c r="BW78" s="192">
        <f t="shared" si="112"/>
        <v>5.0508176117342281</v>
      </c>
      <c r="BX78" s="192">
        <f t="shared" si="131"/>
        <v>0.30570040236135898</v>
      </c>
      <c r="BY78" s="192">
        <f t="shared" si="113"/>
        <v>6.9871618081220941</v>
      </c>
      <c r="BZ78" s="192">
        <f t="shared" si="132"/>
        <v>53.153582669120205</v>
      </c>
      <c r="CA78" s="192">
        <f t="shared" si="114"/>
        <v>55</v>
      </c>
      <c r="CB78" s="55">
        <f t="shared" si="133"/>
        <v>1.1000000000000001</v>
      </c>
      <c r="CC78" s="197">
        <f t="shared" si="148"/>
        <v>121.84239060594749</v>
      </c>
      <c r="CD78" s="198">
        <f t="shared" si="149"/>
        <v>54.456385450019788</v>
      </c>
      <c r="CE78" s="58">
        <f t="shared" si="150"/>
        <v>0.81684578175029676</v>
      </c>
      <c r="CF78" s="245" t="s">
        <v>2326</v>
      </c>
      <c r="CG78" s="245" t="s">
        <v>2326</v>
      </c>
      <c r="CH78" s="245" t="s">
        <v>2326</v>
      </c>
      <c r="CI78" s="245" t="s">
        <v>2326</v>
      </c>
      <c r="CJ78" s="235"/>
      <c r="CK78" s="173" t="s">
        <v>2486</v>
      </c>
      <c r="CL78" s="173" t="s">
        <v>2487</v>
      </c>
      <c r="CM78" s="199">
        <f t="shared" si="134"/>
        <v>70</v>
      </c>
      <c r="CN78" s="58">
        <f t="shared" si="151"/>
        <v>1.05</v>
      </c>
      <c r="CO78" s="54">
        <v>410194000</v>
      </c>
      <c r="CP78" s="186">
        <f t="shared" si="115"/>
        <v>31.829531954272642</v>
      </c>
      <c r="CQ78" s="179">
        <f t="shared" si="135"/>
        <v>60</v>
      </c>
      <c r="CR78" s="30">
        <f t="shared" si="152"/>
        <v>1.7999999999999998</v>
      </c>
      <c r="CS78" s="200">
        <f>_xlfn.XLOOKUP(C78, '1-1. 관계사체무보증금액 (환율 등)'!$3:$3, '1-1. 관계사체무보증금액 (환율 등)'!$33:$33)</f>
        <v>160826000</v>
      </c>
      <c r="CT78" s="178">
        <f t="shared" si="116"/>
        <v>12.479500690107246</v>
      </c>
      <c r="CU78" s="179">
        <f t="shared" si="136"/>
        <v>60</v>
      </c>
      <c r="CV78" s="30">
        <f t="shared" si="153"/>
        <v>1.2</v>
      </c>
      <c r="CW78" s="72">
        <f t="shared" si="137"/>
        <v>18.023248326963344</v>
      </c>
    </row>
    <row r="79" spans="1:101" x14ac:dyDescent="0.6">
      <c r="A79" s="214" t="s">
        <v>1593</v>
      </c>
      <c r="B79" s="13" t="s">
        <v>2057</v>
      </c>
      <c r="C79" s="219" t="s">
        <v>1594</v>
      </c>
      <c r="D79" s="14" t="s">
        <v>203</v>
      </c>
      <c r="E79" s="217" t="s">
        <v>1595</v>
      </c>
      <c r="F79" s="217" t="s">
        <v>1596</v>
      </c>
      <c r="G79" s="218">
        <v>40389</v>
      </c>
      <c r="H79" s="217" t="s">
        <v>830</v>
      </c>
      <c r="I79" s="217" t="s">
        <v>1597</v>
      </c>
      <c r="J79" s="13" t="s">
        <v>2058</v>
      </c>
      <c r="K79" s="217" t="s">
        <v>91</v>
      </c>
      <c r="L79" s="220">
        <v>991695975</v>
      </c>
      <c r="M79" s="206">
        <v>405389777</v>
      </c>
      <c r="N79" s="206">
        <v>586306198</v>
      </c>
      <c r="O79" s="206">
        <v>881208064</v>
      </c>
      <c r="P79" s="206">
        <v>14182419</v>
      </c>
      <c r="Q79" s="206">
        <v>20162956</v>
      </c>
      <c r="R79" s="206">
        <v>20025770</v>
      </c>
      <c r="S79" s="207">
        <v>45235478</v>
      </c>
      <c r="T79" s="207">
        <v>7774864</v>
      </c>
      <c r="U79" s="207">
        <v>14434145</v>
      </c>
      <c r="V79" s="207">
        <f>338091+173779+173374+497455+25000+275929</f>
        <v>1483628</v>
      </c>
      <c r="W79" s="207">
        <f>4593+3354+215+15000+2587+83002+1000+25500+5553</f>
        <v>140804</v>
      </c>
      <c r="X79" s="207">
        <v>0</v>
      </c>
      <c r="Z79" s="207">
        <f>21759+29000</f>
        <v>50759</v>
      </c>
      <c r="AA79" s="207">
        <v>0</v>
      </c>
      <c r="AB79" s="176">
        <f t="shared" si="138"/>
        <v>16109336</v>
      </c>
      <c r="AC79" s="177">
        <f t="shared" si="117"/>
        <v>35.612171490704711</v>
      </c>
      <c r="AD79" s="177">
        <f t="shared" si="139"/>
        <v>69.350830128850944</v>
      </c>
      <c r="AE79" s="26">
        <f t="shared" si="142"/>
        <v>2.0805249038655282</v>
      </c>
      <c r="AF79" s="178">
        <f t="shared" si="118"/>
        <v>42.492023755937367</v>
      </c>
      <c r="AG79" s="178">
        <f t="shared" si="119"/>
        <v>43.003395512951279</v>
      </c>
      <c r="AH79" s="178">
        <f t="shared" si="140"/>
        <v>0.51137175701391158</v>
      </c>
      <c r="AI79" s="179">
        <f t="shared" si="141"/>
        <v>100</v>
      </c>
      <c r="AJ79" s="30">
        <f t="shared" si="143"/>
        <v>4</v>
      </c>
      <c r="AK79" s="204">
        <v>7</v>
      </c>
      <c r="AL79" s="204">
        <v>11</v>
      </c>
      <c r="AM79" s="204">
        <v>1</v>
      </c>
      <c r="AN79" s="181">
        <f t="shared" si="101"/>
        <v>18</v>
      </c>
      <c r="AO79" s="182">
        <f t="shared" si="102"/>
        <v>5.5555555555555554</v>
      </c>
      <c r="AP79" s="183">
        <f t="shared" si="120"/>
        <v>100</v>
      </c>
      <c r="AQ79" s="38">
        <f t="shared" si="144"/>
        <v>2</v>
      </c>
      <c r="AR79" s="212">
        <v>3</v>
      </c>
      <c r="AS79" s="292">
        <f t="shared" si="103"/>
        <v>0.25</v>
      </c>
      <c r="AT79" s="185">
        <f t="shared" si="104"/>
        <v>1.75</v>
      </c>
      <c r="AU79" s="185">
        <f t="shared" si="121"/>
        <v>1</v>
      </c>
      <c r="AV79" s="186">
        <f t="shared" si="105"/>
        <v>28.571428571428569</v>
      </c>
      <c r="AW79" s="179">
        <f t="shared" si="122"/>
        <v>80</v>
      </c>
      <c r="AX79" s="239">
        <f t="shared" si="145"/>
        <v>0.8</v>
      </c>
      <c r="AY79" s="54">
        <v>9</v>
      </c>
      <c r="AZ79" s="54">
        <v>27</v>
      </c>
      <c r="BA79" s="189">
        <f t="shared" si="106"/>
        <v>27</v>
      </c>
      <c r="BB79" s="178">
        <f t="shared" si="123"/>
        <v>100</v>
      </c>
      <c r="BC79" s="179">
        <f t="shared" si="124"/>
        <v>100</v>
      </c>
      <c r="BD79" s="30">
        <f t="shared" si="146"/>
        <v>1</v>
      </c>
      <c r="BE79" s="190">
        <v>18414825</v>
      </c>
      <c r="BF79" s="190">
        <v>1421015</v>
      </c>
      <c r="BG79" s="54">
        <v>563853</v>
      </c>
      <c r="BH79" s="191">
        <f t="shared" si="107"/>
        <v>19835840</v>
      </c>
      <c r="BI79" s="178">
        <f t="shared" si="108"/>
        <v>2.8425970364753899</v>
      </c>
      <c r="BJ79" s="294" t="str">
        <f t="shared" si="125"/>
        <v>금속/비금속/화학업</v>
      </c>
      <c r="BK79" s="192">
        <f t="shared" si="109"/>
        <v>3.9534118626990464</v>
      </c>
      <c r="BL79" s="193">
        <f t="shared" si="126"/>
        <v>-1.1108148262236566</v>
      </c>
      <c r="BM79" s="241">
        <f t="shared" si="127"/>
        <v>80</v>
      </c>
      <c r="BN79" s="47">
        <f t="shared" si="128"/>
        <v>1.6</v>
      </c>
      <c r="BO79" s="54">
        <v>5892897</v>
      </c>
      <c r="BP79" s="194">
        <f t="shared" si="110"/>
        <v>0.66872935470549666</v>
      </c>
      <c r="BQ79" s="179">
        <f t="shared" si="129"/>
        <v>70</v>
      </c>
      <c r="BR79" s="30">
        <f t="shared" si="147"/>
        <v>1.4000000000000001</v>
      </c>
      <c r="BS79" s="195">
        <v>2987066.5410000002</v>
      </c>
      <c r="BT79" s="195">
        <v>14252.637000000001</v>
      </c>
      <c r="BU79" s="196">
        <f t="shared" si="130"/>
        <v>2972813.9040000001</v>
      </c>
      <c r="BV79" s="178">
        <f t="shared" si="111"/>
        <v>0.33735663862467785</v>
      </c>
      <c r="BW79" s="192">
        <f t="shared" si="112"/>
        <v>5.1474158565187729</v>
      </c>
      <c r="BX79" s="192">
        <f t="shared" si="131"/>
        <v>23.136669679647948</v>
      </c>
      <c r="BY79" s="192">
        <f t="shared" si="113"/>
        <v>6.6930498535228526</v>
      </c>
      <c r="BZ79" s="192">
        <f t="shared" si="132"/>
        <v>76.382625633717069</v>
      </c>
      <c r="CA79" s="192">
        <f t="shared" si="114"/>
        <v>40</v>
      </c>
      <c r="CB79" s="55">
        <f t="shared" si="133"/>
        <v>0.8</v>
      </c>
      <c r="CC79" s="197">
        <f t="shared" si="148"/>
        <v>69.143014074021437</v>
      </c>
      <c r="CD79" s="198">
        <f t="shared" si="149"/>
        <v>74.317959519841168</v>
      </c>
      <c r="CE79" s="58">
        <f t="shared" si="150"/>
        <v>1.1147693927976174</v>
      </c>
      <c r="CF79" s="245" t="s">
        <v>2326</v>
      </c>
      <c r="CG79" s="245" t="s">
        <v>2326</v>
      </c>
      <c r="CH79" s="245" t="s">
        <v>2326</v>
      </c>
      <c r="CI79" s="245" t="s">
        <v>2326</v>
      </c>
      <c r="CJ79" s="235"/>
      <c r="CK79" s="173" t="s">
        <v>2504</v>
      </c>
      <c r="CL79" s="173" t="s">
        <v>2493</v>
      </c>
      <c r="CM79" s="199">
        <f t="shared" si="134"/>
        <v>40</v>
      </c>
      <c r="CN79" s="58">
        <f t="shared" si="151"/>
        <v>0.6</v>
      </c>
      <c r="CO79" s="54">
        <v>199202000</v>
      </c>
      <c r="CP79" s="186">
        <f t="shared" si="115"/>
        <v>33.975762268847788</v>
      </c>
      <c r="CQ79" s="179">
        <f t="shared" si="135"/>
        <v>60</v>
      </c>
      <c r="CR79" s="30">
        <f t="shared" si="152"/>
        <v>1.7999999999999998</v>
      </c>
      <c r="CS79" s="200">
        <f>_xlfn.XLOOKUP(C79, '1-1. 관계사체무보증금액 (환율 등)'!$3:$3, '1-1. 관계사체무보증금액 (환율 등)'!$33:$33)</f>
        <v>3900000</v>
      </c>
      <c r="CT79" s="178">
        <f t="shared" si="116"/>
        <v>0.6651814381808735</v>
      </c>
      <c r="CU79" s="179">
        <f t="shared" si="136"/>
        <v>100</v>
      </c>
      <c r="CV79" s="30">
        <f t="shared" si="153"/>
        <v>2</v>
      </c>
      <c r="CW79" s="72">
        <f t="shared" si="137"/>
        <v>19.195294296663146</v>
      </c>
    </row>
    <row r="80" spans="1:101" x14ac:dyDescent="0.6">
      <c r="A80" s="214" t="s">
        <v>82</v>
      </c>
      <c r="B80" s="13" t="s">
        <v>2059</v>
      </c>
      <c r="C80" s="219" t="s">
        <v>427</v>
      </c>
      <c r="D80" s="14" t="s">
        <v>203</v>
      </c>
      <c r="E80" s="217" t="s">
        <v>978</v>
      </c>
      <c r="F80" s="217" t="s">
        <v>556</v>
      </c>
      <c r="G80" s="218">
        <v>40536</v>
      </c>
      <c r="H80" s="217" t="s">
        <v>830</v>
      </c>
      <c r="I80" s="217" t="s">
        <v>972</v>
      </c>
      <c r="J80" s="217" t="s">
        <v>638</v>
      </c>
      <c r="K80" s="217" t="s">
        <v>308</v>
      </c>
      <c r="L80" s="220">
        <v>838882273</v>
      </c>
      <c r="M80" s="206">
        <v>521359056</v>
      </c>
      <c r="N80" s="206">
        <v>317523216</v>
      </c>
      <c r="O80" s="206">
        <v>1019977255</v>
      </c>
      <c r="P80" s="206">
        <v>1019269</v>
      </c>
      <c r="Q80" s="206">
        <v>1770357</v>
      </c>
      <c r="R80" s="206">
        <v>1219262</v>
      </c>
      <c r="S80" s="207">
        <v>27500000</v>
      </c>
      <c r="T80" s="207">
        <v>305454</v>
      </c>
      <c r="U80" s="207">
        <v>19600000</v>
      </c>
      <c r="V80" s="207">
        <v>0</v>
      </c>
      <c r="W80" s="207">
        <v>0</v>
      </c>
      <c r="X80" s="207">
        <v>0</v>
      </c>
      <c r="Z80" s="207">
        <v>400000</v>
      </c>
      <c r="AA80" s="207">
        <v>0</v>
      </c>
      <c r="AB80" s="176">
        <f t="shared" si="138"/>
        <v>20000000</v>
      </c>
      <c r="AC80" s="177">
        <f t="shared" si="117"/>
        <v>72.727272727272734</v>
      </c>
      <c r="AD80" s="177">
        <f t="shared" si="139"/>
        <v>37.31823412490845</v>
      </c>
      <c r="AE80" s="26">
        <f t="shared" si="142"/>
        <v>1.1195470237472536</v>
      </c>
      <c r="AF80" s="178">
        <f t="shared" si="118"/>
        <v>72.073275281006715</v>
      </c>
      <c r="AG80" s="178">
        <f t="shared" si="119"/>
        <v>73.544158450006847</v>
      </c>
      <c r="AH80" s="178">
        <f t="shared" si="140"/>
        <v>1.4708831690001318</v>
      </c>
      <c r="AI80" s="179">
        <f t="shared" si="141"/>
        <v>100</v>
      </c>
      <c r="AJ80" s="30">
        <f t="shared" si="143"/>
        <v>4</v>
      </c>
      <c r="AK80" s="204">
        <v>8</v>
      </c>
      <c r="AL80" s="204">
        <v>1</v>
      </c>
      <c r="AM80" s="180">
        <v>1</v>
      </c>
      <c r="AN80" s="181">
        <f t="shared" si="101"/>
        <v>9</v>
      </c>
      <c r="AO80" s="182">
        <f t="shared" si="102"/>
        <v>11.111111111111111</v>
      </c>
      <c r="AP80" s="183">
        <f t="shared" si="120"/>
        <v>80</v>
      </c>
      <c r="AQ80" s="38">
        <f t="shared" si="144"/>
        <v>1.6</v>
      </c>
      <c r="AR80" s="212">
        <v>3</v>
      </c>
      <c r="AS80" s="292">
        <f t="shared" si="103"/>
        <v>0.25</v>
      </c>
      <c r="AT80" s="185">
        <f t="shared" si="104"/>
        <v>2</v>
      </c>
      <c r="AU80" s="185">
        <f t="shared" si="121"/>
        <v>2</v>
      </c>
      <c r="AV80" s="186">
        <f t="shared" si="105"/>
        <v>12.5</v>
      </c>
      <c r="AW80" s="179">
        <f t="shared" si="122"/>
        <v>60</v>
      </c>
      <c r="AX80" s="239">
        <f t="shared" si="145"/>
        <v>0.6</v>
      </c>
      <c r="AY80" s="54">
        <v>14</v>
      </c>
      <c r="AZ80" s="54">
        <f>14*3-1</f>
        <v>41</v>
      </c>
      <c r="BA80" s="189">
        <f t="shared" si="106"/>
        <v>42</v>
      </c>
      <c r="BB80" s="178">
        <f t="shared" si="123"/>
        <v>97.61904761904762</v>
      </c>
      <c r="BC80" s="179">
        <f t="shared" si="124"/>
        <v>100</v>
      </c>
      <c r="BD80" s="30">
        <f t="shared" si="146"/>
        <v>1</v>
      </c>
      <c r="BE80" s="190">
        <v>9182725.1490000002</v>
      </c>
      <c r="BF80" s="190">
        <v>747345.43</v>
      </c>
      <c r="BG80" s="54">
        <v>139603.65</v>
      </c>
      <c r="BH80" s="191">
        <f t="shared" si="107"/>
        <v>9930070.5789999999</v>
      </c>
      <c r="BI80" s="178">
        <f t="shared" si="108"/>
        <v>1.4058676510842953</v>
      </c>
      <c r="BJ80" s="294" t="str">
        <f t="shared" si="125"/>
        <v>금속/비금속/화학업</v>
      </c>
      <c r="BK80" s="192">
        <f t="shared" si="109"/>
        <v>3.9534118626990464</v>
      </c>
      <c r="BL80" s="193">
        <f t="shared" si="126"/>
        <v>-2.5475442116147509</v>
      </c>
      <c r="BM80" s="241">
        <f t="shared" si="127"/>
        <v>100</v>
      </c>
      <c r="BN80" s="47">
        <f t="shared" si="128"/>
        <v>2</v>
      </c>
      <c r="BO80" s="54">
        <v>0</v>
      </c>
      <c r="BP80" s="194">
        <f t="shared" si="110"/>
        <v>0</v>
      </c>
      <c r="BQ80" s="179">
        <f t="shared" si="129"/>
        <v>25</v>
      </c>
      <c r="BR80" s="30">
        <f t="shared" si="147"/>
        <v>0.5</v>
      </c>
      <c r="BS80" s="195">
        <v>39137356.218999997</v>
      </c>
      <c r="BT80" s="195">
        <v>1299393.19</v>
      </c>
      <c r="BU80" s="196">
        <f t="shared" si="130"/>
        <v>37837963.028999999</v>
      </c>
      <c r="BV80" s="178">
        <f t="shared" si="111"/>
        <v>3.7096869409112458</v>
      </c>
      <c r="BW80" s="192">
        <f t="shared" si="112"/>
        <v>5.1474158565187729</v>
      </c>
      <c r="BX80" s="192">
        <f t="shared" si="131"/>
        <v>2.0670644347739957</v>
      </c>
      <c r="BY80" s="192">
        <f t="shared" si="113"/>
        <v>6.6930498535228526</v>
      </c>
      <c r="BZ80" s="192">
        <f t="shared" si="132"/>
        <v>58.50419735701049</v>
      </c>
      <c r="CA80" s="192">
        <f t="shared" si="114"/>
        <v>55</v>
      </c>
      <c r="CB80" s="55">
        <f t="shared" si="133"/>
        <v>1.1000000000000001</v>
      </c>
      <c r="CC80" s="197">
        <f t="shared" si="148"/>
        <v>164.19557050593744</v>
      </c>
      <c r="CD80" s="198">
        <f t="shared" si="149"/>
        <v>38.494131718867806</v>
      </c>
      <c r="CE80" s="58">
        <f t="shared" si="150"/>
        <v>0.57741197578301706</v>
      </c>
      <c r="CF80" s="245" t="s">
        <v>2326</v>
      </c>
      <c r="CG80" s="245" t="s">
        <v>2326</v>
      </c>
      <c r="CH80" s="245" t="s">
        <v>2326</v>
      </c>
      <c r="CI80" s="245" t="s">
        <v>2326</v>
      </c>
      <c r="CJ80" s="235"/>
      <c r="CK80" s="173" t="s">
        <v>2490</v>
      </c>
      <c r="CL80" s="173" t="s">
        <v>2487</v>
      </c>
      <c r="CM80" s="199">
        <f t="shared" si="134"/>
        <v>70</v>
      </c>
      <c r="CN80" s="58">
        <f t="shared" si="151"/>
        <v>1.05</v>
      </c>
      <c r="CO80" s="54">
        <v>5400000</v>
      </c>
      <c r="CP80" s="186">
        <f t="shared" si="115"/>
        <v>1.7006630469502424</v>
      </c>
      <c r="CQ80" s="179">
        <f t="shared" si="135"/>
        <v>100</v>
      </c>
      <c r="CR80" s="30">
        <f t="shared" si="152"/>
        <v>3</v>
      </c>
      <c r="CS80" s="200">
        <f>_xlfn.XLOOKUP(C80, '1-1. 관계사체무보증금액 (환율 등)'!$3:$3, '1-1. 관계사체무보증금액 (환율 등)'!$33:$33)</f>
        <v>0</v>
      </c>
      <c r="CT80" s="178">
        <f t="shared" si="116"/>
        <v>0</v>
      </c>
      <c r="CU80" s="179">
        <f t="shared" si="136"/>
        <v>100</v>
      </c>
      <c r="CV80" s="30">
        <f t="shared" si="153"/>
        <v>2</v>
      </c>
      <c r="CW80" s="72">
        <f t="shared" si="137"/>
        <v>18.546958999530268</v>
      </c>
    </row>
    <row r="81" spans="1:101" x14ac:dyDescent="0.6">
      <c r="A81" s="214" t="s">
        <v>932</v>
      </c>
      <c r="B81" s="13" t="s">
        <v>2060</v>
      </c>
      <c r="C81" s="219" t="s">
        <v>452</v>
      </c>
      <c r="D81" s="216" t="s">
        <v>285</v>
      </c>
      <c r="E81" s="217" t="s">
        <v>872</v>
      </c>
      <c r="F81" s="217" t="s">
        <v>286</v>
      </c>
      <c r="G81" s="218">
        <v>36973</v>
      </c>
      <c r="H81" s="217" t="s">
        <v>830</v>
      </c>
      <c r="I81" s="217" t="s">
        <v>771</v>
      </c>
      <c r="J81" s="217" t="s">
        <v>1598</v>
      </c>
      <c r="K81" s="217" t="s">
        <v>91</v>
      </c>
      <c r="L81" s="220">
        <v>9668849513</v>
      </c>
      <c r="M81" s="206">
        <v>6674852812</v>
      </c>
      <c r="N81" s="206">
        <v>2993996701</v>
      </c>
      <c r="O81" s="206">
        <v>9318914840</v>
      </c>
      <c r="P81" s="206">
        <v>433402928</v>
      </c>
      <c r="Q81" s="206">
        <v>364861645</v>
      </c>
      <c r="R81" s="206">
        <v>254741243</v>
      </c>
      <c r="S81" s="207">
        <v>415622638</v>
      </c>
      <c r="T81" s="207">
        <v>4736918</v>
      </c>
      <c r="U81" s="207">
        <f>168744967</f>
        <v>168744967</v>
      </c>
      <c r="V81" s="207">
        <v>0</v>
      </c>
      <c r="W81" s="207">
        <f>12404+8035+8832+6933+295+264+2935+9475+5298+9951+306+3616+7300+2897+4126+2830+3792+5024+2795+6286+4020+200+1367+2979+2365+8664+21+2513+1871+2550+93+618+120+400+3000+1591+3061+702+3100+4708+824+447+2186+1140+300+2032+3416+1000</f>
        <v>158682</v>
      </c>
      <c r="X81" s="207">
        <v>0</v>
      </c>
      <c r="Z81" s="207">
        <v>42186242</v>
      </c>
      <c r="AA81" s="207">
        <v>0</v>
      </c>
      <c r="AB81" s="176">
        <f t="shared" si="138"/>
        <v>211089891</v>
      </c>
      <c r="AC81" s="177">
        <f t="shared" si="117"/>
        <v>50.788833836332081</v>
      </c>
      <c r="AD81" s="177">
        <f t="shared" si="139"/>
        <v>56.252444905352064</v>
      </c>
      <c r="AE81" s="26">
        <f t="shared" si="142"/>
        <v>1.6875733471605618</v>
      </c>
      <c r="AF81" s="178">
        <f t="shared" si="118"/>
        <v>41.068588852394292</v>
      </c>
      <c r="AG81" s="178">
        <f t="shared" si="119"/>
        <v>51.374355623748613</v>
      </c>
      <c r="AH81" s="178">
        <f t="shared" si="140"/>
        <v>10.305766771354321</v>
      </c>
      <c r="AI81" s="179">
        <f t="shared" si="141"/>
        <v>80</v>
      </c>
      <c r="AJ81" s="30">
        <f t="shared" si="143"/>
        <v>3.2</v>
      </c>
      <c r="AK81" s="204">
        <v>6</v>
      </c>
      <c r="AL81" s="204">
        <v>97</v>
      </c>
      <c r="AM81" s="204">
        <v>0</v>
      </c>
      <c r="AN81" s="181">
        <f t="shared" si="101"/>
        <v>103</v>
      </c>
      <c r="AO81" s="182">
        <f t="shared" si="102"/>
        <v>0</v>
      </c>
      <c r="AP81" s="183">
        <f t="shared" si="120"/>
        <v>100</v>
      </c>
      <c r="AQ81" s="38">
        <f t="shared" si="144"/>
        <v>2</v>
      </c>
      <c r="AR81" s="212">
        <v>5</v>
      </c>
      <c r="AS81" s="292">
        <f t="shared" si="103"/>
        <v>0.5</v>
      </c>
      <c r="AT81" s="185">
        <f t="shared" si="104"/>
        <v>3</v>
      </c>
      <c r="AU81" s="185">
        <f t="shared" si="121"/>
        <v>3</v>
      </c>
      <c r="AV81" s="186">
        <f t="shared" si="105"/>
        <v>33.333333333333329</v>
      </c>
      <c r="AW81" s="179">
        <f t="shared" si="122"/>
        <v>80</v>
      </c>
      <c r="AX81" s="239">
        <f t="shared" si="145"/>
        <v>0.8</v>
      </c>
      <c r="AY81" s="54">
        <v>15</v>
      </c>
      <c r="AZ81" s="54">
        <f>15*5-10-2-4-1-5</f>
        <v>53</v>
      </c>
      <c r="BA81" s="189">
        <f t="shared" si="106"/>
        <v>75</v>
      </c>
      <c r="BB81" s="178">
        <f t="shared" si="123"/>
        <v>70.666666666666671</v>
      </c>
      <c r="BC81" s="179">
        <f t="shared" si="124"/>
        <v>50</v>
      </c>
      <c r="BD81" s="30">
        <f t="shared" si="146"/>
        <v>0.5</v>
      </c>
      <c r="BE81" s="190">
        <v>201601000</v>
      </c>
      <c r="BF81" s="190">
        <v>17705000</v>
      </c>
      <c r="BG81" s="301">
        <v>0</v>
      </c>
      <c r="BH81" s="191">
        <f t="shared" si="107"/>
        <v>219306000</v>
      </c>
      <c r="BI81" s="178">
        <f t="shared" si="108"/>
        <v>0</v>
      </c>
      <c r="BJ81" s="294" t="str">
        <f t="shared" si="125"/>
        <v>비제조/서비스업</v>
      </c>
      <c r="BK81" s="192">
        <f t="shared" si="109"/>
        <v>1.7464434573900924</v>
      </c>
      <c r="BL81" s="193">
        <f t="shared" si="126"/>
        <v>-1.7464434573900924</v>
      </c>
      <c r="BM81" s="241">
        <f t="shared" si="127"/>
        <v>80</v>
      </c>
      <c r="BN81" s="47">
        <f t="shared" si="128"/>
        <v>1.6</v>
      </c>
      <c r="BO81" s="54">
        <v>64861000</v>
      </c>
      <c r="BP81" s="194">
        <f t="shared" si="110"/>
        <v>0.69601451578454376</v>
      </c>
      <c r="BQ81" s="179">
        <f t="shared" si="129"/>
        <v>70</v>
      </c>
      <c r="BR81" s="30">
        <f t="shared" si="147"/>
        <v>1.4000000000000001</v>
      </c>
      <c r="BS81" s="195">
        <v>30884918.147</v>
      </c>
      <c r="BT81" s="195">
        <v>6902012.5619999999</v>
      </c>
      <c r="BU81" s="196">
        <f t="shared" si="130"/>
        <v>23982905.585000001</v>
      </c>
      <c r="BV81" s="178">
        <f t="shared" si="111"/>
        <v>0.2573572781463469</v>
      </c>
      <c r="BW81" s="192">
        <f t="shared" si="112"/>
        <v>2.8482825397737606</v>
      </c>
      <c r="BX81" s="192">
        <f t="shared" si="131"/>
        <v>6.7128937113390812</v>
      </c>
      <c r="BY81" s="192">
        <f t="shared" si="113"/>
        <v>5.5697595856656799</v>
      </c>
      <c r="BZ81" s="192">
        <f t="shared" si="132"/>
        <v>67.909772352519155</v>
      </c>
      <c r="CA81" s="192">
        <f t="shared" si="114"/>
        <v>40</v>
      </c>
      <c r="CB81" s="55">
        <f t="shared" si="133"/>
        <v>0.8</v>
      </c>
      <c r="CC81" s="197">
        <f t="shared" si="148"/>
        <v>222.94122133703715</v>
      </c>
      <c r="CD81" s="198">
        <f t="shared" si="149"/>
        <v>25</v>
      </c>
      <c r="CE81" s="58">
        <f t="shared" si="150"/>
        <v>0.375</v>
      </c>
      <c r="CF81" s="245" t="s">
        <v>2326</v>
      </c>
      <c r="CG81" s="245" t="s">
        <v>2326</v>
      </c>
      <c r="CH81" s="245" t="s">
        <v>2326</v>
      </c>
      <c r="CI81" s="245" t="s">
        <v>2326</v>
      </c>
      <c r="CJ81" s="235"/>
      <c r="CK81" s="173" t="s">
        <v>2485</v>
      </c>
      <c r="CL81" s="173" t="s">
        <v>2482</v>
      </c>
      <c r="CM81" s="199">
        <f t="shared" si="134"/>
        <v>55</v>
      </c>
      <c r="CN81" s="58">
        <f t="shared" si="151"/>
        <v>0.82499999999999996</v>
      </c>
      <c r="CO81" s="54">
        <v>288762000</v>
      </c>
      <c r="CP81" s="186">
        <f t="shared" si="115"/>
        <v>9.6447000059670405</v>
      </c>
      <c r="CQ81" s="179">
        <f t="shared" si="135"/>
        <v>80</v>
      </c>
      <c r="CR81" s="30">
        <f t="shared" si="152"/>
        <v>2.4</v>
      </c>
      <c r="CS81" s="200">
        <f>_xlfn.XLOOKUP(C81, '1-1. 관계사체무보증금액 (환율 등)'!$3:$3, '1-1. 관계사체무보증금액 (환율 등)'!$33:$33)</f>
        <v>0</v>
      </c>
      <c r="CT81" s="178">
        <f t="shared" si="116"/>
        <v>0</v>
      </c>
      <c r="CU81" s="179">
        <f t="shared" si="136"/>
        <v>100</v>
      </c>
      <c r="CV81" s="30">
        <f t="shared" si="153"/>
        <v>2</v>
      </c>
      <c r="CW81" s="72">
        <f t="shared" si="137"/>
        <v>17.587573347160564</v>
      </c>
    </row>
    <row r="82" spans="1:101" x14ac:dyDescent="0.6">
      <c r="A82" s="214" t="s">
        <v>761</v>
      </c>
      <c r="B82" s="13" t="s">
        <v>2061</v>
      </c>
      <c r="C82" s="219" t="s">
        <v>552</v>
      </c>
      <c r="D82" s="216" t="s">
        <v>191</v>
      </c>
      <c r="E82" s="217" t="s">
        <v>34</v>
      </c>
      <c r="F82" s="217" t="s">
        <v>131</v>
      </c>
      <c r="G82" s="218">
        <v>26841</v>
      </c>
      <c r="H82" s="217" t="s">
        <v>830</v>
      </c>
      <c r="I82" s="217" t="s">
        <v>739</v>
      </c>
      <c r="J82" s="217" t="s">
        <v>1247</v>
      </c>
      <c r="K82" s="217" t="s">
        <v>690</v>
      </c>
      <c r="L82" s="220">
        <v>467020461</v>
      </c>
      <c r="M82" s="206">
        <v>22242291</v>
      </c>
      <c r="N82" s="206">
        <v>444778170</v>
      </c>
      <c r="O82" s="206">
        <v>102401976</v>
      </c>
      <c r="P82" s="206">
        <v>54478995</v>
      </c>
      <c r="Q82" s="206">
        <v>56254195</v>
      </c>
      <c r="R82" s="206">
        <v>53906527</v>
      </c>
      <c r="S82" s="207">
        <v>58141980</v>
      </c>
      <c r="T82" s="207">
        <v>16560640</v>
      </c>
      <c r="U82" s="207">
        <v>6748615</v>
      </c>
      <c r="V82" s="207">
        <f>4054715+3153310+64625+10090+9835</f>
        <v>7292575</v>
      </c>
      <c r="W82" s="207">
        <f>42314+31461+8555+1810</f>
        <v>84140</v>
      </c>
      <c r="X82" s="207">
        <v>5802425</v>
      </c>
      <c r="Y82" s="208" t="s">
        <v>2420</v>
      </c>
      <c r="Z82" s="207">
        <v>0</v>
      </c>
      <c r="AA82" s="207">
        <v>0</v>
      </c>
      <c r="AB82" s="176">
        <f t="shared" si="138"/>
        <v>19927755</v>
      </c>
      <c r="AC82" s="177">
        <f t="shared" si="117"/>
        <v>34.274297160158632</v>
      </c>
      <c r="AD82" s="177">
        <f t="shared" si="139"/>
        <v>70.505497272590361</v>
      </c>
      <c r="AE82" s="26">
        <f t="shared" si="142"/>
        <v>2.1151649181777108</v>
      </c>
      <c r="AF82" s="178">
        <f t="shared" si="118"/>
        <v>33.768007476430533</v>
      </c>
      <c r="AG82" s="178">
        <f t="shared" si="119"/>
        <v>47.924754228699697</v>
      </c>
      <c r="AH82" s="178">
        <f t="shared" si="140"/>
        <v>14.156746752269164</v>
      </c>
      <c r="AI82" s="179">
        <f t="shared" si="141"/>
        <v>80</v>
      </c>
      <c r="AJ82" s="30">
        <f t="shared" si="143"/>
        <v>3.2</v>
      </c>
      <c r="AK82" s="204">
        <v>5</v>
      </c>
      <c r="AL82" s="204">
        <v>3</v>
      </c>
      <c r="AM82" s="204">
        <v>1</v>
      </c>
      <c r="AN82" s="181">
        <f t="shared" si="101"/>
        <v>8</v>
      </c>
      <c r="AO82" s="182">
        <f t="shared" si="102"/>
        <v>12.5</v>
      </c>
      <c r="AP82" s="183">
        <f t="shared" si="120"/>
        <v>80</v>
      </c>
      <c r="AQ82" s="38">
        <f t="shared" si="144"/>
        <v>1.6</v>
      </c>
      <c r="AR82" s="212">
        <v>2</v>
      </c>
      <c r="AS82" s="292">
        <f t="shared" si="103"/>
        <v>0.25</v>
      </c>
      <c r="AT82" s="185">
        <f t="shared" si="104"/>
        <v>1.25</v>
      </c>
      <c r="AU82" s="185">
        <f t="shared" si="121"/>
        <v>1</v>
      </c>
      <c r="AV82" s="186">
        <f t="shared" si="105"/>
        <v>20</v>
      </c>
      <c r="AW82" s="179">
        <f t="shared" si="122"/>
        <v>80</v>
      </c>
      <c r="AX82" s="239">
        <f t="shared" si="145"/>
        <v>0.8</v>
      </c>
      <c r="AY82" s="54">
        <v>5</v>
      </c>
      <c r="AZ82" s="54">
        <v>5</v>
      </c>
      <c r="BA82" s="189">
        <f t="shared" si="106"/>
        <v>10</v>
      </c>
      <c r="BB82" s="178">
        <f t="shared" si="123"/>
        <v>50</v>
      </c>
      <c r="BC82" s="179">
        <f t="shared" si="124"/>
        <v>25</v>
      </c>
      <c r="BD82" s="30">
        <f t="shared" si="146"/>
        <v>0.25</v>
      </c>
      <c r="BE82" s="190">
        <v>9110111</v>
      </c>
      <c r="BF82" s="190">
        <v>706133</v>
      </c>
      <c r="BG82" s="54">
        <v>299054</v>
      </c>
      <c r="BH82" s="191">
        <f t="shared" si="107"/>
        <v>9816244</v>
      </c>
      <c r="BI82" s="178">
        <f t="shared" si="108"/>
        <v>3.046521663479433</v>
      </c>
      <c r="BJ82" s="294" t="str">
        <f t="shared" si="125"/>
        <v>식약/섬유/종이업</v>
      </c>
      <c r="BK82" s="192">
        <f t="shared" si="109"/>
        <v>2.1999360555264444</v>
      </c>
      <c r="BL82" s="193">
        <f t="shared" si="126"/>
        <v>0.84658560795298854</v>
      </c>
      <c r="BM82" s="241">
        <f t="shared" si="127"/>
        <v>60</v>
      </c>
      <c r="BN82" s="47">
        <f t="shared" si="128"/>
        <v>1.2</v>
      </c>
      <c r="BO82" s="54">
        <v>16815849</v>
      </c>
      <c r="BP82" s="194">
        <f t="shared" si="110"/>
        <v>16.421410657153725</v>
      </c>
      <c r="BQ82" s="179">
        <f t="shared" si="129"/>
        <v>100</v>
      </c>
      <c r="BR82" s="30">
        <f t="shared" si="147"/>
        <v>2</v>
      </c>
      <c r="BS82" s="195">
        <v>1662383.138</v>
      </c>
      <c r="BT82" s="195">
        <v>12666.804</v>
      </c>
      <c r="BU82" s="196">
        <f t="shared" si="130"/>
        <v>1649716.334</v>
      </c>
      <c r="BV82" s="178">
        <f t="shared" si="111"/>
        <v>1.6110200197699309</v>
      </c>
      <c r="BW82" s="192">
        <f t="shared" si="112"/>
        <v>5.0508176117342281</v>
      </c>
      <c r="BX82" s="192">
        <f t="shared" si="131"/>
        <v>11.832207473683377</v>
      </c>
      <c r="BY82" s="192">
        <f t="shared" si="113"/>
        <v>6.9871618081220941</v>
      </c>
      <c r="BZ82" s="192">
        <f t="shared" si="132"/>
        <v>68.874726197171682</v>
      </c>
      <c r="CA82" s="192">
        <f t="shared" si="114"/>
        <v>40</v>
      </c>
      <c r="CB82" s="55">
        <f t="shared" si="133"/>
        <v>0.8</v>
      </c>
      <c r="CC82" s="197">
        <f t="shared" si="148"/>
        <v>5.0007604914602712</v>
      </c>
      <c r="CD82" s="198">
        <f t="shared" si="149"/>
        <v>98.49217569417327</v>
      </c>
      <c r="CE82" s="58">
        <f t="shared" si="150"/>
        <v>1.477382635412599</v>
      </c>
      <c r="CF82" s="245" t="s">
        <v>2326</v>
      </c>
      <c r="CG82" s="245" t="s">
        <v>2326</v>
      </c>
      <c r="CH82" s="245" t="s">
        <v>2326</v>
      </c>
      <c r="CI82" s="245" t="s">
        <v>2326</v>
      </c>
      <c r="CJ82" s="235"/>
      <c r="CK82" s="173" t="s">
        <v>2491</v>
      </c>
      <c r="CL82" s="173" t="s">
        <v>2478</v>
      </c>
      <c r="CM82" s="199">
        <f t="shared" si="134"/>
        <v>25</v>
      </c>
      <c r="CN82" s="58">
        <f t="shared" si="151"/>
        <v>0.375</v>
      </c>
      <c r="CO82" s="54">
        <v>118613791</v>
      </c>
      <c r="CP82" s="186">
        <f t="shared" si="115"/>
        <v>26.668078381634601</v>
      </c>
      <c r="CQ82" s="179">
        <f t="shared" si="135"/>
        <v>60</v>
      </c>
      <c r="CR82" s="30">
        <f t="shared" si="152"/>
        <v>1.7999999999999998</v>
      </c>
      <c r="CS82" s="200">
        <f>_xlfn.XLOOKUP(C82, '1-1. 관계사체무보증금액 (환율 등)'!$3:$3, '1-1. 관계사체무보증금액 (환율 등)'!$33:$33)</f>
        <v>0</v>
      </c>
      <c r="CT82" s="178">
        <f t="shared" si="116"/>
        <v>0</v>
      </c>
      <c r="CU82" s="179">
        <f t="shared" si="136"/>
        <v>100</v>
      </c>
      <c r="CV82" s="30">
        <f t="shared" si="153"/>
        <v>2</v>
      </c>
      <c r="CW82" s="72">
        <f t="shared" si="137"/>
        <v>17.61754755359031</v>
      </c>
    </row>
    <row r="83" spans="1:101" x14ac:dyDescent="0.6">
      <c r="A83" s="214" t="s">
        <v>1599</v>
      </c>
      <c r="B83" s="13" t="s">
        <v>2062</v>
      </c>
      <c r="C83" s="219" t="s">
        <v>1600</v>
      </c>
      <c r="D83" s="14" t="s">
        <v>191</v>
      </c>
      <c r="E83" s="217" t="s">
        <v>34</v>
      </c>
      <c r="F83" s="217" t="s">
        <v>1601</v>
      </c>
      <c r="G83" s="218">
        <v>37561</v>
      </c>
      <c r="H83" s="217" t="s">
        <v>830</v>
      </c>
      <c r="I83" s="217" t="s">
        <v>1602</v>
      </c>
      <c r="J83" s="217" t="s">
        <v>1603</v>
      </c>
      <c r="K83" s="217" t="s">
        <v>690</v>
      </c>
      <c r="L83" s="220">
        <v>1374022214</v>
      </c>
      <c r="M83" s="206">
        <v>714171561</v>
      </c>
      <c r="N83" s="206">
        <v>659850653</v>
      </c>
      <c r="O83" s="206">
        <v>1161253630</v>
      </c>
      <c r="P83" s="206">
        <v>105963323</v>
      </c>
      <c r="Q83" s="206">
        <v>44624254</v>
      </c>
      <c r="R83" s="206">
        <v>48561673</v>
      </c>
      <c r="S83" s="207">
        <v>11586575</v>
      </c>
      <c r="T83" s="207">
        <v>517367</v>
      </c>
      <c r="U83" s="207">
        <v>5528060</v>
      </c>
      <c r="V83" s="207">
        <f>39185+179</f>
        <v>39364</v>
      </c>
      <c r="W83" s="207">
        <f>34632+1114+532</f>
        <v>36278</v>
      </c>
      <c r="X83" s="207">
        <v>998453</v>
      </c>
      <c r="Y83" s="208" t="s">
        <v>2420</v>
      </c>
      <c r="Z83" s="207">
        <v>0</v>
      </c>
      <c r="AA83" s="207">
        <v>0</v>
      </c>
      <c r="AB83" s="176">
        <f t="shared" si="138"/>
        <v>6602155</v>
      </c>
      <c r="AC83" s="177">
        <f t="shared" si="117"/>
        <v>56.981075080427132</v>
      </c>
      <c r="AD83" s="177">
        <f t="shared" si="139"/>
        <v>50.908163049113526</v>
      </c>
      <c r="AE83" s="26">
        <f t="shared" si="142"/>
        <v>1.5272448914734058</v>
      </c>
      <c r="AF83" s="178">
        <f t="shared" si="118"/>
        <v>50.2964981776474</v>
      </c>
      <c r="AG83" s="178">
        <f t="shared" si="119"/>
        <v>59.644330470617227</v>
      </c>
      <c r="AH83" s="178">
        <f t="shared" si="140"/>
        <v>9.3478322929698265</v>
      </c>
      <c r="AI83" s="179">
        <f t="shared" si="141"/>
        <v>100</v>
      </c>
      <c r="AJ83" s="30">
        <f t="shared" si="143"/>
        <v>4</v>
      </c>
      <c r="AK83" s="204">
        <v>7</v>
      </c>
      <c r="AL83" s="204">
        <v>4</v>
      </c>
      <c r="AM83" s="180">
        <v>1</v>
      </c>
      <c r="AN83" s="181">
        <f t="shared" si="101"/>
        <v>11</v>
      </c>
      <c r="AO83" s="182">
        <f t="shared" si="102"/>
        <v>9.0909090909090917</v>
      </c>
      <c r="AP83" s="183">
        <f t="shared" si="120"/>
        <v>100</v>
      </c>
      <c r="AQ83" s="38">
        <f t="shared" si="144"/>
        <v>2</v>
      </c>
      <c r="AR83" s="212">
        <v>3</v>
      </c>
      <c r="AS83" s="292">
        <f t="shared" si="103"/>
        <v>0.25</v>
      </c>
      <c r="AT83" s="185">
        <f t="shared" si="104"/>
        <v>1.75</v>
      </c>
      <c r="AU83" s="185">
        <f t="shared" si="121"/>
        <v>1</v>
      </c>
      <c r="AV83" s="186">
        <f t="shared" si="105"/>
        <v>28.571428571428569</v>
      </c>
      <c r="AW83" s="179">
        <f t="shared" si="122"/>
        <v>80</v>
      </c>
      <c r="AX83" s="239">
        <f t="shared" si="145"/>
        <v>0.8</v>
      </c>
      <c r="AY83" s="54">
        <v>6</v>
      </c>
      <c r="AZ83" s="54">
        <f>18-4</f>
        <v>14</v>
      </c>
      <c r="BA83" s="189">
        <f t="shared" si="106"/>
        <v>18</v>
      </c>
      <c r="BB83" s="178">
        <f t="shared" si="123"/>
        <v>77.777777777777786</v>
      </c>
      <c r="BC83" s="179">
        <f t="shared" si="124"/>
        <v>50</v>
      </c>
      <c r="BD83" s="30">
        <f t="shared" si="146"/>
        <v>0.5</v>
      </c>
      <c r="BE83" s="190">
        <v>71723804</v>
      </c>
      <c r="BF83" s="190">
        <v>4743521</v>
      </c>
      <c r="BG83" s="54">
        <v>255545</v>
      </c>
      <c r="BH83" s="191">
        <f t="shared" si="107"/>
        <v>76467325</v>
      </c>
      <c r="BI83" s="178">
        <f t="shared" si="108"/>
        <v>0.33418849162044051</v>
      </c>
      <c r="BJ83" s="294" t="str">
        <f t="shared" si="125"/>
        <v>식약/섬유/종이업</v>
      </c>
      <c r="BK83" s="192">
        <f t="shared" si="109"/>
        <v>2.1999360555264444</v>
      </c>
      <c r="BL83" s="193">
        <f t="shared" si="126"/>
        <v>-1.8657475639060039</v>
      </c>
      <c r="BM83" s="241">
        <f t="shared" si="127"/>
        <v>80</v>
      </c>
      <c r="BN83" s="47">
        <f t="shared" si="128"/>
        <v>1.6</v>
      </c>
      <c r="BO83" s="54">
        <v>200586832</v>
      </c>
      <c r="BP83" s="194">
        <f t="shared" si="110"/>
        <v>17.273300751705722</v>
      </c>
      <c r="BQ83" s="179">
        <f t="shared" si="129"/>
        <v>100</v>
      </c>
      <c r="BR83" s="30">
        <f t="shared" si="147"/>
        <v>2</v>
      </c>
      <c r="BS83" s="195">
        <v>45696832.747000001</v>
      </c>
      <c r="BT83" s="195">
        <v>457739.65700000001</v>
      </c>
      <c r="BU83" s="196">
        <f t="shared" si="130"/>
        <v>45239093.090000004</v>
      </c>
      <c r="BV83" s="178">
        <f t="shared" si="111"/>
        <v>3.8957116620595622</v>
      </c>
      <c r="BW83" s="192">
        <f t="shared" si="112"/>
        <v>5.0508176117342281</v>
      </c>
      <c r="BX83" s="192">
        <f t="shared" si="131"/>
        <v>1.3342697549738116</v>
      </c>
      <c r="BY83" s="192">
        <f t="shared" si="113"/>
        <v>6.9871618081220941</v>
      </c>
      <c r="BZ83" s="192">
        <f t="shared" si="132"/>
        <v>56.565328554890336</v>
      </c>
      <c r="CA83" s="192">
        <f t="shared" si="114"/>
        <v>55</v>
      </c>
      <c r="CB83" s="55">
        <f t="shared" si="133"/>
        <v>1.1000000000000001</v>
      </c>
      <c r="CC83" s="197">
        <f t="shared" si="148"/>
        <v>108.23230343912383</v>
      </c>
      <c r="CD83" s="198">
        <f t="shared" si="149"/>
        <v>59.585815286762376</v>
      </c>
      <c r="CE83" s="58">
        <f t="shared" si="150"/>
        <v>0.89378722930143562</v>
      </c>
      <c r="CF83" s="245" t="s">
        <v>2326</v>
      </c>
      <c r="CG83" s="245" t="s">
        <v>2326</v>
      </c>
      <c r="CH83" s="245" t="s">
        <v>2326</v>
      </c>
      <c r="CI83" s="245" t="s">
        <v>2326</v>
      </c>
      <c r="CJ83" s="235"/>
      <c r="CK83" s="173" t="s">
        <v>2490</v>
      </c>
      <c r="CL83" s="173" t="s">
        <v>2487</v>
      </c>
      <c r="CM83" s="199">
        <f t="shared" si="134"/>
        <v>70</v>
      </c>
      <c r="CN83" s="58">
        <f t="shared" si="151"/>
        <v>1.05</v>
      </c>
      <c r="CO83" s="54">
        <v>115845670</v>
      </c>
      <c r="CP83" s="186">
        <f t="shared" si="115"/>
        <v>17.556346951133499</v>
      </c>
      <c r="CQ83" s="179">
        <f t="shared" si="135"/>
        <v>60</v>
      </c>
      <c r="CR83" s="30">
        <f t="shared" si="152"/>
        <v>1.7999999999999998</v>
      </c>
      <c r="CS83" s="200">
        <f>_xlfn.XLOOKUP(C83, '1-1. 관계사체무보증금액 (환율 등)'!$3:$3, '1-1. 관계사체무보증금액 (환율 등)'!$33:$33)</f>
        <v>0</v>
      </c>
      <c r="CT83" s="178">
        <f t="shared" si="116"/>
        <v>0</v>
      </c>
      <c r="CU83" s="179">
        <f t="shared" si="136"/>
        <v>100</v>
      </c>
      <c r="CV83" s="30">
        <f t="shared" si="153"/>
        <v>2</v>
      </c>
      <c r="CW83" s="72">
        <f t="shared" si="137"/>
        <v>19.271032120774841</v>
      </c>
    </row>
    <row r="84" spans="1:101" x14ac:dyDescent="0.6">
      <c r="A84" s="214" t="s">
        <v>559</v>
      </c>
      <c r="B84" s="13" t="s">
        <v>2063</v>
      </c>
      <c r="C84" s="219" t="s">
        <v>89</v>
      </c>
      <c r="D84" s="216" t="s">
        <v>202</v>
      </c>
      <c r="E84" s="217" t="s">
        <v>954</v>
      </c>
      <c r="F84" s="217" t="s">
        <v>122</v>
      </c>
      <c r="G84" s="218">
        <v>28298</v>
      </c>
      <c r="H84" s="217" t="s">
        <v>830</v>
      </c>
      <c r="I84" s="217" t="s">
        <v>1604</v>
      </c>
      <c r="J84" s="217" t="s">
        <v>1014</v>
      </c>
      <c r="K84" s="217" t="s">
        <v>425</v>
      </c>
      <c r="L84" s="220">
        <v>688386355</v>
      </c>
      <c r="M84" s="206">
        <v>261400791</v>
      </c>
      <c r="N84" s="206">
        <v>426985565</v>
      </c>
      <c r="O84" s="206">
        <v>696217415</v>
      </c>
      <c r="P84" s="206">
        <v>16849939</v>
      </c>
      <c r="Q84" s="206">
        <v>6695668</v>
      </c>
      <c r="R84" s="206">
        <v>10606180</v>
      </c>
      <c r="S84" s="207">
        <v>62000000</v>
      </c>
      <c r="T84" s="207">
        <v>0</v>
      </c>
      <c r="U84" s="207">
        <v>13427264</v>
      </c>
      <c r="V84" s="207">
        <f>808327+1145000+35152+45698+184076+184247+3544981+41353</f>
        <v>5988834</v>
      </c>
      <c r="W84" s="207">
        <f>41569+7000+80000+14610+10000+11025+730+3214+12630+1654+2000</f>
        <v>184432</v>
      </c>
      <c r="X84" s="207">
        <v>0</v>
      </c>
      <c r="Z84" s="207">
        <f>335710+313340+4755695+1488114</f>
        <v>6892859</v>
      </c>
      <c r="AA84" s="207">
        <f>232033+313340</f>
        <v>545373</v>
      </c>
      <c r="AB84" s="176">
        <f t="shared" si="138"/>
        <v>26493389</v>
      </c>
      <c r="AC84" s="177">
        <f t="shared" si="117"/>
        <v>42.731272580645161</v>
      </c>
      <c r="AD84" s="177">
        <f t="shared" si="139"/>
        <v>63.206611696796472</v>
      </c>
      <c r="AE84" s="26">
        <f t="shared" si="142"/>
        <v>1.896198350903894</v>
      </c>
      <c r="AF84" s="178">
        <f t="shared" si="118"/>
        <v>31.59420038461872</v>
      </c>
      <c r="AG84" s="178">
        <f t="shared" si="119"/>
        <v>42.223046931844536</v>
      </c>
      <c r="AH84" s="178">
        <f t="shared" si="140"/>
        <v>10.628846547225816</v>
      </c>
      <c r="AI84" s="179">
        <f t="shared" si="141"/>
        <v>80</v>
      </c>
      <c r="AJ84" s="30">
        <f t="shared" si="143"/>
        <v>3.2</v>
      </c>
      <c r="AK84" s="204">
        <v>10</v>
      </c>
      <c r="AL84" s="204">
        <v>12</v>
      </c>
      <c r="AM84" s="204">
        <v>0</v>
      </c>
      <c r="AN84" s="181">
        <f t="shared" si="101"/>
        <v>22</v>
      </c>
      <c r="AO84" s="182">
        <f t="shared" si="102"/>
        <v>0</v>
      </c>
      <c r="AP84" s="183">
        <f t="shared" si="120"/>
        <v>100</v>
      </c>
      <c r="AQ84" s="38">
        <f t="shared" si="144"/>
        <v>2</v>
      </c>
      <c r="AR84" s="212">
        <v>4</v>
      </c>
      <c r="AS84" s="292">
        <f t="shared" si="103"/>
        <v>0.25</v>
      </c>
      <c r="AT84" s="185">
        <f t="shared" si="104"/>
        <v>2.5</v>
      </c>
      <c r="AU84" s="185">
        <f t="shared" si="121"/>
        <v>2</v>
      </c>
      <c r="AV84" s="186">
        <f t="shared" si="105"/>
        <v>20</v>
      </c>
      <c r="AW84" s="179">
        <f t="shared" si="122"/>
        <v>80</v>
      </c>
      <c r="AX84" s="239">
        <f t="shared" si="145"/>
        <v>0.8</v>
      </c>
      <c r="AY84" s="54">
        <v>8</v>
      </c>
      <c r="AZ84" s="54">
        <v>32</v>
      </c>
      <c r="BA84" s="189">
        <f t="shared" si="106"/>
        <v>32</v>
      </c>
      <c r="BB84" s="178">
        <f t="shared" si="123"/>
        <v>100</v>
      </c>
      <c r="BC84" s="179">
        <f t="shared" si="124"/>
        <v>100</v>
      </c>
      <c r="BD84" s="30">
        <f t="shared" si="146"/>
        <v>1</v>
      </c>
      <c r="BE84" s="190">
        <v>11974273</v>
      </c>
      <c r="BF84" s="190">
        <v>1439877</v>
      </c>
      <c r="BG84" s="54">
        <v>297529</v>
      </c>
      <c r="BH84" s="191">
        <f t="shared" si="107"/>
        <v>13414150</v>
      </c>
      <c r="BI84" s="178">
        <f t="shared" si="108"/>
        <v>2.218023505030136</v>
      </c>
      <c r="BJ84" s="294" t="str">
        <f t="shared" si="125"/>
        <v>전기전자/기계업</v>
      </c>
      <c r="BK84" s="192">
        <f t="shared" si="109"/>
        <v>2.4096449716116455</v>
      </c>
      <c r="BL84" s="193">
        <f t="shared" si="126"/>
        <v>-0.19162146658150947</v>
      </c>
      <c r="BM84" s="241">
        <f t="shared" si="127"/>
        <v>80</v>
      </c>
      <c r="BN84" s="47">
        <f t="shared" si="128"/>
        <v>1.6</v>
      </c>
      <c r="BO84" s="54">
        <v>18769000</v>
      </c>
      <c r="BP84" s="194">
        <f t="shared" si="110"/>
        <v>2.6958532773846229</v>
      </c>
      <c r="BQ84" s="179">
        <f t="shared" si="129"/>
        <v>85</v>
      </c>
      <c r="BR84" s="30">
        <f t="shared" si="147"/>
        <v>1.7</v>
      </c>
      <c r="BS84" s="195">
        <v>13543222.937000001</v>
      </c>
      <c r="BT84" s="195">
        <v>3731067.8969999999</v>
      </c>
      <c r="BU84" s="196">
        <f t="shared" si="130"/>
        <v>9812155.040000001</v>
      </c>
      <c r="BV84" s="178">
        <f t="shared" si="111"/>
        <v>1.4093521403798843</v>
      </c>
      <c r="BW84" s="192">
        <f t="shared" si="112"/>
        <v>5.2309968128308268</v>
      </c>
      <c r="BX84" s="192">
        <f t="shared" si="131"/>
        <v>14.604968002472672</v>
      </c>
      <c r="BY84" s="192">
        <f t="shared" si="113"/>
        <v>7.0695458012309622</v>
      </c>
      <c r="BZ84" s="192">
        <f t="shared" si="132"/>
        <v>70.56009399525486</v>
      </c>
      <c r="CA84" s="192">
        <f t="shared" si="114"/>
        <v>40</v>
      </c>
      <c r="CB84" s="55">
        <f t="shared" si="133"/>
        <v>0.8</v>
      </c>
      <c r="CC84" s="197">
        <f t="shared" si="148"/>
        <v>61.22005342264908</v>
      </c>
      <c r="CD84" s="198">
        <f t="shared" si="149"/>
        <v>77.303999966338282</v>
      </c>
      <c r="CE84" s="58">
        <f t="shared" si="150"/>
        <v>1.1595599994950743</v>
      </c>
      <c r="CF84" s="245" t="s">
        <v>2326</v>
      </c>
      <c r="CG84" s="245" t="s">
        <v>2326</v>
      </c>
      <c r="CH84" s="245" t="s">
        <v>2326</v>
      </c>
      <c r="CI84" s="245" t="s">
        <v>2326</v>
      </c>
      <c r="CJ84" s="235"/>
      <c r="CK84" s="173" t="s">
        <v>2479</v>
      </c>
      <c r="CL84" s="173" t="s">
        <v>2478</v>
      </c>
      <c r="CM84" s="199">
        <f t="shared" si="134"/>
        <v>25</v>
      </c>
      <c r="CN84" s="58">
        <f t="shared" si="151"/>
        <v>0.375</v>
      </c>
      <c r="CO84" s="54">
        <f>47935000+3176000+7641000+3109000+6689000+10502000+11269000+12883000+8760000</f>
        <v>111964000</v>
      </c>
      <c r="CP84" s="186">
        <f t="shared" si="115"/>
        <v>26.22196373312995</v>
      </c>
      <c r="CQ84" s="179">
        <f t="shared" si="135"/>
        <v>60</v>
      </c>
      <c r="CR84" s="30">
        <f t="shared" si="152"/>
        <v>1.7999999999999998</v>
      </c>
      <c r="CS84" s="200">
        <f>_xlfn.XLOOKUP(C84, '1-1. 관계사체무보증금액 (환율 등)'!$3:$3, '1-1. 관계사체무보증금액 (환율 등)'!$33:$33)</f>
        <v>152185635.60220161</v>
      </c>
      <c r="CT84" s="178">
        <f t="shared" si="116"/>
        <v>35.641868970957276</v>
      </c>
      <c r="CU84" s="179">
        <f t="shared" si="136"/>
        <v>40</v>
      </c>
      <c r="CV84" s="30">
        <f t="shared" si="153"/>
        <v>0.8</v>
      </c>
      <c r="CW84" s="72">
        <f t="shared" si="137"/>
        <v>17.13075835039897</v>
      </c>
    </row>
    <row r="85" spans="1:101" x14ac:dyDescent="0.6">
      <c r="A85" s="214" t="s">
        <v>333</v>
      </c>
      <c r="B85" s="13" t="s">
        <v>2064</v>
      </c>
      <c r="C85" s="219" t="s">
        <v>40</v>
      </c>
      <c r="D85" s="216" t="s">
        <v>191</v>
      </c>
      <c r="E85" s="217" t="s">
        <v>34</v>
      </c>
      <c r="F85" s="217" t="s">
        <v>139</v>
      </c>
      <c r="G85" s="218">
        <v>36509</v>
      </c>
      <c r="H85" s="217" t="s">
        <v>830</v>
      </c>
      <c r="I85" s="217" t="s">
        <v>451</v>
      </c>
      <c r="J85" s="217" t="s">
        <v>1227</v>
      </c>
      <c r="K85" s="217" t="s">
        <v>91</v>
      </c>
      <c r="L85" s="220">
        <v>424552601</v>
      </c>
      <c r="M85" s="206">
        <v>177887391</v>
      </c>
      <c r="N85" s="206">
        <v>246665210</v>
      </c>
      <c r="O85" s="206">
        <v>452801417</v>
      </c>
      <c r="P85" s="206">
        <v>47688591</v>
      </c>
      <c r="Q85" s="206">
        <v>39855973</v>
      </c>
      <c r="R85" s="206">
        <v>31496020</v>
      </c>
      <c r="S85" s="207">
        <v>21964670</v>
      </c>
      <c r="T85" s="207">
        <v>994144</v>
      </c>
      <c r="U85" s="207">
        <v>3142824</v>
      </c>
      <c r="V85" s="207">
        <f>2760404+1008700+801581+155303+155303+154981+112831+93997+76928+2293</f>
        <v>5322321</v>
      </c>
      <c r="W85" s="207">
        <f>21432+2145+8755+5932+720+5809+3038+2715+2777+17405+2513+943+2045+2543+8768</f>
        <v>87540</v>
      </c>
      <c r="X85" s="207">
        <v>0</v>
      </c>
      <c r="Z85" s="207">
        <v>0</v>
      </c>
      <c r="AA85" s="207">
        <v>0</v>
      </c>
      <c r="AB85" s="176">
        <f t="shared" si="138"/>
        <v>8552685</v>
      </c>
      <c r="AC85" s="177">
        <f t="shared" si="117"/>
        <v>38.938372395305734</v>
      </c>
      <c r="AD85" s="177">
        <f t="shared" si="139"/>
        <v>66.480115884373646</v>
      </c>
      <c r="AE85" s="26">
        <f t="shared" si="142"/>
        <v>1.9944034765312093</v>
      </c>
      <c r="AF85" s="178">
        <f t="shared" si="118"/>
        <v>40.366870149084484</v>
      </c>
      <c r="AG85" s="178">
        <f t="shared" si="119"/>
        <v>40.784313183179094</v>
      </c>
      <c r="AH85" s="178">
        <f t="shared" si="140"/>
        <v>0.41744303409461025</v>
      </c>
      <c r="AI85" s="179">
        <f t="shared" si="141"/>
        <v>100</v>
      </c>
      <c r="AJ85" s="30">
        <f t="shared" si="143"/>
        <v>4</v>
      </c>
      <c r="AK85" s="204">
        <v>6</v>
      </c>
      <c r="AL85" s="204">
        <v>32</v>
      </c>
      <c r="AM85" s="204">
        <v>3</v>
      </c>
      <c r="AN85" s="181">
        <f t="shared" si="101"/>
        <v>38</v>
      </c>
      <c r="AO85" s="182">
        <f t="shared" si="102"/>
        <v>7.8947368421052628</v>
      </c>
      <c r="AP85" s="183">
        <f t="shared" si="120"/>
        <v>100</v>
      </c>
      <c r="AQ85" s="38">
        <f t="shared" si="144"/>
        <v>2</v>
      </c>
      <c r="AR85" s="212">
        <v>3</v>
      </c>
      <c r="AS85" s="292">
        <f t="shared" si="103"/>
        <v>0.25</v>
      </c>
      <c r="AT85" s="185">
        <f t="shared" si="104"/>
        <v>1.5</v>
      </c>
      <c r="AU85" s="185">
        <f t="shared" si="121"/>
        <v>1</v>
      </c>
      <c r="AV85" s="186">
        <f t="shared" si="105"/>
        <v>33.333333333333329</v>
      </c>
      <c r="AW85" s="179">
        <f t="shared" si="122"/>
        <v>80</v>
      </c>
      <c r="AX85" s="239">
        <f t="shared" si="145"/>
        <v>0.8</v>
      </c>
      <c r="AY85" s="54">
        <v>16</v>
      </c>
      <c r="AZ85" s="54">
        <f>16*3</f>
        <v>48</v>
      </c>
      <c r="BA85" s="189">
        <f t="shared" si="106"/>
        <v>48</v>
      </c>
      <c r="BB85" s="178">
        <f t="shared" si="123"/>
        <v>100</v>
      </c>
      <c r="BC85" s="179">
        <f t="shared" si="124"/>
        <v>100</v>
      </c>
      <c r="BD85" s="30">
        <f t="shared" si="146"/>
        <v>1</v>
      </c>
      <c r="BE85" s="190">
        <v>67310138</v>
      </c>
      <c r="BF85" s="190">
        <v>5612362</v>
      </c>
      <c r="BG85" s="54">
        <v>433523</v>
      </c>
      <c r="BH85" s="191">
        <f t="shared" si="107"/>
        <v>72922500</v>
      </c>
      <c r="BI85" s="178">
        <f t="shared" si="108"/>
        <v>0.59449826870993183</v>
      </c>
      <c r="BJ85" s="294" t="str">
        <f t="shared" si="125"/>
        <v>식약/섬유/종이업</v>
      </c>
      <c r="BK85" s="192">
        <f t="shared" si="109"/>
        <v>2.1999360555264444</v>
      </c>
      <c r="BL85" s="193">
        <f t="shared" si="126"/>
        <v>-1.6054377868165126</v>
      </c>
      <c r="BM85" s="241">
        <f t="shared" si="127"/>
        <v>80</v>
      </c>
      <c r="BN85" s="47">
        <f t="shared" si="128"/>
        <v>1.6</v>
      </c>
      <c r="BO85" s="54">
        <v>44272279.409999996</v>
      </c>
      <c r="BP85" s="194">
        <f t="shared" si="110"/>
        <v>9.77741626855377</v>
      </c>
      <c r="BQ85" s="179">
        <f t="shared" si="129"/>
        <v>100</v>
      </c>
      <c r="BR85" s="30">
        <f t="shared" si="147"/>
        <v>2</v>
      </c>
      <c r="BS85" s="195">
        <v>3588344.557</v>
      </c>
      <c r="BT85" s="195">
        <v>373959.85399999999</v>
      </c>
      <c r="BU85" s="196">
        <f t="shared" si="130"/>
        <v>3214384.7030000002</v>
      </c>
      <c r="BV85" s="178">
        <f t="shared" si="111"/>
        <v>0.70988839308336349</v>
      </c>
      <c r="BW85" s="192">
        <f t="shared" si="112"/>
        <v>5.0508176117342281</v>
      </c>
      <c r="BX85" s="192">
        <f t="shared" si="131"/>
        <v>18.843666481336804</v>
      </c>
      <c r="BY85" s="192">
        <f t="shared" si="113"/>
        <v>6.9871618081220941</v>
      </c>
      <c r="BZ85" s="192">
        <f t="shared" si="132"/>
        <v>73.278972114828818</v>
      </c>
      <c r="CA85" s="192">
        <f t="shared" si="114"/>
        <v>40</v>
      </c>
      <c r="CB85" s="55">
        <f t="shared" si="133"/>
        <v>0.8</v>
      </c>
      <c r="CC85" s="197">
        <f t="shared" si="148"/>
        <v>72.116935744607034</v>
      </c>
      <c r="CD85" s="198">
        <f t="shared" si="149"/>
        <v>73.197134769620462</v>
      </c>
      <c r="CE85" s="58">
        <f t="shared" si="150"/>
        <v>1.0979570215443069</v>
      </c>
      <c r="CF85" s="245" t="s">
        <v>2326</v>
      </c>
      <c r="CG85" s="245" t="s">
        <v>2326</v>
      </c>
      <c r="CH85" s="245" t="s">
        <v>2326</v>
      </c>
      <c r="CI85" s="245" t="s">
        <v>2326</v>
      </c>
      <c r="CJ85" s="235"/>
      <c r="CK85" s="173" t="s">
        <v>2490</v>
      </c>
      <c r="CL85" s="173" t="s">
        <v>2487</v>
      </c>
      <c r="CM85" s="199">
        <f t="shared" si="134"/>
        <v>70</v>
      </c>
      <c r="CN85" s="58">
        <f t="shared" si="151"/>
        <v>1.05</v>
      </c>
      <c r="CO85" s="54">
        <f>836000+12394000</f>
        <v>13230000</v>
      </c>
      <c r="CP85" s="186">
        <f t="shared" si="115"/>
        <v>5.3635451874222557</v>
      </c>
      <c r="CQ85" s="179">
        <f t="shared" si="135"/>
        <v>80</v>
      </c>
      <c r="CR85" s="30">
        <f t="shared" si="152"/>
        <v>2.4</v>
      </c>
      <c r="CS85" s="200">
        <f>_xlfn.XLOOKUP(C85, '1-1. 관계사체무보증금액 (환율 등)'!$3:$3, '1-1. 관계사체무보증금액 (환율 등)'!$33:$33)</f>
        <v>0</v>
      </c>
      <c r="CT85" s="178">
        <f t="shared" si="116"/>
        <v>0</v>
      </c>
      <c r="CU85" s="179">
        <f t="shared" si="136"/>
        <v>100</v>
      </c>
      <c r="CV85" s="30">
        <f t="shared" si="153"/>
        <v>2</v>
      </c>
      <c r="CW85" s="72">
        <f t="shared" si="137"/>
        <v>20.742360498075517</v>
      </c>
    </row>
    <row r="86" spans="1:101" x14ac:dyDescent="0.6">
      <c r="A86" s="214" t="s">
        <v>423</v>
      </c>
      <c r="B86" s="13" t="s">
        <v>2065</v>
      </c>
      <c r="C86" s="219" t="s">
        <v>316</v>
      </c>
      <c r="D86" s="216" t="s">
        <v>202</v>
      </c>
      <c r="E86" s="217" t="s">
        <v>954</v>
      </c>
      <c r="F86" s="217" t="s">
        <v>118</v>
      </c>
      <c r="G86" s="218">
        <v>32714</v>
      </c>
      <c r="H86" s="217" t="s">
        <v>830</v>
      </c>
      <c r="I86" s="217" t="s">
        <v>751</v>
      </c>
      <c r="J86" s="217" t="s">
        <v>1056</v>
      </c>
      <c r="K86" s="217" t="s">
        <v>50</v>
      </c>
      <c r="L86" s="220">
        <v>250352084</v>
      </c>
      <c r="M86" s="206">
        <v>48446955</v>
      </c>
      <c r="N86" s="206">
        <v>201905129</v>
      </c>
      <c r="O86" s="206">
        <v>318979683</v>
      </c>
      <c r="P86" s="206">
        <v>34727495</v>
      </c>
      <c r="Q86" s="206">
        <v>41272114</v>
      </c>
      <c r="R86" s="206">
        <v>31646295</v>
      </c>
      <c r="S86" s="207">
        <v>28572230</v>
      </c>
      <c r="T86" s="207">
        <v>2671516</v>
      </c>
      <c r="U86" s="207">
        <v>1323692</v>
      </c>
      <c r="V86" s="207">
        <f>1180560+4755566+3613297</f>
        <v>9549423</v>
      </c>
      <c r="W86" s="207">
        <v>0</v>
      </c>
      <c r="X86" s="207">
        <v>0</v>
      </c>
      <c r="Z86" s="207">
        <f>1330940+526834</f>
        <v>1857774</v>
      </c>
      <c r="AA86" s="207">
        <v>0</v>
      </c>
      <c r="AB86" s="176">
        <f t="shared" si="138"/>
        <v>12730889</v>
      </c>
      <c r="AC86" s="177">
        <f t="shared" si="117"/>
        <v>44.556861680029876</v>
      </c>
      <c r="AD86" s="177">
        <f t="shared" si="139"/>
        <v>61.631016961999535</v>
      </c>
      <c r="AE86" s="26">
        <f t="shared" si="142"/>
        <v>1.8489305088599859</v>
      </c>
      <c r="AF86" s="178">
        <f t="shared" si="118"/>
        <v>41.979981710156714</v>
      </c>
      <c r="AG86" s="178">
        <f t="shared" si="119"/>
        <v>49.152656563830632</v>
      </c>
      <c r="AH86" s="178">
        <f t="shared" si="140"/>
        <v>7.172674853673918</v>
      </c>
      <c r="AI86" s="179">
        <f t="shared" si="141"/>
        <v>100</v>
      </c>
      <c r="AJ86" s="30">
        <f t="shared" si="143"/>
        <v>4</v>
      </c>
      <c r="AK86" s="204">
        <v>6</v>
      </c>
      <c r="AL86" s="204">
        <v>1</v>
      </c>
      <c r="AM86" s="204">
        <v>3</v>
      </c>
      <c r="AN86" s="181">
        <f t="shared" si="101"/>
        <v>7</v>
      </c>
      <c r="AO86" s="182">
        <f t="shared" si="102"/>
        <v>42.857142857142854</v>
      </c>
      <c r="AP86" s="183">
        <f t="shared" si="120"/>
        <v>40</v>
      </c>
      <c r="AQ86" s="38">
        <f t="shared" si="144"/>
        <v>0.8</v>
      </c>
      <c r="AR86" s="212">
        <v>3</v>
      </c>
      <c r="AS86" s="292">
        <f t="shared" si="103"/>
        <v>0.25</v>
      </c>
      <c r="AT86" s="185">
        <f t="shared" si="104"/>
        <v>1.5</v>
      </c>
      <c r="AU86" s="185">
        <f t="shared" si="121"/>
        <v>1</v>
      </c>
      <c r="AV86" s="186">
        <f t="shared" si="105"/>
        <v>33.333333333333329</v>
      </c>
      <c r="AW86" s="179">
        <f t="shared" si="122"/>
        <v>80</v>
      </c>
      <c r="AX86" s="239">
        <f t="shared" si="145"/>
        <v>0.8</v>
      </c>
      <c r="AY86" s="54">
        <v>9</v>
      </c>
      <c r="AZ86" s="54">
        <f>9*3-13</f>
        <v>14</v>
      </c>
      <c r="BA86" s="189">
        <f t="shared" si="106"/>
        <v>27</v>
      </c>
      <c r="BB86" s="178">
        <f t="shared" si="123"/>
        <v>51.851851851851848</v>
      </c>
      <c r="BC86" s="179">
        <f t="shared" si="124"/>
        <v>25</v>
      </c>
      <c r="BD86" s="30">
        <f t="shared" si="146"/>
        <v>0.25</v>
      </c>
      <c r="BE86" s="190">
        <v>2701656</v>
      </c>
      <c r="BF86" s="190">
        <v>234110</v>
      </c>
      <c r="BG86" s="54">
        <v>89569</v>
      </c>
      <c r="BH86" s="191">
        <f t="shared" si="107"/>
        <v>2935766</v>
      </c>
      <c r="BI86" s="178">
        <f t="shared" si="108"/>
        <v>3.0509584210730694</v>
      </c>
      <c r="BJ86" s="294" t="str">
        <f t="shared" si="125"/>
        <v>전기전자/기계업</v>
      </c>
      <c r="BK86" s="192">
        <f t="shared" si="109"/>
        <v>2.4096449716116455</v>
      </c>
      <c r="BL86" s="193">
        <f t="shared" si="126"/>
        <v>0.64131344946142388</v>
      </c>
      <c r="BM86" s="241">
        <f t="shared" si="127"/>
        <v>60</v>
      </c>
      <c r="BN86" s="47">
        <f t="shared" si="128"/>
        <v>1.2</v>
      </c>
      <c r="BO86" s="54">
        <v>637355</v>
      </c>
      <c r="BP86" s="194">
        <f t="shared" si="110"/>
        <v>0.1998105315064847</v>
      </c>
      <c r="BQ86" s="179">
        <f t="shared" si="129"/>
        <v>55</v>
      </c>
      <c r="BR86" s="30">
        <f t="shared" si="147"/>
        <v>1.1000000000000001</v>
      </c>
      <c r="BS86" s="195">
        <v>877190</v>
      </c>
      <c r="BT86" s="195">
        <v>96201.75</v>
      </c>
      <c r="BU86" s="196">
        <f t="shared" si="130"/>
        <v>780988.25</v>
      </c>
      <c r="BV86" s="178">
        <f t="shared" si="111"/>
        <v>0.24483949656442539</v>
      </c>
      <c r="BW86" s="192">
        <f t="shared" si="112"/>
        <v>5.2309968128308268</v>
      </c>
      <c r="BX86" s="192">
        <f t="shared" si="131"/>
        <v>24.861764782556968</v>
      </c>
      <c r="BY86" s="192">
        <f t="shared" si="113"/>
        <v>7.0695458012309622</v>
      </c>
      <c r="BZ86" s="192">
        <f t="shared" si="132"/>
        <v>75.968851295401791</v>
      </c>
      <c r="CA86" s="192">
        <f t="shared" si="114"/>
        <v>40</v>
      </c>
      <c r="CB86" s="55">
        <f t="shared" si="133"/>
        <v>0.8</v>
      </c>
      <c r="CC86" s="197">
        <f t="shared" si="148"/>
        <v>23.994910500762959</v>
      </c>
      <c r="CD86" s="198">
        <f t="shared" si="149"/>
        <v>91.333576444436076</v>
      </c>
      <c r="CE86" s="58">
        <f t="shared" si="150"/>
        <v>1.3700036466665411</v>
      </c>
      <c r="CF86" s="245" t="s">
        <v>2326</v>
      </c>
      <c r="CG86" s="245" t="s">
        <v>2326</v>
      </c>
      <c r="CH86" s="245" t="s">
        <v>2326</v>
      </c>
      <c r="CI86" s="245" t="s">
        <v>2326</v>
      </c>
      <c r="CJ86" s="235"/>
      <c r="CK86" s="173" t="s">
        <v>2481</v>
      </c>
      <c r="CL86" s="173" t="s">
        <v>2482</v>
      </c>
      <c r="CM86" s="199">
        <f t="shared" si="134"/>
        <v>55</v>
      </c>
      <c r="CN86" s="58">
        <f t="shared" si="151"/>
        <v>0.82499999999999996</v>
      </c>
      <c r="CO86" s="54">
        <v>57633866</v>
      </c>
      <c r="CP86" s="186">
        <f t="shared" si="115"/>
        <v>28.545023242079203</v>
      </c>
      <c r="CQ86" s="179">
        <f t="shared" si="135"/>
        <v>60</v>
      </c>
      <c r="CR86" s="30">
        <f t="shared" si="152"/>
        <v>1.7999999999999998</v>
      </c>
      <c r="CS86" s="200">
        <f>_xlfn.XLOOKUP(C86, '1-1. 관계사체무보증금액 (환율 등)'!$3:$3, '1-1. 관계사체무보증금액 (환율 등)'!$33:$33)</f>
        <v>9113924.0506329108</v>
      </c>
      <c r="CT86" s="178">
        <f t="shared" si="116"/>
        <v>4.51396361042067</v>
      </c>
      <c r="CU86" s="179">
        <f t="shared" si="136"/>
        <v>80</v>
      </c>
      <c r="CV86" s="30">
        <f t="shared" si="153"/>
        <v>1.6</v>
      </c>
      <c r="CW86" s="72">
        <f t="shared" si="137"/>
        <v>16.393934155526527</v>
      </c>
    </row>
    <row r="87" spans="1:101" x14ac:dyDescent="0.6">
      <c r="A87" s="214" t="s">
        <v>1605</v>
      </c>
      <c r="B87" s="13" t="s">
        <v>2066</v>
      </c>
      <c r="C87" s="219" t="s">
        <v>1606</v>
      </c>
      <c r="D87" s="14" t="s">
        <v>202</v>
      </c>
      <c r="E87" s="217" t="s">
        <v>613</v>
      </c>
      <c r="F87" s="217" t="s">
        <v>1607</v>
      </c>
      <c r="G87" s="218">
        <v>25199</v>
      </c>
      <c r="H87" s="217" t="s">
        <v>830</v>
      </c>
      <c r="I87" s="217" t="s">
        <v>1608</v>
      </c>
      <c r="J87" s="217" t="s">
        <v>1609</v>
      </c>
      <c r="K87" s="217" t="s">
        <v>690</v>
      </c>
      <c r="L87" s="220">
        <v>1552592143</v>
      </c>
      <c r="M87" s="206">
        <v>682188473</v>
      </c>
      <c r="N87" s="206">
        <v>870403670</v>
      </c>
      <c r="O87" s="206">
        <v>2199525188</v>
      </c>
      <c r="P87" s="206">
        <v>28784541</v>
      </c>
      <c r="Q87" s="206">
        <v>14593912</v>
      </c>
      <c r="R87" s="206">
        <v>8438935</v>
      </c>
      <c r="S87" s="207">
        <v>1244473009</v>
      </c>
      <c r="T87" s="207">
        <v>6840777</v>
      </c>
      <c r="U87" s="207">
        <f>499044607+77400</f>
        <v>499122007</v>
      </c>
      <c r="V87" s="207">
        <v>0</v>
      </c>
      <c r="W87" s="207">
        <f>25050+18576*2+20000+9288*2+8740*2+22900+22431+17027</f>
        <v>180616</v>
      </c>
      <c r="X87" s="207">
        <v>0</v>
      </c>
      <c r="Z87" s="207">
        <v>0</v>
      </c>
      <c r="AA87" s="207">
        <v>0</v>
      </c>
      <c r="AB87" s="176">
        <f t="shared" si="138"/>
        <v>499302623</v>
      </c>
      <c r="AC87" s="177">
        <f t="shared" si="117"/>
        <v>40.121611267504797</v>
      </c>
      <c r="AD87" s="177">
        <f t="shared" si="139"/>
        <v>65.458908572349145</v>
      </c>
      <c r="AE87" s="26">
        <f t="shared" si="142"/>
        <v>1.9637672571704743</v>
      </c>
      <c r="AF87" s="178">
        <f t="shared" si="118"/>
        <v>40.328782177353631</v>
      </c>
      <c r="AG87" s="178">
        <f t="shared" si="119"/>
        <v>40.343375850282477</v>
      </c>
      <c r="AH87" s="178">
        <f t="shared" si="140"/>
        <v>1.4593672928846502E-2</v>
      </c>
      <c r="AI87" s="179">
        <f t="shared" si="141"/>
        <v>100</v>
      </c>
      <c r="AJ87" s="30">
        <f t="shared" si="143"/>
        <v>4</v>
      </c>
      <c r="AK87" s="204">
        <v>7</v>
      </c>
      <c r="AL87" s="204">
        <v>21</v>
      </c>
      <c r="AM87" s="204">
        <v>0</v>
      </c>
      <c r="AN87" s="181">
        <f t="shared" si="101"/>
        <v>28</v>
      </c>
      <c r="AO87" s="182">
        <f t="shared" si="102"/>
        <v>0</v>
      </c>
      <c r="AP87" s="183">
        <f t="shared" si="120"/>
        <v>100</v>
      </c>
      <c r="AQ87" s="38">
        <f t="shared" si="144"/>
        <v>2</v>
      </c>
      <c r="AR87" s="212">
        <v>3</v>
      </c>
      <c r="AS87" s="292">
        <f t="shared" si="103"/>
        <v>0.25</v>
      </c>
      <c r="AT87" s="185">
        <f t="shared" si="104"/>
        <v>1.75</v>
      </c>
      <c r="AU87" s="185">
        <f t="shared" si="121"/>
        <v>1</v>
      </c>
      <c r="AV87" s="186">
        <f t="shared" si="105"/>
        <v>28.571428571428569</v>
      </c>
      <c r="AW87" s="179">
        <f t="shared" si="122"/>
        <v>80</v>
      </c>
      <c r="AX87" s="239">
        <f t="shared" si="145"/>
        <v>0.8</v>
      </c>
      <c r="AY87" s="54">
        <v>9</v>
      </c>
      <c r="AZ87" s="54">
        <v>27</v>
      </c>
      <c r="BA87" s="189">
        <f t="shared" si="106"/>
        <v>27</v>
      </c>
      <c r="BB87" s="178">
        <f t="shared" si="123"/>
        <v>100</v>
      </c>
      <c r="BC87" s="179">
        <f t="shared" si="124"/>
        <v>100</v>
      </c>
      <c r="BD87" s="30">
        <f t="shared" si="146"/>
        <v>1</v>
      </c>
      <c r="BE87" s="190">
        <v>18090000</v>
      </c>
      <c r="BF87" s="190">
        <v>2050000</v>
      </c>
      <c r="BG87" s="301">
        <v>0</v>
      </c>
      <c r="BH87" s="191">
        <f t="shared" si="107"/>
        <v>20140000</v>
      </c>
      <c r="BI87" s="178">
        <f t="shared" si="108"/>
        <v>0</v>
      </c>
      <c r="BJ87" s="294" t="str">
        <f t="shared" si="125"/>
        <v>전기전자/기계업</v>
      </c>
      <c r="BK87" s="192">
        <f t="shared" si="109"/>
        <v>2.4096449716116455</v>
      </c>
      <c r="BL87" s="193">
        <f t="shared" si="126"/>
        <v>-2.4096449716116455</v>
      </c>
      <c r="BM87" s="241">
        <f t="shared" si="127"/>
        <v>100</v>
      </c>
      <c r="BN87" s="47">
        <f t="shared" si="128"/>
        <v>2</v>
      </c>
      <c r="BO87" s="54">
        <f>6022746-568356</f>
        <v>5454390</v>
      </c>
      <c r="BP87" s="194">
        <f t="shared" si="110"/>
        <v>0.24798033820015525</v>
      </c>
      <c r="BQ87" s="179">
        <f t="shared" si="129"/>
        <v>55</v>
      </c>
      <c r="BR87" s="30">
        <f t="shared" si="147"/>
        <v>1.1000000000000001</v>
      </c>
      <c r="BS87" s="195">
        <v>12505338</v>
      </c>
      <c r="BT87" s="195">
        <v>1756632</v>
      </c>
      <c r="BU87" s="196">
        <f t="shared" si="130"/>
        <v>10748706</v>
      </c>
      <c r="BV87" s="178">
        <f t="shared" si="111"/>
        <v>0.48868301479982873</v>
      </c>
      <c r="BW87" s="192">
        <f t="shared" si="112"/>
        <v>5.2309968128308268</v>
      </c>
      <c r="BX87" s="192">
        <f t="shared" si="131"/>
        <v>22.48954015899519</v>
      </c>
      <c r="BY87" s="192">
        <f t="shared" si="113"/>
        <v>7.0695458012309622</v>
      </c>
      <c r="BZ87" s="192">
        <f t="shared" si="132"/>
        <v>74.882884146932653</v>
      </c>
      <c r="CA87" s="192">
        <f t="shared" si="114"/>
        <v>40</v>
      </c>
      <c r="CB87" s="55">
        <f t="shared" si="133"/>
        <v>0.8</v>
      </c>
      <c r="CC87" s="197">
        <f t="shared" si="148"/>
        <v>78.376102550210973</v>
      </c>
      <c r="CD87" s="198">
        <f t="shared" si="149"/>
        <v>70.838152305196871</v>
      </c>
      <c r="CE87" s="58">
        <f t="shared" si="150"/>
        <v>1.0625722845779531</v>
      </c>
      <c r="CF87" s="245" t="s">
        <v>2326</v>
      </c>
      <c r="CG87" s="245" t="s">
        <v>2326</v>
      </c>
      <c r="CH87" s="245" t="s">
        <v>2326</v>
      </c>
      <c r="CI87" s="245" t="s">
        <v>2326</v>
      </c>
      <c r="CJ87" s="235"/>
      <c r="CK87" s="173" t="s">
        <v>2481</v>
      </c>
      <c r="CL87" s="173" t="s">
        <v>2482</v>
      </c>
      <c r="CM87" s="199">
        <f t="shared" si="134"/>
        <v>55</v>
      </c>
      <c r="CN87" s="58">
        <f t="shared" si="151"/>
        <v>0.82499999999999996</v>
      </c>
      <c r="CO87" s="54">
        <f>56308000-3938000-16815000-1192000-700000</f>
        <v>33663000</v>
      </c>
      <c r="CP87" s="186">
        <f t="shared" si="115"/>
        <v>3.8675158619218601</v>
      </c>
      <c r="CQ87" s="179">
        <f t="shared" si="135"/>
        <v>80</v>
      </c>
      <c r="CR87" s="30">
        <f t="shared" si="152"/>
        <v>2.4</v>
      </c>
      <c r="CS87" s="200">
        <f>_xlfn.XLOOKUP(C87, '1-1. 관계사체무보증금액 (환율 등)'!$3:$3, '1-1. 관계사체무보증금액 (환율 등)'!$33:$33)</f>
        <v>0</v>
      </c>
      <c r="CT87" s="178">
        <f t="shared" si="116"/>
        <v>0</v>
      </c>
      <c r="CU87" s="179">
        <f t="shared" si="136"/>
        <v>100</v>
      </c>
      <c r="CV87" s="30">
        <f t="shared" si="153"/>
        <v>2</v>
      </c>
      <c r="CW87" s="72">
        <f t="shared" si="137"/>
        <v>19.951339541748428</v>
      </c>
    </row>
    <row r="88" spans="1:101" x14ac:dyDescent="0.6">
      <c r="A88" s="214" t="s">
        <v>1610</v>
      </c>
      <c r="B88" s="13" t="s">
        <v>2067</v>
      </c>
      <c r="C88" s="219" t="s">
        <v>1611</v>
      </c>
      <c r="D88" s="14" t="s">
        <v>203</v>
      </c>
      <c r="E88" s="217" t="s">
        <v>195</v>
      </c>
      <c r="F88" s="217" t="s">
        <v>1612</v>
      </c>
      <c r="G88" s="218">
        <v>38656</v>
      </c>
      <c r="H88" s="217" t="s">
        <v>830</v>
      </c>
      <c r="I88" s="217" t="s">
        <v>1613</v>
      </c>
      <c r="J88" s="217" t="s">
        <v>1614</v>
      </c>
      <c r="K88" s="217" t="s">
        <v>484</v>
      </c>
      <c r="L88" s="220">
        <v>970387263</v>
      </c>
      <c r="M88" s="206">
        <v>262154054</v>
      </c>
      <c r="N88" s="206">
        <v>708233209</v>
      </c>
      <c r="O88" s="206">
        <v>1283527751</v>
      </c>
      <c r="P88" s="206">
        <v>140978130</v>
      </c>
      <c r="Q88" s="206">
        <v>164027486</v>
      </c>
      <c r="R88" s="206">
        <v>128769206</v>
      </c>
      <c r="S88" s="207">
        <v>24646734</v>
      </c>
      <c r="T88" s="207">
        <v>6079741</v>
      </c>
      <c r="U88" s="207">
        <v>5265299</v>
      </c>
      <c r="V88" s="207">
        <f>443641+1272745+947247+271180+427335+222475+10875+103010+220449+428592+428592+428592+49500+37679+3480</f>
        <v>5295392</v>
      </c>
      <c r="W88" s="207">
        <v>0</v>
      </c>
      <c r="X88" s="207">
        <v>624430</v>
      </c>
      <c r="Y88" s="208" t="s">
        <v>2421</v>
      </c>
      <c r="Z88" s="207">
        <v>0</v>
      </c>
      <c r="AA88" s="207">
        <v>0</v>
      </c>
      <c r="AB88" s="176">
        <f t="shared" si="138"/>
        <v>11185121</v>
      </c>
      <c r="AC88" s="177">
        <f t="shared" si="117"/>
        <v>45.381757274614962</v>
      </c>
      <c r="AD88" s="177">
        <f t="shared" si="139"/>
        <v>60.91908175378456</v>
      </c>
      <c r="AE88" s="26">
        <f t="shared" si="142"/>
        <v>1.8275724526135368</v>
      </c>
      <c r="AF88" s="178">
        <f t="shared" si="118"/>
        <v>56.878844086384902</v>
      </c>
      <c r="AG88" s="178">
        <f t="shared" si="119"/>
        <v>60.241962713079069</v>
      </c>
      <c r="AH88" s="178">
        <f t="shared" si="140"/>
        <v>3.3631186266941668</v>
      </c>
      <c r="AI88" s="179">
        <f t="shared" si="141"/>
        <v>100</v>
      </c>
      <c r="AJ88" s="30">
        <f t="shared" si="143"/>
        <v>4</v>
      </c>
      <c r="AK88" s="204">
        <v>5</v>
      </c>
      <c r="AL88" s="204">
        <v>5</v>
      </c>
      <c r="AM88" s="204">
        <v>2</v>
      </c>
      <c r="AN88" s="181">
        <f t="shared" si="101"/>
        <v>10</v>
      </c>
      <c r="AO88" s="182">
        <f t="shared" si="102"/>
        <v>20</v>
      </c>
      <c r="AP88" s="183">
        <f t="shared" si="120"/>
        <v>60</v>
      </c>
      <c r="AQ88" s="38">
        <f t="shared" si="144"/>
        <v>1.2</v>
      </c>
      <c r="AR88" s="212">
        <v>1</v>
      </c>
      <c r="AS88" s="292">
        <f t="shared" si="103"/>
        <v>0.25</v>
      </c>
      <c r="AT88" s="185">
        <f t="shared" si="104"/>
        <v>1.25</v>
      </c>
      <c r="AU88" s="185">
        <f t="shared" si="121"/>
        <v>1</v>
      </c>
      <c r="AV88" s="186">
        <f t="shared" si="105"/>
        <v>0</v>
      </c>
      <c r="AW88" s="179">
        <f t="shared" si="122"/>
        <v>40</v>
      </c>
      <c r="AX88" s="239">
        <f t="shared" si="145"/>
        <v>0.4</v>
      </c>
      <c r="AY88" s="54">
        <v>21</v>
      </c>
      <c r="AZ88" s="54">
        <v>21</v>
      </c>
      <c r="BA88" s="189">
        <f t="shared" si="106"/>
        <v>21</v>
      </c>
      <c r="BB88" s="178">
        <f t="shared" si="123"/>
        <v>100</v>
      </c>
      <c r="BC88" s="179">
        <f t="shared" si="124"/>
        <v>100</v>
      </c>
      <c r="BD88" s="30">
        <f t="shared" si="146"/>
        <v>1</v>
      </c>
      <c r="BE88" s="190">
        <v>12437859</v>
      </c>
      <c r="BF88" s="190">
        <v>765263</v>
      </c>
      <c r="BG88" s="54">
        <v>797448</v>
      </c>
      <c r="BH88" s="191">
        <f t="shared" si="107"/>
        <v>13203122</v>
      </c>
      <c r="BI88" s="178">
        <f t="shared" si="108"/>
        <v>6.0398442126036551</v>
      </c>
      <c r="BJ88" s="294" t="str">
        <f t="shared" si="125"/>
        <v>금속/비금속/화학업</v>
      </c>
      <c r="BK88" s="192">
        <f t="shared" si="109"/>
        <v>3.9534118626990464</v>
      </c>
      <c r="BL88" s="193">
        <f t="shared" si="126"/>
        <v>2.0864323499046087</v>
      </c>
      <c r="BM88" s="241">
        <f t="shared" si="127"/>
        <v>40</v>
      </c>
      <c r="BN88" s="47">
        <f t="shared" si="128"/>
        <v>0.8</v>
      </c>
      <c r="BO88" s="54">
        <v>0</v>
      </c>
      <c r="BP88" s="194">
        <f t="shared" si="110"/>
        <v>0</v>
      </c>
      <c r="BQ88" s="179">
        <f t="shared" si="129"/>
        <v>25</v>
      </c>
      <c r="BR88" s="30">
        <f t="shared" si="147"/>
        <v>0.5</v>
      </c>
      <c r="BS88" s="195">
        <v>16527704.039999999</v>
      </c>
      <c r="BT88" s="195">
        <v>88585.273000000001</v>
      </c>
      <c r="BU88" s="196">
        <f t="shared" si="130"/>
        <v>16439118.766999999</v>
      </c>
      <c r="BV88" s="178">
        <f t="shared" si="111"/>
        <v>1.280776263247307</v>
      </c>
      <c r="BW88" s="192">
        <f t="shared" si="112"/>
        <v>5.1474158565187729</v>
      </c>
      <c r="BX88" s="192">
        <f t="shared" si="131"/>
        <v>14.950901744254526</v>
      </c>
      <c r="BY88" s="192">
        <f t="shared" si="113"/>
        <v>6.6930498535228526</v>
      </c>
      <c r="BZ88" s="192">
        <f t="shared" si="132"/>
        <v>71.826992382410026</v>
      </c>
      <c r="CA88" s="192">
        <f t="shared" si="114"/>
        <v>40</v>
      </c>
      <c r="CB88" s="55">
        <f t="shared" si="133"/>
        <v>0.8</v>
      </c>
      <c r="CC88" s="197">
        <f t="shared" si="148"/>
        <v>37.015216268967698</v>
      </c>
      <c r="CD88" s="198">
        <f t="shared" si="149"/>
        <v>86.426426029283533</v>
      </c>
      <c r="CE88" s="58">
        <f t="shared" si="150"/>
        <v>1.296396390439253</v>
      </c>
      <c r="CF88" s="245" t="s">
        <v>2326</v>
      </c>
      <c r="CG88" s="245" t="s">
        <v>2326</v>
      </c>
      <c r="CH88" s="245" t="s">
        <v>2326</v>
      </c>
      <c r="CI88" s="245" t="s">
        <v>2326</v>
      </c>
      <c r="CJ88" s="235"/>
      <c r="CK88" s="173" t="s">
        <v>2492</v>
      </c>
      <c r="CL88" s="173" t="s">
        <v>2493</v>
      </c>
      <c r="CM88" s="199">
        <f t="shared" si="134"/>
        <v>40</v>
      </c>
      <c r="CN88" s="58">
        <f t="shared" si="151"/>
        <v>0.6</v>
      </c>
      <c r="CO88" s="54">
        <v>0</v>
      </c>
      <c r="CP88" s="186">
        <f t="shared" si="115"/>
        <v>0</v>
      </c>
      <c r="CQ88" s="179">
        <f t="shared" si="135"/>
        <v>100</v>
      </c>
      <c r="CR88" s="30">
        <f t="shared" si="152"/>
        <v>3</v>
      </c>
      <c r="CS88" s="200">
        <f>_xlfn.XLOOKUP(C88, '1-1. 관계사체무보증금액 (환율 등)'!$3:$3, '1-1. 관계사체무보증금액 (환율 등)'!$33:$33)</f>
        <v>0</v>
      </c>
      <c r="CT88" s="178">
        <f t="shared" si="116"/>
        <v>0</v>
      </c>
      <c r="CU88" s="179">
        <f t="shared" si="136"/>
        <v>100</v>
      </c>
      <c r="CV88" s="30">
        <f t="shared" si="153"/>
        <v>2</v>
      </c>
      <c r="CW88" s="72">
        <f t="shared" si="137"/>
        <v>17.423968843052791</v>
      </c>
    </row>
    <row r="89" spans="1:101" x14ac:dyDescent="0.6">
      <c r="A89" s="214" t="s">
        <v>913</v>
      </c>
      <c r="B89" s="13" t="s">
        <v>2068</v>
      </c>
      <c r="C89" s="219" t="s">
        <v>486</v>
      </c>
      <c r="D89" s="216" t="s">
        <v>191</v>
      </c>
      <c r="E89" s="217" t="s">
        <v>1020</v>
      </c>
      <c r="F89" s="217" t="s">
        <v>156</v>
      </c>
      <c r="G89" s="218">
        <v>25897</v>
      </c>
      <c r="H89" s="217" t="s">
        <v>830</v>
      </c>
      <c r="I89" s="217" t="s">
        <v>204</v>
      </c>
      <c r="J89" s="217" t="s">
        <v>1238</v>
      </c>
      <c r="K89" s="217" t="s">
        <v>91</v>
      </c>
      <c r="L89" s="220">
        <v>891133540</v>
      </c>
      <c r="M89" s="206">
        <v>131474747</v>
      </c>
      <c r="N89" s="206">
        <v>759658793</v>
      </c>
      <c r="O89" s="206">
        <v>462786649</v>
      </c>
      <c r="P89" s="206">
        <v>21452774</v>
      </c>
      <c r="Q89" s="206">
        <v>31309680</v>
      </c>
      <c r="R89" s="206">
        <v>23472409</v>
      </c>
      <c r="S89" s="207">
        <v>1690000</v>
      </c>
      <c r="T89" s="207">
        <v>44776</v>
      </c>
      <c r="U89" s="207">
        <f>16771+469271+419</f>
        <v>486461</v>
      </c>
      <c r="V89" s="207">
        <f>1708+118521+39257+16496+5+5489+2483+3515+7188+8000</f>
        <v>202662</v>
      </c>
      <c r="W89" s="207">
        <f>150+75+190+8000+419+7188</f>
        <v>16022</v>
      </c>
      <c r="X89" s="207">
        <v>0</v>
      </c>
      <c r="Z89" s="207">
        <v>27468</v>
      </c>
      <c r="AA89" s="207">
        <v>0</v>
      </c>
      <c r="AB89" s="176">
        <f t="shared" si="138"/>
        <v>732613</v>
      </c>
      <c r="AC89" s="177">
        <f t="shared" si="117"/>
        <v>43.349881656804733</v>
      </c>
      <c r="AD89" s="177">
        <f t="shared" si="139"/>
        <v>62.672714335323882</v>
      </c>
      <c r="AE89" s="26">
        <f t="shared" si="142"/>
        <v>1.8801814300597164</v>
      </c>
      <c r="AF89" s="178">
        <f t="shared" si="118"/>
        <v>41.88627202131746</v>
      </c>
      <c r="AG89" s="178">
        <f t="shared" si="119"/>
        <v>44.529681064706082</v>
      </c>
      <c r="AH89" s="178">
        <f t="shared" si="140"/>
        <v>2.6434090433886226</v>
      </c>
      <c r="AI89" s="179">
        <f t="shared" si="141"/>
        <v>100</v>
      </c>
      <c r="AJ89" s="30">
        <f t="shared" si="143"/>
        <v>4</v>
      </c>
      <c r="AK89" s="204">
        <v>6</v>
      </c>
      <c r="AL89" s="204">
        <v>10</v>
      </c>
      <c r="AM89" s="204">
        <v>2</v>
      </c>
      <c r="AN89" s="181">
        <f t="shared" si="101"/>
        <v>16</v>
      </c>
      <c r="AO89" s="182">
        <f t="shared" si="102"/>
        <v>12.5</v>
      </c>
      <c r="AP89" s="183">
        <f t="shared" si="120"/>
        <v>80</v>
      </c>
      <c r="AQ89" s="38">
        <f t="shared" si="144"/>
        <v>1.6</v>
      </c>
      <c r="AR89" s="212">
        <v>1</v>
      </c>
      <c r="AS89" s="292">
        <f t="shared" si="103"/>
        <v>0.25</v>
      </c>
      <c r="AT89" s="185">
        <f t="shared" si="104"/>
        <v>1.5</v>
      </c>
      <c r="AU89" s="185">
        <f t="shared" si="121"/>
        <v>1</v>
      </c>
      <c r="AV89" s="186">
        <f t="shared" si="105"/>
        <v>0</v>
      </c>
      <c r="AW89" s="179">
        <f t="shared" si="122"/>
        <v>40</v>
      </c>
      <c r="AX89" s="239">
        <f t="shared" si="145"/>
        <v>0.4</v>
      </c>
      <c r="AY89" s="54">
        <v>27</v>
      </c>
      <c r="AZ89" s="54">
        <v>27</v>
      </c>
      <c r="BA89" s="189">
        <f t="shared" si="106"/>
        <v>27</v>
      </c>
      <c r="BB89" s="178">
        <f t="shared" si="123"/>
        <v>100</v>
      </c>
      <c r="BC89" s="179">
        <f t="shared" si="124"/>
        <v>100</v>
      </c>
      <c r="BD89" s="30">
        <f t="shared" si="146"/>
        <v>1</v>
      </c>
      <c r="BE89" s="190">
        <v>11733518</v>
      </c>
      <c r="BF89" s="190">
        <v>1635128</v>
      </c>
      <c r="BG89" s="54">
        <v>842909</v>
      </c>
      <c r="BH89" s="191">
        <f t="shared" si="107"/>
        <v>13368646</v>
      </c>
      <c r="BI89" s="178">
        <f t="shared" si="108"/>
        <v>6.3051187083568525</v>
      </c>
      <c r="BJ89" s="294" t="str">
        <f t="shared" si="125"/>
        <v>식약/섬유/종이업</v>
      </c>
      <c r="BK89" s="192">
        <f t="shared" si="109"/>
        <v>2.1999360555264444</v>
      </c>
      <c r="BL89" s="193">
        <f t="shared" si="126"/>
        <v>4.1051826528304076</v>
      </c>
      <c r="BM89" s="241">
        <f t="shared" si="127"/>
        <v>40</v>
      </c>
      <c r="BN89" s="47">
        <f t="shared" si="128"/>
        <v>0.8</v>
      </c>
      <c r="BO89" s="54">
        <v>808719</v>
      </c>
      <c r="BP89" s="194">
        <f t="shared" si="110"/>
        <v>0.17474985541339591</v>
      </c>
      <c r="BQ89" s="179">
        <f t="shared" si="129"/>
        <v>55</v>
      </c>
      <c r="BR89" s="30">
        <f t="shared" si="147"/>
        <v>1.1000000000000001</v>
      </c>
      <c r="BS89" s="195">
        <v>811622.84</v>
      </c>
      <c r="BT89" s="195">
        <v>37237.5</v>
      </c>
      <c r="BU89" s="196">
        <f t="shared" si="130"/>
        <v>774385.34</v>
      </c>
      <c r="BV89" s="178">
        <f t="shared" si="111"/>
        <v>0.16733095945470974</v>
      </c>
      <c r="BW89" s="192">
        <f t="shared" si="112"/>
        <v>5.0508176117342281</v>
      </c>
      <c r="BX89" s="192">
        <f t="shared" si="131"/>
        <v>23.848441882992212</v>
      </c>
      <c r="BY89" s="192">
        <f t="shared" si="113"/>
        <v>6.9871618081220941</v>
      </c>
      <c r="BZ89" s="192">
        <f t="shared" si="132"/>
        <v>75.769985914872095</v>
      </c>
      <c r="CA89" s="192">
        <f t="shared" si="114"/>
        <v>40</v>
      </c>
      <c r="CB89" s="55">
        <f t="shared" si="133"/>
        <v>0.8</v>
      </c>
      <c r="CC89" s="197">
        <f t="shared" si="148"/>
        <v>17.307078942743178</v>
      </c>
      <c r="CD89" s="198">
        <f t="shared" si="149"/>
        <v>93.854115976353071</v>
      </c>
      <c r="CE89" s="58">
        <f t="shared" si="150"/>
        <v>1.407811739645296</v>
      </c>
      <c r="CF89" s="245" t="s">
        <v>2326</v>
      </c>
      <c r="CG89" s="245" t="s">
        <v>2326</v>
      </c>
      <c r="CH89" s="245" t="s">
        <v>2326</v>
      </c>
      <c r="CI89" s="245" t="s">
        <v>2326</v>
      </c>
      <c r="CJ89" s="235"/>
      <c r="CK89" s="173" t="s">
        <v>2479</v>
      </c>
      <c r="CL89" s="173" t="s">
        <v>2478</v>
      </c>
      <c r="CM89" s="199">
        <f t="shared" si="134"/>
        <v>25</v>
      </c>
      <c r="CN89" s="58">
        <f t="shared" si="151"/>
        <v>0.375</v>
      </c>
      <c r="CO89" s="54">
        <v>353432000</v>
      </c>
      <c r="CP89" s="186">
        <f t="shared" si="115"/>
        <v>46.525098275272647</v>
      </c>
      <c r="CQ89" s="179">
        <f t="shared" si="135"/>
        <v>40</v>
      </c>
      <c r="CR89" s="30">
        <f t="shared" si="152"/>
        <v>1.2</v>
      </c>
      <c r="CS89" s="200">
        <f>_xlfn.XLOOKUP(C89, '1-1. 관계사체무보증금액 (환율 등)'!$3:$3, '1-1. 관계사체무보증금액 (환율 등)'!$33:$33)</f>
        <v>0</v>
      </c>
      <c r="CT89" s="178">
        <f t="shared" si="116"/>
        <v>0</v>
      </c>
      <c r="CU89" s="179">
        <f t="shared" si="136"/>
        <v>100</v>
      </c>
      <c r="CV89" s="30">
        <f t="shared" si="153"/>
        <v>2</v>
      </c>
      <c r="CW89" s="72">
        <f t="shared" si="137"/>
        <v>16.562993169705013</v>
      </c>
    </row>
    <row r="90" spans="1:101" x14ac:dyDescent="0.6">
      <c r="A90" s="214" t="s">
        <v>1615</v>
      </c>
      <c r="B90" s="13" t="s">
        <v>2069</v>
      </c>
      <c r="C90" s="219" t="s">
        <v>1616</v>
      </c>
      <c r="D90" s="14" t="s">
        <v>191</v>
      </c>
      <c r="E90" s="217" t="s">
        <v>240</v>
      </c>
      <c r="F90" s="217" t="s">
        <v>1617</v>
      </c>
      <c r="G90" s="218">
        <v>31404</v>
      </c>
      <c r="H90" s="217" t="s">
        <v>830</v>
      </c>
      <c r="I90" s="217" t="s">
        <v>1618</v>
      </c>
      <c r="J90" s="217" t="s">
        <v>1619</v>
      </c>
      <c r="K90" s="217" t="s">
        <v>91</v>
      </c>
      <c r="L90" s="220">
        <v>836764532</v>
      </c>
      <c r="M90" s="206">
        <v>122779865</v>
      </c>
      <c r="N90" s="206">
        <v>713984667</v>
      </c>
      <c r="O90" s="206">
        <v>150864212</v>
      </c>
      <c r="P90" s="206">
        <v>6382962</v>
      </c>
      <c r="Q90" s="206">
        <v>23763677</v>
      </c>
      <c r="R90" s="206">
        <v>33439084</v>
      </c>
      <c r="S90" s="207">
        <v>1328000</v>
      </c>
      <c r="T90" s="207">
        <v>204695</v>
      </c>
      <c r="U90" s="207">
        <v>266183</v>
      </c>
      <c r="V90" s="207">
        <v>41799</v>
      </c>
      <c r="W90" s="207">
        <v>0</v>
      </c>
      <c r="X90" s="207">
        <v>66399</v>
      </c>
      <c r="Y90" s="208" t="s">
        <v>2422</v>
      </c>
      <c r="Z90" s="207">
        <v>445212</v>
      </c>
      <c r="AA90" s="207">
        <v>0</v>
      </c>
      <c r="AB90" s="176">
        <f t="shared" si="138"/>
        <v>819593</v>
      </c>
      <c r="AC90" s="177">
        <f t="shared" si="117"/>
        <v>61.716340361445788</v>
      </c>
      <c r="AD90" s="177">
        <f t="shared" si="139"/>
        <v>46.821340309454158</v>
      </c>
      <c r="AE90" s="26">
        <f t="shared" si="142"/>
        <v>1.4046402092836248</v>
      </c>
      <c r="AF90" s="178">
        <f t="shared" si="118"/>
        <v>27.417486791209868</v>
      </c>
      <c r="AG90" s="178">
        <f t="shared" si="119"/>
        <v>72.962641490957495</v>
      </c>
      <c r="AH90" s="178">
        <f t="shared" si="140"/>
        <v>45.545154699747627</v>
      </c>
      <c r="AI90" s="179">
        <f t="shared" si="141"/>
        <v>60</v>
      </c>
      <c r="AJ90" s="30">
        <f t="shared" si="143"/>
        <v>2.4</v>
      </c>
      <c r="AK90" s="204">
        <v>5</v>
      </c>
      <c r="AL90" s="204">
        <v>3</v>
      </c>
      <c r="AM90" s="204">
        <v>0</v>
      </c>
      <c r="AN90" s="181">
        <f t="shared" si="101"/>
        <v>8</v>
      </c>
      <c r="AO90" s="182">
        <f t="shared" si="102"/>
        <v>0</v>
      </c>
      <c r="AP90" s="183">
        <f t="shared" si="120"/>
        <v>100</v>
      </c>
      <c r="AQ90" s="38">
        <f t="shared" si="144"/>
        <v>2</v>
      </c>
      <c r="AR90" s="212">
        <v>3</v>
      </c>
      <c r="AS90" s="292">
        <f t="shared" si="103"/>
        <v>0.25</v>
      </c>
      <c r="AT90" s="185">
        <f t="shared" si="104"/>
        <v>1.25</v>
      </c>
      <c r="AU90" s="185">
        <f t="shared" si="121"/>
        <v>1</v>
      </c>
      <c r="AV90" s="186">
        <f t="shared" si="105"/>
        <v>40</v>
      </c>
      <c r="AW90" s="179">
        <f t="shared" si="122"/>
        <v>100</v>
      </c>
      <c r="AX90" s="239">
        <f t="shared" si="145"/>
        <v>1</v>
      </c>
      <c r="AY90" s="54">
        <v>10</v>
      </c>
      <c r="AZ90" s="54">
        <v>29</v>
      </c>
      <c r="BA90" s="189">
        <f t="shared" si="106"/>
        <v>30</v>
      </c>
      <c r="BB90" s="178">
        <f t="shared" si="123"/>
        <v>96.666666666666671</v>
      </c>
      <c r="BC90" s="179">
        <f t="shared" si="124"/>
        <v>100</v>
      </c>
      <c r="BD90" s="30">
        <f t="shared" si="146"/>
        <v>1</v>
      </c>
      <c r="BE90" s="190">
        <v>1444870</v>
      </c>
      <c r="BF90" s="190">
        <v>168821</v>
      </c>
      <c r="BG90" s="54">
        <v>79374</v>
      </c>
      <c r="BH90" s="191">
        <f t="shared" si="107"/>
        <v>1613691</v>
      </c>
      <c r="BI90" s="178">
        <f t="shared" si="108"/>
        <v>4.9187855667534865</v>
      </c>
      <c r="BJ90" s="294" t="str">
        <f t="shared" si="125"/>
        <v>식약/섬유/종이업</v>
      </c>
      <c r="BK90" s="192">
        <f t="shared" si="109"/>
        <v>2.1999360555264444</v>
      </c>
      <c r="BL90" s="193">
        <f t="shared" si="126"/>
        <v>2.7188495112270421</v>
      </c>
      <c r="BM90" s="241">
        <f t="shared" si="127"/>
        <v>40</v>
      </c>
      <c r="BN90" s="47">
        <f t="shared" si="128"/>
        <v>0.8</v>
      </c>
      <c r="BO90" s="54">
        <v>0</v>
      </c>
      <c r="BP90" s="194">
        <f t="shared" si="110"/>
        <v>0</v>
      </c>
      <c r="BQ90" s="179">
        <f t="shared" si="129"/>
        <v>25</v>
      </c>
      <c r="BR90" s="30">
        <f t="shared" si="147"/>
        <v>0.5</v>
      </c>
      <c r="BS90" s="195">
        <v>5196667.7439999999</v>
      </c>
      <c r="BT90" s="195">
        <v>38270.135999999999</v>
      </c>
      <c r="BU90" s="196">
        <f t="shared" si="130"/>
        <v>5158397.608</v>
      </c>
      <c r="BV90" s="178">
        <f t="shared" si="111"/>
        <v>3.4192321290883751</v>
      </c>
      <c r="BW90" s="192">
        <f t="shared" si="112"/>
        <v>5.0508176117342281</v>
      </c>
      <c r="BX90" s="192">
        <f t="shared" si="131"/>
        <v>2.6620711871807008</v>
      </c>
      <c r="BY90" s="192">
        <f t="shared" si="113"/>
        <v>6.9871618081220941</v>
      </c>
      <c r="BZ90" s="192">
        <f t="shared" si="132"/>
        <v>59.23180379153257</v>
      </c>
      <c r="CA90" s="192">
        <f t="shared" si="114"/>
        <v>55</v>
      </c>
      <c r="CB90" s="55">
        <f t="shared" si="133"/>
        <v>1.1000000000000001</v>
      </c>
      <c r="CC90" s="197">
        <f t="shared" si="148"/>
        <v>17.196428813505598</v>
      </c>
      <c r="CD90" s="198">
        <f t="shared" si="149"/>
        <v>93.895818286367231</v>
      </c>
      <c r="CE90" s="58">
        <f t="shared" si="150"/>
        <v>1.4084372742955085</v>
      </c>
      <c r="CF90" s="245" t="s">
        <v>2326</v>
      </c>
      <c r="CG90" s="245" t="s">
        <v>2326</v>
      </c>
      <c r="CH90" s="245" t="s">
        <v>2326</v>
      </c>
      <c r="CI90" s="245" t="s">
        <v>2326</v>
      </c>
      <c r="CJ90" s="235"/>
      <c r="CK90" s="173" t="s">
        <v>2479</v>
      </c>
      <c r="CL90" s="173" t="s">
        <v>2478</v>
      </c>
      <c r="CM90" s="199">
        <f t="shared" si="134"/>
        <v>25</v>
      </c>
      <c r="CN90" s="58">
        <f t="shared" si="151"/>
        <v>0.375</v>
      </c>
      <c r="CO90" s="54">
        <f>181522000+50355000+50315000+143811000+8849000</f>
        <v>434852000</v>
      </c>
      <c r="CP90" s="186">
        <f t="shared" si="115"/>
        <v>60.904949377575356</v>
      </c>
      <c r="CQ90" s="179">
        <f t="shared" si="135"/>
        <v>40</v>
      </c>
      <c r="CR90" s="30">
        <f t="shared" si="152"/>
        <v>1.2</v>
      </c>
      <c r="CS90" s="200">
        <f>_xlfn.XLOOKUP(C90, '1-1. 관계사체무보증금액 (환율 등)'!$3:$3, '1-1. 관계사체무보증금액 (환율 등)'!$33:$33)</f>
        <v>0</v>
      </c>
      <c r="CT90" s="178">
        <f t="shared" si="116"/>
        <v>0</v>
      </c>
      <c r="CU90" s="179">
        <f t="shared" si="136"/>
        <v>100</v>
      </c>
      <c r="CV90" s="30">
        <f t="shared" si="153"/>
        <v>2</v>
      </c>
      <c r="CW90" s="72">
        <f t="shared" si="137"/>
        <v>15.188077483579132</v>
      </c>
    </row>
    <row r="91" spans="1:101" x14ac:dyDescent="0.6">
      <c r="A91" s="214" t="s">
        <v>721</v>
      </c>
      <c r="B91" s="13" t="s">
        <v>2070</v>
      </c>
      <c r="C91" s="219" t="s">
        <v>875</v>
      </c>
      <c r="D91" s="216" t="s">
        <v>191</v>
      </c>
      <c r="E91" s="217" t="s">
        <v>190</v>
      </c>
      <c r="F91" s="217" t="s">
        <v>1241</v>
      </c>
      <c r="G91" s="218">
        <v>33136</v>
      </c>
      <c r="H91" s="217" t="s">
        <v>830</v>
      </c>
      <c r="I91" s="217" t="s">
        <v>736</v>
      </c>
      <c r="J91" s="217" t="s">
        <v>1150</v>
      </c>
      <c r="K91" s="217" t="s">
        <v>91</v>
      </c>
      <c r="L91" s="220">
        <v>297649820</v>
      </c>
      <c r="M91" s="206">
        <v>54998742</v>
      </c>
      <c r="N91" s="206">
        <v>242651079</v>
      </c>
      <c r="O91" s="206">
        <v>319305280</v>
      </c>
      <c r="P91" s="206">
        <v>30195182</v>
      </c>
      <c r="Q91" s="206">
        <v>31995216</v>
      </c>
      <c r="R91" s="206">
        <v>25431135</v>
      </c>
      <c r="S91" s="207">
        <v>44282310</v>
      </c>
      <c r="T91" s="207">
        <v>0</v>
      </c>
      <c r="U91" s="207">
        <v>8895600</v>
      </c>
      <c r="V91" s="207">
        <f>2267250+7952600+182000</f>
        <v>10401850</v>
      </c>
      <c r="W91" s="207">
        <v>1500</v>
      </c>
      <c r="X91" s="207">
        <v>0</v>
      </c>
      <c r="Z91" s="207">
        <v>0</v>
      </c>
      <c r="AA91" s="207">
        <v>0</v>
      </c>
      <c r="AB91" s="176">
        <f t="shared" si="138"/>
        <v>19298950</v>
      </c>
      <c r="AC91" s="177">
        <f t="shared" si="117"/>
        <v>43.581624355188339</v>
      </c>
      <c r="AD91" s="177">
        <f t="shared" si="139"/>
        <v>62.472706252714325</v>
      </c>
      <c r="AE91" s="26">
        <f t="shared" si="142"/>
        <v>1.8741811875814296</v>
      </c>
      <c r="AF91" s="178">
        <f t="shared" si="118"/>
        <v>43.578236998024714</v>
      </c>
      <c r="AG91" s="178">
        <f t="shared" si="119"/>
        <v>43.581624355188339</v>
      </c>
      <c r="AH91" s="178">
        <f t="shared" si="140"/>
        <v>3.3873571636249267E-3</v>
      </c>
      <c r="AI91" s="179">
        <f t="shared" si="141"/>
        <v>100</v>
      </c>
      <c r="AJ91" s="30">
        <f t="shared" si="143"/>
        <v>4</v>
      </c>
      <c r="AK91" s="204">
        <v>7</v>
      </c>
      <c r="AL91" s="204">
        <v>3</v>
      </c>
      <c r="AM91" s="204">
        <v>2</v>
      </c>
      <c r="AN91" s="181">
        <f t="shared" si="101"/>
        <v>10</v>
      </c>
      <c r="AO91" s="182">
        <f t="shared" si="102"/>
        <v>20</v>
      </c>
      <c r="AP91" s="183">
        <f t="shared" si="120"/>
        <v>60</v>
      </c>
      <c r="AQ91" s="38">
        <f t="shared" si="144"/>
        <v>1.2</v>
      </c>
      <c r="AR91" s="212">
        <v>3</v>
      </c>
      <c r="AS91" s="292">
        <f t="shared" si="103"/>
        <v>0.25</v>
      </c>
      <c r="AT91" s="185">
        <f t="shared" si="104"/>
        <v>1.75</v>
      </c>
      <c r="AU91" s="185">
        <f t="shared" si="121"/>
        <v>1</v>
      </c>
      <c r="AV91" s="186">
        <f t="shared" si="105"/>
        <v>28.571428571428569</v>
      </c>
      <c r="AW91" s="179">
        <f t="shared" si="122"/>
        <v>80</v>
      </c>
      <c r="AX91" s="239">
        <f t="shared" si="145"/>
        <v>0.8</v>
      </c>
      <c r="AY91" s="54">
        <v>6</v>
      </c>
      <c r="AZ91" s="54">
        <v>18</v>
      </c>
      <c r="BA91" s="189">
        <f t="shared" si="106"/>
        <v>18</v>
      </c>
      <c r="BB91" s="178">
        <f t="shared" si="123"/>
        <v>100</v>
      </c>
      <c r="BC91" s="179">
        <f t="shared" si="124"/>
        <v>100</v>
      </c>
      <c r="BD91" s="30">
        <f t="shared" si="146"/>
        <v>1</v>
      </c>
      <c r="BE91" s="190">
        <f>9862482+3719784</f>
        <v>13582266</v>
      </c>
      <c r="BF91" s="190">
        <f>919700+308852</f>
        <v>1228552</v>
      </c>
      <c r="BG91" s="301">
        <v>0</v>
      </c>
      <c r="BH91" s="191">
        <f t="shared" si="107"/>
        <v>14810818</v>
      </c>
      <c r="BI91" s="178">
        <f t="shared" si="108"/>
        <v>0</v>
      </c>
      <c r="BJ91" s="294" t="str">
        <f t="shared" si="125"/>
        <v>식약/섬유/종이업</v>
      </c>
      <c r="BK91" s="192">
        <f t="shared" si="109"/>
        <v>2.1999360555264444</v>
      </c>
      <c r="BL91" s="193">
        <f t="shared" si="126"/>
        <v>-2.1999360555264444</v>
      </c>
      <c r="BM91" s="241">
        <f t="shared" si="127"/>
        <v>100</v>
      </c>
      <c r="BN91" s="47">
        <f t="shared" si="128"/>
        <v>2</v>
      </c>
      <c r="BO91" s="54">
        <v>0</v>
      </c>
      <c r="BP91" s="194">
        <f t="shared" si="110"/>
        <v>0</v>
      </c>
      <c r="BQ91" s="179">
        <f t="shared" si="129"/>
        <v>25</v>
      </c>
      <c r="BR91" s="30">
        <f t="shared" si="147"/>
        <v>0.5</v>
      </c>
      <c r="BS91" s="195">
        <v>3498119.3760000002</v>
      </c>
      <c r="BT91" s="195">
        <v>0</v>
      </c>
      <c r="BU91" s="196">
        <f t="shared" si="130"/>
        <v>3498119.3760000002</v>
      </c>
      <c r="BV91" s="178">
        <f t="shared" si="111"/>
        <v>1.0955407239116122</v>
      </c>
      <c r="BW91" s="192">
        <f t="shared" si="112"/>
        <v>5.0508176117342281</v>
      </c>
      <c r="BX91" s="192">
        <f t="shared" si="131"/>
        <v>15.644215259343758</v>
      </c>
      <c r="BY91" s="192">
        <f t="shared" si="113"/>
        <v>6.9871618081220941</v>
      </c>
      <c r="BZ91" s="192">
        <f t="shared" si="132"/>
        <v>71.432953860755902</v>
      </c>
      <c r="CA91" s="192">
        <f t="shared" si="114"/>
        <v>40</v>
      </c>
      <c r="CB91" s="55">
        <f t="shared" si="133"/>
        <v>0.8</v>
      </c>
      <c r="CC91" s="197">
        <f t="shared" si="148"/>
        <v>22.665772691659864</v>
      </c>
      <c r="CD91" s="198">
        <f t="shared" si="149"/>
        <v>91.834507779525183</v>
      </c>
      <c r="CE91" s="58">
        <f t="shared" si="150"/>
        <v>1.3775176166928778</v>
      </c>
      <c r="CF91" s="245" t="s">
        <v>2326</v>
      </c>
      <c r="CG91" s="245" t="s">
        <v>2326</v>
      </c>
      <c r="CH91" s="245" t="s">
        <v>2326</v>
      </c>
      <c r="CI91" s="245" t="s">
        <v>2326</v>
      </c>
      <c r="CJ91" s="235"/>
      <c r="CK91" s="173" t="s">
        <v>2479</v>
      </c>
      <c r="CL91" s="173" t="s">
        <v>2478</v>
      </c>
      <c r="CM91" s="199">
        <f t="shared" si="134"/>
        <v>25</v>
      </c>
      <c r="CN91" s="58">
        <f t="shared" si="151"/>
        <v>0.375</v>
      </c>
      <c r="CO91" s="54">
        <v>0</v>
      </c>
      <c r="CP91" s="186">
        <f t="shared" si="115"/>
        <v>0</v>
      </c>
      <c r="CQ91" s="179">
        <f t="shared" si="135"/>
        <v>100</v>
      </c>
      <c r="CR91" s="30">
        <f t="shared" si="152"/>
        <v>3</v>
      </c>
      <c r="CS91" s="200">
        <f>_xlfn.XLOOKUP(C91, '1-1. 관계사체무보증금액 (환율 등)'!$3:$3, '1-1. 관계사체무보증금액 (환율 등)'!$33:$33)</f>
        <v>0</v>
      </c>
      <c r="CT91" s="178">
        <f t="shared" si="116"/>
        <v>0</v>
      </c>
      <c r="CU91" s="179">
        <f t="shared" si="136"/>
        <v>100</v>
      </c>
      <c r="CV91" s="30">
        <f t="shared" si="153"/>
        <v>2</v>
      </c>
      <c r="CW91" s="72">
        <f t="shared" si="137"/>
        <v>18.926698804274309</v>
      </c>
    </row>
    <row r="92" spans="1:101" x14ac:dyDescent="0.6">
      <c r="A92" s="214" t="s">
        <v>408</v>
      </c>
      <c r="B92" s="13" t="s">
        <v>2071</v>
      </c>
      <c r="C92" s="219" t="s">
        <v>874</v>
      </c>
      <c r="D92" s="216" t="s">
        <v>285</v>
      </c>
      <c r="E92" s="217" t="s">
        <v>1034</v>
      </c>
      <c r="F92" s="217" t="s">
        <v>987</v>
      </c>
      <c r="G92" s="218">
        <v>32444</v>
      </c>
      <c r="H92" s="217" t="s">
        <v>830</v>
      </c>
      <c r="I92" s="217" t="s">
        <v>752</v>
      </c>
      <c r="J92" s="217" t="s">
        <v>1059</v>
      </c>
      <c r="K92" s="217" t="s">
        <v>1620</v>
      </c>
      <c r="L92" s="220">
        <v>823154130</v>
      </c>
      <c r="M92" s="206">
        <v>397729314</v>
      </c>
      <c r="N92" s="206">
        <v>425424816</v>
      </c>
      <c r="O92" s="206">
        <v>297680162</v>
      </c>
      <c r="P92" s="206">
        <v>45164807</v>
      </c>
      <c r="Q92" s="206">
        <v>31718775</v>
      </c>
      <c r="R92" s="206">
        <v>23212712</v>
      </c>
      <c r="S92" s="207">
        <v>30382784</v>
      </c>
      <c r="T92" s="207">
        <v>2203468</v>
      </c>
      <c r="U92" s="207">
        <f>8951145+550000</f>
        <v>9501145</v>
      </c>
      <c r="V92" s="207">
        <v>0</v>
      </c>
      <c r="W92" s="207">
        <f>44300+44000+24500+10005+10000*2+8500+5270+2066+2000*2+402</f>
        <v>163043</v>
      </c>
      <c r="X92" s="207">
        <v>0</v>
      </c>
      <c r="Z92" s="207">
        <v>0</v>
      </c>
      <c r="AA92" s="207">
        <v>0</v>
      </c>
      <c r="AB92" s="176">
        <f t="shared" si="138"/>
        <v>9664188</v>
      </c>
      <c r="AC92" s="177">
        <f t="shared" si="117"/>
        <v>31.808105537662378</v>
      </c>
      <c r="AD92" s="177">
        <f t="shared" si="139"/>
        <v>72.633971054951928</v>
      </c>
      <c r="AE92" s="26">
        <f t="shared" si="142"/>
        <v>2.1790191316485577</v>
      </c>
      <c r="AF92" s="178">
        <f t="shared" si="118"/>
        <v>33.716733933499313</v>
      </c>
      <c r="AG92" s="178">
        <f t="shared" si="119"/>
        <v>34.295324982338109</v>
      </c>
      <c r="AH92" s="178">
        <f t="shared" si="140"/>
        <v>0.57859104883879553</v>
      </c>
      <c r="AI92" s="179">
        <f t="shared" si="141"/>
        <v>100</v>
      </c>
      <c r="AJ92" s="30">
        <f t="shared" si="143"/>
        <v>4</v>
      </c>
      <c r="AK92" s="204">
        <v>7</v>
      </c>
      <c r="AL92" s="204">
        <v>37</v>
      </c>
      <c r="AM92" s="204">
        <v>1</v>
      </c>
      <c r="AN92" s="181">
        <f t="shared" si="101"/>
        <v>44</v>
      </c>
      <c r="AO92" s="182">
        <f t="shared" si="102"/>
        <v>2.2727272727272729</v>
      </c>
      <c r="AP92" s="183">
        <f t="shared" si="120"/>
        <v>100</v>
      </c>
      <c r="AQ92" s="38">
        <f t="shared" si="144"/>
        <v>2</v>
      </c>
      <c r="AR92" s="212">
        <v>2</v>
      </c>
      <c r="AS92" s="292">
        <f t="shared" si="103"/>
        <v>0.25</v>
      </c>
      <c r="AT92" s="185">
        <f t="shared" si="104"/>
        <v>1.75</v>
      </c>
      <c r="AU92" s="185">
        <f t="shared" si="121"/>
        <v>1</v>
      </c>
      <c r="AV92" s="186">
        <f t="shared" si="105"/>
        <v>14.285714285714285</v>
      </c>
      <c r="AW92" s="179">
        <f t="shared" si="122"/>
        <v>60</v>
      </c>
      <c r="AX92" s="239">
        <f t="shared" si="145"/>
        <v>0.6</v>
      </c>
      <c r="AY92" s="54">
        <v>17</v>
      </c>
      <c r="AZ92" s="54">
        <f>17*2-7</f>
        <v>27</v>
      </c>
      <c r="BA92" s="189">
        <f t="shared" si="106"/>
        <v>34</v>
      </c>
      <c r="BB92" s="178">
        <f t="shared" si="123"/>
        <v>79.411764705882348</v>
      </c>
      <c r="BC92" s="179">
        <f t="shared" si="124"/>
        <v>50</v>
      </c>
      <c r="BD92" s="30">
        <f t="shared" si="146"/>
        <v>0.5</v>
      </c>
      <c r="BE92" s="190">
        <v>28423184</v>
      </c>
      <c r="BF92" s="190">
        <v>2908372</v>
      </c>
      <c r="BG92" s="54">
        <v>1412666</v>
      </c>
      <c r="BH92" s="191">
        <f t="shared" si="107"/>
        <v>31331556</v>
      </c>
      <c r="BI92" s="178">
        <f t="shared" si="108"/>
        <v>4.5087642630962854</v>
      </c>
      <c r="BJ92" s="294" t="str">
        <f t="shared" si="125"/>
        <v>비제조/서비스업</v>
      </c>
      <c r="BK92" s="192">
        <f t="shared" si="109"/>
        <v>1.7464434573900924</v>
      </c>
      <c r="BL92" s="193">
        <f t="shared" si="126"/>
        <v>2.7623208057061932</v>
      </c>
      <c r="BM92" s="241">
        <f t="shared" si="127"/>
        <v>40</v>
      </c>
      <c r="BN92" s="47">
        <f t="shared" si="128"/>
        <v>0.8</v>
      </c>
      <c r="BO92" s="54">
        <v>14098561.336999999</v>
      </c>
      <c r="BP92" s="194">
        <f t="shared" si="110"/>
        <v>4.7361440689487395</v>
      </c>
      <c r="BQ92" s="179">
        <f t="shared" si="129"/>
        <v>100</v>
      </c>
      <c r="BR92" s="30">
        <f t="shared" si="147"/>
        <v>2</v>
      </c>
      <c r="BS92" s="195">
        <v>16718785.745999999</v>
      </c>
      <c r="BT92" s="195">
        <v>90675.001000000004</v>
      </c>
      <c r="BU92" s="196">
        <f t="shared" si="130"/>
        <v>16628110.744999999</v>
      </c>
      <c r="BV92" s="178">
        <f t="shared" si="111"/>
        <v>5.5858981778570787</v>
      </c>
      <c r="BW92" s="192">
        <f t="shared" si="112"/>
        <v>2.8482825397737606</v>
      </c>
      <c r="BX92" s="192">
        <f t="shared" si="131"/>
        <v>7.494539381878333</v>
      </c>
      <c r="BY92" s="192">
        <f t="shared" si="113"/>
        <v>5.5697595856656799</v>
      </c>
      <c r="BZ92" s="192">
        <f t="shared" si="132"/>
        <v>31.153142396643517</v>
      </c>
      <c r="CA92" s="192">
        <f t="shared" si="114"/>
        <v>70</v>
      </c>
      <c r="CB92" s="55">
        <f t="shared" si="133"/>
        <v>1.4000000000000001</v>
      </c>
      <c r="CC92" s="197">
        <f t="shared" si="148"/>
        <v>93.489918557078255</v>
      </c>
      <c r="CD92" s="198">
        <f t="shared" si="149"/>
        <v>65.141990493563469</v>
      </c>
      <c r="CE92" s="58">
        <f t="shared" si="150"/>
        <v>0.97712985740345204</v>
      </c>
      <c r="CF92" s="245" t="s">
        <v>2326</v>
      </c>
      <c r="CG92" s="245" t="s">
        <v>2326</v>
      </c>
      <c r="CH92" s="245" t="s">
        <v>2326</v>
      </c>
      <c r="CI92" s="245" t="s">
        <v>2326</v>
      </c>
      <c r="CJ92" s="235"/>
      <c r="CK92" s="173" t="s">
        <v>2486</v>
      </c>
      <c r="CL92" s="173" t="s">
        <v>2487</v>
      </c>
      <c r="CM92" s="199">
        <f t="shared" si="134"/>
        <v>70</v>
      </c>
      <c r="CN92" s="58">
        <f t="shared" si="151"/>
        <v>1.05</v>
      </c>
      <c r="CO92" s="54">
        <v>12188558</v>
      </c>
      <c r="CP92" s="186">
        <f t="shared" si="115"/>
        <v>2.8650322081822326</v>
      </c>
      <c r="CQ92" s="179">
        <f t="shared" si="135"/>
        <v>100</v>
      </c>
      <c r="CR92" s="30">
        <f t="shared" si="152"/>
        <v>3</v>
      </c>
      <c r="CS92" s="200">
        <f>_xlfn.XLOOKUP(C92, '1-1. 관계사체무보증금액 (환율 등)'!$3:$3, '1-1. 관계사체무보증금액 (환율 등)'!$33:$33)</f>
        <v>0</v>
      </c>
      <c r="CT92" s="178">
        <f t="shared" si="116"/>
        <v>0</v>
      </c>
      <c r="CU92" s="179">
        <f t="shared" si="136"/>
        <v>100</v>
      </c>
      <c r="CV92" s="30">
        <f t="shared" si="153"/>
        <v>2</v>
      </c>
      <c r="CW92" s="72">
        <f t="shared" si="137"/>
        <v>20.506148989052011</v>
      </c>
    </row>
    <row r="93" spans="1:101" x14ac:dyDescent="0.6">
      <c r="A93" s="214" t="s">
        <v>1621</v>
      </c>
      <c r="B93" s="13" t="s">
        <v>2072</v>
      </c>
      <c r="C93" s="219" t="s">
        <v>1622</v>
      </c>
      <c r="D93" s="14" t="s">
        <v>203</v>
      </c>
      <c r="E93" s="217" t="s">
        <v>246</v>
      </c>
      <c r="F93" s="217" t="s">
        <v>1623</v>
      </c>
      <c r="G93" s="218">
        <v>32045</v>
      </c>
      <c r="H93" s="217" t="s">
        <v>830</v>
      </c>
      <c r="I93" s="217" t="s">
        <v>1624</v>
      </c>
      <c r="J93" s="217" t="s">
        <v>1625</v>
      </c>
      <c r="K93" s="217" t="s">
        <v>690</v>
      </c>
      <c r="L93" s="220">
        <v>120573135</v>
      </c>
      <c r="M93" s="206">
        <v>37891105</v>
      </c>
      <c r="N93" s="206">
        <v>82682030</v>
      </c>
      <c r="O93" s="206">
        <v>116399706</v>
      </c>
      <c r="P93" s="206">
        <v>4903685</v>
      </c>
      <c r="Q93" s="206">
        <v>6345779</v>
      </c>
      <c r="R93" s="206">
        <v>5059159</v>
      </c>
      <c r="S93" s="207">
        <v>15680000</v>
      </c>
      <c r="T93" s="207">
        <v>1451788</v>
      </c>
      <c r="U93" s="207">
        <v>2044353</v>
      </c>
      <c r="V93" s="207">
        <f>680471+361470</f>
        <v>1041941</v>
      </c>
      <c r="W93" s="207">
        <v>0</v>
      </c>
      <c r="X93" s="207">
        <v>0</v>
      </c>
      <c r="Z93" s="207">
        <v>30930</v>
      </c>
      <c r="AA93" s="207">
        <v>30930</v>
      </c>
      <c r="AB93" s="176">
        <f t="shared" si="138"/>
        <v>3117224</v>
      </c>
      <c r="AC93" s="177">
        <f t="shared" si="117"/>
        <v>19.880255102040817</v>
      </c>
      <c r="AD93" s="177">
        <f t="shared" si="139"/>
        <v>82.928433456236348</v>
      </c>
      <c r="AE93" s="26">
        <f t="shared" si="142"/>
        <v>2.4878530036870905</v>
      </c>
      <c r="AF93" s="178">
        <f t="shared" si="118"/>
        <v>21.738625745406761</v>
      </c>
      <c r="AG93" s="178">
        <f t="shared" si="119"/>
        <v>21.738625745406761</v>
      </c>
      <c r="AH93" s="178">
        <f t="shared" si="140"/>
        <v>0</v>
      </c>
      <c r="AI93" s="179">
        <f t="shared" si="141"/>
        <v>100</v>
      </c>
      <c r="AJ93" s="30">
        <f t="shared" si="143"/>
        <v>4</v>
      </c>
      <c r="AK93" s="204">
        <v>6</v>
      </c>
      <c r="AL93" s="204">
        <v>4</v>
      </c>
      <c r="AM93" s="204">
        <v>2</v>
      </c>
      <c r="AN93" s="181">
        <f t="shared" si="101"/>
        <v>10</v>
      </c>
      <c r="AO93" s="182">
        <f t="shared" si="102"/>
        <v>20</v>
      </c>
      <c r="AP93" s="183">
        <f t="shared" si="120"/>
        <v>60</v>
      </c>
      <c r="AQ93" s="38">
        <f t="shared" si="144"/>
        <v>1.2</v>
      </c>
      <c r="AR93" s="212">
        <v>3</v>
      </c>
      <c r="AS93" s="292">
        <f t="shared" si="103"/>
        <v>0.25</v>
      </c>
      <c r="AT93" s="185">
        <f t="shared" si="104"/>
        <v>1.5</v>
      </c>
      <c r="AU93" s="185">
        <f t="shared" si="121"/>
        <v>1</v>
      </c>
      <c r="AV93" s="186">
        <f t="shared" si="105"/>
        <v>33.333333333333329</v>
      </c>
      <c r="AW93" s="179">
        <f t="shared" si="122"/>
        <v>80</v>
      </c>
      <c r="AX93" s="239">
        <f t="shared" si="145"/>
        <v>0.8</v>
      </c>
      <c r="AY93" s="54">
        <v>10</v>
      </c>
      <c r="AZ93" s="54">
        <v>27</v>
      </c>
      <c r="BA93" s="189">
        <f t="shared" si="106"/>
        <v>30</v>
      </c>
      <c r="BB93" s="178">
        <f t="shared" si="123"/>
        <v>90</v>
      </c>
      <c r="BC93" s="179">
        <f t="shared" si="124"/>
        <v>100</v>
      </c>
      <c r="BD93" s="30">
        <f t="shared" si="146"/>
        <v>1</v>
      </c>
      <c r="BE93" s="190">
        <v>2355619</v>
      </c>
      <c r="BF93" s="190">
        <v>219882</v>
      </c>
      <c r="BG93" s="54">
        <v>148756</v>
      </c>
      <c r="BH93" s="191">
        <f t="shared" si="107"/>
        <v>2575501</v>
      </c>
      <c r="BI93" s="178">
        <f t="shared" si="108"/>
        <v>5.775808279631808</v>
      </c>
      <c r="BJ93" s="294" t="str">
        <f t="shared" si="125"/>
        <v>금속/비금속/화학업</v>
      </c>
      <c r="BK93" s="192">
        <f t="shared" si="109"/>
        <v>3.9534118626990464</v>
      </c>
      <c r="BL93" s="193">
        <f t="shared" si="126"/>
        <v>1.8223964169327616</v>
      </c>
      <c r="BM93" s="241">
        <f t="shared" si="127"/>
        <v>60</v>
      </c>
      <c r="BN93" s="47">
        <f t="shared" si="128"/>
        <v>1.2</v>
      </c>
      <c r="BO93" s="54">
        <v>1590000</v>
      </c>
      <c r="BP93" s="194">
        <f t="shared" si="110"/>
        <v>1.3659828316061211</v>
      </c>
      <c r="BQ93" s="179">
        <f t="shared" si="129"/>
        <v>70</v>
      </c>
      <c r="BR93" s="30">
        <f t="shared" si="147"/>
        <v>1.4000000000000001</v>
      </c>
      <c r="BS93" s="195">
        <v>2415795.6710000001</v>
      </c>
      <c r="BT93" s="195">
        <v>153590.91</v>
      </c>
      <c r="BU93" s="196">
        <f t="shared" si="130"/>
        <v>2262204.7609999999</v>
      </c>
      <c r="BV93" s="178">
        <f t="shared" si="111"/>
        <v>1.9434797893733511</v>
      </c>
      <c r="BW93" s="192">
        <f t="shared" si="112"/>
        <v>5.1474158565187729</v>
      </c>
      <c r="BX93" s="192">
        <f t="shared" si="131"/>
        <v>10.265206322355272</v>
      </c>
      <c r="BY93" s="192">
        <f t="shared" si="113"/>
        <v>6.6930498535228526</v>
      </c>
      <c r="BZ93" s="192">
        <f t="shared" si="132"/>
        <v>68.392253740238345</v>
      </c>
      <c r="CA93" s="192">
        <f t="shared" si="114"/>
        <v>40</v>
      </c>
      <c r="CB93" s="55">
        <f t="shared" si="133"/>
        <v>0.8</v>
      </c>
      <c r="CC93" s="197">
        <f t="shared" si="148"/>
        <v>45.827497220375456</v>
      </c>
      <c r="CD93" s="198">
        <f t="shared" si="149"/>
        <v>83.105214615436381</v>
      </c>
      <c r="CE93" s="58">
        <f t="shared" si="150"/>
        <v>1.2465782192315458</v>
      </c>
      <c r="CF93" s="245" t="s">
        <v>2326</v>
      </c>
      <c r="CG93" s="245" t="s">
        <v>2326</v>
      </c>
      <c r="CH93" s="245" t="s">
        <v>2326</v>
      </c>
      <c r="CI93" s="245" t="s">
        <v>2326</v>
      </c>
      <c r="CJ93" s="235"/>
      <c r="CK93" s="173" t="s">
        <v>2479</v>
      </c>
      <c r="CL93" s="173" t="s">
        <v>2478</v>
      </c>
      <c r="CM93" s="199">
        <f t="shared" si="134"/>
        <v>25</v>
      </c>
      <c r="CN93" s="58">
        <f t="shared" si="151"/>
        <v>0.375</v>
      </c>
      <c r="CO93" s="54">
        <f>2212000+6284000</f>
        <v>8496000</v>
      </c>
      <c r="CP93" s="186">
        <f t="shared" si="115"/>
        <v>10.275509684510649</v>
      </c>
      <c r="CQ93" s="179">
        <f t="shared" si="135"/>
        <v>60</v>
      </c>
      <c r="CR93" s="30">
        <f t="shared" si="152"/>
        <v>1.7999999999999998</v>
      </c>
      <c r="CS93" s="200">
        <f>_xlfn.XLOOKUP(C93, '1-1. 관계사체무보증금액 (환율 등)'!$3:$3, '1-1. 관계사체무보증금액 (환율 등)'!$33:$33)</f>
        <v>545454.54545454553</v>
      </c>
      <c r="CT93" s="178">
        <f t="shared" si="116"/>
        <v>0.65970144353560933</v>
      </c>
      <c r="CU93" s="179">
        <f t="shared" si="136"/>
        <v>100</v>
      </c>
      <c r="CV93" s="30">
        <f t="shared" si="153"/>
        <v>2</v>
      </c>
      <c r="CW93" s="72">
        <f t="shared" si="137"/>
        <v>18.309431222918636</v>
      </c>
    </row>
    <row r="94" spans="1:101" x14ac:dyDescent="0.6">
      <c r="A94" s="214" t="s">
        <v>767</v>
      </c>
      <c r="B94" s="13" t="s">
        <v>2073</v>
      </c>
      <c r="C94" s="219" t="s">
        <v>297</v>
      </c>
      <c r="D94" s="216" t="s">
        <v>202</v>
      </c>
      <c r="E94" s="217" t="s">
        <v>189</v>
      </c>
      <c r="F94" s="217" t="s">
        <v>177</v>
      </c>
      <c r="G94" s="218">
        <v>42809</v>
      </c>
      <c r="H94" s="217" t="s">
        <v>830</v>
      </c>
      <c r="I94" s="217" t="s">
        <v>714</v>
      </c>
      <c r="J94" s="217" t="s">
        <v>1154</v>
      </c>
      <c r="K94" s="217" t="s">
        <v>91</v>
      </c>
      <c r="L94" s="220">
        <v>605644843</v>
      </c>
      <c r="M94" s="206">
        <v>281549415</v>
      </c>
      <c r="N94" s="206">
        <v>324095428</v>
      </c>
      <c r="O94" s="206">
        <v>285310921</v>
      </c>
      <c r="P94" s="206">
        <v>109357470</v>
      </c>
      <c r="Q94" s="206">
        <v>87471331</v>
      </c>
      <c r="R94" s="206">
        <v>61496044</v>
      </c>
      <c r="S94" s="207">
        <v>11068830</v>
      </c>
      <c r="T94" s="207">
        <v>2444939</v>
      </c>
      <c r="U94" s="207">
        <v>1919820</v>
      </c>
      <c r="V94" s="207">
        <f>50000+40000*3</f>
        <v>170000</v>
      </c>
      <c r="W94" s="207">
        <v>4498</v>
      </c>
      <c r="X94" s="207">
        <v>0</v>
      </c>
      <c r="Z94" s="207">
        <v>0</v>
      </c>
      <c r="AA94" s="207">
        <v>0</v>
      </c>
      <c r="AB94" s="176">
        <f t="shared" si="138"/>
        <v>2094318</v>
      </c>
      <c r="AC94" s="177">
        <f t="shared" si="117"/>
        <v>18.920861554473237</v>
      </c>
      <c r="AD94" s="177">
        <f t="shared" si="139"/>
        <v>83.756448600857397</v>
      </c>
      <c r="AE94" s="26">
        <f t="shared" si="142"/>
        <v>2.5126934580257219</v>
      </c>
      <c r="AF94" s="178">
        <f t="shared" si="118"/>
        <v>24.232912962373945</v>
      </c>
      <c r="AG94" s="178">
        <f t="shared" si="119"/>
        <v>24.285070393398989</v>
      </c>
      <c r="AH94" s="178">
        <f t="shared" si="140"/>
        <v>5.2157431025044332E-2</v>
      </c>
      <c r="AI94" s="179">
        <f t="shared" si="141"/>
        <v>100</v>
      </c>
      <c r="AJ94" s="30">
        <f t="shared" si="143"/>
        <v>4</v>
      </c>
      <c r="AK94" s="204">
        <v>7</v>
      </c>
      <c r="AL94" s="204">
        <v>0</v>
      </c>
      <c r="AM94" s="204">
        <v>1</v>
      </c>
      <c r="AN94" s="181">
        <f t="shared" si="101"/>
        <v>7</v>
      </c>
      <c r="AO94" s="182">
        <f t="shared" si="102"/>
        <v>14.285714285714285</v>
      </c>
      <c r="AP94" s="183">
        <f t="shared" si="120"/>
        <v>80</v>
      </c>
      <c r="AQ94" s="38">
        <f t="shared" si="144"/>
        <v>1.6</v>
      </c>
      <c r="AR94" s="212">
        <v>4</v>
      </c>
      <c r="AS94" s="292">
        <f t="shared" si="103"/>
        <v>0.25</v>
      </c>
      <c r="AT94" s="185">
        <f t="shared" si="104"/>
        <v>1.75</v>
      </c>
      <c r="AU94" s="185">
        <f t="shared" si="121"/>
        <v>1</v>
      </c>
      <c r="AV94" s="186">
        <f t="shared" si="105"/>
        <v>42.857142857142854</v>
      </c>
      <c r="AW94" s="179">
        <f t="shared" si="122"/>
        <v>100</v>
      </c>
      <c r="AX94" s="239">
        <f t="shared" si="145"/>
        <v>1</v>
      </c>
      <c r="AY94" s="54">
        <v>25</v>
      </c>
      <c r="AZ94" s="54">
        <f>25*4-14</f>
        <v>86</v>
      </c>
      <c r="BA94" s="189">
        <f t="shared" si="106"/>
        <v>100</v>
      </c>
      <c r="BB94" s="178">
        <f t="shared" si="123"/>
        <v>86</v>
      </c>
      <c r="BC94" s="179">
        <f t="shared" si="124"/>
        <v>75</v>
      </c>
      <c r="BD94" s="30">
        <f t="shared" si="146"/>
        <v>0.75</v>
      </c>
      <c r="BE94" s="190">
        <v>24305019</v>
      </c>
      <c r="BF94" s="190">
        <v>1414829</v>
      </c>
      <c r="BG94" s="54">
        <v>987934</v>
      </c>
      <c r="BH94" s="191">
        <f t="shared" si="107"/>
        <v>25719848</v>
      </c>
      <c r="BI94" s="178">
        <f t="shared" si="108"/>
        <v>3.8411346754459825</v>
      </c>
      <c r="BJ94" s="294" t="str">
        <f t="shared" si="125"/>
        <v>전기전자/기계업</v>
      </c>
      <c r="BK94" s="192">
        <f t="shared" si="109"/>
        <v>2.4096449716116455</v>
      </c>
      <c r="BL94" s="193">
        <f t="shared" si="126"/>
        <v>1.431489703834337</v>
      </c>
      <c r="BM94" s="241">
        <f t="shared" si="127"/>
        <v>60</v>
      </c>
      <c r="BN94" s="47">
        <f t="shared" si="128"/>
        <v>1.2</v>
      </c>
      <c r="BO94" s="54">
        <v>6005816</v>
      </c>
      <c r="BP94" s="194">
        <f t="shared" si="110"/>
        <v>2.1050073999796171</v>
      </c>
      <c r="BQ94" s="179">
        <f t="shared" si="129"/>
        <v>85</v>
      </c>
      <c r="BR94" s="30">
        <f t="shared" si="147"/>
        <v>1.7</v>
      </c>
      <c r="BS94" s="195">
        <v>39626256.405000001</v>
      </c>
      <c r="BT94" s="195">
        <v>0</v>
      </c>
      <c r="BU94" s="196">
        <f t="shared" si="130"/>
        <v>39626256.405000001</v>
      </c>
      <c r="BV94" s="178">
        <f t="shared" si="111"/>
        <v>13.888797619842952</v>
      </c>
      <c r="BW94" s="192">
        <f t="shared" si="112"/>
        <v>5.2309968128308268</v>
      </c>
      <c r="BX94" s="192">
        <f t="shared" si="131"/>
        <v>74.95751481389982</v>
      </c>
      <c r="BY94" s="192">
        <f t="shared" si="113"/>
        <v>7.0695458012309622</v>
      </c>
      <c r="BZ94" s="192">
        <f t="shared" si="132"/>
        <v>11.035138640482966</v>
      </c>
      <c r="CA94" s="192">
        <f t="shared" si="114"/>
        <v>85</v>
      </c>
      <c r="CB94" s="55">
        <f t="shared" si="133"/>
        <v>1.7</v>
      </c>
      <c r="CC94" s="197">
        <f t="shared" si="148"/>
        <v>86.872380995143189</v>
      </c>
      <c r="CD94" s="198">
        <f t="shared" si="149"/>
        <v>67.636037313388243</v>
      </c>
      <c r="CE94" s="58">
        <f t="shared" si="150"/>
        <v>1.0145405597008237</v>
      </c>
      <c r="CF94" s="245" t="s">
        <v>2326</v>
      </c>
      <c r="CG94" s="245" t="s">
        <v>2326</v>
      </c>
      <c r="CH94" s="245" t="s">
        <v>2326</v>
      </c>
      <c r="CI94" s="245" t="s">
        <v>2326</v>
      </c>
      <c r="CJ94" s="235"/>
      <c r="CK94" s="173" t="s">
        <v>2479</v>
      </c>
      <c r="CL94" s="173" t="s">
        <v>2478</v>
      </c>
      <c r="CM94" s="199">
        <f t="shared" si="134"/>
        <v>25</v>
      </c>
      <c r="CN94" s="58">
        <f t="shared" si="151"/>
        <v>0.375</v>
      </c>
      <c r="CO94" s="54">
        <v>82692484</v>
      </c>
      <c r="CP94" s="186">
        <f t="shared" si="115"/>
        <v>25.514856692146857</v>
      </c>
      <c r="CQ94" s="179">
        <f t="shared" si="135"/>
        <v>60</v>
      </c>
      <c r="CR94" s="30">
        <f t="shared" si="152"/>
        <v>1.7999999999999998</v>
      </c>
      <c r="CS94" s="200">
        <f>_xlfn.XLOOKUP(C94, '1-1. 관계사체무보증금액 (환율 등)'!$3:$3, '1-1. 관계사체무보증금액 (환율 등)'!$33:$33)</f>
        <v>688989.94074686512</v>
      </c>
      <c r="CT94" s="178">
        <f t="shared" si="116"/>
        <v>0.21258860237512053</v>
      </c>
      <c r="CU94" s="179">
        <f t="shared" si="136"/>
        <v>100</v>
      </c>
      <c r="CV94" s="30">
        <f t="shared" si="153"/>
        <v>2</v>
      </c>
      <c r="CW94" s="72">
        <f t="shared" si="137"/>
        <v>19.652234017726546</v>
      </c>
    </row>
    <row r="95" spans="1:101" x14ac:dyDescent="0.6">
      <c r="A95" s="214" t="s">
        <v>468</v>
      </c>
      <c r="B95" s="13" t="s">
        <v>2074</v>
      </c>
      <c r="C95" s="219" t="s">
        <v>527</v>
      </c>
      <c r="D95" s="216" t="s">
        <v>285</v>
      </c>
      <c r="E95" s="217" t="s">
        <v>1167</v>
      </c>
      <c r="F95" s="217" t="s">
        <v>646</v>
      </c>
      <c r="G95" s="218">
        <v>40402</v>
      </c>
      <c r="H95" s="217" t="s">
        <v>830</v>
      </c>
      <c r="I95" s="217" t="s">
        <v>1626</v>
      </c>
      <c r="J95" s="217" t="s">
        <v>1063</v>
      </c>
      <c r="K95" s="217" t="s">
        <v>91</v>
      </c>
      <c r="L95" s="220">
        <v>495800634</v>
      </c>
      <c r="M95" s="206">
        <v>219426512</v>
      </c>
      <c r="N95" s="206">
        <v>276374122</v>
      </c>
      <c r="O95" s="206">
        <v>550919165</v>
      </c>
      <c r="P95" s="206">
        <v>10121946</v>
      </c>
      <c r="Q95" s="206">
        <v>5248704</v>
      </c>
      <c r="R95" s="206">
        <v>3912437</v>
      </c>
      <c r="S95" s="207">
        <v>33720000</v>
      </c>
      <c r="T95" s="207">
        <v>424175</v>
      </c>
      <c r="U95" s="207">
        <v>6574118</v>
      </c>
      <c r="V95" s="207">
        <f>1767730+306134+305198+83660+29040+28840+22000+18940+11980+10000</f>
        <v>2583522</v>
      </c>
      <c r="W95" s="207">
        <f>3555560+2230500+220000+130000+108500+59000+25000+59500+48814+57461</f>
        <v>6494335</v>
      </c>
      <c r="X95" s="207">
        <v>0</v>
      </c>
      <c r="Z95" s="207">
        <f>528090</f>
        <v>528090</v>
      </c>
      <c r="AA95" s="207">
        <v>0</v>
      </c>
      <c r="AB95" s="176">
        <f t="shared" si="138"/>
        <v>16180065</v>
      </c>
      <c r="AC95" s="177">
        <f t="shared" si="117"/>
        <v>47.983585409252669</v>
      </c>
      <c r="AD95" s="177">
        <f t="shared" si="139"/>
        <v>58.673545389022436</v>
      </c>
      <c r="AE95" s="26">
        <f t="shared" si="142"/>
        <v>1.7602063616706731</v>
      </c>
      <c r="AF95" s="178">
        <f t="shared" si="118"/>
        <v>27.503868728286506</v>
      </c>
      <c r="AG95" s="178">
        <f t="shared" si="119"/>
        <v>48.594876384651833</v>
      </c>
      <c r="AH95" s="178">
        <f t="shared" si="140"/>
        <v>21.091007656365328</v>
      </c>
      <c r="AI95" s="179">
        <f t="shared" si="141"/>
        <v>80</v>
      </c>
      <c r="AJ95" s="30">
        <f t="shared" si="143"/>
        <v>3.2</v>
      </c>
      <c r="AK95" s="204">
        <v>8</v>
      </c>
      <c r="AL95" s="204">
        <v>10</v>
      </c>
      <c r="AM95" s="204">
        <v>3</v>
      </c>
      <c r="AN95" s="181">
        <f t="shared" si="101"/>
        <v>18</v>
      </c>
      <c r="AO95" s="182">
        <f t="shared" si="102"/>
        <v>16.666666666666664</v>
      </c>
      <c r="AP95" s="183">
        <f t="shared" si="120"/>
        <v>80</v>
      </c>
      <c r="AQ95" s="38">
        <f t="shared" si="144"/>
        <v>1.6</v>
      </c>
      <c r="AR95" s="212">
        <v>3</v>
      </c>
      <c r="AS95" s="292">
        <f t="shared" si="103"/>
        <v>0.25</v>
      </c>
      <c r="AT95" s="185">
        <f t="shared" si="104"/>
        <v>2</v>
      </c>
      <c r="AU95" s="185">
        <f t="shared" si="121"/>
        <v>2</v>
      </c>
      <c r="AV95" s="186">
        <f t="shared" si="105"/>
        <v>12.5</v>
      </c>
      <c r="AW95" s="179">
        <f t="shared" si="122"/>
        <v>60</v>
      </c>
      <c r="AX95" s="239">
        <f t="shared" si="145"/>
        <v>0.6</v>
      </c>
      <c r="AY95" s="54">
        <v>7</v>
      </c>
      <c r="AZ95" s="54">
        <f>21-7</f>
        <v>14</v>
      </c>
      <c r="BA95" s="189">
        <f t="shared" si="106"/>
        <v>21</v>
      </c>
      <c r="BB95" s="178">
        <f t="shared" si="123"/>
        <v>66.666666666666657</v>
      </c>
      <c r="BC95" s="179">
        <f t="shared" si="124"/>
        <v>25</v>
      </c>
      <c r="BD95" s="30">
        <f t="shared" si="146"/>
        <v>0.25</v>
      </c>
      <c r="BE95" s="190">
        <v>183417546</v>
      </c>
      <c r="BF95" s="190">
        <v>13724230</v>
      </c>
      <c r="BG95" s="54">
        <v>832821</v>
      </c>
      <c r="BH95" s="191">
        <f t="shared" si="107"/>
        <v>197141776</v>
      </c>
      <c r="BI95" s="178">
        <f t="shared" si="108"/>
        <v>0.42244775151056768</v>
      </c>
      <c r="BJ95" s="294" t="str">
        <f t="shared" si="125"/>
        <v>비제조/서비스업</v>
      </c>
      <c r="BK95" s="192">
        <f t="shared" si="109"/>
        <v>1.7464434573900924</v>
      </c>
      <c r="BL95" s="193">
        <f t="shared" si="126"/>
        <v>-1.3239957058795246</v>
      </c>
      <c r="BM95" s="241">
        <f t="shared" si="127"/>
        <v>80</v>
      </c>
      <c r="BN95" s="47">
        <f t="shared" si="128"/>
        <v>1.6</v>
      </c>
      <c r="BO95" s="54">
        <v>17963000</v>
      </c>
      <c r="BP95" s="194">
        <f t="shared" si="110"/>
        <v>3.2605509376316579</v>
      </c>
      <c r="BQ95" s="179">
        <f t="shared" si="129"/>
        <v>85</v>
      </c>
      <c r="BR95" s="30">
        <f t="shared" si="147"/>
        <v>1.7</v>
      </c>
      <c r="BS95" s="195">
        <v>2818600.301</v>
      </c>
      <c r="BT95" s="195">
        <v>0</v>
      </c>
      <c r="BU95" s="196">
        <f t="shared" si="130"/>
        <v>2818600.301</v>
      </c>
      <c r="BV95" s="178">
        <f t="shared" si="111"/>
        <v>0.51161776174550033</v>
      </c>
      <c r="BW95" s="192">
        <f t="shared" si="112"/>
        <v>2.8482825397737606</v>
      </c>
      <c r="BX95" s="192">
        <f t="shared" si="131"/>
        <v>5.4600022848778593</v>
      </c>
      <c r="BY95" s="192">
        <f t="shared" si="113"/>
        <v>5.5697595856656799</v>
      </c>
      <c r="BZ95" s="192">
        <f t="shared" si="132"/>
        <v>66.258450304053341</v>
      </c>
      <c r="CA95" s="192">
        <f t="shared" si="114"/>
        <v>40</v>
      </c>
      <c r="CB95" s="55">
        <f t="shared" si="133"/>
        <v>0.8</v>
      </c>
      <c r="CC95" s="197">
        <f t="shared" si="148"/>
        <v>79.394738701331818</v>
      </c>
      <c r="CD95" s="198">
        <f t="shared" si="149"/>
        <v>70.454244208040777</v>
      </c>
      <c r="CE95" s="58">
        <f t="shared" si="150"/>
        <v>1.0568136631206115</v>
      </c>
      <c r="CF95" s="245" t="s">
        <v>2326</v>
      </c>
      <c r="CG95" s="245" t="s">
        <v>2326</v>
      </c>
      <c r="CH95" s="245" t="s">
        <v>2326</v>
      </c>
      <c r="CI95" s="245" t="s">
        <v>2326</v>
      </c>
      <c r="CJ95" s="235"/>
      <c r="CK95" s="173" t="s">
        <v>2506</v>
      </c>
      <c r="CL95" s="173" t="s">
        <v>2477</v>
      </c>
      <c r="CM95" s="199">
        <f t="shared" si="134"/>
        <v>85</v>
      </c>
      <c r="CN95" s="58">
        <f t="shared" si="151"/>
        <v>1.2749999999999999</v>
      </c>
      <c r="CO95" s="54">
        <f>75936000-17319000-350000-13396000-142000</f>
        <v>44729000</v>
      </c>
      <c r="CP95" s="186">
        <f t="shared" si="115"/>
        <v>16.184221473528552</v>
      </c>
      <c r="CQ95" s="179">
        <f t="shared" si="135"/>
        <v>60</v>
      </c>
      <c r="CR95" s="30">
        <f t="shared" si="152"/>
        <v>1.7999999999999998</v>
      </c>
      <c r="CS95" s="200">
        <f>_xlfn.XLOOKUP(C95, '1-1. 관계사체무보증금액 (환율 등)'!$3:$3, '1-1. 관계사체무보증금액 (환율 등)'!$33:$33)</f>
        <v>229506.32911392403</v>
      </c>
      <c r="CT95" s="178">
        <f t="shared" si="116"/>
        <v>8.3041902567825815E-2</v>
      </c>
      <c r="CU95" s="179">
        <f t="shared" si="136"/>
        <v>100</v>
      </c>
      <c r="CV95" s="30">
        <f t="shared" si="153"/>
        <v>2</v>
      </c>
      <c r="CW95" s="72">
        <f t="shared" si="137"/>
        <v>17.642020024791282</v>
      </c>
    </row>
    <row r="96" spans="1:101" x14ac:dyDescent="0.6">
      <c r="A96" s="214" t="s">
        <v>507</v>
      </c>
      <c r="B96" s="13" t="s">
        <v>2075</v>
      </c>
      <c r="C96" s="219" t="s">
        <v>548</v>
      </c>
      <c r="D96" s="216" t="s">
        <v>203</v>
      </c>
      <c r="E96" s="217" t="s">
        <v>180</v>
      </c>
      <c r="F96" s="217" t="s">
        <v>1176</v>
      </c>
      <c r="G96" s="218">
        <v>35423</v>
      </c>
      <c r="H96" s="217" t="s">
        <v>830</v>
      </c>
      <c r="I96" s="217" t="s">
        <v>571</v>
      </c>
      <c r="J96" s="217" t="s">
        <v>1163</v>
      </c>
      <c r="K96" s="217" t="s">
        <v>425</v>
      </c>
      <c r="L96" s="220">
        <v>92085226</v>
      </c>
      <c r="M96" s="206">
        <v>42058880</v>
      </c>
      <c r="N96" s="206">
        <v>50026346</v>
      </c>
      <c r="O96" s="206">
        <v>193400697</v>
      </c>
      <c r="P96" s="206">
        <v>13461075</v>
      </c>
      <c r="Q96" s="206">
        <v>12948368</v>
      </c>
      <c r="R96" s="206">
        <v>10621743</v>
      </c>
      <c r="S96" s="207">
        <v>3610000</v>
      </c>
      <c r="T96" s="207">
        <v>107084</v>
      </c>
      <c r="U96" s="207">
        <f>112000+1480000</f>
        <v>1592000</v>
      </c>
      <c r="V96" s="207">
        <v>0</v>
      </c>
      <c r="W96" s="207">
        <f>8115+10000+6000+500+1560+1224+3370+81</f>
        <v>30850</v>
      </c>
      <c r="X96" s="207">
        <v>0</v>
      </c>
      <c r="Z96" s="207">
        <v>300000</v>
      </c>
      <c r="AA96" s="207">
        <v>0</v>
      </c>
      <c r="AB96" s="176">
        <f t="shared" si="138"/>
        <v>1922850</v>
      </c>
      <c r="AC96" s="177">
        <f t="shared" si="117"/>
        <v>53.26454293628808</v>
      </c>
      <c r="AD96" s="177">
        <f t="shared" si="139"/>
        <v>54.115756959475192</v>
      </c>
      <c r="AE96" s="26">
        <f t="shared" si="142"/>
        <v>1.6234727087842558</v>
      </c>
      <c r="AF96" s="178">
        <f t="shared" si="118"/>
        <v>45.44784973433562</v>
      </c>
      <c r="AG96" s="178">
        <f t="shared" si="119"/>
        <v>54.892837852806068</v>
      </c>
      <c r="AH96" s="178">
        <f t="shared" si="140"/>
        <v>9.4449881184704481</v>
      </c>
      <c r="AI96" s="179">
        <f t="shared" si="141"/>
        <v>100</v>
      </c>
      <c r="AJ96" s="30">
        <f t="shared" si="143"/>
        <v>4</v>
      </c>
      <c r="AK96" s="204">
        <v>7</v>
      </c>
      <c r="AL96" s="204">
        <v>3</v>
      </c>
      <c r="AM96" s="204">
        <v>1</v>
      </c>
      <c r="AN96" s="181">
        <f t="shared" si="101"/>
        <v>10</v>
      </c>
      <c r="AO96" s="182">
        <f t="shared" si="102"/>
        <v>10</v>
      </c>
      <c r="AP96" s="183">
        <f t="shared" si="120"/>
        <v>80</v>
      </c>
      <c r="AQ96" s="38">
        <f t="shared" si="144"/>
        <v>1.6</v>
      </c>
      <c r="AR96" s="212">
        <v>2</v>
      </c>
      <c r="AS96" s="292">
        <f t="shared" si="103"/>
        <v>0.25</v>
      </c>
      <c r="AT96" s="185">
        <f t="shared" si="104"/>
        <v>1.75</v>
      </c>
      <c r="AU96" s="185">
        <f t="shared" si="121"/>
        <v>1</v>
      </c>
      <c r="AV96" s="186">
        <f t="shared" si="105"/>
        <v>14.285714285714285</v>
      </c>
      <c r="AW96" s="179">
        <f t="shared" si="122"/>
        <v>60</v>
      </c>
      <c r="AX96" s="239">
        <f t="shared" si="145"/>
        <v>0.6</v>
      </c>
      <c r="AY96" s="54">
        <v>12</v>
      </c>
      <c r="AZ96" s="54">
        <f>24-10</f>
        <v>14</v>
      </c>
      <c r="BA96" s="189">
        <f t="shared" si="106"/>
        <v>24</v>
      </c>
      <c r="BB96" s="178">
        <f t="shared" si="123"/>
        <v>58.333333333333336</v>
      </c>
      <c r="BC96" s="179">
        <f t="shared" si="124"/>
        <v>25</v>
      </c>
      <c r="BD96" s="30">
        <f t="shared" si="146"/>
        <v>0.25</v>
      </c>
      <c r="BE96" s="190">
        <v>11646184</v>
      </c>
      <c r="BF96" s="190">
        <f>763058+86640</f>
        <v>849698</v>
      </c>
      <c r="BG96" s="54">
        <v>763058</v>
      </c>
      <c r="BH96" s="191">
        <f t="shared" si="107"/>
        <v>12495882</v>
      </c>
      <c r="BI96" s="178">
        <f t="shared" si="108"/>
        <v>6.1064757173603272</v>
      </c>
      <c r="BJ96" s="294" t="str">
        <f t="shared" si="125"/>
        <v>금속/비금속/화학업</v>
      </c>
      <c r="BK96" s="192">
        <f t="shared" si="109"/>
        <v>3.9534118626990464</v>
      </c>
      <c r="BL96" s="193">
        <f t="shared" si="126"/>
        <v>2.1530638546612808</v>
      </c>
      <c r="BM96" s="241">
        <f t="shared" si="127"/>
        <v>40</v>
      </c>
      <c r="BN96" s="47">
        <f t="shared" si="128"/>
        <v>0.8</v>
      </c>
      <c r="BO96" s="54">
        <v>644903</v>
      </c>
      <c r="BP96" s="194">
        <f t="shared" si="110"/>
        <v>0.33345433082901454</v>
      </c>
      <c r="BQ96" s="179">
        <f t="shared" si="129"/>
        <v>55</v>
      </c>
      <c r="BR96" s="30">
        <f t="shared" si="147"/>
        <v>1.1000000000000001</v>
      </c>
      <c r="BS96" s="195">
        <v>16883812.436999999</v>
      </c>
      <c r="BT96" s="195">
        <v>15281.817999999999</v>
      </c>
      <c r="BU96" s="196">
        <f t="shared" si="130"/>
        <v>16868530.618999999</v>
      </c>
      <c r="BV96" s="178">
        <f t="shared" si="111"/>
        <v>8.7220629918412342</v>
      </c>
      <c r="BW96" s="192">
        <f t="shared" si="112"/>
        <v>5.1474158565187729</v>
      </c>
      <c r="BX96" s="192">
        <f t="shared" si="131"/>
        <v>12.778102142069079</v>
      </c>
      <c r="BY96" s="192">
        <f t="shared" si="113"/>
        <v>6.6930498535228526</v>
      </c>
      <c r="BZ96" s="192">
        <f t="shared" si="132"/>
        <v>29.66419008622394</v>
      </c>
      <c r="CA96" s="192">
        <f t="shared" si="114"/>
        <v>70</v>
      </c>
      <c r="CB96" s="55">
        <f t="shared" si="133"/>
        <v>1.4000000000000001</v>
      </c>
      <c r="CC96" s="197">
        <f t="shared" si="148"/>
        <v>84.073460012450241</v>
      </c>
      <c r="CD96" s="198">
        <f t="shared" si="149"/>
        <v>68.690907030483572</v>
      </c>
      <c r="CE96" s="58">
        <f t="shared" si="150"/>
        <v>1.0303636054572536</v>
      </c>
      <c r="CF96" s="245" t="s">
        <v>2326</v>
      </c>
      <c r="CG96" s="245" t="s">
        <v>2326</v>
      </c>
      <c r="CH96" s="245" t="s">
        <v>2326</v>
      </c>
      <c r="CI96" s="245" t="s">
        <v>2326</v>
      </c>
      <c r="CJ96" s="235"/>
      <c r="CK96" s="173" t="s">
        <v>2479</v>
      </c>
      <c r="CL96" s="173" t="s">
        <v>2478</v>
      </c>
      <c r="CM96" s="199">
        <f t="shared" si="134"/>
        <v>25</v>
      </c>
      <c r="CN96" s="58">
        <f t="shared" si="151"/>
        <v>0.375</v>
      </c>
      <c r="CO96" s="54">
        <v>0</v>
      </c>
      <c r="CP96" s="186">
        <f t="shared" si="115"/>
        <v>0</v>
      </c>
      <c r="CQ96" s="179">
        <f t="shared" si="135"/>
        <v>100</v>
      </c>
      <c r="CR96" s="30">
        <f t="shared" si="152"/>
        <v>3</v>
      </c>
      <c r="CS96" s="200">
        <f>_xlfn.XLOOKUP(C96, '1-1. 관계사체무보증금액 (환율 등)'!$3:$3, '1-1. 관계사체무보증금액 (환율 등)'!$33:$33)</f>
        <v>0</v>
      </c>
      <c r="CT96" s="178">
        <f t="shared" si="116"/>
        <v>0</v>
      </c>
      <c r="CU96" s="179">
        <f t="shared" si="136"/>
        <v>100</v>
      </c>
      <c r="CV96" s="30">
        <f t="shared" si="153"/>
        <v>2</v>
      </c>
      <c r="CW96" s="72">
        <f t="shared" si="137"/>
        <v>17.778836314241509</v>
      </c>
    </row>
    <row r="97" spans="1:101" x14ac:dyDescent="0.6">
      <c r="A97" s="214" t="s">
        <v>1627</v>
      </c>
      <c r="B97" s="13" t="s">
        <v>2076</v>
      </c>
      <c r="C97" s="219" t="s">
        <v>856</v>
      </c>
      <c r="D97" s="216" t="s">
        <v>203</v>
      </c>
      <c r="E97" s="217" t="s">
        <v>1067</v>
      </c>
      <c r="F97" s="217" t="s">
        <v>154</v>
      </c>
      <c r="G97" s="218">
        <v>28305</v>
      </c>
      <c r="H97" s="217" t="s">
        <v>830</v>
      </c>
      <c r="I97" s="217" t="s">
        <v>194</v>
      </c>
      <c r="J97" s="217" t="s">
        <v>665</v>
      </c>
      <c r="K97" s="217" t="s">
        <v>91</v>
      </c>
      <c r="L97" s="220">
        <v>215451170</v>
      </c>
      <c r="M97" s="206">
        <v>65681714</v>
      </c>
      <c r="N97" s="206">
        <v>149769456</v>
      </c>
      <c r="O97" s="206">
        <v>146246080</v>
      </c>
      <c r="P97" s="206">
        <v>9308222</v>
      </c>
      <c r="Q97" s="206">
        <v>8741705</v>
      </c>
      <c r="R97" s="206">
        <v>6752046</v>
      </c>
      <c r="S97" s="207">
        <v>13617577</v>
      </c>
      <c r="T97" s="207">
        <v>1211886</v>
      </c>
      <c r="U97" s="207">
        <v>2547250</v>
      </c>
      <c r="V97" s="207">
        <f>1531495+579430</f>
        <v>2110925</v>
      </c>
      <c r="W97" s="207">
        <f>7174+1531+4977+67+3809</f>
        <v>17558</v>
      </c>
      <c r="X97" s="207">
        <v>0</v>
      </c>
      <c r="Z97" s="207">
        <v>0</v>
      </c>
      <c r="AA97" s="207">
        <v>0</v>
      </c>
      <c r="AB97" s="176">
        <f t="shared" si="138"/>
        <v>4675733</v>
      </c>
      <c r="AC97" s="177">
        <f t="shared" si="117"/>
        <v>34.336012933872155</v>
      </c>
      <c r="AD97" s="177">
        <f t="shared" si="139"/>
        <v>70.452232795852581</v>
      </c>
      <c r="AE97" s="26">
        <f t="shared" si="142"/>
        <v>2.1135669838755775</v>
      </c>
      <c r="AF97" s="178">
        <f t="shared" si="118"/>
        <v>37.548694385504199</v>
      </c>
      <c r="AG97" s="178">
        <f t="shared" si="119"/>
        <v>37.690226203441632</v>
      </c>
      <c r="AH97" s="178">
        <f t="shared" si="140"/>
        <v>0.14153181793743386</v>
      </c>
      <c r="AI97" s="179">
        <f t="shared" si="141"/>
        <v>100</v>
      </c>
      <c r="AJ97" s="30">
        <f t="shared" si="143"/>
        <v>4</v>
      </c>
      <c r="AK97" s="204">
        <v>6</v>
      </c>
      <c r="AL97" s="204">
        <v>7</v>
      </c>
      <c r="AM97" s="204">
        <v>2</v>
      </c>
      <c r="AN97" s="181">
        <f t="shared" si="101"/>
        <v>13</v>
      </c>
      <c r="AO97" s="182">
        <f t="shared" si="102"/>
        <v>15.384615384615385</v>
      </c>
      <c r="AP97" s="183">
        <f t="shared" si="120"/>
        <v>80</v>
      </c>
      <c r="AQ97" s="38">
        <f t="shared" si="144"/>
        <v>1.6</v>
      </c>
      <c r="AR97" s="212">
        <v>2</v>
      </c>
      <c r="AS97" s="292">
        <f t="shared" si="103"/>
        <v>0.25</v>
      </c>
      <c r="AT97" s="185">
        <f t="shared" si="104"/>
        <v>1.5</v>
      </c>
      <c r="AU97" s="185">
        <f t="shared" si="121"/>
        <v>1</v>
      </c>
      <c r="AV97" s="186">
        <f t="shared" si="105"/>
        <v>16.666666666666664</v>
      </c>
      <c r="AW97" s="179">
        <f t="shared" si="122"/>
        <v>60</v>
      </c>
      <c r="AX97" s="239">
        <f t="shared" si="145"/>
        <v>0.6</v>
      </c>
      <c r="AY97" s="54">
        <v>8</v>
      </c>
      <c r="AZ97" s="54">
        <v>16</v>
      </c>
      <c r="BA97" s="189">
        <f t="shared" si="106"/>
        <v>16</v>
      </c>
      <c r="BB97" s="178">
        <f t="shared" si="123"/>
        <v>100</v>
      </c>
      <c r="BC97" s="179">
        <f t="shared" si="124"/>
        <v>100</v>
      </c>
      <c r="BD97" s="30">
        <f t="shared" si="146"/>
        <v>1</v>
      </c>
      <c r="BE97" s="190">
        <v>13620420</v>
      </c>
      <c r="BF97" s="190">
        <v>1124088</v>
      </c>
      <c r="BG97" s="54">
        <v>1296050</v>
      </c>
      <c r="BH97" s="191">
        <f t="shared" si="107"/>
        <v>14744508</v>
      </c>
      <c r="BI97" s="178">
        <f t="shared" si="108"/>
        <v>8.7900525402407457</v>
      </c>
      <c r="BJ97" s="294" t="str">
        <f t="shared" si="125"/>
        <v>금속/비금속/화학업</v>
      </c>
      <c r="BK97" s="192">
        <f t="shared" si="109"/>
        <v>3.9534118626990464</v>
      </c>
      <c r="BL97" s="193">
        <f t="shared" si="126"/>
        <v>4.8366406775416992</v>
      </c>
      <c r="BM97" s="241">
        <f t="shared" si="127"/>
        <v>40</v>
      </c>
      <c r="BN97" s="47">
        <f t="shared" si="128"/>
        <v>0.8</v>
      </c>
      <c r="BO97" s="54">
        <f>(4256245308-124169475)/1000</f>
        <v>4132075.8330000001</v>
      </c>
      <c r="BP97" s="194">
        <f t="shared" si="110"/>
        <v>2.8254267280189667</v>
      </c>
      <c r="BQ97" s="179">
        <f t="shared" si="129"/>
        <v>85</v>
      </c>
      <c r="BR97" s="30">
        <f t="shared" si="147"/>
        <v>1.7</v>
      </c>
      <c r="BS97" s="195">
        <v>7001114</v>
      </c>
      <c r="BT97" s="195">
        <v>1063941</v>
      </c>
      <c r="BU97" s="196">
        <f t="shared" si="130"/>
        <v>5937173</v>
      </c>
      <c r="BV97" s="178">
        <f t="shared" si="111"/>
        <v>4.0597142843076552</v>
      </c>
      <c r="BW97" s="192">
        <f t="shared" si="112"/>
        <v>5.1474158565187729</v>
      </c>
      <c r="BX97" s="192">
        <f t="shared" si="131"/>
        <v>1.1830947101905371</v>
      </c>
      <c r="BY97" s="192">
        <f t="shared" si="113"/>
        <v>6.6930498535228526</v>
      </c>
      <c r="BZ97" s="192">
        <f t="shared" si="132"/>
        <v>56.454869886784365</v>
      </c>
      <c r="CA97" s="192">
        <f t="shared" si="114"/>
        <v>55</v>
      </c>
      <c r="CB97" s="55">
        <f t="shared" si="133"/>
        <v>1.1000000000000001</v>
      </c>
      <c r="CC97" s="197">
        <f t="shared" si="148"/>
        <v>43.855213041569705</v>
      </c>
      <c r="CD97" s="198">
        <f t="shared" si="149"/>
        <v>83.848537798403385</v>
      </c>
      <c r="CE97" s="58">
        <f t="shared" si="150"/>
        <v>1.2577280669760507</v>
      </c>
      <c r="CF97" s="245" t="s">
        <v>2326</v>
      </c>
      <c r="CG97" s="245" t="s">
        <v>2326</v>
      </c>
      <c r="CH97" s="245" t="s">
        <v>2326</v>
      </c>
      <c r="CI97" s="245" t="s">
        <v>2326</v>
      </c>
      <c r="CJ97" s="235"/>
      <c r="CK97" s="173" t="s">
        <v>2479</v>
      </c>
      <c r="CL97" s="173" t="s">
        <v>2478</v>
      </c>
      <c r="CM97" s="199">
        <f t="shared" si="134"/>
        <v>25</v>
      </c>
      <c r="CN97" s="58">
        <f t="shared" si="151"/>
        <v>0.375</v>
      </c>
      <c r="CO97" s="54">
        <v>566000</v>
      </c>
      <c r="CP97" s="186">
        <f t="shared" si="115"/>
        <v>0.3779141722995909</v>
      </c>
      <c r="CQ97" s="179">
        <f t="shared" si="135"/>
        <v>100</v>
      </c>
      <c r="CR97" s="30">
        <f t="shared" si="152"/>
        <v>3</v>
      </c>
      <c r="CS97" s="200">
        <f>_xlfn.XLOOKUP(C97, '1-1. 관계사체무보증금액 (환율 등)'!$3:$3, '1-1. 관계사체무보증금액 (환율 등)'!$33:$33)</f>
        <v>0</v>
      </c>
      <c r="CT97" s="178">
        <f t="shared" si="116"/>
        <v>0</v>
      </c>
      <c r="CU97" s="179">
        <f t="shared" si="136"/>
        <v>100</v>
      </c>
      <c r="CV97" s="30">
        <f t="shared" si="153"/>
        <v>2</v>
      </c>
      <c r="CW97" s="72">
        <f t="shared" si="137"/>
        <v>19.546295050851626</v>
      </c>
    </row>
    <row r="98" spans="1:101" x14ac:dyDescent="0.6">
      <c r="A98" s="214" t="s">
        <v>868</v>
      </c>
      <c r="B98" s="13" t="s">
        <v>2077</v>
      </c>
      <c r="C98" s="219" t="s">
        <v>538</v>
      </c>
      <c r="D98" s="216" t="s">
        <v>285</v>
      </c>
      <c r="E98" s="217" t="s">
        <v>867</v>
      </c>
      <c r="F98" s="217" t="s">
        <v>149</v>
      </c>
      <c r="G98" s="218">
        <v>28793</v>
      </c>
      <c r="H98" s="217" t="s">
        <v>830</v>
      </c>
      <c r="I98" s="217" t="s">
        <v>1628</v>
      </c>
      <c r="J98" s="217" t="s">
        <v>1155</v>
      </c>
      <c r="K98" s="217" t="s">
        <v>91</v>
      </c>
      <c r="L98" s="220">
        <v>1256174707</v>
      </c>
      <c r="M98" s="206">
        <v>687867321</v>
      </c>
      <c r="N98" s="206">
        <v>568307386</v>
      </c>
      <c r="O98" s="206">
        <v>1300137418</v>
      </c>
      <c r="P98" s="206">
        <v>26971265</v>
      </c>
      <c r="Q98" s="206">
        <v>57193340</v>
      </c>
      <c r="R98" s="206">
        <v>46104412</v>
      </c>
      <c r="S98" s="207">
        <v>22906975</v>
      </c>
      <c r="T98" s="207">
        <v>4291</v>
      </c>
      <c r="U98" s="207">
        <v>12917647</v>
      </c>
      <c r="V98" s="207">
        <v>0</v>
      </c>
      <c r="W98" s="207">
        <f>3005</f>
        <v>3005</v>
      </c>
      <c r="X98" s="207">
        <v>0</v>
      </c>
      <c r="Z98" s="207">
        <v>0</v>
      </c>
      <c r="AA98" s="207">
        <v>0</v>
      </c>
      <c r="AB98" s="176">
        <f t="shared" si="138"/>
        <v>12920652</v>
      </c>
      <c r="AC98" s="177">
        <f t="shared" si="117"/>
        <v>56.404881046056929</v>
      </c>
      <c r="AD98" s="177">
        <f t="shared" si="139"/>
        <v>51.405453642643614</v>
      </c>
      <c r="AE98" s="26">
        <f t="shared" si="142"/>
        <v>1.5421636092793083</v>
      </c>
      <c r="AF98" s="178">
        <f t="shared" si="118"/>
        <v>56.402328216203834</v>
      </c>
      <c r="AG98" s="178">
        <f t="shared" si="119"/>
        <v>56.415448949127537</v>
      </c>
      <c r="AH98" s="178">
        <f t="shared" si="140"/>
        <v>1.312073292370286E-2</v>
      </c>
      <c r="AI98" s="179">
        <f t="shared" si="141"/>
        <v>100</v>
      </c>
      <c r="AJ98" s="30">
        <f t="shared" si="143"/>
        <v>4</v>
      </c>
      <c r="AK98" s="204">
        <v>6</v>
      </c>
      <c r="AL98" s="204">
        <v>29</v>
      </c>
      <c r="AM98" s="204">
        <v>0</v>
      </c>
      <c r="AN98" s="181">
        <f t="shared" si="101"/>
        <v>35</v>
      </c>
      <c r="AO98" s="182">
        <f t="shared" si="102"/>
        <v>0</v>
      </c>
      <c r="AP98" s="183">
        <f t="shared" si="120"/>
        <v>100</v>
      </c>
      <c r="AQ98" s="38">
        <f t="shared" si="144"/>
        <v>2</v>
      </c>
      <c r="AR98" s="212">
        <v>2</v>
      </c>
      <c r="AS98" s="292">
        <f t="shared" si="103"/>
        <v>0.25</v>
      </c>
      <c r="AT98" s="185">
        <f t="shared" si="104"/>
        <v>1.5</v>
      </c>
      <c r="AU98" s="185">
        <f t="shared" si="121"/>
        <v>1</v>
      </c>
      <c r="AV98" s="186">
        <f t="shared" si="105"/>
        <v>16.666666666666664</v>
      </c>
      <c r="AW98" s="179">
        <f t="shared" si="122"/>
        <v>60</v>
      </c>
      <c r="AX98" s="239">
        <f t="shared" si="145"/>
        <v>0.6</v>
      </c>
      <c r="AY98" s="54">
        <v>27</v>
      </c>
      <c r="AZ98" s="54">
        <f>27*2-1</f>
        <v>53</v>
      </c>
      <c r="BA98" s="189">
        <f t="shared" si="106"/>
        <v>54</v>
      </c>
      <c r="BB98" s="178">
        <f t="shared" si="123"/>
        <v>98.148148148148152</v>
      </c>
      <c r="BC98" s="179">
        <f t="shared" si="124"/>
        <v>100</v>
      </c>
      <c r="BD98" s="30">
        <f t="shared" si="146"/>
        <v>1</v>
      </c>
      <c r="BE98" s="190">
        <v>29574000</v>
      </c>
      <c r="BF98" s="190">
        <v>2094000</v>
      </c>
      <c r="BG98" s="54">
        <v>2405000</v>
      </c>
      <c r="BH98" s="191">
        <f t="shared" si="107"/>
        <v>31668000</v>
      </c>
      <c r="BI98" s="178">
        <f t="shared" si="108"/>
        <v>7.5944170771756987</v>
      </c>
      <c r="BJ98" s="294" t="str">
        <f t="shared" si="125"/>
        <v>비제조/서비스업</v>
      </c>
      <c r="BK98" s="192">
        <f t="shared" si="109"/>
        <v>1.7464434573900924</v>
      </c>
      <c r="BL98" s="193">
        <f t="shared" si="126"/>
        <v>5.8479736197856065</v>
      </c>
      <c r="BM98" s="241">
        <f t="shared" si="127"/>
        <v>40</v>
      </c>
      <c r="BN98" s="47">
        <f t="shared" si="128"/>
        <v>0.8</v>
      </c>
      <c r="BO98" s="54">
        <v>21899116</v>
      </c>
      <c r="BP98" s="194">
        <f t="shared" si="110"/>
        <v>1.684369336411176</v>
      </c>
      <c r="BQ98" s="179">
        <f t="shared" si="129"/>
        <v>70</v>
      </c>
      <c r="BR98" s="30">
        <f t="shared" si="147"/>
        <v>1.4000000000000001</v>
      </c>
      <c r="BS98" s="195">
        <v>660772.59900000005</v>
      </c>
      <c r="BT98" s="195">
        <v>13909909.09</v>
      </c>
      <c r="BU98" s="196">
        <f t="shared" si="130"/>
        <v>-13249136.491</v>
      </c>
      <c r="BV98" s="178">
        <f t="shared" si="111"/>
        <v>-1.0190566249051685</v>
      </c>
      <c r="BW98" s="192">
        <f t="shared" si="112"/>
        <v>2.8482825397737606</v>
      </c>
      <c r="BX98" s="192">
        <f t="shared" si="131"/>
        <v>14.956312214659517</v>
      </c>
      <c r="BY98" s="192">
        <f t="shared" si="113"/>
        <v>5.5697595856656799</v>
      </c>
      <c r="BZ98" s="192">
        <f t="shared" si="132"/>
        <v>75.626731184634636</v>
      </c>
      <c r="CA98" s="192">
        <f t="shared" si="114"/>
        <v>40</v>
      </c>
      <c r="CB98" s="55">
        <f t="shared" si="133"/>
        <v>0.8</v>
      </c>
      <c r="CC98" s="197">
        <f t="shared" si="148"/>
        <v>121.03789919774155</v>
      </c>
      <c r="CD98" s="198">
        <f t="shared" si="149"/>
        <v>54.75958572949439</v>
      </c>
      <c r="CE98" s="58">
        <f t="shared" si="150"/>
        <v>0.82139378594241585</v>
      </c>
      <c r="CF98" s="245" t="s">
        <v>2326</v>
      </c>
      <c r="CG98" s="245" t="s">
        <v>2326</v>
      </c>
      <c r="CH98" s="245" t="s">
        <v>2326</v>
      </c>
      <c r="CI98" s="245" t="s">
        <v>2326</v>
      </c>
      <c r="CJ98" s="235"/>
      <c r="CK98" s="173" t="s">
        <v>2507</v>
      </c>
      <c r="CL98" s="173" t="s">
        <v>2487</v>
      </c>
      <c r="CM98" s="199">
        <f t="shared" si="134"/>
        <v>70</v>
      </c>
      <c r="CN98" s="58">
        <f t="shared" si="151"/>
        <v>1.05</v>
      </c>
      <c r="CO98" s="54">
        <v>86325000</v>
      </c>
      <c r="CP98" s="186">
        <f t="shared" si="115"/>
        <v>15.189843054406477</v>
      </c>
      <c r="CQ98" s="179">
        <f t="shared" si="135"/>
        <v>60</v>
      </c>
      <c r="CR98" s="30">
        <f t="shared" si="152"/>
        <v>1.7999999999999998</v>
      </c>
      <c r="CS98" s="200">
        <f>_xlfn.XLOOKUP(C98, '1-1. 관계사체무보증금액 (환율 등)'!$3:$3, '1-1. 관계사체무보증금액 (환율 등)'!$33:$33)</f>
        <v>675847000</v>
      </c>
      <c r="CT98" s="178">
        <f t="shared" si="116"/>
        <v>118.92279013948976</v>
      </c>
      <c r="CU98" s="179">
        <f t="shared" si="136"/>
        <v>20</v>
      </c>
      <c r="CV98" s="30">
        <f t="shared" si="153"/>
        <v>0.4</v>
      </c>
      <c r="CW98" s="72">
        <f t="shared" si="137"/>
        <v>16.213557395221724</v>
      </c>
    </row>
    <row r="99" spans="1:101" x14ac:dyDescent="0.6">
      <c r="A99" s="214" t="s">
        <v>782</v>
      </c>
      <c r="B99" s="13" t="s">
        <v>2078</v>
      </c>
      <c r="C99" s="219" t="s">
        <v>431</v>
      </c>
      <c r="D99" s="216" t="s">
        <v>285</v>
      </c>
      <c r="E99" s="217" t="s">
        <v>568</v>
      </c>
      <c r="F99" s="217" t="s">
        <v>1036</v>
      </c>
      <c r="G99" s="218">
        <v>42566</v>
      </c>
      <c r="H99" s="217" t="s">
        <v>830</v>
      </c>
      <c r="I99" s="217" t="s">
        <v>699</v>
      </c>
      <c r="J99" s="217" t="s">
        <v>1022</v>
      </c>
      <c r="K99" s="217" t="s">
        <v>91</v>
      </c>
      <c r="L99" s="220">
        <v>1605210800</v>
      </c>
      <c r="M99" s="206">
        <v>74995068</v>
      </c>
      <c r="N99" s="206">
        <v>1530215732</v>
      </c>
      <c r="O99" s="206">
        <v>516898546</v>
      </c>
      <c r="P99" s="206">
        <v>34700109</v>
      </c>
      <c r="Q99" s="206">
        <v>126366266</v>
      </c>
      <c r="R99" s="206">
        <v>167855852</v>
      </c>
      <c r="S99" s="207">
        <v>99700000</v>
      </c>
      <c r="T99" s="207">
        <v>1027477</v>
      </c>
      <c r="U99" s="207">
        <v>16888000</v>
      </c>
      <c r="V99" s="207">
        <f>18565437+12550000+3600000+2005935+3750000+3600000+2564160+2271000+87000</f>
        <v>48993532</v>
      </c>
      <c r="W99" s="207">
        <f>50000+300000+7915+8138+10150*2+8660+11495+15000+27408+10000+10635+12758+5126+44630+15839+45100+24708+4000*2+9069+21500</f>
        <v>656281</v>
      </c>
      <c r="X99" s="207">
        <v>0</v>
      </c>
      <c r="Z99" s="207">
        <v>0</v>
      </c>
      <c r="AA99" s="207">
        <v>0</v>
      </c>
      <c r="AB99" s="176">
        <f t="shared" si="138"/>
        <v>66537813</v>
      </c>
      <c r="AC99" s="177">
        <f t="shared" si="117"/>
        <v>66.738027081243729</v>
      </c>
      <c r="AD99" s="177">
        <f t="shared" si="139"/>
        <v>42.487318399386886</v>
      </c>
      <c r="AE99" s="26">
        <f t="shared" si="142"/>
        <v>1.2746195519816066</v>
      </c>
      <c r="AF99" s="178">
        <f t="shared" si="118"/>
        <v>66.767859984688954</v>
      </c>
      <c r="AG99" s="178">
        <f t="shared" si="119"/>
        <v>67.432970169415853</v>
      </c>
      <c r="AH99" s="178">
        <f t="shared" si="140"/>
        <v>0.66511018472689898</v>
      </c>
      <c r="AI99" s="179">
        <f t="shared" si="141"/>
        <v>100</v>
      </c>
      <c r="AJ99" s="30">
        <f t="shared" si="143"/>
        <v>4</v>
      </c>
      <c r="AK99" s="204">
        <v>5</v>
      </c>
      <c r="AL99" s="204">
        <v>9</v>
      </c>
      <c r="AM99" s="204">
        <v>1</v>
      </c>
      <c r="AN99" s="181">
        <f t="shared" si="101"/>
        <v>14</v>
      </c>
      <c r="AO99" s="182">
        <f t="shared" si="102"/>
        <v>7.1428571428571423</v>
      </c>
      <c r="AP99" s="183">
        <f t="shared" si="120"/>
        <v>100</v>
      </c>
      <c r="AQ99" s="38">
        <f t="shared" si="144"/>
        <v>2</v>
      </c>
      <c r="AR99" s="212">
        <v>1</v>
      </c>
      <c r="AS99" s="292">
        <f t="shared" si="103"/>
        <v>0.25</v>
      </c>
      <c r="AT99" s="185">
        <f t="shared" si="104"/>
        <v>1.25</v>
      </c>
      <c r="AU99" s="185">
        <f t="shared" si="121"/>
        <v>1</v>
      </c>
      <c r="AV99" s="186">
        <f t="shared" si="105"/>
        <v>0</v>
      </c>
      <c r="AW99" s="179">
        <f t="shared" si="122"/>
        <v>40</v>
      </c>
      <c r="AX99" s="239">
        <f t="shared" si="145"/>
        <v>0.4</v>
      </c>
      <c r="AY99" s="54">
        <v>9</v>
      </c>
      <c r="AZ99" s="54">
        <v>8</v>
      </c>
      <c r="BA99" s="189">
        <f t="shared" si="106"/>
        <v>9</v>
      </c>
      <c r="BB99" s="178">
        <f t="shared" si="123"/>
        <v>88.888888888888886</v>
      </c>
      <c r="BC99" s="179">
        <f t="shared" si="124"/>
        <v>75</v>
      </c>
      <c r="BD99" s="30">
        <f t="shared" si="146"/>
        <v>0.75</v>
      </c>
      <c r="BE99" s="190">
        <f>9598218+2804697</f>
        <v>12402915</v>
      </c>
      <c r="BF99" s="190">
        <v>773963</v>
      </c>
      <c r="BG99" s="54">
        <v>240697</v>
      </c>
      <c r="BH99" s="191">
        <f t="shared" si="107"/>
        <v>13176878</v>
      </c>
      <c r="BI99" s="178">
        <f t="shared" si="108"/>
        <v>1.8266618238402148</v>
      </c>
      <c r="BJ99" s="294" t="str">
        <f t="shared" si="125"/>
        <v>비제조/서비스업</v>
      </c>
      <c r="BK99" s="192">
        <f t="shared" si="109"/>
        <v>1.7464434573900924</v>
      </c>
      <c r="BL99" s="193">
        <f t="shared" si="126"/>
        <v>8.0218366450122369E-2</v>
      </c>
      <c r="BM99" s="241">
        <f t="shared" si="127"/>
        <v>60</v>
      </c>
      <c r="BN99" s="47">
        <f t="shared" si="128"/>
        <v>1.2</v>
      </c>
      <c r="BO99" s="54">
        <v>587849</v>
      </c>
      <c r="BP99" s="194">
        <f t="shared" si="110"/>
        <v>0.11372618564107938</v>
      </c>
      <c r="BQ99" s="179">
        <f t="shared" si="129"/>
        <v>55</v>
      </c>
      <c r="BR99" s="30">
        <f t="shared" si="147"/>
        <v>1.1000000000000001</v>
      </c>
      <c r="BS99" s="195">
        <v>2200384.7749999999</v>
      </c>
      <c r="BT99" s="195">
        <v>74414.69</v>
      </c>
      <c r="BU99" s="196">
        <f t="shared" si="130"/>
        <v>2125970.085</v>
      </c>
      <c r="BV99" s="178">
        <f t="shared" si="111"/>
        <v>0.41129349297879431</v>
      </c>
      <c r="BW99" s="192">
        <f t="shared" si="112"/>
        <v>2.8482825397737606</v>
      </c>
      <c r="BX99" s="192">
        <f t="shared" si="131"/>
        <v>5.9389156141986383</v>
      </c>
      <c r="BY99" s="192">
        <f t="shared" si="113"/>
        <v>5.5697595856656799</v>
      </c>
      <c r="BZ99" s="192">
        <f t="shared" si="132"/>
        <v>66.913988125984474</v>
      </c>
      <c r="CA99" s="192">
        <f t="shared" si="114"/>
        <v>40</v>
      </c>
      <c r="CB99" s="55">
        <f t="shared" si="133"/>
        <v>0.8</v>
      </c>
      <c r="CC99" s="197">
        <f t="shared" si="148"/>
        <v>4.9009473913838963</v>
      </c>
      <c r="CD99" s="198">
        <f t="shared" si="149"/>
        <v>98.529793696714606</v>
      </c>
      <c r="CE99" s="58">
        <f t="shared" si="150"/>
        <v>1.4779469054507191</v>
      </c>
      <c r="CF99" s="245" t="s">
        <v>2326</v>
      </c>
      <c r="CG99" s="245" t="s">
        <v>2326</v>
      </c>
      <c r="CH99" s="245" t="s">
        <v>2326</v>
      </c>
      <c r="CI99" s="245" t="s">
        <v>2326</v>
      </c>
      <c r="CJ99" s="235"/>
      <c r="CK99" s="173" t="s">
        <v>2498</v>
      </c>
      <c r="CL99" s="173" t="s">
        <v>2484</v>
      </c>
      <c r="CM99" s="199">
        <f t="shared" si="134"/>
        <v>100</v>
      </c>
      <c r="CN99" s="58">
        <f t="shared" si="151"/>
        <v>1.5</v>
      </c>
      <c r="CO99" s="54">
        <v>854787956</v>
      </c>
      <c r="CP99" s="186">
        <f t="shared" si="115"/>
        <v>55.860617436130241</v>
      </c>
      <c r="CQ99" s="179">
        <f t="shared" si="135"/>
        <v>40</v>
      </c>
      <c r="CR99" s="30">
        <f t="shared" si="152"/>
        <v>1.2</v>
      </c>
      <c r="CS99" s="200">
        <f>_xlfn.XLOOKUP(C99, '1-1. 관계사체무보증금액 (환율 등)'!$3:$3, '1-1. 관계사체무보증금액 (환율 등)'!$33:$33)</f>
        <v>0</v>
      </c>
      <c r="CT99" s="178">
        <f t="shared" si="116"/>
        <v>0</v>
      </c>
      <c r="CU99" s="179">
        <f t="shared" si="136"/>
        <v>100</v>
      </c>
      <c r="CV99" s="30">
        <f t="shared" si="153"/>
        <v>2</v>
      </c>
      <c r="CW99" s="72">
        <f t="shared" si="137"/>
        <v>17.702566457432326</v>
      </c>
    </row>
    <row r="100" spans="1:101" x14ac:dyDescent="0.6">
      <c r="A100" s="214" t="s">
        <v>440</v>
      </c>
      <c r="B100" s="13" t="s">
        <v>2079</v>
      </c>
      <c r="C100" s="219" t="s">
        <v>108</v>
      </c>
      <c r="D100" s="216" t="s">
        <v>191</v>
      </c>
      <c r="E100" s="217" t="s">
        <v>34</v>
      </c>
      <c r="F100" s="217" t="s">
        <v>242</v>
      </c>
      <c r="G100" s="218">
        <v>41372</v>
      </c>
      <c r="H100" s="217" t="s">
        <v>830</v>
      </c>
      <c r="I100" s="217" t="s">
        <v>768</v>
      </c>
      <c r="J100" s="217" t="s">
        <v>1057</v>
      </c>
      <c r="K100" s="217" t="s">
        <v>91</v>
      </c>
      <c r="L100" s="220">
        <v>1135143086</v>
      </c>
      <c r="M100" s="206">
        <v>463178728</v>
      </c>
      <c r="N100" s="206">
        <v>671964358</v>
      </c>
      <c r="O100" s="206">
        <v>635839633</v>
      </c>
      <c r="P100" s="206">
        <v>30527351</v>
      </c>
      <c r="Q100" s="206">
        <v>13547054</v>
      </c>
      <c r="R100" s="206">
        <v>9019750</v>
      </c>
      <c r="S100" s="207">
        <v>8446588</v>
      </c>
      <c r="T100" s="207">
        <v>40562</v>
      </c>
      <c r="U100" s="207">
        <v>28210</v>
      </c>
      <c r="V100" s="207">
        <v>0</v>
      </c>
      <c r="W100" s="207">
        <f>2697+601+1144+370+290+50+295</f>
        <v>5447</v>
      </c>
      <c r="X100" s="207">
        <f>29754+45338</f>
        <v>75092</v>
      </c>
      <c r="Y100" s="208" t="s">
        <v>2423</v>
      </c>
      <c r="Z100" s="207">
        <v>1968765</v>
      </c>
      <c r="AA100" s="207">
        <v>0</v>
      </c>
      <c r="AB100" s="176">
        <f t="shared" si="138"/>
        <v>2077514</v>
      </c>
      <c r="AC100" s="177">
        <f t="shared" si="117"/>
        <v>24.595895999662822</v>
      </c>
      <c r="AD100" s="177">
        <f t="shared" si="139"/>
        <v>78.858547756332428</v>
      </c>
      <c r="AE100" s="26">
        <f t="shared" si="142"/>
        <v>2.3657564326899729</v>
      </c>
      <c r="AF100" s="178">
        <f t="shared" si="118"/>
        <v>0.33559258560466027</v>
      </c>
      <c r="AG100" s="178">
        <f t="shared" si="119"/>
        <v>24.714579755047154</v>
      </c>
      <c r="AH100" s="178">
        <f t="shared" si="140"/>
        <v>24.378987169442492</v>
      </c>
      <c r="AI100" s="179">
        <f t="shared" si="141"/>
        <v>80</v>
      </c>
      <c r="AJ100" s="30">
        <f t="shared" si="143"/>
        <v>3.2</v>
      </c>
      <c r="AK100" s="204">
        <v>7</v>
      </c>
      <c r="AL100" s="204">
        <v>22</v>
      </c>
      <c r="AM100" s="204">
        <v>0</v>
      </c>
      <c r="AN100" s="181">
        <f t="shared" si="101"/>
        <v>29</v>
      </c>
      <c r="AO100" s="182">
        <f t="shared" si="102"/>
        <v>0</v>
      </c>
      <c r="AP100" s="183">
        <f t="shared" si="120"/>
        <v>100</v>
      </c>
      <c r="AQ100" s="38">
        <f t="shared" si="144"/>
        <v>2</v>
      </c>
      <c r="AR100" s="212">
        <v>4</v>
      </c>
      <c r="AS100" s="292">
        <f t="shared" si="103"/>
        <v>0.25</v>
      </c>
      <c r="AT100" s="185">
        <f t="shared" si="104"/>
        <v>1.75</v>
      </c>
      <c r="AU100" s="185">
        <f t="shared" si="121"/>
        <v>1</v>
      </c>
      <c r="AV100" s="186">
        <f t="shared" si="105"/>
        <v>42.857142857142854</v>
      </c>
      <c r="AW100" s="179">
        <f t="shared" si="122"/>
        <v>100</v>
      </c>
      <c r="AX100" s="239">
        <f t="shared" si="145"/>
        <v>1</v>
      </c>
      <c r="AY100" s="54">
        <v>13</v>
      </c>
      <c r="AZ100" s="54">
        <f>13*4-6</f>
        <v>46</v>
      </c>
      <c r="BA100" s="189">
        <f t="shared" si="106"/>
        <v>52</v>
      </c>
      <c r="BB100" s="178">
        <f t="shared" si="123"/>
        <v>88.461538461538453</v>
      </c>
      <c r="BC100" s="179">
        <f t="shared" si="124"/>
        <v>75</v>
      </c>
      <c r="BD100" s="30">
        <f t="shared" si="146"/>
        <v>0.75</v>
      </c>
      <c r="BE100" s="190">
        <v>74563786</v>
      </c>
      <c r="BF100" s="190">
        <v>8616675</v>
      </c>
      <c r="BG100" s="54">
        <v>96633</v>
      </c>
      <c r="BH100" s="191">
        <f t="shared" si="107"/>
        <v>83180461</v>
      </c>
      <c r="BI100" s="178">
        <f t="shared" si="108"/>
        <v>0.11617271512837611</v>
      </c>
      <c r="BJ100" s="294" t="str">
        <f t="shared" si="125"/>
        <v>식약/섬유/종이업</v>
      </c>
      <c r="BK100" s="192">
        <f t="shared" si="109"/>
        <v>2.1999360555264444</v>
      </c>
      <c r="BL100" s="193">
        <f t="shared" si="126"/>
        <v>-2.0837633403980682</v>
      </c>
      <c r="BM100" s="241">
        <f t="shared" si="127"/>
        <v>100</v>
      </c>
      <c r="BN100" s="47">
        <f t="shared" si="128"/>
        <v>2</v>
      </c>
      <c r="BO100" s="54">
        <v>88693000</v>
      </c>
      <c r="BP100" s="194">
        <f t="shared" si="110"/>
        <v>13.948957472426072</v>
      </c>
      <c r="BQ100" s="179">
        <f t="shared" si="129"/>
        <v>100</v>
      </c>
      <c r="BR100" s="30">
        <f t="shared" si="147"/>
        <v>2</v>
      </c>
      <c r="BS100" s="195">
        <v>44086043.848999999</v>
      </c>
      <c r="BT100" s="195">
        <v>24564.737000000001</v>
      </c>
      <c r="BU100" s="196">
        <f t="shared" si="130"/>
        <v>44061479.111999996</v>
      </c>
      <c r="BV100" s="178">
        <f t="shared" si="111"/>
        <v>6.9296528283571153</v>
      </c>
      <c r="BW100" s="192">
        <f t="shared" si="112"/>
        <v>5.0508176117342281</v>
      </c>
      <c r="BX100" s="192">
        <f t="shared" si="131"/>
        <v>3.5300217712223714</v>
      </c>
      <c r="BY100" s="192">
        <f t="shared" si="113"/>
        <v>6.9871618081220941</v>
      </c>
      <c r="BZ100" s="192">
        <f t="shared" si="132"/>
        <v>39.40040120022136</v>
      </c>
      <c r="CA100" s="192">
        <f t="shared" si="114"/>
        <v>55</v>
      </c>
      <c r="CB100" s="55">
        <f t="shared" si="133"/>
        <v>1.1000000000000001</v>
      </c>
      <c r="CC100" s="197">
        <f t="shared" si="148"/>
        <v>68.929061859557734</v>
      </c>
      <c r="CD100" s="198">
        <f t="shared" si="149"/>
        <v>74.398594776548592</v>
      </c>
      <c r="CE100" s="58">
        <f t="shared" si="150"/>
        <v>1.1159789216482288</v>
      </c>
      <c r="CF100" s="245" t="s">
        <v>2326</v>
      </c>
      <c r="CG100" s="245" t="s">
        <v>2326</v>
      </c>
      <c r="CH100" s="245" t="s">
        <v>2326</v>
      </c>
      <c r="CI100" s="245" t="s">
        <v>2326</v>
      </c>
      <c r="CJ100" s="235"/>
      <c r="CK100" s="173" t="s">
        <v>2490</v>
      </c>
      <c r="CL100" s="173" t="s">
        <v>2487</v>
      </c>
      <c r="CM100" s="199">
        <f t="shared" si="134"/>
        <v>70</v>
      </c>
      <c r="CN100" s="58">
        <f t="shared" si="151"/>
        <v>1.05</v>
      </c>
      <c r="CO100" s="54">
        <v>8343000</v>
      </c>
      <c r="CP100" s="186">
        <f t="shared" si="115"/>
        <v>1.2415837091169053</v>
      </c>
      <c r="CQ100" s="179">
        <f t="shared" si="135"/>
        <v>100</v>
      </c>
      <c r="CR100" s="30">
        <f t="shared" si="152"/>
        <v>3</v>
      </c>
      <c r="CS100" s="200">
        <f>_xlfn.XLOOKUP(C100, '1-1. 관계사체무보증금액 (환율 등)'!$3:$3, '1-1. 관계사체무보증금액 (환율 등)'!$33:$33)</f>
        <v>0</v>
      </c>
      <c r="CT100" s="178">
        <f t="shared" si="116"/>
        <v>0</v>
      </c>
      <c r="CU100" s="179">
        <f t="shared" si="136"/>
        <v>100</v>
      </c>
      <c r="CV100" s="30">
        <f t="shared" si="153"/>
        <v>2</v>
      </c>
      <c r="CW100" s="72">
        <f t="shared" si="137"/>
        <v>21.5817353543382</v>
      </c>
    </row>
    <row r="101" spans="1:101" x14ac:dyDescent="0.6">
      <c r="A101" s="214" t="s">
        <v>59</v>
      </c>
      <c r="B101" s="13" t="s">
        <v>2080</v>
      </c>
      <c r="C101" s="219" t="s">
        <v>521</v>
      </c>
      <c r="D101" s="216" t="s">
        <v>203</v>
      </c>
      <c r="E101" s="217" t="s">
        <v>197</v>
      </c>
      <c r="F101" s="217" t="s">
        <v>221</v>
      </c>
      <c r="G101" s="218">
        <v>43068</v>
      </c>
      <c r="H101" s="217" t="s">
        <v>830</v>
      </c>
      <c r="I101" s="217" t="s">
        <v>416</v>
      </c>
      <c r="J101" s="217" t="s">
        <v>1232</v>
      </c>
      <c r="K101" s="217" t="s">
        <v>50</v>
      </c>
      <c r="L101" s="220">
        <v>455083382</v>
      </c>
      <c r="M101" s="206">
        <v>77689901</v>
      </c>
      <c r="N101" s="206">
        <v>377393482</v>
      </c>
      <c r="O101" s="206">
        <v>201504926</v>
      </c>
      <c r="P101" s="206">
        <v>20813521</v>
      </c>
      <c r="Q101" s="206">
        <v>29530469</v>
      </c>
      <c r="R101" s="206">
        <v>23064473</v>
      </c>
      <c r="S101" s="207">
        <v>13733015</v>
      </c>
      <c r="T101" s="207">
        <v>1598</v>
      </c>
      <c r="U101" s="207">
        <v>3928419</v>
      </c>
      <c r="V101" s="207">
        <f>1750297+1380000+112441+2929</f>
        <v>3245667</v>
      </c>
      <c r="W101" s="207">
        <f>5000+1000+301</f>
        <v>6301</v>
      </c>
      <c r="X101" s="207">
        <v>0</v>
      </c>
      <c r="Z101" s="207">
        <v>1738609</v>
      </c>
      <c r="AA101" s="207">
        <v>0</v>
      </c>
      <c r="AB101" s="176">
        <f t="shared" si="138"/>
        <v>8918996</v>
      </c>
      <c r="AC101" s="177">
        <f t="shared" si="117"/>
        <v>64.945651046037597</v>
      </c>
      <c r="AD101" s="177">
        <f t="shared" si="139"/>
        <v>44.034248234144769</v>
      </c>
      <c r="AE101" s="26">
        <f t="shared" si="142"/>
        <v>1.321027447024343</v>
      </c>
      <c r="AF101" s="178">
        <f t="shared" si="118"/>
        <v>52.245780606619107</v>
      </c>
      <c r="AG101" s="178">
        <f t="shared" si="119"/>
        <v>64.953209126195787</v>
      </c>
      <c r="AH101" s="178">
        <f t="shared" si="140"/>
        <v>12.707428519576681</v>
      </c>
      <c r="AI101" s="179">
        <f t="shared" si="141"/>
        <v>80</v>
      </c>
      <c r="AJ101" s="30">
        <f t="shared" si="143"/>
        <v>3.2</v>
      </c>
      <c r="AK101" s="204">
        <v>7</v>
      </c>
      <c r="AL101" s="204">
        <v>6</v>
      </c>
      <c r="AM101" s="204">
        <v>1</v>
      </c>
      <c r="AN101" s="181">
        <f t="shared" si="101"/>
        <v>13</v>
      </c>
      <c r="AO101" s="182">
        <f t="shared" si="102"/>
        <v>7.6923076923076925</v>
      </c>
      <c r="AP101" s="183">
        <f t="shared" si="120"/>
        <v>100</v>
      </c>
      <c r="AQ101" s="38">
        <f t="shared" si="144"/>
        <v>2</v>
      </c>
      <c r="AR101" s="212">
        <v>2</v>
      </c>
      <c r="AS101" s="292">
        <f t="shared" si="103"/>
        <v>0.25</v>
      </c>
      <c r="AT101" s="185">
        <f t="shared" si="104"/>
        <v>1.75</v>
      </c>
      <c r="AU101" s="185">
        <f t="shared" si="121"/>
        <v>1</v>
      </c>
      <c r="AV101" s="186">
        <f t="shared" si="105"/>
        <v>14.285714285714285</v>
      </c>
      <c r="AW101" s="179">
        <f t="shared" si="122"/>
        <v>60</v>
      </c>
      <c r="AX101" s="239">
        <f t="shared" si="145"/>
        <v>0.6</v>
      </c>
      <c r="AY101" s="54">
        <v>10</v>
      </c>
      <c r="AZ101" s="54">
        <f>20-1-7</f>
        <v>12</v>
      </c>
      <c r="BA101" s="189">
        <f t="shared" si="106"/>
        <v>20</v>
      </c>
      <c r="BB101" s="178">
        <f t="shared" si="123"/>
        <v>60</v>
      </c>
      <c r="BC101" s="179">
        <f t="shared" si="124"/>
        <v>25</v>
      </c>
      <c r="BD101" s="30">
        <f t="shared" si="146"/>
        <v>0.25</v>
      </c>
      <c r="BE101" s="190">
        <v>4334350</v>
      </c>
      <c r="BF101" s="190">
        <v>346770</v>
      </c>
      <c r="BG101" s="54">
        <v>15096</v>
      </c>
      <c r="BH101" s="191">
        <f t="shared" si="107"/>
        <v>4681120</v>
      </c>
      <c r="BI101" s="178">
        <f t="shared" si="108"/>
        <v>0.32248692620569441</v>
      </c>
      <c r="BJ101" s="294" t="str">
        <f t="shared" si="125"/>
        <v>금속/비금속/화학업</v>
      </c>
      <c r="BK101" s="192">
        <f t="shared" si="109"/>
        <v>3.9534118626990464</v>
      </c>
      <c r="BL101" s="193">
        <f t="shared" si="126"/>
        <v>-3.630924936493352</v>
      </c>
      <c r="BM101" s="241">
        <f t="shared" si="127"/>
        <v>100</v>
      </c>
      <c r="BN101" s="47">
        <f t="shared" si="128"/>
        <v>2</v>
      </c>
      <c r="BO101" s="54">
        <v>648458</v>
      </c>
      <c r="BP101" s="194">
        <f t="shared" si="110"/>
        <v>0.32180751749959702</v>
      </c>
      <c r="BQ101" s="179">
        <f t="shared" si="129"/>
        <v>55</v>
      </c>
      <c r="BR101" s="30">
        <f t="shared" si="147"/>
        <v>1.1000000000000001</v>
      </c>
      <c r="BS101" s="195">
        <v>1734399.66</v>
      </c>
      <c r="BT101" s="195">
        <v>1932195.5460000001</v>
      </c>
      <c r="BU101" s="196">
        <f t="shared" si="130"/>
        <v>-197795.88600000017</v>
      </c>
      <c r="BV101" s="178">
        <f t="shared" si="111"/>
        <v>-9.815933035800832E-2</v>
      </c>
      <c r="BW101" s="192">
        <f t="shared" si="112"/>
        <v>5.1474158565187729</v>
      </c>
      <c r="BX101" s="192">
        <f t="shared" si="131"/>
        <v>27.516059041177378</v>
      </c>
      <c r="BY101" s="192">
        <f t="shared" si="113"/>
        <v>6.6930498535228526</v>
      </c>
      <c r="BZ101" s="192">
        <f t="shared" si="132"/>
        <v>78.340209129907748</v>
      </c>
      <c r="CA101" s="192">
        <f t="shared" si="114"/>
        <v>40</v>
      </c>
      <c r="CB101" s="55">
        <f t="shared" si="133"/>
        <v>0.8</v>
      </c>
      <c r="CC101" s="197">
        <f t="shared" si="148"/>
        <v>20.585914888694344</v>
      </c>
      <c r="CD101" s="198">
        <f t="shared" si="149"/>
        <v>92.618373785667956</v>
      </c>
      <c r="CE101" s="58">
        <f t="shared" si="150"/>
        <v>1.3892756067850194</v>
      </c>
      <c r="CF101" s="245" t="s">
        <v>2326</v>
      </c>
      <c r="CG101" s="245" t="s">
        <v>2326</v>
      </c>
      <c r="CH101" s="245" t="s">
        <v>2326</v>
      </c>
      <c r="CI101" s="245" t="s">
        <v>2326</v>
      </c>
      <c r="CJ101" s="235"/>
      <c r="CK101" s="173" t="s">
        <v>2479</v>
      </c>
      <c r="CL101" s="173" t="s">
        <v>2478</v>
      </c>
      <c r="CM101" s="199">
        <f t="shared" si="134"/>
        <v>25</v>
      </c>
      <c r="CN101" s="58">
        <f t="shared" si="151"/>
        <v>0.375</v>
      </c>
      <c r="CO101" s="54">
        <f>24847073+37772473</f>
        <v>62619546</v>
      </c>
      <c r="CP101" s="186">
        <f t="shared" si="115"/>
        <v>16.592641099191002</v>
      </c>
      <c r="CQ101" s="179">
        <f t="shared" si="135"/>
        <v>60</v>
      </c>
      <c r="CR101" s="30">
        <f t="shared" si="152"/>
        <v>1.7999999999999998</v>
      </c>
      <c r="CS101" s="200">
        <f>_xlfn.XLOOKUP(C101, '1-1. 관계사체무보증금액 (환율 등)'!$3:$3, '1-1. 관계사체무보증금액 (환율 등)'!$33:$33)</f>
        <v>0</v>
      </c>
      <c r="CT101" s="178">
        <f t="shared" si="116"/>
        <v>0</v>
      </c>
      <c r="CU101" s="179">
        <f t="shared" si="136"/>
        <v>100</v>
      </c>
      <c r="CV101" s="30">
        <f t="shared" si="153"/>
        <v>2</v>
      </c>
      <c r="CW101" s="72">
        <f t="shared" si="137"/>
        <v>16.835303053809362</v>
      </c>
    </row>
    <row r="102" spans="1:101" x14ac:dyDescent="0.6">
      <c r="A102" s="214" t="s">
        <v>100</v>
      </c>
      <c r="B102" s="1" t="s">
        <v>2081</v>
      </c>
      <c r="C102" s="219" t="s">
        <v>32</v>
      </c>
      <c r="D102" s="221" t="s">
        <v>481</v>
      </c>
      <c r="E102" s="217" t="s">
        <v>704</v>
      </c>
      <c r="F102" s="217" t="s">
        <v>360</v>
      </c>
      <c r="G102" s="218">
        <v>40094</v>
      </c>
      <c r="H102" s="217" t="s">
        <v>830</v>
      </c>
      <c r="I102" s="217" t="s">
        <v>971</v>
      </c>
      <c r="J102" s="217" t="s">
        <v>1160</v>
      </c>
      <c r="K102" s="217" t="s">
        <v>91</v>
      </c>
      <c r="L102" s="220">
        <v>37434509044</v>
      </c>
      <c r="M102" s="206">
        <v>35502248501</v>
      </c>
      <c r="N102" s="206">
        <v>1932260544</v>
      </c>
      <c r="O102" s="206">
        <v>10262246106</v>
      </c>
      <c r="P102" s="206">
        <v>152919076</v>
      </c>
      <c r="Q102" s="206">
        <v>119769829</v>
      </c>
      <c r="R102" s="206">
        <v>97027738</v>
      </c>
      <c r="S102" s="207">
        <v>161358585</v>
      </c>
      <c r="T102" s="207">
        <v>5500000</v>
      </c>
      <c r="U102" s="207">
        <f>67779432+53786195</f>
        <v>121565627</v>
      </c>
      <c r="V102" s="207">
        <v>0</v>
      </c>
      <c r="W102" s="207">
        <f>6000+10000+25565+3030+15500+6500+21565+2962</f>
        <v>91122</v>
      </c>
      <c r="X102" s="207">
        <v>0</v>
      </c>
      <c r="Z102" s="207">
        <v>0</v>
      </c>
      <c r="AA102" s="207">
        <v>0</v>
      </c>
      <c r="AB102" s="176">
        <f t="shared" si="138"/>
        <v>121656749</v>
      </c>
      <c r="AC102" s="177">
        <f t="shared" si="117"/>
        <v>75.395275063920522</v>
      </c>
      <c r="AD102" s="177">
        <f t="shared" si="139"/>
        <v>35.015585387870672</v>
      </c>
      <c r="AE102" s="60">
        <f>AD102*0.04</f>
        <v>1.4006234155148269</v>
      </c>
      <c r="AF102" s="178">
        <f t="shared" si="118"/>
        <v>77.997389107568253</v>
      </c>
      <c r="AG102" s="178">
        <f t="shared" si="119"/>
        <v>78.055853644507295</v>
      </c>
      <c r="AH102" s="178">
        <f t="shared" si="140"/>
        <v>5.8464536939041523E-2</v>
      </c>
      <c r="AI102" s="179">
        <f t="shared" si="141"/>
        <v>100</v>
      </c>
      <c r="AJ102" s="61">
        <f>AI102*0.05</f>
        <v>5</v>
      </c>
      <c r="AK102" s="204">
        <v>7</v>
      </c>
      <c r="AL102" s="204">
        <v>15</v>
      </c>
      <c r="AM102" s="204">
        <v>0</v>
      </c>
      <c r="AN102" s="181">
        <f t="shared" si="101"/>
        <v>22</v>
      </c>
      <c r="AO102" s="182">
        <f t="shared" si="102"/>
        <v>0</v>
      </c>
      <c r="AP102" s="183">
        <f t="shared" si="120"/>
        <v>100</v>
      </c>
      <c r="AQ102" s="62">
        <f>AP102*0.03</f>
        <v>3</v>
      </c>
      <c r="AR102" s="212">
        <v>4</v>
      </c>
      <c r="AS102" s="292">
        <f t="shared" si="103"/>
        <v>0.5</v>
      </c>
      <c r="AT102" s="185">
        <f t="shared" si="104"/>
        <v>3.5</v>
      </c>
      <c r="AU102" s="185">
        <f t="shared" si="121"/>
        <v>3</v>
      </c>
      <c r="AV102" s="186">
        <f t="shared" si="105"/>
        <v>14.285714285714285</v>
      </c>
      <c r="AW102" s="179">
        <f t="shared" si="122"/>
        <v>60</v>
      </c>
      <c r="AX102" s="240">
        <f>AW102*0.02</f>
        <v>1.2</v>
      </c>
      <c r="AY102" s="54">
        <v>9</v>
      </c>
      <c r="AZ102" s="54">
        <f>36-1</f>
        <v>35</v>
      </c>
      <c r="BA102" s="189">
        <f t="shared" si="106"/>
        <v>36</v>
      </c>
      <c r="BB102" s="178">
        <f t="shared" si="123"/>
        <v>97.222222222222214</v>
      </c>
      <c r="BC102" s="179">
        <f t="shared" si="124"/>
        <v>100</v>
      </c>
      <c r="BD102" s="61">
        <f>BC102*0.02</f>
        <v>2</v>
      </c>
      <c r="BE102" s="190">
        <v>7885000</v>
      </c>
      <c r="BF102" s="190">
        <v>562000</v>
      </c>
      <c r="BG102" s="301">
        <v>0</v>
      </c>
      <c r="BH102" s="191">
        <f t="shared" si="107"/>
        <v>8447000</v>
      </c>
      <c r="BI102" s="178">
        <f t="shared" si="108"/>
        <v>0</v>
      </c>
      <c r="BJ102" s="294" t="str">
        <f t="shared" si="125"/>
        <v>금융업</v>
      </c>
      <c r="BK102" s="192">
        <f t="shared" si="109"/>
        <v>2.7106886075318837</v>
      </c>
      <c r="BL102" s="193">
        <f t="shared" si="126"/>
        <v>-2.7106886075318837</v>
      </c>
      <c r="BM102" s="241">
        <f t="shared" si="127"/>
        <v>100</v>
      </c>
      <c r="BN102" s="47">
        <f t="shared" si="128"/>
        <v>2</v>
      </c>
      <c r="BO102" s="54">
        <v>0</v>
      </c>
      <c r="BP102" s="194">
        <f t="shared" si="110"/>
        <v>0</v>
      </c>
      <c r="BQ102" s="179">
        <f t="shared" si="129"/>
        <v>25</v>
      </c>
      <c r="BR102" s="61">
        <f>BQ102*0.01</f>
        <v>0.25</v>
      </c>
      <c r="BS102" s="195">
        <v>3060513.1379999998</v>
      </c>
      <c r="BT102" s="195">
        <v>390304.85700000002</v>
      </c>
      <c r="BU102" s="196">
        <f t="shared" si="130"/>
        <v>2670208.281</v>
      </c>
      <c r="BV102" s="178">
        <f t="shared" si="111"/>
        <v>2.6019725637244424E-2</v>
      </c>
      <c r="BW102" s="192">
        <f t="shared" si="112"/>
        <v>0.39407896396795111</v>
      </c>
      <c r="BX102" s="192">
        <f t="shared" si="131"/>
        <v>0.13546760292057997</v>
      </c>
      <c r="BY102" s="192">
        <f t="shared" si="113"/>
        <v>1.5698937849002934</v>
      </c>
      <c r="BZ102" s="192">
        <f t="shared" si="132"/>
        <v>59.268159380263953</v>
      </c>
      <c r="CA102" s="192">
        <f t="shared" si="114"/>
        <v>55</v>
      </c>
      <c r="CB102" s="55">
        <f t="shared" si="133"/>
        <v>1.1000000000000001</v>
      </c>
      <c r="CC102" s="242" t="s">
        <v>1273</v>
      </c>
      <c r="CD102" s="243" t="s">
        <v>1273</v>
      </c>
      <c r="CE102" s="244"/>
      <c r="CF102" s="295" t="s">
        <v>2379</v>
      </c>
      <c r="CG102" s="295" t="s">
        <v>2379</v>
      </c>
      <c r="CH102" s="210">
        <v>0.12</v>
      </c>
      <c r="CI102" s="188">
        <f>IF((100-(75*(CH102-10)/40))&gt;100, 100, IF((100-(75*(CH102-10)/40))&lt;25, 25, (100-(75*(CH102-10)/40))))</f>
        <v>100</v>
      </c>
      <c r="CJ102" s="63">
        <f>CI102*0.04</f>
        <v>4</v>
      </c>
      <c r="CK102" s="173" t="s">
        <v>2476</v>
      </c>
      <c r="CL102" s="173" t="s">
        <v>2477</v>
      </c>
      <c r="CM102" s="199">
        <f t="shared" si="134"/>
        <v>85</v>
      </c>
      <c r="CN102" s="65">
        <f>CM102*0.03</f>
        <v>2.5499999999999998</v>
      </c>
      <c r="CO102" s="54">
        <v>30000000</v>
      </c>
      <c r="CP102" s="186">
        <f t="shared" si="115"/>
        <v>1.5525856537905895</v>
      </c>
      <c r="CQ102" s="179">
        <f t="shared" si="135"/>
        <v>100</v>
      </c>
      <c r="CR102" s="61">
        <f>CQ102*0.04</f>
        <v>4</v>
      </c>
      <c r="CS102" s="200">
        <f>_xlfn.XLOOKUP(C102, '1-1. 관계사체무보증금액 (환율 등)'!$3:$3, '1-1. 관계사체무보증금액 (환율 등)'!$33:$33)</f>
        <v>0</v>
      </c>
      <c r="CT102" s="178">
        <f t="shared" si="116"/>
        <v>0</v>
      </c>
      <c r="CU102" s="179">
        <f t="shared" si="136"/>
        <v>100</v>
      </c>
      <c r="CV102" s="70">
        <f>CU102*0.03</f>
        <v>3</v>
      </c>
      <c r="CW102" s="72">
        <f t="shared" si="137"/>
        <v>29.500623415514827</v>
      </c>
    </row>
    <row r="103" spans="1:101" x14ac:dyDescent="0.6">
      <c r="A103" s="214" t="s">
        <v>1629</v>
      </c>
      <c r="B103" s="13" t="s">
        <v>2082</v>
      </c>
      <c r="C103" s="219" t="s">
        <v>1630</v>
      </c>
      <c r="D103" s="14" t="s">
        <v>191</v>
      </c>
      <c r="E103" s="217" t="s">
        <v>178</v>
      </c>
      <c r="F103" s="217" t="s">
        <v>1631</v>
      </c>
      <c r="G103" s="218">
        <v>36853</v>
      </c>
      <c r="H103" s="217" t="s">
        <v>830</v>
      </c>
      <c r="I103" s="217" t="s">
        <v>1632</v>
      </c>
      <c r="J103" s="217" t="s">
        <v>1633</v>
      </c>
      <c r="K103" s="217" t="s">
        <v>91</v>
      </c>
      <c r="L103" s="220">
        <v>1442896840</v>
      </c>
      <c r="M103" s="206">
        <v>718936776</v>
      </c>
      <c r="N103" s="206">
        <v>723960064</v>
      </c>
      <c r="O103" s="206">
        <v>1876232243</v>
      </c>
      <c r="P103" s="206">
        <v>86186465</v>
      </c>
      <c r="Q103" s="206">
        <v>91831146</v>
      </c>
      <c r="R103" s="206">
        <v>73560010</v>
      </c>
      <c r="S103" s="207">
        <v>3859124</v>
      </c>
      <c r="T103" s="207">
        <v>0</v>
      </c>
      <c r="U103" s="207">
        <v>2870318</v>
      </c>
      <c r="V103" s="207">
        <f>706+3</f>
        <v>709</v>
      </c>
      <c r="W103" s="207">
        <v>0</v>
      </c>
      <c r="X103" s="207">
        <v>0</v>
      </c>
      <c r="Z103" s="207">
        <v>0</v>
      </c>
      <c r="AA103" s="207">
        <v>0</v>
      </c>
      <c r="AB103" s="176">
        <f t="shared" si="138"/>
        <v>2871027</v>
      </c>
      <c r="AC103" s="177">
        <f t="shared" si="117"/>
        <v>74.395821435123622</v>
      </c>
      <c r="AD103" s="177">
        <f t="shared" si="139"/>
        <v>35.878174825842677</v>
      </c>
      <c r="AE103" s="26">
        <f t="shared" ref="AE103:AE120" si="154">AD103*0.03</f>
        <v>1.0763452447752804</v>
      </c>
      <c r="AF103" s="178">
        <f t="shared" si="118"/>
        <v>74.395821435123622</v>
      </c>
      <c r="AG103" s="178">
        <f t="shared" si="119"/>
        <v>74.395821435123622</v>
      </c>
      <c r="AH103" s="178">
        <f t="shared" si="140"/>
        <v>0</v>
      </c>
      <c r="AI103" s="179">
        <f t="shared" si="141"/>
        <v>100</v>
      </c>
      <c r="AJ103" s="30">
        <f t="shared" ref="AJ103:AJ120" si="155">AI103*0.04</f>
        <v>4</v>
      </c>
      <c r="AK103" s="204">
        <v>5</v>
      </c>
      <c r="AL103" s="204">
        <v>12</v>
      </c>
      <c r="AM103" s="204">
        <v>0</v>
      </c>
      <c r="AN103" s="181">
        <f t="shared" si="101"/>
        <v>17</v>
      </c>
      <c r="AO103" s="182">
        <f t="shared" si="102"/>
        <v>0</v>
      </c>
      <c r="AP103" s="183">
        <f t="shared" si="120"/>
        <v>100</v>
      </c>
      <c r="AQ103" s="38">
        <f t="shared" ref="AQ103:AQ120" si="156">AP103*0.02</f>
        <v>2</v>
      </c>
      <c r="AR103" s="212">
        <v>1</v>
      </c>
      <c r="AS103" s="292">
        <f t="shared" si="103"/>
        <v>0.25</v>
      </c>
      <c r="AT103" s="185">
        <f t="shared" si="104"/>
        <v>1.25</v>
      </c>
      <c r="AU103" s="185">
        <f t="shared" si="121"/>
        <v>1</v>
      </c>
      <c r="AV103" s="186">
        <f t="shared" si="105"/>
        <v>0</v>
      </c>
      <c r="AW103" s="179">
        <f t="shared" si="122"/>
        <v>40</v>
      </c>
      <c r="AX103" s="239">
        <f t="shared" ref="AX103:AX120" si="157">AW103*0.01</f>
        <v>0.4</v>
      </c>
      <c r="AY103" s="54">
        <v>24</v>
      </c>
      <c r="AZ103" s="54">
        <v>21</v>
      </c>
      <c r="BA103" s="189">
        <f t="shared" si="106"/>
        <v>24</v>
      </c>
      <c r="BB103" s="178">
        <f t="shared" si="123"/>
        <v>87.5</v>
      </c>
      <c r="BC103" s="179">
        <f t="shared" si="124"/>
        <v>75</v>
      </c>
      <c r="BD103" s="30">
        <f t="shared" ref="BD103:BD120" si="158">BC103*0.01</f>
        <v>0.75</v>
      </c>
      <c r="BE103" s="190">
        <v>99864199</v>
      </c>
      <c r="BF103" s="190">
        <v>6368091</v>
      </c>
      <c r="BG103" s="54">
        <v>6368091</v>
      </c>
      <c r="BH103" s="191">
        <f t="shared" si="107"/>
        <v>106232290</v>
      </c>
      <c r="BI103" s="178">
        <f t="shared" si="108"/>
        <v>5.9944965885607857</v>
      </c>
      <c r="BJ103" s="294" t="str">
        <f t="shared" si="125"/>
        <v>식약/섬유/종이업</v>
      </c>
      <c r="BK103" s="192">
        <f t="shared" si="109"/>
        <v>2.1999360555264444</v>
      </c>
      <c r="BL103" s="193">
        <f t="shared" si="126"/>
        <v>3.7945605330343413</v>
      </c>
      <c r="BM103" s="241">
        <f t="shared" si="127"/>
        <v>40</v>
      </c>
      <c r="BN103" s="47">
        <f t="shared" si="128"/>
        <v>0.8</v>
      </c>
      <c r="BO103" s="54">
        <v>6006447</v>
      </c>
      <c r="BP103" s="194">
        <f t="shared" si="110"/>
        <v>0.32013344949215866</v>
      </c>
      <c r="BQ103" s="179">
        <f t="shared" si="129"/>
        <v>55</v>
      </c>
      <c r="BR103" s="30">
        <f t="shared" ref="BR103:BR120" si="159">BQ103*0.02</f>
        <v>1.1000000000000001</v>
      </c>
      <c r="BS103" s="195">
        <v>36977158.550999999</v>
      </c>
      <c r="BT103" s="195">
        <v>1065472.5209999999</v>
      </c>
      <c r="BU103" s="196">
        <f t="shared" si="130"/>
        <v>35911686.030000001</v>
      </c>
      <c r="BV103" s="178">
        <f t="shared" si="111"/>
        <v>1.9140320268976423</v>
      </c>
      <c r="BW103" s="192">
        <f t="shared" si="112"/>
        <v>5.0508176117342281</v>
      </c>
      <c r="BX103" s="192">
        <f t="shared" si="131"/>
        <v>9.8394238052386029</v>
      </c>
      <c r="BY103" s="192">
        <f t="shared" si="113"/>
        <v>6.9871618081220941</v>
      </c>
      <c r="BZ103" s="192">
        <f t="shared" si="132"/>
        <v>67.326093812625459</v>
      </c>
      <c r="CA103" s="192">
        <f t="shared" si="114"/>
        <v>40</v>
      </c>
      <c r="CB103" s="55">
        <f t="shared" si="133"/>
        <v>0.8</v>
      </c>
      <c r="CC103" s="197">
        <f t="shared" ref="CC103:CC120" si="160">(M103/N103)*100</f>
        <v>99.306137416994318</v>
      </c>
      <c r="CD103" s="198">
        <f t="shared" ref="CD103:CD120" si="161">IF((100-(75*(CC103-1)/(200-1)))&gt;100, 100, IF((100-(75*(CC103-1)/(200-1)))&lt;25, 25, (100-(75*(CC103-1)/(200-1)))))</f>
        <v>62.949948209675512</v>
      </c>
      <c r="CE103" s="58">
        <f t="shared" ref="CE103:CE120" si="162">CD103*0.015</f>
        <v>0.9442492231451326</v>
      </c>
      <c r="CF103" s="245" t="s">
        <v>2326</v>
      </c>
      <c r="CG103" s="245" t="s">
        <v>2326</v>
      </c>
      <c r="CH103" s="245" t="s">
        <v>2326</v>
      </c>
      <c r="CI103" s="245" t="s">
        <v>2326</v>
      </c>
      <c r="CJ103" s="235"/>
      <c r="CK103" s="173" t="s">
        <v>2490</v>
      </c>
      <c r="CL103" s="173" t="s">
        <v>2487</v>
      </c>
      <c r="CM103" s="199">
        <f t="shared" si="134"/>
        <v>70</v>
      </c>
      <c r="CN103" s="58">
        <f t="shared" ref="CN103:CN120" si="163">CM103*0.015</f>
        <v>1.05</v>
      </c>
      <c r="CO103" s="54">
        <f>264687000-14377000-10000-976000-10349000-991000</f>
        <v>237984000</v>
      </c>
      <c r="CP103" s="186">
        <f t="shared" si="115"/>
        <v>32.872531488145732</v>
      </c>
      <c r="CQ103" s="179">
        <f t="shared" si="135"/>
        <v>60</v>
      </c>
      <c r="CR103" s="30">
        <f t="shared" ref="CR103:CR120" si="164">CQ103*0.03</f>
        <v>1.7999999999999998</v>
      </c>
      <c r="CS103" s="200">
        <f>_xlfn.XLOOKUP(C103, '1-1. 관계사체무보증금액 (환율 등)'!$3:$3, '1-1. 관계사체무보증금액 (환율 등)'!$33:$33)</f>
        <v>20000000</v>
      </c>
      <c r="CT103" s="178">
        <f t="shared" si="116"/>
        <v>2.7625833239331832</v>
      </c>
      <c r="CU103" s="179">
        <f t="shared" si="136"/>
        <v>100</v>
      </c>
      <c r="CV103" s="30">
        <f t="shared" ref="CV103:CV120" si="165">CU103*0.02</f>
        <v>2</v>
      </c>
      <c r="CW103" s="72">
        <f t="shared" si="137"/>
        <v>16.720594467920414</v>
      </c>
    </row>
    <row r="104" spans="1:101" x14ac:dyDescent="0.6">
      <c r="A104" s="214" t="s">
        <v>1634</v>
      </c>
      <c r="B104" s="13" t="s">
        <v>2083</v>
      </c>
      <c r="C104" s="219" t="s">
        <v>1635</v>
      </c>
      <c r="D104" s="14" t="s">
        <v>203</v>
      </c>
      <c r="E104" s="217" t="s">
        <v>246</v>
      </c>
      <c r="F104" s="217" t="s">
        <v>1636</v>
      </c>
      <c r="G104" s="218">
        <v>34422</v>
      </c>
      <c r="H104" s="217" t="s">
        <v>830</v>
      </c>
      <c r="I104" s="217" t="s">
        <v>1637</v>
      </c>
      <c r="J104" s="217" t="s">
        <v>1638</v>
      </c>
      <c r="K104" s="217" t="s">
        <v>425</v>
      </c>
      <c r="L104" s="220">
        <v>1380267325</v>
      </c>
      <c r="M104" s="206">
        <v>678125020</v>
      </c>
      <c r="N104" s="206">
        <v>702142305</v>
      </c>
      <c r="O104" s="206">
        <v>1300951533</v>
      </c>
      <c r="P104" s="206">
        <v>82521356</v>
      </c>
      <c r="Q104" s="206">
        <v>74612978</v>
      </c>
      <c r="R104" s="206">
        <v>59394229</v>
      </c>
      <c r="S104" s="207">
        <v>28991282</v>
      </c>
      <c r="T104" s="207">
        <v>0</v>
      </c>
      <c r="U104" s="207">
        <v>20594057</v>
      </c>
      <c r="V104" s="207">
        <f>12645+70300+9390</f>
        <v>92335</v>
      </c>
      <c r="W104" s="207">
        <f>5771+698+200</f>
        <v>6669</v>
      </c>
      <c r="X104" s="207">
        <v>0</v>
      </c>
      <c r="Z104" s="207">
        <f>3569900</f>
        <v>3569900</v>
      </c>
      <c r="AA104" s="207">
        <v>0</v>
      </c>
      <c r="AB104" s="176">
        <f t="shared" si="138"/>
        <v>24262961</v>
      </c>
      <c r="AC104" s="177">
        <f t="shared" si="117"/>
        <v>83.690541867034369</v>
      </c>
      <c r="AD104" s="177">
        <f t="shared" si="139"/>
        <v>27.856264211420282</v>
      </c>
      <c r="AE104" s="26">
        <f t="shared" si="154"/>
        <v>0.83568792634260847</v>
      </c>
      <c r="AF104" s="178">
        <f t="shared" si="118"/>
        <v>71.353836646478769</v>
      </c>
      <c r="AG104" s="178">
        <f t="shared" si="119"/>
        <v>83.690541867034369</v>
      </c>
      <c r="AH104" s="178">
        <f t="shared" si="140"/>
        <v>12.336705220555601</v>
      </c>
      <c r="AI104" s="179">
        <f t="shared" si="141"/>
        <v>80</v>
      </c>
      <c r="AJ104" s="30">
        <f t="shared" si="155"/>
        <v>3.2</v>
      </c>
      <c r="AK104" s="204">
        <v>5</v>
      </c>
      <c r="AL104" s="204">
        <v>12</v>
      </c>
      <c r="AM104" s="204">
        <v>0</v>
      </c>
      <c r="AN104" s="181">
        <f t="shared" si="101"/>
        <v>17</v>
      </c>
      <c r="AO104" s="182">
        <f t="shared" si="102"/>
        <v>0</v>
      </c>
      <c r="AP104" s="183">
        <f t="shared" si="120"/>
        <v>100</v>
      </c>
      <c r="AQ104" s="38">
        <f t="shared" si="156"/>
        <v>2</v>
      </c>
      <c r="AR104" s="212">
        <v>1</v>
      </c>
      <c r="AS104" s="292">
        <f t="shared" si="103"/>
        <v>0.25</v>
      </c>
      <c r="AT104" s="185">
        <f t="shared" si="104"/>
        <v>1.25</v>
      </c>
      <c r="AU104" s="185">
        <f t="shared" si="121"/>
        <v>1</v>
      </c>
      <c r="AV104" s="186">
        <f t="shared" si="105"/>
        <v>0</v>
      </c>
      <c r="AW104" s="179">
        <f t="shared" si="122"/>
        <v>40</v>
      </c>
      <c r="AX104" s="239">
        <f t="shared" si="157"/>
        <v>0.4</v>
      </c>
      <c r="AY104" s="54">
        <v>21</v>
      </c>
      <c r="AZ104" s="54">
        <v>21</v>
      </c>
      <c r="BA104" s="189">
        <f t="shared" si="106"/>
        <v>21</v>
      </c>
      <c r="BB104" s="178">
        <f t="shared" si="123"/>
        <v>100</v>
      </c>
      <c r="BC104" s="179">
        <f t="shared" si="124"/>
        <v>100</v>
      </c>
      <c r="BD104" s="30">
        <f t="shared" si="158"/>
        <v>1</v>
      </c>
      <c r="BE104" s="190">
        <v>10685445</v>
      </c>
      <c r="BF104" s="190">
        <v>1108672</v>
      </c>
      <c r="BG104" s="54">
        <v>690204</v>
      </c>
      <c r="BH104" s="191">
        <f t="shared" si="107"/>
        <v>11794117</v>
      </c>
      <c r="BI104" s="178">
        <f t="shared" si="108"/>
        <v>5.8521040617114446</v>
      </c>
      <c r="BJ104" s="294" t="str">
        <f t="shared" si="125"/>
        <v>금속/비금속/화학업</v>
      </c>
      <c r="BK104" s="192">
        <f t="shared" si="109"/>
        <v>3.9534118626990464</v>
      </c>
      <c r="BL104" s="193">
        <f t="shared" si="126"/>
        <v>1.8986921990123982</v>
      </c>
      <c r="BM104" s="241">
        <f t="shared" si="127"/>
        <v>60</v>
      </c>
      <c r="BN104" s="47">
        <f t="shared" si="128"/>
        <v>1.2</v>
      </c>
      <c r="BO104" s="54">
        <v>6152000</v>
      </c>
      <c r="BP104" s="194">
        <f t="shared" si="110"/>
        <v>0.47288464204453956</v>
      </c>
      <c r="BQ104" s="179">
        <f t="shared" si="129"/>
        <v>55</v>
      </c>
      <c r="BR104" s="30">
        <f t="shared" si="159"/>
        <v>1.1000000000000001</v>
      </c>
      <c r="BS104" s="195">
        <v>95261721.437000006</v>
      </c>
      <c r="BT104" s="195">
        <v>1679458.96</v>
      </c>
      <c r="BU104" s="196">
        <f t="shared" si="130"/>
        <v>93582262.477000013</v>
      </c>
      <c r="BV104" s="178">
        <f t="shared" si="111"/>
        <v>7.1933703987572013</v>
      </c>
      <c r="BW104" s="192">
        <f t="shared" si="112"/>
        <v>5.1474158565187729</v>
      </c>
      <c r="BX104" s="192">
        <f t="shared" si="131"/>
        <v>4.1859299889060573</v>
      </c>
      <c r="BY104" s="192">
        <f t="shared" si="113"/>
        <v>6.6930498535228526</v>
      </c>
      <c r="BZ104" s="192">
        <f t="shared" si="132"/>
        <v>37.992283934495099</v>
      </c>
      <c r="CA104" s="192">
        <f t="shared" si="114"/>
        <v>55</v>
      </c>
      <c r="CB104" s="55">
        <f t="shared" si="133"/>
        <v>1.1000000000000001</v>
      </c>
      <c r="CC104" s="197">
        <f t="shared" si="160"/>
        <v>96.579427727261063</v>
      </c>
      <c r="CD104" s="198">
        <f t="shared" si="161"/>
        <v>63.977602615353874</v>
      </c>
      <c r="CE104" s="58">
        <f t="shared" si="162"/>
        <v>0.95966403923030807</v>
      </c>
      <c r="CF104" s="245" t="s">
        <v>2326</v>
      </c>
      <c r="CG104" s="245" t="s">
        <v>2326</v>
      </c>
      <c r="CH104" s="245" t="s">
        <v>2326</v>
      </c>
      <c r="CI104" s="245" t="s">
        <v>2326</v>
      </c>
      <c r="CJ104" s="235"/>
      <c r="CK104" s="173" t="s">
        <v>2490</v>
      </c>
      <c r="CL104" s="173" t="s">
        <v>2487</v>
      </c>
      <c r="CM104" s="199">
        <f t="shared" si="134"/>
        <v>70</v>
      </c>
      <c r="CN104" s="58">
        <f t="shared" si="163"/>
        <v>1.05</v>
      </c>
      <c r="CO104" s="54">
        <v>155961000</v>
      </c>
      <c r="CP104" s="186">
        <f t="shared" si="115"/>
        <v>22.212163957276438</v>
      </c>
      <c r="CQ104" s="179">
        <f t="shared" si="135"/>
        <v>60</v>
      </c>
      <c r="CR104" s="30">
        <f t="shared" si="164"/>
        <v>1.7999999999999998</v>
      </c>
      <c r="CS104" s="200">
        <f>_xlfn.XLOOKUP(C104, '1-1. 관계사체무보증금액 (환율 등)'!$3:$3, '1-1. 관계사체무보증금액 (환율 등)'!$33:$33)</f>
        <v>0</v>
      </c>
      <c r="CT104" s="178">
        <f t="shared" si="116"/>
        <v>0</v>
      </c>
      <c r="CU104" s="179">
        <f t="shared" si="136"/>
        <v>100</v>
      </c>
      <c r="CV104" s="30">
        <f t="shared" si="165"/>
        <v>2</v>
      </c>
      <c r="CW104" s="72">
        <f t="shared" si="137"/>
        <v>16.645351965572917</v>
      </c>
    </row>
    <row r="105" spans="1:101" x14ac:dyDescent="0.6">
      <c r="A105" s="214" t="s">
        <v>865</v>
      </c>
      <c r="B105" s="13" t="s">
        <v>2084</v>
      </c>
      <c r="C105" s="219" t="s">
        <v>852</v>
      </c>
      <c r="D105" s="216" t="s">
        <v>203</v>
      </c>
      <c r="E105" s="217" t="s">
        <v>197</v>
      </c>
      <c r="F105" s="217" t="s">
        <v>357</v>
      </c>
      <c r="G105" s="218">
        <v>41201</v>
      </c>
      <c r="H105" s="217" t="s">
        <v>830</v>
      </c>
      <c r="I105" s="217" t="s">
        <v>774</v>
      </c>
      <c r="J105" s="217" t="s">
        <v>1048</v>
      </c>
      <c r="K105" s="217" t="s">
        <v>484</v>
      </c>
      <c r="L105" s="220">
        <v>372451008</v>
      </c>
      <c r="M105" s="206">
        <v>160285008</v>
      </c>
      <c r="N105" s="206">
        <v>212166000</v>
      </c>
      <c r="O105" s="206">
        <v>382323241</v>
      </c>
      <c r="P105" s="206">
        <v>10643381</v>
      </c>
      <c r="Q105" s="206">
        <v>10453576</v>
      </c>
      <c r="R105" s="206">
        <v>9587170</v>
      </c>
      <c r="S105" s="207">
        <v>13900000</v>
      </c>
      <c r="T105" s="207">
        <v>0</v>
      </c>
      <c r="U105" s="207">
        <f>6133737+2166142</f>
        <v>8299879</v>
      </c>
      <c r="V105" s="207">
        <f>651547+131591</f>
        <v>783138</v>
      </c>
      <c r="W105" s="207">
        <f>27000+24451</f>
        <v>51451</v>
      </c>
      <c r="X105" s="207">
        <v>562451</v>
      </c>
      <c r="Y105" s="208" t="s">
        <v>2424</v>
      </c>
      <c r="Z105" s="207">
        <v>0</v>
      </c>
      <c r="AA105" s="207">
        <v>0</v>
      </c>
      <c r="AB105" s="176">
        <f t="shared" si="138"/>
        <v>9696919</v>
      </c>
      <c r="AC105" s="177">
        <f t="shared" si="117"/>
        <v>69.762007194244603</v>
      </c>
      <c r="AD105" s="177">
        <f t="shared" si="139"/>
        <v>39.877439130398791</v>
      </c>
      <c r="AE105" s="26">
        <f t="shared" si="154"/>
        <v>1.1963231739119637</v>
      </c>
      <c r="AF105" s="178">
        <f t="shared" si="118"/>
        <v>65.345446043165467</v>
      </c>
      <c r="AG105" s="178">
        <f t="shared" si="119"/>
        <v>69.762007194244603</v>
      </c>
      <c r="AH105" s="178">
        <f t="shared" si="140"/>
        <v>4.4165611510791365</v>
      </c>
      <c r="AI105" s="179">
        <f t="shared" si="141"/>
        <v>100</v>
      </c>
      <c r="AJ105" s="30">
        <f t="shared" si="155"/>
        <v>4</v>
      </c>
      <c r="AK105" s="204">
        <v>5</v>
      </c>
      <c r="AL105" s="204">
        <v>3</v>
      </c>
      <c r="AM105" s="204">
        <v>0</v>
      </c>
      <c r="AN105" s="181">
        <f t="shared" si="101"/>
        <v>8</v>
      </c>
      <c r="AO105" s="182">
        <f t="shared" si="102"/>
        <v>0</v>
      </c>
      <c r="AP105" s="183">
        <f t="shared" si="120"/>
        <v>100</v>
      </c>
      <c r="AQ105" s="38">
        <f t="shared" si="156"/>
        <v>2</v>
      </c>
      <c r="AR105" s="212">
        <v>3</v>
      </c>
      <c r="AS105" s="292">
        <f t="shared" si="103"/>
        <v>0.25</v>
      </c>
      <c r="AT105" s="185">
        <f t="shared" si="104"/>
        <v>1.25</v>
      </c>
      <c r="AU105" s="185">
        <f t="shared" si="121"/>
        <v>1</v>
      </c>
      <c r="AV105" s="186">
        <f t="shared" si="105"/>
        <v>40</v>
      </c>
      <c r="AW105" s="179">
        <f t="shared" si="122"/>
        <v>100</v>
      </c>
      <c r="AX105" s="239">
        <f t="shared" si="157"/>
        <v>1</v>
      </c>
      <c r="AY105" s="54">
        <v>6</v>
      </c>
      <c r="AZ105" s="54">
        <v>14</v>
      </c>
      <c r="BA105" s="189">
        <f t="shared" si="106"/>
        <v>18</v>
      </c>
      <c r="BB105" s="178">
        <f t="shared" si="123"/>
        <v>77.777777777777786</v>
      </c>
      <c r="BC105" s="179">
        <f t="shared" si="124"/>
        <v>50</v>
      </c>
      <c r="BD105" s="30">
        <f t="shared" si="158"/>
        <v>0.5</v>
      </c>
      <c r="BE105" s="190">
        <v>8794390</v>
      </c>
      <c r="BF105" s="190">
        <v>795255</v>
      </c>
      <c r="BG105" s="54">
        <v>209069</v>
      </c>
      <c r="BH105" s="191">
        <f t="shared" si="107"/>
        <v>9589645</v>
      </c>
      <c r="BI105" s="178">
        <f t="shared" si="108"/>
        <v>2.1801536970346662</v>
      </c>
      <c r="BJ105" s="294" t="str">
        <f t="shared" si="125"/>
        <v>금속/비금속/화학업</v>
      </c>
      <c r="BK105" s="192">
        <f t="shared" si="109"/>
        <v>3.9534118626990464</v>
      </c>
      <c r="BL105" s="193">
        <f t="shared" si="126"/>
        <v>-1.7732581656643802</v>
      </c>
      <c r="BM105" s="241">
        <f t="shared" si="127"/>
        <v>80</v>
      </c>
      <c r="BN105" s="47">
        <f t="shared" si="128"/>
        <v>1.6</v>
      </c>
      <c r="BO105" s="54">
        <v>4161765</v>
      </c>
      <c r="BP105" s="194">
        <f t="shared" si="110"/>
        <v>1.0885461708041966</v>
      </c>
      <c r="BQ105" s="179">
        <f t="shared" si="129"/>
        <v>70</v>
      </c>
      <c r="BR105" s="30">
        <f t="shared" si="159"/>
        <v>1.4000000000000001</v>
      </c>
      <c r="BS105" s="195">
        <v>4674265</v>
      </c>
      <c r="BT105" s="195">
        <v>246703</v>
      </c>
      <c r="BU105" s="196">
        <f t="shared" si="130"/>
        <v>4427562</v>
      </c>
      <c r="BV105" s="178">
        <f t="shared" si="111"/>
        <v>1.1580677095170366</v>
      </c>
      <c r="BW105" s="192">
        <f t="shared" si="112"/>
        <v>5.1474158565187729</v>
      </c>
      <c r="BX105" s="192">
        <f t="shared" si="131"/>
        <v>15.914898637986186</v>
      </c>
      <c r="BY105" s="192">
        <f t="shared" si="113"/>
        <v>6.6930498535228526</v>
      </c>
      <c r="BZ105" s="192">
        <f t="shared" si="132"/>
        <v>72.442688083649372</v>
      </c>
      <c r="CA105" s="192">
        <f t="shared" si="114"/>
        <v>40</v>
      </c>
      <c r="CB105" s="55">
        <f t="shared" si="133"/>
        <v>0.8</v>
      </c>
      <c r="CC105" s="197">
        <f t="shared" si="160"/>
        <v>75.546981137411279</v>
      </c>
      <c r="CD105" s="198">
        <f t="shared" si="161"/>
        <v>71.904404093940471</v>
      </c>
      <c r="CE105" s="58">
        <f t="shared" si="162"/>
        <v>1.078566061409107</v>
      </c>
      <c r="CF105" s="245" t="s">
        <v>2326</v>
      </c>
      <c r="CG105" s="245" t="s">
        <v>2326</v>
      </c>
      <c r="CH105" s="245" t="s">
        <v>2326</v>
      </c>
      <c r="CI105" s="245" t="s">
        <v>2326</v>
      </c>
      <c r="CJ105" s="235"/>
      <c r="CK105" s="173" t="s">
        <v>2508</v>
      </c>
      <c r="CL105" s="173" t="s">
        <v>2478</v>
      </c>
      <c r="CM105" s="199">
        <f t="shared" si="134"/>
        <v>25</v>
      </c>
      <c r="CN105" s="58">
        <f t="shared" si="163"/>
        <v>0.375</v>
      </c>
      <c r="CO105" s="54">
        <v>22308641</v>
      </c>
      <c r="CP105" s="186">
        <f t="shared" si="115"/>
        <v>10.514710651093955</v>
      </c>
      <c r="CQ105" s="179">
        <f t="shared" si="135"/>
        <v>60</v>
      </c>
      <c r="CR105" s="30">
        <f t="shared" si="164"/>
        <v>1.7999999999999998</v>
      </c>
      <c r="CS105" s="200">
        <f>_xlfn.XLOOKUP(C105, '1-1. 관계사체무보증금액 (환율 등)'!$3:$3, '1-1. 관계사체무보증금액 (환율 등)'!$33:$33)</f>
        <v>30379746.835443035</v>
      </c>
      <c r="CT105" s="178">
        <f t="shared" si="116"/>
        <v>14.318857326547626</v>
      </c>
      <c r="CU105" s="179">
        <f t="shared" si="136"/>
        <v>60</v>
      </c>
      <c r="CV105" s="30">
        <f t="shared" si="165"/>
        <v>1.2</v>
      </c>
      <c r="CW105" s="72">
        <f t="shared" si="137"/>
        <v>16.94988923532107</v>
      </c>
    </row>
    <row r="106" spans="1:101" x14ac:dyDescent="0.6">
      <c r="A106" s="214" t="s">
        <v>48</v>
      </c>
      <c r="B106" s="13" t="s">
        <v>2085</v>
      </c>
      <c r="C106" s="219" t="s">
        <v>432</v>
      </c>
      <c r="D106" s="216" t="s">
        <v>203</v>
      </c>
      <c r="E106" s="217" t="s">
        <v>195</v>
      </c>
      <c r="F106" s="217" t="s">
        <v>128</v>
      </c>
      <c r="G106" s="218">
        <v>38533</v>
      </c>
      <c r="H106" s="217" t="s">
        <v>830</v>
      </c>
      <c r="I106" s="217" t="s">
        <v>193</v>
      </c>
      <c r="J106" s="217" t="s">
        <v>1044</v>
      </c>
      <c r="K106" s="217" t="s">
        <v>31</v>
      </c>
      <c r="L106" s="220">
        <v>457877289</v>
      </c>
      <c r="M106" s="206">
        <v>52176470</v>
      </c>
      <c r="N106" s="206">
        <v>405700820</v>
      </c>
      <c r="O106" s="206">
        <v>441052792</v>
      </c>
      <c r="P106" s="206">
        <v>20091259</v>
      </c>
      <c r="Q106" s="206">
        <v>24421805</v>
      </c>
      <c r="R106" s="206">
        <v>18622026</v>
      </c>
      <c r="S106" s="207">
        <v>2425215</v>
      </c>
      <c r="T106" s="207">
        <v>259144</v>
      </c>
      <c r="U106" s="207">
        <v>611698</v>
      </c>
      <c r="V106" s="207">
        <f>3000+95942+75899+106564+77441+2106+2100+2436</f>
        <v>365488</v>
      </c>
      <c r="W106" s="207">
        <f>910+880</f>
        <v>1790</v>
      </c>
      <c r="X106" s="207">
        <v>20000</v>
      </c>
      <c r="Y106" s="208" t="s">
        <v>2425</v>
      </c>
      <c r="Z106" s="207">
        <f>107853+3000</f>
        <v>110853</v>
      </c>
      <c r="AA106" s="207">
        <v>0</v>
      </c>
      <c r="AB106" s="176">
        <f t="shared" si="138"/>
        <v>1109829</v>
      </c>
      <c r="AC106" s="177">
        <f t="shared" si="117"/>
        <v>45.762087072692523</v>
      </c>
      <c r="AD106" s="177">
        <f t="shared" si="139"/>
        <v>60.590833941864915</v>
      </c>
      <c r="AE106" s="26">
        <f t="shared" si="154"/>
        <v>1.8177250182559475</v>
      </c>
      <c r="AF106" s="178">
        <f t="shared" si="118"/>
        <v>45.113294993562079</v>
      </c>
      <c r="AG106" s="178">
        <f t="shared" si="119"/>
        <v>51.236963146637393</v>
      </c>
      <c r="AH106" s="178">
        <f t="shared" si="140"/>
        <v>6.1236681530753145</v>
      </c>
      <c r="AI106" s="179">
        <f t="shared" si="141"/>
        <v>100</v>
      </c>
      <c r="AJ106" s="30">
        <f t="shared" si="155"/>
        <v>4</v>
      </c>
      <c r="AK106" s="204">
        <v>5</v>
      </c>
      <c r="AL106" s="204">
        <v>7</v>
      </c>
      <c r="AM106" s="204">
        <v>2</v>
      </c>
      <c r="AN106" s="181">
        <f t="shared" si="101"/>
        <v>12</v>
      </c>
      <c r="AO106" s="182">
        <f t="shared" si="102"/>
        <v>16.666666666666664</v>
      </c>
      <c r="AP106" s="183">
        <f t="shared" si="120"/>
        <v>80</v>
      </c>
      <c r="AQ106" s="38">
        <f t="shared" si="156"/>
        <v>1.6</v>
      </c>
      <c r="AR106" s="212">
        <v>3</v>
      </c>
      <c r="AS106" s="292">
        <f t="shared" si="103"/>
        <v>0.25</v>
      </c>
      <c r="AT106" s="185">
        <f t="shared" si="104"/>
        <v>1.25</v>
      </c>
      <c r="AU106" s="185">
        <f t="shared" si="121"/>
        <v>1</v>
      </c>
      <c r="AV106" s="186">
        <f t="shared" si="105"/>
        <v>40</v>
      </c>
      <c r="AW106" s="179">
        <f t="shared" si="122"/>
        <v>100</v>
      </c>
      <c r="AX106" s="239">
        <f t="shared" si="157"/>
        <v>1</v>
      </c>
      <c r="AY106" s="54">
        <v>12</v>
      </c>
      <c r="AZ106" s="54">
        <v>36</v>
      </c>
      <c r="BA106" s="189">
        <f t="shared" si="106"/>
        <v>36</v>
      </c>
      <c r="BB106" s="178">
        <f t="shared" si="123"/>
        <v>100</v>
      </c>
      <c r="BC106" s="179">
        <f t="shared" si="124"/>
        <v>100</v>
      </c>
      <c r="BD106" s="30">
        <f t="shared" si="158"/>
        <v>1</v>
      </c>
      <c r="BE106" s="190">
        <v>5033498.3420000002</v>
      </c>
      <c r="BF106" s="190">
        <v>521088.913</v>
      </c>
      <c r="BG106" s="54">
        <v>95585.385999999999</v>
      </c>
      <c r="BH106" s="191">
        <f t="shared" si="107"/>
        <v>5554587.2549999999</v>
      </c>
      <c r="BI106" s="178">
        <f t="shared" si="108"/>
        <v>1.7208368797151967</v>
      </c>
      <c r="BJ106" s="294" t="str">
        <f t="shared" si="125"/>
        <v>금속/비금속/화학업</v>
      </c>
      <c r="BK106" s="192">
        <f t="shared" si="109"/>
        <v>3.9534118626990464</v>
      </c>
      <c r="BL106" s="193">
        <f t="shared" si="126"/>
        <v>-2.2325749829838495</v>
      </c>
      <c r="BM106" s="241">
        <f t="shared" si="127"/>
        <v>100</v>
      </c>
      <c r="BN106" s="47">
        <f t="shared" si="128"/>
        <v>2</v>
      </c>
      <c r="BO106" s="54">
        <v>0</v>
      </c>
      <c r="BP106" s="194">
        <f t="shared" si="110"/>
        <v>0</v>
      </c>
      <c r="BQ106" s="179">
        <f t="shared" si="129"/>
        <v>25</v>
      </c>
      <c r="BR106" s="30">
        <f t="shared" si="159"/>
        <v>0.5</v>
      </c>
      <c r="BS106" s="195">
        <v>5991703.324</v>
      </c>
      <c r="BT106" s="195">
        <v>303985.36599999998</v>
      </c>
      <c r="BU106" s="196">
        <f t="shared" si="130"/>
        <v>5687717.9579999996</v>
      </c>
      <c r="BV106" s="178">
        <f t="shared" si="111"/>
        <v>1.2895775882538796</v>
      </c>
      <c r="BW106" s="192">
        <f t="shared" si="112"/>
        <v>5.1474158565187729</v>
      </c>
      <c r="BX106" s="192">
        <f t="shared" si="131"/>
        <v>14.88291610408907</v>
      </c>
      <c r="BY106" s="192">
        <f t="shared" si="113"/>
        <v>6.6930498535228526</v>
      </c>
      <c r="BZ106" s="192">
        <f t="shared" si="132"/>
        <v>71.782577720922419</v>
      </c>
      <c r="CA106" s="192">
        <f t="shared" si="114"/>
        <v>40</v>
      </c>
      <c r="CB106" s="55">
        <f t="shared" si="133"/>
        <v>0.8</v>
      </c>
      <c r="CC106" s="197">
        <f t="shared" si="160"/>
        <v>12.860824387784081</v>
      </c>
      <c r="CD106" s="198">
        <f t="shared" si="161"/>
        <v>95.529840054855242</v>
      </c>
      <c r="CE106" s="58">
        <f t="shared" si="162"/>
        <v>1.4329476008228286</v>
      </c>
      <c r="CF106" s="245" t="s">
        <v>2326</v>
      </c>
      <c r="CG106" s="245" t="s">
        <v>2326</v>
      </c>
      <c r="CH106" s="245" t="s">
        <v>2326</v>
      </c>
      <c r="CI106" s="245" t="s">
        <v>2326</v>
      </c>
      <c r="CJ106" s="235"/>
      <c r="CK106" s="173" t="s">
        <v>2479</v>
      </c>
      <c r="CL106" s="173" t="s">
        <v>2478</v>
      </c>
      <c r="CM106" s="199">
        <f t="shared" si="134"/>
        <v>25</v>
      </c>
      <c r="CN106" s="58">
        <f t="shared" si="163"/>
        <v>0.375</v>
      </c>
      <c r="CO106" s="54">
        <v>41554000</v>
      </c>
      <c r="CP106" s="186">
        <f t="shared" si="115"/>
        <v>10.242523049374167</v>
      </c>
      <c r="CQ106" s="179">
        <f t="shared" si="135"/>
        <v>60</v>
      </c>
      <c r="CR106" s="30">
        <f t="shared" si="164"/>
        <v>1.7999999999999998</v>
      </c>
      <c r="CS106" s="200">
        <f>_xlfn.XLOOKUP(C106, '1-1. 관계사체무보증금액 (환율 등)'!$3:$3, '1-1. 관계사체무보증금액 (환율 등)'!$33:$33)</f>
        <v>0</v>
      </c>
      <c r="CT106" s="178">
        <f t="shared" si="116"/>
        <v>0</v>
      </c>
      <c r="CU106" s="179">
        <f t="shared" si="136"/>
        <v>100</v>
      </c>
      <c r="CV106" s="30">
        <f t="shared" si="165"/>
        <v>2</v>
      </c>
      <c r="CW106" s="72">
        <f t="shared" si="137"/>
        <v>18.325672619078777</v>
      </c>
    </row>
    <row r="107" spans="1:101" x14ac:dyDescent="0.6">
      <c r="A107" s="214" t="s">
        <v>1639</v>
      </c>
      <c r="B107" s="13" t="s">
        <v>2086</v>
      </c>
      <c r="C107" s="219" t="s">
        <v>873</v>
      </c>
      <c r="D107" s="216" t="s">
        <v>203</v>
      </c>
      <c r="E107" s="217" t="s">
        <v>195</v>
      </c>
      <c r="F107" s="217" t="s">
        <v>1075</v>
      </c>
      <c r="G107" s="218">
        <v>42271</v>
      </c>
      <c r="H107" s="217" t="s">
        <v>830</v>
      </c>
      <c r="I107" s="217" t="s">
        <v>1640</v>
      </c>
      <c r="J107" s="217" t="s">
        <v>1172</v>
      </c>
      <c r="K107" s="217" t="s">
        <v>690</v>
      </c>
      <c r="L107" s="220">
        <v>179708719</v>
      </c>
      <c r="M107" s="206">
        <v>22028248</v>
      </c>
      <c r="N107" s="206">
        <v>157680471</v>
      </c>
      <c r="O107" s="206">
        <v>196757615</v>
      </c>
      <c r="P107" s="206">
        <v>2456930</v>
      </c>
      <c r="Q107" s="206">
        <v>3926033</v>
      </c>
      <c r="R107" s="206">
        <v>3345149</v>
      </c>
      <c r="S107" s="207">
        <v>20300360</v>
      </c>
      <c r="T107" s="207">
        <v>514900</v>
      </c>
      <c r="U107" s="207">
        <v>1000000</v>
      </c>
      <c r="V107" s="207">
        <f>687820+600000+300000</f>
        <v>1587820</v>
      </c>
      <c r="W107" s="207">
        <f>85000+450000+11000</f>
        <v>546000</v>
      </c>
      <c r="X107" s="207">
        <v>0</v>
      </c>
      <c r="Z107" s="207">
        <v>8450812</v>
      </c>
      <c r="AA107" s="207">
        <v>0</v>
      </c>
      <c r="AB107" s="176">
        <f t="shared" si="138"/>
        <v>11584632</v>
      </c>
      <c r="AC107" s="177">
        <f t="shared" si="117"/>
        <v>57.066140698982679</v>
      </c>
      <c r="AD107" s="177">
        <f t="shared" si="139"/>
        <v>50.834746232178368</v>
      </c>
      <c r="AE107" s="26">
        <f t="shared" si="154"/>
        <v>1.5250423869653509</v>
      </c>
      <c r="AF107" s="178">
        <f t="shared" si="118"/>
        <v>13.079402753335026</v>
      </c>
      <c r="AG107" s="178">
        <f t="shared" si="119"/>
        <v>58.551239142279229</v>
      </c>
      <c r="AH107" s="178">
        <f t="shared" si="140"/>
        <v>45.471836388944205</v>
      </c>
      <c r="AI107" s="179">
        <f t="shared" si="141"/>
        <v>60</v>
      </c>
      <c r="AJ107" s="30">
        <f t="shared" si="155"/>
        <v>2.4</v>
      </c>
      <c r="AK107" s="204">
        <v>6</v>
      </c>
      <c r="AL107" s="204">
        <v>7</v>
      </c>
      <c r="AM107" s="204">
        <v>1</v>
      </c>
      <c r="AN107" s="181">
        <f t="shared" si="101"/>
        <v>13</v>
      </c>
      <c r="AO107" s="182">
        <f t="shared" si="102"/>
        <v>7.6923076923076925</v>
      </c>
      <c r="AP107" s="183">
        <f t="shared" si="120"/>
        <v>100</v>
      </c>
      <c r="AQ107" s="38">
        <f t="shared" si="156"/>
        <v>2</v>
      </c>
      <c r="AR107" s="212">
        <v>3</v>
      </c>
      <c r="AS107" s="292">
        <f t="shared" si="103"/>
        <v>0.25</v>
      </c>
      <c r="AT107" s="185">
        <f t="shared" si="104"/>
        <v>1.5</v>
      </c>
      <c r="AU107" s="185">
        <f t="shared" si="121"/>
        <v>1</v>
      </c>
      <c r="AV107" s="186">
        <f t="shared" si="105"/>
        <v>33.333333333333329</v>
      </c>
      <c r="AW107" s="179">
        <f t="shared" si="122"/>
        <v>80</v>
      </c>
      <c r="AX107" s="239">
        <f t="shared" si="157"/>
        <v>0.8</v>
      </c>
      <c r="AY107" s="54">
        <v>7</v>
      </c>
      <c r="AZ107" s="54">
        <v>19</v>
      </c>
      <c r="BA107" s="189">
        <f t="shared" si="106"/>
        <v>21</v>
      </c>
      <c r="BB107" s="178">
        <f t="shared" si="123"/>
        <v>90.476190476190482</v>
      </c>
      <c r="BC107" s="179">
        <f t="shared" si="124"/>
        <v>100</v>
      </c>
      <c r="BD107" s="30">
        <f t="shared" si="158"/>
        <v>1</v>
      </c>
      <c r="BE107" s="190">
        <f>2434618+180938</f>
        <v>2615556</v>
      </c>
      <c r="BF107" s="190">
        <v>356189</v>
      </c>
      <c r="BG107" s="54">
        <v>20748</v>
      </c>
      <c r="BH107" s="191">
        <f t="shared" si="107"/>
        <v>2971745</v>
      </c>
      <c r="BI107" s="178">
        <f t="shared" si="108"/>
        <v>0.69817565100639523</v>
      </c>
      <c r="BJ107" s="294" t="str">
        <f t="shared" si="125"/>
        <v>금속/비금속/화학업</v>
      </c>
      <c r="BK107" s="192">
        <f t="shared" si="109"/>
        <v>3.9534118626990464</v>
      </c>
      <c r="BL107" s="193">
        <f t="shared" si="126"/>
        <v>-3.255236211692651</v>
      </c>
      <c r="BM107" s="241">
        <f t="shared" si="127"/>
        <v>100</v>
      </c>
      <c r="BN107" s="47">
        <f t="shared" si="128"/>
        <v>2</v>
      </c>
      <c r="BO107" s="54">
        <v>0</v>
      </c>
      <c r="BP107" s="194">
        <f t="shared" si="110"/>
        <v>0</v>
      </c>
      <c r="BQ107" s="179">
        <f t="shared" si="129"/>
        <v>25</v>
      </c>
      <c r="BR107" s="30">
        <f t="shared" si="159"/>
        <v>0.5</v>
      </c>
      <c r="BS107" s="195">
        <v>7185226</v>
      </c>
      <c r="BT107" s="195">
        <v>252718</v>
      </c>
      <c r="BU107" s="196">
        <f t="shared" si="130"/>
        <v>6932508</v>
      </c>
      <c r="BV107" s="178">
        <f t="shared" si="111"/>
        <v>3.5233746861589066</v>
      </c>
      <c r="BW107" s="192">
        <f t="shared" si="112"/>
        <v>5.1474158565187729</v>
      </c>
      <c r="BX107" s="192">
        <f t="shared" si="131"/>
        <v>2.637509723023844</v>
      </c>
      <c r="BY107" s="192">
        <f t="shared" si="113"/>
        <v>6.6930498535228526</v>
      </c>
      <c r="BZ107" s="192">
        <f t="shared" si="132"/>
        <v>59.586014349460292</v>
      </c>
      <c r="CA107" s="192">
        <f t="shared" si="114"/>
        <v>55</v>
      </c>
      <c r="CB107" s="55">
        <f t="shared" si="133"/>
        <v>1.1000000000000001</v>
      </c>
      <c r="CC107" s="197">
        <f t="shared" si="160"/>
        <v>13.970181507131596</v>
      </c>
      <c r="CD107" s="198">
        <f t="shared" si="161"/>
        <v>95.111740638015732</v>
      </c>
      <c r="CE107" s="58">
        <f t="shared" si="162"/>
        <v>1.4266761095702358</v>
      </c>
      <c r="CF107" s="245" t="s">
        <v>2326</v>
      </c>
      <c r="CG107" s="245" t="s">
        <v>2326</v>
      </c>
      <c r="CH107" s="245" t="s">
        <v>2326</v>
      </c>
      <c r="CI107" s="245" t="s">
        <v>2326</v>
      </c>
      <c r="CJ107" s="235"/>
      <c r="CK107" s="173" t="s">
        <v>2492</v>
      </c>
      <c r="CL107" s="173" t="s">
        <v>2493</v>
      </c>
      <c r="CM107" s="199">
        <f t="shared" si="134"/>
        <v>40</v>
      </c>
      <c r="CN107" s="58">
        <f t="shared" si="163"/>
        <v>0.6</v>
      </c>
      <c r="CO107" s="54">
        <v>0</v>
      </c>
      <c r="CP107" s="186">
        <f t="shared" si="115"/>
        <v>0</v>
      </c>
      <c r="CQ107" s="179">
        <f t="shared" si="135"/>
        <v>100</v>
      </c>
      <c r="CR107" s="30">
        <f t="shared" si="164"/>
        <v>3</v>
      </c>
      <c r="CS107" s="200">
        <f>_xlfn.XLOOKUP(C107, '1-1. 관계사체무보증금액 (환율 등)'!$3:$3, '1-1. 관계사체무보증금액 (환율 등)'!$33:$33)</f>
        <v>0</v>
      </c>
      <c r="CT107" s="178">
        <f t="shared" si="116"/>
        <v>0</v>
      </c>
      <c r="CU107" s="179">
        <f t="shared" si="136"/>
        <v>100</v>
      </c>
      <c r="CV107" s="30">
        <f t="shared" si="165"/>
        <v>2</v>
      </c>
      <c r="CW107" s="72">
        <f t="shared" si="137"/>
        <v>18.351718496535586</v>
      </c>
    </row>
    <row r="108" spans="1:101" x14ac:dyDescent="0.6">
      <c r="A108" s="214" t="s">
        <v>370</v>
      </c>
      <c r="B108" s="13" t="s">
        <v>2087</v>
      </c>
      <c r="C108" s="219" t="s">
        <v>319</v>
      </c>
      <c r="D108" s="216" t="s">
        <v>191</v>
      </c>
      <c r="E108" s="217" t="s">
        <v>34</v>
      </c>
      <c r="F108" s="217" t="s">
        <v>567</v>
      </c>
      <c r="G108" s="218">
        <v>27843</v>
      </c>
      <c r="H108" s="217" t="s">
        <v>830</v>
      </c>
      <c r="I108" s="217" t="s">
        <v>1641</v>
      </c>
      <c r="J108" s="217" t="s">
        <v>1191</v>
      </c>
      <c r="K108" s="217" t="s">
        <v>91</v>
      </c>
      <c r="L108" s="220">
        <v>429874042</v>
      </c>
      <c r="M108" s="206">
        <v>70083130</v>
      </c>
      <c r="N108" s="206">
        <v>359790911</v>
      </c>
      <c r="O108" s="206">
        <v>315927932</v>
      </c>
      <c r="P108" s="206">
        <v>26579957</v>
      </c>
      <c r="Q108" s="206">
        <v>20948525</v>
      </c>
      <c r="R108" s="206">
        <v>18208234</v>
      </c>
      <c r="S108" s="207">
        <v>27931470</v>
      </c>
      <c r="T108" s="207">
        <v>252340</v>
      </c>
      <c r="U108" s="207">
        <v>4252370</v>
      </c>
      <c r="V108" s="207">
        <f>1433085+529085+25410+170275+24000+15630+642790+88218+144595+31060+43830</f>
        <v>3147978</v>
      </c>
      <c r="W108" s="207">
        <v>0</v>
      </c>
      <c r="X108" s="207">
        <v>1785425</v>
      </c>
      <c r="Y108" s="208" t="s">
        <v>2426</v>
      </c>
      <c r="Z108" s="207">
        <f>215840</f>
        <v>215840</v>
      </c>
      <c r="AA108" s="207">
        <v>0</v>
      </c>
      <c r="AB108" s="176">
        <f t="shared" si="138"/>
        <v>9401613</v>
      </c>
      <c r="AC108" s="177">
        <f t="shared" si="117"/>
        <v>33.659571085947142</v>
      </c>
      <c r="AD108" s="177">
        <f t="shared" si="139"/>
        <v>71.036043366558857</v>
      </c>
      <c r="AE108" s="26">
        <f t="shared" si="154"/>
        <v>2.1310813009967657</v>
      </c>
      <c r="AF108" s="178">
        <f t="shared" si="118"/>
        <v>26.73620160749272</v>
      </c>
      <c r="AG108" s="178">
        <f t="shared" si="119"/>
        <v>33.966432470962779</v>
      </c>
      <c r="AH108" s="178">
        <f t="shared" si="140"/>
        <v>7.2302308634700587</v>
      </c>
      <c r="AI108" s="179">
        <f t="shared" si="141"/>
        <v>100</v>
      </c>
      <c r="AJ108" s="30">
        <f t="shared" si="155"/>
        <v>4</v>
      </c>
      <c r="AK108" s="204">
        <v>8</v>
      </c>
      <c r="AL108" s="204">
        <v>13</v>
      </c>
      <c r="AM108" s="204">
        <v>3</v>
      </c>
      <c r="AN108" s="181">
        <f t="shared" si="101"/>
        <v>21</v>
      </c>
      <c r="AO108" s="182">
        <f t="shared" si="102"/>
        <v>14.285714285714285</v>
      </c>
      <c r="AP108" s="183">
        <f t="shared" si="120"/>
        <v>80</v>
      </c>
      <c r="AQ108" s="38">
        <f t="shared" si="156"/>
        <v>1.6</v>
      </c>
      <c r="AR108" s="212">
        <v>3</v>
      </c>
      <c r="AS108" s="292">
        <f t="shared" si="103"/>
        <v>0.25</v>
      </c>
      <c r="AT108" s="185">
        <f t="shared" si="104"/>
        <v>2</v>
      </c>
      <c r="AU108" s="185">
        <f t="shared" si="121"/>
        <v>2</v>
      </c>
      <c r="AV108" s="186">
        <f t="shared" si="105"/>
        <v>12.5</v>
      </c>
      <c r="AW108" s="179">
        <f t="shared" si="122"/>
        <v>60</v>
      </c>
      <c r="AX108" s="239">
        <f t="shared" si="157"/>
        <v>0.6</v>
      </c>
      <c r="AY108" s="54">
        <v>6</v>
      </c>
      <c r="AZ108" s="54">
        <v>17</v>
      </c>
      <c r="BA108" s="189">
        <f t="shared" si="106"/>
        <v>18</v>
      </c>
      <c r="BB108" s="178">
        <f t="shared" si="123"/>
        <v>94.444444444444443</v>
      </c>
      <c r="BC108" s="179">
        <f t="shared" si="124"/>
        <v>100</v>
      </c>
      <c r="BD108" s="30">
        <f t="shared" si="158"/>
        <v>1</v>
      </c>
      <c r="BE108" s="190">
        <v>37904626</v>
      </c>
      <c r="BF108" s="190">
        <v>3965621</v>
      </c>
      <c r="BG108" s="301">
        <v>0</v>
      </c>
      <c r="BH108" s="191">
        <f t="shared" si="107"/>
        <v>41870247</v>
      </c>
      <c r="BI108" s="178">
        <f t="shared" si="108"/>
        <v>0</v>
      </c>
      <c r="BJ108" s="294" t="str">
        <f t="shared" si="125"/>
        <v>식약/섬유/종이업</v>
      </c>
      <c r="BK108" s="192">
        <f t="shared" si="109"/>
        <v>2.1999360555264444</v>
      </c>
      <c r="BL108" s="193">
        <f t="shared" si="126"/>
        <v>-2.1999360555264444</v>
      </c>
      <c r="BM108" s="241">
        <f t="shared" si="127"/>
        <v>100</v>
      </c>
      <c r="BN108" s="47">
        <f t="shared" si="128"/>
        <v>2</v>
      </c>
      <c r="BO108" s="54">
        <v>18359000</v>
      </c>
      <c r="BP108" s="194">
        <f t="shared" si="110"/>
        <v>5.8111354332544423</v>
      </c>
      <c r="BQ108" s="179">
        <f t="shared" si="129"/>
        <v>100</v>
      </c>
      <c r="BR108" s="30">
        <f t="shared" si="159"/>
        <v>2</v>
      </c>
      <c r="BS108" s="195">
        <v>16613744.194</v>
      </c>
      <c r="BT108" s="195">
        <v>9500</v>
      </c>
      <c r="BU108" s="196">
        <f t="shared" si="130"/>
        <v>16604244.194</v>
      </c>
      <c r="BV108" s="178">
        <f t="shared" si="111"/>
        <v>5.2557062900028733</v>
      </c>
      <c r="BW108" s="192">
        <f t="shared" si="112"/>
        <v>5.0508176117342281</v>
      </c>
      <c r="BX108" s="192">
        <f t="shared" si="131"/>
        <v>4.1979370482672404E-2</v>
      </c>
      <c r="BY108" s="192">
        <f t="shared" si="113"/>
        <v>6.9871618081220941</v>
      </c>
      <c r="BZ108" s="192">
        <f t="shared" si="132"/>
        <v>48.83032558664717</v>
      </c>
      <c r="CA108" s="192">
        <f t="shared" si="114"/>
        <v>55</v>
      </c>
      <c r="CB108" s="55">
        <f t="shared" si="133"/>
        <v>1.1000000000000001</v>
      </c>
      <c r="CC108" s="197">
        <f t="shared" si="160"/>
        <v>19.478849480997589</v>
      </c>
      <c r="CD108" s="198">
        <f t="shared" si="161"/>
        <v>93.035609492086337</v>
      </c>
      <c r="CE108" s="58">
        <f t="shared" si="162"/>
        <v>1.395534142381295</v>
      </c>
      <c r="CF108" s="245" t="s">
        <v>2326</v>
      </c>
      <c r="CG108" s="245" t="s">
        <v>2326</v>
      </c>
      <c r="CH108" s="245" t="s">
        <v>2326</v>
      </c>
      <c r="CI108" s="245" t="s">
        <v>2326</v>
      </c>
      <c r="CJ108" s="235"/>
      <c r="CK108" s="173" t="s">
        <v>2490</v>
      </c>
      <c r="CL108" s="173" t="s">
        <v>2487</v>
      </c>
      <c r="CM108" s="199">
        <f t="shared" si="134"/>
        <v>70</v>
      </c>
      <c r="CN108" s="58">
        <f t="shared" si="163"/>
        <v>1.05</v>
      </c>
      <c r="CO108" s="54">
        <f>3780000+22129000</f>
        <v>25909000</v>
      </c>
      <c r="CP108" s="186">
        <f t="shared" si="115"/>
        <v>7.2011268789388625</v>
      </c>
      <c r="CQ108" s="179">
        <f t="shared" si="135"/>
        <v>80</v>
      </c>
      <c r="CR108" s="30">
        <f t="shared" si="164"/>
        <v>2.4</v>
      </c>
      <c r="CS108" s="200">
        <f>_xlfn.XLOOKUP(C108, '1-1. 관계사체무보증금액 (환율 등)'!$3:$3, '1-1. 관계사체무보증금액 (환율 등)'!$33:$33)</f>
        <v>408108</v>
      </c>
      <c r="CT108" s="178">
        <f t="shared" si="116"/>
        <v>0.11342921333551977</v>
      </c>
      <c r="CU108" s="179">
        <f t="shared" si="136"/>
        <v>100</v>
      </c>
      <c r="CV108" s="30">
        <f t="shared" si="165"/>
        <v>2</v>
      </c>
      <c r="CW108" s="72">
        <f t="shared" si="137"/>
        <v>21.276615443378059</v>
      </c>
    </row>
    <row r="109" spans="1:101" x14ac:dyDescent="0.6">
      <c r="A109" s="214" t="s">
        <v>446</v>
      </c>
      <c r="B109" s="13" t="s">
        <v>2088</v>
      </c>
      <c r="C109" s="219" t="s">
        <v>523</v>
      </c>
      <c r="D109" s="216" t="s">
        <v>202</v>
      </c>
      <c r="E109" s="217" t="s">
        <v>382</v>
      </c>
      <c r="F109" s="217" t="s">
        <v>443</v>
      </c>
      <c r="G109" s="218">
        <v>43756</v>
      </c>
      <c r="H109" s="217" t="s">
        <v>830</v>
      </c>
      <c r="I109" s="217" t="s">
        <v>1001</v>
      </c>
      <c r="J109" s="217" t="s">
        <v>676</v>
      </c>
      <c r="K109" s="217" t="s">
        <v>320</v>
      </c>
      <c r="L109" s="220">
        <v>1026929716</v>
      </c>
      <c r="M109" s="206">
        <v>503865290</v>
      </c>
      <c r="N109" s="206">
        <v>523064426</v>
      </c>
      <c r="O109" s="206">
        <v>312148721</v>
      </c>
      <c r="P109" s="206">
        <v>7221936</v>
      </c>
      <c r="Q109" s="206">
        <v>4276527</v>
      </c>
      <c r="R109" s="206">
        <v>3863590</v>
      </c>
      <c r="S109" s="207">
        <v>65493726</v>
      </c>
      <c r="T109" s="207">
        <v>11047</v>
      </c>
      <c r="U109" s="207">
        <f>22780229</f>
        <v>22780229</v>
      </c>
      <c r="V109" s="207">
        <f>54310+65229+21274*2+5947+5950+5950+5953+27085+20265+20253</f>
        <v>253490</v>
      </c>
      <c r="W109" s="207">
        <f>20226+1137</f>
        <v>21363</v>
      </c>
      <c r="X109" s="207">
        <v>1706224</v>
      </c>
      <c r="Y109" s="208" t="s">
        <v>2427</v>
      </c>
      <c r="Z109" s="207">
        <v>0</v>
      </c>
      <c r="AA109" s="207">
        <v>0</v>
      </c>
      <c r="AB109" s="176">
        <f t="shared" si="138"/>
        <v>24761306</v>
      </c>
      <c r="AC109" s="177">
        <f t="shared" si="117"/>
        <v>37.807142015404651</v>
      </c>
      <c r="AD109" s="177">
        <f t="shared" si="139"/>
        <v>67.4564366955656</v>
      </c>
      <c r="AE109" s="26">
        <f t="shared" si="154"/>
        <v>2.0236931008669679</v>
      </c>
      <c r="AF109" s="178">
        <f t="shared" si="118"/>
        <v>35.175285055151761</v>
      </c>
      <c r="AG109" s="178">
        <f t="shared" si="119"/>
        <v>37.813520121863064</v>
      </c>
      <c r="AH109" s="178">
        <f t="shared" si="140"/>
        <v>2.638235066711303</v>
      </c>
      <c r="AI109" s="179">
        <f t="shared" si="141"/>
        <v>100</v>
      </c>
      <c r="AJ109" s="30">
        <f t="shared" si="155"/>
        <v>4</v>
      </c>
      <c r="AK109" s="204">
        <v>5</v>
      </c>
      <c r="AL109" s="204">
        <v>6</v>
      </c>
      <c r="AM109" s="204">
        <v>0</v>
      </c>
      <c r="AN109" s="181">
        <f t="shared" si="101"/>
        <v>11</v>
      </c>
      <c r="AO109" s="182">
        <f t="shared" si="102"/>
        <v>0</v>
      </c>
      <c r="AP109" s="183">
        <f t="shared" si="120"/>
        <v>100</v>
      </c>
      <c r="AQ109" s="38">
        <f t="shared" si="156"/>
        <v>2</v>
      </c>
      <c r="AR109" s="212">
        <v>3</v>
      </c>
      <c r="AS109" s="292">
        <f t="shared" si="103"/>
        <v>0.25</v>
      </c>
      <c r="AT109" s="185">
        <f t="shared" si="104"/>
        <v>1.25</v>
      </c>
      <c r="AU109" s="185">
        <f t="shared" si="121"/>
        <v>1</v>
      </c>
      <c r="AV109" s="186">
        <f t="shared" si="105"/>
        <v>40</v>
      </c>
      <c r="AW109" s="179">
        <f t="shared" si="122"/>
        <v>100</v>
      </c>
      <c r="AX109" s="239">
        <f t="shared" si="157"/>
        <v>1</v>
      </c>
      <c r="AY109" s="54">
        <v>8</v>
      </c>
      <c r="AZ109" s="54">
        <v>24</v>
      </c>
      <c r="BA109" s="189">
        <f t="shared" si="106"/>
        <v>24</v>
      </c>
      <c r="BB109" s="178">
        <f t="shared" si="123"/>
        <v>100</v>
      </c>
      <c r="BC109" s="179">
        <f t="shared" si="124"/>
        <v>100</v>
      </c>
      <c r="BD109" s="30">
        <f t="shared" si="158"/>
        <v>1</v>
      </c>
      <c r="BE109" s="190">
        <v>11509683.782</v>
      </c>
      <c r="BF109" s="190">
        <v>2601424.0010000002</v>
      </c>
      <c r="BG109" s="301">
        <v>0</v>
      </c>
      <c r="BH109" s="191">
        <f t="shared" si="107"/>
        <v>14111107.783</v>
      </c>
      <c r="BI109" s="178">
        <f t="shared" si="108"/>
        <v>0</v>
      </c>
      <c r="BJ109" s="294" t="str">
        <f t="shared" si="125"/>
        <v>전기전자/기계업</v>
      </c>
      <c r="BK109" s="192">
        <f t="shared" si="109"/>
        <v>2.4096449716116455</v>
      </c>
      <c r="BL109" s="193">
        <f t="shared" si="126"/>
        <v>-2.4096449716116455</v>
      </c>
      <c r="BM109" s="241">
        <f t="shared" si="127"/>
        <v>100</v>
      </c>
      <c r="BN109" s="47">
        <f t="shared" si="128"/>
        <v>2</v>
      </c>
      <c r="BO109" s="54">
        <v>11229000</v>
      </c>
      <c r="BP109" s="194">
        <f t="shared" si="110"/>
        <v>3.597323725699328</v>
      </c>
      <c r="BQ109" s="179">
        <f t="shared" si="129"/>
        <v>85</v>
      </c>
      <c r="BR109" s="30">
        <f t="shared" si="159"/>
        <v>1.7</v>
      </c>
      <c r="BS109" s="195">
        <v>73811029.033000007</v>
      </c>
      <c r="BT109" s="195">
        <v>44731.55</v>
      </c>
      <c r="BU109" s="196">
        <f t="shared" si="130"/>
        <v>73766297.48300001</v>
      </c>
      <c r="BV109" s="178">
        <f t="shared" si="111"/>
        <v>23.631779507755859</v>
      </c>
      <c r="BW109" s="192">
        <f t="shared" si="112"/>
        <v>5.2309968128308268</v>
      </c>
      <c r="BX109" s="192">
        <f t="shared" si="131"/>
        <v>338.58880378585246</v>
      </c>
      <c r="BY109" s="192">
        <f t="shared" si="113"/>
        <v>7.0695458012309622</v>
      </c>
      <c r="BZ109" s="192">
        <f t="shared" si="132"/>
        <v>0.46229717446819585</v>
      </c>
      <c r="CA109" s="192">
        <f t="shared" si="114"/>
        <v>100</v>
      </c>
      <c r="CB109" s="55">
        <f t="shared" si="133"/>
        <v>2</v>
      </c>
      <c r="CC109" s="197">
        <f t="shared" si="160"/>
        <v>96.329489247276783</v>
      </c>
      <c r="CD109" s="198">
        <f t="shared" si="161"/>
        <v>64.071800534945936</v>
      </c>
      <c r="CE109" s="58">
        <f t="shared" si="162"/>
        <v>0.96107700802418905</v>
      </c>
      <c r="CF109" s="245" t="s">
        <v>2326</v>
      </c>
      <c r="CG109" s="245" t="s">
        <v>2326</v>
      </c>
      <c r="CH109" s="245" t="s">
        <v>2326</v>
      </c>
      <c r="CI109" s="245" t="s">
        <v>2326</v>
      </c>
      <c r="CJ109" s="235"/>
      <c r="CK109" s="173" t="s">
        <v>2501</v>
      </c>
      <c r="CL109" s="173" t="s">
        <v>2493</v>
      </c>
      <c r="CM109" s="199">
        <f t="shared" si="134"/>
        <v>40</v>
      </c>
      <c r="CN109" s="58">
        <f t="shared" si="163"/>
        <v>0.6</v>
      </c>
      <c r="CO109" s="54">
        <v>0</v>
      </c>
      <c r="CP109" s="186">
        <f t="shared" si="115"/>
        <v>0</v>
      </c>
      <c r="CQ109" s="179">
        <f t="shared" si="135"/>
        <v>100</v>
      </c>
      <c r="CR109" s="30">
        <f t="shared" si="164"/>
        <v>3</v>
      </c>
      <c r="CS109" s="200">
        <f>_xlfn.XLOOKUP(C109, '1-1. 관계사체무보증금액 (환율 등)'!$3:$3, '1-1. 관계사체무보증금액 (환율 등)'!$33:$33)</f>
        <v>0</v>
      </c>
      <c r="CT109" s="178">
        <f t="shared" si="116"/>
        <v>0</v>
      </c>
      <c r="CU109" s="179">
        <f t="shared" si="136"/>
        <v>100</v>
      </c>
      <c r="CV109" s="30">
        <f t="shared" si="165"/>
        <v>2</v>
      </c>
      <c r="CW109" s="72">
        <f t="shared" si="137"/>
        <v>22.284770108891159</v>
      </c>
    </row>
    <row r="110" spans="1:101" x14ac:dyDescent="0.6">
      <c r="A110" s="214" t="s">
        <v>748</v>
      </c>
      <c r="B110" s="13" t="s">
        <v>2089</v>
      </c>
      <c r="C110" s="219" t="s">
        <v>98</v>
      </c>
      <c r="D110" s="216" t="s">
        <v>202</v>
      </c>
      <c r="E110" s="217" t="s">
        <v>954</v>
      </c>
      <c r="F110" s="217" t="s">
        <v>625</v>
      </c>
      <c r="G110" s="218">
        <v>42580</v>
      </c>
      <c r="H110" s="217" t="s">
        <v>830</v>
      </c>
      <c r="I110" s="217" t="s">
        <v>261</v>
      </c>
      <c r="J110" s="217" t="s">
        <v>1053</v>
      </c>
      <c r="K110" s="217" t="s">
        <v>91</v>
      </c>
      <c r="L110" s="220">
        <v>287289681</v>
      </c>
      <c r="M110" s="206">
        <v>116203289</v>
      </c>
      <c r="N110" s="206">
        <v>171086392</v>
      </c>
      <c r="O110" s="206">
        <v>227240330</v>
      </c>
      <c r="P110" s="206">
        <v>10840684</v>
      </c>
      <c r="Q110" s="206">
        <v>18488363</v>
      </c>
      <c r="R110" s="206">
        <v>14109027</v>
      </c>
      <c r="S110" s="207">
        <v>33066680</v>
      </c>
      <c r="T110" s="207">
        <v>596916</v>
      </c>
      <c r="U110" s="207">
        <f>3292440+8440383</f>
        <v>11732823</v>
      </c>
      <c r="V110" s="207">
        <f>190180</f>
        <v>190180</v>
      </c>
      <c r="W110" s="207">
        <v>62100</v>
      </c>
      <c r="X110" s="207">
        <v>0</v>
      </c>
      <c r="Z110" s="207">
        <v>0</v>
      </c>
      <c r="AA110" s="207">
        <v>0</v>
      </c>
      <c r="AB110" s="176">
        <f t="shared" si="138"/>
        <v>11985103</v>
      </c>
      <c r="AC110" s="177">
        <f t="shared" si="117"/>
        <v>36.24525655433203</v>
      </c>
      <c r="AD110" s="177">
        <f t="shared" si="139"/>
        <v>68.804439107308383</v>
      </c>
      <c r="AE110" s="26">
        <f t="shared" si="154"/>
        <v>2.0641331732192514</v>
      </c>
      <c r="AF110" s="178">
        <f t="shared" si="118"/>
        <v>36.720325407970321</v>
      </c>
      <c r="AG110" s="178">
        <f t="shared" si="119"/>
        <v>36.911580262794644</v>
      </c>
      <c r="AH110" s="178">
        <f t="shared" si="140"/>
        <v>0.19125485482432225</v>
      </c>
      <c r="AI110" s="179">
        <f t="shared" si="141"/>
        <v>100</v>
      </c>
      <c r="AJ110" s="30">
        <f t="shared" si="155"/>
        <v>4</v>
      </c>
      <c r="AK110" s="204">
        <v>7</v>
      </c>
      <c r="AL110" s="204">
        <v>15</v>
      </c>
      <c r="AM110" s="204">
        <v>1</v>
      </c>
      <c r="AN110" s="181">
        <f t="shared" si="101"/>
        <v>22</v>
      </c>
      <c r="AO110" s="182">
        <f t="shared" si="102"/>
        <v>4.5454545454545459</v>
      </c>
      <c r="AP110" s="183">
        <f t="shared" si="120"/>
        <v>100</v>
      </c>
      <c r="AQ110" s="38">
        <f t="shared" si="156"/>
        <v>2</v>
      </c>
      <c r="AR110" s="212">
        <v>2</v>
      </c>
      <c r="AS110" s="292">
        <f t="shared" si="103"/>
        <v>0.25</v>
      </c>
      <c r="AT110" s="185">
        <f t="shared" si="104"/>
        <v>1.75</v>
      </c>
      <c r="AU110" s="185">
        <f t="shared" si="121"/>
        <v>1</v>
      </c>
      <c r="AV110" s="186">
        <f t="shared" si="105"/>
        <v>14.285714285714285</v>
      </c>
      <c r="AW110" s="179">
        <f t="shared" si="122"/>
        <v>60</v>
      </c>
      <c r="AX110" s="239">
        <f t="shared" si="157"/>
        <v>0.6</v>
      </c>
      <c r="AY110" s="54">
        <v>8</v>
      </c>
      <c r="AZ110" s="54">
        <v>6</v>
      </c>
      <c r="BA110" s="189">
        <f t="shared" si="106"/>
        <v>16</v>
      </c>
      <c r="BB110" s="178">
        <f t="shared" si="123"/>
        <v>37.5</v>
      </c>
      <c r="BC110" s="179">
        <f t="shared" si="124"/>
        <v>25</v>
      </c>
      <c r="BD110" s="30">
        <f t="shared" si="158"/>
        <v>0.25</v>
      </c>
      <c r="BE110" s="190">
        <v>8807718</v>
      </c>
      <c r="BF110" s="190">
        <v>1501970</v>
      </c>
      <c r="BG110" s="54">
        <v>571543</v>
      </c>
      <c r="BH110" s="191">
        <f t="shared" si="107"/>
        <v>10309688</v>
      </c>
      <c r="BI110" s="178">
        <f t="shared" si="108"/>
        <v>5.5437468136766119</v>
      </c>
      <c r="BJ110" s="294" t="str">
        <f t="shared" si="125"/>
        <v>전기전자/기계업</v>
      </c>
      <c r="BK110" s="192">
        <f t="shared" si="109"/>
        <v>2.4096449716116455</v>
      </c>
      <c r="BL110" s="193">
        <f t="shared" si="126"/>
        <v>3.1341018420649664</v>
      </c>
      <c r="BM110" s="241">
        <f t="shared" si="127"/>
        <v>40</v>
      </c>
      <c r="BN110" s="47">
        <f t="shared" si="128"/>
        <v>0.8</v>
      </c>
      <c r="BO110" s="54">
        <v>2591763</v>
      </c>
      <c r="BP110" s="194">
        <f t="shared" si="110"/>
        <v>1.1405383014537955</v>
      </c>
      <c r="BQ110" s="179">
        <f t="shared" si="129"/>
        <v>70</v>
      </c>
      <c r="BR110" s="30">
        <f t="shared" si="159"/>
        <v>1.4000000000000001</v>
      </c>
      <c r="BS110" s="195">
        <v>2708337.6060000001</v>
      </c>
      <c r="BT110" s="195">
        <v>51118.690999999999</v>
      </c>
      <c r="BU110" s="196">
        <f t="shared" si="130"/>
        <v>2657218.915</v>
      </c>
      <c r="BV110" s="178">
        <f t="shared" si="111"/>
        <v>1.1693430101074047</v>
      </c>
      <c r="BW110" s="192">
        <f t="shared" si="112"/>
        <v>5.2309968128308268</v>
      </c>
      <c r="BX110" s="192">
        <f t="shared" si="131"/>
        <v>16.497031613177633</v>
      </c>
      <c r="BY110" s="192">
        <f t="shared" si="113"/>
        <v>7.0695458012309622</v>
      </c>
      <c r="BZ110" s="192">
        <f t="shared" si="132"/>
        <v>71.719480647731942</v>
      </c>
      <c r="CA110" s="192">
        <f t="shared" si="114"/>
        <v>40</v>
      </c>
      <c r="CB110" s="55">
        <f t="shared" si="133"/>
        <v>0.8</v>
      </c>
      <c r="CC110" s="197">
        <f t="shared" si="160"/>
        <v>67.920825053111173</v>
      </c>
      <c r="CD110" s="198">
        <f t="shared" si="161"/>
        <v>74.778583522696792</v>
      </c>
      <c r="CE110" s="58">
        <f t="shared" si="162"/>
        <v>1.1216787528404519</v>
      </c>
      <c r="CF110" s="245" t="s">
        <v>2326</v>
      </c>
      <c r="CG110" s="245" t="s">
        <v>2326</v>
      </c>
      <c r="CH110" s="245" t="s">
        <v>2326</v>
      </c>
      <c r="CI110" s="245" t="s">
        <v>2326</v>
      </c>
      <c r="CJ110" s="235"/>
      <c r="CK110" s="173" t="s">
        <v>2492</v>
      </c>
      <c r="CL110" s="173" t="s">
        <v>2493</v>
      </c>
      <c r="CM110" s="199">
        <f t="shared" si="134"/>
        <v>40</v>
      </c>
      <c r="CN110" s="58">
        <f t="shared" si="163"/>
        <v>0.6</v>
      </c>
      <c r="CO110" s="54">
        <f>88866000-2400000</f>
        <v>86466000</v>
      </c>
      <c r="CP110" s="186">
        <f t="shared" si="115"/>
        <v>50.539378958906333</v>
      </c>
      <c r="CQ110" s="179">
        <f t="shared" si="135"/>
        <v>40</v>
      </c>
      <c r="CR110" s="30">
        <f t="shared" si="164"/>
        <v>1.2</v>
      </c>
      <c r="CS110" s="200">
        <f>_xlfn.XLOOKUP(C110, '1-1. 관계사체무보증금액 (환율 등)'!$3:$3, '1-1. 관계사체무보증금액 (환율 등)'!$33:$33)</f>
        <v>24871941.031941034</v>
      </c>
      <c r="CT110" s="178">
        <f t="shared" si="116"/>
        <v>14.537650096648852</v>
      </c>
      <c r="CU110" s="179">
        <f t="shared" si="136"/>
        <v>60</v>
      </c>
      <c r="CV110" s="30">
        <f t="shared" si="165"/>
        <v>1.2</v>
      </c>
      <c r="CW110" s="72">
        <f t="shared" si="137"/>
        <v>16.035811926059704</v>
      </c>
    </row>
    <row r="111" spans="1:101" x14ac:dyDescent="0.6">
      <c r="A111" s="214" t="s">
        <v>688</v>
      </c>
      <c r="B111" s="13" t="s">
        <v>2090</v>
      </c>
      <c r="C111" s="219" t="s">
        <v>21</v>
      </c>
      <c r="D111" s="216" t="s">
        <v>203</v>
      </c>
      <c r="E111" s="217" t="s">
        <v>195</v>
      </c>
      <c r="F111" s="217" t="s">
        <v>640</v>
      </c>
      <c r="G111" s="218">
        <v>36390</v>
      </c>
      <c r="H111" s="217" t="s">
        <v>830</v>
      </c>
      <c r="I111" s="217" t="s">
        <v>621</v>
      </c>
      <c r="J111" s="217" t="s">
        <v>1193</v>
      </c>
      <c r="K111" s="217" t="s">
        <v>50</v>
      </c>
      <c r="L111" s="220">
        <v>306956323</v>
      </c>
      <c r="M111" s="206">
        <v>41595074</v>
      </c>
      <c r="N111" s="206">
        <v>265361249</v>
      </c>
      <c r="O111" s="206">
        <v>240604203</v>
      </c>
      <c r="P111" s="206">
        <v>24501432</v>
      </c>
      <c r="Q111" s="206">
        <v>44413864</v>
      </c>
      <c r="R111" s="206">
        <v>37642494</v>
      </c>
      <c r="S111" s="207">
        <v>11400000</v>
      </c>
      <c r="T111" s="207">
        <v>2211909</v>
      </c>
      <c r="U111" s="207">
        <v>1983500</v>
      </c>
      <c r="V111" s="207">
        <f>97650+700000+1140000+12500+80000+27400+8500+10000*2</f>
        <v>2086050</v>
      </c>
      <c r="W111" s="207">
        <f>103038+809090+42860+39060+80000+7000*3+8500*4+25000</f>
        <v>1154048</v>
      </c>
      <c r="X111" s="207">
        <v>0</v>
      </c>
      <c r="Z111" s="207">
        <v>0</v>
      </c>
      <c r="AA111" s="207">
        <v>0</v>
      </c>
      <c r="AB111" s="176">
        <f t="shared" si="138"/>
        <v>5223598</v>
      </c>
      <c r="AC111" s="177">
        <f t="shared" si="117"/>
        <v>45.821035087719295</v>
      </c>
      <c r="AD111" s="177">
        <f t="shared" si="139"/>
        <v>60.539958209678403</v>
      </c>
      <c r="AE111" s="26">
        <f t="shared" si="154"/>
        <v>1.8161987462903519</v>
      </c>
      <c r="AF111" s="178">
        <f t="shared" si="118"/>
        <v>44.291572645503834</v>
      </c>
      <c r="AG111" s="178">
        <f t="shared" si="119"/>
        <v>56.851831354304174</v>
      </c>
      <c r="AH111" s="178">
        <f t="shared" si="140"/>
        <v>12.56025870880034</v>
      </c>
      <c r="AI111" s="179">
        <f t="shared" si="141"/>
        <v>80</v>
      </c>
      <c r="AJ111" s="30">
        <f t="shared" si="155"/>
        <v>3.2</v>
      </c>
      <c r="AK111" s="204">
        <v>5</v>
      </c>
      <c r="AL111" s="204">
        <v>4</v>
      </c>
      <c r="AM111" s="204">
        <v>2</v>
      </c>
      <c r="AN111" s="181">
        <f t="shared" si="101"/>
        <v>9</v>
      </c>
      <c r="AO111" s="182">
        <f t="shared" si="102"/>
        <v>22.222222222222221</v>
      </c>
      <c r="AP111" s="183">
        <f t="shared" si="120"/>
        <v>60</v>
      </c>
      <c r="AQ111" s="38">
        <f t="shared" si="156"/>
        <v>1.2</v>
      </c>
      <c r="AR111" s="212">
        <v>1</v>
      </c>
      <c r="AS111" s="292">
        <f t="shared" si="103"/>
        <v>0.25</v>
      </c>
      <c r="AT111" s="185">
        <f t="shared" si="104"/>
        <v>1.25</v>
      </c>
      <c r="AU111" s="185">
        <f t="shared" si="121"/>
        <v>1</v>
      </c>
      <c r="AV111" s="186">
        <f t="shared" si="105"/>
        <v>0</v>
      </c>
      <c r="AW111" s="179">
        <f t="shared" si="122"/>
        <v>40</v>
      </c>
      <c r="AX111" s="239">
        <f t="shared" si="157"/>
        <v>0.4</v>
      </c>
      <c r="AY111" s="54">
        <v>10</v>
      </c>
      <c r="AZ111" s="54">
        <v>10</v>
      </c>
      <c r="BA111" s="189">
        <f t="shared" si="106"/>
        <v>10</v>
      </c>
      <c r="BB111" s="178">
        <f t="shared" si="123"/>
        <v>100</v>
      </c>
      <c r="BC111" s="179">
        <f t="shared" si="124"/>
        <v>100</v>
      </c>
      <c r="BD111" s="30">
        <f t="shared" si="158"/>
        <v>1</v>
      </c>
      <c r="BE111" s="190">
        <v>4324000</v>
      </c>
      <c r="BF111" s="190">
        <v>417000</v>
      </c>
      <c r="BG111" s="54">
        <v>105000</v>
      </c>
      <c r="BH111" s="191">
        <f t="shared" si="107"/>
        <v>4741000</v>
      </c>
      <c r="BI111" s="178">
        <f t="shared" si="108"/>
        <v>2.2147226323560432</v>
      </c>
      <c r="BJ111" s="294" t="str">
        <f t="shared" si="125"/>
        <v>금속/비금속/화학업</v>
      </c>
      <c r="BK111" s="192">
        <f t="shared" si="109"/>
        <v>3.9534118626990464</v>
      </c>
      <c r="BL111" s="193">
        <f t="shared" si="126"/>
        <v>-1.7386892303430033</v>
      </c>
      <c r="BM111" s="241">
        <f t="shared" si="127"/>
        <v>80</v>
      </c>
      <c r="BN111" s="47">
        <f t="shared" si="128"/>
        <v>1.6</v>
      </c>
      <c r="BO111" s="54">
        <v>99000</v>
      </c>
      <c r="BP111" s="194">
        <f t="shared" si="110"/>
        <v>4.1146413389960612E-2</v>
      </c>
      <c r="BQ111" s="179">
        <f t="shared" si="129"/>
        <v>40</v>
      </c>
      <c r="BR111" s="30">
        <f t="shared" si="159"/>
        <v>0.8</v>
      </c>
      <c r="BS111" s="195">
        <v>7660832.3119999999</v>
      </c>
      <c r="BT111" s="195">
        <v>2000</v>
      </c>
      <c r="BU111" s="196">
        <f t="shared" si="130"/>
        <v>7658832.3119999999</v>
      </c>
      <c r="BV111" s="178">
        <f t="shared" si="111"/>
        <v>3.1831664686256542</v>
      </c>
      <c r="BW111" s="192">
        <f t="shared" si="112"/>
        <v>5.1474158565187729</v>
      </c>
      <c r="BX111" s="192">
        <f t="shared" si="131"/>
        <v>3.8582756578384911</v>
      </c>
      <c r="BY111" s="192">
        <f t="shared" si="113"/>
        <v>6.6930498535228526</v>
      </c>
      <c r="BZ111" s="192">
        <f t="shared" si="132"/>
        <v>61.542082290798703</v>
      </c>
      <c r="CA111" s="192">
        <f t="shared" si="114"/>
        <v>40</v>
      </c>
      <c r="CB111" s="55">
        <f t="shared" si="133"/>
        <v>0.8</v>
      </c>
      <c r="CC111" s="197">
        <f t="shared" si="160"/>
        <v>15.674886275501365</v>
      </c>
      <c r="CD111" s="198">
        <f t="shared" si="161"/>
        <v>94.469263966519591</v>
      </c>
      <c r="CE111" s="58">
        <f t="shared" si="162"/>
        <v>1.4170389594977939</v>
      </c>
      <c r="CF111" s="245" t="s">
        <v>2326</v>
      </c>
      <c r="CG111" s="245" t="s">
        <v>2326</v>
      </c>
      <c r="CH111" s="245" t="s">
        <v>2326</v>
      </c>
      <c r="CI111" s="245" t="s">
        <v>2326</v>
      </c>
      <c r="CJ111" s="235"/>
      <c r="CK111" s="173" t="s">
        <v>2479</v>
      </c>
      <c r="CL111" s="173" t="s">
        <v>2478</v>
      </c>
      <c r="CM111" s="199">
        <f t="shared" si="134"/>
        <v>25</v>
      </c>
      <c r="CN111" s="58">
        <f t="shared" si="163"/>
        <v>0.375</v>
      </c>
      <c r="CO111" s="54">
        <v>0</v>
      </c>
      <c r="CP111" s="186">
        <f t="shared" si="115"/>
        <v>0</v>
      </c>
      <c r="CQ111" s="179">
        <f t="shared" si="135"/>
        <v>100</v>
      </c>
      <c r="CR111" s="30">
        <f t="shared" si="164"/>
        <v>3</v>
      </c>
      <c r="CS111" s="200">
        <f>_xlfn.XLOOKUP(C111, '1-1. 관계사체무보증금액 (환율 등)'!$3:$3, '1-1. 관계사체무보증금액 (환율 등)'!$33:$33)</f>
        <v>0</v>
      </c>
      <c r="CT111" s="178">
        <f t="shared" si="116"/>
        <v>0</v>
      </c>
      <c r="CU111" s="179">
        <f t="shared" si="136"/>
        <v>100</v>
      </c>
      <c r="CV111" s="30">
        <f t="shared" si="165"/>
        <v>2</v>
      </c>
      <c r="CW111" s="72">
        <f t="shared" si="137"/>
        <v>17.608237705788149</v>
      </c>
    </row>
    <row r="112" spans="1:101" x14ac:dyDescent="0.6">
      <c r="A112" s="214" t="s">
        <v>681</v>
      </c>
      <c r="B112" s="13" t="s">
        <v>2091</v>
      </c>
      <c r="C112" s="219" t="s">
        <v>321</v>
      </c>
      <c r="D112" s="216" t="s">
        <v>202</v>
      </c>
      <c r="E112" s="217" t="s">
        <v>161</v>
      </c>
      <c r="F112" s="217" t="s">
        <v>158</v>
      </c>
      <c r="G112" s="218">
        <v>35277</v>
      </c>
      <c r="H112" s="217" t="s">
        <v>830</v>
      </c>
      <c r="I112" s="217" t="s">
        <v>77</v>
      </c>
      <c r="J112" s="217" t="s">
        <v>958</v>
      </c>
      <c r="K112" s="217" t="s">
        <v>91</v>
      </c>
      <c r="L112" s="220">
        <v>217873583</v>
      </c>
      <c r="M112" s="206">
        <v>87027381</v>
      </c>
      <c r="N112" s="206">
        <v>130846203</v>
      </c>
      <c r="O112" s="206">
        <v>151824315</v>
      </c>
      <c r="P112" s="206">
        <v>7759514</v>
      </c>
      <c r="Q112" s="206">
        <v>12802990</v>
      </c>
      <c r="R112" s="206">
        <v>10828940</v>
      </c>
      <c r="S112" s="207">
        <v>28300000</v>
      </c>
      <c r="T112" s="207">
        <v>2403215</v>
      </c>
      <c r="U112" s="207">
        <v>4247495</v>
      </c>
      <c r="V112" s="207">
        <v>4033776</v>
      </c>
      <c r="W112" s="207">
        <v>0</v>
      </c>
      <c r="X112" s="207">
        <v>0</v>
      </c>
      <c r="Z112" s="207">
        <v>0</v>
      </c>
      <c r="AA112" s="207">
        <v>0</v>
      </c>
      <c r="AB112" s="176">
        <f t="shared" si="138"/>
        <v>8281271</v>
      </c>
      <c r="AC112" s="177">
        <f t="shared" si="117"/>
        <v>29.262441696113072</v>
      </c>
      <c r="AD112" s="177">
        <f t="shared" si="139"/>
        <v>74.831034209338554</v>
      </c>
      <c r="AE112" s="26">
        <f t="shared" si="154"/>
        <v>2.2449310262801565</v>
      </c>
      <c r="AF112" s="178">
        <f t="shared" si="118"/>
        <v>31.977988773509917</v>
      </c>
      <c r="AG112" s="178">
        <f t="shared" si="119"/>
        <v>31.977988773509917</v>
      </c>
      <c r="AH112" s="178">
        <f t="shared" si="140"/>
        <v>0</v>
      </c>
      <c r="AI112" s="179">
        <f t="shared" si="141"/>
        <v>100</v>
      </c>
      <c r="AJ112" s="30">
        <f t="shared" si="155"/>
        <v>4</v>
      </c>
      <c r="AK112" s="204">
        <v>7</v>
      </c>
      <c r="AL112" s="204">
        <v>12</v>
      </c>
      <c r="AM112" s="204">
        <v>2</v>
      </c>
      <c r="AN112" s="181">
        <f t="shared" si="101"/>
        <v>19</v>
      </c>
      <c r="AO112" s="182">
        <f t="shared" si="102"/>
        <v>10.526315789473683</v>
      </c>
      <c r="AP112" s="183">
        <f t="shared" si="120"/>
        <v>80</v>
      </c>
      <c r="AQ112" s="38">
        <f t="shared" si="156"/>
        <v>1.6</v>
      </c>
      <c r="AR112" s="212">
        <v>2</v>
      </c>
      <c r="AS112" s="292">
        <f t="shared" si="103"/>
        <v>0.25</v>
      </c>
      <c r="AT112" s="185">
        <f t="shared" si="104"/>
        <v>1.75</v>
      </c>
      <c r="AU112" s="185">
        <f t="shared" si="121"/>
        <v>1</v>
      </c>
      <c r="AV112" s="186">
        <f t="shared" si="105"/>
        <v>14.285714285714285</v>
      </c>
      <c r="AW112" s="179">
        <f t="shared" si="122"/>
        <v>60</v>
      </c>
      <c r="AX112" s="239">
        <f t="shared" si="157"/>
        <v>0.6</v>
      </c>
      <c r="AY112" s="54">
        <v>24</v>
      </c>
      <c r="AZ112" s="54">
        <f>12+14</f>
        <v>26</v>
      </c>
      <c r="BA112" s="189">
        <f t="shared" si="106"/>
        <v>48</v>
      </c>
      <c r="BB112" s="178">
        <f t="shared" si="123"/>
        <v>54.166666666666664</v>
      </c>
      <c r="BC112" s="179">
        <f t="shared" si="124"/>
        <v>25</v>
      </c>
      <c r="BD112" s="30">
        <f t="shared" si="158"/>
        <v>0.25</v>
      </c>
      <c r="BE112" s="190">
        <v>15267446</v>
      </c>
      <c r="BF112" s="190">
        <v>460347</v>
      </c>
      <c r="BG112" s="54">
        <v>952018</v>
      </c>
      <c r="BH112" s="191">
        <f t="shared" si="107"/>
        <v>15727793</v>
      </c>
      <c r="BI112" s="178">
        <f t="shared" si="108"/>
        <v>6.0530933996905985</v>
      </c>
      <c r="BJ112" s="294" t="str">
        <f t="shared" si="125"/>
        <v>전기전자/기계업</v>
      </c>
      <c r="BK112" s="192">
        <f t="shared" si="109"/>
        <v>2.4096449716116455</v>
      </c>
      <c r="BL112" s="193">
        <f t="shared" si="126"/>
        <v>3.643448428078953</v>
      </c>
      <c r="BM112" s="241">
        <f t="shared" si="127"/>
        <v>40</v>
      </c>
      <c r="BN112" s="47">
        <f t="shared" si="128"/>
        <v>0.8</v>
      </c>
      <c r="BO112" s="54">
        <v>8781501.5920000002</v>
      </c>
      <c r="BP112" s="194">
        <f t="shared" si="110"/>
        <v>5.7839889427460944</v>
      </c>
      <c r="BQ112" s="179">
        <f t="shared" si="129"/>
        <v>100</v>
      </c>
      <c r="BR112" s="30">
        <f t="shared" si="159"/>
        <v>2</v>
      </c>
      <c r="BS112" s="195">
        <v>2461256.0490000001</v>
      </c>
      <c r="BT112" s="195">
        <v>113107.054</v>
      </c>
      <c r="BU112" s="196">
        <f t="shared" si="130"/>
        <v>2348148.9950000001</v>
      </c>
      <c r="BV112" s="178">
        <f t="shared" si="111"/>
        <v>1.5466224859963966</v>
      </c>
      <c r="BW112" s="192">
        <f t="shared" si="112"/>
        <v>5.2309968128308268</v>
      </c>
      <c r="BX112" s="192">
        <f t="shared" si="131"/>
        <v>13.574614180236662</v>
      </c>
      <c r="BY112" s="192">
        <f t="shared" si="113"/>
        <v>7.0695458012309622</v>
      </c>
      <c r="BZ112" s="192">
        <f t="shared" si="132"/>
        <v>69.887282640368809</v>
      </c>
      <c r="CA112" s="192">
        <f t="shared" si="114"/>
        <v>40</v>
      </c>
      <c r="CB112" s="55">
        <f t="shared" si="133"/>
        <v>0.8</v>
      </c>
      <c r="CC112" s="197">
        <f t="shared" si="160"/>
        <v>66.511200940236677</v>
      </c>
      <c r="CD112" s="198">
        <f t="shared" si="161"/>
        <v>75.309848891870601</v>
      </c>
      <c r="CE112" s="58">
        <f t="shared" si="162"/>
        <v>1.129647733378059</v>
      </c>
      <c r="CF112" s="245" t="s">
        <v>2326</v>
      </c>
      <c r="CG112" s="245" t="s">
        <v>2326</v>
      </c>
      <c r="CH112" s="245" t="s">
        <v>2326</v>
      </c>
      <c r="CI112" s="245" t="s">
        <v>2326</v>
      </c>
      <c r="CJ112" s="235"/>
      <c r="CK112" s="173" t="s">
        <v>2501</v>
      </c>
      <c r="CL112" s="173" t="s">
        <v>2493</v>
      </c>
      <c r="CM112" s="199">
        <f t="shared" si="134"/>
        <v>40</v>
      </c>
      <c r="CN112" s="58">
        <f t="shared" si="163"/>
        <v>0.6</v>
      </c>
      <c r="CO112" s="54">
        <v>31385000</v>
      </c>
      <c r="CP112" s="186">
        <f t="shared" si="115"/>
        <v>23.986175586615989</v>
      </c>
      <c r="CQ112" s="179">
        <f t="shared" si="135"/>
        <v>60</v>
      </c>
      <c r="CR112" s="30">
        <f t="shared" si="164"/>
        <v>1.7999999999999998</v>
      </c>
      <c r="CS112" s="200">
        <f>_xlfn.XLOOKUP(C112, '1-1. 관계사체무보증금액 (환율 등)'!$3:$3, '1-1. 관계사체무보증금액 (환율 등)'!$33:$33)</f>
        <v>0</v>
      </c>
      <c r="CT112" s="178">
        <f t="shared" si="116"/>
        <v>0</v>
      </c>
      <c r="CU112" s="179">
        <f t="shared" si="136"/>
        <v>100</v>
      </c>
      <c r="CV112" s="30">
        <f t="shared" si="165"/>
        <v>2</v>
      </c>
      <c r="CW112" s="72">
        <f t="shared" si="137"/>
        <v>17.824578759658216</v>
      </c>
    </row>
    <row r="113" spans="1:101" x14ac:dyDescent="0.6">
      <c r="A113" s="214" t="s">
        <v>898</v>
      </c>
      <c r="B113" s="13" t="s">
        <v>2092</v>
      </c>
      <c r="C113" s="219" t="s">
        <v>342</v>
      </c>
      <c r="D113" s="216" t="s">
        <v>202</v>
      </c>
      <c r="E113" s="217" t="s">
        <v>572</v>
      </c>
      <c r="F113" s="217" t="s">
        <v>557</v>
      </c>
      <c r="G113" s="218">
        <v>42019</v>
      </c>
      <c r="H113" s="217" t="s">
        <v>830</v>
      </c>
      <c r="I113" s="217" t="s">
        <v>745</v>
      </c>
      <c r="J113" s="217" t="s">
        <v>1049</v>
      </c>
      <c r="K113" s="217" t="s">
        <v>50</v>
      </c>
      <c r="L113" s="220">
        <v>254037930</v>
      </c>
      <c r="M113" s="206">
        <v>46334209</v>
      </c>
      <c r="N113" s="206">
        <v>207703722</v>
      </c>
      <c r="O113" s="206">
        <v>296998154</v>
      </c>
      <c r="P113" s="206">
        <v>11495556</v>
      </c>
      <c r="Q113" s="206">
        <v>30484094</v>
      </c>
      <c r="R113" s="206">
        <v>29253768</v>
      </c>
      <c r="S113" s="207">
        <v>11041708</v>
      </c>
      <c r="T113" s="207">
        <v>5857</v>
      </c>
      <c r="U113" s="207">
        <f>4244268+871</f>
        <v>4245139</v>
      </c>
      <c r="V113" s="207">
        <v>0</v>
      </c>
      <c r="W113" s="207">
        <f>421+854+562</f>
        <v>1837</v>
      </c>
      <c r="X113" s="207">
        <v>0</v>
      </c>
      <c r="Z113" s="207">
        <v>0</v>
      </c>
      <c r="AA113" s="207">
        <v>0</v>
      </c>
      <c r="AB113" s="176">
        <f t="shared" si="138"/>
        <v>4246976</v>
      </c>
      <c r="AC113" s="177">
        <f t="shared" si="117"/>
        <v>38.463034885544886</v>
      </c>
      <c r="AD113" s="177">
        <f t="shared" si="139"/>
        <v>66.890361145962416</v>
      </c>
      <c r="AE113" s="26">
        <f t="shared" si="154"/>
        <v>2.0067108343788722</v>
      </c>
      <c r="AF113" s="178">
        <f t="shared" si="118"/>
        <v>38.466802424208154</v>
      </c>
      <c r="AG113" s="178">
        <f t="shared" si="119"/>
        <v>38.483448172687361</v>
      </c>
      <c r="AH113" s="178">
        <f t="shared" si="140"/>
        <v>1.664574847920619E-2</v>
      </c>
      <c r="AI113" s="179">
        <f t="shared" si="141"/>
        <v>100</v>
      </c>
      <c r="AJ113" s="30">
        <f t="shared" si="155"/>
        <v>4</v>
      </c>
      <c r="AK113" s="204">
        <v>5</v>
      </c>
      <c r="AL113" s="204">
        <v>5</v>
      </c>
      <c r="AM113" s="204">
        <v>0</v>
      </c>
      <c r="AN113" s="181">
        <f t="shared" si="101"/>
        <v>10</v>
      </c>
      <c r="AO113" s="182">
        <f t="shared" si="102"/>
        <v>0</v>
      </c>
      <c r="AP113" s="183">
        <f t="shared" si="120"/>
        <v>100</v>
      </c>
      <c r="AQ113" s="38">
        <f t="shared" si="156"/>
        <v>2</v>
      </c>
      <c r="AR113" s="212">
        <v>1</v>
      </c>
      <c r="AS113" s="292">
        <f t="shared" si="103"/>
        <v>0.25</v>
      </c>
      <c r="AT113" s="185">
        <f t="shared" si="104"/>
        <v>1.25</v>
      </c>
      <c r="AU113" s="185">
        <f t="shared" si="121"/>
        <v>1</v>
      </c>
      <c r="AV113" s="186">
        <f t="shared" si="105"/>
        <v>0</v>
      </c>
      <c r="AW113" s="179">
        <f t="shared" si="122"/>
        <v>40</v>
      </c>
      <c r="AX113" s="239">
        <f t="shared" si="157"/>
        <v>0.4</v>
      </c>
      <c r="AY113" s="54">
        <v>7</v>
      </c>
      <c r="AZ113" s="54">
        <v>7</v>
      </c>
      <c r="BA113" s="189">
        <f t="shared" si="106"/>
        <v>7</v>
      </c>
      <c r="BB113" s="178">
        <f t="shared" si="123"/>
        <v>100</v>
      </c>
      <c r="BC113" s="179">
        <f t="shared" si="124"/>
        <v>100</v>
      </c>
      <c r="BD113" s="30">
        <f t="shared" si="158"/>
        <v>1</v>
      </c>
      <c r="BE113" s="190">
        <v>3021396</v>
      </c>
      <c r="BF113" s="190">
        <v>283344</v>
      </c>
      <c r="BG113" s="54">
        <v>35479</v>
      </c>
      <c r="BH113" s="191">
        <f t="shared" si="107"/>
        <v>3304740</v>
      </c>
      <c r="BI113" s="178">
        <f t="shared" si="108"/>
        <v>1.0735791620520827</v>
      </c>
      <c r="BJ113" s="294" t="str">
        <f t="shared" si="125"/>
        <v>전기전자/기계업</v>
      </c>
      <c r="BK113" s="192">
        <f t="shared" si="109"/>
        <v>2.4096449716116455</v>
      </c>
      <c r="BL113" s="193">
        <f t="shared" si="126"/>
        <v>-1.3360658095595628</v>
      </c>
      <c r="BM113" s="241">
        <f t="shared" si="127"/>
        <v>80</v>
      </c>
      <c r="BN113" s="47">
        <f t="shared" si="128"/>
        <v>1.6</v>
      </c>
      <c r="BO113" s="54">
        <f>(5436-491)*1000</f>
        <v>4945000</v>
      </c>
      <c r="BP113" s="194">
        <f t="shared" si="110"/>
        <v>1.6649935137307286</v>
      </c>
      <c r="BQ113" s="179">
        <f t="shared" si="129"/>
        <v>70</v>
      </c>
      <c r="BR113" s="30">
        <f t="shared" si="159"/>
        <v>1.4000000000000001</v>
      </c>
      <c r="BS113" s="195">
        <v>9311093.8059999999</v>
      </c>
      <c r="BT113" s="195">
        <v>22918.11</v>
      </c>
      <c r="BU113" s="196">
        <f t="shared" si="130"/>
        <v>9288175.6960000005</v>
      </c>
      <c r="BV113" s="178">
        <f t="shared" si="111"/>
        <v>3.1273513221903735</v>
      </c>
      <c r="BW113" s="192">
        <f t="shared" si="112"/>
        <v>5.2309968128308268</v>
      </c>
      <c r="BX113" s="192">
        <f t="shared" si="131"/>
        <v>4.4253243502919135</v>
      </c>
      <c r="BY113" s="192">
        <f t="shared" si="113"/>
        <v>7.0695458012309622</v>
      </c>
      <c r="BZ113" s="192">
        <f t="shared" si="132"/>
        <v>61.698219363559524</v>
      </c>
      <c r="CA113" s="192">
        <f t="shared" si="114"/>
        <v>40</v>
      </c>
      <c r="CB113" s="55">
        <f t="shared" si="133"/>
        <v>0.8</v>
      </c>
      <c r="CC113" s="197">
        <f t="shared" si="160"/>
        <v>22.307837603410881</v>
      </c>
      <c r="CD113" s="198">
        <f t="shared" si="161"/>
        <v>91.969407938412985</v>
      </c>
      <c r="CE113" s="58">
        <f t="shared" si="162"/>
        <v>1.3795411190761948</v>
      </c>
      <c r="CF113" s="245" t="s">
        <v>2326</v>
      </c>
      <c r="CG113" s="245" t="s">
        <v>2326</v>
      </c>
      <c r="CH113" s="245" t="s">
        <v>2326</v>
      </c>
      <c r="CI113" s="245" t="s">
        <v>2326</v>
      </c>
      <c r="CJ113" s="235"/>
      <c r="CK113" s="173" t="s">
        <v>2479</v>
      </c>
      <c r="CL113" s="173" t="s">
        <v>2478</v>
      </c>
      <c r="CM113" s="199">
        <f t="shared" si="134"/>
        <v>25</v>
      </c>
      <c r="CN113" s="58">
        <f t="shared" si="163"/>
        <v>0.375</v>
      </c>
      <c r="CO113" s="54">
        <v>52286000</v>
      </c>
      <c r="CP113" s="186">
        <f t="shared" si="115"/>
        <v>25.173357268966036</v>
      </c>
      <c r="CQ113" s="179">
        <f t="shared" si="135"/>
        <v>60</v>
      </c>
      <c r="CR113" s="30">
        <f t="shared" si="164"/>
        <v>1.7999999999999998</v>
      </c>
      <c r="CS113" s="200">
        <f>_xlfn.XLOOKUP(C113, '1-1. 관계사체무보증금액 (환율 등)'!$3:$3, '1-1. 관계사체무보증금액 (환율 등)'!$33:$33)</f>
        <v>19607903.673973445</v>
      </c>
      <c r="CT113" s="178">
        <f t="shared" si="116"/>
        <v>9.4403236904793868</v>
      </c>
      <c r="CU113" s="179">
        <f t="shared" si="136"/>
        <v>80</v>
      </c>
      <c r="CV113" s="30">
        <f t="shared" si="165"/>
        <v>1.6</v>
      </c>
      <c r="CW113" s="72">
        <f t="shared" si="137"/>
        <v>18.361251953455071</v>
      </c>
    </row>
    <row r="114" spans="1:101" x14ac:dyDescent="0.6">
      <c r="A114" s="214" t="s">
        <v>1642</v>
      </c>
      <c r="B114" s="13" t="s">
        <v>2093</v>
      </c>
      <c r="C114" s="219" t="s">
        <v>1643</v>
      </c>
      <c r="D114" s="14" t="s">
        <v>285</v>
      </c>
      <c r="E114" s="217" t="s">
        <v>185</v>
      </c>
      <c r="F114" s="217" t="s">
        <v>1644</v>
      </c>
      <c r="G114" s="218">
        <v>44427</v>
      </c>
      <c r="H114" s="217" t="s">
        <v>830</v>
      </c>
      <c r="I114" s="217" t="s">
        <v>1645</v>
      </c>
      <c r="J114" s="217" t="s">
        <v>1646</v>
      </c>
      <c r="K114" s="217" t="s">
        <v>690</v>
      </c>
      <c r="L114" s="220">
        <v>6047349340</v>
      </c>
      <c r="M114" s="206">
        <v>4946497236</v>
      </c>
      <c r="N114" s="206">
        <v>1100852104</v>
      </c>
      <c r="O114" s="206">
        <v>2522065710</v>
      </c>
      <c r="P114" s="206">
        <v>286357383</v>
      </c>
      <c r="Q114" s="206">
        <v>120975036</v>
      </c>
      <c r="R114" s="206">
        <v>78010954</v>
      </c>
      <c r="S114" s="207">
        <v>36634063</v>
      </c>
      <c r="T114" s="207">
        <v>0</v>
      </c>
      <c r="U114" s="207">
        <v>13846833</v>
      </c>
      <c r="V114" s="207">
        <v>0</v>
      </c>
      <c r="W114" s="207">
        <f>20+4+10+1000+539+31+3+6</f>
        <v>1613</v>
      </c>
      <c r="X114" s="207">
        <v>0</v>
      </c>
      <c r="Z114" s="207">
        <v>8365230</v>
      </c>
      <c r="AA114" s="207">
        <v>0</v>
      </c>
      <c r="AB114" s="176">
        <f t="shared" si="138"/>
        <v>22213676</v>
      </c>
      <c r="AC114" s="177">
        <f t="shared" si="117"/>
        <v>60.636670303263926</v>
      </c>
      <c r="AD114" s="177">
        <f t="shared" si="139"/>
        <v>47.753161418356797</v>
      </c>
      <c r="AE114" s="26">
        <f t="shared" si="154"/>
        <v>1.4325948425507038</v>
      </c>
      <c r="AF114" s="178">
        <f t="shared" si="118"/>
        <v>37.797699370664944</v>
      </c>
      <c r="AG114" s="178">
        <f t="shared" si="119"/>
        <v>60.636670303263926</v>
      </c>
      <c r="AH114" s="178">
        <f t="shared" si="140"/>
        <v>22.838970932598983</v>
      </c>
      <c r="AI114" s="179">
        <f t="shared" si="141"/>
        <v>80</v>
      </c>
      <c r="AJ114" s="30">
        <f t="shared" si="155"/>
        <v>3.2</v>
      </c>
      <c r="AK114" s="204">
        <v>6</v>
      </c>
      <c r="AL114" s="204">
        <v>13</v>
      </c>
      <c r="AM114" s="204">
        <v>0</v>
      </c>
      <c r="AN114" s="181">
        <f t="shared" si="101"/>
        <v>19</v>
      </c>
      <c r="AO114" s="182">
        <f t="shared" si="102"/>
        <v>0</v>
      </c>
      <c r="AP114" s="183">
        <f t="shared" si="120"/>
        <v>100</v>
      </c>
      <c r="AQ114" s="38">
        <f t="shared" si="156"/>
        <v>2</v>
      </c>
      <c r="AR114" s="212">
        <v>4</v>
      </c>
      <c r="AS114" s="292">
        <f t="shared" si="103"/>
        <v>0.5</v>
      </c>
      <c r="AT114" s="185">
        <f t="shared" si="104"/>
        <v>3</v>
      </c>
      <c r="AU114" s="185">
        <f t="shared" si="121"/>
        <v>3</v>
      </c>
      <c r="AV114" s="186">
        <f t="shared" si="105"/>
        <v>16.666666666666664</v>
      </c>
      <c r="AW114" s="179">
        <f t="shared" si="122"/>
        <v>60</v>
      </c>
      <c r="AX114" s="239">
        <f t="shared" si="157"/>
        <v>0.6</v>
      </c>
      <c r="AY114" s="54">
        <v>11</v>
      </c>
      <c r="AZ114" s="54">
        <f>44-7</f>
        <v>37</v>
      </c>
      <c r="BA114" s="189">
        <f t="shared" si="106"/>
        <v>44</v>
      </c>
      <c r="BB114" s="178">
        <f t="shared" si="123"/>
        <v>84.090909090909093</v>
      </c>
      <c r="BC114" s="179">
        <f t="shared" si="124"/>
        <v>75</v>
      </c>
      <c r="BD114" s="30">
        <f t="shared" si="158"/>
        <v>0.75</v>
      </c>
      <c r="BE114" s="190">
        <v>73931442</v>
      </c>
      <c r="BF114" s="190">
        <v>7327875</v>
      </c>
      <c r="BG114" s="54">
        <v>446850</v>
      </c>
      <c r="BH114" s="191">
        <f t="shared" si="107"/>
        <v>81259317</v>
      </c>
      <c r="BI114" s="178">
        <f t="shared" si="108"/>
        <v>0.54990617260541341</v>
      </c>
      <c r="BJ114" s="294" t="str">
        <f t="shared" si="125"/>
        <v>비제조/서비스업</v>
      </c>
      <c r="BK114" s="192">
        <f t="shared" si="109"/>
        <v>1.7464434573900924</v>
      </c>
      <c r="BL114" s="193">
        <f t="shared" si="126"/>
        <v>-1.1965372847846791</v>
      </c>
      <c r="BM114" s="241">
        <f t="shared" si="127"/>
        <v>80</v>
      </c>
      <c r="BN114" s="47">
        <f t="shared" si="128"/>
        <v>1.6</v>
      </c>
      <c r="BO114" s="54">
        <v>0</v>
      </c>
      <c r="BP114" s="194">
        <f t="shared" si="110"/>
        <v>0</v>
      </c>
      <c r="BQ114" s="179">
        <f t="shared" si="129"/>
        <v>25</v>
      </c>
      <c r="BR114" s="30">
        <f t="shared" si="159"/>
        <v>0.5</v>
      </c>
      <c r="BS114" s="195">
        <f>(7801856510+275981460+1568365214+3250824256+37101230300)/1000</f>
        <v>49998257.740000002</v>
      </c>
      <c r="BT114" s="195">
        <v>33313</v>
      </c>
      <c r="BU114" s="196">
        <f t="shared" si="130"/>
        <v>49964944.740000002</v>
      </c>
      <c r="BV114" s="178">
        <f t="shared" si="111"/>
        <v>1.9811119330431721</v>
      </c>
      <c r="BW114" s="192">
        <f t="shared" si="112"/>
        <v>2.8482825397737606</v>
      </c>
      <c r="BX114" s="192">
        <f t="shared" si="131"/>
        <v>0.75198486117749685</v>
      </c>
      <c r="BY114" s="192">
        <f t="shared" si="113"/>
        <v>5.5697595856656799</v>
      </c>
      <c r="BZ114" s="192">
        <f t="shared" si="132"/>
        <v>56.186235288583163</v>
      </c>
      <c r="CA114" s="192">
        <f t="shared" si="114"/>
        <v>55</v>
      </c>
      <c r="CB114" s="55">
        <f t="shared" si="133"/>
        <v>1.1000000000000001</v>
      </c>
      <c r="CC114" s="197">
        <f t="shared" si="160"/>
        <v>449.33349521036121</v>
      </c>
      <c r="CD114" s="198">
        <f t="shared" si="161"/>
        <v>25</v>
      </c>
      <c r="CE114" s="58">
        <f t="shared" si="162"/>
        <v>0.375</v>
      </c>
      <c r="CF114" s="245" t="s">
        <v>2326</v>
      </c>
      <c r="CG114" s="245" t="s">
        <v>2326</v>
      </c>
      <c r="CH114" s="245" t="s">
        <v>2326</v>
      </c>
      <c r="CI114" s="245" t="s">
        <v>2326</v>
      </c>
      <c r="CJ114" s="235"/>
      <c r="CK114" s="173" t="s">
        <v>2486</v>
      </c>
      <c r="CL114" s="173" t="s">
        <v>2487</v>
      </c>
      <c r="CM114" s="199">
        <f t="shared" si="134"/>
        <v>70</v>
      </c>
      <c r="CN114" s="58">
        <f t="shared" si="163"/>
        <v>1.05</v>
      </c>
      <c r="CO114" s="54">
        <v>103552000</v>
      </c>
      <c r="CP114" s="186">
        <f t="shared" si="115"/>
        <v>9.406531506252179</v>
      </c>
      <c r="CQ114" s="179">
        <f t="shared" si="135"/>
        <v>80</v>
      </c>
      <c r="CR114" s="30">
        <f t="shared" si="164"/>
        <v>2.4</v>
      </c>
      <c r="CS114" s="200">
        <f>_xlfn.XLOOKUP(C114, '1-1. 관계사체무보증금액 (환율 등)'!$3:$3, '1-1. 관계사체무보증금액 (환율 등)'!$33:$33)</f>
        <v>123037974.68354429</v>
      </c>
      <c r="CT114" s="178">
        <f t="shared" si="116"/>
        <v>11.176612574611957</v>
      </c>
      <c r="CU114" s="179">
        <f t="shared" si="136"/>
        <v>60</v>
      </c>
      <c r="CV114" s="30">
        <f t="shared" si="165"/>
        <v>1.2</v>
      </c>
      <c r="CW114" s="72">
        <f t="shared" si="137"/>
        <v>16.207594842550705</v>
      </c>
    </row>
    <row r="115" spans="1:101" x14ac:dyDescent="0.6">
      <c r="A115" s="214" t="s">
        <v>1647</v>
      </c>
      <c r="B115" s="13" t="s">
        <v>2094</v>
      </c>
      <c r="C115" s="219" t="s">
        <v>303</v>
      </c>
      <c r="D115" s="216" t="s">
        <v>202</v>
      </c>
      <c r="E115" s="217" t="s">
        <v>205</v>
      </c>
      <c r="F115" s="217" t="s">
        <v>136</v>
      </c>
      <c r="G115" s="218">
        <v>40606</v>
      </c>
      <c r="H115" s="217" t="s">
        <v>830</v>
      </c>
      <c r="I115" s="217" t="s">
        <v>1648</v>
      </c>
      <c r="J115" s="217" t="s">
        <v>1649</v>
      </c>
      <c r="K115" s="217" t="s">
        <v>320</v>
      </c>
      <c r="L115" s="220">
        <v>835420294</v>
      </c>
      <c r="M115" s="206">
        <v>225524201</v>
      </c>
      <c r="N115" s="206">
        <v>609896093</v>
      </c>
      <c r="O115" s="206">
        <v>312422244</v>
      </c>
      <c r="P115" s="206">
        <v>22539859</v>
      </c>
      <c r="Q115" s="206">
        <v>7001542</v>
      </c>
      <c r="R115" s="206">
        <v>4884512</v>
      </c>
      <c r="S115" s="207">
        <v>46110835</v>
      </c>
      <c r="T115" s="207">
        <v>0</v>
      </c>
      <c r="U115" s="207">
        <v>24578512</v>
      </c>
      <c r="V115" s="207">
        <f>14600+8922+105203+6960+6950</f>
        <v>142635</v>
      </c>
      <c r="W115" s="207">
        <f>2910+435</f>
        <v>3345</v>
      </c>
      <c r="X115" s="207">
        <v>0</v>
      </c>
      <c r="Z115" s="207">
        <v>0</v>
      </c>
      <c r="AA115" s="207">
        <v>0</v>
      </c>
      <c r="AB115" s="176">
        <f t="shared" si="138"/>
        <v>24724492</v>
      </c>
      <c r="AC115" s="177">
        <f t="shared" si="117"/>
        <v>53.619701313151239</v>
      </c>
      <c r="AD115" s="177">
        <f t="shared" si="139"/>
        <v>53.809233619259579</v>
      </c>
      <c r="AE115" s="26">
        <f t="shared" si="154"/>
        <v>1.6142770085777873</v>
      </c>
      <c r="AF115" s="178">
        <f t="shared" si="118"/>
        <v>53.612447052845603</v>
      </c>
      <c r="AG115" s="178">
        <f t="shared" si="119"/>
        <v>53.619701313151239</v>
      </c>
      <c r="AH115" s="178">
        <f t="shared" si="140"/>
        <v>7.2542603056362509E-3</v>
      </c>
      <c r="AI115" s="179">
        <f t="shared" si="141"/>
        <v>100</v>
      </c>
      <c r="AJ115" s="30">
        <f t="shared" si="155"/>
        <v>4</v>
      </c>
      <c r="AK115" s="204">
        <v>5</v>
      </c>
      <c r="AL115" s="204">
        <v>6</v>
      </c>
      <c r="AM115" s="204">
        <v>1</v>
      </c>
      <c r="AN115" s="181">
        <f t="shared" si="101"/>
        <v>11</v>
      </c>
      <c r="AO115" s="182">
        <f t="shared" si="102"/>
        <v>9.0909090909090917</v>
      </c>
      <c r="AP115" s="183">
        <f t="shared" si="120"/>
        <v>100</v>
      </c>
      <c r="AQ115" s="38">
        <f t="shared" si="156"/>
        <v>2</v>
      </c>
      <c r="AR115" s="212">
        <v>1</v>
      </c>
      <c r="AS115" s="292">
        <f t="shared" si="103"/>
        <v>0.25</v>
      </c>
      <c r="AT115" s="185">
        <f t="shared" si="104"/>
        <v>1.25</v>
      </c>
      <c r="AU115" s="185">
        <f t="shared" si="121"/>
        <v>1</v>
      </c>
      <c r="AV115" s="186">
        <f t="shared" si="105"/>
        <v>0</v>
      </c>
      <c r="AW115" s="179">
        <f t="shared" si="122"/>
        <v>40</v>
      </c>
      <c r="AX115" s="239">
        <f t="shared" si="157"/>
        <v>0.4</v>
      </c>
      <c r="AY115" s="54">
        <v>16</v>
      </c>
      <c r="AZ115" s="54">
        <f>16-4</f>
        <v>12</v>
      </c>
      <c r="BA115" s="189">
        <f t="shared" si="106"/>
        <v>16</v>
      </c>
      <c r="BB115" s="178">
        <f t="shared" si="123"/>
        <v>75</v>
      </c>
      <c r="BC115" s="179">
        <f t="shared" si="124"/>
        <v>50</v>
      </c>
      <c r="BD115" s="30">
        <f t="shared" si="158"/>
        <v>0.5</v>
      </c>
      <c r="BE115" s="190">
        <v>7486468</v>
      </c>
      <c r="BF115" s="190">
        <v>1305491</v>
      </c>
      <c r="BG115" s="301">
        <v>0</v>
      </c>
      <c r="BH115" s="191">
        <f t="shared" si="107"/>
        <v>8791959</v>
      </c>
      <c r="BI115" s="178">
        <f t="shared" si="108"/>
        <v>0</v>
      </c>
      <c r="BJ115" s="294" t="str">
        <f t="shared" si="125"/>
        <v>전기전자/기계업</v>
      </c>
      <c r="BK115" s="192">
        <f t="shared" si="109"/>
        <v>2.4096449716116455</v>
      </c>
      <c r="BL115" s="193">
        <f t="shared" si="126"/>
        <v>-2.4096449716116455</v>
      </c>
      <c r="BM115" s="241">
        <f t="shared" si="127"/>
        <v>100</v>
      </c>
      <c r="BN115" s="47">
        <f t="shared" si="128"/>
        <v>2</v>
      </c>
      <c r="BO115" s="54">
        <v>5056860</v>
      </c>
      <c r="BP115" s="194">
        <f t="shared" si="110"/>
        <v>1.6185979382441156</v>
      </c>
      <c r="BQ115" s="179">
        <f t="shared" si="129"/>
        <v>70</v>
      </c>
      <c r="BR115" s="30">
        <f t="shared" si="159"/>
        <v>1.4000000000000001</v>
      </c>
      <c r="BS115" s="195">
        <v>38681702.376000002</v>
      </c>
      <c r="BT115" s="195">
        <v>0</v>
      </c>
      <c r="BU115" s="196">
        <f t="shared" si="130"/>
        <v>38681702.376000002</v>
      </c>
      <c r="BV115" s="178">
        <f t="shared" si="111"/>
        <v>12.381225446930726</v>
      </c>
      <c r="BW115" s="192">
        <f t="shared" si="112"/>
        <v>5.2309968128308268</v>
      </c>
      <c r="BX115" s="192">
        <f t="shared" si="131"/>
        <v>51.125769519902107</v>
      </c>
      <c r="BY115" s="192">
        <f t="shared" si="113"/>
        <v>7.0695458012309622</v>
      </c>
      <c r="BZ115" s="192">
        <f t="shared" si="132"/>
        <v>15.590946491421853</v>
      </c>
      <c r="CA115" s="192">
        <f t="shared" si="114"/>
        <v>70</v>
      </c>
      <c r="CB115" s="55">
        <f t="shared" si="133"/>
        <v>1.4000000000000001</v>
      </c>
      <c r="CC115" s="197">
        <f t="shared" si="160"/>
        <v>36.977479211364617</v>
      </c>
      <c r="CD115" s="198">
        <f t="shared" si="161"/>
        <v>86.440648538430423</v>
      </c>
      <c r="CE115" s="58">
        <f t="shared" si="162"/>
        <v>1.2966097280764564</v>
      </c>
      <c r="CF115" s="245" t="s">
        <v>2326</v>
      </c>
      <c r="CG115" s="245" t="s">
        <v>2326</v>
      </c>
      <c r="CH115" s="245" t="s">
        <v>2326</v>
      </c>
      <c r="CI115" s="245" t="s">
        <v>2326</v>
      </c>
      <c r="CJ115" s="235"/>
      <c r="CK115" s="173" t="s">
        <v>2479</v>
      </c>
      <c r="CL115" s="173" t="s">
        <v>2478</v>
      </c>
      <c r="CM115" s="199">
        <f t="shared" si="134"/>
        <v>25</v>
      </c>
      <c r="CN115" s="58">
        <f t="shared" si="163"/>
        <v>0.375</v>
      </c>
      <c r="CO115" s="54">
        <v>141617000</v>
      </c>
      <c r="CP115" s="186">
        <f t="shared" si="115"/>
        <v>23.219856894541543</v>
      </c>
      <c r="CQ115" s="179">
        <f t="shared" si="135"/>
        <v>60</v>
      </c>
      <c r="CR115" s="30">
        <f t="shared" si="164"/>
        <v>1.7999999999999998</v>
      </c>
      <c r="CS115" s="200">
        <f>_xlfn.XLOOKUP(C115, '1-1. 관계사체무보증금액 (환율 등)'!$3:$3, '1-1. 관계사체무보증금액 (환율 등)'!$33:$33)</f>
        <v>0</v>
      </c>
      <c r="CT115" s="178">
        <f t="shared" si="116"/>
        <v>0</v>
      </c>
      <c r="CU115" s="179">
        <f t="shared" si="136"/>
        <v>100</v>
      </c>
      <c r="CV115" s="30">
        <f t="shared" si="165"/>
        <v>2</v>
      </c>
      <c r="CW115" s="72">
        <f t="shared" si="137"/>
        <v>18.785886736654245</v>
      </c>
    </row>
    <row r="116" spans="1:101" x14ac:dyDescent="0.6">
      <c r="A116" s="214" t="s">
        <v>1650</v>
      </c>
      <c r="B116" s="13" t="s">
        <v>2095</v>
      </c>
      <c r="C116" s="219" t="s">
        <v>375</v>
      </c>
      <c r="D116" s="216" t="s">
        <v>191</v>
      </c>
      <c r="E116" s="217" t="s">
        <v>178</v>
      </c>
      <c r="F116" s="217" t="s">
        <v>635</v>
      </c>
      <c r="G116" s="218">
        <v>43038</v>
      </c>
      <c r="H116" s="217" t="s">
        <v>830</v>
      </c>
      <c r="I116" s="217" t="s">
        <v>1651</v>
      </c>
      <c r="J116" s="217" t="s">
        <v>1652</v>
      </c>
      <c r="K116" s="217" t="s">
        <v>91</v>
      </c>
      <c r="L116" s="220">
        <v>3758489001</v>
      </c>
      <c r="M116" s="206">
        <v>1736640152</v>
      </c>
      <c r="N116" s="206">
        <v>2021848848</v>
      </c>
      <c r="O116" s="206">
        <v>2443855289</v>
      </c>
      <c r="P116" s="206">
        <v>80897560</v>
      </c>
      <c r="Q116" s="206">
        <v>19509459</v>
      </c>
      <c r="R116" s="206">
        <v>18708119</v>
      </c>
      <c r="S116" s="207">
        <v>9434574</v>
      </c>
      <c r="T116" s="207">
        <v>593307</v>
      </c>
      <c r="U116" s="207">
        <f>4478208+182117</f>
        <v>4660325</v>
      </c>
      <c r="V116" s="207">
        <f>236742+12964+10623+302</f>
        <v>260631</v>
      </c>
      <c r="W116" s="207">
        <f>1000+300+280+160+112+100+50+50+100+300+150+105+250+50+25+70+200+100+200+100+302</f>
        <v>4004</v>
      </c>
      <c r="X116" s="207">
        <v>496144</v>
      </c>
      <c r="Y116" s="208" t="s">
        <v>2428</v>
      </c>
      <c r="Z116" s="207">
        <f>643381+416338+137722</f>
        <v>1197441</v>
      </c>
      <c r="AA116" s="207">
        <v>0</v>
      </c>
      <c r="AB116" s="176">
        <f t="shared" si="138"/>
        <v>6618545</v>
      </c>
      <c r="AC116" s="177">
        <f t="shared" si="117"/>
        <v>70.152028061892352</v>
      </c>
      <c r="AD116" s="177">
        <f t="shared" si="139"/>
        <v>39.540827334385199</v>
      </c>
      <c r="AE116" s="26">
        <f t="shared" si="154"/>
        <v>1.1862248200315559</v>
      </c>
      <c r="AF116" s="178">
        <f t="shared" si="118"/>
        <v>55.658945714454724</v>
      </c>
      <c r="AG116" s="178">
        <f t="shared" si="119"/>
        <v>74.859689227799592</v>
      </c>
      <c r="AH116" s="178">
        <f t="shared" si="140"/>
        <v>19.200743513344868</v>
      </c>
      <c r="AI116" s="179">
        <f t="shared" si="141"/>
        <v>80</v>
      </c>
      <c r="AJ116" s="30">
        <f t="shared" si="155"/>
        <v>3.2</v>
      </c>
      <c r="AK116" s="204">
        <v>8</v>
      </c>
      <c r="AL116" s="204">
        <v>53</v>
      </c>
      <c r="AM116" s="204">
        <v>1</v>
      </c>
      <c r="AN116" s="181">
        <f t="shared" si="101"/>
        <v>61</v>
      </c>
      <c r="AO116" s="182">
        <f t="shared" si="102"/>
        <v>1.639344262295082</v>
      </c>
      <c r="AP116" s="183">
        <f t="shared" si="120"/>
        <v>100</v>
      </c>
      <c r="AQ116" s="38">
        <f t="shared" si="156"/>
        <v>2</v>
      </c>
      <c r="AR116" s="212">
        <v>5</v>
      </c>
      <c r="AS116" s="292">
        <f t="shared" si="103"/>
        <v>0.5</v>
      </c>
      <c r="AT116" s="185">
        <f t="shared" si="104"/>
        <v>4</v>
      </c>
      <c r="AU116" s="185">
        <f t="shared" si="121"/>
        <v>4</v>
      </c>
      <c r="AV116" s="186">
        <f t="shared" si="105"/>
        <v>12.5</v>
      </c>
      <c r="AW116" s="179">
        <f t="shared" si="122"/>
        <v>60</v>
      </c>
      <c r="AX116" s="239">
        <f t="shared" si="157"/>
        <v>0.6</v>
      </c>
      <c r="AY116" s="54">
        <v>7</v>
      </c>
      <c r="AZ116" s="54">
        <f>5*2+3*5</f>
        <v>25</v>
      </c>
      <c r="BA116" s="189">
        <f t="shared" si="106"/>
        <v>35</v>
      </c>
      <c r="BB116" s="178">
        <f t="shared" si="123"/>
        <v>71.428571428571431</v>
      </c>
      <c r="BC116" s="179">
        <f t="shared" si="124"/>
        <v>50</v>
      </c>
      <c r="BD116" s="30">
        <f t="shared" si="158"/>
        <v>0.5</v>
      </c>
      <c r="BE116" s="190">
        <v>162394000</v>
      </c>
      <c r="BF116" s="190">
        <v>14691000</v>
      </c>
      <c r="BG116" s="54">
        <v>1732000</v>
      </c>
      <c r="BH116" s="191">
        <f t="shared" si="107"/>
        <v>177085000</v>
      </c>
      <c r="BI116" s="178">
        <f t="shared" si="108"/>
        <v>0.97806138295168987</v>
      </c>
      <c r="BJ116" s="294" t="str">
        <f t="shared" si="125"/>
        <v>식약/섬유/종이업</v>
      </c>
      <c r="BK116" s="192">
        <f t="shared" si="109"/>
        <v>2.1999360555264444</v>
      </c>
      <c r="BL116" s="193">
        <f t="shared" si="126"/>
        <v>-1.2218746725747547</v>
      </c>
      <c r="BM116" s="241">
        <f t="shared" si="127"/>
        <v>80</v>
      </c>
      <c r="BN116" s="47">
        <f t="shared" si="128"/>
        <v>1.6</v>
      </c>
      <c r="BO116" s="54">
        <v>20132000</v>
      </c>
      <c r="BP116" s="194">
        <f t="shared" si="110"/>
        <v>0.82378036418996825</v>
      </c>
      <c r="BQ116" s="179">
        <f t="shared" si="129"/>
        <v>70</v>
      </c>
      <c r="BR116" s="30">
        <f t="shared" si="159"/>
        <v>1.4000000000000001</v>
      </c>
      <c r="BS116" s="195">
        <v>101769140.7</v>
      </c>
      <c r="BT116" s="195">
        <v>1157484.503</v>
      </c>
      <c r="BU116" s="196">
        <f t="shared" si="130"/>
        <v>100611656.197</v>
      </c>
      <c r="BV116" s="178">
        <f t="shared" si="111"/>
        <v>4.1169236431412939</v>
      </c>
      <c r="BW116" s="192">
        <f t="shared" si="112"/>
        <v>5.0508176117342281</v>
      </c>
      <c r="BX116" s="192">
        <f t="shared" si="131"/>
        <v>0.87215794457426032</v>
      </c>
      <c r="BY116" s="192">
        <f t="shared" si="113"/>
        <v>6.9871618081220941</v>
      </c>
      <c r="BZ116" s="192">
        <f t="shared" si="132"/>
        <v>55.316371133661931</v>
      </c>
      <c r="CA116" s="192">
        <f t="shared" si="114"/>
        <v>55</v>
      </c>
      <c r="CB116" s="55">
        <f t="shared" si="133"/>
        <v>1.1000000000000001</v>
      </c>
      <c r="CC116" s="197">
        <f t="shared" si="160"/>
        <v>85.893668743727972</v>
      </c>
      <c r="CD116" s="198">
        <f t="shared" si="161"/>
        <v>68.004898714675392</v>
      </c>
      <c r="CE116" s="58">
        <f t="shared" si="162"/>
        <v>1.0200734807201308</v>
      </c>
      <c r="CF116" s="245" t="s">
        <v>2326</v>
      </c>
      <c r="CG116" s="245" t="s">
        <v>2326</v>
      </c>
      <c r="CH116" s="245" t="s">
        <v>2326</v>
      </c>
      <c r="CI116" s="245" t="s">
        <v>2326</v>
      </c>
      <c r="CJ116" s="235"/>
      <c r="CK116" s="173" t="s">
        <v>2476</v>
      </c>
      <c r="CL116" s="173" t="s">
        <v>2477</v>
      </c>
      <c r="CM116" s="199">
        <f t="shared" si="134"/>
        <v>85</v>
      </c>
      <c r="CN116" s="58">
        <f t="shared" si="163"/>
        <v>1.2749999999999999</v>
      </c>
      <c r="CO116" s="54">
        <v>722872000</v>
      </c>
      <c r="CP116" s="186">
        <f t="shared" si="115"/>
        <v>35.753018862664263</v>
      </c>
      <c r="CQ116" s="179">
        <f t="shared" si="135"/>
        <v>40</v>
      </c>
      <c r="CR116" s="30">
        <f t="shared" si="164"/>
        <v>1.2</v>
      </c>
      <c r="CS116" s="200">
        <f>_xlfn.XLOOKUP(C116, '1-1. 관계사체무보증금액 (환율 등)'!$3:$3, '1-1. 관계사체무보증금액 (환율 등)'!$33:$33)</f>
        <v>82784810.126582265</v>
      </c>
      <c r="CT116" s="178">
        <f t="shared" si="116"/>
        <v>4.0945103393101059</v>
      </c>
      <c r="CU116" s="179">
        <f t="shared" si="136"/>
        <v>80</v>
      </c>
      <c r="CV116" s="30">
        <f t="shared" si="165"/>
        <v>1.6</v>
      </c>
      <c r="CW116" s="72">
        <f t="shared" si="137"/>
        <v>16.681298300751685</v>
      </c>
    </row>
    <row r="117" spans="1:101" x14ac:dyDescent="0.6">
      <c r="A117" s="214" t="s">
        <v>511</v>
      </c>
      <c r="B117" s="13" t="s">
        <v>2096</v>
      </c>
      <c r="C117" s="219" t="s">
        <v>515</v>
      </c>
      <c r="D117" s="216" t="s">
        <v>203</v>
      </c>
      <c r="E117" s="217" t="s">
        <v>180</v>
      </c>
      <c r="F117" s="217" t="s">
        <v>391</v>
      </c>
      <c r="G117" s="218">
        <v>27865</v>
      </c>
      <c r="H117" s="217" t="s">
        <v>830</v>
      </c>
      <c r="I117" s="217" t="s">
        <v>742</v>
      </c>
      <c r="J117" s="217" t="s">
        <v>671</v>
      </c>
      <c r="K117" s="217" t="s">
        <v>407</v>
      </c>
      <c r="L117" s="220">
        <v>2511638063</v>
      </c>
      <c r="M117" s="206">
        <v>407361084</v>
      </c>
      <c r="N117" s="206">
        <v>2104276979</v>
      </c>
      <c r="O117" s="206">
        <v>2461065167</v>
      </c>
      <c r="P117" s="206">
        <v>406388582</v>
      </c>
      <c r="Q117" s="206">
        <v>513833216</v>
      </c>
      <c r="R117" s="206">
        <v>386538587</v>
      </c>
      <c r="S117" s="207">
        <v>25800000</v>
      </c>
      <c r="T117" s="207">
        <v>330000</v>
      </c>
      <c r="U117" s="207">
        <v>11223000</v>
      </c>
      <c r="V117" s="207">
        <v>0</v>
      </c>
      <c r="W117" s="207">
        <f>7+13+295+130+80+600+100</f>
        <v>1225</v>
      </c>
      <c r="X117" s="207">
        <v>0</v>
      </c>
      <c r="Z117" s="207">
        <v>0</v>
      </c>
      <c r="AA117" s="207">
        <v>0</v>
      </c>
      <c r="AB117" s="176">
        <f t="shared" si="138"/>
        <v>11224225</v>
      </c>
      <c r="AC117" s="177">
        <f t="shared" si="117"/>
        <v>43.504748062015501</v>
      </c>
      <c r="AD117" s="177">
        <f t="shared" si="139"/>
        <v>62.539055182380181</v>
      </c>
      <c r="AE117" s="26">
        <f t="shared" si="154"/>
        <v>1.8761716554714054</v>
      </c>
      <c r="AF117" s="178">
        <f t="shared" si="118"/>
        <v>44.063604240282686</v>
      </c>
      <c r="AG117" s="178">
        <f t="shared" si="119"/>
        <v>44.068413820180602</v>
      </c>
      <c r="AH117" s="178">
        <f t="shared" si="140"/>
        <v>4.8095798979161941E-3</v>
      </c>
      <c r="AI117" s="179">
        <f t="shared" si="141"/>
        <v>100</v>
      </c>
      <c r="AJ117" s="30">
        <f t="shared" si="155"/>
        <v>4</v>
      </c>
      <c r="AK117" s="204">
        <v>7</v>
      </c>
      <c r="AL117" s="204">
        <v>13</v>
      </c>
      <c r="AM117" s="204">
        <v>0</v>
      </c>
      <c r="AN117" s="181">
        <f t="shared" si="101"/>
        <v>20</v>
      </c>
      <c r="AO117" s="182">
        <f t="shared" si="102"/>
        <v>0</v>
      </c>
      <c r="AP117" s="183">
        <f t="shared" si="120"/>
        <v>100</v>
      </c>
      <c r="AQ117" s="38">
        <f t="shared" si="156"/>
        <v>2</v>
      </c>
      <c r="AR117" s="212">
        <v>4</v>
      </c>
      <c r="AS117" s="292">
        <f t="shared" si="103"/>
        <v>0.5</v>
      </c>
      <c r="AT117" s="185">
        <f t="shared" si="104"/>
        <v>3.5</v>
      </c>
      <c r="AU117" s="185">
        <f t="shared" si="121"/>
        <v>3</v>
      </c>
      <c r="AV117" s="186">
        <f t="shared" si="105"/>
        <v>14.285714285714285</v>
      </c>
      <c r="AW117" s="179">
        <f t="shared" si="122"/>
        <v>60</v>
      </c>
      <c r="AX117" s="239">
        <f t="shared" si="157"/>
        <v>0.6</v>
      </c>
      <c r="AY117" s="54">
        <v>11</v>
      </c>
      <c r="AZ117" s="54">
        <f>44-3</f>
        <v>41</v>
      </c>
      <c r="BA117" s="189">
        <f t="shared" si="106"/>
        <v>44</v>
      </c>
      <c r="BB117" s="178">
        <f t="shared" si="123"/>
        <v>93.181818181818173</v>
      </c>
      <c r="BC117" s="179">
        <f t="shared" si="124"/>
        <v>100</v>
      </c>
      <c r="BD117" s="30">
        <f t="shared" si="158"/>
        <v>1</v>
      </c>
      <c r="BE117" s="190">
        <v>23433689</v>
      </c>
      <c r="BF117" s="190">
        <v>1543250</v>
      </c>
      <c r="BG117" s="301">
        <v>0</v>
      </c>
      <c r="BH117" s="191">
        <f t="shared" si="107"/>
        <v>24976939</v>
      </c>
      <c r="BI117" s="178">
        <f t="shared" si="108"/>
        <v>0</v>
      </c>
      <c r="BJ117" s="294" t="str">
        <f t="shared" si="125"/>
        <v>금속/비금속/화학업</v>
      </c>
      <c r="BK117" s="192">
        <f t="shared" si="109"/>
        <v>3.9534118626990464</v>
      </c>
      <c r="BL117" s="193">
        <f t="shared" si="126"/>
        <v>-3.9534118626990464</v>
      </c>
      <c r="BM117" s="241">
        <f t="shared" si="127"/>
        <v>100</v>
      </c>
      <c r="BN117" s="47">
        <f t="shared" si="128"/>
        <v>2</v>
      </c>
      <c r="BO117" s="54">
        <v>14616470</v>
      </c>
      <c r="BP117" s="194">
        <f t="shared" si="110"/>
        <v>0.5939082880043054</v>
      </c>
      <c r="BQ117" s="179">
        <f t="shared" si="129"/>
        <v>70</v>
      </c>
      <c r="BR117" s="30">
        <f t="shared" si="159"/>
        <v>1.4000000000000001</v>
      </c>
      <c r="BS117" s="195">
        <v>144449296.23899999</v>
      </c>
      <c r="BT117" s="195">
        <v>15732.2</v>
      </c>
      <c r="BU117" s="196">
        <f t="shared" si="130"/>
        <v>144433564.039</v>
      </c>
      <c r="BV117" s="178">
        <f t="shared" si="111"/>
        <v>5.8687419567626593</v>
      </c>
      <c r="BW117" s="192">
        <f t="shared" si="112"/>
        <v>5.1474158565187729</v>
      </c>
      <c r="BX117" s="192">
        <f t="shared" si="131"/>
        <v>0.52031134289305325</v>
      </c>
      <c r="BY117" s="192">
        <f t="shared" si="113"/>
        <v>6.6930498535228526</v>
      </c>
      <c r="BZ117" s="192">
        <f t="shared" si="132"/>
        <v>45.708811526433969</v>
      </c>
      <c r="CA117" s="192">
        <f t="shared" si="114"/>
        <v>55</v>
      </c>
      <c r="CB117" s="55">
        <f t="shared" si="133"/>
        <v>1.1000000000000001</v>
      </c>
      <c r="CC117" s="197">
        <f t="shared" si="160"/>
        <v>19.358719791421528</v>
      </c>
      <c r="CD117" s="198">
        <f t="shared" si="161"/>
        <v>93.080884500720529</v>
      </c>
      <c r="CE117" s="58">
        <f t="shared" si="162"/>
        <v>1.3962132675108079</v>
      </c>
      <c r="CF117" s="245" t="s">
        <v>2326</v>
      </c>
      <c r="CG117" s="245" t="s">
        <v>2326</v>
      </c>
      <c r="CH117" s="245" t="s">
        <v>2326</v>
      </c>
      <c r="CI117" s="245" t="s">
        <v>2326</v>
      </c>
      <c r="CJ117" s="235"/>
      <c r="CK117" s="173" t="s">
        <v>2486</v>
      </c>
      <c r="CL117" s="173" t="s">
        <v>2487</v>
      </c>
      <c r="CM117" s="199">
        <f t="shared" si="134"/>
        <v>70</v>
      </c>
      <c r="CN117" s="58">
        <f t="shared" si="163"/>
        <v>1.05</v>
      </c>
      <c r="CO117" s="54">
        <v>278965000</v>
      </c>
      <c r="CP117" s="186">
        <f t="shared" si="115"/>
        <v>13.257047564744564</v>
      </c>
      <c r="CQ117" s="179">
        <f t="shared" si="135"/>
        <v>60</v>
      </c>
      <c r="CR117" s="30">
        <f t="shared" si="164"/>
        <v>1.7999999999999998</v>
      </c>
      <c r="CS117" s="200">
        <f>_xlfn.XLOOKUP(C117, '1-1. 관계사체무보증금액 (환율 등)'!$3:$3, '1-1. 관계사체무보증금액 (환율 등)'!$33:$33)</f>
        <v>301621621.62162161</v>
      </c>
      <c r="CT117" s="178">
        <f t="shared" si="116"/>
        <v>14.333741452846146</v>
      </c>
      <c r="CU117" s="179">
        <f t="shared" si="136"/>
        <v>60</v>
      </c>
      <c r="CV117" s="30">
        <f t="shared" si="165"/>
        <v>1.2</v>
      </c>
      <c r="CW117" s="72">
        <f t="shared" si="137"/>
        <v>19.422384922982214</v>
      </c>
    </row>
    <row r="118" spans="1:101" x14ac:dyDescent="0.6">
      <c r="A118" s="214" t="s">
        <v>15</v>
      </c>
      <c r="B118" s="13" t="s">
        <v>2097</v>
      </c>
      <c r="C118" s="219" t="s">
        <v>71</v>
      </c>
      <c r="D118" s="216" t="s">
        <v>203</v>
      </c>
      <c r="E118" s="217" t="s">
        <v>195</v>
      </c>
      <c r="F118" s="217" t="s">
        <v>1162</v>
      </c>
      <c r="G118" s="218">
        <v>28294</v>
      </c>
      <c r="H118" s="217" t="s">
        <v>755</v>
      </c>
      <c r="I118" s="217" t="s">
        <v>765</v>
      </c>
      <c r="J118" s="217" t="s">
        <v>1159</v>
      </c>
      <c r="K118" s="217" t="s">
        <v>484</v>
      </c>
      <c r="L118" s="220">
        <v>257003015</v>
      </c>
      <c r="M118" s="206">
        <v>25657000</v>
      </c>
      <c r="N118" s="206">
        <v>231346015</v>
      </c>
      <c r="O118" s="206">
        <v>253705017</v>
      </c>
      <c r="P118" s="206">
        <v>209474</v>
      </c>
      <c r="Q118" s="206">
        <v>8220332</v>
      </c>
      <c r="R118" s="206">
        <v>6363937</v>
      </c>
      <c r="S118" s="207">
        <v>4150000</v>
      </c>
      <c r="T118" s="207">
        <v>1257143</v>
      </c>
      <c r="U118" s="207">
        <v>299270</v>
      </c>
      <c r="V118" s="207">
        <f>152660+62145+138830+101585+10240+86700+37900+37900</f>
        <v>627960</v>
      </c>
      <c r="W118" s="207">
        <v>13300</v>
      </c>
      <c r="X118" s="207">
        <v>0</v>
      </c>
      <c r="Z118" s="207">
        <v>0</v>
      </c>
      <c r="AA118" s="207">
        <v>0</v>
      </c>
      <c r="AB118" s="176">
        <f t="shared" si="138"/>
        <v>940530</v>
      </c>
      <c r="AC118" s="177">
        <f t="shared" si="117"/>
        <v>22.663373493975904</v>
      </c>
      <c r="AD118" s="177">
        <f t="shared" si="139"/>
        <v>80.526432542598471</v>
      </c>
      <c r="AE118" s="26">
        <f t="shared" si="154"/>
        <v>2.4157929762779542</v>
      </c>
      <c r="AF118" s="178">
        <f t="shared" si="118"/>
        <v>32.052396644562798</v>
      </c>
      <c r="AG118" s="178">
        <f t="shared" si="119"/>
        <v>32.512149753686408</v>
      </c>
      <c r="AH118" s="178">
        <f t="shared" si="140"/>
        <v>0.45975310912361067</v>
      </c>
      <c r="AI118" s="179">
        <f t="shared" si="141"/>
        <v>100</v>
      </c>
      <c r="AJ118" s="30">
        <f t="shared" si="155"/>
        <v>4</v>
      </c>
      <c r="AK118" s="204">
        <v>6</v>
      </c>
      <c r="AL118" s="204">
        <v>6</v>
      </c>
      <c r="AM118" s="204">
        <v>2</v>
      </c>
      <c r="AN118" s="181">
        <f t="shared" si="101"/>
        <v>12</v>
      </c>
      <c r="AO118" s="182">
        <f t="shared" si="102"/>
        <v>16.666666666666664</v>
      </c>
      <c r="AP118" s="183">
        <f t="shared" si="120"/>
        <v>80</v>
      </c>
      <c r="AQ118" s="38">
        <f t="shared" si="156"/>
        <v>1.6</v>
      </c>
      <c r="AR118" s="212">
        <v>1</v>
      </c>
      <c r="AS118" s="292">
        <f t="shared" si="103"/>
        <v>0.25</v>
      </c>
      <c r="AT118" s="185">
        <f t="shared" si="104"/>
        <v>1.5</v>
      </c>
      <c r="AU118" s="185">
        <f t="shared" si="121"/>
        <v>1</v>
      </c>
      <c r="AV118" s="186">
        <f t="shared" si="105"/>
        <v>0</v>
      </c>
      <c r="AW118" s="179">
        <f t="shared" si="122"/>
        <v>40</v>
      </c>
      <c r="AX118" s="239">
        <f t="shared" si="157"/>
        <v>0.4</v>
      </c>
      <c r="AY118" s="54">
        <v>7</v>
      </c>
      <c r="AZ118" s="54">
        <v>7</v>
      </c>
      <c r="BA118" s="189">
        <f t="shared" si="106"/>
        <v>7</v>
      </c>
      <c r="BB118" s="178">
        <f t="shared" si="123"/>
        <v>100</v>
      </c>
      <c r="BC118" s="179">
        <f t="shared" si="124"/>
        <v>100</v>
      </c>
      <c r="BD118" s="30">
        <f t="shared" si="158"/>
        <v>1</v>
      </c>
      <c r="BE118" s="190">
        <v>4875359</v>
      </c>
      <c r="BF118" s="190">
        <v>381091</v>
      </c>
      <c r="BG118" s="54">
        <v>219208</v>
      </c>
      <c r="BH118" s="191">
        <f t="shared" si="107"/>
        <v>5256450</v>
      </c>
      <c r="BI118" s="178">
        <f t="shared" si="108"/>
        <v>4.1702670052982524</v>
      </c>
      <c r="BJ118" s="294" t="str">
        <f t="shared" si="125"/>
        <v>금속/비금속/화학업</v>
      </c>
      <c r="BK118" s="192">
        <f t="shared" si="109"/>
        <v>3.9534118626990464</v>
      </c>
      <c r="BL118" s="193">
        <f t="shared" si="126"/>
        <v>0.21685514259920602</v>
      </c>
      <c r="BM118" s="241">
        <f t="shared" si="127"/>
        <v>60</v>
      </c>
      <c r="BN118" s="47">
        <f t="shared" si="128"/>
        <v>1.2</v>
      </c>
      <c r="BO118" s="54">
        <v>0</v>
      </c>
      <c r="BP118" s="194">
        <f t="shared" si="110"/>
        <v>0</v>
      </c>
      <c r="BQ118" s="179">
        <f t="shared" si="129"/>
        <v>25</v>
      </c>
      <c r="BR118" s="30">
        <f t="shared" si="159"/>
        <v>0.5</v>
      </c>
      <c r="BS118" s="195">
        <v>541331.51399999997</v>
      </c>
      <c r="BT118" s="195">
        <v>1623474.9450000001</v>
      </c>
      <c r="BU118" s="196">
        <f t="shared" si="130"/>
        <v>-1082143.4310000001</v>
      </c>
      <c r="BV118" s="178">
        <f t="shared" si="111"/>
        <v>-0.42653607870907817</v>
      </c>
      <c r="BW118" s="192">
        <f t="shared" si="112"/>
        <v>5.1474158565187729</v>
      </c>
      <c r="BX118" s="192">
        <f t="shared" si="131"/>
        <v>31.068940176230303</v>
      </c>
      <c r="BY118" s="192">
        <f t="shared" si="113"/>
        <v>6.6930498535228526</v>
      </c>
      <c r="BZ118" s="192">
        <f t="shared" si="132"/>
        <v>79.752039057466789</v>
      </c>
      <c r="CA118" s="192">
        <f t="shared" si="114"/>
        <v>40</v>
      </c>
      <c r="CB118" s="55">
        <f t="shared" si="133"/>
        <v>0.8</v>
      </c>
      <c r="CC118" s="197">
        <f t="shared" si="160"/>
        <v>11.090314220454585</v>
      </c>
      <c r="CD118" s="198">
        <f t="shared" si="161"/>
        <v>96.197117756110075</v>
      </c>
      <c r="CE118" s="58">
        <f t="shared" si="162"/>
        <v>1.4429567663416512</v>
      </c>
      <c r="CF118" s="245" t="s">
        <v>2326</v>
      </c>
      <c r="CG118" s="245" t="s">
        <v>2326</v>
      </c>
      <c r="CH118" s="245" t="s">
        <v>2326</v>
      </c>
      <c r="CI118" s="245" t="s">
        <v>2326</v>
      </c>
      <c r="CJ118" s="235"/>
      <c r="CK118" s="173" t="s">
        <v>2479</v>
      </c>
      <c r="CL118" s="173" t="s">
        <v>2478</v>
      </c>
      <c r="CM118" s="199">
        <f t="shared" si="134"/>
        <v>25</v>
      </c>
      <c r="CN118" s="58">
        <f t="shared" si="163"/>
        <v>0.375</v>
      </c>
      <c r="CO118" s="54">
        <v>0</v>
      </c>
      <c r="CP118" s="186">
        <f t="shared" si="115"/>
        <v>0</v>
      </c>
      <c r="CQ118" s="179">
        <f t="shared" si="135"/>
        <v>100</v>
      </c>
      <c r="CR118" s="30">
        <f t="shared" si="164"/>
        <v>3</v>
      </c>
      <c r="CS118" s="200">
        <f>_xlfn.XLOOKUP(C118, '1-1. 관계사체무보증금액 (환율 등)'!$3:$3, '1-1. 관계사체무보증금액 (환율 등)'!$33:$33)</f>
        <v>0</v>
      </c>
      <c r="CT118" s="178">
        <f t="shared" si="116"/>
        <v>0</v>
      </c>
      <c r="CU118" s="179">
        <f t="shared" si="136"/>
        <v>100</v>
      </c>
      <c r="CV118" s="30">
        <f t="shared" si="165"/>
        <v>2</v>
      </c>
      <c r="CW118" s="72">
        <f t="shared" si="137"/>
        <v>18.733749742619604</v>
      </c>
    </row>
    <row r="119" spans="1:101" x14ac:dyDescent="0.6">
      <c r="A119" s="214" t="s">
        <v>753</v>
      </c>
      <c r="B119" s="13" t="s">
        <v>2098</v>
      </c>
      <c r="C119" s="219" t="s">
        <v>430</v>
      </c>
      <c r="D119" s="216" t="s">
        <v>202</v>
      </c>
      <c r="E119" s="217" t="s">
        <v>954</v>
      </c>
      <c r="F119" s="217" t="s">
        <v>647</v>
      </c>
      <c r="G119" s="218">
        <v>34348</v>
      </c>
      <c r="H119" s="217" t="s">
        <v>830</v>
      </c>
      <c r="I119" s="217" t="s">
        <v>966</v>
      </c>
      <c r="J119" s="217" t="s">
        <v>1151</v>
      </c>
      <c r="K119" s="217" t="s">
        <v>91</v>
      </c>
      <c r="L119" s="220">
        <v>463199227</v>
      </c>
      <c r="M119" s="206">
        <v>33561119</v>
      </c>
      <c r="N119" s="206">
        <v>429638109</v>
      </c>
      <c r="O119" s="206">
        <v>223860213</v>
      </c>
      <c r="P119" s="206">
        <v>14271412</v>
      </c>
      <c r="Q119" s="206">
        <v>23103260</v>
      </c>
      <c r="R119" s="206">
        <v>17789582</v>
      </c>
      <c r="S119" s="207">
        <v>33000000</v>
      </c>
      <c r="T119" s="207">
        <v>11372376</v>
      </c>
      <c r="U119" s="207">
        <v>8286380</v>
      </c>
      <c r="V119" s="207">
        <f>4318800+10027+63557*2+63556</f>
        <v>4519497</v>
      </c>
      <c r="W119" s="207">
        <f>6745+1516+1652+121+688+491+81</f>
        <v>11294</v>
      </c>
      <c r="X119" s="207">
        <v>0</v>
      </c>
      <c r="Z119" s="207">
        <v>0</v>
      </c>
      <c r="AA119" s="207">
        <v>0</v>
      </c>
      <c r="AB119" s="176">
        <f t="shared" si="138"/>
        <v>12817171</v>
      </c>
      <c r="AC119" s="177">
        <f t="shared" si="117"/>
        <v>38.839912121212123</v>
      </c>
      <c r="AD119" s="177">
        <f t="shared" si="139"/>
        <v>66.565093105973432</v>
      </c>
      <c r="AE119" s="26">
        <f t="shared" si="154"/>
        <v>1.9969527931792028</v>
      </c>
      <c r="AF119" s="178">
        <f t="shared" si="118"/>
        <v>59.210743630460748</v>
      </c>
      <c r="AG119" s="178">
        <f t="shared" si="119"/>
        <v>59.262963883596278</v>
      </c>
      <c r="AH119" s="178">
        <f t="shared" si="140"/>
        <v>5.222025313553047E-2</v>
      </c>
      <c r="AI119" s="179">
        <f t="shared" si="141"/>
        <v>100</v>
      </c>
      <c r="AJ119" s="30">
        <f t="shared" si="155"/>
        <v>4</v>
      </c>
      <c r="AK119" s="204">
        <v>6</v>
      </c>
      <c r="AL119" s="204">
        <v>9</v>
      </c>
      <c r="AM119" s="204">
        <v>2</v>
      </c>
      <c r="AN119" s="181">
        <f t="shared" si="101"/>
        <v>15</v>
      </c>
      <c r="AO119" s="182">
        <f t="shared" si="102"/>
        <v>13.333333333333334</v>
      </c>
      <c r="AP119" s="183">
        <f t="shared" si="120"/>
        <v>80</v>
      </c>
      <c r="AQ119" s="38">
        <f t="shared" si="156"/>
        <v>1.6</v>
      </c>
      <c r="AR119" s="212">
        <v>2</v>
      </c>
      <c r="AS119" s="292">
        <f t="shared" si="103"/>
        <v>0.25</v>
      </c>
      <c r="AT119" s="185">
        <f t="shared" si="104"/>
        <v>1.5</v>
      </c>
      <c r="AU119" s="185">
        <f t="shared" si="121"/>
        <v>1</v>
      </c>
      <c r="AV119" s="186">
        <f t="shared" si="105"/>
        <v>16.666666666666664</v>
      </c>
      <c r="AW119" s="179">
        <f t="shared" si="122"/>
        <v>60</v>
      </c>
      <c r="AX119" s="239">
        <f t="shared" si="157"/>
        <v>0.6</v>
      </c>
      <c r="AY119" s="54">
        <v>10</v>
      </c>
      <c r="AZ119" s="54">
        <f>6+10</f>
        <v>16</v>
      </c>
      <c r="BA119" s="189">
        <f t="shared" si="106"/>
        <v>20</v>
      </c>
      <c r="BB119" s="178">
        <f t="shared" si="123"/>
        <v>80</v>
      </c>
      <c r="BC119" s="179">
        <f t="shared" si="124"/>
        <v>75</v>
      </c>
      <c r="BD119" s="30">
        <f t="shared" si="158"/>
        <v>0.75</v>
      </c>
      <c r="BE119" s="190">
        <v>3534821</v>
      </c>
      <c r="BF119" s="190">
        <v>354838</v>
      </c>
      <c r="BG119" s="54">
        <v>25243</v>
      </c>
      <c r="BH119" s="191">
        <f t="shared" si="107"/>
        <v>3889659</v>
      </c>
      <c r="BI119" s="178">
        <f t="shared" si="108"/>
        <v>0.64897719825825351</v>
      </c>
      <c r="BJ119" s="294" t="str">
        <f t="shared" si="125"/>
        <v>전기전자/기계업</v>
      </c>
      <c r="BK119" s="192">
        <f t="shared" si="109"/>
        <v>2.4096449716116455</v>
      </c>
      <c r="BL119" s="193">
        <f t="shared" si="126"/>
        <v>-1.760667773353392</v>
      </c>
      <c r="BM119" s="241">
        <f t="shared" si="127"/>
        <v>80</v>
      </c>
      <c r="BN119" s="47">
        <f t="shared" si="128"/>
        <v>1.6</v>
      </c>
      <c r="BO119" s="54">
        <v>5930581</v>
      </c>
      <c r="BP119" s="194">
        <f t="shared" si="110"/>
        <v>2.6492340557185119</v>
      </c>
      <c r="BQ119" s="179">
        <f t="shared" si="129"/>
        <v>85</v>
      </c>
      <c r="BR119" s="30">
        <f t="shared" si="159"/>
        <v>1.7</v>
      </c>
      <c r="BS119" s="195">
        <v>1836831.4</v>
      </c>
      <c r="BT119" s="195">
        <v>33590.909</v>
      </c>
      <c r="BU119" s="196">
        <f t="shared" si="130"/>
        <v>1803240.4909999999</v>
      </c>
      <c r="BV119" s="178">
        <f t="shared" si="111"/>
        <v>0.80552076085087976</v>
      </c>
      <c r="BW119" s="192">
        <f t="shared" si="112"/>
        <v>5.2309968128308268</v>
      </c>
      <c r="BX119" s="192">
        <f t="shared" si="131"/>
        <v>19.584838286648019</v>
      </c>
      <c r="BY119" s="192">
        <f t="shared" si="113"/>
        <v>7.0695458012309622</v>
      </c>
      <c r="BZ119" s="192">
        <f t="shared" si="132"/>
        <v>73.433976358002411</v>
      </c>
      <c r="CA119" s="192">
        <f t="shared" si="114"/>
        <v>40</v>
      </c>
      <c r="CB119" s="55">
        <f t="shared" si="133"/>
        <v>0.8</v>
      </c>
      <c r="CC119" s="197">
        <f t="shared" si="160"/>
        <v>7.8114855961252729</v>
      </c>
      <c r="CD119" s="198">
        <f t="shared" si="161"/>
        <v>97.43285718738997</v>
      </c>
      <c r="CE119" s="58">
        <f t="shared" si="162"/>
        <v>1.4614928578108495</v>
      </c>
      <c r="CF119" s="245" t="s">
        <v>2326</v>
      </c>
      <c r="CG119" s="245" t="s">
        <v>2326</v>
      </c>
      <c r="CH119" s="245" t="s">
        <v>2326</v>
      </c>
      <c r="CI119" s="245" t="s">
        <v>2326</v>
      </c>
      <c r="CJ119" s="235"/>
      <c r="CK119" s="173" t="s">
        <v>2490</v>
      </c>
      <c r="CL119" s="173" t="s">
        <v>2487</v>
      </c>
      <c r="CM119" s="199">
        <f t="shared" si="134"/>
        <v>70</v>
      </c>
      <c r="CN119" s="58">
        <f t="shared" si="163"/>
        <v>1.05</v>
      </c>
      <c r="CO119" s="54">
        <v>0</v>
      </c>
      <c r="CP119" s="186">
        <f t="shared" si="115"/>
        <v>0</v>
      </c>
      <c r="CQ119" s="179">
        <f t="shared" si="135"/>
        <v>100</v>
      </c>
      <c r="CR119" s="30">
        <f t="shared" si="164"/>
        <v>3</v>
      </c>
      <c r="CS119" s="200">
        <f>_xlfn.XLOOKUP(C119, '1-1. 관계사체무보증금액 (환율 등)'!$3:$3, '1-1. 관계사체무보증금액 (환율 등)'!$33:$33)</f>
        <v>0</v>
      </c>
      <c r="CT119" s="178">
        <f t="shared" si="116"/>
        <v>0</v>
      </c>
      <c r="CU119" s="179">
        <f t="shared" si="136"/>
        <v>100</v>
      </c>
      <c r="CV119" s="30">
        <f t="shared" si="165"/>
        <v>2</v>
      </c>
      <c r="CW119" s="72">
        <f t="shared" si="137"/>
        <v>20.558445650990052</v>
      </c>
    </row>
    <row r="120" spans="1:101" x14ac:dyDescent="0.6">
      <c r="A120" s="214" t="s">
        <v>1658</v>
      </c>
      <c r="B120" s="13" t="s">
        <v>2099</v>
      </c>
      <c r="C120" s="219" t="s">
        <v>420</v>
      </c>
      <c r="D120" s="216" t="s">
        <v>203</v>
      </c>
      <c r="E120" s="217" t="s">
        <v>195</v>
      </c>
      <c r="F120" s="217" t="s">
        <v>1188</v>
      </c>
      <c r="G120" s="218">
        <v>34643</v>
      </c>
      <c r="H120" s="217" t="s">
        <v>830</v>
      </c>
      <c r="I120" s="217" t="s">
        <v>1515</v>
      </c>
      <c r="J120" s="217" t="s">
        <v>673</v>
      </c>
      <c r="K120" s="217" t="s">
        <v>91</v>
      </c>
      <c r="L120" s="220">
        <v>206906858</v>
      </c>
      <c r="M120" s="206">
        <v>39013430</v>
      </c>
      <c r="N120" s="206">
        <v>167893428</v>
      </c>
      <c r="O120" s="206">
        <v>192206731</v>
      </c>
      <c r="P120" s="206">
        <v>3006102</v>
      </c>
      <c r="Q120" s="206">
        <v>24358747</v>
      </c>
      <c r="R120" s="206">
        <v>26217228</v>
      </c>
      <c r="S120" s="207">
        <v>20503505</v>
      </c>
      <c r="T120" s="207">
        <v>1009119</v>
      </c>
      <c r="U120" s="207">
        <v>3085325</v>
      </c>
      <c r="V120" s="207">
        <f>2969100+539065+475505+128375+124000+123000+123000</f>
        <v>4482045</v>
      </c>
      <c r="W120" s="207">
        <v>5090</v>
      </c>
      <c r="X120" s="207">
        <v>0</v>
      </c>
      <c r="Z120" s="207">
        <v>0</v>
      </c>
      <c r="AA120" s="207">
        <v>0</v>
      </c>
      <c r="AB120" s="176">
        <f t="shared" si="138"/>
        <v>7572460</v>
      </c>
      <c r="AC120" s="177">
        <f t="shared" si="117"/>
        <v>36.932514709070475</v>
      </c>
      <c r="AD120" s="177">
        <f t="shared" si="139"/>
        <v>68.211293404139411</v>
      </c>
      <c r="AE120" s="26">
        <f t="shared" si="154"/>
        <v>2.0463388021241822</v>
      </c>
      <c r="AF120" s="178">
        <f t="shared" si="118"/>
        <v>38.818201301646539</v>
      </c>
      <c r="AG120" s="178">
        <f t="shared" si="119"/>
        <v>38.844311382774507</v>
      </c>
      <c r="AH120" s="178">
        <f t="shared" si="140"/>
        <v>2.6110081127967533E-2</v>
      </c>
      <c r="AI120" s="179">
        <f t="shared" si="141"/>
        <v>100</v>
      </c>
      <c r="AJ120" s="30">
        <f t="shared" si="155"/>
        <v>4</v>
      </c>
      <c r="AK120" s="204">
        <v>4</v>
      </c>
      <c r="AL120" s="204">
        <v>4</v>
      </c>
      <c r="AM120" s="204">
        <v>1</v>
      </c>
      <c r="AN120" s="181">
        <f t="shared" si="101"/>
        <v>8</v>
      </c>
      <c r="AO120" s="182">
        <f t="shared" si="102"/>
        <v>12.5</v>
      </c>
      <c r="AP120" s="183">
        <f t="shared" si="120"/>
        <v>80</v>
      </c>
      <c r="AQ120" s="38">
        <f t="shared" si="156"/>
        <v>1.6</v>
      </c>
      <c r="AR120" s="212">
        <v>1</v>
      </c>
      <c r="AS120" s="292">
        <f t="shared" si="103"/>
        <v>0.25</v>
      </c>
      <c r="AT120" s="185">
        <f t="shared" si="104"/>
        <v>1</v>
      </c>
      <c r="AU120" s="185">
        <f t="shared" si="121"/>
        <v>1</v>
      </c>
      <c r="AV120" s="186">
        <f t="shared" si="105"/>
        <v>0</v>
      </c>
      <c r="AW120" s="179">
        <f t="shared" si="122"/>
        <v>40</v>
      </c>
      <c r="AX120" s="239">
        <f t="shared" si="157"/>
        <v>0.4</v>
      </c>
      <c r="AY120" s="54">
        <v>8</v>
      </c>
      <c r="AZ120" s="54">
        <v>8</v>
      </c>
      <c r="BA120" s="189">
        <f t="shared" si="106"/>
        <v>8</v>
      </c>
      <c r="BB120" s="178">
        <f t="shared" si="123"/>
        <v>100</v>
      </c>
      <c r="BC120" s="179">
        <f t="shared" si="124"/>
        <v>100</v>
      </c>
      <c r="BD120" s="30">
        <f t="shared" si="158"/>
        <v>1</v>
      </c>
      <c r="BE120" s="190">
        <v>3045463</v>
      </c>
      <c r="BF120" s="190">
        <v>549904</v>
      </c>
      <c r="BG120" s="54">
        <v>200380</v>
      </c>
      <c r="BH120" s="191">
        <f t="shared" si="107"/>
        <v>3595367</v>
      </c>
      <c r="BI120" s="178">
        <f t="shared" si="108"/>
        <v>5.5732836174999658</v>
      </c>
      <c r="BJ120" s="294" t="str">
        <f t="shared" si="125"/>
        <v>금속/비금속/화학업</v>
      </c>
      <c r="BK120" s="192">
        <f t="shared" si="109"/>
        <v>3.9534118626990464</v>
      </c>
      <c r="BL120" s="193">
        <f t="shared" si="126"/>
        <v>1.6198717548009194</v>
      </c>
      <c r="BM120" s="241">
        <f t="shared" si="127"/>
        <v>60</v>
      </c>
      <c r="BN120" s="47">
        <f t="shared" si="128"/>
        <v>1.2</v>
      </c>
      <c r="BO120" s="54">
        <v>0</v>
      </c>
      <c r="BP120" s="194">
        <f t="shared" si="110"/>
        <v>0</v>
      </c>
      <c r="BQ120" s="179">
        <f t="shared" si="129"/>
        <v>25</v>
      </c>
      <c r="BR120" s="30">
        <f t="shared" si="159"/>
        <v>0.5</v>
      </c>
      <c r="BS120" s="195">
        <v>416831</v>
      </c>
      <c r="BT120" s="195">
        <v>0</v>
      </c>
      <c r="BU120" s="196">
        <f t="shared" si="130"/>
        <v>416831</v>
      </c>
      <c r="BV120" s="178">
        <f t="shared" si="111"/>
        <v>0.21686597437630839</v>
      </c>
      <c r="BW120" s="192">
        <f t="shared" si="112"/>
        <v>5.1474158565187729</v>
      </c>
      <c r="BX120" s="192">
        <f t="shared" si="131"/>
        <v>24.310322140295074</v>
      </c>
      <c r="BY120" s="192">
        <f t="shared" si="113"/>
        <v>6.6930498535228526</v>
      </c>
      <c r="BZ120" s="192">
        <f t="shared" si="132"/>
        <v>76.933760224897867</v>
      </c>
      <c r="CA120" s="192">
        <f t="shared" si="114"/>
        <v>40</v>
      </c>
      <c r="CB120" s="55">
        <f t="shared" si="133"/>
        <v>0.8</v>
      </c>
      <c r="CC120" s="197">
        <f t="shared" si="160"/>
        <v>23.237020331730911</v>
      </c>
      <c r="CD120" s="198">
        <f t="shared" si="161"/>
        <v>91.619213442814981</v>
      </c>
      <c r="CE120" s="58">
        <f t="shared" si="162"/>
        <v>1.3742882016422246</v>
      </c>
      <c r="CF120" s="245" t="s">
        <v>2326</v>
      </c>
      <c r="CG120" s="245" t="s">
        <v>2326</v>
      </c>
      <c r="CH120" s="245" t="s">
        <v>2326</v>
      </c>
      <c r="CI120" s="245" t="s">
        <v>2326</v>
      </c>
      <c r="CJ120" s="235"/>
      <c r="CK120" s="173" t="s">
        <v>2491</v>
      </c>
      <c r="CL120" s="173" t="s">
        <v>2478</v>
      </c>
      <c r="CM120" s="199">
        <f t="shared" si="134"/>
        <v>25</v>
      </c>
      <c r="CN120" s="58">
        <f t="shared" si="163"/>
        <v>0.375</v>
      </c>
      <c r="CO120" s="54">
        <v>88650000</v>
      </c>
      <c r="CP120" s="186">
        <f t="shared" si="115"/>
        <v>52.801352057687453</v>
      </c>
      <c r="CQ120" s="179">
        <f t="shared" si="135"/>
        <v>40</v>
      </c>
      <c r="CR120" s="30">
        <f t="shared" si="164"/>
        <v>1.2</v>
      </c>
      <c r="CS120" s="200">
        <f>_xlfn.XLOOKUP(C120, '1-1. 관계사체무보증금액 (환율 등)'!$3:$3, '1-1. 관계사체무보증금액 (환율 등)'!$33:$33)</f>
        <v>0</v>
      </c>
      <c r="CT120" s="178">
        <f t="shared" si="116"/>
        <v>0</v>
      </c>
      <c r="CU120" s="179">
        <f t="shared" si="136"/>
        <v>100</v>
      </c>
      <c r="CV120" s="30">
        <f t="shared" si="165"/>
        <v>2</v>
      </c>
      <c r="CW120" s="72">
        <f t="shared" si="137"/>
        <v>16.495627003766408</v>
      </c>
    </row>
    <row r="121" spans="1:101" x14ac:dyDescent="0.6">
      <c r="A121" s="214" t="s">
        <v>1659</v>
      </c>
      <c r="B121" s="13" t="s">
        <v>2100</v>
      </c>
      <c r="C121" s="219" t="s">
        <v>476</v>
      </c>
      <c r="D121" s="221" t="s">
        <v>481</v>
      </c>
      <c r="E121" s="217" t="s">
        <v>704</v>
      </c>
      <c r="F121" s="217" t="s">
        <v>57</v>
      </c>
      <c r="G121" s="218">
        <v>42193</v>
      </c>
      <c r="H121" s="217" t="s">
        <v>830</v>
      </c>
      <c r="I121" s="217" t="s">
        <v>271</v>
      </c>
      <c r="J121" s="217" t="s">
        <v>1171</v>
      </c>
      <c r="K121" s="217" t="s">
        <v>91</v>
      </c>
      <c r="L121" s="220">
        <v>37208616897</v>
      </c>
      <c r="M121" s="206">
        <v>35852992352</v>
      </c>
      <c r="N121" s="206">
        <v>1355624545</v>
      </c>
      <c r="O121" s="206">
        <v>3209343241</v>
      </c>
      <c r="P121" s="206">
        <v>76354621</v>
      </c>
      <c r="Q121" s="206">
        <v>78489213</v>
      </c>
      <c r="R121" s="206">
        <v>56143790</v>
      </c>
      <c r="S121" s="207">
        <v>177016189</v>
      </c>
      <c r="T121" s="207">
        <v>46536189</v>
      </c>
      <c r="U121" s="207">
        <v>38967950</v>
      </c>
      <c r="V121" s="207">
        <f>19278+4125+1890+1000+435+160</f>
        <v>26888</v>
      </c>
      <c r="W121" s="207">
        <f>150000+115249+15799+13240+12127+10532+9306+8612+5738+4710+3471+2837+1432+356+1+146708+8442+24881+8747+9740+9387+5655+10995+9187+11766+6051+7886+20016+12031+8880+7129+6558+1543+12414+5386+4789+3150+4056+6557+10628+1164+3079+1906+1800+1125+7517+10572+2610+30854+15024+7224+23341+6460+1710</f>
        <v>830378</v>
      </c>
      <c r="X121" s="207">
        <v>0</v>
      </c>
      <c r="Z121" s="207">
        <f>27601633+16275624+1288264</f>
        <v>45165521</v>
      </c>
      <c r="AA121" s="207">
        <v>0</v>
      </c>
      <c r="AB121" s="176">
        <f t="shared" si="138"/>
        <v>84990737</v>
      </c>
      <c r="AC121" s="177">
        <f t="shared" si="117"/>
        <v>48.012974112780157</v>
      </c>
      <c r="AD121" s="177">
        <f t="shared" si="139"/>
        <v>58.648181145471675</v>
      </c>
      <c r="AE121" s="60">
        <f>AD121*0.04</f>
        <v>2.3459272458188671</v>
      </c>
      <c r="AF121" s="178">
        <f t="shared" si="118"/>
        <v>29.885682096873083</v>
      </c>
      <c r="AG121" s="178">
        <f t="shared" si="119"/>
        <v>65.136984212139794</v>
      </c>
      <c r="AH121" s="178">
        <f t="shared" si="140"/>
        <v>35.251302115266711</v>
      </c>
      <c r="AI121" s="179">
        <f t="shared" si="141"/>
        <v>60</v>
      </c>
      <c r="AJ121" s="61">
        <f>AI121*0.05</f>
        <v>3</v>
      </c>
      <c r="AK121" s="204">
        <v>6</v>
      </c>
      <c r="AL121" s="204">
        <v>41</v>
      </c>
      <c r="AM121" s="204">
        <v>0</v>
      </c>
      <c r="AN121" s="181">
        <f t="shared" si="101"/>
        <v>47</v>
      </c>
      <c r="AO121" s="182">
        <f t="shared" si="102"/>
        <v>0</v>
      </c>
      <c r="AP121" s="183">
        <f t="shared" si="120"/>
        <v>100</v>
      </c>
      <c r="AQ121" s="62">
        <f>AP121*0.03</f>
        <v>3</v>
      </c>
      <c r="AR121" s="212">
        <v>4</v>
      </c>
      <c r="AS121" s="292">
        <f t="shared" si="103"/>
        <v>0.5</v>
      </c>
      <c r="AT121" s="185">
        <f t="shared" si="104"/>
        <v>3</v>
      </c>
      <c r="AU121" s="185">
        <f t="shared" si="121"/>
        <v>3</v>
      </c>
      <c r="AV121" s="186">
        <f t="shared" si="105"/>
        <v>16.666666666666664</v>
      </c>
      <c r="AW121" s="179">
        <f t="shared" si="122"/>
        <v>60</v>
      </c>
      <c r="AX121" s="240">
        <f>AW121*0.02</f>
        <v>1.2</v>
      </c>
      <c r="AY121" s="54">
        <v>12</v>
      </c>
      <c r="AZ121" s="54">
        <v>48</v>
      </c>
      <c r="BA121" s="189">
        <f t="shared" si="106"/>
        <v>48</v>
      </c>
      <c r="BB121" s="178">
        <f t="shared" si="123"/>
        <v>100</v>
      </c>
      <c r="BC121" s="179">
        <f t="shared" si="124"/>
        <v>100</v>
      </c>
      <c r="BD121" s="61">
        <f>BC121*0.02</f>
        <v>2</v>
      </c>
      <c r="BE121" s="190">
        <f>(5219+1210)*1000</f>
        <v>6429000</v>
      </c>
      <c r="BF121" s="190">
        <v>2249000</v>
      </c>
      <c r="BG121" s="301">
        <v>0</v>
      </c>
      <c r="BH121" s="191">
        <f t="shared" si="107"/>
        <v>8678000</v>
      </c>
      <c r="BI121" s="178">
        <f t="shared" si="108"/>
        <v>0</v>
      </c>
      <c r="BJ121" s="294" t="str">
        <f t="shared" si="125"/>
        <v>금융업</v>
      </c>
      <c r="BK121" s="192">
        <f t="shared" si="109"/>
        <v>2.7106886075318837</v>
      </c>
      <c r="BL121" s="193">
        <f t="shared" si="126"/>
        <v>-2.7106886075318837</v>
      </c>
      <c r="BM121" s="241">
        <f t="shared" si="127"/>
        <v>100</v>
      </c>
      <c r="BN121" s="47">
        <f t="shared" si="128"/>
        <v>2</v>
      </c>
      <c r="BO121" s="54">
        <v>0</v>
      </c>
      <c r="BP121" s="194">
        <f t="shared" si="110"/>
        <v>0</v>
      </c>
      <c r="BQ121" s="179">
        <f t="shared" si="129"/>
        <v>25</v>
      </c>
      <c r="BR121" s="61">
        <f>BQ121*0.01</f>
        <v>0.25</v>
      </c>
      <c r="BS121" s="195">
        <v>6652541.8499999996</v>
      </c>
      <c r="BT121" s="195">
        <v>3138429.5649999999</v>
      </c>
      <c r="BU121" s="196">
        <f t="shared" si="130"/>
        <v>3514112.2849999997</v>
      </c>
      <c r="BV121" s="178">
        <f t="shared" si="111"/>
        <v>0.10949630566486358</v>
      </c>
      <c r="BW121" s="192">
        <f t="shared" si="112"/>
        <v>0.39407896396795111</v>
      </c>
      <c r="BX121" s="192">
        <f t="shared" si="131"/>
        <v>8.0987289406851876E-2</v>
      </c>
      <c r="BY121" s="192">
        <f t="shared" si="113"/>
        <v>1.5698937849002934</v>
      </c>
      <c r="BZ121" s="192">
        <f t="shared" si="132"/>
        <v>57.192417658886143</v>
      </c>
      <c r="CA121" s="192">
        <f t="shared" si="114"/>
        <v>55</v>
      </c>
      <c r="CB121" s="55">
        <f t="shared" si="133"/>
        <v>1.1000000000000001</v>
      </c>
      <c r="CC121" s="242" t="s">
        <v>1273</v>
      </c>
      <c r="CD121" s="243" t="s">
        <v>1273</v>
      </c>
      <c r="CE121" s="244"/>
      <c r="CF121" s="295" t="s">
        <v>2379</v>
      </c>
      <c r="CG121" s="295" t="s">
        <v>2379</v>
      </c>
      <c r="CH121" s="210">
        <v>0.26</v>
      </c>
      <c r="CI121" s="188">
        <f>IF((100-(75*(CH121-10)/40))&gt;100, 100, IF((100-(75*(CH121-10)/40))&lt;25, 25, (100-(75*(CH121-10)/40))))</f>
        <v>100</v>
      </c>
      <c r="CJ121" s="63">
        <f>CI121*0.04</f>
        <v>4</v>
      </c>
      <c r="CK121" s="173" t="s">
        <v>2476</v>
      </c>
      <c r="CL121" s="173" t="s">
        <v>2477</v>
      </c>
      <c r="CM121" s="199">
        <f t="shared" si="134"/>
        <v>85</v>
      </c>
      <c r="CN121" s="65">
        <f>CM121*0.03</f>
        <v>2.5499999999999998</v>
      </c>
      <c r="CO121" s="54">
        <v>1552000</v>
      </c>
      <c r="CP121" s="186">
        <f t="shared" si="115"/>
        <v>0.11448597664628446</v>
      </c>
      <c r="CQ121" s="179">
        <f t="shared" si="135"/>
        <v>100</v>
      </c>
      <c r="CR121" s="61">
        <f>CQ121*0.04</f>
        <v>4</v>
      </c>
      <c r="CS121" s="200">
        <f>_xlfn.XLOOKUP(C121, '1-1. 관계사체무보증금액 (환율 등)'!$3:$3, '1-1. 관계사체무보증금액 (환율 등)'!$33:$33)</f>
        <v>0</v>
      </c>
      <c r="CT121" s="178">
        <f t="shared" si="116"/>
        <v>0</v>
      </c>
      <c r="CU121" s="179">
        <f t="shared" si="136"/>
        <v>100</v>
      </c>
      <c r="CV121" s="70">
        <f>CU121*0.03</f>
        <v>3</v>
      </c>
      <c r="CW121" s="72">
        <f t="shared" si="137"/>
        <v>28.445927245818869</v>
      </c>
    </row>
    <row r="122" spans="1:101" x14ac:dyDescent="0.6">
      <c r="A122" s="214" t="s">
        <v>92</v>
      </c>
      <c r="B122" s="13" t="s">
        <v>2101</v>
      </c>
      <c r="C122" s="219" t="s">
        <v>900</v>
      </c>
      <c r="D122" s="221" t="s">
        <v>350</v>
      </c>
      <c r="E122" s="217" t="s">
        <v>179</v>
      </c>
      <c r="F122" s="217" t="s">
        <v>1076</v>
      </c>
      <c r="G122" s="218">
        <v>27667</v>
      </c>
      <c r="H122" s="217" t="s">
        <v>830</v>
      </c>
      <c r="I122" s="217" t="s">
        <v>217</v>
      </c>
      <c r="J122" s="217" t="s">
        <v>289</v>
      </c>
      <c r="K122" s="217" t="s">
        <v>91</v>
      </c>
      <c r="L122" s="220">
        <v>77528737937</v>
      </c>
      <c r="M122" s="206">
        <v>68433158478</v>
      </c>
      <c r="N122" s="206">
        <v>9095579460</v>
      </c>
      <c r="O122" s="206">
        <v>16761431115</v>
      </c>
      <c r="P122" s="206">
        <v>548389982</v>
      </c>
      <c r="Q122" s="206">
        <v>553208432</v>
      </c>
      <c r="R122" s="206">
        <v>397574440</v>
      </c>
      <c r="S122" s="207">
        <v>615316408</v>
      </c>
      <c r="T122" s="207">
        <f>329628+146035874</f>
        <v>146365502</v>
      </c>
      <c r="U122" s="207">
        <v>169217305</v>
      </c>
      <c r="V122" s="207">
        <f>29500+353+82+1</f>
        <v>29936</v>
      </c>
      <c r="W122" s="207">
        <f>40007+52529+30000+13977+58137+10082+4200+27590+7874+75000+79274+34654+20152+3564+6000+153453+207+53154+59762+50000+290000+7874+11443+15711+20200+3000+99197+68317+22000+69145+55627+25158+58137+2775+10000+25138+34890+9434+36323+4640+10000+4494+14000+3000+8000+30000+118+20000+4378+933+34654+28000+10+11800+15914+4653+150</f>
        <v>1838729</v>
      </c>
      <c r="X122" s="207">
        <v>0</v>
      </c>
      <c r="Z122" s="207">
        <v>0</v>
      </c>
      <c r="AA122" s="207">
        <v>0</v>
      </c>
      <c r="AB122" s="176">
        <f t="shared" si="138"/>
        <v>171085970</v>
      </c>
      <c r="AC122" s="177">
        <f t="shared" si="117"/>
        <v>27.804551898118735</v>
      </c>
      <c r="AD122" s="177">
        <f t="shared" si="139"/>
        <v>76.089282021186364</v>
      </c>
      <c r="AE122" s="60">
        <f>AD122*0.04</f>
        <v>3.0435712808474547</v>
      </c>
      <c r="AF122" s="178">
        <f t="shared" si="118"/>
        <v>36.09060966394636</v>
      </c>
      <c r="AG122" s="178">
        <f t="shared" si="119"/>
        <v>36.48270379927574</v>
      </c>
      <c r="AH122" s="178">
        <f t="shared" si="140"/>
        <v>0.39209413532937987</v>
      </c>
      <c r="AI122" s="179">
        <f t="shared" si="141"/>
        <v>100</v>
      </c>
      <c r="AJ122" s="61">
        <f>AI122*0.05</f>
        <v>5</v>
      </c>
      <c r="AK122" s="204">
        <v>7</v>
      </c>
      <c r="AL122" s="204">
        <v>131</v>
      </c>
      <c r="AM122" s="180">
        <v>1</v>
      </c>
      <c r="AN122" s="181">
        <f t="shared" si="101"/>
        <v>138</v>
      </c>
      <c r="AO122" s="182">
        <f t="shared" si="102"/>
        <v>0.72463768115942029</v>
      </c>
      <c r="AP122" s="183">
        <f t="shared" si="120"/>
        <v>100</v>
      </c>
      <c r="AQ122" s="62">
        <f>AP122*0.03</f>
        <v>3</v>
      </c>
      <c r="AR122" s="212">
        <v>4</v>
      </c>
      <c r="AS122" s="292">
        <f t="shared" si="103"/>
        <v>0.5</v>
      </c>
      <c r="AT122" s="185">
        <f t="shared" si="104"/>
        <v>3.5</v>
      </c>
      <c r="AU122" s="185">
        <f t="shared" si="121"/>
        <v>3</v>
      </c>
      <c r="AV122" s="186">
        <f t="shared" si="105"/>
        <v>14.285714285714285</v>
      </c>
      <c r="AW122" s="179">
        <f t="shared" si="122"/>
        <v>60</v>
      </c>
      <c r="AX122" s="240">
        <f>AW122*0.02</f>
        <v>1.2</v>
      </c>
      <c r="AY122" s="54">
        <v>20</v>
      </c>
      <c r="AZ122" s="54">
        <f>80-6</f>
        <v>74</v>
      </c>
      <c r="BA122" s="189">
        <f t="shared" si="106"/>
        <v>80</v>
      </c>
      <c r="BB122" s="178">
        <f t="shared" si="123"/>
        <v>92.5</v>
      </c>
      <c r="BC122" s="179">
        <f t="shared" si="124"/>
        <v>100</v>
      </c>
      <c r="BD122" s="61">
        <f>BC122*0.02</f>
        <v>2</v>
      </c>
      <c r="BE122" s="190">
        <v>441899000</v>
      </c>
      <c r="BF122" s="190">
        <f>(35303+3541+11350)*1000</f>
        <v>50194000</v>
      </c>
      <c r="BG122" s="54">
        <v>24592000</v>
      </c>
      <c r="BH122" s="191">
        <f t="shared" si="107"/>
        <v>492093000</v>
      </c>
      <c r="BI122" s="178">
        <f t="shared" si="108"/>
        <v>4.9974293477046006</v>
      </c>
      <c r="BJ122" s="294" t="str">
        <f t="shared" si="125"/>
        <v>금융업</v>
      </c>
      <c r="BK122" s="192">
        <f t="shared" si="109"/>
        <v>2.7106886075318837</v>
      </c>
      <c r="BL122" s="193">
        <f t="shared" si="126"/>
        <v>2.2867407401727169</v>
      </c>
      <c r="BM122" s="241">
        <f t="shared" si="127"/>
        <v>40</v>
      </c>
      <c r="BN122" s="47">
        <f t="shared" si="128"/>
        <v>0.8</v>
      </c>
      <c r="BO122" s="54">
        <v>0</v>
      </c>
      <c r="BP122" s="194">
        <f t="shared" si="110"/>
        <v>0</v>
      </c>
      <c r="BQ122" s="179">
        <f t="shared" si="129"/>
        <v>25</v>
      </c>
      <c r="BR122" s="61">
        <f>BQ122*0.01</f>
        <v>0.25</v>
      </c>
      <c r="BS122" s="195">
        <v>12957678.734999999</v>
      </c>
      <c r="BT122" s="195">
        <v>89180.834000000003</v>
      </c>
      <c r="BU122" s="196">
        <f t="shared" si="130"/>
        <v>12868497.900999999</v>
      </c>
      <c r="BV122" s="178">
        <f t="shared" si="111"/>
        <v>7.6774458056172959E-2</v>
      </c>
      <c r="BW122" s="192">
        <f t="shared" si="112"/>
        <v>0.39407896396795111</v>
      </c>
      <c r="BX122" s="192">
        <f t="shared" si="131"/>
        <v>0.10068214947191767</v>
      </c>
      <c r="BY122" s="192">
        <f t="shared" si="113"/>
        <v>1.5698937849002934</v>
      </c>
      <c r="BZ122" s="192">
        <f t="shared" si="132"/>
        <v>58.008793959938423</v>
      </c>
      <c r="CA122" s="192">
        <f t="shared" si="114"/>
        <v>55</v>
      </c>
      <c r="CB122" s="55">
        <f t="shared" si="133"/>
        <v>1.1000000000000001</v>
      </c>
      <c r="CC122" s="242" t="s">
        <v>1273</v>
      </c>
      <c r="CD122" s="243" t="s">
        <v>1273</v>
      </c>
      <c r="CE122" s="244"/>
      <c r="CF122" s="295" t="s">
        <v>2379</v>
      </c>
      <c r="CG122" s="210">
        <v>0.94</v>
      </c>
      <c r="CH122" s="295" t="s">
        <v>2379</v>
      </c>
      <c r="CI122" s="188">
        <f>IF((100-(75*(CG122-1)/9))&gt;100,100,IF((100-(75*(CG122-1)/9))&lt;25,25,(100-(75*(CG122-1)/9))))</f>
        <v>100</v>
      </c>
      <c r="CJ122" s="63">
        <f>CI122*0.04</f>
        <v>4</v>
      </c>
      <c r="CK122" s="173" t="s">
        <v>2476</v>
      </c>
      <c r="CL122" s="173" t="s">
        <v>2477</v>
      </c>
      <c r="CM122" s="199">
        <f t="shared" si="134"/>
        <v>85</v>
      </c>
      <c r="CN122" s="65">
        <f>CM122*0.03</f>
        <v>2.5499999999999998</v>
      </c>
      <c r="CO122" s="54">
        <f>4419436853441/1000</f>
        <v>4419436853.441</v>
      </c>
      <c r="CP122" s="186">
        <f t="shared" si="115"/>
        <v>48.588843326327222</v>
      </c>
      <c r="CQ122" s="179">
        <f t="shared" si="135"/>
        <v>40</v>
      </c>
      <c r="CR122" s="61">
        <f>CQ122*0.04</f>
        <v>1.6</v>
      </c>
      <c r="CS122" s="200">
        <f>_xlfn.XLOOKUP(C122, '1-1. 관계사체무보증금액 (환율 등)'!$3:$3, '1-1. 관계사체무보증금액 (환율 등)'!$33:$33)</f>
        <v>0</v>
      </c>
      <c r="CT122" s="178">
        <f t="shared" si="116"/>
        <v>0</v>
      </c>
      <c r="CU122" s="179">
        <f t="shared" si="136"/>
        <v>100</v>
      </c>
      <c r="CV122" s="70">
        <f>CU122*0.03</f>
        <v>3</v>
      </c>
      <c r="CW122" s="72">
        <f t="shared" si="137"/>
        <v>27.543571280847459</v>
      </c>
    </row>
    <row r="123" spans="1:101" x14ac:dyDescent="0.6">
      <c r="A123" s="214" t="s">
        <v>339</v>
      </c>
      <c r="B123" s="13" t="s">
        <v>2102</v>
      </c>
      <c r="C123" s="219" t="s">
        <v>461</v>
      </c>
      <c r="D123" s="216" t="s">
        <v>203</v>
      </c>
      <c r="E123" s="217" t="s">
        <v>188</v>
      </c>
      <c r="F123" s="217" t="s">
        <v>652</v>
      </c>
      <c r="G123" s="218">
        <v>32776</v>
      </c>
      <c r="H123" s="217" t="s">
        <v>830</v>
      </c>
      <c r="I123" s="217" t="s">
        <v>1660</v>
      </c>
      <c r="J123" s="217" t="s">
        <v>1052</v>
      </c>
      <c r="K123" s="217" t="s">
        <v>690</v>
      </c>
      <c r="L123" s="220">
        <v>391399991</v>
      </c>
      <c r="M123" s="206">
        <v>70411675</v>
      </c>
      <c r="N123" s="206">
        <v>320988317</v>
      </c>
      <c r="O123" s="206">
        <v>425547908</v>
      </c>
      <c r="P123" s="206">
        <v>77084280</v>
      </c>
      <c r="Q123" s="206">
        <v>83250609</v>
      </c>
      <c r="R123" s="206">
        <v>65769136</v>
      </c>
      <c r="S123" s="207">
        <v>4850000</v>
      </c>
      <c r="T123" s="207">
        <v>12000</v>
      </c>
      <c r="U123" s="207">
        <v>909500</v>
      </c>
      <c r="V123" s="207">
        <f>23235+167935+137750+4785+7805+51976+158890+48084+1000+1000+35876+10187+52314+260707+26339+2800+1800+25338+26949+25137+17379+7945+3000+6286+6237+5457</f>
        <v>1116211</v>
      </c>
      <c r="W123" s="207">
        <f>21000+4752+4597+6693+4000+4497+8078+4845+2381+1200+4000+800+3000+2250+200+80</f>
        <v>72373</v>
      </c>
      <c r="X123" s="207">
        <v>0</v>
      </c>
      <c r="Z123" s="207">
        <f>827798+13152+828</f>
        <v>841778</v>
      </c>
      <c r="AA123" s="207">
        <v>13152</v>
      </c>
      <c r="AB123" s="176">
        <f t="shared" si="138"/>
        <v>2939862</v>
      </c>
      <c r="AC123" s="177">
        <f t="shared" si="117"/>
        <v>60.61571134020619</v>
      </c>
      <c r="AD123" s="177">
        <f t="shared" si="139"/>
        <v>47.7712502817553</v>
      </c>
      <c r="AE123" s="26">
        <f t="shared" ref="AE123:AE129" si="166">AD123*0.03</f>
        <v>1.433137508452659</v>
      </c>
      <c r="AF123" s="178">
        <f t="shared" si="118"/>
        <v>41.984970303727707</v>
      </c>
      <c r="AG123" s="178">
        <f t="shared" si="119"/>
        <v>60.659112991746056</v>
      </c>
      <c r="AH123" s="178">
        <f t="shared" si="140"/>
        <v>18.67414268801835</v>
      </c>
      <c r="AI123" s="179">
        <f t="shared" si="141"/>
        <v>80</v>
      </c>
      <c r="AJ123" s="30">
        <f t="shared" ref="AJ123:AJ129" si="167">AI123*0.04</f>
        <v>3.2</v>
      </c>
      <c r="AK123" s="204">
        <v>9</v>
      </c>
      <c r="AL123" s="204">
        <v>8</v>
      </c>
      <c r="AM123" s="204">
        <v>1</v>
      </c>
      <c r="AN123" s="181">
        <f t="shared" si="101"/>
        <v>17</v>
      </c>
      <c r="AO123" s="182">
        <f t="shared" si="102"/>
        <v>5.8823529411764701</v>
      </c>
      <c r="AP123" s="183">
        <f t="shared" si="120"/>
        <v>100</v>
      </c>
      <c r="AQ123" s="38">
        <f t="shared" ref="AQ123:AQ129" si="168">AP123*0.02</f>
        <v>2</v>
      </c>
      <c r="AR123" s="212">
        <v>3</v>
      </c>
      <c r="AS123" s="292">
        <f t="shared" si="103"/>
        <v>0.25</v>
      </c>
      <c r="AT123" s="185">
        <f t="shared" si="104"/>
        <v>2.25</v>
      </c>
      <c r="AU123" s="185">
        <f t="shared" si="121"/>
        <v>2</v>
      </c>
      <c r="AV123" s="186">
        <f t="shared" si="105"/>
        <v>11.111111111111111</v>
      </c>
      <c r="AW123" s="179">
        <f t="shared" si="122"/>
        <v>60</v>
      </c>
      <c r="AX123" s="239">
        <f t="shared" ref="AX123:AX129" si="169">AW123*0.01</f>
        <v>0.6</v>
      </c>
      <c r="AY123" s="54">
        <v>9</v>
      </c>
      <c r="AZ123" s="54">
        <f>27-6</f>
        <v>21</v>
      </c>
      <c r="BA123" s="189">
        <f t="shared" si="106"/>
        <v>27</v>
      </c>
      <c r="BB123" s="178">
        <f t="shared" si="123"/>
        <v>77.777777777777786</v>
      </c>
      <c r="BC123" s="179">
        <f t="shared" si="124"/>
        <v>50</v>
      </c>
      <c r="BD123" s="30">
        <f t="shared" ref="BD123:BD129" si="170">BC123*0.01</f>
        <v>0.5</v>
      </c>
      <c r="BE123" s="190">
        <v>7222666.8140000002</v>
      </c>
      <c r="BF123" s="190">
        <v>586873.49399999995</v>
      </c>
      <c r="BG123" s="54">
        <v>242157.10200000001</v>
      </c>
      <c r="BH123" s="191">
        <f t="shared" si="107"/>
        <v>7809540.3080000002</v>
      </c>
      <c r="BI123" s="178">
        <f t="shared" si="108"/>
        <v>3.1007856090061683</v>
      </c>
      <c r="BJ123" s="294" t="str">
        <f t="shared" si="125"/>
        <v>금속/비금속/화학업</v>
      </c>
      <c r="BK123" s="192">
        <f t="shared" si="109"/>
        <v>3.9534118626990464</v>
      </c>
      <c r="BL123" s="193">
        <f t="shared" si="126"/>
        <v>-0.85262625369287814</v>
      </c>
      <c r="BM123" s="241">
        <f t="shared" si="127"/>
        <v>80</v>
      </c>
      <c r="BN123" s="47">
        <f t="shared" si="128"/>
        <v>1.6</v>
      </c>
      <c r="BO123" s="54">
        <v>10352987</v>
      </c>
      <c r="BP123" s="194">
        <f t="shared" si="110"/>
        <v>2.4328605088572073</v>
      </c>
      <c r="BQ123" s="179">
        <f t="shared" si="129"/>
        <v>85</v>
      </c>
      <c r="BR123" s="30">
        <f t="shared" ref="BR123:BR129" si="171">BQ123*0.02</f>
        <v>1.7</v>
      </c>
      <c r="BS123" s="195">
        <v>41409240.324000001</v>
      </c>
      <c r="BT123" s="195">
        <v>33581.819000000003</v>
      </c>
      <c r="BU123" s="196">
        <f t="shared" si="130"/>
        <v>41375658.505000003</v>
      </c>
      <c r="BV123" s="178">
        <f t="shared" si="111"/>
        <v>9.7229143246076077</v>
      </c>
      <c r="BW123" s="192">
        <f t="shared" si="112"/>
        <v>5.1474158565187729</v>
      </c>
      <c r="BX123" s="192">
        <f t="shared" si="131"/>
        <v>20.935186231483275</v>
      </c>
      <c r="BY123" s="192">
        <f t="shared" si="113"/>
        <v>6.6930498535228526</v>
      </c>
      <c r="BZ123" s="192">
        <f t="shared" si="132"/>
        <v>24.710777765942492</v>
      </c>
      <c r="CA123" s="192">
        <f t="shared" si="114"/>
        <v>70</v>
      </c>
      <c r="CB123" s="55">
        <f t="shared" si="133"/>
        <v>1.4000000000000001</v>
      </c>
      <c r="CC123" s="197">
        <f t="shared" ref="CC123:CC129" si="172">(M123/N123)*100</f>
        <v>21.935899617181395</v>
      </c>
      <c r="CD123" s="198">
        <f t="shared" ref="CD123:CD129" si="173">IF((100-(75*(CC123-1)/(200-1)))&gt;100, 100, IF((100-(75*(CC123-1)/(200-1)))&lt;25, 25, (100-(75*(CC123-1)/(200-1)))))</f>
        <v>92.109585571414044</v>
      </c>
      <c r="CE123" s="58">
        <f t="shared" ref="CE123:CE129" si="174">CD123*0.015</f>
        <v>1.3816437835712105</v>
      </c>
      <c r="CF123" s="245" t="s">
        <v>2326</v>
      </c>
      <c r="CG123" s="245" t="s">
        <v>2326</v>
      </c>
      <c r="CH123" s="245" t="s">
        <v>2326</v>
      </c>
      <c r="CI123" s="245" t="s">
        <v>2326</v>
      </c>
      <c r="CJ123" s="235"/>
      <c r="CK123" s="173" t="s">
        <v>2479</v>
      </c>
      <c r="CL123" s="173" t="s">
        <v>2478</v>
      </c>
      <c r="CM123" s="199">
        <f t="shared" si="134"/>
        <v>25</v>
      </c>
      <c r="CN123" s="58">
        <f t="shared" ref="CN123:CN129" si="175">CM123*0.015</f>
        <v>0.375</v>
      </c>
      <c r="CO123" s="54">
        <f>18880177+6320400+5082738+2000</f>
        <v>30285315</v>
      </c>
      <c r="CP123" s="186">
        <f t="shared" si="115"/>
        <v>9.4350209637069131</v>
      </c>
      <c r="CQ123" s="179">
        <f t="shared" si="135"/>
        <v>80</v>
      </c>
      <c r="CR123" s="30">
        <f t="shared" ref="CR123:CR129" si="176">CQ123*0.03</f>
        <v>2.4</v>
      </c>
      <c r="CS123" s="200">
        <f>_xlfn.XLOOKUP(C123, '1-1. 관계사체무보증금액 (환율 등)'!$3:$3, '1-1. 관계사체무보증금액 (환율 등)'!$33:$33)</f>
        <v>0</v>
      </c>
      <c r="CT123" s="178">
        <f t="shared" si="116"/>
        <v>0</v>
      </c>
      <c r="CU123" s="179">
        <f t="shared" si="136"/>
        <v>100</v>
      </c>
      <c r="CV123" s="30">
        <f t="shared" ref="CV123:CV129" si="177">CU123*0.02</f>
        <v>2</v>
      </c>
      <c r="CW123" s="72">
        <f t="shared" si="137"/>
        <v>18.589781292023869</v>
      </c>
    </row>
    <row r="124" spans="1:101" x14ac:dyDescent="0.6">
      <c r="A124" s="214" t="s">
        <v>1661</v>
      </c>
      <c r="B124" s="13" t="s">
        <v>2103</v>
      </c>
      <c r="C124" s="219" t="s">
        <v>933</v>
      </c>
      <c r="D124" s="216" t="s">
        <v>203</v>
      </c>
      <c r="E124" s="217" t="s">
        <v>180</v>
      </c>
      <c r="F124" s="217" t="s">
        <v>87</v>
      </c>
      <c r="G124" s="218">
        <v>42877</v>
      </c>
      <c r="H124" s="217" t="s">
        <v>830</v>
      </c>
      <c r="I124" s="217" t="s">
        <v>921</v>
      </c>
      <c r="J124" s="217" t="s">
        <v>1161</v>
      </c>
      <c r="K124" s="217" t="s">
        <v>320</v>
      </c>
      <c r="L124" s="220">
        <v>448351412</v>
      </c>
      <c r="M124" s="206">
        <v>63280350</v>
      </c>
      <c r="N124" s="206">
        <v>385071063</v>
      </c>
      <c r="O124" s="206">
        <v>611355371</v>
      </c>
      <c r="P124" s="206">
        <v>85525773</v>
      </c>
      <c r="Q124" s="206">
        <v>90825472</v>
      </c>
      <c r="R124" s="206">
        <v>70423830</v>
      </c>
      <c r="S124" s="207">
        <v>5100000</v>
      </c>
      <c r="T124" s="207">
        <v>94000</v>
      </c>
      <c r="U124" s="207">
        <f>1697000+684416</f>
        <v>2381416</v>
      </c>
      <c r="V124" s="207">
        <f>154335+158723+8489+16180+28800+8489+48024+32950+115000+195000+34000+1600+1600+63658+13150+257+239602+42585+33+41659+22050+21212+11877+3000</f>
        <v>1262273</v>
      </c>
      <c r="W124" s="207">
        <f>4100+4356+4300+29284+3800+3427+8433+2414+2421+3000+1800+4430+2000+7393+1092+4326+14599+885+1221+576+9057*2</f>
        <v>121971</v>
      </c>
      <c r="X124" s="207">
        <v>0</v>
      </c>
      <c r="Z124" s="207">
        <v>0</v>
      </c>
      <c r="AA124" s="207">
        <v>0</v>
      </c>
      <c r="AB124" s="176">
        <f t="shared" si="138"/>
        <v>3765660</v>
      </c>
      <c r="AC124" s="177">
        <f t="shared" si="117"/>
        <v>73.836470588235287</v>
      </c>
      <c r="AD124" s="177">
        <f t="shared" si="139"/>
        <v>36.360928721315922</v>
      </c>
      <c r="AE124" s="26">
        <f t="shared" si="166"/>
        <v>1.0908278616394775</v>
      </c>
      <c r="AF124" s="178">
        <f t="shared" si="118"/>
        <v>72.786436276468237</v>
      </c>
      <c r="AG124" s="178">
        <f t="shared" si="119"/>
        <v>75.222932481022781</v>
      </c>
      <c r="AH124" s="178">
        <f t="shared" si="140"/>
        <v>2.436496204554544</v>
      </c>
      <c r="AI124" s="179">
        <f t="shared" si="141"/>
        <v>100</v>
      </c>
      <c r="AJ124" s="30">
        <f t="shared" si="167"/>
        <v>4</v>
      </c>
      <c r="AK124" s="204">
        <v>6</v>
      </c>
      <c r="AL124" s="204">
        <v>10</v>
      </c>
      <c r="AM124" s="204">
        <v>1</v>
      </c>
      <c r="AN124" s="181">
        <f t="shared" si="101"/>
        <v>16</v>
      </c>
      <c r="AO124" s="182">
        <f t="shared" si="102"/>
        <v>6.25</v>
      </c>
      <c r="AP124" s="183">
        <f t="shared" si="120"/>
        <v>100</v>
      </c>
      <c r="AQ124" s="38">
        <f t="shared" si="168"/>
        <v>2</v>
      </c>
      <c r="AR124" s="212">
        <v>3</v>
      </c>
      <c r="AS124" s="292">
        <f t="shared" si="103"/>
        <v>0.25</v>
      </c>
      <c r="AT124" s="185">
        <f t="shared" si="104"/>
        <v>1.5</v>
      </c>
      <c r="AU124" s="185">
        <f t="shared" si="121"/>
        <v>1</v>
      </c>
      <c r="AV124" s="186">
        <f t="shared" si="105"/>
        <v>33.333333333333329</v>
      </c>
      <c r="AW124" s="179">
        <f t="shared" si="122"/>
        <v>80</v>
      </c>
      <c r="AX124" s="239">
        <f t="shared" si="169"/>
        <v>0.8</v>
      </c>
      <c r="AY124" s="54">
        <v>7</v>
      </c>
      <c r="AZ124" s="54">
        <f>21-6</f>
        <v>15</v>
      </c>
      <c r="BA124" s="189">
        <f t="shared" si="106"/>
        <v>21</v>
      </c>
      <c r="BB124" s="178">
        <f t="shared" si="123"/>
        <v>71.428571428571431</v>
      </c>
      <c r="BC124" s="179">
        <f t="shared" si="124"/>
        <v>50</v>
      </c>
      <c r="BD124" s="30">
        <f t="shared" si="170"/>
        <v>0.5</v>
      </c>
      <c r="BE124" s="190">
        <v>5593702.5439999998</v>
      </c>
      <c r="BF124" s="190">
        <v>441893.24</v>
      </c>
      <c r="BG124" s="54">
        <v>126158.15</v>
      </c>
      <c r="BH124" s="191">
        <f t="shared" si="107"/>
        <v>6035595.784</v>
      </c>
      <c r="BI124" s="178">
        <f t="shared" si="108"/>
        <v>2.0902352396500379</v>
      </c>
      <c r="BJ124" s="294" t="str">
        <f t="shared" si="125"/>
        <v>금속/비금속/화학업</v>
      </c>
      <c r="BK124" s="192">
        <f t="shared" si="109"/>
        <v>3.9534118626990464</v>
      </c>
      <c r="BL124" s="193">
        <f t="shared" si="126"/>
        <v>-1.8631766230490086</v>
      </c>
      <c r="BM124" s="241">
        <f t="shared" si="127"/>
        <v>80</v>
      </c>
      <c r="BN124" s="47">
        <f t="shared" si="128"/>
        <v>1.6</v>
      </c>
      <c r="BO124" s="54">
        <v>4638000</v>
      </c>
      <c r="BP124" s="194">
        <f t="shared" si="110"/>
        <v>0.75864222676470106</v>
      </c>
      <c r="BQ124" s="179">
        <f t="shared" si="129"/>
        <v>70</v>
      </c>
      <c r="BR124" s="30">
        <f t="shared" si="171"/>
        <v>1.4000000000000001</v>
      </c>
      <c r="BS124" s="195">
        <v>47933318.736000001</v>
      </c>
      <c r="BT124" s="195">
        <v>315999.99900000001</v>
      </c>
      <c r="BU124" s="196">
        <f t="shared" si="130"/>
        <v>47617318.737000003</v>
      </c>
      <c r="BV124" s="178">
        <f t="shared" si="111"/>
        <v>7.7888117117727917</v>
      </c>
      <c r="BW124" s="192">
        <f t="shared" si="112"/>
        <v>5.1474158565187729</v>
      </c>
      <c r="BX124" s="192">
        <f t="shared" si="131"/>
        <v>6.9769720641531094</v>
      </c>
      <c r="BY124" s="192">
        <f t="shared" si="113"/>
        <v>6.6930498535228526</v>
      </c>
      <c r="BZ124" s="192">
        <f t="shared" si="132"/>
        <v>34.655150098832621</v>
      </c>
      <c r="CA124" s="192">
        <f t="shared" si="114"/>
        <v>70</v>
      </c>
      <c r="CB124" s="55">
        <f t="shared" si="133"/>
        <v>1.4000000000000001</v>
      </c>
      <c r="CC124" s="197">
        <f t="shared" si="172"/>
        <v>16.433421277360434</v>
      </c>
      <c r="CD124" s="198">
        <f t="shared" si="173"/>
        <v>94.183383940693304</v>
      </c>
      <c r="CE124" s="58">
        <f t="shared" si="174"/>
        <v>1.4127507591103996</v>
      </c>
      <c r="CF124" s="245" t="s">
        <v>2326</v>
      </c>
      <c r="CG124" s="245" t="s">
        <v>2326</v>
      </c>
      <c r="CH124" s="245" t="s">
        <v>2326</v>
      </c>
      <c r="CI124" s="245" t="s">
        <v>2326</v>
      </c>
      <c r="CJ124" s="235"/>
      <c r="CK124" s="173" t="s">
        <v>2479</v>
      </c>
      <c r="CL124" s="173" t="s">
        <v>2478</v>
      </c>
      <c r="CM124" s="199">
        <f t="shared" si="134"/>
        <v>25</v>
      </c>
      <c r="CN124" s="58">
        <f t="shared" si="175"/>
        <v>0.375</v>
      </c>
      <c r="CO124" s="54">
        <v>11841000</v>
      </c>
      <c r="CP124" s="186">
        <f t="shared" si="115"/>
        <v>3.075016831373798</v>
      </c>
      <c r="CQ124" s="179">
        <f t="shared" si="135"/>
        <v>80</v>
      </c>
      <c r="CR124" s="30">
        <f t="shared" si="176"/>
        <v>2.4</v>
      </c>
      <c r="CS124" s="200">
        <f>_xlfn.XLOOKUP(C124, '1-1. 관계사체무보증금액 (환율 등)'!$3:$3, '1-1. 관계사체무보증금액 (환율 등)'!$33:$33)</f>
        <v>39493670.886075944</v>
      </c>
      <c r="CT124" s="178">
        <f t="shared" si="116"/>
        <v>10.256203252041285</v>
      </c>
      <c r="CU124" s="179">
        <f t="shared" si="136"/>
        <v>60</v>
      </c>
      <c r="CV124" s="30">
        <f t="shared" si="177"/>
        <v>1.2</v>
      </c>
      <c r="CW124" s="72">
        <f t="shared" si="137"/>
        <v>18.178578620749875</v>
      </c>
    </row>
    <row r="125" spans="1:101" x14ac:dyDescent="0.6">
      <c r="A125" s="214" t="s">
        <v>878</v>
      </c>
      <c r="B125" s="13" t="s">
        <v>2104</v>
      </c>
      <c r="C125" s="219" t="s">
        <v>437</v>
      </c>
      <c r="D125" s="216" t="s">
        <v>203</v>
      </c>
      <c r="E125" s="217" t="s">
        <v>188</v>
      </c>
      <c r="F125" s="217" t="s">
        <v>376</v>
      </c>
      <c r="G125" s="218">
        <v>40589</v>
      </c>
      <c r="H125" s="217" t="s">
        <v>830</v>
      </c>
      <c r="I125" s="217" t="s">
        <v>1662</v>
      </c>
      <c r="J125" s="217" t="s">
        <v>672</v>
      </c>
      <c r="K125" s="217" t="s">
        <v>407</v>
      </c>
      <c r="L125" s="220">
        <v>147864036</v>
      </c>
      <c r="M125" s="206">
        <v>15155439</v>
      </c>
      <c r="N125" s="206">
        <v>132708596</v>
      </c>
      <c r="O125" s="206">
        <v>235165568</v>
      </c>
      <c r="P125" s="206">
        <v>18983200</v>
      </c>
      <c r="Q125" s="206">
        <v>20938723</v>
      </c>
      <c r="R125" s="206">
        <v>16260515</v>
      </c>
      <c r="S125" s="207">
        <v>2199268</v>
      </c>
      <c r="T125" s="207">
        <v>151782</v>
      </c>
      <c r="U125" s="207">
        <v>102200</v>
      </c>
      <c r="V125" s="207">
        <f>68240+3970+3500+4000+8700+4000*2+20020+5000+13010+50200+830+5490+9276+3275+4000+3725+2400+3000</f>
        <v>216636</v>
      </c>
      <c r="W125" s="207">
        <f>4652+2270+4005+5150+420+1800+1000+1082+3250+3725+4652</f>
        <v>32006</v>
      </c>
      <c r="X125" s="207">
        <v>0</v>
      </c>
      <c r="Z125" s="207">
        <f>642223+92000+134501+36730</f>
        <v>905454</v>
      </c>
      <c r="AA125" s="207">
        <v>0</v>
      </c>
      <c r="AB125" s="176">
        <f t="shared" si="138"/>
        <v>1256296</v>
      </c>
      <c r="AC125" s="177">
        <f t="shared" si="117"/>
        <v>57.123370139519146</v>
      </c>
      <c r="AD125" s="177">
        <f t="shared" si="139"/>
        <v>50.785353734592221</v>
      </c>
      <c r="AE125" s="26">
        <f t="shared" si="166"/>
        <v>1.5235606120377665</v>
      </c>
      <c r="AF125" s="178">
        <f t="shared" si="118"/>
        <v>15.572072287673761</v>
      </c>
      <c r="AG125" s="178">
        <f t="shared" si="119"/>
        <v>61.357977539284761</v>
      </c>
      <c r="AH125" s="178">
        <f t="shared" si="140"/>
        <v>45.785905251610998</v>
      </c>
      <c r="AI125" s="179">
        <f t="shared" si="141"/>
        <v>60</v>
      </c>
      <c r="AJ125" s="30">
        <f t="shared" si="167"/>
        <v>2.4</v>
      </c>
      <c r="AK125" s="204">
        <v>7</v>
      </c>
      <c r="AL125" s="204">
        <v>2</v>
      </c>
      <c r="AM125" s="204">
        <v>0</v>
      </c>
      <c r="AN125" s="181">
        <f t="shared" si="101"/>
        <v>9</v>
      </c>
      <c r="AO125" s="182">
        <f t="shared" si="102"/>
        <v>0</v>
      </c>
      <c r="AP125" s="183">
        <f t="shared" si="120"/>
        <v>100</v>
      </c>
      <c r="AQ125" s="38">
        <f t="shared" si="168"/>
        <v>2</v>
      </c>
      <c r="AR125" s="212">
        <v>3</v>
      </c>
      <c r="AS125" s="292">
        <f t="shared" si="103"/>
        <v>0.25</v>
      </c>
      <c r="AT125" s="185">
        <f t="shared" si="104"/>
        <v>1.75</v>
      </c>
      <c r="AU125" s="185">
        <f t="shared" si="121"/>
        <v>1</v>
      </c>
      <c r="AV125" s="186">
        <f t="shared" si="105"/>
        <v>28.571428571428569</v>
      </c>
      <c r="AW125" s="179">
        <f t="shared" si="122"/>
        <v>80</v>
      </c>
      <c r="AX125" s="239">
        <f t="shared" si="169"/>
        <v>0.8</v>
      </c>
      <c r="AY125" s="54">
        <v>7</v>
      </c>
      <c r="AZ125" s="54">
        <v>21</v>
      </c>
      <c r="BA125" s="189">
        <f t="shared" si="106"/>
        <v>21</v>
      </c>
      <c r="BB125" s="178">
        <f t="shared" si="123"/>
        <v>100</v>
      </c>
      <c r="BC125" s="179">
        <f t="shared" si="124"/>
        <v>100</v>
      </c>
      <c r="BD125" s="30">
        <f t="shared" si="170"/>
        <v>1</v>
      </c>
      <c r="BE125" s="190">
        <v>2910683.5890000002</v>
      </c>
      <c r="BF125" s="190">
        <v>217944.98300000001</v>
      </c>
      <c r="BG125" s="54">
        <v>136814</v>
      </c>
      <c r="BH125" s="191">
        <f t="shared" si="107"/>
        <v>3128628.5720000002</v>
      </c>
      <c r="BI125" s="178">
        <f t="shared" si="108"/>
        <v>4.3729703559071114</v>
      </c>
      <c r="BJ125" s="294" t="str">
        <f t="shared" si="125"/>
        <v>금속/비금속/화학업</v>
      </c>
      <c r="BK125" s="192">
        <f t="shared" si="109"/>
        <v>3.9534118626990464</v>
      </c>
      <c r="BL125" s="193">
        <f t="shared" si="126"/>
        <v>0.41955849320806493</v>
      </c>
      <c r="BM125" s="241">
        <f t="shared" si="127"/>
        <v>60</v>
      </c>
      <c r="BN125" s="47">
        <f t="shared" si="128"/>
        <v>1.2</v>
      </c>
      <c r="BO125" s="54">
        <v>979532</v>
      </c>
      <c r="BP125" s="194">
        <f t="shared" si="110"/>
        <v>0.41652866460450538</v>
      </c>
      <c r="BQ125" s="179">
        <f t="shared" si="129"/>
        <v>55</v>
      </c>
      <c r="BR125" s="30">
        <f t="shared" si="171"/>
        <v>1.1000000000000001</v>
      </c>
      <c r="BS125" s="195">
        <v>17093480.706999999</v>
      </c>
      <c r="BT125" s="195">
        <v>65320</v>
      </c>
      <c r="BU125" s="196">
        <f t="shared" si="130"/>
        <v>17028160.706999999</v>
      </c>
      <c r="BV125" s="178">
        <f t="shared" si="111"/>
        <v>7.2409242780813896</v>
      </c>
      <c r="BW125" s="192">
        <f t="shared" si="112"/>
        <v>5.1474158565187729</v>
      </c>
      <c r="BX125" s="192">
        <f t="shared" si="131"/>
        <v>4.3827775111535994</v>
      </c>
      <c r="BY125" s="192">
        <f t="shared" si="113"/>
        <v>6.6930498535228526</v>
      </c>
      <c r="BZ125" s="192">
        <f t="shared" si="132"/>
        <v>37.722071069274591</v>
      </c>
      <c r="CA125" s="192">
        <f t="shared" si="114"/>
        <v>55</v>
      </c>
      <c r="CB125" s="55">
        <f t="shared" si="133"/>
        <v>1.1000000000000001</v>
      </c>
      <c r="CC125" s="197">
        <f t="shared" si="172"/>
        <v>11.420088416879944</v>
      </c>
      <c r="CD125" s="198">
        <f t="shared" si="173"/>
        <v>96.072830998663335</v>
      </c>
      <c r="CE125" s="58">
        <f t="shared" si="174"/>
        <v>1.4410924649799499</v>
      </c>
      <c r="CF125" s="245" t="s">
        <v>2326</v>
      </c>
      <c r="CG125" s="245" t="s">
        <v>2326</v>
      </c>
      <c r="CH125" s="245" t="s">
        <v>2326</v>
      </c>
      <c r="CI125" s="245" t="s">
        <v>2326</v>
      </c>
      <c r="CJ125" s="235"/>
      <c r="CK125" s="173" t="s">
        <v>2479</v>
      </c>
      <c r="CL125" s="173" t="s">
        <v>2478</v>
      </c>
      <c r="CM125" s="199">
        <f t="shared" si="134"/>
        <v>25</v>
      </c>
      <c r="CN125" s="58">
        <f t="shared" si="175"/>
        <v>0.375</v>
      </c>
      <c r="CO125" s="54">
        <v>635000</v>
      </c>
      <c r="CP125" s="186">
        <f t="shared" si="115"/>
        <v>0.47849198856719122</v>
      </c>
      <c r="CQ125" s="179">
        <f t="shared" si="135"/>
        <v>100</v>
      </c>
      <c r="CR125" s="30">
        <f t="shared" si="176"/>
        <v>3</v>
      </c>
      <c r="CS125" s="200">
        <f>_xlfn.XLOOKUP(C125, '1-1. 관계사체무보증금액 (환율 등)'!$3:$3, '1-1. 관계사체무보증금액 (환율 등)'!$33:$33)</f>
        <v>0</v>
      </c>
      <c r="CT125" s="178">
        <f t="shared" si="116"/>
        <v>0</v>
      </c>
      <c r="CU125" s="179">
        <f t="shared" si="136"/>
        <v>100</v>
      </c>
      <c r="CV125" s="30">
        <f t="shared" si="177"/>
        <v>2</v>
      </c>
      <c r="CW125" s="72">
        <f t="shared" si="137"/>
        <v>17.939653077017716</v>
      </c>
    </row>
    <row r="126" spans="1:101" x14ac:dyDescent="0.6">
      <c r="A126" s="214" t="s">
        <v>938</v>
      </c>
      <c r="B126" s="13" t="s">
        <v>2105</v>
      </c>
      <c r="C126" s="219" t="s">
        <v>52</v>
      </c>
      <c r="D126" s="216" t="s">
        <v>203</v>
      </c>
      <c r="E126" s="217" t="s">
        <v>187</v>
      </c>
      <c r="F126" s="217" t="s">
        <v>1170</v>
      </c>
      <c r="G126" s="218">
        <v>32778</v>
      </c>
      <c r="H126" s="217" t="s">
        <v>830</v>
      </c>
      <c r="I126" s="217" t="s">
        <v>708</v>
      </c>
      <c r="J126" s="217" t="s">
        <v>1173</v>
      </c>
      <c r="K126" s="217" t="s">
        <v>484</v>
      </c>
      <c r="L126" s="220">
        <v>342398880</v>
      </c>
      <c r="M126" s="206">
        <v>36181307</v>
      </c>
      <c r="N126" s="206">
        <v>306217573</v>
      </c>
      <c r="O126" s="206">
        <v>418789690</v>
      </c>
      <c r="P126" s="206">
        <v>44057917</v>
      </c>
      <c r="Q126" s="206">
        <v>28817308</v>
      </c>
      <c r="R126" s="206">
        <v>20885280</v>
      </c>
      <c r="S126" s="207">
        <v>1739672</v>
      </c>
      <c r="T126" s="207">
        <v>226693</v>
      </c>
      <c r="U126" s="207">
        <v>449605</v>
      </c>
      <c r="V126" s="207">
        <f>182640+32000+35814</f>
        <v>250454</v>
      </c>
      <c r="W126" s="207">
        <v>0</v>
      </c>
      <c r="X126" s="207">
        <v>0</v>
      </c>
      <c r="Z126" s="207">
        <v>0</v>
      </c>
      <c r="AA126" s="207">
        <v>0</v>
      </c>
      <c r="AB126" s="176">
        <f t="shared" si="138"/>
        <v>700059</v>
      </c>
      <c r="AC126" s="177">
        <f t="shared" si="117"/>
        <v>40.240861495730229</v>
      </c>
      <c r="AD126" s="177">
        <f t="shared" si="139"/>
        <v>65.35598835236172</v>
      </c>
      <c r="AE126" s="26">
        <f t="shared" si="166"/>
        <v>1.9606796505708515</v>
      </c>
      <c r="AF126" s="178">
        <f t="shared" si="118"/>
        <v>46.270239044957002</v>
      </c>
      <c r="AG126" s="178">
        <f t="shared" si="119"/>
        <v>46.270239044957002</v>
      </c>
      <c r="AH126" s="178">
        <f t="shared" si="140"/>
        <v>0</v>
      </c>
      <c r="AI126" s="179">
        <f t="shared" si="141"/>
        <v>100</v>
      </c>
      <c r="AJ126" s="30">
        <f t="shared" si="167"/>
        <v>4</v>
      </c>
      <c r="AK126" s="204">
        <v>6</v>
      </c>
      <c r="AL126" s="204">
        <v>5</v>
      </c>
      <c r="AM126" s="204">
        <v>2</v>
      </c>
      <c r="AN126" s="181">
        <f t="shared" si="101"/>
        <v>11</v>
      </c>
      <c r="AO126" s="182">
        <f t="shared" si="102"/>
        <v>18.181818181818183</v>
      </c>
      <c r="AP126" s="183">
        <f t="shared" si="120"/>
        <v>80</v>
      </c>
      <c r="AQ126" s="38">
        <f t="shared" si="168"/>
        <v>1.6</v>
      </c>
      <c r="AR126" s="212">
        <v>2</v>
      </c>
      <c r="AS126" s="292">
        <f t="shared" si="103"/>
        <v>0.25</v>
      </c>
      <c r="AT126" s="185">
        <f t="shared" si="104"/>
        <v>1.5</v>
      </c>
      <c r="AU126" s="185">
        <f t="shared" si="121"/>
        <v>1</v>
      </c>
      <c r="AV126" s="186">
        <f t="shared" si="105"/>
        <v>16.666666666666664</v>
      </c>
      <c r="AW126" s="179">
        <f t="shared" si="122"/>
        <v>60</v>
      </c>
      <c r="AX126" s="239">
        <f t="shared" si="169"/>
        <v>0.6</v>
      </c>
      <c r="AY126" s="54">
        <v>18</v>
      </c>
      <c r="AZ126" s="54">
        <f>18*2</f>
        <v>36</v>
      </c>
      <c r="BA126" s="189">
        <f t="shared" si="106"/>
        <v>36</v>
      </c>
      <c r="BB126" s="178">
        <f t="shared" si="123"/>
        <v>100</v>
      </c>
      <c r="BC126" s="179">
        <f t="shared" si="124"/>
        <v>100</v>
      </c>
      <c r="BD126" s="30">
        <f t="shared" si="170"/>
        <v>1</v>
      </c>
      <c r="BE126" s="190">
        <v>3533431</v>
      </c>
      <c r="BF126" s="190">
        <v>524442</v>
      </c>
      <c r="BG126" s="54">
        <v>110493</v>
      </c>
      <c r="BH126" s="191">
        <f t="shared" si="107"/>
        <v>4057873</v>
      </c>
      <c r="BI126" s="178">
        <f t="shared" si="108"/>
        <v>2.722928982745394</v>
      </c>
      <c r="BJ126" s="294" t="str">
        <f t="shared" si="125"/>
        <v>금속/비금속/화학업</v>
      </c>
      <c r="BK126" s="192">
        <f t="shared" si="109"/>
        <v>3.9534118626990464</v>
      </c>
      <c r="BL126" s="193">
        <f t="shared" si="126"/>
        <v>-1.2304828799536525</v>
      </c>
      <c r="BM126" s="241">
        <f t="shared" si="127"/>
        <v>80</v>
      </c>
      <c r="BN126" s="47">
        <f t="shared" si="128"/>
        <v>1.6</v>
      </c>
      <c r="BO126" s="54">
        <v>0</v>
      </c>
      <c r="BP126" s="194">
        <f t="shared" si="110"/>
        <v>0</v>
      </c>
      <c r="BQ126" s="179">
        <f t="shared" si="129"/>
        <v>25</v>
      </c>
      <c r="BR126" s="30">
        <f t="shared" si="171"/>
        <v>0.5</v>
      </c>
      <c r="BS126" s="195">
        <v>1124047.9850000001</v>
      </c>
      <c r="BT126" s="195">
        <v>18350</v>
      </c>
      <c r="BU126" s="196">
        <f t="shared" si="130"/>
        <v>1105697.9850000001</v>
      </c>
      <c r="BV126" s="178">
        <f t="shared" si="111"/>
        <v>0.26402225541894309</v>
      </c>
      <c r="BW126" s="192">
        <f t="shared" si="112"/>
        <v>5.1474158565187729</v>
      </c>
      <c r="BX126" s="192">
        <f t="shared" si="131"/>
        <v>23.847533063262759</v>
      </c>
      <c r="BY126" s="192">
        <f t="shared" si="113"/>
        <v>6.6930498535228526</v>
      </c>
      <c r="BZ126" s="192">
        <f t="shared" si="132"/>
        <v>76.718923583364401</v>
      </c>
      <c r="CA126" s="192">
        <f t="shared" si="114"/>
        <v>40</v>
      </c>
      <c r="CB126" s="55">
        <f t="shared" si="133"/>
        <v>0.8</v>
      </c>
      <c r="CC126" s="197">
        <f t="shared" si="172"/>
        <v>11.81555540576373</v>
      </c>
      <c r="CD126" s="198">
        <f t="shared" si="173"/>
        <v>95.923785651094079</v>
      </c>
      <c r="CE126" s="58">
        <f t="shared" si="174"/>
        <v>1.4388567847664111</v>
      </c>
      <c r="CF126" s="245" t="s">
        <v>2326</v>
      </c>
      <c r="CG126" s="245" t="s">
        <v>2326</v>
      </c>
      <c r="CH126" s="245" t="s">
        <v>2326</v>
      </c>
      <c r="CI126" s="245" t="s">
        <v>2326</v>
      </c>
      <c r="CJ126" s="235"/>
      <c r="CK126" s="173" t="s">
        <v>2496</v>
      </c>
      <c r="CL126" s="173" t="s">
        <v>2477</v>
      </c>
      <c r="CM126" s="199">
        <f t="shared" si="134"/>
        <v>85</v>
      </c>
      <c r="CN126" s="58">
        <f t="shared" si="175"/>
        <v>1.2749999999999999</v>
      </c>
      <c r="CO126" s="54">
        <v>48000</v>
      </c>
      <c r="CP126" s="186">
        <f t="shared" si="115"/>
        <v>1.5675129134407974E-2</v>
      </c>
      <c r="CQ126" s="179">
        <f t="shared" si="135"/>
        <v>100</v>
      </c>
      <c r="CR126" s="30">
        <f t="shared" si="176"/>
        <v>3</v>
      </c>
      <c r="CS126" s="200">
        <f>_xlfn.XLOOKUP(C126, '1-1. 관계사체무보증금액 (환율 등)'!$3:$3, '1-1. 관계사체무보증금액 (환율 등)'!$33:$33)</f>
        <v>0</v>
      </c>
      <c r="CT126" s="178">
        <f t="shared" si="116"/>
        <v>0</v>
      </c>
      <c r="CU126" s="179">
        <f t="shared" si="136"/>
        <v>100</v>
      </c>
      <c r="CV126" s="30">
        <f t="shared" si="177"/>
        <v>2</v>
      </c>
      <c r="CW126" s="72">
        <f t="shared" si="137"/>
        <v>19.774536435337261</v>
      </c>
    </row>
    <row r="127" spans="1:101" x14ac:dyDescent="0.6">
      <c r="A127" s="214" t="s">
        <v>743</v>
      </c>
      <c r="B127" s="13" t="s">
        <v>2106</v>
      </c>
      <c r="C127" s="219" t="s">
        <v>880</v>
      </c>
      <c r="D127" s="216" t="s">
        <v>191</v>
      </c>
      <c r="E127" s="217" t="s">
        <v>633</v>
      </c>
      <c r="F127" s="217" t="s">
        <v>1156</v>
      </c>
      <c r="G127" s="218">
        <v>32658</v>
      </c>
      <c r="H127" s="217" t="s">
        <v>712</v>
      </c>
      <c r="I127" s="217" t="s">
        <v>264</v>
      </c>
      <c r="J127" s="217" t="s">
        <v>1109</v>
      </c>
      <c r="K127" s="217" t="s">
        <v>91</v>
      </c>
      <c r="L127" s="220">
        <v>241989773</v>
      </c>
      <c r="M127" s="206">
        <v>40624252</v>
      </c>
      <c r="N127" s="206">
        <v>201365521</v>
      </c>
      <c r="O127" s="206">
        <v>93315362</v>
      </c>
      <c r="P127" s="206">
        <v>2071431</v>
      </c>
      <c r="Q127" s="206">
        <v>7052481</v>
      </c>
      <c r="R127" s="206">
        <v>5569068</v>
      </c>
      <c r="S127" s="207">
        <v>42314090</v>
      </c>
      <c r="T127" s="207">
        <v>5916881</v>
      </c>
      <c r="U127" s="207">
        <v>15682097</v>
      </c>
      <c r="V127" s="207">
        <f>77360+6000+1103+169074</f>
        <v>253537</v>
      </c>
      <c r="W127" s="207">
        <f>8539+6853+6794+2116+853+1000</f>
        <v>26155</v>
      </c>
      <c r="X127" s="207">
        <v>0</v>
      </c>
      <c r="Z127" s="207">
        <v>568145</v>
      </c>
      <c r="AA127" s="207">
        <v>0</v>
      </c>
      <c r="AB127" s="176">
        <f t="shared" si="138"/>
        <v>16529934</v>
      </c>
      <c r="AC127" s="177">
        <f t="shared" si="117"/>
        <v>39.064845775957842</v>
      </c>
      <c r="AD127" s="177">
        <f t="shared" si="139"/>
        <v>66.370961643304526</v>
      </c>
      <c r="AE127" s="26">
        <f t="shared" si="166"/>
        <v>1.9911288492991357</v>
      </c>
      <c r="AF127" s="178">
        <f t="shared" si="118"/>
        <v>43.782571350457118</v>
      </c>
      <c r="AG127" s="178">
        <f t="shared" si="119"/>
        <v>45.41538885577738</v>
      </c>
      <c r="AH127" s="178">
        <f t="shared" si="140"/>
        <v>1.6328175053202614</v>
      </c>
      <c r="AI127" s="179">
        <f t="shared" si="141"/>
        <v>100</v>
      </c>
      <c r="AJ127" s="30">
        <f t="shared" si="167"/>
        <v>4</v>
      </c>
      <c r="AK127" s="204">
        <v>8</v>
      </c>
      <c r="AL127" s="204">
        <v>3</v>
      </c>
      <c r="AM127" s="204">
        <v>1</v>
      </c>
      <c r="AN127" s="181">
        <f t="shared" si="101"/>
        <v>11</v>
      </c>
      <c r="AO127" s="182">
        <f t="shared" si="102"/>
        <v>9.0909090909090917</v>
      </c>
      <c r="AP127" s="183">
        <f t="shared" si="120"/>
        <v>100</v>
      </c>
      <c r="AQ127" s="38">
        <f t="shared" si="168"/>
        <v>2</v>
      </c>
      <c r="AR127" s="212">
        <v>1</v>
      </c>
      <c r="AS127" s="292">
        <f t="shared" si="103"/>
        <v>0.25</v>
      </c>
      <c r="AT127" s="185">
        <f t="shared" si="104"/>
        <v>2</v>
      </c>
      <c r="AU127" s="185">
        <f t="shared" si="121"/>
        <v>2</v>
      </c>
      <c r="AV127" s="186">
        <f t="shared" si="105"/>
        <v>-12.5</v>
      </c>
      <c r="AW127" s="179">
        <f t="shared" si="122"/>
        <v>20</v>
      </c>
      <c r="AX127" s="239">
        <f t="shared" si="169"/>
        <v>0.2</v>
      </c>
      <c r="AY127" s="54">
        <v>13</v>
      </c>
      <c r="AZ127" s="54">
        <v>13</v>
      </c>
      <c r="BA127" s="189">
        <f t="shared" si="106"/>
        <v>13</v>
      </c>
      <c r="BB127" s="178">
        <f t="shared" si="123"/>
        <v>100</v>
      </c>
      <c r="BC127" s="179">
        <f t="shared" si="124"/>
        <v>100</v>
      </c>
      <c r="BD127" s="30">
        <f t="shared" si="170"/>
        <v>1</v>
      </c>
      <c r="BE127" s="190">
        <v>3671895</v>
      </c>
      <c r="BF127" s="190">
        <v>463624</v>
      </c>
      <c r="BG127" s="54">
        <v>131388</v>
      </c>
      <c r="BH127" s="191">
        <f t="shared" si="107"/>
        <v>4135519</v>
      </c>
      <c r="BI127" s="178">
        <f t="shared" si="108"/>
        <v>3.1770619358779397</v>
      </c>
      <c r="BJ127" s="294" t="str">
        <f t="shared" si="125"/>
        <v>식약/섬유/종이업</v>
      </c>
      <c r="BK127" s="192">
        <f t="shared" si="109"/>
        <v>2.1999360555264444</v>
      </c>
      <c r="BL127" s="193">
        <f t="shared" si="126"/>
        <v>0.97712588035149528</v>
      </c>
      <c r="BM127" s="241">
        <f t="shared" si="127"/>
        <v>60</v>
      </c>
      <c r="BN127" s="47">
        <f t="shared" si="128"/>
        <v>1.2</v>
      </c>
      <c r="BO127" s="54">
        <v>224303</v>
      </c>
      <c r="BP127" s="194">
        <f t="shared" si="110"/>
        <v>0.24037092627899789</v>
      </c>
      <c r="BQ127" s="179">
        <f t="shared" si="129"/>
        <v>55</v>
      </c>
      <c r="BR127" s="30">
        <f t="shared" si="171"/>
        <v>1.1000000000000001</v>
      </c>
      <c r="BS127" s="195">
        <v>2012981.5079999999</v>
      </c>
      <c r="BT127" s="195">
        <v>12875.555</v>
      </c>
      <c r="BU127" s="196">
        <f t="shared" si="130"/>
        <v>2000105.953</v>
      </c>
      <c r="BV127" s="178">
        <f t="shared" si="111"/>
        <v>2.1433833723969267</v>
      </c>
      <c r="BW127" s="192">
        <f t="shared" si="112"/>
        <v>5.0508176117342281</v>
      </c>
      <c r="BX127" s="192">
        <f t="shared" si="131"/>
        <v>8.4531738560708725</v>
      </c>
      <c r="BY127" s="192">
        <f t="shared" si="113"/>
        <v>6.9871618081220941</v>
      </c>
      <c r="BZ127" s="192">
        <f t="shared" si="132"/>
        <v>66.133557553785153</v>
      </c>
      <c r="CA127" s="192">
        <f t="shared" si="114"/>
        <v>40</v>
      </c>
      <c r="CB127" s="55">
        <f t="shared" si="133"/>
        <v>0.8</v>
      </c>
      <c r="CC127" s="197">
        <f t="shared" si="172"/>
        <v>20.174383279846602</v>
      </c>
      <c r="CD127" s="198">
        <f t="shared" si="173"/>
        <v>92.773473638248774</v>
      </c>
      <c r="CE127" s="58">
        <f t="shared" si="174"/>
        <v>1.3916021045737315</v>
      </c>
      <c r="CF127" s="245" t="s">
        <v>2326</v>
      </c>
      <c r="CG127" s="245" t="s">
        <v>2326</v>
      </c>
      <c r="CH127" s="245" t="s">
        <v>2326</v>
      </c>
      <c r="CI127" s="245" t="s">
        <v>2326</v>
      </c>
      <c r="CJ127" s="235"/>
      <c r="CK127" s="173" t="s">
        <v>2491</v>
      </c>
      <c r="CL127" s="173" t="s">
        <v>2478</v>
      </c>
      <c r="CM127" s="199">
        <f t="shared" si="134"/>
        <v>25</v>
      </c>
      <c r="CN127" s="58">
        <f t="shared" si="175"/>
        <v>0.375</v>
      </c>
      <c r="CO127" s="54">
        <f>25361000+2269000</f>
        <v>27630000</v>
      </c>
      <c r="CP127" s="186">
        <f t="shared" si="115"/>
        <v>13.721316272411899</v>
      </c>
      <c r="CQ127" s="179">
        <f t="shared" si="135"/>
        <v>60</v>
      </c>
      <c r="CR127" s="30">
        <f t="shared" si="176"/>
        <v>1.7999999999999998</v>
      </c>
      <c r="CS127" s="200">
        <f>_xlfn.XLOOKUP(C127, '1-1. 관계사체무보증금액 (환율 등)'!$3:$3, '1-1. 관계사체무보증금액 (환율 등)'!$33:$33)</f>
        <v>6329113.9240506319</v>
      </c>
      <c r="CT127" s="178">
        <f t="shared" si="116"/>
        <v>3.1430971363020141</v>
      </c>
      <c r="CU127" s="179">
        <f t="shared" si="136"/>
        <v>80</v>
      </c>
      <c r="CV127" s="30">
        <f t="shared" si="177"/>
        <v>1.6</v>
      </c>
      <c r="CW127" s="72">
        <f t="shared" si="137"/>
        <v>17.457730953872868</v>
      </c>
    </row>
    <row r="128" spans="1:101" x14ac:dyDescent="0.6">
      <c r="A128" s="214" t="s">
        <v>883</v>
      </c>
      <c r="B128" s="13" t="s">
        <v>2107</v>
      </c>
      <c r="C128" s="219" t="s">
        <v>937</v>
      </c>
      <c r="D128" s="216" t="s">
        <v>203</v>
      </c>
      <c r="E128" s="217" t="s">
        <v>180</v>
      </c>
      <c r="F128" s="217" t="s">
        <v>565</v>
      </c>
      <c r="G128" s="218">
        <v>27921</v>
      </c>
      <c r="H128" s="217" t="s">
        <v>830</v>
      </c>
      <c r="I128" s="217" t="s">
        <v>1663</v>
      </c>
      <c r="J128" s="217" t="s">
        <v>1051</v>
      </c>
      <c r="K128" s="217" t="s">
        <v>320</v>
      </c>
      <c r="L128" s="220">
        <v>404942084</v>
      </c>
      <c r="M128" s="206">
        <v>194159798</v>
      </c>
      <c r="N128" s="206">
        <v>210782285</v>
      </c>
      <c r="O128" s="206">
        <v>232326917</v>
      </c>
      <c r="P128" s="206">
        <v>28484556</v>
      </c>
      <c r="Q128" s="206">
        <v>25121503</v>
      </c>
      <c r="R128" s="206">
        <v>22437303</v>
      </c>
      <c r="S128" s="207">
        <v>44918407</v>
      </c>
      <c r="T128" s="207">
        <v>769300</v>
      </c>
      <c r="U128" s="207">
        <v>10014472</v>
      </c>
      <c r="V128" s="207">
        <f>44608+1185230+463766</f>
        <v>1693604</v>
      </c>
      <c r="W128" s="207">
        <f>68880+11068</f>
        <v>79948</v>
      </c>
      <c r="X128" s="207">
        <v>0</v>
      </c>
      <c r="Z128" s="207">
        <f>3180813+2873537+1575591</f>
        <v>7629941</v>
      </c>
      <c r="AA128" s="207">
        <v>0</v>
      </c>
      <c r="AB128" s="176">
        <f t="shared" si="138"/>
        <v>19417965</v>
      </c>
      <c r="AC128" s="177">
        <f t="shared" si="117"/>
        <v>43.229415949679606</v>
      </c>
      <c r="AD128" s="177">
        <f t="shared" si="139"/>
        <v>62.776683587733366</v>
      </c>
      <c r="AE128" s="26">
        <f t="shared" si="166"/>
        <v>1.8833005076320009</v>
      </c>
      <c r="AF128" s="178">
        <f t="shared" si="118"/>
        <v>26.519394831700673</v>
      </c>
      <c r="AG128" s="178">
        <f t="shared" si="119"/>
        <v>43.982690295411864</v>
      </c>
      <c r="AH128" s="178">
        <f t="shared" si="140"/>
        <v>17.463295463711191</v>
      </c>
      <c r="AI128" s="179">
        <f t="shared" si="141"/>
        <v>80</v>
      </c>
      <c r="AJ128" s="30">
        <f t="shared" si="167"/>
        <v>3.2</v>
      </c>
      <c r="AK128" s="204">
        <v>4</v>
      </c>
      <c r="AL128" s="204">
        <v>10</v>
      </c>
      <c r="AM128" s="204">
        <v>2</v>
      </c>
      <c r="AN128" s="181">
        <f t="shared" si="101"/>
        <v>14</v>
      </c>
      <c r="AO128" s="182">
        <f t="shared" si="102"/>
        <v>14.285714285714285</v>
      </c>
      <c r="AP128" s="183">
        <f t="shared" si="120"/>
        <v>80</v>
      </c>
      <c r="AQ128" s="38">
        <f t="shared" si="168"/>
        <v>1.6</v>
      </c>
      <c r="AR128" s="212">
        <v>1</v>
      </c>
      <c r="AS128" s="292">
        <f t="shared" si="103"/>
        <v>0.25</v>
      </c>
      <c r="AT128" s="185">
        <f t="shared" si="104"/>
        <v>1</v>
      </c>
      <c r="AU128" s="185">
        <f t="shared" si="121"/>
        <v>1</v>
      </c>
      <c r="AV128" s="186">
        <f t="shared" si="105"/>
        <v>0</v>
      </c>
      <c r="AW128" s="179">
        <f t="shared" si="122"/>
        <v>40</v>
      </c>
      <c r="AX128" s="239">
        <f t="shared" si="169"/>
        <v>0.4</v>
      </c>
      <c r="AY128" s="54">
        <v>13</v>
      </c>
      <c r="AZ128" s="54">
        <v>4</v>
      </c>
      <c r="BA128" s="189">
        <f t="shared" si="106"/>
        <v>13</v>
      </c>
      <c r="BB128" s="178">
        <f t="shared" si="123"/>
        <v>30.76923076923077</v>
      </c>
      <c r="BC128" s="179">
        <f t="shared" si="124"/>
        <v>25</v>
      </c>
      <c r="BD128" s="30">
        <f t="shared" si="170"/>
        <v>0.25</v>
      </c>
      <c r="BE128" s="190">
        <v>3735832</v>
      </c>
      <c r="BF128" s="190">
        <v>777465</v>
      </c>
      <c r="BG128" s="54">
        <v>784340</v>
      </c>
      <c r="BH128" s="191">
        <f t="shared" si="107"/>
        <v>4513297</v>
      </c>
      <c r="BI128" s="178">
        <f t="shared" si="108"/>
        <v>17.378426458529098</v>
      </c>
      <c r="BJ128" s="294" t="str">
        <f t="shared" si="125"/>
        <v>금속/비금속/화학업</v>
      </c>
      <c r="BK128" s="192">
        <f t="shared" si="109"/>
        <v>3.9534118626990464</v>
      </c>
      <c r="BL128" s="193">
        <f t="shared" si="126"/>
        <v>13.425014595830053</v>
      </c>
      <c r="BM128" s="241">
        <f t="shared" si="127"/>
        <v>20</v>
      </c>
      <c r="BN128" s="47">
        <f t="shared" si="128"/>
        <v>0.4</v>
      </c>
      <c r="BO128" s="54">
        <v>430526</v>
      </c>
      <c r="BP128" s="194">
        <f t="shared" si="110"/>
        <v>0.18531042616986132</v>
      </c>
      <c r="BQ128" s="179">
        <f t="shared" si="129"/>
        <v>55</v>
      </c>
      <c r="BR128" s="30">
        <f t="shared" si="171"/>
        <v>1.1000000000000001</v>
      </c>
      <c r="BS128" s="195">
        <v>65943666.075000003</v>
      </c>
      <c r="BT128" s="195">
        <v>6622.7280000000001</v>
      </c>
      <c r="BU128" s="196">
        <f t="shared" si="130"/>
        <v>65937043.347000003</v>
      </c>
      <c r="BV128" s="178">
        <f t="shared" si="111"/>
        <v>28.381146790236105</v>
      </c>
      <c r="BW128" s="192">
        <f t="shared" si="112"/>
        <v>5.1474158565187729</v>
      </c>
      <c r="BX128" s="192">
        <f t="shared" si="131"/>
        <v>539.80625310037362</v>
      </c>
      <c r="BY128" s="192">
        <f t="shared" si="113"/>
        <v>6.6930498535228526</v>
      </c>
      <c r="BZ128" s="192">
        <f t="shared" si="132"/>
        <v>2.5895131966224838E-2</v>
      </c>
      <c r="CA128" s="192">
        <f t="shared" si="114"/>
        <v>100</v>
      </c>
      <c r="CB128" s="55">
        <f t="shared" si="133"/>
        <v>2</v>
      </c>
      <c r="CC128" s="197">
        <f t="shared" si="172"/>
        <v>92.113907010733854</v>
      </c>
      <c r="CD128" s="198">
        <f t="shared" si="173"/>
        <v>65.660587810024936</v>
      </c>
      <c r="CE128" s="58">
        <f t="shared" si="174"/>
        <v>0.98490881715037404</v>
      </c>
      <c r="CF128" s="245" t="s">
        <v>2326</v>
      </c>
      <c r="CG128" s="245" t="s">
        <v>2326</v>
      </c>
      <c r="CH128" s="245" t="s">
        <v>2326</v>
      </c>
      <c r="CI128" s="245" t="s">
        <v>2326</v>
      </c>
      <c r="CJ128" s="235"/>
      <c r="CK128" s="173" t="s">
        <v>2495</v>
      </c>
      <c r="CL128" s="173" t="s">
        <v>2478</v>
      </c>
      <c r="CM128" s="199">
        <f t="shared" si="134"/>
        <v>25</v>
      </c>
      <c r="CN128" s="58">
        <f t="shared" si="175"/>
        <v>0.375</v>
      </c>
      <c r="CO128" s="54">
        <v>0</v>
      </c>
      <c r="CP128" s="186">
        <f t="shared" si="115"/>
        <v>0</v>
      </c>
      <c r="CQ128" s="179">
        <f t="shared" si="135"/>
        <v>100</v>
      </c>
      <c r="CR128" s="30">
        <f t="shared" si="176"/>
        <v>3</v>
      </c>
      <c r="CS128" s="200">
        <f>_xlfn.XLOOKUP(C128, '1-1. 관계사체무보증금액 (환율 등)'!$3:$3, '1-1. 관계사체무보증금액 (환율 등)'!$33:$33)</f>
        <v>0</v>
      </c>
      <c r="CT128" s="178">
        <f t="shared" si="116"/>
        <v>0</v>
      </c>
      <c r="CU128" s="179">
        <f t="shared" si="136"/>
        <v>100</v>
      </c>
      <c r="CV128" s="30">
        <f t="shared" si="177"/>
        <v>2</v>
      </c>
      <c r="CW128" s="72">
        <f t="shared" si="137"/>
        <v>17.193209324782377</v>
      </c>
    </row>
    <row r="129" spans="1:101" x14ac:dyDescent="0.6">
      <c r="A129" s="214" t="s">
        <v>689</v>
      </c>
      <c r="B129" s="13" t="s">
        <v>2108</v>
      </c>
      <c r="C129" s="219" t="s">
        <v>46</v>
      </c>
      <c r="D129" s="216" t="s">
        <v>203</v>
      </c>
      <c r="E129" s="217" t="s">
        <v>188</v>
      </c>
      <c r="F129" s="217" t="s">
        <v>119</v>
      </c>
      <c r="G129" s="218">
        <v>32842</v>
      </c>
      <c r="H129" s="217" t="s">
        <v>830</v>
      </c>
      <c r="I129" s="217" t="s">
        <v>717</v>
      </c>
      <c r="J129" s="217" t="s">
        <v>1088</v>
      </c>
      <c r="K129" s="217" t="s">
        <v>690</v>
      </c>
      <c r="L129" s="220">
        <v>60912252</v>
      </c>
      <c r="M129" s="206">
        <v>12528504</v>
      </c>
      <c r="N129" s="206">
        <v>48383747</v>
      </c>
      <c r="O129" s="206">
        <v>48434716</v>
      </c>
      <c r="P129" s="206">
        <v>3282892</v>
      </c>
      <c r="Q129" s="206">
        <v>3389050</v>
      </c>
      <c r="R129" s="206">
        <v>3069106</v>
      </c>
      <c r="S129" s="207">
        <v>59900000</v>
      </c>
      <c r="T129" s="207">
        <v>0</v>
      </c>
      <c r="U129" s="207">
        <v>15669700</v>
      </c>
      <c r="V129" s="207">
        <f>4021025+60260</f>
        <v>4081285</v>
      </c>
      <c r="W129" s="207">
        <f>211975+70000</f>
        <v>281975</v>
      </c>
      <c r="X129" s="207">
        <v>0</v>
      </c>
      <c r="Z129" s="207">
        <v>0</v>
      </c>
      <c r="AA129" s="207">
        <v>0</v>
      </c>
      <c r="AB129" s="176">
        <f t="shared" si="138"/>
        <v>20032960</v>
      </c>
      <c r="AC129" s="177">
        <f t="shared" si="117"/>
        <v>33.444006677796331</v>
      </c>
      <c r="AD129" s="177">
        <f t="shared" si="139"/>
        <v>71.222088597989369</v>
      </c>
      <c r="AE129" s="26">
        <f t="shared" si="166"/>
        <v>2.1366626579396808</v>
      </c>
      <c r="AF129" s="178">
        <f t="shared" si="118"/>
        <v>32.973263772954923</v>
      </c>
      <c r="AG129" s="178">
        <f t="shared" si="119"/>
        <v>33.444006677796331</v>
      </c>
      <c r="AH129" s="178">
        <f t="shared" si="140"/>
        <v>0.47074290484140846</v>
      </c>
      <c r="AI129" s="179">
        <f t="shared" si="141"/>
        <v>100</v>
      </c>
      <c r="AJ129" s="30">
        <f t="shared" si="167"/>
        <v>4</v>
      </c>
      <c r="AK129" s="204">
        <v>4</v>
      </c>
      <c r="AL129" s="204">
        <v>5</v>
      </c>
      <c r="AM129" s="204">
        <v>1</v>
      </c>
      <c r="AN129" s="181">
        <f t="shared" ref="AN129:AN192" si="178">SUM(AK129:AL129)</f>
        <v>9</v>
      </c>
      <c r="AO129" s="182">
        <f t="shared" ref="AO129:AO192" si="179">(AM129/AN129)*100</f>
        <v>11.111111111111111</v>
      </c>
      <c r="AP129" s="183">
        <f t="shared" si="120"/>
        <v>80</v>
      </c>
      <c r="AQ129" s="38">
        <f t="shared" si="168"/>
        <v>1.6</v>
      </c>
      <c r="AR129" s="212">
        <v>1</v>
      </c>
      <c r="AS129" s="292">
        <f t="shared" ref="AS129:AS192" si="180">IF(L129&gt;=2000000000, 0.5, IF(L129&lt;2000000000, 0.25))</f>
        <v>0.25</v>
      </c>
      <c r="AT129" s="185">
        <f t="shared" ref="AT129:AT192" si="181">AK129*AS129</f>
        <v>1</v>
      </c>
      <c r="AU129" s="185">
        <f t="shared" si="121"/>
        <v>1</v>
      </c>
      <c r="AV129" s="186">
        <f t="shared" ref="AV129:AV192" si="182">(AR129-AU129)/AK129*100</f>
        <v>0</v>
      </c>
      <c r="AW129" s="179">
        <f t="shared" si="122"/>
        <v>40</v>
      </c>
      <c r="AX129" s="239">
        <f t="shared" si="169"/>
        <v>0.4</v>
      </c>
      <c r="AY129" s="54">
        <v>8</v>
      </c>
      <c r="AZ129" s="54">
        <v>6</v>
      </c>
      <c r="BA129" s="189">
        <f t="shared" ref="BA129:BA192" si="183">AR129*AY129</f>
        <v>8</v>
      </c>
      <c r="BB129" s="178">
        <f t="shared" si="123"/>
        <v>75</v>
      </c>
      <c r="BC129" s="179">
        <f t="shared" si="124"/>
        <v>50</v>
      </c>
      <c r="BD129" s="30">
        <f t="shared" si="170"/>
        <v>0.5</v>
      </c>
      <c r="BE129" s="190">
        <v>2476771</v>
      </c>
      <c r="BF129" s="190">
        <v>60383</v>
      </c>
      <c r="BG129" s="54">
        <v>113789</v>
      </c>
      <c r="BH129" s="191">
        <f t="shared" ref="BH129:BH192" si="184">SUM(BE129:BF129)</f>
        <v>2537154</v>
      </c>
      <c r="BI129" s="178">
        <f t="shared" ref="BI129:BI192" si="185">(BG129/BH129)*100</f>
        <v>4.4849071045746536</v>
      </c>
      <c r="BJ129" s="294" t="str">
        <f t="shared" si="125"/>
        <v>금속/비금속/화학업</v>
      </c>
      <c r="BK129" s="192">
        <f t="shared" si="109"/>
        <v>3.9534118626990464</v>
      </c>
      <c r="BL129" s="193">
        <f t="shared" si="126"/>
        <v>0.53149524187560715</v>
      </c>
      <c r="BM129" s="241">
        <f t="shared" si="127"/>
        <v>60</v>
      </c>
      <c r="BN129" s="47">
        <f t="shared" si="128"/>
        <v>1.2</v>
      </c>
      <c r="BO129" s="54">
        <v>1286197</v>
      </c>
      <c r="BP129" s="194">
        <f t="shared" ref="BP129:BP192" si="186">(BO129/O129)*100</f>
        <v>2.6555270810300611</v>
      </c>
      <c r="BQ129" s="179">
        <f t="shared" si="129"/>
        <v>85</v>
      </c>
      <c r="BR129" s="30">
        <f t="shared" si="171"/>
        <v>1.7</v>
      </c>
      <c r="BS129" s="195">
        <v>649749.29099999997</v>
      </c>
      <c r="BT129" s="195">
        <v>0</v>
      </c>
      <c r="BU129" s="196">
        <f t="shared" si="130"/>
        <v>649749.29099999997</v>
      </c>
      <c r="BV129" s="178">
        <f t="shared" ref="BV129:BV192" si="187">BU129/O129*100</f>
        <v>1.341494995036205</v>
      </c>
      <c r="BW129" s="192">
        <f t="shared" si="112"/>
        <v>5.1474158565187729</v>
      </c>
      <c r="BX129" s="192">
        <f t="shared" si="131"/>
        <v>14.485033603868212</v>
      </c>
      <c r="BY129" s="192">
        <f t="shared" si="113"/>
        <v>6.6930498535228526</v>
      </c>
      <c r="BZ129" s="192">
        <f t="shared" si="132"/>
        <v>71.519900224168282</v>
      </c>
      <c r="CA129" s="192">
        <f t="shared" ref="CA129:CA192" si="188">IF(BZ129&lt;=5, 100, IF(BZ129&lt;=15, 85, IF(BZ129&lt;=35, 70, IF(BZ129&lt;=60, 55, IF(BZ129&lt;=90, 40, 25)))))</f>
        <v>40</v>
      </c>
      <c r="CB129" s="55">
        <f t="shared" si="133"/>
        <v>0.8</v>
      </c>
      <c r="CC129" s="197">
        <f t="shared" si="172"/>
        <v>25.894034209462941</v>
      </c>
      <c r="CD129" s="198">
        <f t="shared" si="173"/>
        <v>90.617826302966222</v>
      </c>
      <c r="CE129" s="58">
        <f t="shared" si="174"/>
        <v>1.3592673945444933</v>
      </c>
      <c r="CF129" s="245" t="s">
        <v>2326</v>
      </c>
      <c r="CG129" s="245" t="s">
        <v>2326</v>
      </c>
      <c r="CH129" s="245" t="s">
        <v>2326</v>
      </c>
      <c r="CI129" s="245" t="s">
        <v>2326</v>
      </c>
      <c r="CJ129" s="235"/>
      <c r="CK129" s="173" t="s">
        <v>2491</v>
      </c>
      <c r="CL129" s="173" t="s">
        <v>2478</v>
      </c>
      <c r="CM129" s="199">
        <f t="shared" si="134"/>
        <v>25</v>
      </c>
      <c r="CN129" s="58">
        <f t="shared" si="175"/>
        <v>0.375</v>
      </c>
      <c r="CO129" s="54">
        <v>0</v>
      </c>
      <c r="CP129" s="186">
        <f t="shared" ref="CP129:CP192" si="189">(CO129/N129)*100</f>
        <v>0</v>
      </c>
      <c r="CQ129" s="179">
        <f t="shared" si="135"/>
        <v>100</v>
      </c>
      <c r="CR129" s="30">
        <f t="shared" si="176"/>
        <v>3</v>
      </c>
      <c r="CS129" s="200">
        <f>_xlfn.XLOOKUP(C129, '1-1. 관계사체무보증금액 (환율 등)'!$3:$3, '1-1. 관계사체무보증금액 (환율 등)'!$33:$33)</f>
        <v>0</v>
      </c>
      <c r="CT129" s="178">
        <f t="shared" ref="CT129:CT192" si="190">(CS129/N129)*100</f>
        <v>0</v>
      </c>
      <c r="CU129" s="179">
        <f t="shared" si="136"/>
        <v>100</v>
      </c>
      <c r="CV129" s="30">
        <f t="shared" si="177"/>
        <v>2</v>
      </c>
      <c r="CW129" s="72">
        <f t="shared" si="137"/>
        <v>19.070930052484172</v>
      </c>
    </row>
    <row r="130" spans="1:101" x14ac:dyDescent="0.6">
      <c r="A130" s="214" t="s">
        <v>1664</v>
      </c>
      <c r="B130" s="13" t="s">
        <v>2109</v>
      </c>
      <c r="C130" s="219" t="s">
        <v>79</v>
      </c>
      <c r="D130" s="221" t="s">
        <v>350</v>
      </c>
      <c r="E130" s="217" t="s">
        <v>179</v>
      </c>
      <c r="F130" s="217" t="s">
        <v>965</v>
      </c>
      <c r="G130" s="218">
        <v>32343</v>
      </c>
      <c r="H130" s="217" t="s">
        <v>830</v>
      </c>
      <c r="I130" s="217" t="s">
        <v>763</v>
      </c>
      <c r="J130" s="217" t="s">
        <v>1169</v>
      </c>
      <c r="K130" s="217" t="s">
        <v>91</v>
      </c>
      <c r="L130" s="220">
        <v>1427244316</v>
      </c>
      <c r="M130" s="206">
        <v>761201192</v>
      </c>
      <c r="N130" s="206">
        <v>666043124</v>
      </c>
      <c r="O130" s="206">
        <v>962455644</v>
      </c>
      <c r="P130" s="206">
        <v>61833345</v>
      </c>
      <c r="Q130" s="206">
        <v>63808418</v>
      </c>
      <c r="R130" s="206">
        <v>45756353</v>
      </c>
      <c r="S130" s="207">
        <v>10369886</v>
      </c>
      <c r="T130" s="207">
        <v>4430764</v>
      </c>
      <c r="U130" s="207">
        <v>1266962</v>
      </c>
      <c r="V130" s="207">
        <f>1222218+174536+113270+85898+89817</f>
        <v>1685739</v>
      </c>
      <c r="W130" s="207">
        <v>0</v>
      </c>
      <c r="X130" s="207">
        <v>5939</v>
      </c>
      <c r="Y130" s="208" t="s">
        <v>2429</v>
      </c>
      <c r="Z130" s="207">
        <v>0</v>
      </c>
      <c r="AA130" s="207">
        <v>0</v>
      </c>
      <c r="AB130" s="176">
        <f t="shared" si="138"/>
        <v>2958640</v>
      </c>
      <c r="AC130" s="177">
        <f t="shared" ref="AC130:AC193" si="191">(AB130/S130)*100</f>
        <v>28.531075462160338</v>
      </c>
      <c r="AD130" s="177">
        <f t="shared" si="139"/>
        <v>75.46224787500546</v>
      </c>
      <c r="AE130" s="60">
        <f>AD130*0.04</f>
        <v>3.0184899150002185</v>
      </c>
      <c r="AF130" s="178">
        <f t="shared" ref="AF130:AF193" si="192">(U130+V130)/(S130-T130-AA130)*100</f>
        <v>49.716119655396874</v>
      </c>
      <c r="AG130" s="178">
        <f t="shared" ref="AG130:AG193" si="193">(U130+V130+Z130+W130+X130-AA130)/(S130-T130-AA130)*100</f>
        <v>49.816117601221187</v>
      </c>
      <c r="AH130" s="178">
        <f t="shared" si="140"/>
        <v>9.9997945824313206E-2</v>
      </c>
      <c r="AI130" s="179">
        <f t="shared" si="141"/>
        <v>100</v>
      </c>
      <c r="AJ130" s="61">
        <f>AI130*0.05</f>
        <v>5</v>
      </c>
      <c r="AK130" s="204">
        <v>8</v>
      </c>
      <c r="AL130" s="204">
        <v>46</v>
      </c>
      <c r="AM130" s="204">
        <v>0</v>
      </c>
      <c r="AN130" s="181">
        <f t="shared" si="178"/>
        <v>54</v>
      </c>
      <c r="AO130" s="182">
        <f t="shared" si="179"/>
        <v>0</v>
      </c>
      <c r="AP130" s="183">
        <f t="shared" ref="AP130:AP193" si="194">IF(AO130&lt;10, 100, IF(AO130&lt;20, 80, IF(AO130&lt;30, 60, IF(AO130&lt;50, 40, IF(AO130&gt;=50, 20)))))</f>
        <v>100</v>
      </c>
      <c r="AQ130" s="62">
        <f>AP130*0.03</f>
        <v>3</v>
      </c>
      <c r="AR130" s="212">
        <v>3</v>
      </c>
      <c r="AS130" s="292">
        <f t="shared" si="180"/>
        <v>0.25</v>
      </c>
      <c r="AT130" s="185">
        <f t="shared" si="181"/>
        <v>2</v>
      </c>
      <c r="AU130" s="185">
        <f t="shared" ref="AU130:AU193" si="195">ROUNDDOWN(AT130,0)</f>
        <v>2</v>
      </c>
      <c r="AV130" s="186">
        <f t="shared" si="182"/>
        <v>12.5</v>
      </c>
      <c r="AW130" s="179">
        <f t="shared" ref="AW130:AW193" si="196">IF(AV130&lt;0, 20, IF(AV130=0, 40, IF(AV130&lt;20, 60, IF(AV130&lt;40, 80, IF(AV130&gt;=40, 100)))))</f>
        <v>60</v>
      </c>
      <c r="AX130" s="240">
        <f>AW130*0.02</f>
        <v>1.2</v>
      </c>
      <c r="AY130" s="54">
        <v>10</v>
      </c>
      <c r="AZ130" s="54">
        <f>9+8+10</f>
        <v>27</v>
      </c>
      <c r="BA130" s="189">
        <f t="shared" si="183"/>
        <v>30</v>
      </c>
      <c r="BB130" s="178">
        <f t="shared" ref="BB130:BB193" si="197">(AZ130/BA130)*100</f>
        <v>90</v>
      </c>
      <c r="BC130" s="179">
        <f t="shared" ref="BC130:BC193" si="198">IF(BB130&lt;70, 25, IF(BB130&lt;80, 50, IF(BB130&lt;90, 75, IF(BB130&gt;=90, 100))))</f>
        <v>100</v>
      </c>
      <c r="BD130" s="61">
        <f>BC130*0.02</f>
        <v>2</v>
      </c>
      <c r="BE130" s="190">
        <v>81487049</v>
      </c>
      <c r="BF130" s="190">
        <v>3741473</v>
      </c>
      <c r="BG130" s="54">
        <v>3741473</v>
      </c>
      <c r="BH130" s="191">
        <f t="shared" si="184"/>
        <v>85228522</v>
      </c>
      <c r="BI130" s="178">
        <f t="shared" si="185"/>
        <v>4.3899306384780434</v>
      </c>
      <c r="BJ130" s="294" t="str">
        <f t="shared" ref="BJ130:BJ193" si="199">IF(D130="금융업(보험)", "금융업", IF(D130="금융업(증권)", "금융업", IF(D130="금융업(종금)", "금융업", D130)))</f>
        <v>금융업</v>
      </c>
      <c r="BK130" s="192">
        <f t="shared" ref="BK130:BK193" si="200">AVERAGEIF(BJ:BJ, BJ130, BI:BI)</f>
        <v>2.7106886075318837</v>
      </c>
      <c r="BL130" s="193">
        <f t="shared" ref="BL130:BL193" si="201">BI130-BK130</f>
        <v>1.6792420309461598</v>
      </c>
      <c r="BM130" s="241">
        <f t="shared" ref="BM130:BM193" si="202">IF(BL130&lt;-2, 100, IF(BL130&lt;0, 80, IF(BL130&lt;2, 60, IF(BL130&lt;10, 40, 20))))</f>
        <v>60</v>
      </c>
      <c r="BN130" s="47">
        <f t="shared" ref="BN130:BN193" si="203">BM130*0.02</f>
        <v>1.2</v>
      </c>
      <c r="BO130" s="54">
        <v>0</v>
      </c>
      <c r="BP130" s="194">
        <f t="shared" si="186"/>
        <v>0</v>
      </c>
      <c r="BQ130" s="179">
        <f t="shared" ref="BQ130:BQ193" si="204">IF(BP130=0, 25, IF(BP130&lt;0.1, 40, IF(BP130&lt;0.5, 55, IF(BP130&lt;2, 70, IF(BP130&lt;4, 85, IF(BP130&gt;=4, 100))))))</f>
        <v>25</v>
      </c>
      <c r="BR130" s="61">
        <f>BQ130*0.01</f>
        <v>0.25</v>
      </c>
      <c r="BS130" s="195">
        <v>1688997</v>
      </c>
      <c r="BT130" s="195">
        <v>1039069</v>
      </c>
      <c r="BU130" s="196">
        <f t="shared" ref="BU130:BU193" si="205">BS130-BT130</f>
        <v>649928</v>
      </c>
      <c r="BV130" s="178">
        <f t="shared" si="187"/>
        <v>6.7528098988424656E-2</v>
      </c>
      <c r="BW130" s="192">
        <f t="shared" ref="BW130:BW193" si="206">AVERAGEIF(BJ:BJ, BJ130, BV:BV)</f>
        <v>0.39407896396795111</v>
      </c>
      <c r="BX130" s="192">
        <f t="shared" ref="BX130:BX193" si="207">(BV130-BW130)^2</f>
        <v>0.10663546741887692</v>
      </c>
      <c r="BY130" s="192">
        <f t="shared" ref="BY130:BY193" si="208">SQRT(SUMIF(BJ:BJ, BJ130, BX:BX)/COUNTIF(BJ:BJ, BJ130))</f>
        <v>1.5698937849002934</v>
      </c>
      <c r="BZ130" s="192">
        <f t="shared" ref="BZ130:BZ193" si="209">(1-_xlfn.NORM.DIST(BV130, BW130, BY130, TRUE))*100</f>
        <v>58.238873867810781</v>
      </c>
      <c r="CA130" s="192">
        <f t="shared" si="188"/>
        <v>55</v>
      </c>
      <c r="CB130" s="55">
        <f t="shared" ref="CB130:CB193" si="210">CA130*0.02</f>
        <v>1.1000000000000001</v>
      </c>
      <c r="CC130" s="242" t="s">
        <v>1273</v>
      </c>
      <c r="CD130" s="243" t="s">
        <v>1273</v>
      </c>
      <c r="CE130" s="244"/>
      <c r="CF130" s="295" t="s">
        <v>2379</v>
      </c>
      <c r="CG130" s="210">
        <v>0.2</v>
      </c>
      <c r="CH130" s="295" t="s">
        <v>2379</v>
      </c>
      <c r="CI130" s="188">
        <f>IF((100-(75*(CG130-1)/9))&gt;100,100,IF((100-(75*(CG130-1)/9))&lt;25,25,(100-(75*(CG130-1)/9))))</f>
        <v>100</v>
      </c>
      <c r="CJ130" s="63">
        <f>CI130*0.04</f>
        <v>4</v>
      </c>
      <c r="CK130" s="173" t="s">
        <v>2505</v>
      </c>
      <c r="CL130" s="173" t="s">
        <v>2477</v>
      </c>
      <c r="CM130" s="199">
        <f t="shared" ref="CM130:CM193" si="211">IF(CL130="A", 100, IF(CL130="B", 85, IF(CL130="C", 70, IF(CL130="D", 55, IF(CL130="E", 40, 25)))))</f>
        <v>85</v>
      </c>
      <c r="CN130" s="65">
        <f>CM130*0.03</f>
        <v>2.5499999999999998</v>
      </c>
      <c r="CO130" s="54">
        <v>60018000</v>
      </c>
      <c r="CP130" s="186">
        <f t="shared" si="189"/>
        <v>9.0111282343934231</v>
      </c>
      <c r="CQ130" s="179">
        <f t="shared" ref="CQ130:CQ193" si="212">IF(CP130&lt;3, 100, IF(CP130&lt;10, 80, IF(CP130&lt;35, 60, IF(CP130&lt;100, 40, IF(CP130&gt;=100, 20)))))</f>
        <v>80</v>
      </c>
      <c r="CR130" s="61">
        <f>CQ130*0.04</f>
        <v>3.2</v>
      </c>
      <c r="CS130" s="200">
        <f>_xlfn.XLOOKUP(C130, '1-1. 관계사체무보증금액 (환율 등)'!$3:$3, '1-1. 관계사체무보증금액 (환율 등)'!$33:$33)</f>
        <v>0</v>
      </c>
      <c r="CT130" s="178">
        <f t="shared" si="190"/>
        <v>0</v>
      </c>
      <c r="CU130" s="179">
        <f t="shared" ref="CU130:CU193" si="213">IF(CT130&lt;3, 100, IF(CT130&lt;10, 80, IF(CT130&lt;35, 60, IF(CT130&lt;100, 40, 20))))</f>
        <v>100</v>
      </c>
      <c r="CV130" s="70">
        <f>CU130*0.03</f>
        <v>3</v>
      </c>
      <c r="CW130" s="72">
        <f t="shared" si="137"/>
        <v>29.518489915000217</v>
      </c>
    </row>
    <row r="131" spans="1:101" x14ac:dyDescent="0.6">
      <c r="A131" s="214" t="s">
        <v>1665</v>
      </c>
      <c r="B131" s="13" t="s">
        <v>2110</v>
      </c>
      <c r="C131" s="219" t="s">
        <v>62</v>
      </c>
      <c r="D131" s="216" t="s">
        <v>203</v>
      </c>
      <c r="E131" s="217" t="s">
        <v>195</v>
      </c>
      <c r="F131" s="217" t="s">
        <v>731</v>
      </c>
      <c r="G131" s="218">
        <v>39735</v>
      </c>
      <c r="H131" s="217" t="s">
        <v>830</v>
      </c>
      <c r="I131" s="217" t="s">
        <v>3</v>
      </c>
      <c r="J131" s="217" t="s">
        <v>1082</v>
      </c>
      <c r="K131" s="217" t="s">
        <v>487</v>
      </c>
      <c r="L131" s="220">
        <v>153622004</v>
      </c>
      <c r="M131" s="206">
        <v>27614064</v>
      </c>
      <c r="N131" s="206">
        <v>126007940</v>
      </c>
      <c r="O131" s="206">
        <v>209727336</v>
      </c>
      <c r="P131" s="206">
        <v>5922306</v>
      </c>
      <c r="Q131" s="206">
        <v>9227725</v>
      </c>
      <c r="R131" s="206">
        <v>7102656</v>
      </c>
      <c r="S131" s="207">
        <f>20000*1000</f>
        <v>20000000</v>
      </c>
      <c r="T131" s="207">
        <v>0</v>
      </c>
      <c r="U131" s="207">
        <v>4844431</v>
      </c>
      <c r="V131" s="207">
        <f>1108495+1109475+1116464+1044915+183250+237460+17460</f>
        <v>4817519</v>
      </c>
      <c r="W131" s="207">
        <v>0</v>
      </c>
      <c r="X131" s="207">
        <v>880000</v>
      </c>
      <c r="Y131" s="208" t="s">
        <v>2430</v>
      </c>
      <c r="Z131" s="207">
        <v>140000</v>
      </c>
      <c r="AA131" s="207">
        <v>12000</v>
      </c>
      <c r="AB131" s="176">
        <f t="shared" ref="AB131:AB194" si="214">SUM(U131,V131,Z131,W131,X131)</f>
        <v>10681950</v>
      </c>
      <c r="AC131" s="177">
        <f t="shared" si="191"/>
        <v>53.409750000000003</v>
      </c>
      <c r="AD131" s="177">
        <f t="shared" ref="AD131:AD194" si="215">100-(75*(AC131-0.1))/(87-0.1)</f>
        <v>53.990434407364788</v>
      </c>
      <c r="AE131" s="26">
        <f>AD131*0.03</f>
        <v>1.6197130322209436</v>
      </c>
      <c r="AF131" s="178">
        <f t="shared" si="192"/>
        <v>48.338753251951175</v>
      </c>
      <c r="AG131" s="178">
        <f t="shared" si="193"/>
        <v>53.381779067440462</v>
      </c>
      <c r="AH131" s="178">
        <f t="shared" ref="AH131:AH194" si="216">AG131-AF131</f>
        <v>5.0430258154892869</v>
      </c>
      <c r="AI131" s="179">
        <f t="shared" ref="AI131:AI194" si="217">IF(AH131&lt;10, 100, IF(AH131&lt;30, 80, IF(AH131&lt;50, 60, IF(AH131&lt;80, 40, IF(AH131&lt;=100, 20)))))</f>
        <v>100</v>
      </c>
      <c r="AJ131" s="30">
        <f>AI131*0.04</f>
        <v>4</v>
      </c>
      <c r="AK131" s="204">
        <v>4</v>
      </c>
      <c r="AL131" s="204">
        <v>0</v>
      </c>
      <c r="AM131" s="204">
        <v>1</v>
      </c>
      <c r="AN131" s="181">
        <f t="shared" si="178"/>
        <v>4</v>
      </c>
      <c r="AO131" s="182">
        <f t="shared" si="179"/>
        <v>25</v>
      </c>
      <c r="AP131" s="183">
        <f t="shared" si="194"/>
        <v>60</v>
      </c>
      <c r="AQ131" s="38">
        <f>AP131*0.02</f>
        <v>1.2</v>
      </c>
      <c r="AR131" s="212">
        <v>1</v>
      </c>
      <c r="AS131" s="292">
        <f t="shared" si="180"/>
        <v>0.25</v>
      </c>
      <c r="AT131" s="185">
        <f t="shared" si="181"/>
        <v>1</v>
      </c>
      <c r="AU131" s="185">
        <f t="shared" si="195"/>
        <v>1</v>
      </c>
      <c r="AV131" s="186">
        <f t="shared" si="182"/>
        <v>0</v>
      </c>
      <c r="AW131" s="179">
        <f t="shared" si="196"/>
        <v>40</v>
      </c>
      <c r="AX131" s="239">
        <f>AW131*0.01</f>
        <v>0.4</v>
      </c>
      <c r="AY131" s="54">
        <v>5</v>
      </c>
      <c r="AZ131" s="301">
        <v>0</v>
      </c>
      <c r="BA131" s="189">
        <f t="shared" si="183"/>
        <v>5</v>
      </c>
      <c r="BB131" s="178">
        <f t="shared" si="197"/>
        <v>0</v>
      </c>
      <c r="BC131" s="179">
        <f t="shared" si="198"/>
        <v>25</v>
      </c>
      <c r="BD131" s="30">
        <f>BC131*0.01</f>
        <v>0.25</v>
      </c>
      <c r="BE131" s="190">
        <v>2421401</v>
      </c>
      <c r="BF131" s="190">
        <v>404260</v>
      </c>
      <c r="BG131" s="54">
        <v>71433</v>
      </c>
      <c r="BH131" s="191">
        <f t="shared" si="184"/>
        <v>2825661</v>
      </c>
      <c r="BI131" s="178">
        <f t="shared" si="185"/>
        <v>2.5280102602541494</v>
      </c>
      <c r="BJ131" s="294" t="str">
        <f t="shared" si="199"/>
        <v>금속/비금속/화학업</v>
      </c>
      <c r="BK131" s="192">
        <f t="shared" si="200"/>
        <v>3.9534118626990464</v>
      </c>
      <c r="BL131" s="193">
        <f t="shared" si="201"/>
        <v>-1.425401602444897</v>
      </c>
      <c r="BM131" s="241">
        <f t="shared" si="202"/>
        <v>80</v>
      </c>
      <c r="BN131" s="47">
        <f t="shared" si="203"/>
        <v>1.6</v>
      </c>
      <c r="BO131" s="54">
        <v>0</v>
      </c>
      <c r="BP131" s="194">
        <f t="shared" si="186"/>
        <v>0</v>
      </c>
      <c r="BQ131" s="179">
        <f t="shared" si="204"/>
        <v>25</v>
      </c>
      <c r="BR131" s="30">
        <f>BQ131*0.02</f>
        <v>0.5</v>
      </c>
      <c r="BS131" s="195">
        <v>38470</v>
      </c>
      <c r="BT131" s="195">
        <v>8181.8180000000002</v>
      </c>
      <c r="BU131" s="196">
        <f t="shared" si="205"/>
        <v>30288.182000000001</v>
      </c>
      <c r="BV131" s="178">
        <f t="shared" si="187"/>
        <v>1.4441694906190008E-2</v>
      </c>
      <c r="BW131" s="192">
        <f t="shared" si="206"/>
        <v>5.1474158565187729</v>
      </c>
      <c r="BX131" s="192">
        <f t="shared" si="207"/>
        <v>26.347423743782397</v>
      </c>
      <c r="BY131" s="192">
        <f t="shared" si="208"/>
        <v>6.6930498535228526</v>
      </c>
      <c r="BZ131" s="192">
        <f t="shared" si="209"/>
        <v>77.843281036342773</v>
      </c>
      <c r="CA131" s="192">
        <f t="shared" si="188"/>
        <v>40</v>
      </c>
      <c r="CB131" s="55">
        <f t="shared" si="210"/>
        <v>0.8</v>
      </c>
      <c r="CC131" s="197">
        <f>(M131/N131)*100</f>
        <v>21.914542845474656</v>
      </c>
      <c r="CD131" s="198">
        <f>IF((100-(75*(CC131-1)/(200-1)))&gt;100, 100, IF((100-(75*(CC131-1)/(200-1)))&lt;25, 25, (100-(75*(CC131-1)/(200-1)))))</f>
        <v>92.117634605976889</v>
      </c>
      <c r="CE131" s="58">
        <f>CD131*0.015</f>
        <v>1.3817645190896533</v>
      </c>
      <c r="CF131" s="245" t="s">
        <v>2326</v>
      </c>
      <c r="CG131" s="245" t="s">
        <v>2326</v>
      </c>
      <c r="CH131" s="245" t="s">
        <v>2326</v>
      </c>
      <c r="CI131" s="245" t="s">
        <v>2326</v>
      </c>
      <c r="CJ131" s="235"/>
      <c r="CK131" s="173" t="s">
        <v>2479</v>
      </c>
      <c r="CL131" s="173" t="s">
        <v>2478</v>
      </c>
      <c r="CM131" s="199">
        <f t="shared" si="211"/>
        <v>25</v>
      </c>
      <c r="CN131" s="58">
        <f>CM131*0.015</f>
        <v>0.375</v>
      </c>
      <c r="CO131" s="54">
        <v>0</v>
      </c>
      <c r="CP131" s="186">
        <f t="shared" si="189"/>
        <v>0</v>
      </c>
      <c r="CQ131" s="179">
        <f t="shared" si="212"/>
        <v>100</v>
      </c>
      <c r="CR131" s="30">
        <f>CQ131*0.03</f>
        <v>3</v>
      </c>
      <c r="CS131" s="200">
        <f>_xlfn.XLOOKUP(C131, '1-1. 관계사체무보증금액 (환율 등)'!$3:$3, '1-1. 관계사체무보증금액 (환율 등)'!$33:$33)</f>
        <v>0</v>
      </c>
      <c r="CT131" s="178">
        <f t="shared" si="190"/>
        <v>0</v>
      </c>
      <c r="CU131" s="179">
        <f t="shared" si="213"/>
        <v>100</v>
      </c>
      <c r="CV131" s="30">
        <f>CU131*0.02</f>
        <v>2</v>
      </c>
      <c r="CW131" s="72">
        <f t="shared" ref="CW131:CW194" si="218">AE131+AJ131+AQ131+AX131+BD131+BN131+BR131+CB131+CE131+CJ131+CN131+CR131+CV131</f>
        <v>17.1264775513106</v>
      </c>
    </row>
    <row r="132" spans="1:101" x14ac:dyDescent="0.6">
      <c r="A132" s="214" t="s">
        <v>1666</v>
      </c>
      <c r="B132" s="13" t="s">
        <v>2111</v>
      </c>
      <c r="C132" s="219" t="s">
        <v>1667</v>
      </c>
      <c r="D132" s="14" t="s">
        <v>191</v>
      </c>
      <c r="E132" s="217" t="s">
        <v>952</v>
      </c>
      <c r="F132" s="217" t="s">
        <v>1668</v>
      </c>
      <c r="G132" s="218">
        <v>41089</v>
      </c>
      <c r="H132" s="217" t="s">
        <v>830</v>
      </c>
      <c r="I132" s="217" t="s">
        <v>1669</v>
      </c>
      <c r="J132" s="217" t="s">
        <v>1670</v>
      </c>
      <c r="K132" s="217" t="s">
        <v>91</v>
      </c>
      <c r="L132" s="220">
        <v>350700455</v>
      </c>
      <c r="M132" s="206">
        <v>111544269</v>
      </c>
      <c r="N132" s="206">
        <v>239156186</v>
      </c>
      <c r="O132" s="206">
        <v>201116170</v>
      </c>
      <c r="P132" s="206">
        <v>13584493</v>
      </c>
      <c r="Q132" s="206">
        <v>10414124</v>
      </c>
      <c r="R132" s="206">
        <v>8295233</v>
      </c>
      <c r="S132" s="207">
        <v>17218543</v>
      </c>
      <c r="T132" s="207">
        <v>0</v>
      </c>
      <c r="U132" s="207">
        <v>9863669</v>
      </c>
      <c r="V132" s="207">
        <v>0</v>
      </c>
      <c r="W132" s="207">
        <v>0</v>
      </c>
      <c r="X132" s="207">
        <v>0</v>
      </c>
      <c r="Z132" s="207">
        <f>45645+688656+121710+148591</f>
        <v>1004602</v>
      </c>
      <c r="AA132" s="207">
        <v>0</v>
      </c>
      <c r="AB132" s="176">
        <f t="shared" si="214"/>
        <v>10868271</v>
      </c>
      <c r="AC132" s="177">
        <f t="shared" si="191"/>
        <v>63.119574054552693</v>
      </c>
      <c r="AD132" s="177">
        <f t="shared" si="215"/>
        <v>45.610264049580536</v>
      </c>
      <c r="AE132" s="26">
        <f>AD132*0.03</f>
        <v>1.3683079214874161</v>
      </c>
      <c r="AF132" s="178">
        <f t="shared" si="192"/>
        <v>57.285154731152346</v>
      </c>
      <c r="AG132" s="178">
        <f t="shared" si="193"/>
        <v>63.119574054552693</v>
      </c>
      <c r="AH132" s="178">
        <f t="shared" si="216"/>
        <v>5.834419323400347</v>
      </c>
      <c r="AI132" s="179">
        <f t="shared" si="217"/>
        <v>100</v>
      </c>
      <c r="AJ132" s="30">
        <f>AI132*0.04</f>
        <v>4</v>
      </c>
      <c r="AK132" s="204">
        <v>7</v>
      </c>
      <c r="AL132" s="204">
        <v>1</v>
      </c>
      <c r="AM132" s="180">
        <v>2</v>
      </c>
      <c r="AN132" s="181">
        <f t="shared" si="178"/>
        <v>8</v>
      </c>
      <c r="AO132" s="182">
        <f t="shared" si="179"/>
        <v>25</v>
      </c>
      <c r="AP132" s="183">
        <f t="shared" si="194"/>
        <v>60</v>
      </c>
      <c r="AQ132" s="38">
        <f>AP132*0.02</f>
        <v>1.2</v>
      </c>
      <c r="AR132" s="212">
        <v>3</v>
      </c>
      <c r="AS132" s="292">
        <f t="shared" si="180"/>
        <v>0.25</v>
      </c>
      <c r="AT132" s="185">
        <f t="shared" si="181"/>
        <v>1.75</v>
      </c>
      <c r="AU132" s="185">
        <f t="shared" si="195"/>
        <v>1</v>
      </c>
      <c r="AV132" s="186">
        <f t="shared" si="182"/>
        <v>28.571428571428569</v>
      </c>
      <c r="AW132" s="179">
        <f t="shared" si="196"/>
        <v>80</v>
      </c>
      <c r="AX132" s="239">
        <f>AW132*0.01</f>
        <v>0.8</v>
      </c>
      <c r="AY132" s="54">
        <v>28</v>
      </c>
      <c r="AZ132" s="54">
        <f>28*3-7*2</f>
        <v>70</v>
      </c>
      <c r="BA132" s="189">
        <f t="shared" si="183"/>
        <v>84</v>
      </c>
      <c r="BB132" s="178">
        <f t="shared" si="197"/>
        <v>83.333333333333343</v>
      </c>
      <c r="BC132" s="179">
        <f t="shared" si="198"/>
        <v>75</v>
      </c>
      <c r="BD132" s="30">
        <f>BC132*0.01</f>
        <v>0.75</v>
      </c>
      <c r="BE132" s="190">
        <v>3836571</v>
      </c>
      <c r="BF132" s="190">
        <v>375804</v>
      </c>
      <c r="BG132" s="54">
        <v>76196</v>
      </c>
      <c r="BH132" s="191">
        <f t="shared" si="184"/>
        <v>4212375</v>
      </c>
      <c r="BI132" s="178">
        <f t="shared" si="185"/>
        <v>1.8088607970562924</v>
      </c>
      <c r="BJ132" s="294" t="str">
        <f t="shared" si="199"/>
        <v>식약/섬유/종이업</v>
      </c>
      <c r="BK132" s="192">
        <f t="shared" si="200"/>
        <v>2.1999360555264444</v>
      </c>
      <c r="BL132" s="193">
        <f t="shared" si="201"/>
        <v>-0.39107525847015201</v>
      </c>
      <c r="BM132" s="241">
        <f t="shared" si="202"/>
        <v>80</v>
      </c>
      <c r="BN132" s="47">
        <f t="shared" si="203"/>
        <v>1.6</v>
      </c>
      <c r="BO132" s="54">
        <v>0</v>
      </c>
      <c r="BP132" s="194">
        <f t="shared" si="186"/>
        <v>0</v>
      </c>
      <c r="BQ132" s="179">
        <f t="shared" si="204"/>
        <v>25</v>
      </c>
      <c r="BR132" s="30">
        <f>BQ132*0.02</f>
        <v>0.5</v>
      </c>
      <c r="BS132" s="195">
        <v>1885230.121</v>
      </c>
      <c r="BT132" s="195">
        <v>11800</v>
      </c>
      <c r="BU132" s="196">
        <f t="shared" si="205"/>
        <v>1873430.121</v>
      </c>
      <c r="BV132" s="178">
        <f t="shared" si="187"/>
        <v>0.93151640715910622</v>
      </c>
      <c r="BW132" s="192">
        <f t="shared" si="206"/>
        <v>5.0508176117342281</v>
      </c>
      <c r="BX132" s="192">
        <f t="shared" si="207"/>
        <v>16.968642414014045</v>
      </c>
      <c r="BY132" s="192">
        <f t="shared" si="208"/>
        <v>6.9871618081220941</v>
      </c>
      <c r="BZ132" s="192">
        <f t="shared" si="209"/>
        <v>72.225476716004067</v>
      </c>
      <c r="CA132" s="192">
        <f t="shared" si="188"/>
        <v>40</v>
      </c>
      <c r="CB132" s="55">
        <f t="shared" si="210"/>
        <v>0.8</v>
      </c>
      <c r="CC132" s="197">
        <f>(M132/N132)*100</f>
        <v>46.640762618617778</v>
      </c>
      <c r="CD132" s="198">
        <f>IF((100-(75*(CC132-1)/(200-1)))&gt;100, 100, IF((100-(75*(CC132-1)/(200-1)))&lt;25, 25, (100-(75*(CC132-1)/(200-1)))))</f>
        <v>82.798707555797321</v>
      </c>
      <c r="CE132" s="58">
        <f>CD132*0.015</f>
        <v>1.2419806133369597</v>
      </c>
      <c r="CF132" s="245" t="s">
        <v>2326</v>
      </c>
      <c r="CG132" s="245" t="s">
        <v>2326</v>
      </c>
      <c r="CH132" s="245" t="s">
        <v>2326</v>
      </c>
      <c r="CI132" s="245" t="s">
        <v>2326</v>
      </c>
      <c r="CJ132" s="235"/>
      <c r="CK132" s="173" t="s">
        <v>2479</v>
      </c>
      <c r="CL132" s="173" t="s">
        <v>2478</v>
      </c>
      <c r="CM132" s="199">
        <f t="shared" si="211"/>
        <v>25</v>
      </c>
      <c r="CN132" s="58">
        <f>CM132*0.015</f>
        <v>0.375</v>
      </c>
      <c r="CO132" s="54">
        <f>117768000-147000-3322000</f>
        <v>114299000</v>
      </c>
      <c r="CP132" s="186">
        <f t="shared" si="189"/>
        <v>47.792616997161844</v>
      </c>
      <c r="CQ132" s="179">
        <f t="shared" si="212"/>
        <v>40</v>
      </c>
      <c r="CR132" s="30">
        <f>CQ132*0.03</f>
        <v>1.2</v>
      </c>
      <c r="CS132" s="200">
        <f>_xlfn.XLOOKUP(C132, '1-1. 관계사체무보증금액 (환율 등)'!$3:$3, '1-1. 관계사체무보증금액 (환율 등)'!$33:$33)</f>
        <v>8474000</v>
      </c>
      <c r="CT132" s="178">
        <f t="shared" si="190"/>
        <v>3.5432911611995688</v>
      </c>
      <c r="CU132" s="179">
        <f t="shared" si="213"/>
        <v>80</v>
      </c>
      <c r="CV132" s="30">
        <f>CU132*0.02</f>
        <v>1.6</v>
      </c>
      <c r="CW132" s="72">
        <f t="shared" si="218"/>
        <v>15.435288534824375</v>
      </c>
    </row>
    <row r="133" spans="1:101" x14ac:dyDescent="0.6">
      <c r="A133" s="214" t="s">
        <v>73</v>
      </c>
      <c r="B133" s="13" t="s">
        <v>2112</v>
      </c>
      <c r="C133" s="219" t="s">
        <v>65</v>
      </c>
      <c r="D133" s="216" t="s">
        <v>191</v>
      </c>
      <c r="E133" s="217" t="s">
        <v>952</v>
      </c>
      <c r="F133" s="217" t="s">
        <v>166</v>
      </c>
      <c r="G133" s="218">
        <v>31770</v>
      </c>
      <c r="H133" s="217" t="s">
        <v>830</v>
      </c>
      <c r="I133" s="217" t="s">
        <v>1671</v>
      </c>
      <c r="J133" s="217" t="s">
        <v>1115</v>
      </c>
      <c r="K133" s="217" t="s">
        <v>91</v>
      </c>
      <c r="L133" s="220">
        <v>343207955</v>
      </c>
      <c r="M133" s="206">
        <v>137261542</v>
      </c>
      <c r="N133" s="206">
        <v>205946413</v>
      </c>
      <c r="O133" s="206">
        <v>369125207</v>
      </c>
      <c r="P133" s="206">
        <v>10201023</v>
      </c>
      <c r="Q133" s="206">
        <v>10693290</v>
      </c>
      <c r="R133" s="206">
        <v>8526794</v>
      </c>
      <c r="S133" s="207">
        <v>9422739</v>
      </c>
      <c r="T133" s="207">
        <v>3</v>
      </c>
      <c r="U133" s="207">
        <v>5736569</v>
      </c>
      <c r="V133" s="207">
        <v>0</v>
      </c>
      <c r="W133" s="207">
        <v>0</v>
      </c>
      <c r="X133" s="207">
        <v>0</v>
      </c>
      <c r="Z133" s="207">
        <f>184171+74</f>
        <v>184245</v>
      </c>
      <c r="AA133" s="207">
        <v>74</v>
      </c>
      <c r="AB133" s="176">
        <f t="shared" si="214"/>
        <v>5920814</v>
      </c>
      <c r="AC133" s="177">
        <f t="shared" si="191"/>
        <v>62.835381516987788</v>
      </c>
      <c r="AD133" s="177">
        <f t="shared" si="215"/>
        <v>45.855539542300534</v>
      </c>
      <c r="AE133" s="26">
        <f>AD133*0.03</f>
        <v>1.375666186269016</v>
      </c>
      <c r="AF133" s="178">
        <f t="shared" si="192"/>
        <v>60.880555834434048</v>
      </c>
      <c r="AG133" s="178">
        <f t="shared" si="193"/>
        <v>62.835109653726306</v>
      </c>
      <c r="AH133" s="178">
        <f t="shared" si="216"/>
        <v>1.9545538192922578</v>
      </c>
      <c r="AI133" s="179">
        <f t="shared" si="217"/>
        <v>100</v>
      </c>
      <c r="AJ133" s="30">
        <f>AI133*0.04</f>
        <v>4</v>
      </c>
      <c r="AK133" s="204">
        <v>9</v>
      </c>
      <c r="AL133" s="204">
        <v>5</v>
      </c>
      <c r="AM133" s="180">
        <v>2</v>
      </c>
      <c r="AN133" s="181">
        <f t="shared" si="178"/>
        <v>14</v>
      </c>
      <c r="AO133" s="182">
        <f t="shared" si="179"/>
        <v>14.285714285714285</v>
      </c>
      <c r="AP133" s="183">
        <f t="shared" si="194"/>
        <v>80</v>
      </c>
      <c r="AQ133" s="38">
        <f>AP133*0.02</f>
        <v>1.6</v>
      </c>
      <c r="AR133" s="212">
        <v>5</v>
      </c>
      <c r="AS133" s="292">
        <f t="shared" si="180"/>
        <v>0.25</v>
      </c>
      <c r="AT133" s="185">
        <f t="shared" si="181"/>
        <v>2.25</v>
      </c>
      <c r="AU133" s="185">
        <f t="shared" si="195"/>
        <v>2</v>
      </c>
      <c r="AV133" s="186">
        <f t="shared" si="182"/>
        <v>33.333333333333329</v>
      </c>
      <c r="AW133" s="179">
        <f t="shared" si="196"/>
        <v>80</v>
      </c>
      <c r="AX133" s="239">
        <f>AW133*0.01</f>
        <v>0.8</v>
      </c>
      <c r="AY133" s="54">
        <v>19</v>
      </c>
      <c r="AZ133" s="54">
        <f>12*3+4*2+5*5</f>
        <v>69</v>
      </c>
      <c r="BA133" s="189">
        <f t="shared" si="183"/>
        <v>95</v>
      </c>
      <c r="BB133" s="178">
        <f t="shared" si="197"/>
        <v>72.631578947368425</v>
      </c>
      <c r="BC133" s="179">
        <f t="shared" si="198"/>
        <v>50</v>
      </c>
      <c r="BD133" s="30">
        <f>BC133*0.01</f>
        <v>0.5</v>
      </c>
      <c r="BE133" s="190">
        <v>4669760</v>
      </c>
      <c r="BF133" s="190">
        <v>454097</v>
      </c>
      <c r="BG133" s="54">
        <v>311753</v>
      </c>
      <c r="BH133" s="191">
        <f t="shared" si="184"/>
        <v>5123857</v>
      </c>
      <c r="BI133" s="178">
        <f t="shared" si="185"/>
        <v>6.0843423225901896</v>
      </c>
      <c r="BJ133" s="294" t="str">
        <f t="shared" si="199"/>
        <v>식약/섬유/종이업</v>
      </c>
      <c r="BK133" s="192">
        <f t="shared" si="200"/>
        <v>2.1999360555264444</v>
      </c>
      <c r="BL133" s="193">
        <f t="shared" si="201"/>
        <v>3.8844062670637451</v>
      </c>
      <c r="BM133" s="241">
        <f t="shared" si="202"/>
        <v>40</v>
      </c>
      <c r="BN133" s="47">
        <f t="shared" si="203"/>
        <v>0.8</v>
      </c>
      <c r="BO133" s="54">
        <v>0</v>
      </c>
      <c r="BP133" s="194">
        <f t="shared" si="186"/>
        <v>0</v>
      </c>
      <c r="BQ133" s="179">
        <f t="shared" si="204"/>
        <v>25</v>
      </c>
      <c r="BR133" s="30">
        <f>BQ133*0.02</f>
        <v>0.5</v>
      </c>
      <c r="BS133" s="195">
        <v>13885907</v>
      </c>
      <c r="BT133" s="195">
        <v>7309026</v>
      </c>
      <c r="BU133" s="196">
        <f t="shared" si="205"/>
        <v>6576881</v>
      </c>
      <c r="BV133" s="178">
        <f t="shared" si="187"/>
        <v>1.7817480018372194</v>
      </c>
      <c r="BW133" s="192">
        <f t="shared" si="206"/>
        <v>5.0508176117342281</v>
      </c>
      <c r="BX133" s="192">
        <f t="shared" si="207"/>
        <v>10.68681611435218</v>
      </c>
      <c r="BY133" s="192">
        <f t="shared" si="208"/>
        <v>6.9871618081220941</v>
      </c>
      <c r="BZ133" s="192">
        <f t="shared" si="209"/>
        <v>68.006051537020994</v>
      </c>
      <c r="CA133" s="192">
        <f t="shared" si="188"/>
        <v>40</v>
      </c>
      <c r="CB133" s="55">
        <f t="shared" si="210"/>
        <v>0.8</v>
      </c>
      <c r="CC133" s="197">
        <f>(M133/N133)*100</f>
        <v>66.64915402046843</v>
      </c>
      <c r="CD133" s="198">
        <f>IF((100-(75*(CC133-1)/(200-1)))&gt;100, 100, IF((100-(75*(CC133-1)/(200-1)))&lt;25, 25, (100-(75*(CC133-1)/(200-1)))))</f>
        <v>75.257856524949091</v>
      </c>
      <c r="CE133" s="58">
        <f>CD133*0.015</f>
        <v>1.1288678478742362</v>
      </c>
      <c r="CF133" s="245" t="s">
        <v>2326</v>
      </c>
      <c r="CG133" s="245" t="s">
        <v>2326</v>
      </c>
      <c r="CH133" s="245" t="s">
        <v>2326</v>
      </c>
      <c r="CI133" s="245" t="s">
        <v>2326</v>
      </c>
      <c r="CJ133" s="235"/>
      <c r="CK133" s="173" t="s">
        <v>2491</v>
      </c>
      <c r="CL133" s="173" t="s">
        <v>2478</v>
      </c>
      <c r="CM133" s="199">
        <f t="shared" si="211"/>
        <v>25</v>
      </c>
      <c r="CN133" s="58">
        <f>CM133*0.015</f>
        <v>0.375</v>
      </c>
      <c r="CO133" s="54">
        <f>8689000+3116000</f>
        <v>11805000</v>
      </c>
      <c r="CP133" s="186">
        <f t="shared" si="189"/>
        <v>5.7320736147028688</v>
      </c>
      <c r="CQ133" s="179">
        <f t="shared" si="212"/>
        <v>80</v>
      </c>
      <c r="CR133" s="30">
        <f>CQ133*0.03</f>
        <v>2.4</v>
      </c>
      <c r="CS133" s="200">
        <f>_xlfn.XLOOKUP(C133, '1-1. 관계사체무보증금액 (환율 등)'!$3:$3, '1-1. 관계사체무보증금액 (환율 등)'!$33:$33)</f>
        <v>0</v>
      </c>
      <c r="CT133" s="178">
        <f t="shared" si="190"/>
        <v>0</v>
      </c>
      <c r="CU133" s="179">
        <f t="shared" si="213"/>
        <v>100</v>
      </c>
      <c r="CV133" s="30">
        <f>CU133*0.02</f>
        <v>2</v>
      </c>
      <c r="CW133" s="72">
        <f t="shared" si="218"/>
        <v>16.279534034143254</v>
      </c>
    </row>
    <row r="134" spans="1:101" x14ac:dyDescent="0.6">
      <c r="A134" s="214" t="s">
        <v>1672</v>
      </c>
      <c r="B134" s="13" t="s">
        <v>2113</v>
      </c>
      <c r="C134" s="219" t="s">
        <v>1673</v>
      </c>
      <c r="D134" s="14" t="s">
        <v>203</v>
      </c>
      <c r="E134" s="223" t="s">
        <v>617</v>
      </c>
      <c r="F134" s="223" t="s">
        <v>1674</v>
      </c>
      <c r="G134" s="224">
        <v>28913</v>
      </c>
      <c r="H134" s="223" t="s">
        <v>830</v>
      </c>
      <c r="I134" s="223" t="s">
        <v>1675</v>
      </c>
      <c r="J134" s="223" t="s">
        <v>1676</v>
      </c>
      <c r="K134" s="223" t="s">
        <v>690</v>
      </c>
      <c r="L134" s="225">
        <v>18848886743</v>
      </c>
      <c r="M134" s="226">
        <v>6192868704</v>
      </c>
      <c r="N134" s="226">
        <v>12656018039</v>
      </c>
      <c r="O134" s="226">
        <v>17458293610</v>
      </c>
      <c r="P134" s="226">
        <v>1010874359</v>
      </c>
      <c r="Q134" s="226">
        <v>1064689936</v>
      </c>
      <c r="R134" s="226">
        <v>865838207</v>
      </c>
      <c r="S134" s="207">
        <v>68764530</v>
      </c>
      <c r="T134" s="207">
        <v>3331391</v>
      </c>
      <c r="U134" s="207">
        <v>13462673</v>
      </c>
      <c r="V134" s="207">
        <v>0</v>
      </c>
      <c r="W134" s="207">
        <f>5500+100+22+99+70+100+150+140+200+200+6+58+100+25+20+30+70+90+35+150+30+31+32+50+7+40</f>
        <v>7355</v>
      </c>
      <c r="X134" s="207">
        <f>400723+170100</f>
        <v>570823</v>
      </c>
      <c r="Y134" s="208" t="s">
        <v>2431</v>
      </c>
      <c r="Z134" s="207">
        <v>78685</v>
      </c>
      <c r="AA134" s="207">
        <v>0</v>
      </c>
      <c r="AB134" s="176">
        <f t="shared" si="214"/>
        <v>14119536</v>
      </c>
      <c r="AC134" s="177">
        <f t="shared" si="191"/>
        <v>20.53316731751093</v>
      </c>
      <c r="AD134" s="177">
        <f t="shared" si="215"/>
        <v>82.364930393402545</v>
      </c>
      <c r="AE134" s="26">
        <f>AD134*0.03</f>
        <v>2.4709479118020763</v>
      </c>
      <c r="AF134" s="178">
        <f t="shared" si="192"/>
        <v>20.574701452118934</v>
      </c>
      <c r="AG134" s="178">
        <f t="shared" si="193"/>
        <v>21.578570454949443</v>
      </c>
      <c r="AH134" s="178">
        <f t="shared" si="216"/>
        <v>1.0038690028305091</v>
      </c>
      <c r="AI134" s="179">
        <f t="shared" si="217"/>
        <v>100</v>
      </c>
      <c r="AJ134" s="30">
        <f>AI134*0.04</f>
        <v>4</v>
      </c>
      <c r="AK134" s="204">
        <v>7</v>
      </c>
      <c r="AL134" s="204">
        <v>83</v>
      </c>
      <c r="AM134" s="204">
        <v>0</v>
      </c>
      <c r="AN134" s="181">
        <f t="shared" si="178"/>
        <v>90</v>
      </c>
      <c r="AO134" s="182">
        <f t="shared" si="179"/>
        <v>0</v>
      </c>
      <c r="AP134" s="183">
        <f t="shared" si="194"/>
        <v>100</v>
      </c>
      <c r="AQ134" s="38">
        <f>AP134*0.02</f>
        <v>2</v>
      </c>
      <c r="AR134" s="212">
        <v>4</v>
      </c>
      <c r="AS134" s="292">
        <f t="shared" si="180"/>
        <v>0.5</v>
      </c>
      <c r="AT134" s="185">
        <f t="shared" si="181"/>
        <v>3.5</v>
      </c>
      <c r="AU134" s="185">
        <f t="shared" si="195"/>
        <v>3</v>
      </c>
      <c r="AV134" s="186">
        <f t="shared" si="182"/>
        <v>14.285714285714285</v>
      </c>
      <c r="AW134" s="179">
        <f t="shared" si="196"/>
        <v>60</v>
      </c>
      <c r="AX134" s="239">
        <f>AW134*0.01</f>
        <v>0.6</v>
      </c>
      <c r="AY134" s="54">
        <v>8</v>
      </c>
      <c r="AZ134" s="54">
        <v>32</v>
      </c>
      <c r="BA134" s="189">
        <f t="shared" si="183"/>
        <v>32</v>
      </c>
      <c r="BB134" s="178">
        <f t="shared" si="197"/>
        <v>100</v>
      </c>
      <c r="BC134" s="179">
        <f t="shared" si="198"/>
        <v>100</v>
      </c>
      <c r="BD134" s="30">
        <f>BC134*0.01</f>
        <v>1</v>
      </c>
      <c r="BE134" s="190">
        <v>230364798</v>
      </c>
      <c r="BF134" s="190">
        <v>20013260</v>
      </c>
      <c r="BG134" s="301">
        <v>0</v>
      </c>
      <c r="BH134" s="191">
        <f t="shared" si="184"/>
        <v>250378058</v>
      </c>
      <c r="BI134" s="178">
        <f t="shared" si="185"/>
        <v>0</v>
      </c>
      <c r="BJ134" s="294" t="str">
        <f t="shared" si="199"/>
        <v>금속/비금속/화학업</v>
      </c>
      <c r="BK134" s="192">
        <f t="shared" si="200"/>
        <v>3.9534118626990464</v>
      </c>
      <c r="BL134" s="193">
        <f t="shared" si="201"/>
        <v>-3.9534118626990464</v>
      </c>
      <c r="BM134" s="241">
        <f t="shared" si="202"/>
        <v>100</v>
      </c>
      <c r="BN134" s="47">
        <f t="shared" si="203"/>
        <v>2</v>
      </c>
      <c r="BO134" s="54">
        <v>1076353000</v>
      </c>
      <c r="BP134" s="194">
        <f t="shared" si="186"/>
        <v>6.1652818084321357</v>
      </c>
      <c r="BQ134" s="179">
        <f t="shared" si="204"/>
        <v>100</v>
      </c>
      <c r="BR134" s="30">
        <f>BQ134*0.02</f>
        <v>2</v>
      </c>
      <c r="BS134" s="195">
        <v>583476911.75899994</v>
      </c>
      <c r="BT134" s="195">
        <v>1764198.9909999999</v>
      </c>
      <c r="BU134" s="196">
        <f t="shared" si="205"/>
        <v>581712712.76799989</v>
      </c>
      <c r="BV134" s="178">
        <f t="shared" si="187"/>
        <v>3.3320135733929837</v>
      </c>
      <c r="BW134" s="192">
        <f t="shared" si="206"/>
        <v>5.1474158565187729</v>
      </c>
      <c r="BX134" s="192">
        <f t="shared" si="207"/>
        <v>3.2956854495783281</v>
      </c>
      <c r="BY134" s="192">
        <f t="shared" si="208"/>
        <v>6.6930498535228526</v>
      </c>
      <c r="BZ134" s="192">
        <f t="shared" si="209"/>
        <v>60.689559375977218</v>
      </c>
      <c r="CA134" s="192">
        <f t="shared" si="188"/>
        <v>40</v>
      </c>
      <c r="CB134" s="55">
        <f t="shared" si="210"/>
        <v>0.8</v>
      </c>
      <c r="CC134" s="197">
        <f>(M134/N134)*100</f>
        <v>48.93220509734136</v>
      </c>
      <c r="CD134" s="198">
        <f>IF((100-(75*(CC134-1)/(200-1)))&gt;100, 100, IF((100-(75*(CC134-1)/(200-1)))&lt;25, 25, (100-(75*(CC134-1)/(200-1)))))</f>
        <v>81.93509858140402</v>
      </c>
      <c r="CE134" s="58">
        <f>CD134*0.015</f>
        <v>1.2290264787210603</v>
      </c>
      <c r="CF134" s="245" t="s">
        <v>2326</v>
      </c>
      <c r="CG134" s="245" t="s">
        <v>2326</v>
      </c>
      <c r="CH134" s="245" t="s">
        <v>2326</v>
      </c>
      <c r="CI134" s="245" t="s">
        <v>2326</v>
      </c>
      <c r="CJ134" s="235"/>
      <c r="CK134" s="173" t="s">
        <v>2476</v>
      </c>
      <c r="CL134" s="173" t="s">
        <v>2477</v>
      </c>
      <c r="CM134" s="199">
        <f t="shared" si="211"/>
        <v>85</v>
      </c>
      <c r="CN134" s="58">
        <f>CM134*0.015</f>
        <v>1.2749999999999999</v>
      </c>
      <c r="CO134" s="54">
        <v>3474478000</v>
      </c>
      <c r="CP134" s="186">
        <f t="shared" si="189"/>
        <v>27.453168834725616</v>
      </c>
      <c r="CQ134" s="179">
        <f t="shared" si="212"/>
        <v>60</v>
      </c>
      <c r="CR134" s="30">
        <f>CQ134*0.03</f>
        <v>1.7999999999999998</v>
      </c>
      <c r="CS134" s="200">
        <f>_xlfn.XLOOKUP(C134, '1-1. 관계사체무보증금액 (환율 등)'!$3:$3, '1-1. 관계사체무보증금액 (환율 등)'!$33:$33)</f>
        <v>3441208584.4678278</v>
      </c>
      <c r="CT134" s="178">
        <f t="shared" si="190"/>
        <v>27.190294560766372</v>
      </c>
      <c r="CU134" s="179">
        <f t="shared" si="213"/>
        <v>60</v>
      </c>
      <c r="CV134" s="30">
        <f>CU134*0.02</f>
        <v>1.2</v>
      </c>
      <c r="CW134" s="72">
        <f t="shared" si="218"/>
        <v>20.374974390523136</v>
      </c>
    </row>
    <row r="135" spans="1:101" x14ac:dyDescent="0.6">
      <c r="A135" s="214" t="s">
        <v>2114</v>
      </c>
      <c r="B135" s="1" t="s">
        <v>2115</v>
      </c>
      <c r="C135" s="227" t="s">
        <v>1677</v>
      </c>
      <c r="D135" s="6" t="s">
        <v>285</v>
      </c>
      <c r="E135" s="228" t="s">
        <v>171</v>
      </c>
      <c r="F135" s="228" t="s">
        <v>1678</v>
      </c>
      <c r="G135" s="229">
        <v>41991</v>
      </c>
      <c r="H135" s="228" t="s">
        <v>830</v>
      </c>
      <c r="I135" s="228" t="s">
        <v>1679</v>
      </c>
      <c r="J135" s="228" t="s">
        <v>1680</v>
      </c>
      <c r="K135" s="228" t="s">
        <v>91</v>
      </c>
      <c r="L135" s="9">
        <v>39636329822</v>
      </c>
      <c r="M135" s="9">
        <v>15712704458</v>
      </c>
      <c r="N135" s="9">
        <v>23923625364</v>
      </c>
      <c r="O135" s="9">
        <v>26406560657</v>
      </c>
      <c r="P135" s="9">
        <v>939411977</v>
      </c>
      <c r="Q135" s="9">
        <v>1886089047</v>
      </c>
      <c r="R135" s="9">
        <v>1461807709</v>
      </c>
      <c r="S135" s="207">
        <v>186887081</v>
      </c>
      <c r="T135" s="207">
        <v>24718099</v>
      </c>
      <c r="U135" s="207">
        <v>33880220</v>
      </c>
      <c r="V135" s="207">
        <f>11662168*2+1808577+600000</f>
        <v>25732913</v>
      </c>
      <c r="W135" s="207">
        <f>2000+1000+2364+3299+200+654+15+1350+227+223+689+140+1200+1240+500+280+73+105+17+447+317+600+700+1046+122+119+78+410+1227+300+1000+2004+238+100+100+21+397+2102+1188+400</f>
        <v>28492</v>
      </c>
      <c r="X135" s="207">
        <f>1144086+80946</f>
        <v>1225032</v>
      </c>
      <c r="Y135" s="208" t="s">
        <v>2431</v>
      </c>
      <c r="Z135" s="207">
        <f>255144</f>
        <v>255144</v>
      </c>
      <c r="AA135" s="207">
        <v>255144</v>
      </c>
      <c r="AB135" s="176">
        <f t="shared" si="214"/>
        <v>61121801</v>
      </c>
      <c r="AC135" s="177">
        <f t="shared" si="191"/>
        <v>32.705203951470565</v>
      </c>
      <c r="AD135" s="177">
        <f t="shared" si="215"/>
        <v>71.859720410123217</v>
      </c>
      <c r="AE135" s="26">
        <f>AD135*0.03</f>
        <v>2.1557916123036964</v>
      </c>
      <c r="AF135" s="178">
        <f t="shared" si="192"/>
        <v>36.817812323119661</v>
      </c>
      <c r="AG135" s="178">
        <f t="shared" si="193"/>
        <v>37.592004335046397</v>
      </c>
      <c r="AH135" s="178">
        <f t="shared" si="216"/>
        <v>0.77419201192673626</v>
      </c>
      <c r="AI135" s="179">
        <f t="shared" si="217"/>
        <v>100</v>
      </c>
      <c r="AJ135" s="30">
        <f>AI135*0.04</f>
        <v>4</v>
      </c>
      <c r="AK135" s="204">
        <v>9</v>
      </c>
      <c r="AL135" s="204">
        <v>151</v>
      </c>
      <c r="AM135" s="204">
        <v>0</v>
      </c>
      <c r="AN135" s="181">
        <f t="shared" si="178"/>
        <v>160</v>
      </c>
      <c r="AO135" s="182">
        <f t="shared" si="179"/>
        <v>0</v>
      </c>
      <c r="AP135" s="183">
        <f t="shared" si="194"/>
        <v>100</v>
      </c>
      <c r="AQ135" s="38">
        <f>AP135*0.02</f>
        <v>2</v>
      </c>
      <c r="AR135" s="212">
        <v>5</v>
      </c>
      <c r="AS135" s="292">
        <f t="shared" si="180"/>
        <v>0.5</v>
      </c>
      <c r="AT135" s="185">
        <f t="shared" si="181"/>
        <v>4.5</v>
      </c>
      <c r="AU135" s="185">
        <f t="shared" si="195"/>
        <v>4</v>
      </c>
      <c r="AV135" s="186">
        <f t="shared" si="182"/>
        <v>11.111111111111111</v>
      </c>
      <c r="AW135" s="179">
        <f t="shared" si="196"/>
        <v>60</v>
      </c>
      <c r="AX135" s="239">
        <f>AW135*0.01</f>
        <v>0.6</v>
      </c>
      <c r="AY135" s="54">
        <v>6</v>
      </c>
      <c r="AZ135" s="54">
        <f>30-2</f>
        <v>28</v>
      </c>
      <c r="BA135" s="189">
        <f t="shared" si="183"/>
        <v>30</v>
      </c>
      <c r="BB135" s="178">
        <f t="shared" si="197"/>
        <v>93.333333333333329</v>
      </c>
      <c r="BC135" s="179">
        <f t="shared" si="198"/>
        <v>100</v>
      </c>
      <c r="BD135" s="30">
        <f>BC135*0.01</f>
        <v>1</v>
      </c>
      <c r="BE135" s="190">
        <v>659449000</v>
      </c>
      <c r="BF135" s="190">
        <v>57910000</v>
      </c>
      <c r="BG135" s="301">
        <v>0</v>
      </c>
      <c r="BH135" s="191">
        <f t="shared" si="184"/>
        <v>717359000</v>
      </c>
      <c r="BI135" s="178">
        <f t="shared" si="185"/>
        <v>0</v>
      </c>
      <c r="BJ135" s="294" t="str">
        <f t="shared" si="199"/>
        <v>비제조/서비스업</v>
      </c>
      <c r="BK135" s="192">
        <f t="shared" si="200"/>
        <v>1.7464434573900924</v>
      </c>
      <c r="BL135" s="193">
        <f t="shared" si="201"/>
        <v>-1.7464434573900924</v>
      </c>
      <c r="BM135" s="241">
        <f t="shared" si="202"/>
        <v>80</v>
      </c>
      <c r="BN135" s="47">
        <f t="shared" si="203"/>
        <v>1.6</v>
      </c>
      <c r="BO135" s="54">
        <v>383597000</v>
      </c>
      <c r="BP135" s="194">
        <f t="shared" si="186"/>
        <v>1.4526579397545054</v>
      </c>
      <c r="BQ135" s="179">
        <f t="shared" si="204"/>
        <v>70</v>
      </c>
      <c r="BR135" s="30">
        <f>BQ135*0.02</f>
        <v>1.4000000000000001</v>
      </c>
      <c r="BS135" s="195">
        <v>77190265.527999997</v>
      </c>
      <c r="BT135" s="195">
        <v>16193641.328</v>
      </c>
      <c r="BU135" s="196">
        <f t="shared" si="205"/>
        <v>60996624.199999996</v>
      </c>
      <c r="BV135" s="178">
        <f t="shared" si="187"/>
        <v>0.23099041557246747</v>
      </c>
      <c r="BW135" s="192">
        <f t="shared" si="206"/>
        <v>2.8482825397737606</v>
      </c>
      <c r="BX135" s="192">
        <f t="shared" si="207"/>
        <v>6.8502180634061176</v>
      </c>
      <c r="BY135" s="192">
        <f t="shared" si="208"/>
        <v>5.5697595856656799</v>
      </c>
      <c r="BZ135" s="192">
        <f t="shared" si="209"/>
        <v>68.079075057648211</v>
      </c>
      <c r="CA135" s="192">
        <f t="shared" si="188"/>
        <v>40</v>
      </c>
      <c r="CB135" s="55">
        <f t="shared" si="210"/>
        <v>0.8</v>
      </c>
      <c r="CC135" s="197">
        <f>(M135/N135)*100</f>
        <v>65.678609403591054</v>
      </c>
      <c r="CD135" s="198">
        <f>IF((100-(75*(CC135-1)/(200-1)))&gt;100, 100, IF((100-(75*(CC135-1)/(200-1)))&lt;25, 25, (100-(75*(CC135-1)/(200-1)))))</f>
        <v>75.623639672013411</v>
      </c>
      <c r="CE135" s="58">
        <f>CD135*0.015</f>
        <v>1.1343545950802012</v>
      </c>
      <c r="CF135" s="245" t="s">
        <v>2326</v>
      </c>
      <c r="CG135" s="245" t="s">
        <v>2326</v>
      </c>
      <c r="CH135" s="245" t="s">
        <v>2326</v>
      </c>
      <c r="CI135" s="245" t="s">
        <v>2326</v>
      </c>
      <c r="CJ135" s="235"/>
      <c r="CK135" s="173" t="s">
        <v>2496</v>
      </c>
      <c r="CL135" s="173" t="s">
        <v>2477</v>
      </c>
      <c r="CM135" s="199">
        <f t="shared" si="211"/>
        <v>85</v>
      </c>
      <c r="CN135" s="58">
        <f>CM135*0.015</f>
        <v>1.2749999999999999</v>
      </c>
      <c r="CO135" s="54">
        <v>1778664000</v>
      </c>
      <c r="CP135" s="186">
        <f t="shared" si="189"/>
        <v>7.4347594603137086</v>
      </c>
      <c r="CQ135" s="179">
        <f t="shared" si="212"/>
        <v>80</v>
      </c>
      <c r="CR135" s="30">
        <f>CQ135*0.03</f>
        <v>2.4</v>
      </c>
      <c r="CS135" s="200">
        <f>_xlfn.XLOOKUP(C135, '1-1. 관계사체무보증금액 (환율 등)'!$3:$3, '1-1. 관계사체무보증금액 (환율 등)'!$33:$33)</f>
        <v>807756000</v>
      </c>
      <c r="CT135" s="178">
        <f t="shared" si="190"/>
        <v>3.3763946212579556</v>
      </c>
      <c r="CU135" s="179">
        <f t="shared" si="213"/>
        <v>80</v>
      </c>
      <c r="CV135" s="30">
        <f>CU135*0.02</f>
        <v>1.6</v>
      </c>
      <c r="CW135" s="72">
        <f t="shared" si="218"/>
        <v>19.965146207383899</v>
      </c>
    </row>
    <row r="136" spans="1:101" x14ac:dyDescent="0.6">
      <c r="A136" s="214" t="s">
        <v>406</v>
      </c>
      <c r="B136" s="1" t="s">
        <v>2116</v>
      </c>
      <c r="C136" s="219" t="s">
        <v>24</v>
      </c>
      <c r="D136" s="221" t="s">
        <v>481</v>
      </c>
      <c r="E136" s="230" t="s">
        <v>704</v>
      </c>
      <c r="F136" s="230" t="s">
        <v>270</v>
      </c>
      <c r="G136" s="231">
        <v>40310</v>
      </c>
      <c r="H136" s="230" t="s">
        <v>830</v>
      </c>
      <c r="I136" s="230" t="s">
        <v>711</v>
      </c>
      <c r="J136" s="230" t="s">
        <v>1185</v>
      </c>
      <c r="K136" s="230" t="s">
        <v>91</v>
      </c>
      <c r="L136" s="232">
        <v>281498132000</v>
      </c>
      <c r="M136" s="233">
        <v>263811626000</v>
      </c>
      <c r="N136" s="233">
        <v>17686506000</v>
      </c>
      <c r="O136" s="233">
        <v>34485080000</v>
      </c>
      <c r="P136" s="233">
        <v>214616000</v>
      </c>
      <c r="Q136" s="233">
        <v>784965000</v>
      </c>
      <c r="R136" s="233">
        <v>616696000</v>
      </c>
      <c r="S136" s="207">
        <v>200000000</v>
      </c>
      <c r="T136" s="207">
        <v>20425221</v>
      </c>
      <c r="U136" s="207">
        <f>38688000+20879591</f>
        <v>59567591</v>
      </c>
      <c r="V136" s="207">
        <f>13839726+3459923</f>
        <v>17299649</v>
      </c>
      <c r="W136" s="207">
        <f>8000+2560+3165+550+1948+2604+500+1901+180+500+622+300+300+40+2691+1000+68+1500+500+559+1220+100+100+1292+600</f>
        <v>32800</v>
      </c>
      <c r="X136" s="207">
        <f>9360000+4360000</f>
        <v>13720000</v>
      </c>
      <c r="Y136" s="208" t="s">
        <v>2432</v>
      </c>
      <c r="Z136" s="207">
        <v>0</v>
      </c>
      <c r="AA136" s="207">
        <v>0</v>
      </c>
      <c r="AB136" s="176">
        <f t="shared" si="214"/>
        <v>90620040</v>
      </c>
      <c r="AC136" s="177">
        <f t="shared" si="191"/>
        <v>45.310020000000002</v>
      </c>
      <c r="AD136" s="177">
        <f t="shared" si="215"/>
        <v>60.980995397008058</v>
      </c>
      <c r="AE136" s="60">
        <f>AD136*0.04</f>
        <v>2.4392398158803226</v>
      </c>
      <c r="AF136" s="178">
        <f t="shared" si="192"/>
        <v>42.805142474935195</v>
      </c>
      <c r="AG136" s="178">
        <f t="shared" si="193"/>
        <v>50.463678977992785</v>
      </c>
      <c r="AH136" s="178">
        <f t="shared" si="216"/>
        <v>7.65853650305759</v>
      </c>
      <c r="AI136" s="179">
        <f t="shared" si="217"/>
        <v>100</v>
      </c>
      <c r="AJ136" s="61">
        <f>AI136*0.05</f>
        <v>5</v>
      </c>
      <c r="AK136" s="204">
        <v>7</v>
      </c>
      <c r="AL136" s="204">
        <v>56</v>
      </c>
      <c r="AM136" s="204">
        <v>0</v>
      </c>
      <c r="AN136" s="181">
        <f t="shared" si="178"/>
        <v>63</v>
      </c>
      <c r="AO136" s="182">
        <f t="shared" si="179"/>
        <v>0</v>
      </c>
      <c r="AP136" s="183">
        <f t="shared" si="194"/>
        <v>100</v>
      </c>
      <c r="AQ136" s="62">
        <f>AP136*0.03</f>
        <v>3</v>
      </c>
      <c r="AR136" s="212">
        <v>4</v>
      </c>
      <c r="AS136" s="292">
        <f t="shared" si="180"/>
        <v>0.5</v>
      </c>
      <c r="AT136" s="185">
        <f t="shared" si="181"/>
        <v>3.5</v>
      </c>
      <c r="AU136" s="185">
        <f t="shared" si="195"/>
        <v>3</v>
      </c>
      <c r="AV136" s="186">
        <f t="shared" si="182"/>
        <v>14.285714285714285</v>
      </c>
      <c r="AW136" s="179">
        <f t="shared" si="196"/>
        <v>60</v>
      </c>
      <c r="AX136" s="240">
        <f>AW136*0.02</f>
        <v>1.2</v>
      </c>
      <c r="AY136" s="54">
        <v>13</v>
      </c>
      <c r="AZ136" s="54">
        <f>13*4-3</f>
        <v>49</v>
      </c>
      <c r="BA136" s="189">
        <f t="shared" si="183"/>
        <v>52</v>
      </c>
      <c r="BB136" s="178">
        <f t="shared" si="197"/>
        <v>94.230769230769226</v>
      </c>
      <c r="BC136" s="179">
        <f t="shared" si="198"/>
        <v>100</v>
      </c>
      <c r="BD136" s="61">
        <f>BC136*0.02</f>
        <v>2</v>
      </c>
      <c r="BE136" s="190">
        <v>577327000</v>
      </c>
      <c r="BF136" s="190">
        <v>56198000</v>
      </c>
      <c r="BG136" s="301">
        <v>0</v>
      </c>
      <c r="BH136" s="191">
        <f t="shared" si="184"/>
        <v>633525000</v>
      </c>
      <c r="BI136" s="178">
        <f t="shared" si="185"/>
        <v>0</v>
      </c>
      <c r="BJ136" s="294" t="str">
        <f t="shared" si="199"/>
        <v>금융업</v>
      </c>
      <c r="BK136" s="192">
        <f t="shared" si="200"/>
        <v>2.7106886075318837</v>
      </c>
      <c r="BL136" s="193">
        <f t="shared" si="201"/>
        <v>-2.7106886075318837</v>
      </c>
      <c r="BM136" s="241">
        <f t="shared" si="202"/>
        <v>100</v>
      </c>
      <c r="BN136" s="47">
        <f t="shared" si="203"/>
        <v>2</v>
      </c>
      <c r="BO136" s="54">
        <v>0</v>
      </c>
      <c r="BP136" s="194">
        <f t="shared" si="186"/>
        <v>0</v>
      </c>
      <c r="BQ136" s="179">
        <f t="shared" si="204"/>
        <v>25</v>
      </c>
      <c r="BR136" s="61">
        <f>BQ136*0.01</f>
        <v>0.25</v>
      </c>
      <c r="BS136" s="195">
        <v>100819000</v>
      </c>
      <c r="BT136" s="195">
        <v>401271000</v>
      </c>
      <c r="BU136" s="196">
        <f t="shared" si="205"/>
        <v>-300452000</v>
      </c>
      <c r="BV136" s="178">
        <f t="shared" si="187"/>
        <v>-0.87125214730544331</v>
      </c>
      <c r="BW136" s="192">
        <f t="shared" si="206"/>
        <v>0.39407896396795111</v>
      </c>
      <c r="BX136" s="192">
        <f t="shared" si="207"/>
        <v>1.6010628211563633</v>
      </c>
      <c r="BY136" s="192">
        <f t="shared" si="208"/>
        <v>1.5698937849002934</v>
      </c>
      <c r="BZ136" s="192">
        <f t="shared" si="209"/>
        <v>78.987797322034183</v>
      </c>
      <c r="CA136" s="192">
        <f t="shared" si="188"/>
        <v>40</v>
      </c>
      <c r="CB136" s="55">
        <f t="shared" si="210"/>
        <v>0.8</v>
      </c>
      <c r="CC136" s="242" t="s">
        <v>1273</v>
      </c>
      <c r="CD136" s="243" t="s">
        <v>1273</v>
      </c>
      <c r="CE136" s="244"/>
      <c r="CF136" s="295" t="s">
        <v>2379</v>
      </c>
      <c r="CG136" s="295" t="s">
        <v>2379</v>
      </c>
      <c r="CH136" s="210">
        <v>0.02</v>
      </c>
      <c r="CI136" s="188">
        <f>IF((100-(75*(CH136-10)/40))&gt;100, 100, IF((100-(75*(CH136-10)/40))&lt;25, 25, (100-(75*(CH136-10)/40))))</f>
        <v>100</v>
      </c>
      <c r="CJ136" s="63">
        <f>CI136*0.04</f>
        <v>4</v>
      </c>
      <c r="CK136" s="173" t="s">
        <v>2498</v>
      </c>
      <c r="CL136" s="173" t="s">
        <v>2484</v>
      </c>
      <c r="CM136" s="199">
        <f t="shared" si="211"/>
        <v>100</v>
      </c>
      <c r="CN136" s="65">
        <f>CM136*0.03</f>
        <v>3</v>
      </c>
      <c r="CO136" s="54">
        <v>4481015000</v>
      </c>
      <c r="CP136" s="186">
        <f t="shared" si="189"/>
        <v>25.335784241387195</v>
      </c>
      <c r="CQ136" s="179">
        <f t="shared" si="212"/>
        <v>60</v>
      </c>
      <c r="CR136" s="61">
        <f>CQ136*0.04</f>
        <v>2.4</v>
      </c>
      <c r="CS136" s="200">
        <f>_xlfn.XLOOKUP(C136, '1-1. 관계사체무보증금액 (환율 등)'!$3:$3, '1-1. 관계사체무보증금액 (환율 등)'!$33:$33)</f>
        <v>0</v>
      </c>
      <c r="CT136" s="178">
        <f t="shared" si="190"/>
        <v>0</v>
      </c>
      <c r="CU136" s="179">
        <f t="shared" si="213"/>
        <v>100</v>
      </c>
      <c r="CV136" s="70">
        <f>CU136*0.03</f>
        <v>3</v>
      </c>
      <c r="CW136" s="72">
        <f t="shared" si="218"/>
        <v>29.089239815880319</v>
      </c>
    </row>
    <row r="137" spans="1:101" x14ac:dyDescent="0.6">
      <c r="A137" s="214" t="s">
        <v>372</v>
      </c>
      <c r="B137" s="13" t="s">
        <v>2117</v>
      </c>
      <c r="C137" s="219" t="s">
        <v>470</v>
      </c>
      <c r="D137" s="216" t="s">
        <v>285</v>
      </c>
      <c r="E137" s="217" t="s">
        <v>1034</v>
      </c>
      <c r="F137" s="217" t="s">
        <v>380</v>
      </c>
      <c r="G137" s="218">
        <v>41957</v>
      </c>
      <c r="H137" s="217" t="s">
        <v>830</v>
      </c>
      <c r="I137" s="217" t="s">
        <v>832</v>
      </c>
      <c r="J137" s="217" t="s">
        <v>1178</v>
      </c>
      <c r="K137" s="217" t="s">
        <v>91</v>
      </c>
      <c r="L137" s="220">
        <v>7628899434</v>
      </c>
      <c r="M137" s="206">
        <v>1614217740</v>
      </c>
      <c r="N137" s="206">
        <v>6014681694</v>
      </c>
      <c r="O137" s="206">
        <v>5174554118</v>
      </c>
      <c r="P137" s="206">
        <v>296153499</v>
      </c>
      <c r="Q137" s="206">
        <v>482313799</v>
      </c>
      <c r="R137" s="206">
        <v>530145587</v>
      </c>
      <c r="S137" s="207">
        <v>77377800</v>
      </c>
      <c r="T137" s="207">
        <v>27614</v>
      </c>
      <c r="U137" s="207">
        <f>17472110+7118713</f>
        <v>24590823</v>
      </c>
      <c r="V137" s="207">
        <f>3233+1511584*2</f>
        <v>3026401</v>
      </c>
      <c r="W137" s="207">
        <f>1000*3+500+2410+1393+663+400+1080+104+2418+2320+56+120+165+170+180+1144+63+709+10+312+179+100+8+399+21+940+1712+30+20+82+19+103+3000+83+840+104+21</f>
        <v>24878</v>
      </c>
      <c r="X137" s="207">
        <v>0</v>
      </c>
      <c r="Z137" s="207">
        <f>13215822+25113</f>
        <v>13240935</v>
      </c>
      <c r="AA137" s="207">
        <v>0</v>
      </c>
      <c r="AB137" s="176">
        <f t="shared" si="214"/>
        <v>40883037</v>
      </c>
      <c r="AC137" s="177">
        <f t="shared" si="191"/>
        <v>52.835615641695675</v>
      </c>
      <c r="AD137" s="177">
        <f t="shared" si="215"/>
        <v>54.48594737483112</v>
      </c>
      <c r="AE137" s="26">
        <f>AD137*0.03</f>
        <v>1.6345784212449335</v>
      </c>
      <c r="AF137" s="178">
        <f t="shared" si="192"/>
        <v>35.704146852342411</v>
      </c>
      <c r="AG137" s="178">
        <f t="shared" si="193"/>
        <v>52.854477945276045</v>
      </c>
      <c r="AH137" s="178">
        <f t="shared" si="216"/>
        <v>17.150331092933634</v>
      </c>
      <c r="AI137" s="179">
        <f t="shared" si="217"/>
        <v>80</v>
      </c>
      <c r="AJ137" s="30">
        <f>AI137*0.04</f>
        <v>3.2</v>
      </c>
      <c r="AK137" s="204">
        <v>7</v>
      </c>
      <c r="AL137" s="204">
        <v>83</v>
      </c>
      <c r="AM137" s="204">
        <v>0</v>
      </c>
      <c r="AN137" s="181">
        <f t="shared" si="178"/>
        <v>90</v>
      </c>
      <c r="AO137" s="182">
        <f t="shared" si="179"/>
        <v>0</v>
      </c>
      <c r="AP137" s="183">
        <f t="shared" si="194"/>
        <v>100</v>
      </c>
      <c r="AQ137" s="38">
        <f>AP137*0.02</f>
        <v>2</v>
      </c>
      <c r="AR137" s="212">
        <v>4</v>
      </c>
      <c r="AS137" s="292">
        <f t="shared" si="180"/>
        <v>0.5</v>
      </c>
      <c r="AT137" s="185">
        <f t="shared" si="181"/>
        <v>3.5</v>
      </c>
      <c r="AU137" s="185">
        <f t="shared" si="195"/>
        <v>3</v>
      </c>
      <c r="AV137" s="186">
        <f t="shared" si="182"/>
        <v>14.285714285714285</v>
      </c>
      <c r="AW137" s="179">
        <f t="shared" si="196"/>
        <v>60</v>
      </c>
      <c r="AX137" s="239">
        <f>AW137*0.01</f>
        <v>0.6</v>
      </c>
      <c r="AY137" s="54">
        <v>8</v>
      </c>
      <c r="AZ137" s="54">
        <v>31</v>
      </c>
      <c r="BA137" s="189">
        <f t="shared" si="183"/>
        <v>32</v>
      </c>
      <c r="BB137" s="178">
        <f t="shared" si="197"/>
        <v>96.875</v>
      </c>
      <c r="BC137" s="179">
        <f t="shared" si="198"/>
        <v>100</v>
      </c>
      <c r="BD137" s="30">
        <f>BC137*0.01</f>
        <v>1</v>
      </c>
      <c r="BE137" s="190">
        <v>296046458</v>
      </c>
      <c r="BF137" s="190">
        <v>27943128</v>
      </c>
      <c r="BG137" s="54">
        <v>2510026</v>
      </c>
      <c r="BH137" s="191">
        <f t="shared" si="184"/>
        <v>323989586</v>
      </c>
      <c r="BI137" s="178">
        <f t="shared" si="185"/>
        <v>0.77472428388485304</v>
      </c>
      <c r="BJ137" s="294" t="str">
        <f t="shared" si="199"/>
        <v>비제조/서비스업</v>
      </c>
      <c r="BK137" s="192">
        <f t="shared" si="200"/>
        <v>1.7464434573900924</v>
      </c>
      <c r="BL137" s="193">
        <f t="shared" si="201"/>
        <v>-0.9717191735052394</v>
      </c>
      <c r="BM137" s="241">
        <f t="shared" si="202"/>
        <v>80</v>
      </c>
      <c r="BN137" s="47">
        <f t="shared" si="203"/>
        <v>1.6</v>
      </c>
      <c r="BO137" s="54">
        <v>198504800</v>
      </c>
      <c r="BP137" s="194">
        <f t="shared" si="186"/>
        <v>3.8361720734447249</v>
      </c>
      <c r="BQ137" s="179">
        <f t="shared" si="204"/>
        <v>85</v>
      </c>
      <c r="BR137" s="30">
        <f>BQ137*0.02</f>
        <v>1.7</v>
      </c>
      <c r="BS137" s="195">
        <v>540844756.278</v>
      </c>
      <c r="BT137" s="195">
        <v>1686597.75</v>
      </c>
      <c r="BU137" s="196">
        <f t="shared" si="205"/>
        <v>539158158.528</v>
      </c>
      <c r="BV137" s="178">
        <f t="shared" si="187"/>
        <v>10.419412885305531</v>
      </c>
      <c r="BW137" s="192">
        <f t="shared" si="206"/>
        <v>2.8482825397737606</v>
      </c>
      <c r="BX137" s="192">
        <f t="shared" si="207"/>
        <v>57.322014709032025</v>
      </c>
      <c r="BY137" s="192">
        <f t="shared" si="208"/>
        <v>5.5697595856656799</v>
      </c>
      <c r="BZ137" s="192">
        <f t="shared" si="209"/>
        <v>8.702133226979603</v>
      </c>
      <c r="CA137" s="192">
        <f t="shared" si="188"/>
        <v>85</v>
      </c>
      <c r="CB137" s="55">
        <f t="shared" si="210"/>
        <v>1.7</v>
      </c>
      <c r="CC137" s="197">
        <f>(M137/N137)*100</f>
        <v>26.837957885789326</v>
      </c>
      <c r="CD137" s="198">
        <f>IF((100-(75*(CC137-1)/(200-1)))&gt;100, 100, IF((100-(75*(CC137-1)/(200-1)))&lt;25, 25, (100-(75*(CC137-1)/(200-1)))))</f>
        <v>90.262076173697494</v>
      </c>
      <c r="CE137" s="58">
        <f>CD137*0.015</f>
        <v>1.3539311426054623</v>
      </c>
      <c r="CF137" s="245" t="s">
        <v>2326</v>
      </c>
      <c r="CG137" s="245" t="s">
        <v>2326</v>
      </c>
      <c r="CH137" s="245" t="s">
        <v>2326</v>
      </c>
      <c r="CI137" s="245" t="s">
        <v>2326</v>
      </c>
      <c r="CJ137" s="235"/>
      <c r="CK137" s="173" t="s">
        <v>2489</v>
      </c>
      <c r="CL137" s="173" t="s">
        <v>2484</v>
      </c>
      <c r="CM137" s="199">
        <f t="shared" si="211"/>
        <v>100</v>
      </c>
      <c r="CN137" s="58">
        <f>CM137*0.015</f>
        <v>1.5</v>
      </c>
      <c r="CO137" s="54">
        <v>416490000</v>
      </c>
      <c r="CP137" s="186">
        <f t="shared" si="189"/>
        <v>6.9245559647067161</v>
      </c>
      <c r="CQ137" s="179">
        <f t="shared" si="212"/>
        <v>80</v>
      </c>
      <c r="CR137" s="30">
        <f>CQ137*0.03</f>
        <v>2.4</v>
      </c>
      <c r="CS137" s="200">
        <f>_xlfn.XLOOKUP(C137, '1-1. 관계사체무보증금액 (환율 등)'!$3:$3, '1-1. 관계사체무보증금액 (환율 등)'!$33:$33)</f>
        <v>8950000</v>
      </c>
      <c r="CT137" s="178">
        <f t="shared" si="190"/>
        <v>0.14880255440496798</v>
      </c>
      <c r="CU137" s="179">
        <f t="shared" si="213"/>
        <v>100</v>
      </c>
      <c r="CV137" s="30">
        <f>CU137*0.02</f>
        <v>2</v>
      </c>
      <c r="CW137" s="72">
        <f t="shared" si="218"/>
        <v>20.688509563850392</v>
      </c>
    </row>
    <row r="138" spans="1:101" x14ac:dyDescent="0.6">
      <c r="A138" s="214" t="s">
        <v>1681</v>
      </c>
      <c r="B138" s="13" t="s">
        <v>2118</v>
      </c>
      <c r="C138" s="219" t="s">
        <v>884</v>
      </c>
      <c r="D138" s="14" t="s">
        <v>202</v>
      </c>
      <c r="E138" s="217" t="s">
        <v>1167</v>
      </c>
      <c r="F138" s="217" t="s">
        <v>658</v>
      </c>
      <c r="G138" s="218">
        <v>35423</v>
      </c>
      <c r="H138" s="217" t="s">
        <v>830</v>
      </c>
      <c r="I138" s="217" t="s">
        <v>1682</v>
      </c>
      <c r="J138" s="217" t="s">
        <v>384</v>
      </c>
      <c r="K138" s="217" t="s">
        <v>91</v>
      </c>
      <c r="L138" s="220">
        <v>5165940385</v>
      </c>
      <c r="M138" s="206">
        <v>3460358420</v>
      </c>
      <c r="N138" s="206">
        <v>1705581965</v>
      </c>
      <c r="O138" s="206">
        <v>6673315540</v>
      </c>
      <c r="P138" s="206">
        <v>504880672</v>
      </c>
      <c r="Q138" s="206">
        <v>403831051</v>
      </c>
      <c r="R138" s="206">
        <v>307787439</v>
      </c>
      <c r="S138" s="207">
        <v>196000000</v>
      </c>
      <c r="T138" s="207">
        <v>0</v>
      </c>
      <c r="U138" s="207">
        <f>22918426+3024038</f>
        <v>25942464</v>
      </c>
      <c r="V138" s="207">
        <v>0</v>
      </c>
      <c r="W138" s="207">
        <f>124748+5000+21162+20203+6165+19412+14533+13179+10882+10000+14959+15076+11581+2400+5050+15500+12000+4190+493+12488+442+4500+6706+4630+2007+1200+1600+10899+1300+8904+9500+15192+5215+2483</f>
        <v>413599</v>
      </c>
      <c r="X138" s="207">
        <v>0</v>
      </c>
      <c r="Z138" s="207">
        <f>262852+435000+13668989</f>
        <v>14366841</v>
      </c>
      <c r="AA138" s="207">
        <v>0</v>
      </c>
      <c r="AB138" s="176">
        <f t="shared" si="214"/>
        <v>40722904</v>
      </c>
      <c r="AC138" s="177">
        <f t="shared" si="191"/>
        <v>20.776991836734695</v>
      </c>
      <c r="AD138" s="177">
        <f t="shared" si="215"/>
        <v>82.154494962541975</v>
      </c>
      <c r="AE138" s="26">
        <f>AD138*0.03</f>
        <v>2.4646348488762593</v>
      </c>
      <c r="AF138" s="178">
        <f t="shared" si="192"/>
        <v>13.235951020408162</v>
      </c>
      <c r="AG138" s="178">
        <f t="shared" si="193"/>
        <v>20.776991836734695</v>
      </c>
      <c r="AH138" s="178">
        <f t="shared" si="216"/>
        <v>7.5410408163265323</v>
      </c>
      <c r="AI138" s="179">
        <f t="shared" si="217"/>
        <v>100</v>
      </c>
      <c r="AJ138" s="30">
        <f>AI138*0.04</f>
        <v>4</v>
      </c>
      <c r="AK138" s="204">
        <v>6</v>
      </c>
      <c r="AL138" s="204">
        <v>57</v>
      </c>
      <c r="AM138" s="204">
        <v>0</v>
      </c>
      <c r="AN138" s="181">
        <f t="shared" si="178"/>
        <v>63</v>
      </c>
      <c r="AO138" s="182">
        <f t="shared" si="179"/>
        <v>0</v>
      </c>
      <c r="AP138" s="183">
        <f t="shared" si="194"/>
        <v>100</v>
      </c>
      <c r="AQ138" s="38">
        <f>AP138*0.02</f>
        <v>2</v>
      </c>
      <c r="AR138" s="212">
        <v>4</v>
      </c>
      <c r="AS138" s="292">
        <f t="shared" si="180"/>
        <v>0.5</v>
      </c>
      <c r="AT138" s="185">
        <f t="shared" si="181"/>
        <v>3</v>
      </c>
      <c r="AU138" s="185">
        <f t="shared" si="195"/>
        <v>3</v>
      </c>
      <c r="AV138" s="186">
        <f t="shared" si="182"/>
        <v>16.666666666666664</v>
      </c>
      <c r="AW138" s="179">
        <f t="shared" si="196"/>
        <v>60</v>
      </c>
      <c r="AX138" s="239">
        <f>AW138*0.01</f>
        <v>0.6</v>
      </c>
      <c r="AY138" s="54">
        <v>10</v>
      </c>
      <c r="AZ138" s="54">
        <v>40</v>
      </c>
      <c r="BA138" s="189">
        <f t="shared" si="183"/>
        <v>40</v>
      </c>
      <c r="BB138" s="178">
        <f t="shared" si="197"/>
        <v>100</v>
      </c>
      <c r="BC138" s="179">
        <f t="shared" si="198"/>
        <v>100</v>
      </c>
      <c r="BD138" s="30">
        <f>BC138*0.01</f>
        <v>1</v>
      </c>
      <c r="BE138" s="190">
        <v>181720241</v>
      </c>
      <c r="BF138" s="190">
        <v>16112395</v>
      </c>
      <c r="BG138" s="301">
        <v>0</v>
      </c>
      <c r="BH138" s="191">
        <f t="shared" si="184"/>
        <v>197832636</v>
      </c>
      <c r="BI138" s="178">
        <f t="shared" si="185"/>
        <v>0</v>
      </c>
      <c r="BJ138" s="294" t="str">
        <f t="shared" si="199"/>
        <v>전기전자/기계업</v>
      </c>
      <c r="BK138" s="192">
        <f t="shared" si="200"/>
        <v>2.4096449716116455</v>
      </c>
      <c r="BL138" s="193">
        <f t="shared" si="201"/>
        <v>-2.4096449716116455</v>
      </c>
      <c r="BM138" s="241">
        <f t="shared" si="202"/>
        <v>100</v>
      </c>
      <c r="BN138" s="47">
        <f t="shared" si="203"/>
        <v>2</v>
      </c>
      <c r="BO138" s="54">
        <v>60698000</v>
      </c>
      <c r="BP138" s="194">
        <f t="shared" si="186"/>
        <v>0.90956286475852755</v>
      </c>
      <c r="BQ138" s="179">
        <f t="shared" si="204"/>
        <v>70</v>
      </c>
      <c r="BR138" s="30">
        <f>BQ138*0.02</f>
        <v>1.4000000000000001</v>
      </c>
      <c r="BS138" s="195">
        <v>12064031.606000001</v>
      </c>
      <c r="BT138" s="195">
        <v>1235415.7890000001</v>
      </c>
      <c r="BU138" s="196">
        <f t="shared" si="205"/>
        <v>10828615.817</v>
      </c>
      <c r="BV138" s="178">
        <f t="shared" si="187"/>
        <v>0.16226740294375469</v>
      </c>
      <c r="BW138" s="192">
        <f t="shared" si="206"/>
        <v>5.2309968128308268</v>
      </c>
      <c r="BX138" s="192">
        <f t="shared" si="207"/>
        <v>25.692017830654144</v>
      </c>
      <c r="BY138" s="192">
        <f t="shared" si="208"/>
        <v>7.0695458012309622</v>
      </c>
      <c r="BZ138" s="192">
        <f t="shared" si="209"/>
        <v>76.330706329155447</v>
      </c>
      <c r="CA138" s="192">
        <f t="shared" si="188"/>
        <v>40</v>
      </c>
      <c r="CB138" s="55">
        <f t="shared" si="210"/>
        <v>0.8</v>
      </c>
      <c r="CC138" s="197">
        <f>(M138/N138)*100</f>
        <v>202.88432282994972</v>
      </c>
      <c r="CD138" s="198">
        <f>IF((100-(75*(CC138-1)/(200-1)))&gt;100, 100, IF((100-(75*(CC138-1)/(200-1)))&lt;25, 25, (100-(75*(CC138-1)/(200-1)))))</f>
        <v>25</v>
      </c>
      <c r="CE138" s="58">
        <f>CD138*0.015</f>
        <v>0.375</v>
      </c>
      <c r="CF138" s="245" t="s">
        <v>2326</v>
      </c>
      <c r="CG138" s="245" t="s">
        <v>2326</v>
      </c>
      <c r="CH138" s="245" t="s">
        <v>2326</v>
      </c>
      <c r="CI138" s="245" t="s">
        <v>2326</v>
      </c>
      <c r="CJ138" s="235"/>
      <c r="CK138" s="173" t="s">
        <v>2497</v>
      </c>
      <c r="CL138" s="173" t="s">
        <v>2482</v>
      </c>
      <c r="CM138" s="199">
        <f t="shared" si="211"/>
        <v>55</v>
      </c>
      <c r="CN138" s="58">
        <f>CM138*0.015</f>
        <v>0.82499999999999996</v>
      </c>
      <c r="CO138" s="54">
        <v>53370000</v>
      </c>
      <c r="CP138" s="186">
        <f t="shared" si="189"/>
        <v>3.129137215050231</v>
      </c>
      <c r="CQ138" s="179">
        <f t="shared" si="212"/>
        <v>80</v>
      </c>
      <c r="CR138" s="30">
        <f>CQ138*0.03</f>
        <v>2.4</v>
      </c>
      <c r="CS138" s="200">
        <f>_xlfn.XLOOKUP(C138, '1-1. 관계사체무보증금액 (환율 등)'!$3:$3, '1-1. 관계사체무보증금액 (환율 등)'!$33:$33)</f>
        <v>2927116000</v>
      </c>
      <c r="CT138" s="178">
        <f t="shared" si="190"/>
        <v>171.61977905881528</v>
      </c>
      <c r="CU138" s="179">
        <f t="shared" si="213"/>
        <v>20</v>
      </c>
      <c r="CV138" s="30">
        <f>CU138*0.02</f>
        <v>0.4</v>
      </c>
      <c r="CW138" s="72">
        <f t="shared" si="218"/>
        <v>18.264634848876256</v>
      </c>
    </row>
    <row r="139" spans="1:101" x14ac:dyDescent="0.6">
      <c r="A139" s="214" t="s">
        <v>1683</v>
      </c>
      <c r="B139" s="13" t="s">
        <v>2119</v>
      </c>
      <c r="C139" s="219" t="s">
        <v>1684</v>
      </c>
      <c r="D139" s="14" t="s">
        <v>202</v>
      </c>
      <c r="E139" s="217" t="s">
        <v>205</v>
      </c>
      <c r="F139" s="217" t="s">
        <v>1685</v>
      </c>
      <c r="G139" s="218">
        <v>28913</v>
      </c>
      <c r="H139" s="217" t="s">
        <v>830</v>
      </c>
      <c r="I139" s="217" t="s">
        <v>1686</v>
      </c>
      <c r="J139" s="217" t="s">
        <v>1687</v>
      </c>
      <c r="K139" s="217" t="s">
        <v>690</v>
      </c>
      <c r="L139" s="220">
        <v>7910256817</v>
      </c>
      <c r="M139" s="206">
        <v>2124391740</v>
      </c>
      <c r="N139" s="206">
        <v>5785865077</v>
      </c>
      <c r="O139" s="206">
        <v>7244994321</v>
      </c>
      <c r="P139" s="206">
        <v>799695030</v>
      </c>
      <c r="Q139" s="206">
        <v>929802982</v>
      </c>
      <c r="R139" s="206">
        <v>701357778</v>
      </c>
      <c r="S139" s="207">
        <v>74693696</v>
      </c>
      <c r="T139" s="207">
        <v>2000000</v>
      </c>
      <c r="U139" s="207">
        <v>17693084</v>
      </c>
      <c r="V139" s="207">
        <v>0</v>
      </c>
      <c r="W139" s="207">
        <f>2000+1000*2+50+500+72+490+1568+80+99+50+720+1+100*2+151+889+121+500+100</f>
        <v>9591</v>
      </c>
      <c r="X139" s="207">
        <v>0</v>
      </c>
      <c r="Z139" s="207">
        <f>114838</f>
        <v>114838</v>
      </c>
      <c r="AA139" s="207">
        <v>0</v>
      </c>
      <c r="AB139" s="176">
        <f t="shared" si="214"/>
        <v>17817513</v>
      </c>
      <c r="AC139" s="177">
        <f t="shared" si="191"/>
        <v>23.854105438831144</v>
      </c>
      <c r="AD139" s="177">
        <f t="shared" si="215"/>
        <v>79.498758251871863</v>
      </c>
      <c r="AE139" s="26">
        <f>AD139*0.03</f>
        <v>2.3849627475561559</v>
      </c>
      <c r="AF139" s="178">
        <f t="shared" si="192"/>
        <v>24.33922743452197</v>
      </c>
      <c r="AG139" s="178">
        <f t="shared" si="193"/>
        <v>24.510396334779841</v>
      </c>
      <c r="AH139" s="178">
        <f t="shared" si="216"/>
        <v>0.17116890025787157</v>
      </c>
      <c r="AI139" s="179">
        <f t="shared" si="217"/>
        <v>100</v>
      </c>
      <c r="AJ139" s="30">
        <f>AI139*0.04</f>
        <v>4</v>
      </c>
      <c r="AK139" s="204">
        <v>7</v>
      </c>
      <c r="AL139" s="204">
        <v>61</v>
      </c>
      <c r="AM139" s="204">
        <v>0</v>
      </c>
      <c r="AN139" s="181">
        <f t="shared" si="178"/>
        <v>68</v>
      </c>
      <c r="AO139" s="182">
        <f t="shared" si="179"/>
        <v>0</v>
      </c>
      <c r="AP139" s="183">
        <f t="shared" si="194"/>
        <v>100</v>
      </c>
      <c r="AQ139" s="38">
        <f>AP139*0.02</f>
        <v>2</v>
      </c>
      <c r="AR139" s="212">
        <v>4</v>
      </c>
      <c r="AS139" s="292">
        <f t="shared" si="180"/>
        <v>0.5</v>
      </c>
      <c r="AT139" s="185">
        <f t="shared" si="181"/>
        <v>3.5</v>
      </c>
      <c r="AU139" s="185">
        <f t="shared" si="195"/>
        <v>3</v>
      </c>
      <c r="AV139" s="186">
        <f t="shared" si="182"/>
        <v>14.285714285714285</v>
      </c>
      <c r="AW139" s="179">
        <f t="shared" si="196"/>
        <v>60</v>
      </c>
      <c r="AX139" s="239">
        <f>AW139*0.01</f>
        <v>0.6</v>
      </c>
      <c r="AY139" s="54">
        <v>9</v>
      </c>
      <c r="AZ139" s="54">
        <v>36</v>
      </c>
      <c r="BA139" s="189">
        <f t="shared" si="183"/>
        <v>36</v>
      </c>
      <c r="BB139" s="178">
        <f t="shared" si="197"/>
        <v>100</v>
      </c>
      <c r="BC139" s="179">
        <f t="shared" si="198"/>
        <v>100</v>
      </c>
      <c r="BD139" s="30">
        <f>BC139*0.01</f>
        <v>1</v>
      </c>
      <c r="BE139" s="190">
        <v>1226065136</v>
      </c>
      <c r="BF139" s="190">
        <v>81109493</v>
      </c>
      <c r="BG139" s="301">
        <v>0</v>
      </c>
      <c r="BH139" s="191">
        <f t="shared" si="184"/>
        <v>1307174629</v>
      </c>
      <c r="BI139" s="178">
        <f t="shared" si="185"/>
        <v>0</v>
      </c>
      <c r="BJ139" s="294" t="str">
        <f t="shared" si="199"/>
        <v>전기전자/기계업</v>
      </c>
      <c r="BK139" s="192">
        <f t="shared" si="200"/>
        <v>2.4096449716116455</v>
      </c>
      <c r="BL139" s="193">
        <f t="shared" si="201"/>
        <v>-2.4096449716116455</v>
      </c>
      <c r="BM139" s="241">
        <f t="shared" si="202"/>
        <v>100</v>
      </c>
      <c r="BN139" s="47">
        <f t="shared" si="203"/>
        <v>2</v>
      </c>
      <c r="BO139" s="54">
        <v>577140000</v>
      </c>
      <c r="BP139" s="194">
        <f t="shared" si="186"/>
        <v>7.9660517928513643</v>
      </c>
      <c r="BQ139" s="179">
        <f t="shared" si="204"/>
        <v>100</v>
      </c>
      <c r="BR139" s="30">
        <f>BQ139*0.02</f>
        <v>2</v>
      </c>
      <c r="BS139" s="195">
        <v>426489059.32599998</v>
      </c>
      <c r="BT139" s="195">
        <v>49734632.626000002</v>
      </c>
      <c r="BU139" s="196">
        <f t="shared" si="205"/>
        <v>376754426.69999999</v>
      </c>
      <c r="BV139" s="178">
        <f t="shared" si="187"/>
        <v>5.2002032024781206</v>
      </c>
      <c r="BW139" s="192">
        <f t="shared" si="206"/>
        <v>5.2309968128308268</v>
      </c>
      <c r="BX139" s="192">
        <f t="shared" si="207"/>
        <v>9.4824643855429599E-4</v>
      </c>
      <c r="BY139" s="192">
        <f t="shared" si="208"/>
        <v>7.0695458012309622</v>
      </c>
      <c r="BZ139" s="192">
        <f t="shared" si="209"/>
        <v>50.173771195977835</v>
      </c>
      <c r="CA139" s="192">
        <f t="shared" si="188"/>
        <v>55</v>
      </c>
      <c r="CB139" s="55">
        <f t="shared" si="210"/>
        <v>1.1000000000000001</v>
      </c>
      <c r="CC139" s="197">
        <f>(M139/N139)*100</f>
        <v>36.71692498404245</v>
      </c>
      <c r="CD139" s="198">
        <f>IF((100-(75*(CC139-1)/(200-1)))&gt;100, 100, IF((100-(75*(CC139-1)/(200-1)))&lt;25, 25, (100-(75*(CC139-1)/(200-1)))))</f>
        <v>86.538847367823195</v>
      </c>
      <c r="CE139" s="58">
        <f>CD139*0.015</f>
        <v>1.2980827105173478</v>
      </c>
      <c r="CF139" s="245" t="s">
        <v>2326</v>
      </c>
      <c r="CG139" s="245" t="s">
        <v>2326</v>
      </c>
      <c r="CH139" s="245" t="s">
        <v>2326</v>
      </c>
      <c r="CI139" s="245" t="s">
        <v>2326</v>
      </c>
      <c r="CJ139" s="235"/>
      <c r="CK139" s="173" t="s">
        <v>2491</v>
      </c>
      <c r="CL139" s="173" t="s">
        <v>2478</v>
      </c>
      <c r="CM139" s="199">
        <f t="shared" si="211"/>
        <v>25</v>
      </c>
      <c r="CN139" s="58">
        <f>CM139*0.015</f>
        <v>0.375</v>
      </c>
      <c r="CO139" s="54">
        <v>723844000</v>
      </c>
      <c r="CP139" s="186">
        <f t="shared" si="189"/>
        <v>12.510557891808233</v>
      </c>
      <c r="CQ139" s="179">
        <f t="shared" si="212"/>
        <v>60</v>
      </c>
      <c r="CR139" s="30">
        <f>CQ139*0.03</f>
        <v>1.7999999999999998</v>
      </c>
      <c r="CS139" s="200">
        <f>_xlfn.XLOOKUP(C139, '1-1. 관계사체무보증금액 (환율 등)'!$3:$3, '1-1. 관계사체무보증금액 (환율 등)'!$33:$33)</f>
        <v>0</v>
      </c>
      <c r="CT139" s="178">
        <f t="shared" si="190"/>
        <v>0</v>
      </c>
      <c r="CU139" s="179">
        <f t="shared" si="213"/>
        <v>100</v>
      </c>
      <c r="CV139" s="30">
        <f>CU139*0.02</f>
        <v>2</v>
      </c>
      <c r="CW139" s="72">
        <f t="shared" si="218"/>
        <v>20.558045458073504</v>
      </c>
    </row>
    <row r="140" spans="1:101" x14ac:dyDescent="0.6">
      <c r="A140" s="214" t="s">
        <v>1688</v>
      </c>
      <c r="B140" s="13" t="s">
        <v>2120</v>
      </c>
      <c r="C140" s="219" t="s">
        <v>1689</v>
      </c>
      <c r="D140" s="14" t="s">
        <v>202</v>
      </c>
      <c r="E140" s="217" t="s">
        <v>623</v>
      </c>
      <c r="F140" s="217" t="s">
        <v>1690</v>
      </c>
      <c r="G140" s="218">
        <v>27556</v>
      </c>
      <c r="H140" s="217" t="s">
        <v>830</v>
      </c>
      <c r="I140" s="217" t="s">
        <v>1691</v>
      </c>
      <c r="J140" s="217" t="s">
        <v>1692</v>
      </c>
      <c r="K140" s="217" t="s">
        <v>690</v>
      </c>
      <c r="L140" s="220">
        <v>260083750000</v>
      </c>
      <c r="M140" s="206">
        <v>50667559000</v>
      </c>
      <c r="N140" s="206">
        <v>209416191000</v>
      </c>
      <c r="O140" s="206">
        <v>211867483000</v>
      </c>
      <c r="P140" s="206">
        <v>25319329000</v>
      </c>
      <c r="Q140" s="206">
        <v>29691920000</v>
      </c>
      <c r="R140" s="206">
        <v>25418778000</v>
      </c>
      <c r="S140" s="207">
        <v>5969782550</v>
      </c>
      <c r="T140" s="207">
        <v>0</v>
      </c>
      <c r="U140" s="207">
        <f>508157148+10246942+97414196</f>
        <v>615818286</v>
      </c>
      <c r="V140" s="207">
        <f>117302806+55394044+55394044</f>
        <v>228090894</v>
      </c>
      <c r="W140" s="207">
        <f>15000+18050+13000+22500+15000+3655+(98147153-98147153)</f>
        <v>87205</v>
      </c>
      <c r="X140" s="207">
        <f>4484150+1880750</f>
        <v>6364900</v>
      </c>
      <c r="Y140" s="208" t="s">
        <v>2431</v>
      </c>
      <c r="Z140" s="207">
        <f>298818100+88802052</f>
        <v>387620152</v>
      </c>
      <c r="AA140" s="207">
        <v>0</v>
      </c>
      <c r="AB140" s="176">
        <f t="shared" si="214"/>
        <v>1237981437</v>
      </c>
      <c r="AC140" s="177">
        <f t="shared" si="191"/>
        <v>20.737462824336877</v>
      </c>
      <c r="AD140" s="177">
        <f t="shared" si="215"/>
        <v>82.188610911101662</v>
      </c>
      <c r="AE140" s="26">
        <f>AD140*0.03</f>
        <v>2.4656583273330499</v>
      </c>
      <c r="AF140" s="178">
        <f t="shared" si="192"/>
        <v>14.136347060078428</v>
      </c>
      <c r="AG140" s="178">
        <f t="shared" si="193"/>
        <v>20.737462824336877</v>
      </c>
      <c r="AH140" s="178">
        <f t="shared" si="216"/>
        <v>6.6011157642584486</v>
      </c>
      <c r="AI140" s="179">
        <f t="shared" si="217"/>
        <v>100</v>
      </c>
      <c r="AJ140" s="30">
        <f>AI140*0.04</f>
        <v>4</v>
      </c>
      <c r="AK140" s="204">
        <v>11</v>
      </c>
      <c r="AL140" s="204">
        <v>918</v>
      </c>
      <c r="AM140" s="204">
        <v>1</v>
      </c>
      <c r="AN140" s="181">
        <f t="shared" si="178"/>
        <v>929</v>
      </c>
      <c r="AO140" s="182">
        <f t="shared" si="179"/>
        <v>0.1076426264800861</v>
      </c>
      <c r="AP140" s="183">
        <f t="shared" si="194"/>
        <v>100</v>
      </c>
      <c r="AQ140" s="38">
        <f>AP140*0.02</f>
        <v>2</v>
      </c>
      <c r="AR140" s="212">
        <v>6</v>
      </c>
      <c r="AS140" s="292">
        <f t="shared" si="180"/>
        <v>0.5</v>
      </c>
      <c r="AT140" s="185">
        <f t="shared" si="181"/>
        <v>5.5</v>
      </c>
      <c r="AU140" s="185">
        <f t="shared" si="195"/>
        <v>5</v>
      </c>
      <c r="AV140" s="186">
        <f t="shared" si="182"/>
        <v>9.0909090909090917</v>
      </c>
      <c r="AW140" s="179">
        <f t="shared" si="196"/>
        <v>60</v>
      </c>
      <c r="AX140" s="239">
        <f>AW140*0.01</f>
        <v>0.6</v>
      </c>
      <c r="AY140" s="54">
        <v>10</v>
      </c>
      <c r="AZ140" s="54">
        <f>60-7</f>
        <v>53</v>
      </c>
      <c r="BA140" s="189">
        <f t="shared" si="183"/>
        <v>60</v>
      </c>
      <c r="BB140" s="178">
        <f t="shared" si="197"/>
        <v>88.333333333333329</v>
      </c>
      <c r="BC140" s="179">
        <f t="shared" si="198"/>
        <v>75</v>
      </c>
      <c r="BD140" s="30">
        <f>BC140*0.01</f>
        <v>0.75</v>
      </c>
      <c r="BE140" s="190">
        <v>2308767000</v>
      </c>
      <c r="BF140" s="190">
        <v>171358000</v>
      </c>
      <c r="BG140" s="301">
        <v>0</v>
      </c>
      <c r="BH140" s="191">
        <f t="shared" si="184"/>
        <v>2480125000</v>
      </c>
      <c r="BI140" s="178">
        <f t="shared" si="185"/>
        <v>0</v>
      </c>
      <c r="BJ140" s="294" t="str">
        <f t="shared" si="199"/>
        <v>전기전자/기계업</v>
      </c>
      <c r="BK140" s="192">
        <f t="shared" si="200"/>
        <v>2.4096449716116455</v>
      </c>
      <c r="BL140" s="193">
        <f t="shared" si="201"/>
        <v>-2.4096449716116455</v>
      </c>
      <c r="BM140" s="241">
        <f t="shared" si="202"/>
        <v>100</v>
      </c>
      <c r="BN140" s="47">
        <f t="shared" si="203"/>
        <v>2</v>
      </c>
      <c r="BO140" s="54">
        <v>24919198000</v>
      </c>
      <c r="BP140" s="194">
        <f t="shared" si="186"/>
        <v>11.761690679074146</v>
      </c>
      <c r="BQ140" s="179">
        <f t="shared" si="204"/>
        <v>100</v>
      </c>
      <c r="BR140" s="30">
        <f>BQ140*0.02</f>
        <v>2</v>
      </c>
      <c r="BS140" s="195">
        <v>39160176000</v>
      </c>
      <c r="BT140" s="195">
        <v>288684000</v>
      </c>
      <c r="BU140" s="196">
        <f t="shared" si="205"/>
        <v>38871492000</v>
      </c>
      <c r="BV140" s="178">
        <f t="shared" si="187"/>
        <v>18.347077828833225</v>
      </c>
      <c r="BW140" s="192">
        <f t="shared" si="206"/>
        <v>5.2309968128308268</v>
      </c>
      <c r="BX140" s="192">
        <f t="shared" si="207"/>
        <v>172.03158121833846</v>
      </c>
      <c r="BY140" s="192">
        <f t="shared" si="208"/>
        <v>7.0695458012309622</v>
      </c>
      <c r="BZ140" s="192">
        <f t="shared" si="209"/>
        <v>3.177717665652513</v>
      </c>
      <c r="CA140" s="192">
        <f t="shared" si="188"/>
        <v>100</v>
      </c>
      <c r="CB140" s="55">
        <f t="shared" si="210"/>
        <v>2</v>
      </c>
      <c r="CC140" s="197">
        <f>(M140/N140)*100</f>
        <v>24.194671270665982</v>
      </c>
      <c r="CD140" s="198">
        <f>IF((100-(75*(CC140-1)/(200-1)))&gt;100, 100, IF((100-(75*(CC140-1)/(200-1)))&lt;25, 25, (100-(75*(CC140-1)/(200-1)))))</f>
        <v>91.258289722110817</v>
      </c>
      <c r="CE140" s="58">
        <f>CD140*0.015</f>
        <v>1.3688743458316621</v>
      </c>
      <c r="CF140" s="245" t="s">
        <v>2326</v>
      </c>
      <c r="CG140" s="245" t="s">
        <v>2326</v>
      </c>
      <c r="CH140" s="245" t="s">
        <v>2326</v>
      </c>
      <c r="CI140" s="245" t="s">
        <v>2326</v>
      </c>
      <c r="CJ140" s="235"/>
      <c r="CK140" s="173" t="s">
        <v>2509</v>
      </c>
      <c r="CL140" s="173" t="s">
        <v>2477</v>
      </c>
      <c r="CM140" s="199">
        <f t="shared" si="211"/>
        <v>85</v>
      </c>
      <c r="CN140" s="58">
        <f>CM140*0.015</f>
        <v>1.2749999999999999</v>
      </c>
      <c r="CO140" s="54">
        <v>52930614000</v>
      </c>
      <c r="CP140" s="186">
        <f t="shared" si="189"/>
        <v>25.275320760656943</v>
      </c>
      <c r="CQ140" s="179">
        <f t="shared" si="212"/>
        <v>60</v>
      </c>
      <c r="CR140" s="30">
        <f>CQ140*0.03</f>
        <v>1.7999999999999998</v>
      </c>
      <c r="CS140" s="200">
        <f>_xlfn.XLOOKUP(C140, '1-1. 관계사체무보증금액 (환율 등)'!$3:$3, '1-1. 관계사체무보증금액 (환율 등)'!$33:$33)</f>
        <v>544906329.11392403</v>
      </c>
      <c r="CT140" s="178">
        <f t="shared" si="190"/>
        <v>0.26020257866017821</v>
      </c>
      <c r="CU140" s="179">
        <f t="shared" si="213"/>
        <v>100</v>
      </c>
      <c r="CV140" s="30">
        <f>CU140*0.02</f>
        <v>2</v>
      </c>
      <c r="CW140" s="72">
        <f t="shared" si="218"/>
        <v>22.25953267316471</v>
      </c>
    </row>
    <row r="141" spans="1:101" x14ac:dyDescent="0.6">
      <c r="A141" s="214" t="s">
        <v>531</v>
      </c>
      <c r="B141" s="13" t="s">
        <v>2121</v>
      </c>
      <c r="C141" s="219" t="s">
        <v>422</v>
      </c>
      <c r="D141" s="221" t="s">
        <v>350</v>
      </c>
      <c r="E141" s="217" t="s">
        <v>179</v>
      </c>
      <c r="F141" s="217" t="s">
        <v>993</v>
      </c>
      <c r="G141" s="218">
        <v>32230</v>
      </c>
      <c r="H141" s="217" t="s">
        <v>830</v>
      </c>
      <c r="I141" s="217" t="s">
        <v>756</v>
      </c>
      <c r="J141" s="217" t="s">
        <v>1174</v>
      </c>
      <c r="K141" s="217" t="s">
        <v>91</v>
      </c>
      <c r="L141" s="220">
        <v>47708236386</v>
      </c>
      <c r="M141" s="206">
        <v>41728539853</v>
      </c>
      <c r="N141" s="206">
        <v>5979696533</v>
      </c>
      <c r="O141" s="206">
        <v>13122029972</v>
      </c>
      <c r="P141" s="206">
        <v>522368891</v>
      </c>
      <c r="Q141" s="206">
        <v>514777360</v>
      </c>
      <c r="R141" s="206">
        <v>377508788</v>
      </c>
      <c r="S141" s="207">
        <v>89300000</v>
      </c>
      <c r="T141" s="207">
        <v>0</v>
      </c>
      <c r="U141" s="207">
        <f>26246112+5503</f>
        <v>26251615</v>
      </c>
      <c r="V141" s="207">
        <v>0</v>
      </c>
      <c r="W141" s="207">
        <f>6196+2341+3219+652+2000+2165+3000+659+79+147+122+1058+850</f>
        <v>22488</v>
      </c>
      <c r="X141" s="207">
        <v>195992</v>
      </c>
      <c r="Y141" s="208" t="s">
        <v>2433</v>
      </c>
      <c r="Z141" s="207">
        <v>0</v>
      </c>
      <c r="AA141" s="207">
        <v>0</v>
      </c>
      <c r="AB141" s="176">
        <f t="shared" si="214"/>
        <v>26470095</v>
      </c>
      <c r="AC141" s="177">
        <f t="shared" si="191"/>
        <v>29.641763717805151</v>
      </c>
      <c r="AD141" s="177">
        <f t="shared" si="215"/>
        <v>74.503656169903493</v>
      </c>
      <c r="AE141" s="60">
        <f>AD141*0.04</f>
        <v>2.9801462467961399</v>
      </c>
      <c r="AF141" s="178">
        <f t="shared" si="192"/>
        <v>29.397105263157897</v>
      </c>
      <c r="AG141" s="178">
        <f t="shared" si="193"/>
        <v>29.641763717805151</v>
      </c>
      <c r="AH141" s="178">
        <f t="shared" si="216"/>
        <v>0.24465845464725433</v>
      </c>
      <c r="AI141" s="179">
        <f t="shared" si="217"/>
        <v>100</v>
      </c>
      <c r="AJ141" s="61">
        <f>AI141*0.05</f>
        <v>5</v>
      </c>
      <c r="AK141" s="204">
        <v>6</v>
      </c>
      <c r="AL141" s="204">
        <v>25</v>
      </c>
      <c r="AM141" s="204">
        <v>0</v>
      </c>
      <c r="AN141" s="181">
        <f t="shared" si="178"/>
        <v>31</v>
      </c>
      <c r="AO141" s="182">
        <f t="shared" si="179"/>
        <v>0</v>
      </c>
      <c r="AP141" s="183">
        <f t="shared" si="194"/>
        <v>100</v>
      </c>
      <c r="AQ141" s="62">
        <f>AP141*0.03</f>
        <v>3</v>
      </c>
      <c r="AR141" s="212">
        <v>4</v>
      </c>
      <c r="AS141" s="292">
        <f t="shared" si="180"/>
        <v>0.5</v>
      </c>
      <c r="AT141" s="185">
        <f t="shared" si="181"/>
        <v>3</v>
      </c>
      <c r="AU141" s="185">
        <f t="shared" si="195"/>
        <v>3</v>
      </c>
      <c r="AV141" s="186">
        <f t="shared" si="182"/>
        <v>16.666666666666664</v>
      </c>
      <c r="AW141" s="179">
        <f t="shared" si="196"/>
        <v>60</v>
      </c>
      <c r="AX141" s="240">
        <f>AW141*0.02</f>
        <v>1.2</v>
      </c>
      <c r="AY141" s="54">
        <v>14</v>
      </c>
      <c r="AZ141" s="54">
        <f>14*4</f>
        <v>56</v>
      </c>
      <c r="BA141" s="189">
        <f t="shared" si="183"/>
        <v>56</v>
      </c>
      <c r="BB141" s="178">
        <f t="shared" si="197"/>
        <v>100</v>
      </c>
      <c r="BC141" s="179">
        <f t="shared" si="198"/>
        <v>100</v>
      </c>
      <c r="BD141" s="61">
        <f>BC141*0.02</f>
        <v>2</v>
      </c>
      <c r="BE141" s="190">
        <v>297536274</v>
      </c>
      <c r="BF141" s="190">
        <f>12993409+9038328+2695046</f>
        <v>24726783</v>
      </c>
      <c r="BG141" s="301">
        <v>0</v>
      </c>
      <c r="BH141" s="191">
        <f t="shared" si="184"/>
        <v>322263057</v>
      </c>
      <c r="BI141" s="178">
        <f t="shared" si="185"/>
        <v>0</v>
      </c>
      <c r="BJ141" s="294" t="str">
        <f t="shared" si="199"/>
        <v>금융업</v>
      </c>
      <c r="BK141" s="192">
        <f t="shared" si="200"/>
        <v>2.7106886075318837</v>
      </c>
      <c r="BL141" s="193">
        <f t="shared" si="201"/>
        <v>-2.7106886075318837</v>
      </c>
      <c r="BM141" s="241">
        <f t="shared" si="202"/>
        <v>100</v>
      </c>
      <c r="BN141" s="47">
        <f t="shared" si="203"/>
        <v>2</v>
      </c>
      <c r="BO141" s="54">
        <v>0</v>
      </c>
      <c r="BP141" s="194">
        <f t="shared" si="186"/>
        <v>0</v>
      </c>
      <c r="BQ141" s="179">
        <f t="shared" si="204"/>
        <v>25</v>
      </c>
      <c r="BR141" s="61">
        <f>BQ141*0.01</f>
        <v>0.25</v>
      </c>
      <c r="BS141" s="195">
        <v>13604793.471000001</v>
      </c>
      <c r="BT141" s="195">
        <v>8215.1830000000009</v>
      </c>
      <c r="BU141" s="196">
        <f t="shared" si="205"/>
        <v>13596578.288000001</v>
      </c>
      <c r="BV141" s="178">
        <f t="shared" si="187"/>
        <v>0.1036164245700749</v>
      </c>
      <c r="BW141" s="192">
        <f t="shared" si="206"/>
        <v>0.39407896396795111</v>
      </c>
      <c r="BX141" s="192">
        <f t="shared" si="207"/>
        <v>8.4368486793462788E-2</v>
      </c>
      <c r="BY141" s="192">
        <f t="shared" si="208"/>
        <v>1.5698937849002934</v>
      </c>
      <c r="BZ141" s="192">
        <f t="shared" si="209"/>
        <v>57.33935233450498</v>
      </c>
      <c r="CA141" s="192">
        <f t="shared" si="188"/>
        <v>55</v>
      </c>
      <c r="CB141" s="55">
        <f t="shared" si="210"/>
        <v>1.1000000000000001</v>
      </c>
      <c r="CC141" s="242" t="s">
        <v>1273</v>
      </c>
      <c r="CD141" s="243" t="s">
        <v>1273</v>
      </c>
      <c r="CE141" s="244"/>
      <c r="CF141" s="295" t="s">
        <v>2379</v>
      </c>
      <c r="CG141" s="210">
        <v>0.48</v>
      </c>
      <c r="CH141" s="295" t="s">
        <v>2379</v>
      </c>
      <c r="CI141" s="188">
        <f>IF((100-(75*(CG141-1)/9))&gt;100,100,IF((100-(75*(CG141-1)/9))&lt;25,25,(100-(75*(CG141-1)/9))))</f>
        <v>100</v>
      </c>
      <c r="CJ141" s="63">
        <f>CI141*0.04</f>
        <v>4</v>
      </c>
      <c r="CK141" s="173" t="s">
        <v>2510</v>
      </c>
      <c r="CL141" s="173" t="s">
        <v>2477</v>
      </c>
      <c r="CM141" s="199">
        <f t="shared" si="211"/>
        <v>85</v>
      </c>
      <c r="CN141" s="65">
        <f>CM141*0.03</f>
        <v>2.5499999999999998</v>
      </c>
      <c r="CO141" s="54">
        <v>370999000</v>
      </c>
      <c r="CP141" s="186">
        <f t="shared" si="189"/>
        <v>6.2043115056521216</v>
      </c>
      <c r="CQ141" s="179">
        <f t="shared" si="212"/>
        <v>80</v>
      </c>
      <c r="CR141" s="61">
        <f>CQ141*0.04</f>
        <v>3.2</v>
      </c>
      <c r="CS141" s="200">
        <f>_xlfn.XLOOKUP(C141, '1-1. 관계사체무보증금액 (환율 등)'!$3:$3, '1-1. 관계사체무보증금액 (환율 등)'!$33:$33)</f>
        <v>0</v>
      </c>
      <c r="CT141" s="178">
        <f t="shared" si="190"/>
        <v>0</v>
      </c>
      <c r="CU141" s="179">
        <f t="shared" si="213"/>
        <v>100</v>
      </c>
      <c r="CV141" s="70">
        <f>CU141*0.03</f>
        <v>3</v>
      </c>
      <c r="CW141" s="72">
        <f t="shared" si="218"/>
        <v>30.280146246796143</v>
      </c>
    </row>
    <row r="142" spans="1:101" x14ac:dyDescent="0.6">
      <c r="A142" s="214" t="s">
        <v>891</v>
      </c>
      <c r="B142" s="13" t="s">
        <v>2122</v>
      </c>
      <c r="C142" s="219" t="s">
        <v>336</v>
      </c>
      <c r="D142" s="221" t="s">
        <v>88</v>
      </c>
      <c r="E142" s="217" t="s">
        <v>61</v>
      </c>
      <c r="F142" s="217" t="s">
        <v>1</v>
      </c>
      <c r="G142" s="218">
        <v>39260</v>
      </c>
      <c r="H142" s="217" t="s">
        <v>830</v>
      </c>
      <c r="I142" s="217" t="s">
        <v>816</v>
      </c>
      <c r="J142" s="217" t="s">
        <v>666</v>
      </c>
      <c r="K142" s="217" t="s">
        <v>91</v>
      </c>
      <c r="L142" s="220">
        <v>29407344093</v>
      </c>
      <c r="M142" s="206">
        <v>21565863258</v>
      </c>
      <c r="N142" s="206">
        <v>7841480835</v>
      </c>
      <c r="O142" s="206">
        <v>3641606365</v>
      </c>
      <c r="P142" s="206">
        <v>846324379</v>
      </c>
      <c r="Q142" s="206">
        <v>843940009</v>
      </c>
      <c r="R142" s="206">
        <v>617150148</v>
      </c>
      <c r="S142" s="207">
        <v>115858891</v>
      </c>
      <c r="T142" s="207">
        <v>9148196</v>
      </c>
      <c r="U142" s="207">
        <v>83259006</v>
      </c>
      <c r="V142" s="207">
        <v>0</v>
      </c>
      <c r="W142" s="207">
        <f>5000+3500+2500+2494+100+200</f>
        <v>13794</v>
      </c>
      <c r="X142" s="207">
        <v>0</v>
      </c>
      <c r="Z142" s="207">
        <v>0</v>
      </c>
      <c r="AA142" s="207">
        <v>0</v>
      </c>
      <c r="AB142" s="176">
        <f t="shared" si="214"/>
        <v>83272800</v>
      </c>
      <c r="AC142" s="177">
        <f t="shared" si="191"/>
        <v>71.874328574403506</v>
      </c>
      <c r="AD142" s="177">
        <f t="shared" si="215"/>
        <v>38.054376949594207</v>
      </c>
      <c r="AE142" s="60">
        <f>AD142*0.04</f>
        <v>1.5221750779837684</v>
      </c>
      <c r="AF142" s="178">
        <f t="shared" si="192"/>
        <v>78.023112866053395</v>
      </c>
      <c r="AG142" s="178">
        <f t="shared" si="193"/>
        <v>78.036039405422301</v>
      </c>
      <c r="AH142" s="178">
        <f t="shared" si="216"/>
        <v>1.292653936890531E-2</v>
      </c>
      <c r="AI142" s="179">
        <f t="shared" si="217"/>
        <v>100</v>
      </c>
      <c r="AJ142" s="61">
        <f>AI142*0.05</f>
        <v>5</v>
      </c>
      <c r="AK142" s="204">
        <v>6</v>
      </c>
      <c r="AL142" s="204">
        <v>24</v>
      </c>
      <c r="AM142" s="204">
        <v>0</v>
      </c>
      <c r="AN142" s="181">
        <f t="shared" si="178"/>
        <v>30</v>
      </c>
      <c r="AO142" s="182">
        <f t="shared" si="179"/>
        <v>0</v>
      </c>
      <c r="AP142" s="183">
        <f t="shared" si="194"/>
        <v>100</v>
      </c>
      <c r="AQ142" s="62">
        <f>AP142*0.03</f>
        <v>3</v>
      </c>
      <c r="AR142" s="212">
        <v>4</v>
      </c>
      <c r="AS142" s="292">
        <f t="shared" si="180"/>
        <v>0.5</v>
      </c>
      <c r="AT142" s="185">
        <f t="shared" si="181"/>
        <v>3</v>
      </c>
      <c r="AU142" s="185">
        <f t="shared" si="195"/>
        <v>3</v>
      </c>
      <c r="AV142" s="186">
        <f t="shared" si="182"/>
        <v>16.666666666666664</v>
      </c>
      <c r="AW142" s="179">
        <f t="shared" si="196"/>
        <v>60</v>
      </c>
      <c r="AX142" s="240">
        <f>AW142*0.02</f>
        <v>1.2</v>
      </c>
      <c r="AY142" s="54">
        <v>10</v>
      </c>
      <c r="AZ142" s="54">
        <f>40-1</f>
        <v>39</v>
      </c>
      <c r="BA142" s="189">
        <f t="shared" si="183"/>
        <v>40</v>
      </c>
      <c r="BB142" s="178">
        <f t="shared" si="197"/>
        <v>97.5</v>
      </c>
      <c r="BC142" s="179">
        <f t="shared" si="198"/>
        <v>100</v>
      </c>
      <c r="BD142" s="61">
        <f>BC142*0.02</f>
        <v>2</v>
      </c>
      <c r="BE142" s="190">
        <v>297694119</v>
      </c>
      <c r="BF142" s="190">
        <v>15280000</v>
      </c>
      <c r="BG142" s="301">
        <v>0</v>
      </c>
      <c r="BH142" s="191">
        <f t="shared" si="184"/>
        <v>312974119</v>
      </c>
      <c r="BI142" s="178">
        <f t="shared" si="185"/>
        <v>0</v>
      </c>
      <c r="BJ142" s="294" t="str">
        <f t="shared" si="199"/>
        <v>금융업</v>
      </c>
      <c r="BK142" s="192">
        <f t="shared" si="200"/>
        <v>2.7106886075318837</v>
      </c>
      <c r="BL142" s="193">
        <f t="shared" si="201"/>
        <v>-2.7106886075318837</v>
      </c>
      <c r="BM142" s="241">
        <f t="shared" si="202"/>
        <v>100</v>
      </c>
      <c r="BN142" s="47">
        <f t="shared" si="203"/>
        <v>2</v>
      </c>
      <c r="BO142" s="54">
        <v>0</v>
      </c>
      <c r="BP142" s="194">
        <f t="shared" si="186"/>
        <v>0</v>
      </c>
      <c r="BQ142" s="179">
        <f t="shared" si="204"/>
        <v>25</v>
      </c>
      <c r="BR142" s="61">
        <f>BQ142*0.01</f>
        <v>0.25</v>
      </c>
      <c r="BS142" s="195">
        <v>12825971.239</v>
      </c>
      <c r="BT142" s="195">
        <v>290486.59299999999</v>
      </c>
      <c r="BU142" s="196">
        <f t="shared" si="205"/>
        <v>12535484.646</v>
      </c>
      <c r="BV142" s="178">
        <f t="shared" si="187"/>
        <v>0.34422953470425405</v>
      </c>
      <c r="BW142" s="192">
        <f t="shared" si="206"/>
        <v>0.39407896396795111</v>
      </c>
      <c r="BX142" s="192">
        <f t="shared" si="207"/>
        <v>2.4849655979163371E-3</v>
      </c>
      <c r="BY142" s="192">
        <f t="shared" si="208"/>
        <v>1.5698937849002934</v>
      </c>
      <c r="BZ142" s="192">
        <f t="shared" si="209"/>
        <v>51.266563619926032</v>
      </c>
      <c r="CA142" s="192">
        <f t="shared" si="188"/>
        <v>55</v>
      </c>
      <c r="CB142" s="55">
        <f t="shared" si="210"/>
        <v>1.1000000000000001</v>
      </c>
      <c r="CC142" s="242" t="s">
        <v>1273</v>
      </c>
      <c r="CD142" s="243" t="s">
        <v>1273</v>
      </c>
      <c r="CE142" s="244"/>
      <c r="CF142" s="210">
        <v>0.72</v>
      </c>
      <c r="CG142" s="295" t="s">
        <v>2379</v>
      </c>
      <c r="CH142" s="295" t="s">
        <v>2379</v>
      </c>
      <c r="CI142" s="188">
        <f>IF((100-(75*(CF142-1)))&gt;100,100,IF((100-(75*(CF142-1)))&lt;25,25,(100-(75*(CF142-1)))))</f>
        <v>100</v>
      </c>
      <c r="CJ142" s="63">
        <f>CI142*0.04</f>
        <v>4</v>
      </c>
      <c r="CK142" s="173" t="s">
        <v>2496</v>
      </c>
      <c r="CL142" s="173" t="s">
        <v>2477</v>
      </c>
      <c r="CM142" s="199">
        <f t="shared" si="211"/>
        <v>85</v>
      </c>
      <c r="CN142" s="65">
        <f>CM142*0.03</f>
        <v>2.5499999999999998</v>
      </c>
      <c r="CO142" s="54">
        <v>9809000</v>
      </c>
      <c r="CP142" s="186">
        <f t="shared" si="189"/>
        <v>0.12509116844637419</v>
      </c>
      <c r="CQ142" s="179">
        <f t="shared" si="212"/>
        <v>100</v>
      </c>
      <c r="CR142" s="61">
        <f>CQ142*0.04</f>
        <v>4</v>
      </c>
      <c r="CS142" s="200">
        <f>_xlfn.XLOOKUP(C142, '1-1. 관계사체무보증금액 (환율 등)'!$3:$3, '1-1. 관계사체무보증금액 (환율 등)'!$33:$33)</f>
        <v>0</v>
      </c>
      <c r="CT142" s="178">
        <f t="shared" si="190"/>
        <v>0</v>
      </c>
      <c r="CU142" s="179">
        <f t="shared" si="213"/>
        <v>100</v>
      </c>
      <c r="CV142" s="70">
        <f>CU142*0.03</f>
        <v>3</v>
      </c>
      <c r="CW142" s="72">
        <f t="shared" si="218"/>
        <v>29.622175077983769</v>
      </c>
    </row>
    <row r="143" spans="1:101" x14ac:dyDescent="0.6">
      <c r="A143" s="214" t="s">
        <v>262</v>
      </c>
      <c r="B143" s="13" t="s">
        <v>2123</v>
      </c>
      <c r="C143" s="219" t="s">
        <v>919</v>
      </c>
      <c r="D143" s="221" t="s">
        <v>481</v>
      </c>
      <c r="E143" s="217" t="s">
        <v>704</v>
      </c>
      <c r="F143" s="217" t="s">
        <v>1118</v>
      </c>
      <c r="G143" s="218">
        <v>27575</v>
      </c>
      <c r="H143" s="217" t="s">
        <v>830</v>
      </c>
      <c r="I143" s="217" t="s">
        <v>773</v>
      </c>
      <c r="J143" s="217" t="s">
        <v>1166</v>
      </c>
      <c r="K143" s="217" t="s">
        <v>91</v>
      </c>
      <c r="L143" s="220">
        <v>86856870802</v>
      </c>
      <c r="M143" s="206">
        <v>76041738670</v>
      </c>
      <c r="N143" s="206">
        <v>10815132132</v>
      </c>
      <c r="O143" s="206">
        <v>18511997130</v>
      </c>
      <c r="P143" s="206">
        <v>1524131094</v>
      </c>
      <c r="Q143" s="206">
        <v>1536847185</v>
      </c>
      <c r="R143" s="206">
        <v>1141384899</v>
      </c>
      <c r="S143" s="207">
        <v>47374837</v>
      </c>
      <c r="T143" s="207">
        <v>7546541</v>
      </c>
      <c r="U143" s="207">
        <f>7099088+44000</f>
        <v>7143088</v>
      </c>
      <c r="V143" s="207">
        <v>0</v>
      </c>
      <c r="W143" s="207">
        <f>2500+102+110+100*7+400+99+90+1700+123+150+77+10</f>
        <v>6061</v>
      </c>
      <c r="X143" s="207">
        <f>1451241+170517</f>
        <v>1621758</v>
      </c>
      <c r="Y143" s="208" t="s">
        <v>2431</v>
      </c>
      <c r="Z143" s="207">
        <v>0</v>
      </c>
      <c r="AA143" s="207">
        <v>0</v>
      </c>
      <c r="AB143" s="176">
        <f t="shared" si="214"/>
        <v>8770907</v>
      </c>
      <c r="AC143" s="177">
        <f t="shared" si="191"/>
        <v>18.513851562170018</v>
      </c>
      <c r="AD143" s="177">
        <f t="shared" si="215"/>
        <v>84.107723047609312</v>
      </c>
      <c r="AE143" s="60">
        <f>AD143*0.04</f>
        <v>3.3643089219043727</v>
      </c>
      <c r="AF143" s="178">
        <f t="shared" si="192"/>
        <v>17.934706521212959</v>
      </c>
      <c r="AG143" s="178">
        <f t="shared" si="193"/>
        <v>22.021798271259208</v>
      </c>
      <c r="AH143" s="178">
        <f t="shared" si="216"/>
        <v>4.0870917500462483</v>
      </c>
      <c r="AI143" s="179">
        <f t="shared" si="217"/>
        <v>100</v>
      </c>
      <c r="AJ143" s="61">
        <f>AI143*0.05</f>
        <v>5</v>
      </c>
      <c r="AK143" s="204">
        <v>6</v>
      </c>
      <c r="AL143" s="204">
        <v>57</v>
      </c>
      <c r="AM143" s="204">
        <v>0</v>
      </c>
      <c r="AN143" s="181">
        <f t="shared" si="178"/>
        <v>63</v>
      </c>
      <c r="AO143" s="182">
        <f t="shared" si="179"/>
        <v>0</v>
      </c>
      <c r="AP143" s="183">
        <f t="shared" si="194"/>
        <v>100</v>
      </c>
      <c r="AQ143" s="62">
        <f>AP143*0.03</f>
        <v>3</v>
      </c>
      <c r="AR143" s="212">
        <v>4</v>
      </c>
      <c r="AS143" s="292">
        <f t="shared" si="180"/>
        <v>0.5</v>
      </c>
      <c r="AT143" s="185">
        <f t="shared" si="181"/>
        <v>3</v>
      </c>
      <c r="AU143" s="185">
        <f t="shared" si="195"/>
        <v>3</v>
      </c>
      <c r="AV143" s="186">
        <f t="shared" si="182"/>
        <v>16.666666666666664</v>
      </c>
      <c r="AW143" s="179">
        <f t="shared" si="196"/>
        <v>60</v>
      </c>
      <c r="AX143" s="240">
        <f>AW143*0.02</f>
        <v>1.2</v>
      </c>
      <c r="AY143" s="54">
        <v>9</v>
      </c>
      <c r="AZ143" s="54">
        <f>36</f>
        <v>36</v>
      </c>
      <c r="BA143" s="189">
        <f t="shared" si="183"/>
        <v>36</v>
      </c>
      <c r="BB143" s="178">
        <f t="shared" si="197"/>
        <v>100</v>
      </c>
      <c r="BC143" s="179">
        <f t="shared" si="198"/>
        <v>100</v>
      </c>
      <c r="BD143" s="61">
        <f>BC143*0.02</f>
        <v>2</v>
      </c>
      <c r="BE143" s="190">
        <f>(579478+31505+101314)*1000</f>
        <v>712297000</v>
      </c>
      <c r="BF143" s="190">
        <f>(101314+2294+9656)*1000</f>
        <v>113264000</v>
      </c>
      <c r="BG143" s="301">
        <v>0</v>
      </c>
      <c r="BH143" s="191">
        <f t="shared" si="184"/>
        <v>825561000</v>
      </c>
      <c r="BI143" s="178">
        <f t="shared" si="185"/>
        <v>0</v>
      </c>
      <c r="BJ143" s="294" t="str">
        <f t="shared" si="199"/>
        <v>금융업</v>
      </c>
      <c r="BK143" s="192">
        <f t="shared" si="200"/>
        <v>2.7106886075318837</v>
      </c>
      <c r="BL143" s="193">
        <f t="shared" si="201"/>
        <v>-2.7106886075318837</v>
      </c>
      <c r="BM143" s="241">
        <f t="shared" si="202"/>
        <v>100</v>
      </c>
      <c r="BN143" s="47">
        <f t="shared" si="203"/>
        <v>2</v>
      </c>
      <c r="BO143" s="54">
        <v>0</v>
      </c>
      <c r="BP143" s="194">
        <f t="shared" si="186"/>
        <v>0</v>
      </c>
      <c r="BQ143" s="179">
        <f t="shared" si="204"/>
        <v>25</v>
      </c>
      <c r="BR143" s="61">
        <f>BQ143*0.01</f>
        <v>0.25</v>
      </c>
      <c r="BS143" s="195">
        <v>38232879.636</v>
      </c>
      <c r="BT143" s="195">
        <v>134407.30499999999</v>
      </c>
      <c r="BU143" s="196">
        <f t="shared" si="205"/>
        <v>38098472.331</v>
      </c>
      <c r="BV143" s="178">
        <f t="shared" si="187"/>
        <v>0.20580422557033964</v>
      </c>
      <c r="BW143" s="192">
        <f t="shared" si="206"/>
        <v>0.39407896396795111</v>
      </c>
      <c r="BX143" s="192">
        <f t="shared" si="207"/>
        <v>3.5447377118689033E-2</v>
      </c>
      <c r="BY143" s="192">
        <f t="shared" si="208"/>
        <v>1.5698937849002934</v>
      </c>
      <c r="BZ143" s="192">
        <f t="shared" si="209"/>
        <v>54.773003845058746</v>
      </c>
      <c r="CA143" s="192">
        <f t="shared" si="188"/>
        <v>55</v>
      </c>
      <c r="CB143" s="55">
        <f t="shared" si="210"/>
        <v>1.1000000000000001</v>
      </c>
      <c r="CC143" s="242" t="s">
        <v>1273</v>
      </c>
      <c r="CD143" s="243" t="s">
        <v>1273</v>
      </c>
      <c r="CE143" s="244"/>
      <c r="CF143" s="295" t="s">
        <v>2379</v>
      </c>
      <c r="CG143" s="295" t="s">
        <v>2379</v>
      </c>
      <c r="CH143" s="210">
        <v>7.0000000000000007E-2</v>
      </c>
      <c r="CI143" s="188">
        <f>IF((100-(75*(CH143-10)/40))&gt;100, 100, IF((100-(75*(CH143-10)/40))&lt;25, 25, (100-(75*(CH143-10)/40))))</f>
        <v>100</v>
      </c>
      <c r="CJ143" s="63">
        <f>CI143*0.04</f>
        <v>4</v>
      </c>
      <c r="CK143" s="173" t="s">
        <v>2511</v>
      </c>
      <c r="CL143" s="173" t="s">
        <v>2487</v>
      </c>
      <c r="CM143" s="199">
        <f t="shared" si="211"/>
        <v>70</v>
      </c>
      <c r="CN143" s="65">
        <f>CM143*0.03</f>
        <v>2.1</v>
      </c>
      <c r="CO143" s="54">
        <v>210799000</v>
      </c>
      <c r="CP143" s="186">
        <f t="shared" si="189"/>
        <v>1.9491116467850105</v>
      </c>
      <c r="CQ143" s="179">
        <f t="shared" si="212"/>
        <v>100</v>
      </c>
      <c r="CR143" s="61">
        <f>CQ143*0.04</f>
        <v>4</v>
      </c>
      <c r="CS143" s="200">
        <f>_xlfn.XLOOKUP(C143, '1-1. 관계사체무보증금액 (환율 등)'!$3:$3, '1-1. 관계사체무보증금액 (환율 등)'!$33:$33)</f>
        <v>0</v>
      </c>
      <c r="CT143" s="178">
        <f t="shared" si="190"/>
        <v>0</v>
      </c>
      <c r="CU143" s="179">
        <f t="shared" si="213"/>
        <v>100</v>
      </c>
      <c r="CV143" s="70">
        <f>CU143*0.03</f>
        <v>3</v>
      </c>
      <c r="CW143" s="72">
        <f t="shared" si="218"/>
        <v>31.014308921904373</v>
      </c>
    </row>
    <row r="144" spans="1:101" x14ac:dyDescent="0.6">
      <c r="A144" s="214" t="s">
        <v>7</v>
      </c>
      <c r="B144" s="13" t="s">
        <v>2124</v>
      </c>
      <c r="C144" s="219" t="s">
        <v>42</v>
      </c>
      <c r="D144" s="216" t="s">
        <v>203</v>
      </c>
      <c r="E144" s="217" t="s">
        <v>200</v>
      </c>
      <c r="F144" s="217" t="s">
        <v>661</v>
      </c>
      <c r="G144" s="218">
        <v>29560</v>
      </c>
      <c r="H144" s="217" t="s">
        <v>830</v>
      </c>
      <c r="I144" s="217" t="s">
        <v>903</v>
      </c>
      <c r="J144" s="217" t="s">
        <v>1064</v>
      </c>
      <c r="K144" s="217" t="s">
        <v>690</v>
      </c>
      <c r="L144" s="220">
        <v>287810418</v>
      </c>
      <c r="M144" s="206">
        <v>149871483</v>
      </c>
      <c r="N144" s="206">
        <v>137938935</v>
      </c>
      <c r="O144" s="206">
        <v>272706610</v>
      </c>
      <c r="P144" s="206">
        <v>22413049</v>
      </c>
      <c r="Q144" s="206">
        <v>21027374</v>
      </c>
      <c r="R144" s="206">
        <v>17206656</v>
      </c>
      <c r="S144" s="207">
        <v>11000000</v>
      </c>
      <c r="T144" s="207">
        <v>0</v>
      </c>
      <c r="U144" s="207">
        <f>3674000+1085016</f>
        <v>4759016</v>
      </c>
      <c r="V144" s="207">
        <v>0</v>
      </c>
      <c r="W144" s="207">
        <f>1090+17000+2880+2000+10+500+100520+97400+1000</f>
        <v>222400</v>
      </c>
      <c r="X144" s="207">
        <v>0</v>
      </c>
      <c r="Z144" s="207">
        <v>157236</v>
      </c>
      <c r="AA144" s="207">
        <v>0</v>
      </c>
      <c r="AB144" s="176">
        <f t="shared" si="214"/>
        <v>5138652</v>
      </c>
      <c r="AC144" s="177">
        <f t="shared" si="191"/>
        <v>46.715018181818181</v>
      </c>
      <c r="AD144" s="177">
        <f t="shared" si="215"/>
        <v>59.76839627576107</v>
      </c>
      <c r="AE144" s="26">
        <f t="shared" ref="AE144:AE178" si="219">AD144*0.03</f>
        <v>1.7930518882728321</v>
      </c>
      <c r="AF144" s="178">
        <f t="shared" si="192"/>
        <v>43.263781818181819</v>
      </c>
      <c r="AG144" s="178">
        <f t="shared" si="193"/>
        <v>46.715018181818181</v>
      </c>
      <c r="AH144" s="178">
        <f t="shared" si="216"/>
        <v>3.4512363636363617</v>
      </c>
      <c r="AI144" s="179">
        <f t="shared" si="217"/>
        <v>100</v>
      </c>
      <c r="AJ144" s="30">
        <f t="shared" ref="AJ144:AJ178" si="220">AI144*0.04</f>
        <v>4</v>
      </c>
      <c r="AK144" s="204">
        <v>10</v>
      </c>
      <c r="AL144" s="204">
        <v>5</v>
      </c>
      <c r="AM144" s="204">
        <v>1</v>
      </c>
      <c r="AN144" s="181">
        <f t="shared" si="178"/>
        <v>15</v>
      </c>
      <c r="AO144" s="182">
        <f t="shared" si="179"/>
        <v>6.666666666666667</v>
      </c>
      <c r="AP144" s="183">
        <f t="shared" si="194"/>
        <v>100</v>
      </c>
      <c r="AQ144" s="38">
        <f t="shared" ref="AQ144:AQ178" si="221">AP144*0.02</f>
        <v>2</v>
      </c>
      <c r="AR144" s="212">
        <v>2</v>
      </c>
      <c r="AS144" s="292">
        <f t="shared" si="180"/>
        <v>0.25</v>
      </c>
      <c r="AT144" s="185">
        <f t="shared" si="181"/>
        <v>2.5</v>
      </c>
      <c r="AU144" s="185">
        <f t="shared" si="195"/>
        <v>2</v>
      </c>
      <c r="AV144" s="186">
        <f t="shared" si="182"/>
        <v>0</v>
      </c>
      <c r="AW144" s="179">
        <f t="shared" si="196"/>
        <v>40</v>
      </c>
      <c r="AX144" s="239">
        <f t="shared" ref="AX144:AX178" si="222">AW144*0.01</f>
        <v>0.4</v>
      </c>
      <c r="AY144" s="54">
        <v>8</v>
      </c>
      <c r="AZ144" s="54">
        <v>16</v>
      </c>
      <c r="BA144" s="189">
        <f t="shared" si="183"/>
        <v>16</v>
      </c>
      <c r="BB144" s="178">
        <f t="shared" si="197"/>
        <v>100</v>
      </c>
      <c r="BC144" s="179">
        <f t="shared" si="198"/>
        <v>100</v>
      </c>
      <c r="BD144" s="30">
        <f t="shared" ref="BD144:BD178" si="223">BC144*0.01</f>
        <v>1</v>
      </c>
      <c r="BE144" s="190">
        <v>4125912</v>
      </c>
      <c r="BF144" s="190">
        <v>548838</v>
      </c>
      <c r="BG144" s="54">
        <v>240192</v>
      </c>
      <c r="BH144" s="191">
        <f t="shared" si="184"/>
        <v>4674750</v>
      </c>
      <c r="BI144" s="178">
        <f t="shared" si="185"/>
        <v>5.1380715546285902</v>
      </c>
      <c r="BJ144" s="294" t="str">
        <f t="shared" si="199"/>
        <v>금속/비금속/화학업</v>
      </c>
      <c r="BK144" s="192">
        <f t="shared" si="200"/>
        <v>3.9534118626990464</v>
      </c>
      <c r="BL144" s="193">
        <f t="shared" si="201"/>
        <v>1.1846596919295438</v>
      </c>
      <c r="BM144" s="241">
        <f t="shared" si="202"/>
        <v>60</v>
      </c>
      <c r="BN144" s="47">
        <f t="shared" si="203"/>
        <v>1.2</v>
      </c>
      <c r="BO144" s="54">
        <v>459549</v>
      </c>
      <c r="BP144" s="194">
        <f t="shared" si="186"/>
        <v>0.16851406718744369</v>
      </c>
      <c r="BQ144" s="179">
        <f t="shared" si="204"/>
        <v>55</v>
      </c>
      <c r="BR144" s="30">
        <f t="shared" ref="BR144:BR178" si="224">BQ144*0.02</f>
        <v>1.1000000000000001</v>
      </c>
      <c r="BS144" s="195">
        <v>24095394.842999998</v>
      </c>
      <c r="BT144" s="195">
        <v>22374.79</v>
      </c>
      <c r="BU144" s="196">
        <f t="shared" si="205"/>
        <v>24073020.052999999</v>
      </c>
      <c r="BV144" s="178">
        <f t="shared" si="187"/>
        <v>8.8274428159258775</v>
      </c>
      <c r="BW144" s="192">
        <f t="shared" si="206"/>
        <v>5.1474158565187729</v>
      </c>
      <c r="BX144" s="192">
        <f t="shared" si="207"/>
        <v>13.542598421963101</v>
      </c>
      <c r="BY144" s="192">
        <f t="shared" si="208"/>
        <v>6.6930498535228526</v>
      </c>
      <c r="BZ144" s="192">
        <f t="shared" si="209"/>
        <v>29.121863776809342</v>
      </c>
      <c r="CA144" s="192">
        <f t="shared" si="188"/>
        <v>70</v>
      </c>
      <c r="CB144" s="55">
        <f t="shared" si="210"/>
        <v>1.4000000000000001</v>
      </c>
      <c r="CC144" s="197">
        <f t="shared" ref="CC144:CC178" si="225">(M144/N144)*100</f>
        <v>108.65060180434189</v>
      </c>
      <c r="CD144" s="198">
        <f t="shared" ref="CD144:CD178" si="226">IF((100-(75*(CC144-1)/(200-1)))&gt;100, 100, IF((100-(75*(CC144-1)/(200-1)))&lt;25, 25, (100-(75*(CC144-1)/(200-1)))))</f>
        <v>59.428165149117383</v>
      </c>
      <c r="CE144" s="58">
        <f t="shared" ref="CE144:CE178" si="227">CD144*0.015</f>
        <v>0.89142247723676071</v>
      </c>
      <c r="CF144" s="245" t="s">
        <v>2326</v>
      </c>
      <c r="CG144" s="245" t="s">
        <v>2326</v>
      </c>
      <c r="CH144" s="245" t="s">
        <v>2326</v>
      </c>
      <c r="CI144" s="245" t="s">
        <v>2326</v>
      </c>
      <c r="CJ144" s="235"/>
      <c r="CK144" s="173" t="s">
        <v>2479</v>
      </c>
      <c r="CL144" s="173" t="s">
        <v>2478</v>
      </c>
      <c r="CM144" s="199">
        <f t="shared" si="211"/>
        <v>25</v>
      </c>
      <c r="CN144" s="58">
        <f t="shared" ref="CN144:CN178" si="228">CM144*0.015</f>
        <v>0.375</v>
      </c>
      <c r="CO144" s="54">
        <v>5212000</v>
      </c>
      <c r="CP144" s="186">
        <f t="shared" si="189"/>
        <v>3.7784835731840327</v>
      </c>
      <c r="CQ144" s="179">
        <f t="shared" si="212"/>
        <v>80</v>
      </c>
      <c r="CR144" s="30">
        <f t="shared" ref="CR144:CR178" si="229">CQ144*0.03</f>
        <v>2.4</v>
      </c>
      <c r="CS144" s="200">
        <f>_xlfn.XLOOKUP(C144, '1-1. 관계사체무보증금액 (환율 등)'!$3:$3, '1-1. 관계사체무보증금액 (환율 등)'!$33:$33)</f>
        <v>0</v>
      </c>
      <c r="CT144" s="178">
        <f t="shared" si="190"/>
        <v>0</v>
      </c>
      <c r="CU144" s="179">
        <f t="shared" si="213"/>
        <v>100</v>
      </c>
      <c r="CV144" s="30">
        <f t="shared" ref="CV144:CV178" si="230">CU144*0.02</f>
        <v>2</v>
      </c>
      <c r="CW144" s="72">
        <f t="shared" si="218"/>
        <v>18.55947436550959</v>
      </c>
    </row>
    <row r="145" spans="1:101" x14ac:dyDescent="0.6">
      <c r="A145" s="214" t="s">
        <v>741</v>
      </c>
      <c r="B145" s="13" t="s">
        <v>2125</v>
      </c>
      <c r="C145" s="219" t="s">
        <v>909</v>
      </c>
      <c r="D145" s="216" t="s">
        <v>191</v>
      </c>
      <c r="E145" s="217" t="s">
        <v>178</v>
      </c>
      <c r="F145" s="217" t="s">
        <v>809</v>
      </c>
      <c r="G145" s="218">
        <v>40882</v>
      </c>
      <c r="H145" s="217" t="s">
        <v>830</v>
      </c>
      <c r="I145" s="217" t="s">
        <v>239</v>
      </c>
      <c r="J145" s="217" t="s">
        <v>1153</v>
      </c>
      <c r="K145" s="217" t="s">
        <v>91</v>
      </c>
      <c r="L145" s="220">
        <v>2278458050</v>
      </c>
      <c r="M145" s="206">
        <v>1056955250</v>
      </c>
      <c r="N145" s="206">
        <v>1221502799</v>
      </c>
      <c r="O145" s="206">
        <v>1998768182</v>
      </c>
      <c r="P145" s="206">
        <v>37795019</v>
      </c>
      <c r="Q145" s="206">
        <v>66850204</v>
      </c>
      <c r="R145" s="206">
        <v>55711450</v>
      </c>
      <c r="S145" s="207">
        <v>10313449</v>
      </c>
      <c r="T145" s="207">
        <v>647099</v>
      </c>
      <c r="U145" s="207">
        <f>3924+6377255</f>
        <v>6381179</v>
      </c>
      <c r="V145" s="207">
        <f>1629+33874+39520+4170+53357</f>
        <v>132550</v>
      </c>
      <c r="W145" s="207">
        <f>11030+3779+400+1127</f>
        <v>16336</v>
      </c>
      <c r="X145" s="207">
        <v>86691</v>
      </c>
      <c r="Y145" s="208" t="s">
        <v>2434</v>
      </c>
      <c r="Z145" s="207">
        <v>0</v>
      </c>
      <c r="AA145" s="207">
        <v>0</v>
      </c>
      <c r="AB145" s="176">
        <f t="shared" si="214"/>
        <v>6616756</v>
      </c>
      <c r="AC145" s="177">
        <f t="shared" si="191"/>
        <v>64.156578463712762</v>
      </c>
      <c r="AD145" s="177">
        <f t="shared" si="215"/>
        <v>44.715265997946403</v>
      </c>
      <c r="AE145" s="26">
        <f t="shared" si="219"/>
        <v>1.3414579799383921</v>
      </c>
      <c r="AF145" s="178">
        <f t="shared" si="192"/>
        <v>67.385610907943544</v>
      </c>
      <c r="AG145" s="178">
        <f t="shared" si="193"/>
        <v>68.451442374836418</v>
      </c>
      <c r="AH145" s="178">
        <f t="shared" si="216"/>
        <v>1.0658314668928739</v>
      </c>
      <c r="AI145" s="179">
        <f t="shared" si="217"/>
        <v>100</v>
      </c>
      <c r="AJ145" s="30">
        <f t="shared" si="220"/>
        <v>4</v>
      </c>
      <c r="AK145" s="204">
        <v>9</v>
      </c>
      <c r="AL145" s="204">
        <v>22</v>
      </c>
      <c r="AM145" s="180">
        <v>2</v>
      </c>
      <c r="AN145" s="181">
        <f t="shared" si="178"/>
        <v>31</v>
      </c>
      <c r="AO145" s="182">
        <f t="shared" si="179"/>
        <v>6.4516129032258061</v>
      </c>
      <c r="AP145" s="183">
        <f t="shared" si="194"/>
        <v>100</v>
      </c>
      <c r="AQ145" s="38">
        <f t="shared" si="221"/>
        <v>2</v>
      </c>
      <c r="AR145" s="212">
        <v>5</v>
      </c>
      <c r="AS145" s="292">
        <f t="shared" si="180"/>
        <v>0.5</v>
      </c>
      <c r="AT145" s="185">
        <f t="shared" si="181"/>
        <v>4.5</v>
      </c>
      <c r="AU145" s="185">
        <f t="shared" si="195"/>
        <v>4</v>
      </c>
      <c r="AV145" s="186">
        <f t="shared" si="182"/>
        <v>11.111111111111111</v>
      </c>
      <c r="AW145" s="179">
        <f t="shared" si="196"/>
        <v>60</v>
      </c>
      <c r="AX145" s="239">
        <f t="shared" si="222"/>
        <v>0.6</v>
      </c>
      <c r="AY145" s="54">
        <v>7</v>
      </c>
      <c r="AZ145" s="54">
        <f>3*3+4+5*3</f>
        <v>28</v>
      </c>
      <c r="BA145" s="189">
        <f t="shared" si="183"/>
        <v>35</v>
      </c>
      <c r="BB145" s="178">
        <f t="shared" si="197"/>
        <v>80</v>
      </c>
      <c r="BC145" s="179">
        <f t="shared" si="198"/>
        <v>75</v>
      </c>
      <c r="BD145" s="30">
        <f t="shared" si="223"/>
        <v>0.75</v>
      </c>
      <c r="BE145" s="190">
        <v>53852000</v>
      </c>
      <c r="BF145" s="190">
        <v>5915000</v>
      </c>
      <c r="BG145" s="301">
        <v>0</v>
      </c>
      <c r="BH145" s="191">
        <f t="shared" si="184"/>
        <v>59767000</v>
      </c>
      <c r="BI145" s="178">
        <f t="shared" si="185"/>
        <v>0</v>
      </c>
      <c r="BJ145" s="294" t="str">
        <f t="shared" si="199"/>
        <v>식약/섬유/종이업</v>
      </c>
      <c r="BK145" s="192">
        <f t="shared" si="200"/>
        <v>2.1999360555264444</v>
      </c>
      <c r="BL145" s="193">
        <f t="shared" si="201"/>
        <v>-2.1999360555264444</v>
      </c>
      <c r="BM145" s="241">
        <f t="shared" si="202"/>
        <v>100</v>
      </c>
      <c r="BN145" s="47">
        <f t="shared" si="203"/>
        <v>2</v>
      </c>
      <c r="BO145" s="54">
        <v>2146000</v>
      </c>
      <c r="BP145" s="194">
        <f t="shared" si="186"/>
        <v>0.10736612776438524</v>
      </c>
      <c r="BQ145" s="179">
        <f t="shared" si="204"/>
        <v>55</v>
      </c>
      <c r="BR145" s="30">
        <f t="shared" si="224"/>
        <v>1.1000000000000001</v>
      </c>
      <c r="BS145" s="195">
        <v>53580972.555</v>
      </c>
      <c r="BT145" s="195">
        <v>80139.235000000001</v>
      </c>
      <c r="BU145" s="196">
        <f t="shared" si="205"/>
        <v>53500833.32</v>
      </c>
      <c r="BV145" s="178">
        <f t="shared" si="187"/>
        <v>2.6766902636235783</v>
      </c>
      <c r="BW145" s="192">
        <f t="shared" si="206"/>
        <v>5.0508176117342281</v>
      </c>
      <c r="BX145" s="192">
        <f t="shared" si="207"/>
        <v>5.6364806650469061</v>
      </c>
      <c r="BY145" s="192">
        <f t="shared" si="208"/>
        <v>6.9871618081220941</v>
      </c>
      <c r="BZ145" s="192">
        <f t="shared" si="209"/>
        <v>63.299048511361946</v>
      </c>
      <c r="CA145" s="192">
        <f t="shared" si="188"/>
        <v>40</v>
      </c>
      <c r="CB145" s="55">
        <f t="shared" si="210"/>
        <v>0.8</v>
      </c>
      <c r="CC145" s="197">
        <f t="shared" si="225"/>
        <v>86.529089484304976</v>
      </c>
      <c r="CD145" s="198">
        <f t="shared" si="226"/>
        <v>67.765418536065965</v>
      </c>
      <c r="CE145" s="58">
        <f t="shared" si="227"/>
        <v>1.0164812780409895</v>
      </c>
      <c r="CF145" s="245" t="s">
        <v>2326</v>
      </c>
      <c r="CG145" s="245" t="s">
        <v>2326</v>
      </c>
      <c r="CH145" s="245" t="s">
        <v>2326</v>
      </c>
      <c r="CI145" s="245" t="s">
        <v>2326</v>
      </c>
      <c r="CJ145" s="235"/>
      <c r="CK145" s="173" t="s">
        <v>2486</v>
      </c>
      <c r="CL145" s="173" t="s">
        <v>2487</v>
      </c>
      <c r="CM145" s="199">
        <f t="shared" si="211"/>
        <v>70</v>
      </c>
      <c r="CN145" s="58">
        <f t="shared" si="228"/>
        <v>1.05</v>
      </c>
      <c r="CO145" s="54">
        <v>261155000</v>
      </c>
      <c r="CP145" s="186">
        <f t="shared" si="189"/>
        <v>21.379811836190481</v>
      </c>
      <c r="CQ145" s="179">
        <f t="shared" si="212"/>
        <v>60</v>
      </c>
      <c r="CR145" s="30">
        <f t="shared" si="229"/>
        <v>1.7999999999999998</v>
      </c>
      <c r="CS145" s="200">
        <f>_xlfn.XLOOKUP(C145, '1-1. 관계사체무보증금액 (환율 등)'!$3:$3, '1-1. 관계사체무보증금액 (환율 등)'!$33:$33)</f>
        <v>104805084.50222373</v>
      </c>
      <c r="CT145" s="178">
        <f t="shared" si="190"/>
        <v>8.5800118172487068</v>
      </c>
      <c r="CU145" s="179">
        <f t="shared" si="213"/>
        <v>80</v>
      </c>
      <c r="CV145" s="30">
        <f t="shared" si="230"/>
        <v>1.6</v>
      </c>
      <c r="CW145" s="72">
        <f t="shared" si="218"/>
        <v>18.057939257979385</v>
      </c>
    </row>
    <row r="146" spans="1:101" x14ac:dyDescent="0.6">
      <c r="A146" s="214" t="s">
        <v>363</v>
      </c>
      <c r="B146" s="13" t="s">
        <v>2126</v>
      </c>
      <c r="C146" s="219" t="s">
        <v>105</v>
      </c>
      <c r="D146" s="216" t="s">
        <v>191</v>
      </c>
      <c r="E146" s="217" t="s">
        <v>178</v>
      </c>
      <c r="F146" s="217" t="s">
        <v>563</v>
      </c>
      <c r="G146" s="218">
        <v>27575</v>
      </c>
      <c r="H146" s="217" t="s">
        <v>830</v>
      </c>
      <c r="I146" s="217" t="s">
        <v>1693</v>
      </c>
      <c r="J146" s="217" t="s">
        <v>1183</v>
      </c>
      <c r="K146" s="217" t="s">
        <v>91</v>
      </c>
      <c r="L146" s="220">
        <v>857127709</v>
      </c>
      <c r="M146" s="206">
        <v>439493133</v>
      </c>
      <c r="N146" s="206">
        <v>417634577</v>
      </c>
      <c r="O146" s="206">
        <v>833227370</v>
      </c>
      <c r="P146" s="206">
        <v>86234040</v>
      </c>
      <c r="Q146" s="206">
        <v>96322163</v>
      </c>
      <c r="R146" s="206">
        <v>75455528</v>
      </c>
      <c r="S146" s="207">
        <v>7533015</v>
      </c>
      <c r="T146" s="207">
        <v>74887</v>
      </c>
      <c r="U146" s="207">
        <f>2630587</f>
        <v>2630587</v>
      </c>
      <c r="V146" s="207">
        <f>325850+309+236000+20600+14500+44750+4000</f>
        <v>646009</v>
      </c>
      <c r="W146" s="207">
        <f>300+2530+28+254</f>
        <v>3112</v>
      </c>
      <c r="X146" s="207">
        <v>126630</v>
      </c>
      <c r="Y146" s="208" t="s">
        <v>2435</v>
      </c>
      <c r="Z146" s="207">
        <v>0</v>
      </c>
      <c r="AA146" s="207">
        <v>0</v>
      </c>
      <c r="AB146" s="176">
        <f t="shared" si="214"/>
        <v>3406338</v>
      </c>
      <c r="AC146" s="177">
        <f t="shared" si="191"/>
        <v>45.218786900065908</v>
      </c>
      <c r="AD146" s="177">
        <f t="shared" si="215"/>
        <v>61.059735126525403</v>
      </c>
      <c r="AE146" s="26">
        <f t="shared" si="219"/>
        <v>1.8317920537957619</v>
      </c>
      <c r="AF146" s="178">
        <f t="shared" si="192"/>
        <v>43.933222921355068</v>
      </c>
      <c r="AG146" s="178">
        <f t="shared" si="193"/>
        <v>45.672828355855515</v>
      </c>
      <c r="AH146" s="178">
        <f t="shared" si="216"/>
        <v>1.7396054345004472</v>
      </c>
      <c r="AI146" s="179">
        <f t="shared" si="217"/>
        <v>100</v>
      </c>
      <c r="AJ146" s="30">
        <f t="shared" si="220"/>
        <v>4</v>
      </c>
      <c r="AK146" s="204">
        <v>8</v>
      </c>
      <c r="AL146" s="204">
        <v>25</v>
      </c>
      <c r="AM146" s="204">
        <v>1</v>
      </c>
      <c r="AN146" s="181">
        <f t="shared" si="178"/>
        <v>33</v>
      </c>
      <c r="AO146" s="182">
        <f t="shared" si="179"/>
        <v>3.0303030303030303</v>
      </c>
      <c r="AP146" s="183">
        <f t="shared" si="194"/>
        <v>100</v>
      </c>
      <c r="AQ146" s="38">
        <f t="shared" si="221"/>
        <v>2</v>
      </c>
      <c r="AR146" s="212">
        <v>4</v>
      </c>
      <c r="AS146" s="292">
        <f t="shared" si="180"/>
        <v>0.25</v>
      </c>
      <c r="AT146" s="185">
        <f t="shared" si="181"/>
        <v>2</v>
      </c>
      <c r="AU146" s="185">
        <f t="shared" si="195"/>
        <v>2</v>
      </c>
      <c r="AV146" s="186">
        <f t="shared" si="182"/>
        <v>25</v>
      </c>
      <c r="AW146" s="179">
        <f t="shared" si="196"/>
        <v>80</v>
      </c>
      <c r="AX146" s="239">
        <f t="shared" si="222"/>
        <v>0.8</v>
      </c>
      <c r="AY146" s="54">
        <v>10</v>
      </c>
      <c r="AZ146" s="54">
        <f>40-2</f>
        <v>38</v>
      </c>
      <c r="BA146" s="189">
        <f t="shared" si="183"/>
        <v>40</v>
      </c>
      <c r="BB146" s="178">
        <f t="shared" si="197"/>
        <v>95</v>
      </c>
      <c r="BC146" s="179">
        <f t="shared" si="198"/>
        <v>100</v>
      </c>
      <c r="BD146" s="30">
        <f t="shared" si="223"/>
        <v>1</v>
      </c>
      <c r="BE146" s="190">
        <f>35556860+4380645</f>
        <v>39937505</v>
      </c>
      <c r="BF146" s="190">
        <v>3523130</v>
      </c>
      <c r="BG146" s="301">
        <v>0</v>
      </c>
      <c r="BH146" s="191">
        <f t="shared" si="184"/>
        <v>43460635</v>
      </c>
      <c r="BI146" s="178">
        <f t="shared" si="185"/>
        <v>0</v>
      </c>
      <c r="BJ146" s="294" t="str">
        <f t="shared" si="199"/>
        <v>식약/섬유/종이업</v>
      </c>
      <c r="BK146" s="192">
        <f t="shared" si="200"/>
        <v>2.1999360555264444</v>
      </c>
      <c r="BL146" s="193">
        <f t="shared" si="201"/>
        <v>-2.1999360555264444</v>
      </c>
      <c r="BM146" s="241">
        <f t="shared" si="202"/>
        <v>100</v>
      </c>
      <c r="BN146" s="47">
        <f t="shared" si="203"/>
        <v>2</v>
      </c>
      <c r="BO146" s="54">
        <v>2571000</v>
      </c>
      <c r="BP146" s="194">
        <f t="shared" si="186"/>
        <v>0.30855923515810574</v>
      </c>
      <c r="BQ146" s="179">
        <f t="shared" si="204"/>
        <v>55</v>
      </c>
      <c r="BR146" s="30">
        <f t="shared" si="224"/>
        <v>1.1000000000000001</v>
      </c>
      <c r="BS146" s="195">
        <v>84272278.888999999</v>
      </c>
      <c r="BT146" s="195">
        <f>1174848.185+2000000+1259000</f>
        <v>4433848.1850000005</v>
      </c>
      <c r="BU146" s="196">
        <f t="shared" si="205"/>
        <v>79838430.703999996</v>
      </c>
      <c r="BV146" s="178">
        <f t="shared" si="187"/>
        <v>9.5818300716645926</v>
      </c>
      <c r="BW146" s="192">
        <f t="shared" si="206"/>
        <v>5.0508176117342281</v>
      </c>
      <c r="BX146" s="192">
        <f t="shared" si="207"/>
        <v>20.530073912044212</v>
      </c>
      <c r="BY146" s="192">
        <f t="shared" si="208"/>
        <v>6.9871618081220941</v>
      </c>
      <c r="BZ146" s="192">
        <f t="shared" si="209"/>
        <v>25.83382997371174</v>
      </c>
      <c r="CA146" s="192">
        <f t="shared" si="188"/>
        <v>70</v>
      </c>
      <c r="CB146" s="55">
        <f t="shared" si="210"/>
        <v>1.4000000000000001</v>
      </c>
      <c r="CC146" s="197">
        <f t="shared" si="225"/>
        <v>105.23389518104962</v>
      </c>
      <c r="CD146" s="198">
        <f t="shared" si="226"/>
        <v>60.715868650358182</v>
      </c>
      <c r="CE146" s="58">
        <f t="shared" si="227"/>
        <v>0.91073802975537266</v>
      </c>
      <c r="CF146" s="245" t="s">
        <v>2326</v>
      </c>
      <c r="CG146" s="245" t="s">
        <v>2326</v>
      </c>
      <c r="CH146" s="245" t="s">
        <v>2326</v>
      </c>
      <c r="CI146" s="245" t="s">
        <v>2326</v>
      </c>
      <c r="CJ146" s="235"/>
      <c r="CK146" s="173" t="s">
        <v>2485</v>
      </c>
      <c r="CL146" s="173" t="s">
        <v>2482</v>
      </c>
      <c r="CM146" s="199">
        <f t="shared" si="211"/>
        <v>55</v>
      </c>
      <c r="CN146" s="58">
        <f t="shared" si="228"/>
        <v>0.82499999999999996</v>
      </c>
      <c r="CO146" s="54">
        <v>41967304</v>
      </c>
      <c r="CP146" s="186">
        <f t="shared" si="189"/>
        <v>10.048809727744358</v>
      </c>
      <c r="CQ146" s="179">
        <f t="shared" si="212"/>
        <v>60</v>
      </c>
      <c r="CR146" s="30">
        <f t="shared" si="229"/>
        <v>1.7999999999999998</v>
      </c>
      <c r="CS146" s="200">
        <f>_xlfn.XLOOKUP(C146, '1-1. 관계사체무보증금액 (환율 등)'!$3:$3, '1-1. 관계사체무보증금액 (환율 등)'!$33:$33)</f>
        <v>408000</v>
      </c>
      <c r="CT146" s="178">
        <f t="shared" si="190"/>
        <v>9.7693060505380527E-2</v>
      </c>
      <c r="CU146" s="179">
        <f t="shared" si="213"/>
        <v>100</v>
      </c>
      <c r="CV146" s="30">
        <f t="shared" si="230"/>
        <v>2</v>
      </c>
      <c r="CW146" s="72">
        <f t="shared" si="218"/>
        <v>19.667530083551135</v>
      </c>
    </row>
    <row r="147" spans="1:101" x14ac:dyDescent="0.6">
      <c r="A147" s="214" t="s">
        <v>885</v>
      </c>
      <c r="B147" s="13" t="s">
        <v>2127</v>
      </c>
      <c r="C147" s="219" t="s">
        <v>311</v>
      </c>
      <c r="D147" s="216" t="s">
        <v>191</v>
      </c>
      <c r="E147" s="217" t="s">
        <v>977</v>
      </c>
      <c r="F147" s="217" t="s">
        <v>393</v>
      </c>
      <c r="G147" s="218">
        <v>32822</v>
      </c>
      <c r="H147" s="217" t="s">
        <v>830</v>
      </c>
      <c r="I147" s="217" t="s">
        <v>1103</v>
      </c>
      <c r="J147" s="217" t="s">
        <v>1200</v>
      </c>
      <c r="K147" s="217" t="s">
        <v>91</v>
      </c>
      <c r="L147" s="220">
        <v>443969944</v>
      </c>
      <c r="M147" s="206">
        <v>38559474</v>
      </c>
      <c r="N147" s="206">
        <v>405410470</v>
      </c>
      <c r="O147" s="206">
        <v>177572920</v>
      </c>
      <c r="P147" s="206">
        <v>14182631</v>
      </c>
      <c r="Q147" s="206">
        <v>16901598</v>
      </c>
      <c r="R147" s="206">
        <v>12822855</v>
      </c>
      <c r="S147" s="207">
        <v>3000000</v>
      </c>
      <c r="T147" s="207">
        <v>171382</v>
      </c>
      <c r="U147" s="207">
        <v>750000</v>
      </c>
      <c r="V147" s="207">
        <f>600000+180000+94500+20000+25000+50000</f>
        <v>969500</v>
      </c>
      <c r="W147" s="207">
        <v>0</v>
      </c>
      <c r="X147" s="207">
        <v>0</v>
      </c>
      <c r="Z147" s="207">
        <v>0</v>
      </c>
      <c r="AA147" s="207">
        <v>0</v>
      </c>
      <c r="AB147" s="176">
        <f t="shared" si="214"/>
        <v>1719500</v>
      </c>
      <c r="AC147" s="177">
        <f t="shared" si="191"/>
        <v>57.31666666666667</v>
      </c>
      <c r="AD147" s="177">
        <f t="shared" si="215"/>
        <v>50.618527042577682</v>
      </c>
      <c r="AE147" s="26">
        <f t="shared" si="219"/>
        <v>1.5185558112773303</v>
      </c>
      <c r="AF147" s="178">
        <f t="shared" si="192"/>
        <v>60.789403164372146</v>
      </c>
      <c r="AG147" s="178">
        <f t="shared" si="193"/>
        <v>60.789403164372146</v>
      </c>
      <c r="AH147" s="178">
        <f t="shared" si="216"/>
        <v>0</v>
      </c>
      <c r="AI147" s="179">
        <f t="shared" si="217"/>
        <v>100</v>
      </c>
      <c r="AJ147" s="30">
        <f t="shared" si="220"/>
        <v>4</v>
      </c>
      <c r="AK147" s="204">
        <v>6</v>
      </c>
      <c r="AL147" s="204">
        <v>6</v>
      </c>
      <c r="AM147" s="204">
        <v>2</v>
      </c>
      <c r="AN147" s="181">
        <f t="shared" si="178"/>
        <v>12</v>
      </c>
      <c r="AO147" s="182">
        <f t="shared" si="179"/>
        <v>16.666666666666664</v>
      </c>
      <c r="AP147" s="183">
        <f t="shared" si="194"/>
        <v>80</v>
      </c>
      <c r="AQ147" s="38">
        <f t="shared" si="221"/>
        <v>1.6</v>
      </c>
      <c r="AR147" s="212">
        <v>3</v>
      </c>
      <c r="AS147" s="292">
        <f t="shared" si="180"/>
        <v>0.25</v>
      </c>
      <c r="AT147" s="185">
        <f t="shared" si="181"/>
        <v>1.5</v>
      </c>
      <c r="AU147" s="185">
        <f t="shared" si="195"/>
        <v>1</v>
      </c>
      <c r="AV147" s="186">
        <f t="shared" si="182"/>
        <v>33.333333333333329</v>
      </c>
      <c r="AW147" s="179">
        <f t="shared" si="196"/>
        <v>80</v>
      </c>
      <c r="AX147" s="239">
        <f t="shared" si="222"/>
        <v>0.8</v>
      </c>
      <c r="AY147" s="54">
        <v>14</v>
      </c>
      <c r="AZ147" s="54">
        <f>14*3-1</f>
        <v>41</v>
      </c>
      <c r="BA147" s="189">
        <f t="shared" si="183"/>
        <v>42</v>
      </c>
      <c r="BB147" s="178">
        <f t="shared" si="197"/>
        <v>97.61904761904762</v>
      </c>
      <c r="BC147" s="179">
        <f t="shared" si="198"/>
        <v>100</v>
      </c>
      <c r="BD147" s="30">
        <f t="shared" si="223"/>
        <v>1</v>
      </c>
      <c r="BE147" s="190">
        <v>3087320</v>
      </c>
      <c r="BF147" s="190">
        <v>469839</v>
      </c>
      <c r="BG147" s="54">
        <v>58205</v>
      </c>
      <c r="BH147" s="191">
        <f t="shared" si="184"/>
        <v>3557159</v>
      </c>
      <c r="BI147" s="178">
        <f t="shared" si="185"/>
        <v>1.636277714884266</v>
      </c>
      <c r="BJ147" s="294" t="str">
        <f t="shared" si="199"/>
        <v>식약/섬유/종이업</v>
      </c>
      <c r="BK147" s="192">
        <f t="shared" si="200"/>
        <v>2.1999360555264444</v>
      </c>
      <c r="BL147" s="193">
        <f t="shared" si="201"/>
        <v>-0.56365834064217846</v>
      </c>
      <c r="BM147" s="241">
        <f t="shared" si="202"/>
        <v>80</v>
      </c>
      <c r="BN147" s="47">
        <f t="shared" si="203"/>
        <v>1.6</v>
      </c>
      <c r="BO147" s="54">
        <v>446000</v>
      </c>
      <c r="BP147" s="194">
        <f t="shared" si="186"/>
        <v>0.25116442304378395</v>
      </c>
      <c r="BQ147" s="179">
        <f t="shared" si="204"/>
        <v>55</v>
      </c>
      <c r="BR147" s="30">
        <f t="shared" si="224"/>
        <v>1.1000000000000001</v>
      </c>
      <c r="BS147" s="195">
        <v>4206030</v>
      </c>
      <c r="BT147" s="195">
        <v>2080488</v>
      </c>
      <c r="BU147" s="196">
        <f t="shared" si="205"/>
        <v>2125542</v>
      </c>
      <c r="BV147" s="178">
        <f t="shared" si="187"/>
        <v>1.1969967042271985</v>
      </c>
      <c r="BW147" s="192">
        <f t="shared" si="206"/>
        <v>5.0508176117342281</v>
      </c>
      <c r="BX147" s="192">
        <f t="shared" si="207"/>
        <v>14.851935587138303</v>
      </c>
      <c r="BY147" s="192">
        <f t="shared" si="208"/>
        <v>6.9871618081220941</v>
      </c>
      <c r="BZ147" s="192">
        <f t="shared" si="209"/>
        <v>70.937419033268029</v>
      </c>
      <c r="CA147" s="192">
        <f t="shared" si="188"/>
        <v>40</v>
      </c>
      <c r="CB147" s="55">
        <f t="shared" si="210"/>
        <v>0.8</v>
      </c>
      <c r="CC147" s="197">
        <f t="shared" si="225"/>
        <v>9.51121809952269</v>
      </c>
      <c r="CD147" s="198">
        <f t="shared" si="226"/>
        <v>96.792254485104507</v>
      </c>
      <c r="CE147" s="58">
        <f t="shared" si="227"/>
        <v>1.4518838172765676</v>
      </c>
      <c r="CF147" s="245" t="s">
        <v>2326</v>
      </c>
      <c r="CG147" s="245" t="s">
        <v>2326</v>
      </c>
      <c r="CH147" s="245" t="s">
        <v>2326</v>
      </c>
      <c r="CI147" s="245" t="s">
        <v>2326</v>
      </c>
      <c r="CJ147" s="235"/>
      <c r="CK147" s="173" t="s">
        <v>2479</v>
      </c>
      <c r="CL147" s="173" t="s">
        <v>2478</v>
      </c>
      <c r="CM147" s="199">
        <f t="shared" si="211"/>
        <v>25</v>
      </c>
      <c r="CN147" s="58">
        <f t="shared" si="228"/>
        <v>0.375</v>
      </c>
      <c r="CO147" s="54">
        <f>5121000+30207000</f>
        <v>35328000</v>
      </c>
      <c r="CP147" s="186">
        <f t="shared" si="189"/>
        <v>8.7141311372644115</v>
      </c>
      <c r="CQ147" s="179">
        <f t="shared" si="212"/>
        <v>80</v>
      </c>
      <c r="CR147" s="30">
        <f t="shared" si="229"/>
        <v>2.4</v>
      </c>
      <c r="CS147" s="200">
        <f>_xlfn.XLOOKUP(C147, '1-1. 관계사체무보증금액 (환율 등)'!$3:$3, '1-1. 관계사체무보증금액 (환율 등)'!$33:$33)</f>
        <v>0</v>
      </c>
      <c r="CT147" s="178">
        <f t="shared" si="190"/>
        <v>0</v>
      </c>
      <c r="CU147" s="179">
        <f t="shared" si="213"/>
        <v>100</v>
      </c>
      <c r="CV147" s="30">
        <f t="shared" si="230"/>
        <v>2</v>
      </c>
      <c r="CW147" s="72">
        <f t="shared" si="218"/>
        <v>18.645439628553895</v>
      </c>
    </row>
    <row r="148" spans="1:101" x14ac:dyDescent="0.6">
      <c r="A148" s="214" t="s">
        <v>1694</v>
      </c>
      <c r="B148" s="13" t="s">
        <v>2128</v>
      </c>
      <c r="C148" s="219" t="s">
        <v>1695</v>
      </c>
      <c r="D148" s="14" t="s">
        <v>203</v>
      </c>
      <c r="E148" s="217" t="s">
        <v>246</v>
      </c>
      <c r="F148" s="217" t="s">
        <v>1696</v>
      </c>
      <c r="G148" s="218">
        <v>27941</v>
      </c>
      <c r="H148" s="217" t="s">
        <v>830</v>
      </c>
      <c r="I148" s="217" t="s">
        <v>1697</v>
      </c>
      <c r="J148" s="217" t="s">
        <v>1698</v>
      </c>
      <c r="K148" s="217" t="s">
        <v>91</v>
      </c>
      <c r="L148" s="220">
        <v>98509521</v>
      </c>
      <c r="M148" s="206">
        <v>46664469</v>
      </c>
      <c r="N148" s="206">
        <v>51845052</v>
      </c>
      <c r="O148" s="206">
        <v>115386329</v>
      </c>
      <c r="P148" s="206">
        <v>2879227</v>
      </c>
      <c r="Q148" s="206">
        <v>2393878</v>
      </c>
      <c r="R148" s="206">
        <v>2701762</v>
      </c>
      <c r="S148" s="207">
        <v>34000000</v>
      </c>
      <c r="T148" s="207">
        <v>12260</v>
      </c>
      <c r="U148" s="207">
        <v>7540000</v>
      </c>
      <c r="V148" s="207">
        <v>543388</v>
      </c>
      <c r="W148" s="207">
        <v>0</v>
      </c>
      <c r="X148" s="207">
        <v>0</v>
      </c>
      <c r="Z148" s="207">
        <v>0</v>
      </c>
      <c r="AA148" s="207">
        <v>0</v>
      </c>
      <c r="AB148" s="176">
        <f t="shared" si="214"/>
        <v>8083388</v>
      </c>
      <c r="AC148" s="177">
        <f t="shared" si="191"/>
        <v>23.774670588235296</v>
      </c>
      <c r="AD148" s="177">
        <f t="shared" si="215"/>
        <v>79.567315372639271</v>
      </c>
      <c r="AE148" s="26">
        <f t="shared" si="219"/>
        <v>2.387019461179178</v>
      </c>
      <c r="AF148" s="178">
        <f t="shared" si="192"/>
        <v>23.783246547137292</v>
      </c>
      <c r="AG148" s="178">
        <f t="shared" si="193"/>
        <v>23.783246547137292</v>
      </c>
      <c r="AH148" s="178">
        <f t="shared" si="216"/>
        <v>0</v>
      </c>
      <c r="AI148" s="179">
        <f t="shared" si="217"/>
        <v>100</v>
      </c>
      <c r="AJ148" s="30">
        <f t="shared" si="220"/>
        <v>4</v>
      </c>
      <c r="AK148" s="204">
        <v>5</v>
      </c>
      <c r="AL148" s="204">
        <v>5</v>
      </c>
      <c r="AM148" s="204">
        <v>1</v>
      </c>
      <c r="AN148" s="181">
        <f t="shared" si="178"/>
        <v>10</v>
      </c>
      <c r="AO148" s="182">
        <f t="shared" si="179"/>
        <v>10</v>
      </c>
      <c r="AP148" s="183">
        <f t="shared" si="194"/>
        <v>80</v>
      </c>
      <c r="AQ148" s="38">
        <f t="shared" si="221"/>
        <v>1.6</v>
      </c>
      <c r="AR148" s="212">
        <v>2</v>
      </c>
      <c r="AS148" s="292">
        <f t="shared" si="180"/>
        <v>0.25</v>
      </c>
      <c r="AT148" s="185">
        <f t="shared" si="181"/>
        <v>1.25</v>
      </c>
      <c r="AU148" s="185">
        <f t="shared" si="195"/>
        <v>1</v>
      </c>
      <c r="AV148" s="186">
        <f t="shared" si="182"/>
        <v>20</v>
      </c>
      <c r="AW148" s="179">
        <f t="shared" si="196"/>
        <v>80</v>
      </c>
      <c r="AX148" s="239">
        <f t="shared" si="222"/>
        <v>0.8</v>
      </c>
      <c r="AY148" s="54">
        <v>11</v>
      </c>
      <c r="AZ148" s="54">
        <f>22-5</f>
        <v>17</v>
      </c>
      <c r="BA148" s="189">
        <f t="shared" si="183"/>
        <v>22</v>
      </c>
      <c r="BB148" s="178">
        <f t="shared" si="197"/>
        <v>77.272727272727266</v>
      </c>
      <c r="BC148" s="179">
        <f t="shared" si="198"/>
        <v>50</v>
      </c>
      <c r="BD148" s="30">
        <f t="shared" si="223"/>
        <v>0.5</v>
      </c>
      <c r="BE148" s="190">
        <v>1178805</v>
      </c>
      <c r="BF148" s="190">
        <v>154014</v>
      </c>
      <c r="BG148" s="54">
        <v>41166</v>
      </c>
      <c r="BH148" s="191">
        <f t="shared" si="184"/>
        <v>1332819</v>
      </c>
      <c r="BI148" s="178">
        <f t="shared" si="185"/>
        <v>3.0886414434368055</v>
      </c>
      <c r="BJ148" s="294" t="str">
        <f t="shared" si="199"/>
        <v>금속/비금속/화학업</v>
      </c>
      <c r="BK148" s="192">
        <f t="shared" si="200"/>
        <v>3.9534118626990464</v>
      </c>
      <c r="BL148" s="193">
        <f t="shared" si="201"/>
        <v>-0.86477041926224096</v>
      </c>
      <c r="BM148" s="241">
        <f t="shared" si="202"/>
        <v>80</v>
      </c>
      <c r="BN148" s="47">
        <f t="shared" si="203"/>
        <v>1.6</v>
      </c>
      <c r="BO148" s="54">
        <v>3492000</v>
      </c>
      <c r="BP148" s="194">
        <f t="shared" si="186"/>
        <v>3.0263550545922993</v>
      </c>
      <c r="BQ148" s="179">
        <f t="shared" si="204"/>
        <v>85</v>
      </c>
      <c r="BR148" s="30">
        <f t="shared" si="224"/>
        <v>1.7</v>
      </c>
      <c r="BS148" s="195">
        <v>20719642.124000002</v>
      </c>
      <c r="BT148" s="195">
        <v>23200</v>
      </c>
      <c r="BU148" s="196">
        <f t="shared" si="205"/>
        <v>20696442.124000002</v>
      </c>
      <c r="BV148" s="178">
        <f t="shared" si="187"/>
        <v>17.936650124296786</v>
      </c>
      <c r="BW148" s="192">
        <f t="shared" si="206"/>
        <v>5.1474158565187729</v>
      </c>
      <c r="BX148" s="192">
        <f t="shared" si="207"/>
        <v>163.56451315610741</v>
      </c>
      <c r="BY148" s="192">
        <f t="shared" si="208"/>
        <v>6.6930498535228526</v>
      </c>
      <c r="BZ148" s="192">
        <f t="shared" si="209"/>
        <v>2.8013659058323204</v>
      </c>
      <c r="CA148" s="192">
        <f t="shared" si="188"/>
        <v>100</v>
      </c>
      <c r="CB148" s="55">
        <f t="shared" si="210"/>
        <v>2</v>
      </c>
      <c r="CC148" s="197">
        <f t="shared" si="225"/>
        <v>90.007565234962044</v>
      </c>
      <c r="CD148" s="198">
        <f t="shared" si="226"/>
        <v>66.454435212953996</v>
      </c>
      <c r="CE148" s="58">
        <f t="shared" si="227"/>
        <v>0.99681652819430988</v>
      </c>
      <c r="CF148" s="245" t="s">
        <v>2326</v>
      </c>
      <c r="CG148" s="245" t="s">
        <v>2326</v>
      </c>
      <c r="CH148" s="245" t="s">
        <v>2326</v>
      </c>
      <c r="CI148" s="245" t="s">
        <v>2326</v>
      </c>
      <c r="CJ148" s="235"/>
      <c r="CK148" s="173" t="s">
        <v>2491</v>
      </c>
      <c r="CL148" s="173" t="s">
        <v>2478</v>
      </c>
      <c r="CM148" s="199">
        <f t="shared" si="211"/>
        <v>25</v>
      </c>
      <c r="CN148" s="58">
        <f t="shared" si="228"/>
        <v>0.375</v>
      </c>
      <c r="CO148" s="54">
        <v>4840000</v>
      </c>
      <c r="CP148" s="186">
        <f t="shared" si="189"/>
        <v>9.3355099730635818</v>
      </c>
      <c r="CQ148" s="179">
        <f t="shared" si="212"/>
        <v>80</v>
      </c>
      <c r="CR148" s="30">
        <f t="shared" si="229"/>
        <v>2.4</v>
      </c>
      <c r="CS148" s="200">
        <f>_xlfn.XLOOKUP(C148, '1-1. 관계사체무보증금액 (환율 등)'!$3:$3, '1-1. 관계사체무보증금액 (환율 등)'!$33:$33)</f>
        <v>0</v>
      </c>
      <c r="CT148" s="178">
        <f t="shared" si="190"/>
        <v>0</v>
      </c>
      <c r="CU148" s="179">
        <f t="shared" si="213"/>
        <v>100</v>
      </c>
      <c r="CV148" s="30">
        <f t="shared" si="230"/>
        <v>2</v>
      </c>
      <c r="CW148" s="72">
        <f t="shared" si="218"/>
        <v>20.358835989373489</v>
      </c>
    </row>
    <row r="149" spans="1:101" x14ac:dyDescent="0.6">
      <c r="A149" s="214" t="s">
        <v>911</v>
      </c>
      <c r="B149" s="13" t="s">
        <v>2129</v>
      </c>
      <c r="C149" s="219" t="s">
        <v>439</v>
      </c>
      <c r="D149" s="216" t="s">
        <v>285</v>
      </c>
      <c r="E149" s="217" t="s">
        <v>171</v>
      </c>
      <c r="F149" s="217" t="s">
        <v>259</v>
      </c>
      <c r="G149" s="218">
        <v>32230</v>
      </c>
      <c r="H149" s="217" t="s">
        <v>830</v>
      </c>
      <c r="I149" s="217" t="s">
        <v>793</v>
      </c>
      <c r="J149" s="217" t="s">
        <v>1216</v>
      </c>
      <c r="K149" s="217" t="s">
        <v>91</v>
      </c>
      <c r="L149" s="220">
        <v>395346619</v>
      </c>
      <c r="M149" s="206">
        <v>33864968</v>
      </c>
      <c r="N149" s="206">
        <v>361481651</v>
      </c>
      <c r="O149" s="206">
        <v>285742678</v>
      </c>
      <c r="P149" s="206">
        <v>9710082</v>
      </c>
      <c r="Q149" s="206">
        <v>36912471</v>
      </c>
      <c r="R149" s="206">
        <v>33624974</v>
      </c>
      <c r="S149" s="207">
        <v>18466948</v>
      </c>
      <c r="T149" s="207">
        <v>838844</v>
      </c>
      <c r="U149" s="207">
        <v>3880228</v>
      </c>
      <c r="V149" s="207">
        <f>625919+477433+536916+537315+753569+849208</f>
        <v>3780360</v>
      </c>
      <c r="W149" s="207">
        <v>42756</v>
      </c>
      <c r="X149" s="207">
        <v>0</v>
      </c>
      <c r="Z149" s="207">
        <v>0</v>
      </c>
      <c r="AA149" s="207">
        <v>0</v>
      </c>
      <c r="AB149" s="176">
        <f t="shared" si="214"/>
        <v>7703344</v>
      </c>
      <c r="AC149" s="177">
        <f t="shared" si="191"/>
        <v>41.714223703884365</v>
      </c>
      <c r="AD149" s="177">
        <f t="shared" si="215"/>
        <v>64.084386906889222</v>
      </c>
      <c r="AE149" s="26">
        <f t="shared" si="219"/>
        <v>1.9225316072066765</v>
      </c>
      <c r="AF149" s="178">
        <f t="shared" si="192"/>
        <v>43.456675771824358</v>
      </c>
      <c r="AG149" s="178">
        <f t="shared" si="193"/>
        <v>43.69922029050884</v>
      </c>
      <c r="AH149" s="178">
        <f t="shared" si="216"/>
        <v>0.24254451868448257</v>
      </c>
      <c r="AI149" s="179">
        <f t="shared" si="217"/>
        <v>100</v>
      </c>
      <c r="AJ149" s="30">
        <f t="shared" si="220"/>
        <v>4</v>
      </c>
      <c r="AK149" s="204">
        <v>4</v>
      </c>
      <c r="AL149" s="204">
        <v>7</v>
      </c>
      <c r="AM149" s="204">
        <v>1</v>
      </c>
      <c r="AN149" s="181">
        <f t="shared" si="178"/>
        <v>11</v>
      </c>
      <c r="AO149" s="182">
        <f t="shared" si="179"/>
        <v>9.0909090909090917</v>
      </c>
      <c r="AP149" s="183">
        <f t="shared" si="194"/>
        <v>100</v>
      </c>
      <c r="AQ149" s="38">
        <f t="shared" si="221"/>
        <v>2</v>
      </c>
      <c r="AR149" s="212">
        <v>3</v>
      </c>
      <c r="AS149" s="292">
        <f t="shared" si="180"/>
        <v>0.25</v>
      </c>
      <c r="AT149" s="185">
        <f t="shared" si="181"/>
        <v>1</v>
      </c>
      <c r="AU149" s="185">
        <f t="shared" si="195"/>
        <v>1</v>
      </c>
      <c r="AV149" s="186">
        <f t="shared" si="182"/>
        <v>50</v>
      </c>
      <c r="AW149" s="179">
        <f t="shared" si="196"/>
        <v>100</v>
      </c>
      <c r="AX149" s="239">
        <f t="shared" si="222"/>
        <v>1</v>
      </c>
      <c r="AY149" s="54">
        <v>6</v>
      </c>
      <c r="AZ149" s="54">
        <v>18</v>
      </c>
      <c r="BA149" s="189">
        <f t="shared" si="183"/>
        <v>18</v>
      </c>
      <c r="BB149" s="178">
        <f t="shared" si="197"/>
        <v>100</v>
      </c>
      <c r="BC149" s="179">
        <f t="shared" si="198"/>
        <v>100</v>
      </c>
      <c r="BD149" s="30">
        <f t="shared" si="223"/>
        <v>1</v>
      </c>
      <c r="BE149" s="190">
        <v>4324716.0199999996</v>
      </c>
      <c r="BF149" s="190">
        <v>413339.95199999999</v>
      </c>
      <c r="BG149" s="54">
        <v>164487</v>
      </c>
      <c r="BH149" s="191">
        <f t="shared" si="184"/>
        <v>4738055.9719999991</v>
      </c>
      <c r="BI149" s="178">
        <f t="shared" si="185"/>
        <v>3.4716136949848604</v>
      </c>
      <c r="BJ149" s="294" t="str">
        <f t="shared" si="199"/>
        <v>비제조/서비스업</v>
      </c>
      <c r="BK149" s="192">
        <f t="shared" si="200"/>
        <v>1.7464434573900924</v>
      </c>
      <c r="BL149" s="193">
        <f t="shared" si="201"/>
        <v>1.725170237594768</v>
      </c>
      <c r="BM149" s="241">
        <f t="shared" si="202"/>
        <v>60</v>
      </c>
      <c r="BN149" s="47">
        <f t="shared" si="203"/>
        <v>1.2</v>
      </c>
      <c r="BO149" s="54">
        <v>0</v>
      </c>
      <c r="BP149" s="194">
        <f t="shared" si="186"/>
        <v>0</v>
      </c>
      <c r="BQ149" s="179">
        <f t="shared" si="204"/>
        <v>25</v>
      </c>
      <c r="BR149" s="30">
        <f t="shared" si="224"/>
        <v>0.5</v>
      </c>
      <c r="BS149" s="195">
        <v>169594.31</v>
      </c>
      <c r="BT149" s="195">
        <v>57908.09</v>
      </c>
      <c r="BU149" s="196">
        <f t="shared" si="205"/>
        <v>111686.22</v>
      </c>
      <c r="BV149" s="178">
        <f t="shared" si="187"/>
        <v>3.9086292877817848E-2</v>
      </c>
      <c r="BW149" s="192">
        <f t="shared" si="206"/>
        <v>2.8482825397737606</v>
      </c>
      <c r="BX149" s="192">
        <f t="shared" si="207"/>
        <v>7.8915835535742511</v>
      </c>
      <c r="BY149" s="192">
        <f t="shared" si="208"/>
        <v>5.5697595856656799</v>
      </c>
      <c r="BZ149" s="192">
        <f t="shared" si="209"/>
        <v>69.299782666581237</v>
      </c>
      <c r="CA149" s="192">
        <f t="shared" si="188"/>
        <v>40</v>
      </c>
      <c r="CB149" s="55">
        <f t="shared" si="210"/>
        <v>0.8</v>
      </c>
      <c r="CC149" s="197">
        <f t="shared" si="225"/>
        <v>9.3683781476365997</v>
      </c>
      <c r="CD149" s="198">
        <f t="shared" si="226"/>
        <v>96.846088637825403</v>
      </c>
      <c r="CE149" s="58">
        <f t="shared" si="227"/>
        <v>1.4526913295673809</v>
      </c>
      <c r="CF149" s="245" t="s">
        <v>2326</v>
      </c>
      <c r="CG149" s="245" t="s">
        <v>2326</v>
      </c>
      <c r="CH149" s="245" t="s">
        <v>2326</v>
      </c>
      <c r="CI149" s="245" t="s">
        <v>2326</v>
      </c>
      <c r="CJ149" s="235"/>
      <c r="CK149" s="173" t="s">
        <v>2491</v>
      </c>
      <c r="CL149" s="173" t="s">
        <v>2478</v>
      </c>
      <c r="CM149" s="199">
        <f t="shared" si="211"/>
        <v>25</v>
      </c>
      <c r="CN149" s="58">
        <f t="shared" si="228"/>
        <v>0.375</v>
      </c>
      <c r="CO149" s="54">
        <v>18397000</v>
      </c>
      <c r="CP149" s="186">
        <f t="shared" si="189"/>
        <v>5.0893316297263453</v>
      </c>
      <c r="CQ149" s="179">
        <f t="shared" si="212"/>
        <v>80</v>
      </c>
      <c r="CR149" s="30">
        <f t="shared" si="229"/>
        <v>2.4</v>
      </c>
      <c r="CS149" s="200">
        <f>_xlfn.XLOOKUP(C149, '1-1. 관계사체무보증금액 (환율 등)'!$3:$3, '1-1. 관계사체무보증금액 (환율 등)'!$33:$33)</f>
        <v>0</v>
      </c>
      <c r="CT149" s="178">
        <f t="shared" si="190"/>
        <v>0</v>
      </c>
      <c r="CU149" s="179">
        <f t="shared" si="213"/>
        <v>100</v>
      </c>
      <c r="CV149" s="30">
        <f t="shared" si="230"/>
        <v>2</v>
      </c>
      <c r="CW149" s="72">
        <f t="shared" si="218"/>
        <v>18.650222936774057</v>
      </c>
    </row>
    <row r="150" spans="1:101" x14ac:dyDescent="0.6">
      <c r="A150" s="214" t="s">
        <v>940</v>
      </c>
      <c r="B150" s="13" t="s">
        <v>2130</v>
      </c>
      <c r="C150" s="219" t="s">
        <v>888</v>
      </c>
      <c r="D150" s="216" t="s">
        <v>202</v>
      </c>
      <c r="E150" s="217" t="s">
        <v>205</v>
      </c>
      <c r="F150" s="217" t="s">
        <v>387</v>
      </c>
      <c r="G150" s="218">
        <v>28122</v>
      </c>
      <c r="H150" s="217" t="s">
        <v>830</v>
      </c>
      <c r="I150" s="217" t="s">
        <v>986</v>
      </c>
      <c r="J150" s="217" t="s">
        <v>1213</v>
      </c>
      <c r="K150" s="217" t="s">
        <v>690</v>
      </c>
      <c r="L150" s="220">
        <v>486680110</v>
      </c>
      <c r="M150" s="206">
        <v>12024987</v>
      </c>
      <c r="N150" s="206">
        <v>474655123</v>
      </c>
      <c r="O150" s="206">
        <v>196500716</v>
      </c>
      <c r="P150" s="206">
        <v>14583438</v>
      </c>
      <c r="Q150" s="206">
        <v>24138425</v>
      </c>
      <c r="R150" s="206">
        <v>18484244</v>
      </c>
      <c r="S150" s="207">
        <v>20000000</v>
      </c>
      <c r="T150" s="207">
        <v>0</v>
      </c>
      <c r="U150" s="207">
        <f>2942209+6679983</f>
        <v>9622192</v>
      </c>
      <c r="V150" s="207">
        <v>0</v>
      </c>
      <c r="W150" s="207">
        <f>2000+418</f>
        <v>2418</v>
      </c>
      <c r="X150" s="207">
        <v>0</v>
      </c>
      <c r="Z150" s="207">
        <v>0</v>
      </c>
      <c r="AA150" s="207">
        <v>0</v>
      </c>
      <c r="AB150" s="176">
        <f t="shared" si="214"/>
        <v>9624610</v>
      </c>
      <c r="AC150" s="177">
        <f t="shared" si="191"/>
        <v>48.123049999999999</v>
      </c>
      <c r="AD150" s="177">
        <f t="shared" si="215"/>
        <v>58.553178941311856</v>
      </c>
      <c r="AE150" s="26">
        <f t="shared" si="219"/>
        <v>1.7565953682393556</v>
      </c>
      <c r="AF150" s="178">
        <f t="shared" si="192"/>
        <v>48.110960000000006</v>
      </c>
      <c r="AG150" s="178">
        <f t="shared" si="193"/>
        <v>48.123049999999999</v>
      </c>
      <c r="AH150" s="178">
        <f t="shared" si="216"/>
        <v>1.2089999999993495E-2</v>
      </c>
      <c r="AI150" s="179">
        <f t="shared" si="217"/>
        <v>100</v>
      </c>
      <c r="AJ150" s="30">
        <f t="shared" si="220"/>
        <v>4</v>
      </c>
      <c r="AK150" s="204">
        <v>9</v>
      </c>
      <c r="AL150" s="204">
        <v>0</v>
      </c>
      <c r="AM150" s="204">
        <v>1</v>
      </c>
      <c r="AN150" s="181">
        <f t="shared" si="178"/>
        <v>9</v>
      </c>
      <c r="AO150" s="182">
        <f t="shared" si="179"/>
        <v>11.111111111111111</v>
      </c>
      <c r="AP150" s="183">
        <f t="shared" si="194"/>
        <v>80</v>
      </c>
      <c r="AQ150" s="38">
        <f t="shared" si="221"/>
        <v>1.6</v>
      </c>
      <c r="AR150" s="212">
        <v>2</v>
      </c>
      <c r="AS150" s="292">
        <f t="shared" si="180"/>
        <v>0.25</v>
      </c>
      <c r="AT150" s="185">
        <f t="shared" si="181"/>
        <v>2.25</v>
      </c>
      <c r="AU150" s="185">
        <f t="shared" si="195"/>
        <v>2</v>
      </c>
      <c r="AV150" s="186">
        <f t="shared" si="182"/>
        <v>0</v>
      </c>
      <c r="AW150" s="179">
        <f t="shared" si="196"/>
        <v>40</v>
      </c>
      <c r="AX150" s="239">
        <f t="shared" si="222"/>
        <v>0.4</v>
      </c>
      <c r="AY150" s="54">
        <v>2</v>
      </c>
      <c r="AZ150" s="54">
        <v>4</v>
      </c>
      <c r="BA150" s="189">
        <f t="shared" si="183"/>
        <v>4</v>
      </c>
      <c r="BB150" s="178">
        <f t="shared" si="197"/>
        <v>100</v>
      </c>
      <c r="BC150" s="179">
        <f t="shared" si="198"/>
        <v>100</v>
      </c>
      <c r="BD150" s="30">
        <f t="shared" si="223"/>
        <v>1</v>
      </c>
      <c r="BE150" s="190">
        <v>5401987</v>
      </c>
      <c r="BF150" s="190">
        <v>644434</v>
      </c>
      <c r="BG150" s="301">
        <v>0</v>
      </c>
      <c r="BH150" s="191">
        <f t="shared" si="184"/>
        <v>6046421</v>
      </c>
      <c r="BI150" s="178">
        <f t="shared" si="185"/>
        <v>0</v>
      </c>
      <c r="BJ150" s="294" t="str">
        <f t="shared" si="199"/>
        <v>전기전자/기계업</v>
      </c>
      <c r="BK150" s="192">
        <f t="shared" si="200"/>
        <v>2.4096449716116455</v>
      </c>
      <c r="BL150" s="193">
        <f t="shared" si="201"/>
        <v>-2.4096449716116455</v>
      </c>
      <c r="BM150" s="241">
        <f t="shared" si="202"/>
        <v>100</v>
      </c>
      <c r="BN150" s="47">
        <f t="shared" si="203"/>
        <v>2</v>
      </c>
      <c r="BO150" s="54">
        <v>1104000</v>
      </c>
      <c r="BP150" s="194">
        <f t="shared" si="186"/>
        <v>0.56183001389165421</v>
      </c>
      <c r="BQ150" s="179">
        <f t="shared" si="204"/>
        <v>70</v>
      </c>
      <c r="BR150" s="30">
        <f t="shared" si="224"/>
        <v>1.4000000000000001</v>
      </c>
      <c r="BS150" s="195">
        <v>1471222.645</v>
      </c>
      <c r="BT150" s="195">
        <v>18670.909</v>
      </c>
      <c r="BU150" s="196">
        <f t="shared" si="205"/>
        <v>1452551.736</v>
      </c>
      <c r="BV150" s="178">
        <f t="shared" si="187"/>
        <v>0.73920938588335738</v>
      </c>
      <c r="BW150" s="192">
        <f t="shared" si="206"/>
        <v>5.2309968128308268</v>
      </c>
      <c r="BX150" s="192">
        <f t="shared" si="207"/>
        <v>20.176154288883371</v>
      </c>
      <c r="BY150" s="192">
        <f t="shared" si="208"/>
        <v>7.0695458012309622</v>
      </c>
      <c r="BZ150" s="192">
        <f t="shared" si="209"/>
        <v>73.740690163959442</v>
      </c>
      <c r="CA150" s="192">
        <f t="shared" si="188"/>
        <v>40</v>
      </c>
      <c r="CB150" s="55">
        <f t="shared" si="210"/>
        <v>0.8</v>
      </c>
      <c r="CC150" s="197">
        <f t="shared" si="225"/>
        <v>2.5334156142669504</v>
      </c>
      <c r="CD150" s="198">
        <f t="shared" si="226"/>
        <v>99.422079542361701</v>
      </c>
      <c r="CE150" s="58">
        <f t="shared" si="227"/>
        <v>1.4913311931354254</v>
      </c>
      <c r="CF150" s="245" t="s">
        <v>2326</v>
      </c>
      <c r="CG150" s="245" t="s">
        <v>2326</v>
      </c>
      <c r="CH150" s="245" t="s">
        <v>2326</v>
      </c>
      <c r="CI150" s="245" t="s">
        <v>2326</v>
      </c>
      <c r="CJ150" s="235"/>
      <c r="CK150" s="173" t="s">
        <v>2486</v>
      </c>
      <c r="CL150" s="173" t="s">
        <v>2487</v>
      </c>
      <c r="CM150" s="199">
        <f t="shared" si="211"/>
        <v>70</v>
      </c>
      <c r="CN150" s="58">
        <f t="shared" si="228"/>
        <v>1.05</v>
      </c>
      <c r="CO150" s="54">
        <v>35231000</v>
      </c>
      <c r="CP150" s="186">
        <f t="shared" si="189"/>
        <v>7.4224417461938987</v>
      </c>
      <c r="CQ150" s="179">
        <f t="shared" si="212"/>
        <v>80</v>
      </c>
      <c r="CR150" s="30">
        <f t="shared" si="229"/>
        <v>2.4</v>
      </c>
      <c r="CS150" s="200">
        <f>_xlfn.XLOOKUP(C150, '1-1. 관계사체무보증금액 (환율 등)'!$3:$3, '1-1. 관계사체무보증금액 (환율 등)'!$33:$33)</f>
        <v>0</v>
      </c>
      <c r="CT150" s="178">
        <f t="shared" si="190"/>
        <v>0</v>
      </c>
      <c r="CU150" s="179">
        <f t="shared" si="213"/>
        <v>100</v>
      </c>
      <c r="CV150" s="30">
        <f t="shared" si="230"/>
        <v>2</v>
      </c>
      <c r="CW150" s="72">
        <f t="shared" si="218"/>
        <v>19.897926561374781</v>
      </c>
    </row>
    <row r="151" spans="1:101" x14ac:dyDescent="0.6">
      <c r="A151" s="214" t="s">
        <v>94</v>
      </c>
      <c r="B151" s="13" t="s">
        <v>2131</v>
      </c>
      <c r="C151" s="219" t="s">
        <v>943</v>
      </c>
      <c r="D151" s="216" t="s">
        <v>202</v>
      </c>
      <c r="E151" s="217" t="s">
        <v>954</v>
      </c>
      <c r="F151" s="217" t="s">
        <v>152</v>
      </c>
      <c r="G151" s="218">
        <v>40746</v>
      </c>
      <c r="H151" s="217" t="s">
        <v>830</v>
      </c>
      <c r="I151" s="217" t="s">
        <v>1699</v>
      </c>
      <c r="J151" s="217" t="s">
        <v>644</v>
      </c>
      <c r="K151" s="217" t="s">
        <v>31</v>
      </c>
      <c r="L151" s="220">
        <v>293690103</v>
      </c>
      <c r="M151" s="206">
        <v>62909269</v>
      </c>
      <c r="N151" s="206">
        <v>230780834</v>
      </c>
      <c r="O151" s="206">
        <v>364111086</v>
      </c>
      <c r="P151" s="206">
        <v>16532526</v>
      </c>
      <c r="Q151" s="206">
        <v>16979269</v>
      </c>
      <c r="R151" s="206">
        <v>13013318</v>
      </c>
      <c r="S151" s="207">
        <v>40000000</v>
      </c>
      <c r="T151" s="207">
        <v>260044</v>
      </c>
      <c r="U151" s="207">
        <f>60000+19999999</f>
        <v>20059999</v>
      </c>
      <c r="V151" s="207">
        <v>0</v>
      </c>
      <c r="W151" s="207">
        <f>28810+5593</f>
        <v>34403</v>
      </c>
      <c r="X151" s="207">
        <v>0</v>
      </c>
      <c r="Z151" s="207">
        <f>1200000+655490</f>
        <v>1855490</v>
      </c>
      <c r="AA151" s="207">
        <f>17329+9435</f>
        <v>26764</v>
      </c>
      <c r="AB151" s="176">
        <f t="shared" si="214"/>
        <v>21949892</v>
      </c>
      <c r="AC151" s="177">
        <f t="shared" si="191"/>
        <v>54.874730000000007</v>
      </c>
      <c r="AD151" s="177">
        <f t="shared" si="215"/>
        <v>52.726067318757188</v>
      </c>
      <c r="AE151" s="26">
        <f t="shared" si="219"/>
        <v>1.5817820195627157</v>
      </c>
      <c r="AF151" s="178">
        <f t="shared" si="192"/>
        <v>50.512179932552392</v>
      </c>
      <c r="AG151" s="178">
        <f t="shared" si="193"/>
        <v>55.203641147757651</v>
      </c>
      <c r="AH151" s="178">
        <f t="shared" si="216"/>
        <v>4.6914612152052584</v>
      </c>
      <c r="AI151" s="179">
        <f t="shared" si="217"/>
        <v>100</v>
      </c>
      <c r="AJ151" s="30">
        <f t="shared" si="220"/>
        <v>4</v>
      </c>
      <c r="AK151" s="204">
        <v>5</v>
      </c>
      <c r="AL151" s="204">
        <v>5</v>
      </c>
      <c r="AM151" s="204">
        <v>0</v>
      </c>
      <c r="AN151" s="181">
        <f t="shared" si="178"/>
        <v>10</v>
      </c>
      <c r="AO151" s="182">
        <f t="shared" si="179"/>
        <v>0</v>
      </c>
      <c r="AP151" s="183">
        <f t="shared" si="194"/>
        <v>100</v>
      </c>
      <c r="AQ151" s="38">
        <f t="shared" si="221"/>
        <v>2</v>
      </c>
      <c r="AR151" s="212">
        <v>2</v>
      </c>
      <c r="AS151" s="292">
        <f t="shared" si="180"/>
        <v>0.25</v>
      </c>
      <c r="AT151" s="185">
        <f t="shared" si="181"/>
        <v>1.25</v>
      </c>
      <c r="AU151" s="185">
        <f t="shared" si="195"/>
        <v>1</v>
      </c>
      <c r="AV151" s="186">
        <f t="shared" si="182"/>
        <v>20</v>
      </c>
      <c r="AW151" s="179">
        <f t="shared" si="196"/>
        <v>80</v>
      </c>
      <c r="AX151" s="239">
        <f t="shared" si="222"/>
        <v>0.8</v>
      </c>
      <c r="AY151" s="54">
        <v>6</v>
      </c>
      <c r="AZ151" s="54">
        <f>12-3</f>
        <v>9</v>
      </c>
      <c r="BA151" s="189">
        <f t="shared" si="183"/>
        <v>12</v>
      </c>
      <c r="BB151" s="178">
        <f t="shared" si="197"/>
        <v>75</v>
      </c>
      <c r="BC151" s="179">
        <f t="shared" si="198"/>
        <v>50</v>
      </c>
      <c r="BD151" s="30">
        <f t="shared" si="223"/>
        <v>0.5</v>
      </c>
      <c r="BE151" s="190">
        <v>4291772</v>
      </c>
      <c r="BF151" s="190">
        <v>625151</v>
      </c>
      <c r="BG151" s="54">
        <v>174719</v>
      </c>
      <c r="BH151" s="191">
        <f t="shared" si="184"/>
        <v>4916923</v>
      </c>
      <c r="BI151" s="178">
        <f t="shared" si="185"/>
        <v>3.553421519922114</v>
      </c>
      <c r="BJ151" s="294" t="str">
        <f t="shared" si="199"/>
        <v>전기전자/기계업</v>
      </c>
      <c r="BK151" s="192">
        <f t="shared" si="200"/>
        <v>2.4096449716116455</v>
      </c>
      <c r="BL151" s="193">
        <f t="shared" si="201"/>
        <v>1.1437765483104685</v>
      </c>
      <c r="BM151" s="241">
        <f t="shared" si="202"/>
        <v>60</v>
      </c>
      <c r="BN151" s="47">
        <f t="shared" si="203"/>
        <v>1.2</v>
      </c>
      <c r="BO151" s="54">
        <v>253000</v>
      </c>
      <c r="BP151" s="194">
        <f t="shared" si="186"/>
        <v>6.9484289198489271E-2</v>
      </c>
      <c r="BQ151" s="179">
        <f t="shared" si="204"/>
        <v>40</v>
      </c>
      <c r="BR151" s="30">
        <f t="shared" si="224"/>
        <v>0.8</v>
      </c>
      <c r="BS151" s="195">
        <v>11477148.492000001</v>
      </c>
      <c r="BT151" s="195">
        <v>892899.52500000002</v>
      </c>
      <c r="BU151" s="196">
        <f t="shared" si="205"/>
        <v>10584248.967</v>
      </c>
      <c r="BV151" s="178">
        <f t="shared" si="187"/>
        <v>2.9068735817068752</v>
      </c>
      <c r="BW151" s="192">
        <f t="shared" si="206"/>
        <v>5.2309968128308268</v>
      </c>
      <c r="BX151" s="192">
        <f t="shared" si="207"/>
        <v>5.4015487934500372</v>
      </c>
      <c r="BY151" s="192">
        <f t="shared" si="208"/>
        <v>7.0695458012309622</v>
      </c>
      <c r="BZ151" s="192">
        <f t="shared" si="209"/>
        <v>62.882820804671667</v>
      </c>
      <c r="CA151" s="192">
        <f t="shared" si="188"/>
        <v>40</v>
      </c>
      <c r="CB151" s="55">
        <f t="shared" si="210"/>
        <v>0.8</v>
      </c>
      <c r="CC151" s="197">
        <f t="shared" si="225"/>
        <v>27.259312616922077</v>
      </c>
      <c r="CD151" s="198">
        <f t="shared" si="226"/>
        <v>90.103274139350972</v>
      </c>
      <c r="CE151" s="58">
        <f t="shared" si="227"/>
        <v>1.3515491120902645</v>
      </c>
      <c r="CF151" s="245" t="s">
        <v>2326</v>
      </c>
      <c r="CG151" s="245" t="s">
        <v>2326</v>
      </c>
      <c r="CH151" s="245" t="s">
        <v>2326</v>
      </c>
      <c r="CI151" s="245" t="s">
        <v>2326</v>
      </c>
      <c r="CJ151" s="235"/>
      <c r="CK151" s="173" t="s">
        <v>2479</v>
      </c>
      <c r="CL151" s="173" t="s">
        <v>2478</v>
      </c>
      <c r="CM151" s="199">
        <f t="shared" si="211"/>
        <v>25</v>
      </c>
      <c r="CN151" s="58">
        <f t="shared" si="228"/>
        <v>0.375</v>
      </c>
      <c r="CO151" s="54">
        <v>7185000</v>
      </c>
      <c r="CP151" s="186">
        <f t="shared" si="189"/>
        <v>3.1133434590153186</v>
      </c>
      <c r="CQ151" s="179">
        <f t="shared" si="212"/>
        <v>80</v>
      </c>
      <c r="CR151" s="30">
        <f t="shared" si="229"/>
        <v>2.4</v>
      </c>
      <c r="CS151" s="200">
        <f>_xlfn.XLOOKUP(C151, '1-1. 관계사체무보증금액 (환율 등)'!$3:$3, '1-1. 관계사체무보증금액 (환율 등)'!$33:$33)</f>
        <v>0</v>
      </c>
      <c r="CT151" s="178">
        <f t="shared" si="190"/>
        <v>0</v>
      </c>
      <c r="CU151" s="179">
        <f t="shared" si="213"/>
        <v>100</v>
      </c>
      <c r="CV151" s="30">
        <f t="shared" si="230"/>
        <v>2</v>
      </c>
      <c r="CW151" s="72">
        <f t="shared" si="218"/>
        <v>17.808331131652981</v>
      </c>
    </row>
    <row r="152" spans="1:101" x14ac:dyDescent="0.6">
      <c r="A152" s="214" t="s">
        <v>371</v>
      </c>
      <c r="B152" s="13" t="s">
        <v>2132</v>
      </c>
      <c r="C152" s="219" t="s">
        <v>930</v>
      </c>
      <c r="D152" s="216" t="s">
        <v>202</v>
      </c>
      <c r="E152" s="217" t="s">
        <v>575</v>
      </c>
      <c r="F152" s="217" t="s">
        <v>123</v>
      </c>
      <c r="G152" s="218">
        <v>32777</v>
      </c>
      <c r="H152" s="217" t="s">
        <v>830</v>
      </c>
      <c r="I152" s="217" t="s">
        <v>279</v>
      </c>
      <c r="J152" s="217" t="s">
        <v>1177</v>
      </c>
      <c r="K152" s="217" t="s">
        <v>308</v>
      </c>
      <c r="L152" s="220">
        <v>439293006</v>
      </c>
      <c r="M152" s="206">
        <v>233301117</v>
      </c>
      <c r="N152" s="206">
        <v>205991889</v>
      </c>
      <c r="O152" s="206">
        <v>339133931</v>
      </c>
      <c r="P152" s="206">
        <v>20669671</v>
      </c>
      <c r="Q152" s="206">
        <v>19430527</v>
      </c>
      <c r="R152" s="206">
        <v>16418030</v>
      </c>
      <c r="S152" s="207">
        <v>21000000</v>
      </c>
      <c r="T152" s="207">
        <v>300000</v>
      </c>
      <c r="U152" s="207">
        <f>1581463+7001410</f>
        <v>8582873</v>
      </c>
      <c r="V152" s="207">
        <f>505600+510292+310640+438072+348300+100000+5100+599983+640000+4660+124050+120000+124040+50000+25000+25000+115000*2</f>
        <v>4160737</v>
      </c>
      <c r="W152" s="207">
        <f>60000</f>
        <v>60000</v>
      </c>
      <c r="X152" s="207">
        <v>0</v>
      </c>
      <c r="Z152" s="207">
        <f>805080</f>
        <v>805080</v>
      </c>
      <c r="AA152" s="207">
        <f>10*1000</f>
        <v>10000</v>
      </c>
      <c r="AB152" s="176">
        <f t="shared" si="214"/>
        <v>13608690</v>
      </c>
      <c r="AC152" s="177">
        <f t="shared" si="191"/>
        <v>64.803285714285721</v>
      </c>
      <c r="AD152" s="177">
        <f t="shared" si="215"/>
        <v>44.157118198257429</v>
      </c>
      <c r="AE152" s="26">
        <f t="shared" si="219"/>
        <v>1.3247135459477228</v>
      </c>
      <c r="AF152" s="178">
        <f t="shared" si="192"/>
        <v>61.593088448525855</v>
      </c>
      <c r="AG152" s="178">
        <f t="shared" si="193"/>
        <v>65.725906234896087</v>
      </c>
      <c r="AH152" s="178">
        <f t="shared" si="216"/>
        <v>4.1328177863702322</v>
      </c>
      <c r="AI152" s="179">
        <f t="shared" si="217"/>
        <v>100</v>
      </c>
      <c r="AJ152" s="30">
        <f t="shared" si="220"/>
        <v>4</v>
      </c>
      <c r="AK152" s="204">
        <v>9</v>
      </c>
      <c r="AL152" s="204">
        <v>1</v>
      </c>
      <c r="AM152" s="204">
        <v>3</v>
      </c>
      <c r="AN152" s="181">
        <f t="shared" si="178"/>
        <v>10</v>
      </c>
      <c r="AO152" s="182">
        <f t="shared" si="179"/>
        <v>30</v>
      </c>
      <c r="AP152" s="183">
        <f t="shared" si="194"/>
        <v>40</v>
      </c>
      <c r="AQ152" s="38">
        <f t="shared" si="221"/>
        <v>0.8</v>
      </c>
      <c r="AR152" s="212">
        <v>3</v>
      </c>
      <c r="AS152" s="292">
        <f t="shared" si="180"/>
        <v>0.25</v>
      </c>
      <c r="AT152" s="185">
        <f t="shared" si="181"/>
        <v>2.25</v>
      </c>
      <c r="AU152" s="185">
        <f t="shared" si="195"/>
        <v>2</v>
      </c>
      <c r="AV152" s="186">
        <f t="shared" si="182"/>
        <v>11.111111111111111</v>
      </c>
      <c r="AW152" s="179">
        <f t="shared" si="196"/>
        <v>60</v>
      </c>
      <c r="AX152" s="239">
        <f t="shared" si="222"/>
        <v>0.6</v>
      </c>
      <c r="AY152" s="54">
        <v>7</v>
      </c>
      <c r="AZ152" s="54">
        <v>21</v>
      </c>
      <c r="BA152" s="189">
        <f t="shared" si="183"/>
        <v>21</v>
      </c>
      <c r="BB152" s="178">
        <f t="shared" si="197"/>
        <v>100</v>
      </c>
      <c r="BC152" s="179">
        <f t="shared" si="198"/>
        <v>100</v>
      </c>
      <c r="BD152" s="30">
        <f t="shared" si="223"/>
        <v>1</v>
      </c>
      <c r="BE152" s="190">
        <v>16731370.594000001</v>
      </c>
      <c r="BF152" s="190">
        <v>1820239.6129999999</v>
      </c>
      <c r="BG152" s="54">
        <v>857353.23699999996</v>
      </c>
      <c r="BH152" s="191">
        <f t="shared" si="184"/>
        <v>18551610.207000002</v>
      </c>
      <c r="BI152" s="178">
        <f t="shared" si="185"/>
        <v>4.6214491757513239</v>
      </c>
      <c r="BJ152" s="294" t="str">
        <f t="shared" si="199"/>
        <v>전기전자/기계업</v>
      </c>
      <c r="BK152" s="192">
        <f t="shared" si="200"/>
        <v>2.4096449716116455</v>
      </c>
      <c r="BL152" s="193">
        <f t="shared" si="201"/>
        <v>2.2118042041396784</v>
      </c>
      <c r="BM152" s="241">
        <f t="shared" si="202"/>
        <v>40</v>
      </c>
      <c r="BN152" s="47">
        <f t="shared" si="203"/>
        <v>0.8</v>
      </c>
      <c r="BO152" s="54">
        <f>(4195239137-900585949)/1000</f>
        <v>3294653.1880000001</v>
      </c>
      <c r="BP152" s="194">
        <f t="shared" si="186"/>
        <v>0.97149028358356737</v>
      </c>
      <c r="BQ152" s="179">
        <f t="shared" si="204"/>
        <v>70</v>
      </c>
      <c r="BR152" s="30">
        <f t="shared" si="224"/>
        <v>1.4000000000000001</v>
      </c>
      <c r="BS152" s="195">
        <v>23846667.193999998</v>
      </c>
      <c r="BT152" s="195">
        <v>21776.052</v>
      </c>
      <c r="BU152" s="196">
        <f t="shared" si="205"/>
        <v>23824891.141999997</v>
      </c>
      <c r="BV152" s="178">
        <f t="shared" si="187"/>
        <v>7.0252159881931719</v>
      </c>
      <c r="BW152" s="192">
        <f t="shared" si="206"/>
        <v>5.2309968128308268</v>
      </c>
      <c r="BX152" s="192">
        <f t="shared" si="207"/>
        <v>3.2192224492379338</v>
      </c>
      <c r="BY152" s="192">
        <f t="shared" si="208"/>
        <v>7.0695458012309622</v>
      </c>
      <c r="BZ152" s="192">
        <f t="shared" si="209"/>
        <v>39.982676064084501</v>
      </c>
      <c r="CA152" s="192">
        <f t="shared" si="188"/>
        <v>55</v>
      </c>
      <c r="CB152" s="55">
        <f t="shared" si="210"/>
        <v>1.1000000000000001</v>
      </c>
      <c r="CC152" s="197">
        <f t="shared" si="225"/>
        <v>113.25742879128605</v>
      </c>
      <c r="CD152" s="198">
        <f t="shared" si="226"/>
        <v>57.691923822379628</v>
      </c>
      <c r="CE152" s="58">
        <f t="shared" si="227"/>
        <v>0.86537885733569442</v>
      </c>
      <c r="CF152" s="245" t="s">
        <v>2326</v>
      </c>
      <c r="CG152" s="245" t="s">
        <v>2326</v>
      </c>
      <c r="CH152" s="245" t="s">
        <v>2326</v>
      </c>
      <c r="CI152" s="245" t="s">
        <v>2326</v>
      </c>
      <c r="CJ152" s="235"/>
      <c r="CK152" s="173" t="s">
        <v>2479</v>
      </c>
      <c r="CL152" s="173" t="s">
        <v>2478</v>
      </c>
      <c r="CM152" s="199">
        <f t="shared" si="211"/>
        <v>25</v>
      </c>
      <c r="CN152" s="58">
        <f t="shared" si="228"/>
        <v>0.375</v>
      </c>
      <c r="CO152" s="54">
        <v>6359000</v>
      </c>
      <c r="CP152" s="186">
        <f t="shared" si="189"/>
        <v>3.0870147513429522</v>
      </c>
      <c r="CQ152" s="179">
        <f t="shared" si="212"/>
        <v>80</v>
      </c>
      <c r="CR152" s="30">
        <f t="shared" si="229"/>
        <v>2.4</v>
      </c>
      <c r="CS152" s="200">
        <f>_xlfn.XLOOKUP(C152, '1-1. 관계사체무보증금액 (환율 등)'!$3:$3, '1-1. 관계사체무보증금액 (환율 등)'!$33:$33)</f>
        <v>0</v>
      </c>
      <c r="CT152" s="178">
        <f t="shared" si="190"/>
        <v>0</v>
      </c>
      <c r="CU152" s="179">
        <f t="shared" si="213"/>
        <v>100</v>
      </c>
      <c r="CV152" s="30">
        <f t="shared" si="230"/>
        <v>2</v>
      </c>
      <c r="CW152" s="72">
        <f t="shared" si="218"/>
        <v>16.665092403283417</v>
      </c>
    </row>
    <row r="153" spans="1:101" x14ac:dyDescent="0.6">
      <c r="A153" s="214" t="s">
        <v>1700</v>
      </c>
      <c r="B153" s="13" t="s">
        <v>2133</v>
      </c>
      <c r="C153" s="219" t="s">
        <v>1701</v>
      </c>
      <c r="D153" s="14" t="s">
        <v>191</v>
      </c>
      <c r="E153" s="217" t="s">
        <v>1702</v>
      </c>
      <c r="F153" s="217" t="s">
        <v>1703</v>
      </c>
      <c r="G153" s="218">
        <v>32416</v>
      </c>
      <c r="H153" s="217" t="s">
        <v>830</v>
      </c>
      <c r="I153" s="217" t="s">
        <v>1704</v>
      </c>
      <c r="J153" s="217" t="s">
        <v>1705</v>
      </c>
      <c r="K153" s="217" t="s">
        <v>317</v>
      </c>
      <c r="L153" s="220">
        <v>292340683</v>
      </c>
      <c r="M153" s="206">
        <v>98908853</v>
      </c>
      <c r="N153" s="206">
        <v>193431830</v>
      </c>
      <c r="O153" s="206">
        <v>135261634</v>
      </c>
      <c r="P153" s="206">
        <v>10418758</v>
      </c>
      <c r="Q153" s="206">
        <v>6051762</v>
      </c>
      <c r="R153" s="206">
        <v>3276434</v>
      </c>
      <c r="S153" s="207">
        <v>90530915</v>
      </c>
      <c r="T153" s="207">
        <v>9500000</v>
      </c>
      <c r="U153" s="207">
        <v>16708113</v>
      </c>
      <c r="V153" s="207">
        <v>6553983</v>
      </c>
      <c r="W153" s="207">
        <f>110000+30000</f>
        <v>140000</v>
      </c>
      <c r="X153" s="207">
        <v>2370000</v>
      </c>
      <c r="Y153" s="208" t="s">
        <v>2436</v>
      </c>
      <c r="Z153" s="207">
        <v>11733720</v>
      </c>
      <c r="AA153" s="207">
        <v>0</v>
      </c>
      <c r="AB153" s="176">
        <f t="shared" si="214"/>
        <v>37505816</v>
      </c>
      <c r="AC153" s="177">
        <f t="shared" si="191"/>
        <v>41.428738459121952</v>
      </c>
      <c r="AD153" s="177">
        <f t="shared" si="215"/>
        <v>64.330778084762414</v>
      </c>
      <c r="AE153" s="26">
        <f t="shared" si="219"/>
        <v>1.9299233425428723</v>
      </c>
      <c r="AF153" s="178">
        <f t="shared" si="192"/>
        <v>28.707680272399738</v>
      </c>
      <c r="AG153" s="178">
        <f t="shared" si="193"/>
        <v>46.285810792090899</v>
      </c>
      <c r="AH153" s="178">
        <f t="shared" si="216"/>
        <v>17.578130519691161</v>
      </c>
      <c r="AI153" s="179">
        <f t="shared" si="217"/>
        <v>80</v>
      </c>
      <c r="AJ153" s="30">
        <f t="shared" si="220"/>
        <v>3.2</v>
      </c>
      <c r="AK153" s="204">
        <v>4</v>
      </c>
      <c r="AL153" s="204">
        <v>9</v>
      </c>
      <c r="AM153" s="204">
        <v>1</v>
      </c>
      <c r="AN153" s="181">
        <f t="shared" si="178"/>
        <v>13</v>
      </c>
      <c r="AO153" s="182">
        <f t="shared" si="179"/>
        <v>7.6923076923076925</v>
      </c>
      <c r="AP153" s="183">
        <f t="shared" si="194"/>
        <v>100</v>
      </c>
      <c r="AQ153" s="38">
        <f t="shared" si="221"/>
        <v>2</v>
      </c>
      <c r="AR153" s="212">
        <v>1</v>
      </c>
      <c r="AS153" s="292">
        <f t="shared" si="180"/>
        <v>0.25</v>
      </c>
      <c r="AT153" s="185">
        <f t="shared" si="181"/>
        <v>1</v>
      </c>
      <c r="AU153" s="185">
        <f t="shared" si="195"/>
        <v>1</v>
      </c>
      <c r="AV153" s="186">
        <f t="shared" si="182"/>
        <v>0</v>
      </c>
      <c r="AW153" s="179">
        <f t="shared" si="196"/>
        <v>40</v>
      </c>
      <c r="AX153" s="239">
        <f t="shared" si="222"/>
        <v>0.4</v>
      </c>
      <c r="AY153" s="54">
        <v>16</v>
      </c>
      <c r="AZ153" s="54">
        <v>16</v>
      </c>
      <c r="BA153" s="189">
        <f t="shared" si="183"/>
        <v>16</v>
      </c>
      <c r="BB153" s="178">
        <f t="shared" si="197"/>
        <v>100</v>
      </c>
      <c r="BC153" s="179">
        <f t="shared" si="198"/>
        <v>100</v>
      </c>
      <c r="BD153" s="30">
        <f t="shared" si="223"/>
        <v>1</v>
      </c>
      <c r="BE153" s="190">
        <v>3490547</v>
      </c>
      <c r="BF153" s="190">
        <v>277274</v>
      </c>
      <c r="BG153" s="301">
        <v>0</v>
      </c>
      <c r="BH153" s="191">
        <f t="shared" si="184"/>
        <v>3767821</v>
      </c>
      <c r="BI153" s="178">
        <f t="shared" si="185"/>
        <v>0</v>
      </c>
      <c r="BJ153" s="294" t="str">
        <f t="shared" si="199"/>
        <v>식약/섬유/종이업</v>
      </c>
      <c r="BK153" s="192">
        <f t="shared" si="200"/>
        <v>2.1999360555264444</v>
      </c>
      <c r="BL153" s="193">
        <f t="shared" si="201"/>
        <v>-2.1999360555264444</v>
      </c>
      <c r="BM153" s="241">
        <f t="shared" si="202"/>
        <v>100</v>
      </c>
      <c r="BN153" s="47">
        <f t="shared" si="203"/>
        <v>2</v>
      </c>
      <c r="BO153" s="54">
        <v>0</v>
      </c>
      <c r="BP153" s="194">
        <f t="shared" si="186"/>
        <v>0</v>
      </c>
      <c r="BQ153" s="179">
        <f t="shared" si="204"/>
        <v>25</v>
      </c>
      <c r="BR153" s="30">
        <f t="shared" si="224"/>
        <v>0.5</v>
      </c>
      <c r="BS153" s="195">
        <v>30373.422999999999</v>
      </c>
      <c r="BT153" s="195">
        <v>0</v>
      </c>
      <c r="BU153" s="196">
        <f t="shared" si="205"/>
        <v>30373.422999999999</v>
      </c>
      <c r="BV153" s="178">
        <f t="shared" si="187"/>
        <v>2.2455312790321608E-2</v>
      </c>
      <c r="BW153" s="192">
        <f t="shared" si="206"/>
        <v>5.0508176117342281</v>
      </c>
      <c r="BX153" s="192">
        <f t="shared" si="207"/>
        <v>25.28442740944045</v>
      </c>
      <c r="BY153" s="192">
        <f t="shared" si="208"/>
        <v>6.9871618081220941</v>
      </c>
      <c r="BZ153" s="192">
        <f t="shared" si="209"/>
        <v>76.413200168760213</v>
      </c>
      <c r="CA153" s="192">
        <f t="shared" si="188"/>
        <v>40</v>
      </c>
      <c r="CB153" s="55">
        <f t="shared" si="210"/>
        <v>0.8</v>
      </c>
      <c r="CC153" s="197">
        <f t="shared" si="225"/>
        <v>51.133700694451377</v>
      </c>
      <c r="CD153" s="198">
        <f t="shared" si="226"/>
        <v>81.105389185508272</v>
      </c>
      <c r="CE153" s="58">
        <f t="shared" si="227"/>
        <v>1.2165808377826239</v>
      </c>
      <c r="CF153" s="245" t="s">
        <v>2326</v>
      </c>
      <c r="CG153" s="245" t="s">
        <v>2326</v>
      </c>
      <c r="CH153" s="245" t="s">
        <v>2326</v>
      </c>
      <c r="CI153" s="245" t="s">
        <v>2326</v>
      </c>
      <c r="CJ153" s="235"/>
      <c r="CK153" s="173" t="s">
        <v>2479</v>
      </c>
      <c r="CL153" s="173" t="s">
        <v>2478</v>
      </c>
      <c r="CM153" s="199">
        <f t="shared" si="211"/>
        <v>25</v>
      </c>
      <c r="CN153" s="58">
        <f t="shared" si="228"/>
        <v>0.375</v>
      </c>
      <c r="CO153" s="54">
        <v>181897000</v>
      </c>
      <c r="CP153" s="186">
        <f t="shared" si="189"/>
        <v>94.036746692620341</v>
      </c>
      <c r="CQ153" s="179">
        <f t="shared" si="212"/>
        <v>40</v>
      </c>
      <c r="CR153" s="30">
        <f t="shared" si="229"/>
        <v>1.2</v>
      </c>
      <c r="CS153" s="200">
        <f>_xlfn.XLOOKUP(C153, '1-1. 관계사체무보증금액 (환율 등)'!$3:$3, '1-1. 관계사체무보증금액 (환율 등)'!$33:$33)</f>
        <v>36161477.933629826</v>
      </c>
      <c r="CT153" s="178">
        <f t="shared" si="190"/>
        <v>18.694688425183088</v>
      </c>
      <c r="CU153" s="179">
        <f t="shared" si="213"/>
        <v>60</v>
      </c>
      <c r="CV153" s="30">
        <f t="shared" si="230"/>
        <v>1.2</v>
      </c>
      <c r="CW153" s="72">
        <f t="shared" si="218"/>
        <v>15.821504180325496</v>
      </c>
    </row>
    <row r="154" spans="1:101" x14ac:dyDescent="0.6">
      <c r="A154" s="214" t="s">
        <v>906</v>
      </c>
      <c r="B154" s="13" t="s">
        <v>2134</v>
      </c>
      <c r="C154" s="219" t="s">
        <v>300</v>
      </c>
      <c r="D154" s="216" t="s">
        <v>191</v>
      </c>
      <c r="E154" s="217" t="s">
        <v>34</v>
      </c>
      <c r="F154" s="217" t="s">
        <v>395</v>
      </c>
      <c r="G154" s="218">
        <v>32312</v>
      </c>
      <c r="H154" s="217" t="s">
        <v>830</v>
      </c>
      <c r="I154" s="217" t="s">
        <v>730</v>
      </c>
      <c r="J154" s="217" t="s">
        <v>675</v>
      </c>
      <c r="K154" s="217" t="s">
        <v>91</v>
      </c>
      <c r="L154" s="220">
        <v>404796609</v>
      </c>
      <c r="M154" s="206">
        <v>130234655</v>
      </c>
      <c r="N154" s="206">
        <v>274561954</v>
      </c>
      <c r="O154" s="206">
        <v>274031808</v>
      </c>
      <c r="P154" s="206">
        <v>23292333</v>
      </c>
      <c r="Q154" s="206">
        <v>24312301</v>
      </c>
      <c r="R154" s="206">
        <v>21111758</v>
      </c>
      <c r="S154" s="207">
        <v>13900000</v>
      </c>
      <c r="T154" s="207">
        <v>669087</v>
      </c>
      <c r="U154" s="207">
        <f>141000+932445</f>
        <v>1073445</v>
      </c>
      <c r="V154" s="207">
        <f>302248+443779</f>
        <v>746027</v>
      </c>
      <c r="W154" s="207">
        <f>427033+839322+6250+425000+338692+425000+2000+120000+205+67+5000+661</f>
        <v>2589230</v>
      </c>
      <c r="X154" s="207">
        <v>0</v>
      </c>
      <c r="Z154" s="207">
        <v>0</v>
      </c>
      <c r="AA154" s="207">
        <v>0</v>
      </c>
      <c r="AB154" s="176">
        <f t="shared" si="214"/>
        <v>4408702</v>
      </c>
      <c r="AC154" s="177">
        <f t="shared" si="191"/>
        <v>31.717280575539569</v>
      </c>
      <c r="AD154" s="177">
        <f t="shared" si="215"/>
        <v>72.712358536645951</v>
      </c>
      <c r="AE154" s="26">
        <f t="shared" si="219"/>
        <v>2.1813707560993785</v>
      </c>
      <c r="AF154" s="178">
        <f t="shared" si="192"/>
        <v>13.75167382628848</v>
      </c>
      <c r="AG154" s="178">
        <f t="shared" si="193"/>
        <v>33.321222806014973</v>
      </c>
      <c r="AH154" s="178">
        <f t="shared" si="216"/>
        <v>19.569548979726491</v>
      </c>
      <c r="AI154" s="179">
        <f t="shared" si="217"/>
        <v>80</v>
      </c>
      <c r="AJ154" s="30">
        <f t="shared" si="220"/>
        <v>3.2</v>
      </c>
      <c r="AK154" s="204">
        <v>6</v>
      </c>
      <c r="AL154" s="204">
        <v>28</v>
      </c>
      <c r="AM154" s="204">
        <v>5</v>
      </c>
      <c r="AN154" s="181">
        <f t="shared" si="178"/>
        <v>34</v>
      </c>
      <c r="AO154" s="182">
        <f t="shared" si="179"/>
        <v>14.705882352941178</v>
      </c>
      <c r="AP154" s="183">
        <f t="shared" si="194"/>
        <v>80</v>
      </c>
      <c r="AQ154" s="38">
        <f t="shared" si="221"/>
        <v>1.6</v>
      </c>
      <c r="AR154" s="212">
        <v>3</v>
      </c>
      <c r="AS154" s="292">
        <f t="shared" si="180"/>
        <v>0.25</v>
      </c>
      <c r="AT154" s="185">
        <f t="shared" si="181"/>
        <v>1.5</v>
      </c>
      <c r="AU154" s="185">
        <f t="shared" si="195"/>
        <v>1</v>
      </c>
      <c r="AV154" s="186">
        <f t="shared" si="182"/>
        <v>33.333333333333329</v>
      </c>
      <c r="AW154" s="179">
        <f t="shared" si="196"/>
        <v>80</v>
      </c>
      <c r="AX154" s="239">
        <f t="shared" si="222"/>
        <v>0.8</v>
      </c>
      <c r="AY154" s="54">
        <v>12</v>
      </c>
      <c r="AZ154" s="54">
        <v>36</v>
      </c>
      <c r="BA154" s="189">
        <f t="shared" si="183"/>
        <v>36</v>
      </c>
      <c r="BB154" s="178">
        <f t="shared" si="197"/>
        <v>100</v>
      </c>
      <c r="BC154" s="179">
        <f t="shared" si="198"/>
        <v>100</v>
      </c>
      <c r="BD154" s="30">
        <f t="shared" si="223"/>
        <v>1</v>
      </c>
      <c r="BE154" s="190">
        <v>35001849</v>
      </c>
      <c r="BF154" s="190">
        <v>3854232</v>
      </c>
      <c r="BG154" s="54">
        <v>384116</v>
      </c>
      <c r="BH154" s="191">
        <f t="shared" si="184"/>
        <v>38856081</v>
      </c>
      <c r="BI154" s="178">
        <f t="shared" si="185"/>
        <v>0.98856083813496276</v>
      </c>
      <c r="BJ154" s="294" t="str">
        <f t="shared" si="199"/>
        <v>식약/섬유/종이업</v>
      </c>
      <c r="BK154" s="192">
        <f t="shared" si="200"/>
        <v>2.1999360555264444</v>
      </c>
      <c r="BL154" s="193">
        <f t="shared" si="201"/>
        <v>-1.2113752173914816</v>
      </c>
      <c r="BM154" s="241">
        <f t="shared" si="202"/>
        <v>80</v>
      </c>
      <c r="BN154" s="47">
        <f t="shared" si="203"/>
        <v>1.6</v>
      </c>
      <c r="BO154" s="54">
        <f>(30674-76)*1000</f>
        <v>30598000</v>
      </c>
      <c r="BP154" s="194">
        <f t="shared" si="186"/>
        <v>11.165857067220459</v>
      </c>
      <c r="BQ154" s="179">
        <f t="shared" si="204"/>
        <v>100</v>
      </c>
      <c r="BR154" s="30">
        <f t="shared" si="224"/>
        <v>2</v>
      </c>
      <c r="BS154" s="195">
        <v>37117577</v>
      </c>
      <c r="BT154" s="195">
        <v>123102</v>
      </c>
      <c r="BU154" s="196">
        <f t="shared" si="205"/>
        <v>36994475</v>
      </c>
      <c r="BV154" s="178">
        <f t="shared" si="187"/>
        <v>13.500066021532801</v>
      </c>
      <c r="BW154" s="192">
        <f t="shared" si="206"/>
        <v>5.0508176117342281</v>
      </c>
      <c r="BX154" s="192">
        <f t="shared" si="207"/>
        <v>71.389798690483715</v>
      </c>
      <c r="BY154" s="192">
        <f t="shared" si="208"/>
        <v>6.9871618081220941</v>
      </c>
      <c r="BZ154" s="192">
        <f t="shared" si="209"/>
        <v>11.328277491417516</v>
      </c>
      <c r="CA154" s="192">
        <f t="shared" si="188"/>
        <v>85</v>
      </c>
      <c r="CB154" s="55">
        <f t="shared" si="210"/>
        <v>1.7</v>
      </c>
      <c r="CC154" s="197">
        <f t="shared" si="225"/>
        <v>47.433613107226066</v>
      </c>
      <c r="CD154" s="198">
        <f t="shared" si="226"/>
        <v>82.499894557578116</v>
      </c>
      <c r="CE154" s="58">
        <f t="shared" si="227"/>
        <v>1.2374984183636717</v>
      </c>
      <c r="CF154" s="245" t="s">
        <v>2326</v>
      </c>
      <c r="CG154" s="245" t="s">
        <v>2326</v>
      </c>
      <c r="CH154" s="245" t="s">
        <v>2326</v>
      </c>
      <c r="CI154" s="245" t="s">
        <v>2326</v>
      </c>
      <c r="CJ154" s="235"/>
      <c r="CK154" s="173" t="s">
        <v>2479</v>
      </c>
      <c r="CL154" s="173" t="s">
        <v>2478</v>
      </c>
      <c r="CM154" s="199">
        <f t="shared" si="211"/>
        <v>25</v>
      </c>
      <c r="CN154" s="58">
        <f t="shared" si="228"/>
        <v>0.375</v>
      </c>
      <c r="CO154" s="54">
        <f>30425000+1445000</f>
        <v>31870000</v>
      </c>
      <c r="CP154" s="186">
        <f t="shared" si="189"/>
        <v>11.607580560852215</v>
      </c>
      <c r="CQ154" s="179">
        <f t="shared" si="212"/>
        <v>60</v>
      </c>
      <c r="CR154" s="30">
        <f t="shared" si="229"/>
        <v>1.7999999999999998</v>
      </c>
      <c r="CS154" s="200">
        <f>_xlfn.XLOOKUP(C154, '1-1. 관계사체무보증금액 (환율 등)'!$3:$3, '1-1. 관계사체무보증금액 (환율 등)'!$33:$33)</f>
        <v>0</v>
      </c>
      <c r="CT154" s="178">
        <f t="shared" si="190"/>
        <v>0</v>
      </c>
      <c r="CU154" s="179">
        <f t="shared" si="213"/>
        <v>100</v>
      </c>
      <c r="CV154" s="30">
        <f t="shared" si="230"/>
        <v>2</v>
      </c>
      <c r="CW154" s="72">
        <f t="shared" si="218"/>
        <v>19.493869174463047</v>
      </c>
    </row>
    <row r="155" spans="1:101" x14ac:dyDescent="0.6">
      <c r="A155" s="214" t="s">
        <v>329</v>
      </c>
      <c r="B155" s="13" t="s">
        <v>2135</v>
      </c>
      <c r="C155" s="219" t="s">
        <v>858</v>
      </c>
      <c r="D155" s="216" t="s">
        <v>285</v>
      </c>
      <c r="E155" s="217" t="s">
        <v>1061</v>
      </c>
      <c r="F155" s="217" t="s">
        <v>124</v>
      </c>
      <c r="G155" s="218">
        <v>38484</v>
      </c>
      <c r="H155" s="217" t="s">
        <v>830</v>
      </c>
      <c r="I155" s="217" t="s">
        <v>734</v>
      </c>
      <c r="J155" s="217" t="s">
        <v>1197</v>
      </c>
      <c r="K155" s="217" t="s">
        <v>425</v>
      </c>
      <c r="L155" s="220">
        <v>278609820</v>
      </c>
      <c r="M155" s="206">
        <v>60662564</v>
      </c>
      <c r="N155" s="206">
        <v>217947256</v>
      </c>
      <c r="O155" s="206">
        <v>300844920</v>
      </c>
      <c r="P155" s="206">
        <v>2168970</v>
      </c>
      <c r="Q155" s="206">
        <v>5936019</v>
      </c>
      <c r="R155" s="206">
        <v>4978376</v>
      </c>
      <c r="S155" s="207">
        <v>25000000</v>
      </c>
      <c r="T155" s="207">
        <v>2640000</v>
      </c>
      <c r="U155" s="207">
        <v>4500000</v>
      </c>
      <c r="V155" s="207">
        <v>2500000</v>
      </c>
      <c r="W155" s="207">
        <f>6094+21785+13280</f>
        <v>41159</v>
      </c>
      <c r="X155" s="207">
        <v>300000</v>
      </c>
      <c r="Y155" s="208" t="s">
        <v>2437</v>
      </c>
      <c r="Z155" s="207">
        <v>750000</v>
      </c>
      <c r="AA155" s="207">
        <v>0</v>
      </c>
      <c r="AB155" s="176">
        <f t="shared" si="214"/>
        <v>8091159</v>
      </c>
      <c r="AC155" s="177">
        <f t="shared" si="191"/>
        <v>32.364636000000004</v>
      </c>
      <c r="AD155" s="177">
        <f t="shared" si="215"/>
        <v>72.15365132336018</v>
      </c>
      <c r="AE155" s="26">
        <f t="shared" si="219"/>
        <v>2.1646095397008054</v>
      </c>
      <c r="AF155" s="178">
        <f t="shared" si="192"/>
        <v>31.305903398926656</v>
      </c>
      <c r="AG155" s="178">
        <f t="shared" si="193"/>
        <v>36.185863148479427</v>
      </c>
      <c r="AH155" s="178">
        <f t="shared" si="216"/>
        <v>4.8799597495527713</v>
      </c>
      <c r="AI155" s="179">
        <f t="shared" si="217"/>
        <v>100</v>
      </c>
      <c r="AJ155" s="30">
        <f t="shared" si="220"/>
        <v>4</v>
      </c>
      <c r="AK155" s="204">
        <v>5</v>
      </c>
      <c r="AL155" s="204">
        <v>9</v>
      </c>
      <c r="AM155" s="204">
        <v>2</v>
      </c>
      <c r="AN155" s="181">
        <f t="shared" si="178"/>
        <v>14</v>
      </c>
      <c r="AO155" s="182">
        <f t="shared" si="179"/>
        <v>14.285714285714285</v>
      </c>
      <c r="AP155" s="183">
        <f t="shared" si="194"/>
        <v>80</v>
      </c>
      <c r="AQ155" s="38">
        <f t="shared" si="221"/>
        <v>1.6</v>
      </c>
      <c r="AR155" s="212">
        <v>1</v>
      </c>
      <c r="AS155" s="292">
        <f t="shared" si="180"/>
        <v>0.25</v>
      </c>
      <c r="AT155" s="185">
        <f t="shared" si="181"/>
        <v>1.25</v>
      </c>
      <c r="AU155" s="185">
        <f t="shared" si="195"/>
        <v>1</v>
      </c>
      <c r="AV155" s="186">
        <f t="shared" si="182"/>
        <v>0</v>
      </c>
      <c r="AW155" s="179">
        <f t="shared" si="196"/>
        <v>40</v>
      </c>
      <c r="AX155" s="239">
        <f t="shared" si="222"/>
        <v>0.4</v>
      </c>
      <c r="AY155" s="54">
        <v>8</v>
      </c>
      <c r="AZ155" s="54">
        <v>8</v>
      </c>
      <c r="BA155" s="189">
        <f t="shared" si="183"/>
        <v>8</v>
      </c>
      <c r="BB155" s="178">
        <f t="shared" si="197"/>
        <v>100</v>
      </c>
      <c r="BC155" s="179">
        <f t="shared" si="198"/>
        <v>100</v>
      </c>
      <c r="BD155" s="30">
        <f t="shared" si="223"/>
        <v>1</v>
      </c>
      <c r="BE155" s="190">
        <v>5045223</v>
      </c>
      <c r="BF155" s="190">
        <v>375851</v>
      </c>
      <c r="BG155" s="54">
        <v>172576</v>
      </c>
      <c r="BH155" s="191">
        <f t="shared" si="184"/>
        <v>5421074</v>
      </c>
      <c r="BI155" s="178">
        <f t="shared" si="185"/>
        <v>3.1834282284285367</v>
      </c>
      <c r="BJ155" s="294" t="str">
        <f t="shared" si="199"/>
        <v>비제조/서비스업</v>
      </c>
      <c r="BK155" s="192">
        <f t="shared" si="200"/>
        <v>1.7464434573900924</v>
      </c>
      <c r="BL155" s="193">
        <f t="shared" si="201"/>
        <v>1.4369847710384442</v>
      </c>
      <c r="BM155" s="241">
        <f t="shared" si="202"/>
        <v>60</v>
      </c>
      <c r="BN155" s="47">
        <f t="shared" si="203"/>
        <v>1.2</v>
      </c>
      <c r="BO155" s="54">
        <v>189372</v>
      </c>
      <c r="BP155" s="194">
        <f t="shared" si="186"/>
        <v>6.2946716866616861E-2</v>
      </c>
      <c r="BQ155" s="179">
        <f t="shared" si="204"/>
        <v>40</v>
      </c>
      <c r="BR155" s="30">
        <f t="shared" si="224"/>
        <v>0.8</v>
      </c>
      <c r="BS155" s="195">
        <v>1942236</v>
      </c>
      <c r="BT155" s="195">
        <v>104739</v>
      </c>
      <c r="BU155" s="196">
        <f t="shared" si="205"/>
        <v>1837497</v>
      </c>
      <c r="BV155" s="178">
        <f t="shared" si="187"/>
        <v>0.61077880258041262</v>
      </c>
      <c r="BW155" s="192">
        <f t="shared" si="206"/>
        <v>2.8482825397737606</v>
      </c>
      <c r="BX155" s="192">
        <f t="shared" si="207"/>
        <v>5.0064229739541988</v>
      </c>
      <c r="BY155" s="192">
        <f t="shared" si="208"/>
        <v>5.5697595856656799</v>
      </c>
      <c r="BZ155" s="192">
        <f t="shared" si="209"/>
        <v>65.605626404933176</v>
      </c>
      <c r="CA155" s="192">
        <f t="shared" si="188"/>
        <v>40</v>
      </c>
      <c r="CB155" s="55">
        <f t="shared" si="210"/>
        <v>0.8</v>
      </c>
      <c r="CC155" s="197">
        <f t="shared" si="225"/>
        <v>27.833598418876171</v>
      </c>
      <c r="CD155" s="198">
        <f t="shared" si="226"/>
        <v>89.886834766755214</v>
      </c>
      <c r="CE155" s="58">
        <f t="shared" si="227"/>
        <v>1.3483025215013282</v>
      </c>
      <c r="CF155" s="245" t="s">
        <v>2326</v>
      </c>
      <c r="CG155" s="245" t="s">
        <v>2326</v>
      </c>
      <c r="CH155" s="245" t="s">
        <v>2326</v>
      </c>
      <c r="CI155" s="245" t="s">
        <v>2326</v>
      </c>
      <c r="CJ155" s="235"/>
      <c r="CK155" s="173" t="s">
        <v>2491</v>
      </c>
      <c r="CL155" s="173" t="s">
        <v>2478</v>
      </c>
      <c r="CM155" s="199">
        <f t="shared" si="211"/>
        <v>25</v>
      </c>
      <c r="CN155" s="58">
        <f t="shared" si="228"/>
        <v>0.375</v>
      </c>
      <c r="CO155" s="54">
        <v>15000000</v>
      </c>
      <c r="CP155" s="186">
        <f t="shared" si="189"/>
        <v>6.8823991066902899</v>
      </c>
      <c r="CQ155" s="179">
        <f t="shared" si="212"/>
        <v>80</v>
      </c>
      <c r="CR155" s="30">
        <f t="shared" si="229"/>
        <v>2.4</v>
      </c>
      <c r="CS155" s="200">
        <f>_xlfn.XLOOKUP(C155, '1-1. 관계사체무보증금액 (환율 등)'!$3:$3, '1-1. 관계사체무보증금액 (환율 등)'!$33:$33)</f>
        <v>0</v>
      </c>
      <c r="CT155" s="178">
        <f t="shared" si="190"/>
        <v>0</v>
      </c>
      <c r="CU155" s="179">
        <f t="shared" si="213"/>
        <v>100</v>
      </c>
      <c r="CV155" s="30">
        <f t="shared" si="230"/>
        <v>2</v>
      </c>
      <c r="CW155" s="72">
        <f t="shared" si="218"/>
        <v>18.087912061202132</v>
      </c>
    </row>
    <row r="156" spans="1:101" x14ac:dyDescent="0.6">
      <c r="A156" s="214" t="s">
        <v>27</v>
      </c>
      <c r="B156" s="13" t="s">
        <v>2136</v>
      </c>
      <c r="C156" s="219" t="s">
        <v>312</v>
      </c>
      <c r="D156" s="216" t="s">
        <v>202</v>
      </c>
      <c r="E156" s="217" t="s">
        <v>205</v>
      </c>
      <c r="F156" s="217" t="s">
        <v>260</v>
      </c>
      <c r="G156" s="218">
        <v>31740</v>
      </c>
      <c r="H156" s="217" t="s">
        <v>830</v>
      </c>
      <c r="I156" s="217" t="s">
        <v>250</v>
      </c>
      <c r="J156" s="217" t="s">
        <v>1086</v>
      </c>
      <c r="K156" s="217" t="s">
        <v>317</v>
      </c>
      <c r="L156" s="220">
        <v>110962184</v>
      </c>
      <c r="M156" s="206">
        <v>49075760</v>
      </c>
      <c r="N156" s="206">
        <v>61886424</v>
      </c>
      <c r="O156" s="206">
        <v>192666638</v>
      </c>
      <c r="P156" s="206">
        <v>14593397</v>
      </c>
      <c r="Q156" s="206">
        <v>13329040</v>
      </c>
      <c r="R156" s="206">
        <v>11131018</v>
      </c>
      <c r="S156" s="207">
        <v>6613820</v>
      </c>
      <c r="T156" s="207">
        <v>0</v>
      </c>
      <c r="U156" s="207">
        <v>1356580</v>
      </c>
      <c r="V156" s="207">
        <v>166280</v>
      </c>
      <c r="W156" s="207">
        <f>300+521</f>
        <v>821</v>
      </c>
      <c r="X156" s="207">
        <v>0</v>
      </c>
      <c r="Z156" s="207">
        <v>165780</v>
      </c>
      <c r="AA156" s="207">
        <v>165780</v>
      </c>
      <c r="AB156" s="176">
        <f t="shared" si="214"/>
        <v>1689461</v>
      </c>
      <c r="AC156" s="177">
        <f t="shared" si="191"/>
        <v>25.544405502417668</v>
      </c>
      <c r="AD156" s="177">
        <f t="shared" si="215"/>
        <v>78.0399262061988</v>
      </c>
      <c r="AE156" s="26">
        <f t="shared" si="219"/>
        <v>2.3411977861859641</v>
      </c>
      <c r="AF156" s="178">
        <f t="shared" si="192"/>
        <v>23.617409321282125</v>
      </c>
      <c r="AG156" s="178">
        <f t="shared" si="193"/>
        <v>23.63014187256903</v>
      </c>
      <c r="AH156" s="178">
        <f t="shared" si="216"/>
        <v>1.2732551286905647E-2</v>
      </c>
      <c r="AI156" s="179">
        <f t="shared" si="217"/>
        <v>100</v>
      </c>
      <c r="AJ156" s="30">
        <f t="shared" si="220"/>
        <v>4</v>
      </c>
      <c r="AK156" s="204">
        <v>10</v>
      </c>
      <c r="AL156" s="204">
        <v>3</v>
      </c>
      <c r="AM156" s="204">
        <v>1</v>
      </c>
      <c r="AN156" s="181">
        <f t="shared" si="178"/>
        <v>13</v>
      </c>
      <c r="AO156" s="182">
        <f t="shared" si="179"/>
        <v>7.6923076923076925</v>
      </c>
      <c r="AP156" s="183">
        <f t="shared" si="194"/>
        <v>100</v>
      </c>
      <c r="AQ156" s="38">
        <f t="shared" si="221"/>
        <v>2</v>
      </c>
      <c r="AR156" s="212">
        <v>2</v>
      </c>
      <c r="AS156" s="292">
        <f t="shared" si="180"/>
        <v>0.25</v>
      </c>
      <c r="AT156" s="185">
        <f t="shared" si="181"/>
        <v>2.5</v>
      </c>
      <c r="AU156" s="185">
        <f t="shared" si="195"/>
        <v>2</v>
      </c>
      <c r="AV156" s="186">
        <f t="shared" si="182"/>
        <v>0</v>
      </c>
      <c r="AW156" s="179">
        <f t="shared" si="196"/>
        <v>40</v>
      </c>
      <c r="AX156" s="239">
        <f t="shared" si="222"/>
        <v>0.4</v>
      </c>
      <c r="AY156" s="54">
        <v>8</v>
      </c>
      <c r="AZ156" s="54">
        <v>16</v>
      </c>
      <c r="BA156" s="189">
        <f t="shared" si="183"/>
        <v>16</v>
      </c>
      <c r="BB156" s="178">
        <f t="shared" si="197"/>
        <v>100</v>
      </c>
      <c r="BC156" s="179">
        <f t="shared" si="198"/>
        <v>100</v>
      </c>
      <c r="BD156" s="30">
        <f t="shared" si="223"/>
        <v>1</v>
      </c>
      <c r="BE156" s="190">
        <v>7233201</v>
      </c>
      <c r="BF156" s="190">
        <v>632944</v>
      </c>
      <c r="BG156" s="54">
        <v>119637</v>
      </c>
      <c r="BH156" s="191">
        <f t="shared" si="184"/>
        <v>7866145</v>
      </c>
      <c r="BI156" s="178">
        <f t="shared" si="185"/>
        <v>1.5209101790012769</v>
      </c>
      <c r="BJ156" s="294" t="str">
        <f t="shared" si="199"/>
        <v>전기전자/기계업</v>
      </c>
      <c r="BK156" s="192">
        <f t="shared" si="200"/>
        <v>2.4096449716116455</v>
      </c>
      <c r="BL156" s="193">
        <f t="shared" si="201"/>
        <v>-0.88873479261036858</v>
      </c>
      <c r="BM156" s="241">
        <f t="shared" si="202"/>
        <v>80</v>
      </c>
      <c r="BN156" s="47">
        <f t="shared" si="203"/>
        <v>1.6</v>
      </c>
      <c r="BO156" s="54">
        <v>1627905</v>
      </c>
      <c r="BP156" s="194">
        <f t="shared" si="186"/>
        <v>0.84493351672021189</v>
      </c>
      <c r="BQ156" s="179">
        <f t="shared" si="204"/>
        <v>70</v>
      </c>
      <c r="BR156" s="30">
        <f t="shared" si="224"/>
        <v>1.4000000000000001</v>
      </c>
      <c r="BS156" s="195">
        <v>3230962.3059999999</v>
      </c>
      <c r="BT156" s="195">
        <v>603200</v>
      </c>
      <c r="BU156" s="196">
        <f t="shared" si="205"/>
        <v>2627762.3059999999</v>
      </c>
      <c r="BV156" s="178">
        <f t="shared" si="187"/>
        <v>1.3638906731740448</v>
      </c>
      <c r="BW156" s="192">
        <f t="shared" si="206"/>
        <v>5.2309968128308268</v>
      </c>
      <c r="BX156" s="192">
        <f t="shared" si="207"/>
        <v>14.954509895371178</v>
      </c>
      <c r="BY156" s="192">
        <f t="shared" si="208"/>
        <v>7.0695458012309622</v>
      </c>
      <c r="BZ156" s="192">
        <f t="shared" si="209"/>
        <v>70.781377217776352</v>
      </c>
      <c r="CA156" s="192">
        <f t="shared" si="188"/>
        <v>40</v>
      </c>
      <c r="CB156" s="55">
        <f t="shared" si="210"/>
        <v>0.8</v>
      </c>
      <c r="CC156" s="197">
        <f t="shared" si="225"/>
        <v>79.299718464909191</v>
      </c>
      <c r="CD156" s="198">
        <f t="shared" si="226"/>
        <v>70.490055854933729</v>
      </c>
      <c r="CE156" s="58">
        <f t="shared" si="227"/>
        <v>1.057350837824006</v>
      </c>
      <c r="CF156" s="245" t="s">
        <v>2326</v>
      </c>
      <c r="CG156" s="245" t="s">
        <v>2326</v>
      </c>
      <c r="CH156" s="245" t="s">
        <v>2326</v>
      </c>
      <c r="CI156" s="245" t="s">
        <v>2326</v>
      </c>
      <c r="CJ156" s="235"/>
      <c r="CK156" s="173" t="s">
        <v>2479</v>
      </c>
      <c r="CL156" s="173" t="s">
        <v>2478</v>
      </c>
      <c r="CM156" s="199">
        <f t="shared" si="211"/>
        <v>25</v>
      </c>
      <c r="CN156" s="58">
        <f t="shared" si="228"/>
        <v>0.375</v>
      </c>
      <c r="CO156" s="54">
        <f>32034000-382000</f>
        <v>31652000</v>
      </c>
      <c r="CP156" s="186">
        <f t="shared" si="189"/>
        <v>51.145304501678758</v>
      </c>
      <c r="CQ156" s="179">
        <f t="shared" si="212"/>
        <v>40</v>
      </c>
      <c r="CR156" s="30">
        <f t="shared" si="229"/>
        <v>1.2</v>
      </c>
      <c r="CS156" s="200">
        <f>_xlfn.XLOOKUP(C156, '1-1. 관계사체무보증금액 (환율 등)'!$3:$3, '1-1. 관계사체무보증금액 (환율 등)'!$33:$33)</f>
        <v>6119544.3037974685</v>
      </c>
      <c r="CT156" s="178">
        <f t="shared" si="190"/>
        <v>9.8883469237089372</v>
      </c>
      <c r="CU156" s="179">
        <f t="shared" si="213"/>
        <v>80</v>
      </c>
      <c r="CV156" s="30">
        <f t="shared" si="230"/>
        <v>1.6</v>
      </c>
      <c r="CW156" s="72">
        <f t="shared" si="218"/>
        <v>17.773548624009972</v>
      </c>
    </row>
    <row r="157" spans="1:101" x14ac:dyDescent="0.6">
      <c r="A157" s="214" t="s">
        <v>70</v>
      </c>
      <c r="B157" s="13" t="s">
        <v>2137</v>
      </c>
      <c r="C157" s="219" t="s">
        <v>328</v>
      </c>
      <c r="D157" s="216" t="s">
        <v>202</v>
      </c>
      <c r="E157" s="217" t="s">
        <v>205</v>
      </c>
      <c r="F157" s="217" t="s">
        <v>249</v>
      </c>
      <c r="G157" s="218">
        <v>27937</v>
      </c>
      <c r="H157" s="217" t="s">
        <v>830</v>
      </c>
      <c r="I157" s="217" t="s">
        <v>908</v>
      </c>
      <c r="J157" s="217" t="s">
        <v>1079</v>
      </c>
      <c r="K157" s="217" t="s">
        <v>690</v>
      </c>
      <c r="L157" s="220">
        <v>258833722</v>
      </c>
      <c r="M157" s="206">
        <v>56671294</v>
      </c>
      <c r="N157" s="206">
        <v>202162428</v>
      </c>
      <c r="O157" s="206">
        <v>211265922</v>
      </c>
      <c r="P157" s="206">
        <v>24633492</v>
      </c>
      <c r="Q157" s="206">
        <v>27322194</v>
      </c>
      <c r="R157" s="206">
        <v>21624124</v>
      </c>
      <c r="S157" s="207">
        <v>10395000</v>
      </c>
      <c r="T157" s="207">
        <v>134000</v>
      </c>
      <c r="U157" s="207">
        <v>1680198</v>
      </c>
      <c r="V157" s="207">
        <v>351000</v>
      </c>
      <c r="W157" s="207">
        <v>0</v>
      </c>
      <c r="X157" s="207">
        <v>0</v>
      </c>
      <c r="Z157" s="207">
        <f>233000+662045</f>
        <v>895045</v>
      </c>
      <c r="AA157" s="207">
        <v>165780</v>
      </c>
      <c r="AB157" s="176">
        <f t="shared" si="214"/>
        <v>2926243</v>
      </c>
      <c r="AC157" s="177">
        <f t="shared" si="191"/>
        <v>28.150485810485808</v>
      </c>
      <c r="AD157" s="177">
        <f t="shared" si="215"/>
        <v>75.790719956427665</v>
      </c>
      <c r="AE157" s="26">
        <f t="shared" si="219"/>
        <v>2.2737215986928301</v>
      </c>
      <c r="AF157" s="178">
        <f t="shared" si="192"/>
        <v>20.120393612026284</v>
      </c>
      <c r="AG157" s="178">
        <f t="shared" si="193"/>
        <v>27.344257975556747</v>
      </c>
      <c r="AH157" s="178">
        <f t="shared" si="216"/>
        <v>7.2238643635304634</v>
      </c>
      <c r="AI157" s="179">
        <f t="shared" si="217"/>
        <v>100</v>
      </c>
      <c r="AJ157" s="30">
        <f t="shared" si="220"/>
        <v>4</v>
      </c>
      <c r="AK157" s="204">
        <v>9</v>
      </c>
      <c r="AL157" s="204">
        <v>8</v>
      </c>
      <c r="AM157" s="204">
        <v>1</v>
      </c>
      <c r="AN157" s="181">
        <f t="shared" si="178"/>
        <v>17</v>
      </c>
      <c r="AO157" s="182">
        <f t="shared" si="179"/>
        <v>5.8823529411764701</v>
      </c>
      <c r="AP157" s="183">
        <f t="shared" si="194"/>
        <v>100</v>
      </c>
      <c r="AQ157" s="38">
        <f t="shared" si="221"/>
        <v>2</v>
      </c>
      <c r="AR157" s="212">
        <v>2</v>
      </c>
      <c r="AS157" s="292">
        <f t="shared" si="180"/>
        <v>0.25</v>
      </c>
      <c r="AT157" s="185">
        <f t="shared" si="181"/>
        <v>2.25</v>
      </c>
      <c r="AU157" s="185">
        <f t="shared" si="195"/>
        <v>2</v>
      </c>
      <c r="AV157" s="186">
        <f t="shared" si="182"/>
        <v>0</v>
      </c>
      <c r="AW157" s="179">
        <f t="shared" si="196"/>
        <v>40</v>
      </c>
      <c r="AX157" s="239">
        <f t="shared" si="222"/>
        <v>0.4</v>
      </c>
      <c r="AY157" s="54">
        <v>7</v>
      </c>
      <c r="AZ157" s="54">
        <v>14</v>
      </c>
      <c r="BA157" s="189">
        <f t="shared" si="183"/>
        <v>14</v>
      </c>
      <c r="BB157" s="178">
        <f t="shared" si="197"/>
        <v>100</v>
      </c>
      <c r="BC157" s="179">
        <f t="shared" si="198"/>
        <v>100</v>
      </c>
      <c r="BD157" s="30">
        <f t="shared" si="223"/>
        <v>1</v>
      </c>
      <c r="BE157" s="190">
        <v>10391630</v>
      </c>
      <c r="BF157" s="190">
        <v>1007549</v>
      </c>
      <c r="BG157" s="301">
        <v>0</v>
      </c>
      <c r="BH157" s="191">
        <f t="shared" si="184"/>
        <v>11399179</v>
      </c>
      <c r="BI157" s="178">
        <f t="shared" si="185"/>
        <v>0</v>
      </c>
      <c r="BJ157" s="294" t="str">
        <f t="shared" si="199"/>
        <v>전기전자/기계업</v>
      </c>
      <c r="BK157" s="192">
        <f t="shared" si="200"/>
        <v>2.4096449716116455</v>
      </c>
      <c r="BL157" s="193">
        <f t="shared" si="201"/>
        <v>-2.4096449716116455</v>
      </c>
      <c r="BM157" s="241">
        <f t="shared" si="202"/>
        <v>100</v>
      </c>
      <c r="BN157" s="47">
        <f t="shared" si="203"/>
        <v>2</v>
      </c>
      <c r="BO157" s="54">
        <v>3222564</v>
      </c>
      <c r="BP157" s="194">
        <f t="shared" si="186"/>
        <v>1.5253591158918662</v>
      </c>
      <c r="BQ157" s="179">
        <f t="shared" si="204"/>
        <v>70</v>
      </c>
      <c r="BR157" s="30">
        <f t="shared" si="224"/>
        <v>1.4000000000000001</v>
      </c>
      <c r="BS157" s="195">
        <v>22680596.897999998</v>
      </c>
      <c r="BT157" s="195">
        <v>10573.8</v>
      </c>
      <c r="BU157" s="196">
        <f t="shared" si="205"/>
        <v>22670023.097999997</v>
      </c>
      <c r="BV157" s="178">
        <f t="shared" si="187"/>
        <v>10.730563113723566</v>
      </c>
      <c r="BW157" s="192">
        <f t="shared" si="206"/>
        <v>5.2309968128308268</v>
      </c>
      <c r="BX157" s="192">
        <f t="shared" si="207"/>
        <v>30.245229497915044</v>
      </c>
      <c r="BY157" s="192">
        <f t="shared" si="208"/>
        <v>7.0695458012309622</v>
      </c>
      <c r="BZ157" s="192">
        <f t="shared" si="209"/>
        <v>21.830703637809368</v>
      </c>
      <c r="CA157" s="192">
        <f t="shared" si="188"/>
        <v>70</v>
      </c>
      <c r="CB157" s="55">
        <f t="shared" si="210"/>
        <v>1.4000000000000001</v>
      </c>
      <c r="CC157" s="197">
        <f t="shared" si="225"/>
        <v>28.03255508981125</v>
      </c>
      <c r="CD157" s="198">
        <f t="shared" si="226"/>
        <v>89.811851096804801</v>
      </c>
      <c r="CE157" s="58">
        <f t="shared" si="227"/>
        <v>1.3471777664520719</v>
      </c>
      <c r="CF157" s="245" t="s">
        <v>2326</v>
      </c>
      <c r="CG157" s="245" t="s">
        <v>2326</v>
      </c>
      <c r="CH157" s="245" t="s">
        <v>2326</v>
      </c>
      <c r="CI157" s="245" t="s">
        <v>2326</v>
      </c>
      <c r="CJ157" s="235"/>
      <c r="CK157" s="173" t="s">
        <v>2479</v>
      </c>
      <c r="CL157" s="173" t="s">
        <v>2478</v>
      </c>
      <c r="CM157" s="199">
        <f t="shared" si="211"/>
        <v>25</v>
      </c>
      <c r="CN157" s="58">
        <f t="shared" si="228"/>
        <v>0.375</v>
      </c>
      <c r="CO157" s="54">
        <f>13020000-562000-3000</f>
        <v>12455000</v>
      </c>
      <c r="CP157" s="186">
        <f t="shared" si="189"/>
        <v>6.1608876205226428</v>
      </c>
      <c r="CQ157" s="179">
        <f t="shared" si="212"/>
        <v>80</v>
      </c>
      <c r="CR157" s="30">
        <f t="shared" si="229"/>
        <v>2.4</v>
      </c>
      <c r="CS157" s="200">
        <f>_xlfn.XLOOKUP(C157, '1-1. 관계사체무보증금액 (환율 등)'!$3:$3, '1-1. 관계사체무보증금액 (환율 등)'!$33:$33)</f>
        <v>6417875</v>
      </c>
      <c r="CT157" s="178">
        <f t="shared" si="190"/>
        <v>3.1746131383028309</v>
      </c>
      <c r="CU157" s="179">
        <f t="shared" si="213"/>
        <v>80</v>
      </c>
      <c r="CV157" s="30">
        <f t="shared" si="230"/>
        <v>1.6</v>
      </c>
      <c r="CW157" s="72">
        <f t="shared" si="218"/>
        <v>20.195899365144903</v>
      </c>
    </row>
    <row r="158" spans="1:101" x14ac:dyDescent="0.6">
      <c r="A158" s="214" t="s">
        <v>45</v>
      </c>
      <c r="B158" s="13" t="s">
        <v>2138</v>
      </c>
      <c r="C158" s="219" t="s">
        <v>95</v>
      </c>
      <c r="D158" s="216" t="s">
        <v>202</v>
      </c>
      <c r="E158" s="217" t="s">
        <v>954</v>
      </c>
      <c r="F158" s="217" t="s">
        <v>162</v>
      </c>
      <c r="G158" s="218">
        <v>38287</v>
      </c>
      <c r="H158" s="217" t="s">
        <v>830</v>
      </c>
      <c r="I158" s="217" t="s">
        <v>247</v>
      </c>
      <c r="J158" s="217" t="s">
        <v>1066</v>
      </c>
      <c r="K158" s="217" t="s">
        <v>308</v>
      </c>
      <c r="L158" s="220">
        <v>425929471</v>
      </c>
      <c r="M158" s="206">
        <v>214344538</v>
      </c>
      <c r="N158" s="206">
        <v>211584933</v>
      </c>
      <c r="O158" s="206">
        <v>373474666</v>
      </c>
      <c r="P158" s="206">
        <v>26834891</v>
      </c>
      <c r="Q158" s="206">
        <v>16665875</v>
      </c>
      <c r="R158" s="206">
        <v>11131495</v>
      </c>
      <c r="S158" s="207">
        <v>21471450</v>
      </c>
      <c r="T158" s="207">
        <v>2111140</v>
      </c>
      <c r="U158" s="207">
        <v>2926943</v>
      </c>
      <c r="V158" s="207">
        <f>968422+805435+647900+350106+325453+208167+120780+110880+148167+118166+108167+55000*2</f>
        <v>4021643</v>
      </c>
      <c r="W158" s="207">
        <f>429290+12411+4004+5735</f>
        <v>451440</v>
      </c>
      <c r="X158" s="207">
        <v>0</v>
      </c>
      <c r="Z158" s="207">
        <v>2540000</v>
      </c>
      <c r="AA158" s="207">
        <v>0</v>
      </c>
      <c r="AB158" s="176">
        <f t="shared" si="214"/>
        <v>9940026</v>
      </c>
      <c r="AC158" s="177">
        <f t="shared" si="191"/>
        <v>46.294153399048504</v>
      </c>
      <c r="AD158" s="177">
        <f t="shared" si="215"/>
        <v>60.131628251684269</v>
      </c>
      <c r="AE158" s="26">
        <f t="shared" si="219"/>
        <v>1.8039488475505281</v>
      </c>
      <c r="AF158" s="178">
        <f t="shared" si="192"/>
        <v>35.890881912531356</v>
      </c>
      <c r="AG158" s="178">
        <f t="shared" si="193"/>
        <v>51.342287391059337</v>
      </c>
      <c r="AH158" s="178">
        <f t="shared" si="216"/>
        <v>15.451405478527981</v>
      </c>
      <c r="AI158" s="179">
        <f t="shared" si="217"/>
        <v>80</v>
      </c>
      <c r="AJ158" s="30">
        <f t="shared" si="220"/>
        <v>3.2</v>
      </c>
      <c r="AK158" s="204">
        <v>7</v>
      </c>
      <c r="AL158" s="204">
        <v>13</v>
      </c>
      <c r="AM158" s="204">
        <v>2</v>
      </c>
      <c r="AN158" s="181">
        <f t="shared" si="178"/>
        <v>20</v>
      </c>
      <c r="AO158" s="182">
        <f t="shared" si="179"/>
        <v>10</v>
      </c>
      <c r="AP158" s="183">
        <f t="shared" si="194"/>
        <v>80</v>
      </c>
      <c r="AQ158" s="38">
        <f t="shared" si="221"/>
        <v>1.6</v>
      </c>
      <c r="AR158" s="212">
        <v>3</v>
      </c>
      <c r="AS158" s="292">
        <f t="shared" si="180"/>
        <v>0.25</v>
      </c>
      <c r="AT158" s="185">
        <f t="shared" si="181"/>
        <v>1.75</v>
      </c>
      <c r="AU158" s="185">
        <f t="shared" si="195"/>
        <v>1</v>
      </c>
      <c r="AV158" s="186">
        <f t="shared" si="182"/>
        <v>28.571428571428569</v>
      </c>
      <c r="AW158" s="179">
        <f t="shared" si="196"/>
        <v>80</v>
      </c>
      <c r="AX158" s="239">
        <f t="shared" si="222"/>
        <v>0.8</v>
      </c>
      <c r="AY158" s="54">
        <v>13</v>
      </c>
      <c r="AZ158" s="54">
        <f>13*3-1</f>
        <v>38</v>
      </c>
      <c r="BA158" s="189">
        <f t="shared" si="183"/>
        <v>39</v>
      </c>
      <c r="BB158" s="178">
        <f t="shared" si="197"/>
        <v>97.435897435897431</v>
      </c>
      <c r="BC158" s="179">
        <f t="shared" si="198"/>
        <v>100</v>
      </c>
      <c r="BD158" s="30">
        <f t="shared" si="223"/>
        <v>1</v>
      </c>
      <c r="BE158" s="190">
        <v>11807420.648</v>
      </c>
      <c r="BF158" s="190">
        <v>1570922.7549999999</v>
      </c>
      <c r="BG158" s="54">
        <v>259722.875</v>
      </c>
      <c r="BH158" s="191">
        <f t="shared" si="184"/>
        <v>13378343.403000001</v>
      </c>
      <c r="BI158" s="178">
        <f t="shared" si="185"/>
        <v>1.9413679793998928</v>
      </c>
      <c r="BJ158" s="294" t="str">
        <f t="shared" si="199"/>
        <v>전기전자/기계업</v>
      </c>
      <c r="BK158" s="192">
        <f t="shared" si="200"/>
        <v>2.4096449716116455</v>
      </c>
      <c r="BL158" s="193">
        <f t="shared" si="201"/>
        <v>-0.46827699221175267</v>
      </c>
      <c r="BM158" s="241">
        <f t="shared" si="202"/>
        <v>80</v>
      </c>
      <c r="BN158" s="47">
        <f t="shared" si="203"/>
        <v>1.6</v>
      </c>
      <c r="BO158" s="54">
        <v>16339000</v>
      </c>
      <c r="BP158" s="194">
        <f t="shared" si="186"/>
        <v>4.3748616673239082</v>
      </c>
      <c r="BQ158" s="179">
        <f t="shared" si="204"/>
        <v>100</v>
      </c>
      <c r="BR158" s="30">
        <f t="shared" si="224"/>
        <v>2</v>
      </c>
      <c r="BS158" s="195">
        <v>18449358.517999999</v>
      </c>
      <c r="BT158" s="195">
        <v>45784.550999999999</v>
      </c>
      <c r="BU158" s="196">
        <f t="shared" si="205"/>
        <v>18403573.967</v>
      </c>
      <c r="BV158" s="178">
        <f t="shared" si="187"/>
        <v>4.9276632774336564</v>
      </c>
      <c r="BW158" s="192">
        <f t="shared" si="206"/>
        <v>5.2309968128308268</v>
      </c>
      <c r="BX158" s="192">
        <f t="shared" si="207"/>
        <v>9.2011233696546457E-2</v>
      </c>
      <c r="BY158" s="192">
        <f t="shared" si="208"/>
        <v>7.0695458012309622</v>
      </c>
      <c r="BZ158" s="192">
        <f t="shared" si="209"/>
        <v>51.711219574073809</v>
      </c>
      <c r="CA158" s="192">
        <f t="shared" si="188"/>
        <v>55</v>
      </c>
      <c r="CB158" s="55">
        <f t="shared" si="210"/>
        <v>1.1000000000000001</v>
      </c>
      <c r="CC158" s="197">
        <f t="shared" si="225"/>
        <v>101.30425402266239</v>
      </c>
      <c r="CD158" s="198">
        <f t="shared" si="226"/>
        <v>62.196889187438799</v>
      </c>
      <c r="CE158" s="58">
        <f t="shared" si="227"/>
        <v>0.93295333781158196</v>
      </c>
      <c r="CF158" s="245" t="s">
        <v>2326</v>
      </c>
      <c r="CG158" s="245" t="s">
        <v>2326</v>
      </c>
      <c r="CH158" s="245" t="s">
        <v>2326</v>
      </c>
      <c r="CI158" s="245" t="s">
        <v>2326</v>
      </c>
      <c r="CJ158" s="235"/>
      <c r="CK158" s="173" t="s">
        <v>2479</v>
      </c>
      <c r="CL158" s="173" t="s">
        <v>2478</v>
      </c>
      <c r="CM158" s="199">
        <f t="shared" si="211"/>
        <v>25</v>
      </c>
      <c r="CN158" s="58">
        <f t="shared" si="228"/>
        <v>0.375</v>
      </c>
      <c r="CO158" s="54">
        <v>120586000</v>
      </c>
      <c r="CP158" s="186">
        <f t="shared" si="189"/>
        <v>56.991770770369556</v>
      </c>
      <c r="CQ158" s="179">
        <f t="shared" si="212"/>
        <v>40</v>
      </c>
      <c r="CR158" s="30">
        <f t="shared" si="229"/>
        <v>1.2</v>
      </c>
      <c r="CS158" s="200">
        <f>_xlfn.XLOOKUP(C158, '1-1. 관계사체무보증금액 (환율 등)'!$3:$3, '1-1. 관계사체무보증금액 (환율 등)'!$33:$33)</f>
        <v>102765301.18723512</v>
      </c>
      <c r="CT158" s="178">
        <f t="shared" si="190"/>
        <v>48.569290700503295</v>
      </c>
      <c r="CU158" s="179">
        <f t="shared" si="213"/>
        <v>40</v>
      </c>
      <c r="CV158" s="30">
        <f t="shared" si="230"/>
        <v>0.8</v>
      </c>
      <c r="CW158" s="72">
        <f t="shared" si="218"/>
        <v>16.411902185362109</v>
      </c>
    </row>
    <row r="159" spans="1:101" x14ac:dyDescent="0.6">
      <c r="A159" s="214" t="s">
        <v>25</v>
      </c>
      <c r="B159" s="13" t="s">
        <v>2139</v>
      </c>
      <c r="C159" s="219" t="s">
        <v>39</v>
      </c>
      <c r="D159" s="216" t="s">
        <v>191</v>
      </c>
      <c r="E159" s="217" t="s">
        <v>178</v>
      </c>
      <c r="F159" s="217" t="s">
        <v>749</v>
      </c>
      <c r="G159" s="218">
        <v>42591</v>
      </c>
      <c r="H159" s="217" t="s">
        <v>830</v>
      </c>
      <c r="I159" s="217" t="s">
        <v>758</v>
      </c>
      <c r="J159" s="217" t="s">
        <v>1117</v>
      </c>
      <c r="K159" s="217" t="s">
        <v>91</v>
      </c>
      <c r="L159" s="220">
        <v>323958042</v>
      </c>
      <c r="M159" s="206">
        <v>108746469</v>
      </c>
      <c r="N159" s="206">
        <v>215211573</v>
      </c>
      <c r="O159" s="206">
        <v>362553052</v>
      </c>
      <c r="P159" s="206">
        <v>8643494</v>
      </c>
      <c r="Q159" s="206">
        <v>12941595</v>
      </c>
      <c r="R159" s="206">
        <v>11435933</v>
      </c>
      <c r="S159" s="207">
        <v>4568286</v>
      </c>
      <c r="T159" s="207">
        <v>1690</v>
      </c>
      <c r="U159" s="207">
        <f>2255842+9365</f>
        <v>2265207</v>
      </c>
      <c r="V159" s="207">
        <f>1344+252504+34606+31077+30000+25000</f>
        <v>374531</v>
      </c>
      <c r="W159" s="207">
        <f>30000*2+27000+5+5+10+5</f>
        <v>87025</v>
      </c>
      <c r="X159" s="207">
        <v>0</v>
      </c>
      <c r="Z159" s="207">
        <v>15364</v>
      </c>
      <c r="AA159" s="207">
        <v>0</v>
      </c>
      <c r="AB159" s="176">
        <f t="shared" si="214"/>
        <v>2742127</v>
      </c>
      <c r="AC159" s="177">
        <f t="shared" si="191"/>
        <v>60.025291761505294</v>
      </c>
      <c r="AD159" s="177">
        <f t="shared" si="215"/>
        <v>48.280818387653667</v>
      </c>
      <c r="AE159" s="26">
        <f t="shared" si="219"/>
        <v>1.4484245516296099</v>
      </c>
      <c r="AF159" s="178">
        <f t="shared" si="192"/>
        <v>57.805376258377137</v>
      </c>
      <c r="AG159" s="178">
        <f t="shared" si="193"/>
        <v>60.047505844615991</v>
      </c>
      <c r="AH159" s="178">
        <f t="shared" si="216"/>
        <v>2.2421295862388533</v>
      </c>
      <c r="AI159" s="179">
        <f t="shared" si="217"/>
        <v>100</v>
      </c>
      <c r="AJ159" s="30">
        <f t="shared" si="220"/>
        <v>4</v>
      </c>
      <c r="AK159" s="204">
        <v>4</v>
      </c>
      <c r="AL159" s="204">
        <v>7</v>
      </c>
      <c r="AM159" s="180">
        <v>1</v>
      </c>
      <c r="AN159" s="181">
        <f t="shared" si="178"/>
        <v>11</v>
      </c>
      <c r="AO159" s="182">
        <f t="shared" si="179"/>
        <v>9.0909090909090917</v>
      </c>
      <c r="AP159" s="183">
        <f t="shared" si="194"/>
        <v>100</v>
      </c>
      <c r="AQ159" s="38">
        <f t="shared" si="221"/>
        <v>2</v>
      </c>
      <c r="AR159" s="212">
        <v>1</v>
      </c>
      <c r="AS159" s="292">
        <f t="shared" si="180"/>
        <v>0.25</v>
      </c>
      <c r="AT159" s="185">
        <f t="shared" si="181"/>
        <v>1</v>
      </c>
      <c r="AU159" s="185">
        <f t="shared" si="195"/>
        <v>1</v>
      </c>
      <c r="AV159" s="186">
        <f t="shared" si="182"/>
        <v>0</v>
      </c>
      <c r="AW159" s="179">
        <f t="shared" si="196"/>
        <v>40</v>
      </c>
      <c r="AX159" s="239">
        <f t="shared" si="222"/>
        <v>0.4</v>
      </c>
      <c r="AY159" s="54">
        <v>11</v>
      </c>
      <c r="AZ159" s="54">
        <v>11</v>
      </c>
      <c r="BA159" s="189">
        <f t="shared" si="183"/>
        <v>11</v>
      </c>
      <c r="BB159" s="178">
        <f t="shared" si="197"/>
        <v>100</v>
      </c>
      <c r="BC159" s="179">
        <f t="shared" si="198"/>
        <v>100</v>
      </c>
      <c r="BD159" s="30">
        <f t="shared" si="223"/>
        <v>1</v>
      </c>
      <c r="BE159" s="190">
        <v>17181616</v>
      </c>
      <c r="BF159" s="190">
        <v>1199136</v>
      </c>
      <c r="BG159" s="54">
        <v>91186</v>
      </c>
      <c r="BH159" s="191">
        <f t="shared" si="184"/>
        <v>18380752</v>
      </c>
      <c r="BI159" s="178">
        <f t="shared" si="185"/>
        <v>0.49609504551282774</v>
      </c>
      <c r="BJ159" s="294" t="str">
        <f t="shared" si="199"/>
        <v>식약/섬유/종이업</v>
      </c>
      <c r="BK159" s="192">
        <f t="shared" si="200"/>
        <v>2.1999360555264444</v>
      </c>
      <c r="BL159" s="193">
        <f t="shared" si="201"/>
        <v>-1.7038410100136168</v>
      </c>
      <c r="BM159" s="241">
        <f t="shared" si="202"/>
        <v>80</v>
      </c>
      <c r="BN159" s="47">
        <f t="shared" si="203"/>
        <v>1.6</v>
      </c>
      <c r="BO159" s="54">
        <v>11667443.302999999</v>
      </c>
      <c r="BP159" s="194">
        <f t="shared" si="186"/>
        <v>3.2181340740720064</v>
      </c>
      <c r="BQ159" s="179">
        <f t="shared" si="204"/>
        <v>85</v>
      </c>
      <c r="BR159" s="30">
        <f t="shared" si="224"/>
        <v>1.7</v>
      </c>
      <c r="BS159" s="195">
        <v>38011761.686999999</v>
      </c>
      <c r="BT159" s="195">
        <v>38144.290999999997</v>
      </c>
      <c r="BU159" s="196">
        <f t="shared" si="205"/>
        <v>37973617.395999998</v>
      </c>
      <c r="BV159" s="178">
        <f t="shared" si="187"/>
        <v>10.473947795093999</v>
      </c>
      <c r="BW159" s="192">
        <f t="shared" si="206"/>
        <v>5.0508176117342281</v>
      </c>
      <c r="BX159" s="192">
        <f t="shared" si="207"/>
        <v>29.410340985667776</v>
      </c>
      <c r="BY159" s="192">
        <f t="shared" si="208"/>
        <v>6.9871618081220941</v>
      </c>
      <c r="BZ159" s="192">
        <f t="shared" si="209"/>
        <v>21.882833022222524</v>
      </c>
      <c r="CA159" s="192">
        <f t="shared" si="188"/>
        <v>70</v>
      </c>
      <c r="CB159" s="55">
        <f t="shared" si="210"/>
        <v>1.4000000000000001</v>
      </c>
      <c r="CC159" s="197">
        <f t="shared" si="225"/>
        <v>50.530028419986508</v>
      </c>
      <c r="CD159" s="198">
        <f t="shared" si="226"/>
        <v>81.332903861814131</v>
      </c>
      <c r="CE159" s="58">
        <f t="shared" si="227"/>
        <v>1.2199935579272119</v>
      </c>
      <c r="CF159" s="245" t="s">
        <v>2326</v>
      </c>
      <c r="CG159" s="245" t="s">
        <v>2326</v>
      </c>
      <c r="CH159" s="245" t="s">
        <v>2326</v>
      </c>
      <c r="CI159" s="245" t="s">
        <v>2326</v>
      </c>
      <c r="CJ159" s="235"/>
      <c r="CK159" s="173" t="s">
        <v>2490</v>
      </c>
      <c r="CL159" s="173" t="s">
        <v>2487</v>
      </c>
      <c r="CM159" s="199">
        <f t="shared" si="211"/>
        <v>70</v>
      </c>
      <c r="CN159" s="58">
        <f t="shared" si="228"/>
        <v>1.05</v>
      </c>
      <c r="CO159" s="54">
        <v>2591921</v>
      </c>
      <c r="CP159" s="186">
        <f t="shared" si="189"/>
        <v>1.2043594886042677</v>
      </c>
      <c r="CQ159" s="179">
        <f t="shared" si="212"/>
        <v>100</v>
      </c>
      <c r="CR159" s="30">
        <f t="shared" si="229"/>
        <v>3</v>
      </c>
      <c r="CS159" s="200">
        <f>_xlfn.XLOOKUP(C159, '1-1. 관계사체무보증금액 (환율 등)'!$3:$3, '1-1. 관계사체무보증금액 (환율 등)'!$33:$33)</f>
        <v>12658227.848101264</v>
      </c>
      <c r="CT159" s="178">
        <f t="shared" si="190"/>
        <v>5.881759829013129</v>
      </c>
      <c r="CU159" s="179">
        <f t="shared" si="213"/>
        <v>80</v>
      </c>
      <c r="CV159" s="30">
        <f t="shared" si="230"/>
        <v>1.6</v>
      </c>
      <c r="CW159" s="72">
        <f t="shared" si="218"/>
        <v>20.418418109556825</v>
      </c>
    </row>
    <row r="160" spans="1:101" x14ac:dyDescent="0.6">
      <c r="A160" s="214" t="s">
        <v>1706</v>
      </c>
      <c r="B160" s="13" t="s">
        <v>2140</v>
      </c>
      <c r="C160" s="219" t="s">
        <v>1707</v>
      </c>
      <c r="D160" s="14" t="s">
        <v>203</v>
      </c>
      <c r="E160" s="217" t="s">
        <v>978</v>
      </c>
      <c r="F160" s="217" t="s">
        <v>1708</v>
      </c>
      <c r="G160" s="218">
        <v>34929</v>
      </c>
      <c r="H160" s="217" t="s">
        <v>830</v>
      </c>
      <c r="I160" s="217" t="s">
        <v>1709</v>
      </c>
      <c r="J160" s="217" t="s">
        <v>1710</v>
      </c>
      <c r="K160" s="217" t="s">
        <v>91</v>
      </c>
      <c r="L160" s="220">
        <v>1847155998</v>
      </c>
      <c r="M160" s="206">
        <v>810732237</v>
      </c>
      <c r="N160" s="206">
        <v>1036423762</v>
      </c>
      <c r="O160" s="206">
        <v>1716610303</v>
      </c>
      <c r="P160" s="206">
        <v>2873932</v>
      </c>
      <c r="Q160" s="206">
        <v>21741733</v>
      </c>
      <c r="R160" s="206">
        <v>17341286</v>
      </c>
      <c r="S160" s="207">
        <v>5000000</v>
      </c>
      <c r="T160" s="207">
        <v>1117208</v>
      </c>
      <c r="U160" s="207">
        <f>1313725+576946</f>
        <v>1890671</v>
      </c>
      <c r="V160" s="207">
        <f>1125+1064+42093+24583+24550+24523</f>
        <v>117938</v>
      </c>
      <c r="W160" s="207">
        <f>712+1532+1146+46+834+1215+14*2+200+146+700+151+38+500+852+664</f>
        <v>8764</v>
      </c>
      <c r="X160" s="207">
        <v>0</v>
      </c>
      <c r="Z160" s="207">
        <f>880000+511</f>
        <v>880511</v>
      </c>
      <c r="AA160" s="207">
        <v>0</v>
      </c>
      <c r="AB160" s="176">
        <f t="shared" si="214"/>
        <v>2897884</v>
      </c>
      <c r="AC160" s="177">
        <f t="shared" si="191"/>
        <v>57.957680000000003</v>
      </c>
      <c r="AD160" s="177">
        <f t="shared" si="215"/>
        <v>50.065293440736482</v>
      </c>
      <c r="AE160" s="26">
        <f t="shared" si="219"/>
        <v>1.5019588032220945</v>
      </c>
      <c r="AF160" s="178">
        <f t="shared" si="192"/>
        <v>51.731048173582309</v>
      </c>
      <c r="AG160" s="178">
        <f t="shared" si="193"/>
        <v>74.634026236790433</v>
      </c>
      <c r="AH160" s="178">
        <f t="shared" si="216"/>
        <v>22.902978063208124</v>
      </c>
      <c r="AI160" s="179">
        <f t="shared" si="217"/>
        <v>80</v>
      </c>
      <c r="AJ160" s="30">
        <f t="shared" si="220"/>
        <v>3.2</v>
      </c>
      <c r="AK160" s="204">
        <v>7</v>
      </c>
      <c r="AL160" s="204">
        <v>8</v>
      </c>
      <c r="AM160" s="204">
        <v>1</v>
      </c>
      <c r="AN160" s="181">
        <f t="shared" si="178"/>
        <v>15</v>
      </c>
      <c r="AO160" s="182">
        <f t="shared" si="179"/>
        <v>6.666666666666667</v>
      </c>
      <c r="AP160" s="183">
        <f t="shared" si="194"/>
        <v>100</v>
      </c>
      <c r="AQ160" s="38">
        <f t="shared" si="221"/>
        <v>2</v>
      </c>
      <c r="AR160" s="212">
        <v>3</v>
      </c>
      <c r="AS160" s="292">
        <f t="shared" si="180"/>
        <v>0.25</v>
      </c>
      <c r="AT160" s="185">
        <f t="shared" si="181"/>
        <v>1.75</v>
      </c>
      <c r="AU160" s="185">
        <f t="shared" si="195"/>
        <v>1</v>
      </c>
      <c r="AV160" s="186">
        <f t="shared" si="182"/>
        <v>28.571428571428569</v>
      </c>
      <c r="AW160" s="179">
        <f t="shared" si="196"/>
        <v>80</v>
      </c>
      <c r="AX160" s="239">
        <f t="shared" si="222"/>
        <v>0.8</v>
      </c>
      <c r="AY160" s="54">
        <v>14</v>
      </c>
      <c r="AZ160" s="54">
        <f>14*3</f>
        <v>42</v>
      </c>
      <c r="BA160" s="189">
        <f t="shared" si="183"/>
        <v>42</v>
      </c>
      <c r="BB160" s="178">
        <f t="shared" si="197"/>
        <v>100</v>
      </c>
      <c r="BC160" s="179">
        <f t="shared" si="198"/>
        <v>100</v>
      </c>
      <c r="BD160" s="30">
        <f t="shared" si="223"/>
        <v>1</v>
      </c>
      <c r="BE160" s="190">
        <v>53228376</v>
      </c>
      <c r="BF160" s="190">
        <v>4538287</v>
      </c>
      <c r="BG160" s="54">
        <v>4538287</v>
      </c>
      <c r="BH160" s="191">
        <f t="shared" si="184"/>
        <v>57766663</v>
      </c>
      <c r="BI160" s="178">
        <f t="shared" si="185"/>
        <v>7.8562388137254873</v>
      </c>
      <c r="BJ160" s="294" t="str">
        <f t="shared" si="199"/>
        <v>금속/비금속/화학업</v>
      </c>
      <c r="BK160" s="192">
        <f t="shared" si="200"/>
        <v>3.9534118626990464</v>
      </c>
      <c r="BL160" s="193">
        <f t="shared" si="201"/>
        <v>3.9028269510264408</v>
      </c>
      <c r="BM160" s="241">
        <f t="shared" si="202"/>
        <v>40</v>
      </c>
      <c r="BN160" s="47">
        <f t="shared" si="203"/>
        <v>0.8</v>
      </c>
      <c r="BO160" s="54">
        <v>0</v>
      </c>
      <c r="BP160" s="194">
        <f t="shared" si="186"/>
        <v>0</v>
      </c>
      <c r="BQ160" s="179">
        <f t="shared" si="204"/>
        <v>25</v>
      </c>
      <c r="BR160" s="30">
        <f t="shared" si="224"/>
        <v>0.5</v>
      </c>
      <c r="BS160" s="195">
        <v>28453175</v>
      </c>
      <c r="BT160" s="195">
        <v>481754</v>
      </c>
      <c r="BU160" s="196">
        <f t="shared" si="205"/>
        <v>27971421</v>
      </c>
      <c r="BV160" s="178">
        <f t="shared" si="187"/>
        <v>1.6294566653314559</v>
      </c>
      <c r="BW160" s="192">
        <f t="shared" si="206"/>
        <v>5.1474158565187729</v>
      </c>
      <c r="BX160" s="192">
        <f t="shared" si="207"/>
        <v>12.376036870859322</v>
      </c>
      <c r="BY160" s="192">
        <f t="shared" si="208"/>
        <v>6.6930498535228526</v>
      </c>
      <c r="BZ160" s="192">
        <f t="shared" si="209"/>
        <v>70.042170762176113</v>
      </c>
      <c r="CA160" s="192">
        <f t="shared" si="188"/>
        <v>40</v>
      </c>
      <c r="CB160" s="55">
        <f t="shared" si="210"/>
        <v>0.8</v>
      </c>
      <c r="CC160" s="197">
        <f t="shared" si="225"/>
        <v>78.224010942736371</v>
      </c>
      <c r="CD160" s="198">
        <f t="shared" si="226"/>
        <v>70.895473262787803</v>
      </c>
      <c r="CE160" s="58">
        <f t="shared" si="227"/>
        <v>1.0634320989418171</v>
      </c>
      <c r="CF160" s="245" t="s">
        <v>2326</v>
      </c>
      <c r="CG160" s="245" t="s">
        <v>2326</v>
      </c>
      <c r="CH160" s="245" t="s">
        <v>2326</v>
      </c>
      <c r="CI160" s="245" t="s">
        <v>2326</v>
      </c>
      <c r="CJ160" s="235"/>
      <c r="CK160" s="173" t="s">
        <v>2490</v>
      </c>
      <c r="CL160" s="173" t="s">
        <v>2487</v>
      </c>
      <c r="CM160" s="199">
        <f t="shared" si="211"/>
        <v>70</v>
      </c>
      <c r="CN160" s="58">
        <f t="shared" si="228"/>
        <v>1.05</v>
      </c>
      <c r="CO160" s="54">
        <v>130415000</v>
      </c>
      <c r="CP160" s="186">
        <f t="shared" si="189"/>
        <v>12.583173483820605</v>
      </c>
      <c r="CQ160" s="179">
        <f t="shared" si="212"/>
        <v>60</v>
      </c>
      <c r="CR160" s="30">
        <f t="shared" si="229"/>
        <v>1.7999999999999998</v>
      </c>
      <c r="CS160" s="200">
        <f>_xlfn.XLOOKUP(C160, '1-1. 관계사체무보증금액 (환율 등)'!$3:$3, '1-1. 관계사체무보증금액 (환율 등)'!$33:$33)</f>
        <v>900000</v>
      </c>
      <c r="CT160" s="178">
        <f t="shared" si="190"/>
        <v>8.6837067326906769E-2</v>
      </c>
      <c r="CU160" s="179">
        <f t="shared" si="213"/>
        <v>100</v>
      </c>
      <c r="CV160" s="30">
        <f t="shared" si="230"/>
        <v>2</v>
      </c>
      <c r="CW160" s="72">
        <f t="shared" si="218"/>
        <v>16.515390902163915</v>
      </c>
    </row>
    <row r="161" spans="1:101" x14ac:dyDescent="0.6">
      <c r="A161" s="214" t="s">
        <v>1711</v>
      </c>
      <c r="B161" s="13" t="s">
        <v>2141</v>
      </c>
      <c r="C161" s="219" t="s">
        <v>1712</v>
      </c>
      <c r="D161" s="14" t="s">
        <v>191</v>
      </c>
      <c r="E161" s="217" t="s">
        <v>1713</v>
      </c>
      <c r="F161" s="217" t="s">
        <v>1714</v>
      </c>
      <c r="G161" s="218">
        <v>40590</v>
      </c>
      <c r="H161" s="217" t="s">
        <v>830</v>
      </c>
      <c r="I161" s="217" t="s">
        <v>1715</v>
      </c>
      <c r="J161" s="1" t="s">
        <v>2304</v>
      </c>
      <c r="K161" s="217" t="s">
        <v>690</v>
      </c>
      <c r="L161" s="220">
        <v>915554063</v>
      </c>
      <c r="M161" s="206">
        <v>489216440</v>
      </c>
      <c r="N161" s="206">
        <v>426337623</v>
      </c>
      <c r="O161" s="206">
        <v>1198282787</v>
      </c>
      <c r="P161" s="206">
        <v>30096580</v>
      </c>
      <c r="Q161" s="206">
        <v>53117187</v>
      </c>
      <c r="R161" s="206">
        <v>41094963</v>
      </c>
      <c r="S161" s="207">
        <v>23779604</v>
      </c>
      <c r="T161" s="207">
        <v>396</v>
      </c>
      <c r="U161" s="207">
        <v>11890211</v>
      </c>
      <c r="V161" s="207">
        <v>0</v>
      </c>
      <c r="W161" s="207">
        <f>1137+4928+3460+5</f>
        <v>9530</v>
      </c>
      <c r="X161" s="207">
        <v>0</v>
      </c>
      <c r="Z161" s="207">
        <v>0</v>
      </c>
      <c r="AA161" s="207">
        <v>0</v>
      </c>
      <c r="AB161" s="176">
        <f t="shared" si="214"/>
        <v>11899741</v>
      </c>
      <c r="AC161" s="177">
        <f t="shared" si="191"/>
        <v>50.041796322596454</v>
      </c>
      <c r="AD161" s="177">
        <f t="shared" si="215"/>
        <v>56.89718384125738</v>
      </c>
      <c r="AE161" s="26">
        <f t="shared" si="219"/>
        <v>1.7069155152377213</v>
      </c>
      <c r="AF161" s="178">
        <f t="shared" si="192"/>
        <v>50.002552650197593</v>
      </c>
      <c r="AG161" s="178">
        <f t="shared" si="193"/>
        <v>50.042629678835397</v>
      </c>
      <c r="AH161" s="178">
        <f t="shared" si="216"/>
        <v>4.007702863780338E-2</v>
      </c>
      <c r="AI161" s="179">
        <f t="shared" si="217"/>
        <v>100</v>
      </c>
      <c r="AJ161" s="30">
        <f t="shared" si="220"/>
        <v>4</v>
      </c>
      <c r="AK161" s="204">
        <v>7</v>
      </c>
      <c r="AL161" s="204">
        <v>12</v>
      </c>
      <c r="AM161" s="204">
        <v>1</v>
      </c>
      <c r="AN161" s="181">
        <f t="shared" si="178"/>
        <v>19</v>
      </c>
      <c r="AO161" s="182">
        <f t="shared" si="179"/>
        <v>5.2631578947368416</v>
      </c>
      <c r="AP161" s="183">
        <f t="shared" si="194"/>
        <v>100</v>
      </c>
      <c r="AQ161" s="38">
        <f t="shared" si="221"/>
        <v>2</v>
      </c>
      <c r="AR161" s="212">
        <v>3</v>
      </c>
      <c r="AS161" s="292">
        <f t="shared" si="180"/>
        <v>0.25</v>
      </c>
      <c r="AT161" s="185">
        <f t="shared" si="181"/>
        <v>1.75</v>
      </c>
      <c r="AU161" s="185">
        <f t="shared" si="195"/>
        <v>1</v>
      </c>
      <c r="AV161" s="186">
        <f t="shared" si="182"/>
        <v>28.571428571428569</v>
      </c>
      <c r="AW161" s="179">
        <f t="shared" si="196"/>
        <v>80</v>
      </c>
      <c r="AX161" s="239">
        <f t="shared" si="222"/>
        <v>0.8</v>
      </c>
      <c r="AY161" s="54">
        <v>6</v>
      </c>
      <c r="AZ161" s="54">
        <v>18</v>
      </c>
      <c r="BA161" s="189">
        <f t="shared" si="183"/>
        <v>18</v>
      </c>
      <c r="BB161" s="178">
        <f t="shared" si="197"/>
        <v>100</v>
      </c>
      <c r="BC161" s="179">
        <f t="shared" si="198"/>
        <v>100</v>
      </c>
      <c r="BD161" s="30">
        <f t="shared" si="223"/>
        <v>1</v>
      </c>
      <c r="BE161" s="190">
        <v>17311620</v>
      </c>
      <c r="BF161" s="190">
        <v>1774733</v>
      </c>
      <c r="BG161" s="54">
        <v>3781331</v>
      </c>
      <c r="BH161" s="191">
        <f t="shared" si="184"/>
        <v>19086353</v>
      </c>
      <c r="BI161" s="178">
        <f t="shared" si="185"/>
        <v>19.811700014140992</v>
      </c>
      <c r="BJ161" s="294" t="str">
        <f t="shared" si="199"/>
        <v>식약/섬유/종이업</v>
      </c>
      <c r="BK161" s="192">
        <f t="shared" si="200"/>
        <v>2.1999360555264444</v>
      </c>
      <c r="BL161" s="193">
        <f t="shared" si="201"/>
        <v>17.611763958614549</v>
      </c>
      <c r="BM161" s="241">
        <f t="shared" si="202"/>
        <v>20</v>
      </c>
      <c r="BN161" s="47">
        <f t="shared" si="203"/>
        <v>0.4</v>
      </c>
      <c r="BO161" s="54">
        <v>6271000</v>
      </c>
      <c r="BP161" s="194">
        <f t="shared" si="186"/>
        <v>0.52333222742020402</v>
      </c>
      <c r="BQ161" s="179">
        <f t="shared" si="204"/>
        <v>70</v>
      </c>
      <c r="BR161" s="30">
        <f t="shared" si="224"/>
        <v>1.4000000000000001</v>
      </c>
      <c r="BS161" s="195">
        <v>11487295</v>
      </c>
      <c r="BT161" s="195">
        <v>1498754</v>
      </c>
      <c r="BU161" s="196">
        <f t="shared" si="205"/>
        <v>9988541</v>
      </c>
      <c r="BV161" s="178">
        <f t="shared" si="187"/>
        <v>0.83357126617892396</v>
      </c>
      <c r="BW161" s="192">
        <f t="shared" si="206"/>
        <v>5.0508176117342281</v>
      </c>
      <c r="BX161" s="192">
        <f t="shared" si="207"/>
        <v>17.785166739099566</v>
      </c>
      <c r="BY161" s="192">
        <f t="shared" si="208"/>
        <v>6.9871618081220941</v>
      </c>
      <c r="BZ161" s="192">
        <f t="shared" si="209"/>
        <v>72.693546076446992</v>
      </c>
      <c r="CA161" s="192">
        <f t="shared" si="188"/>
        <v>40</v>
      </c>
      <c r="CB161" s="55">
        <f t="shared" si="210"/>
        <v>0.8</v>
      </c>
      <c r="CC161" s="197">
        <f t="shared" si="225"/>
        <v>114.74859679461129</v>
      </c>
      <c r="CD161" s="198">
        <f t="shared" si="226"/>
        <v>57.129925831176649</v>
      </c>
      <c r="CE161" s="58">
        <f t="shared" si="227"/>
        <v>0.85694888746764974</v>
      </c>
      <c r="CF161" s="245" t="s">
        <v>2326</v>
      </c>
      <c r="CG161" s="245" t="s">
        <v>2326</v>
      </c>
      <c r="CH161" s="245" t="s">
        <v>2326</v>
      </c>
      <c r="CI161" s="245" t="s">
        <v>2326</v>
      </c>
      <c r="CJ161" s="235"/>
      <c r="CK161" s="173" t="s">
        <v>2492</v>
      </c>
      <c r="CL161" s="173" t="s">
        <v>2493</v>
      </c>
      <c r="CM161" s="199">
        <f t="shared" si="211"/>
        <v>40</v>
      </c>
      <c r="CN161" s="58">
        <f t="shared" si="228"/>
        <v>0.6</v>
      </c>
      <c r="CO161" s="54">
        <v>312831000</v>
      </c>
      <c r="CP161" s="186">
        <f t="shared" si="189"/>
        <v>73.376353181947536</v>
      </c>
      <c r="CQ161" s="179">
        <f t="shared" si="212"/>
        <v>40</v>
      </c>
      <c r="CR161" s="30">
        <f t="shared" si="229"/>
        <v>1.2</v>
      </c>
      <c r="CS161" s="200">
        <f>_xlfn.XLOOKUP(C161, '1-1. 관계사체무보증금액 (환율 등)'!$3:$3, '1-1. 관계사체무보증금액 (환율 등)'!$33:$33)</f>
        <v>77272441</v>
      </c>
      <c r="CT161" s="178">
        <f t="shared" si="190"/>
        <v>18.124706061890297</v>
      </c>
      <c r="CU161" s="179">
        <f t="shared" si="213"/>
        <v>60</v>
      </c>
      <c r="CV161" s="30">
        <f t="shared" si="230"/>
        <v>1.2</v>
      </c>
      <c r="CW161" s="72">
        <f t="shared" si="218"/>
        <v>15.963864402705372</v>
      </c>
    </row>
    <row r="162" spans="1:101" x14ac:dyDescent="0.6">
      <c r="A162" s="214" t="s">
        <v>1716</v>
      </c>
      <c r="B162" s="13" t="s">
        <v>2142</v>
      </c>
      <c r="C162" s="219" t="s">
        <v>1717</v>
      </c>
      <c r="D162" s="14" t="s">
        <v>285</v>
      </c>
      <c r="E162" s="217" t="s">
        <v>1432</v>
      </c>
      <c r="F162" s="217" t="s">
        <v>1718</v>
      </c>
      <c r="G162" s="218">
        <v>28264</v>
      </c>
      <c r="H162" s="217" t="s">
        <v>830</v>
      </c>
      <c r="I162" s="217" t="s">
        <v>1719</v>
      </c>
      <c r="J162" s="217" t="s">
        <v>1720</v>
      </c>
      <c r="K162" s="217" t="s">
        <v>484</v>
      </c>
      <c r="L162" s="220">
        <v>818244152</v>
      </c>
      <c r="M162" s="206">
        <v>212287560</v>
      </c>
      <c r="N162" s="206">
        <v>605956593</v>
      </c>
      <c r="O162" s="206">
        <v>708635837</v>
      </c>
      <c r="P162" s="206">
        <v>24543012</v>
      </c>
      <c r="Q162" s="206">
        <v>35564999</v>
      </c>
      <c r="R162" s="206">
        <v>39359123</v>
      </c>
      <c r="S162" s="207">
        <v>19308690</v>
      </c>
      <c r="T162" s="207">
        <v>923861</v>
      </c>
      <c r="U162" s="207">
        <v>3473022</v>
      </c>
      <c r="V162" s="207">
        <f>91365+30000+25677+317819+27475</f>
        <v>492336</v>
      </c>
      <c r="W162" s="207">
        <f>8050+4550+5538+40+420+420+140+250+1100+2004</f>
        <v>22512</v>
      </c>
      <c r="X162" s="207">
        <v>672000</v>
      </c>
      <c r="Y162" s="208" t="s">
        <v>2438</v>
      </c>
      <c r="Z162" s="207">
        <f>3577634+400000</f>
        <v>3977634</v>
      </c>
      <c r="AA162" s="207">
        <f>4000+400000</f>
        <v>404000</v>
      </c>
      <c r="AB162" s="176">
        <f t="shared" si="214"/>
        <v>8637504</v>
      </c>
      <c r="AC162" s="177">
        <f t="shared" si="191"/>
        <v>44.733764952464412</v>
      </c>
      <c r="AD162" s="177">
        <f t="shared" si="215"/>
        <v>61.478338648621047</v>
      </c>
      <c r="AE162" s="26">
        <f t="shared" si="219"/>
        <v>1.8443501594586313</v>
      </c>
      <c r="AF162" s="178">
        <f t="shared" si="192"/>
        <v>22.053254608005005</v>
      </c>
      <c r="AG162" s="178">
        <f t="shared" si="193"/>
        <v>45.790458270861706</v>
      </c>
      <c r="AH162" s="178">
        <f t="shared" si="216"/>
        <v>23.7372036628567</v>
      </c>
      <c r="AI162" s="179">
        <f t="shared" si="217"/>
        <v>80</v>
      </c>
      <c r="AJ162" s="30">
        <f t="shared" si="220"/>
        <v>3.2</v>
      </c>
      <c r="AK162" s="204">
        <v>7</v>
      </c>
      <c r="AL162" s="204">
        <v>4</v>
      </c>
      <c r="AM162" s="204">
        <v>1</v>
      </c>
      <c r="AN162" s="181">
        <f t="shared" si="178"/>
        <v>11</v>
      </c>
      <c r="AO162" s="182">
        <f t="shared" si="179"/>
        <v>9.0909090909090917</v>
      </c>
      <c r="AP162" s="183">
        <f t="shared" si="194"/>
        <v>100</v>
      </c>
      <c r="AQ162" s="38">
        <f t="shared" si="221"/>
        <v>2</v>
      </c>
      <c r="AR162" s="212">
        <v>3</v>
      </c>
      <c r="AS162" s="292">
        <f t="shared" si="180"/>
        <v>0.25</v>
      </c>
      <c r="AT162" s="185">
        <f t="shared" si="181"/>
        <v>1.75</v>
      </c>
      <c r="AU162" s="185">
        <f t="shared" si="195"/>
        <v>1</v>
      </c>
      <c r="AV162" s="186">
        <f t="shared" si="182"/>
        <v>28.571428571428569</v>
      </c>
      <c r="AW162" s="179">
        <f t="shared" si="196"/>
        <v>80</v>
      </c>
      <c r="AX162" s="239">
        <f t="shared" si="222"/>
        <v>0.8</v>
      </c>
      <c r="AY162" s="54">
        <v>6</v>
      </c>
      <c r="AZ162" s="54">
        <v>18</v>
      </c>
      <c r="BA162" s="189">
        <f t="shared" si="183"/>
        <v>18</v>
      </c>
      <c r="BB162" s="178">
        <f t="shared" si="197"/>
        <v>100</v>
      </c>
      <c r="BC162" s="179">
        <f t="shared" si="198"/>
        <v>100</v>
      </c>
      <c r="BD162" s="30">
        <f t="shared" si="223"/>
        <v>1</v>
      </c>
      <c r="BE162" s="190">
        <v>19376338</v>
      </c>
      <c r="BF162" s="190">
        <v>1642522</v>
      </c>
      <c r="BG162" s="54">
        <v>2474523</v>
      </c>
      <c r="BH162" s="191">
        <f t="shared" si="184"/>
        <v>21018860</v>
      </c>
      <c r="BI162" s="178">
        <f t="shared" si="185"/>
        <v>11.772869698927535</v>
      </c>
      <c r="BJ162" s="294" t="str">
        <f t="shared" si="199"/>
        <v>비제조/서비스업</v>
      </c>
      <c r="BK162" s="192">
        <f t="shared" si="200"/>
        <v>1.7464434573900924</v>
      </c>
      <c r="BL162" s="193">
        <f t="shared" si="201"/>
        <v>10.026426241537441</v>
      </c>
      <c r="BM162" s="241">
        <f t="shared" si="202"/>
        <v>20</v>
      </c>
      <c r="BN162" s="47">
        <f t="shared" si="203"/>
        <v>0.4</v>
      </c>
      <c r="BO162" s="54">
        <v>0</v>
      </c>
      <c r="BP162" s="194">
        <f t="shared" si="186"/>
        <v>0</v>
      </c>
      <c r="BQ162" s="179">
        <f t="shared" si="204"/>
        <v>25</v>
      </c>
      <c r="BR162" s="30">
        <f t="shared" si="224"/>
        <v>0.5</v>
      </c>
      <c r="BS162" s="195">
        <v>32999050.136</v>
      </c>
      <c r="BT162" s="195">
        <v>178597.264</v>
      </c>
      <c r="BU162" s="196">
        <f t="shared" si="205"/>
        <v>32820452.872000001</v>
      </c>
      <c r="BV162" s="178">
        <f t="shared" si="187"/>
        <v>4.6314977536198194</v>
      </c>
      <c r="BW162" s="192">
        <f t="shared" si="206"/>
        <v>2.8482825397737606</v>
      </c>
      <c r="BX162" s="192">
        <f t="shared" si="207"/>
        <v>3.1798564988920455</v>
      </c>
      <c r="BY162" s="192">
        <f t="shared" si="208"/>
        <v>5.5697595856656799</v>
      </c>
      <c r="BZ162" s="192">
        <f t="shared" si="209"/>
        <v>37.442345492478843</v>
      </c>
      <c r="CA162" s="192">
        <f t="shared" si="188"/>
        <v>55</v>
      </c>
      <c r="CB162" s="55">
        <f t="shared" si="210"/>
        <v>1.1000000000000001</v>
      </c>
      <c r="CC162" s="197">
        <f t="shared" si="225"/>
        <v>35.033459896689337</v>
      </c>
      <c r="CD162" s="198">
        <f t="shared" si="226"/>
        <v>87.173319134413561</v>
      </c>
      <c r="CE162" s="58">
        <f t="shared" si="227"/>
        <v>1.3075997870162033</v>
      </c>
      <c r="CF162" s="245" t="s">
        <v>2326</v>
      </c>
      <c r="CG162" s="245" t="s">
        <v>2326</v>
      </c>
      <c r="CH162" s="245" t="s">
        <v>2326</v>
      </c>
      <c r="CI162" s="245" t="s">
        <v>2326</v>
      </c>
      <c r="CJ162" s="235"/>
      <c r="CK162" s="173" t="s">
        <v>2479</v>
      </c>
      <c r="CL162" s="173" t="s">
        <v>2478</v>
      </c>
      <c r="CM162" s="199">
        <f t="shared" si="211"/>
        <v>25</v>
      </c>
      <c r="CN162" s="58">
        <f t="shared" si="228"/>
        <v>0.375</v>
      </c>
      <c r="CO162" s="54">
        <v>52526000</v>
      </c>
      <c r="CP162" s="186">
        <f t="shared" si="189"/>
        <v>8.6682776632483964</v>
      </c>
      <c r="CQ162" s="179">
        <f t="shared" si="212"/>
        <v>80</v>
      </c>
      <c r="CR162" s="30">
        <f t="shared" si="229"/>
        <v>2.4</v>
      </c>
      <c r="CS162" s="200">
        <f>_xlfn.XLOOKUP(C162, '1-1. 관계사체무보증금액 (환율 등)'!$3:$3, '1-1. 관계사체무보증금액 (환율 등)'!$33:$33)</f>
        <v>93776602.088607594</v>
      </c>
      <c r="CT162" s="178">
        <f t="shared" si="190"/>
        <v>15.475795324601343</v>
      </c>
      <c r="CU162" s="179">
        <f t="shared" si="213"/>
        <v>60</v>
      </c>
      <c r="CV162" s="30">
        <f t="shared" si="230"/>
        <v>1.2</v>
      </c>
      <c r="CW162" s="72">
        <f t="shared" si="218"/>
        <v>16.126949946474834</v>
      </c>
    </row>
    <row r="163" spans="1:101" x14ac:dyDescent="0.6">
      <c r="A163" s="214" t="s">
        <v>1721</v>
      </c>
      <c r="B163" s="13" t="s">
        <v>2143</v>
      </c>
      <c r="C163" s="219" t="s">
        <v>500</v>
      </c>
      <c r="D163" s="216" t="s">
        <v>202</v>
      </c>
      <c r="E163" s="217" t="s">
        <v>617</v>
      </c>
      <c r="F163" s="217" t="s">
        <v>1194</v>
      </c>
      <c r="G163" s="218">
        <v>32109</v>
      </c>
      <c r="H163" s="217" t="s">
        <v>830</v>
      </c>
      <c r="I163" s="217" t="s">
        <v>1722</v>
      </c>
      <c r="J163" s="217" t="s">
        <v>1087</v>
      </c>
      <c r="K163" s="217" t="s">
        <v>91</v>
      </c>
      <c r="L163" s="220">
        <v>1482320425</v>
      </c>
      <c r="M163" s="206">
        <v>264349343</v>
      </c>
      <c r="N163" s="206">
        <v>1217971082</v>
      </c>
      <c r="O163" s="206">
        <v>1278383546</v>
      </c>
      <c r="P163" s="206">
        <v>73366427</v>
      </c>
      <c r="Q163" s="206">
        <v>70696990</v>
      </c>
      <c r="R163" s="206">
        <v>48458346</v>
      </c>
      <c r="S163" s="207">
        <v>14000000</v>
      </c>
      <c r="T163" s="207">
        <v>721769</v>
      </c>
      <c r="U163" s="207">
        <f>133879+5312352</f>
        <v>5446231</v>
      </c>
      <c r="V163" s="207">
        <f>123550+123549</f>
        <v>247099</v>
      </c>
      <c r="W163" s="207">
        <f>1910+2010+610+710+2974+210+1010+110+1210+710+710+360+210+800+150+2974+1110</f>
        <v>17778</v>
      </c>
      <c r="X163" s="207">
        <v>0</v>
      </c>
      <c r="Z163" s="207">
        <v>115900</v>
      </c>
      <c r="AA163" s="207">
        <v>115900</v>
      </c>
      <c r="AB163" s="176">
        <f t="shared" si="214"/>
        <v>5827008</v>
      </c>
      <c r="AC163" s="177">
        <f t="shared" si="191"/>
        <v>41.621485714285718</v>
      </c>
      <c r="AD163" s="177">
        <f t="shared" si="215"/>
        <v>64.164425447969748</v>
      </c>
      <c r="AE163" s="26">
        <f t="shared" si="219"/>
        <v>1.9249327634390925</v>
      </c>
      <c r="AF163" s="178">
        <f t="shared" si="192"/>
        <v>43.254724410136774</v>
      </c>
      <c r="AG163" s="178">
        <f t="shared" si="193"/>
        <v>43.389791671399237</v>
      </c>
      <c r="AH163" s="178">
        <f t="shared" si="216"/>
        <v>0.13506726126246349</v>
      </c>
      <c r="AI163" s="179">
        <f t="shared" si="217"/>
        <v>100</v>
      </c>
      <c r="AJ163" s="30">
        <f t="shared" si="220"/>
        <v>4</v>
      </c>
      <c r="AK163" s="204">
        <v>8</v>
      </c>
      <c r="AL163" s="204">
        <v>12</v>
      </c>
      <c r="AM163" s="204">
        <v>1</v>
      </c>
      <c r="AN163" s="181">
        <f t="shared" si="178"/>
        <v>20</v>
      </c>
      <c r="AO163" s="182">
        <f t="shared" si="179"/>
        <v>5</v>
      </c>
      <c r="AP163" s="183">
        <f t="shared" si="194"/>
        <v>100</v>
      </c>
      <c r="AQ163" s="38">
        <f t="shared" si="221"/>
        <v>2</v>
      </c>
      <c r="AR163" s="212">
        <v>3</v>
      </c>
      <c r="AS163" s="292">
        <f t="shared" si="180"/>
        <v>0.25</v>
      </c>
      <c r="AT163" s="185">
        <f t="shared" si="181"/>
        <v>2</v>
      </c>
      <c r="AU163" s="185">
        <f t="shared" si="195"/>
        <v>2</v>
      </c>
      <c r="AV163" s="186">
        <f t="shared" si="182"/>
        <v>12.5</v>
      </c>
      <c r="AW163" s="179">
        <f t="shared" si="196"/>
        <v>60</v>
      </c>
      <c r="AX163" s="239">
        <f t="shared" si="222"/>
        <v>0.6</v>
      </c>
      <c r="AY163" s="54">
        <v>11</v>
      </c>
      <c r="AZ163" s="54">
        <v>33</v>
      </c>
      <c r="BA163" s="189">
        <f t="shared" si="183"/>
        <v>33</v>
      </c>
      <c r="BB163" s="178">
        <f t="shared" si="197"/>
        <v>100</v>
      </c>
      <c r="BC163" s="179">
        <f t="shared" si="198"/>
        <v>100</v>
      </c>
      <c r="BD163" s="30">
        <f t="shared" si="223"/>
        <v>1</v>
      </c>
      <c r="BE163" s="190">
        <v>19476003</v>
      </c>
      <c r="BF163" s="190">
        <v>1462286</v>
      </c>
      <c r="BG163" s="54">
        <v>1581458</v>
      </c>
      <c r="BH163" s="191">
        <f t="shared" si="184"/>
        <v>20938289</v>
      </c>
      <c r="BI163" s="178">
        <f t="shared" si="185"/>
        <v>7.5529476166844383</v>
      </c>
      <c r="BJ163" s="294" t="str">
        <f t="shared" si="199"/>
        <v>전기전자/기계업</v>
      </c>
      <c r="BK163" s="192">
        <f t="shared" si="200"/>
        <v>2.4096449716116455</v>
      </c>
      <c r="BL163" s="193">
        <f t="shared" si="201"/>
        <v>5.1433026450727928</v>
      </c>
      <c r="BM163" s="241">
        <f t="shared" si="202"/>
        <v>40</v>
      </c>
      <c r="BN163" s="47">
        <f t="shared" si="203"/>
        <v>0.8</v>
      </c>
      <c r="BO163" s="54">
        <v>6851493</v>
      </c>
      <c r="BP163" s="194">
        <f t="shared" si="186"/>
        <v>0.53594971723767793</v>
      </c>
      <c r="BQ163" s="179">
        <f t="shared" si="204"/>
        <v>70</v>
      </c>
      <c r="BR163" s="30">
        <f t="shared" si="224"/>
        <v>1.4000000000000001</v>
      </c>
      <c r="BS163" s="195">
        <v>38776663</v>
      </c>
      <c r="BT163" s="195">
        <v>534130</v>
      </c>
      <c r="BU163" s="196">
        <f t="shared" si="205"/>
        <v>38242533</v>
      </c>
      <c r="BV163" s="178">
        <f t="shared" si="187"/>
        <v>2.991475689722308</v>
      </c>
      <c r="BW163" s="192">
        <f t="shared" si="206"/>
        <v>5.2309968128308268</v>
      </c>
      <c r="BX163" s="192">
        <f t="shared" si="207"/>
        <v>5.0154548608492417</v>
      </c>
      <c r="BY163" s="192">
        <f t="shared" si="208"/>
        <v>7.0695458012309622</v>
      </c>
      <c r="BZ163" s="192">
        <f t="shared" si="209"/>
        <v>62.429636131156954</v>
      </c>
      <c r="CA163" s="192">
        <f t="shared" si="188"/>
        <v>40</v>
      </c>
      <c r="CB163" s="55">
        <f t="shared" si="210"/>
        <v>0.8</v>
      </c>
      <c r="CC163" s="197">
        <f t="shared" si="225"/>
        <v>21.704073841056925</v>
      </c>
      <c r="CD163" s="198">
        <f t="shared" si="226"/>
        <v>92.196957095079043</v>
      </c>
      <c r="CE163" s="58">
        <f t="shared" si="227"/>
        <v>1.3829543564261857</v>
      </c>
      <c r="CF163" s="245" t="s">
        <v>2326</v>
      </c>
      <c r="CG163" s="245" t="s">
        <v>2326</v>
      </c>
      <c r="CH163" s="245" t="s">
        <v>2326</v>
      </c>
      <c r="CI163" s="245" t="s">
        <v>2326</v>
      </c>
      <c r="CJ163" s="235"/>
      <c r="CK163" s="173" t="s">
        <v>2479</v>
      </c>
      <c r="CL163" s="173" t="s">
        <v>2478</v>
      </c>
      <c r="CM163" s="199">
        <f t="shared" si="211"/>
        <v>25</v>
      </c>
      <c r="CN163" s="58">
        <f t="shared" si="228"/>
        <v>0.375</v>
      </c>
      <c r="CO163" s="54">
        <v>186991000</v>
      </c>
      <c r="CP163" s="186">
        <f t="shared" si="189"/>
        <v>15.352663356583699</v>
      </c>
      <c r="CQ163" s="179">
        <f t="shared" si="212"/>
        <v>60</v>
      </c>
      <c r="CR163" s="30">
        <f t="shared" si="229"/>
        <v>1.7999999999999998</v>
      </c>
      <c r="CS163" s="200">
        <f>_xlfn.XLOOKUP(C163, '1-1. 관계사체무보증금액 (환율 등)'!$3:$3, '1-1. 관계사체무보증금액 (환율 등)'!$33:$33)</f>
        <v>96446450</v>
      </c>
      <c r="CT163" s="178">
        <f t="shared" si="190"/>
        <v>7.9186157557721053</v>
      </c>
      <c r="CU163" s="179">
        <f t="shared" si="213"/>
        <v>80</v>
      </c>
      <c r="CV163" s="30">
        <f t="shared" si="230"/>
        <v>1.6</v>
      </c>
      <c r="CW163" s="72">
        <f t="shared" si="218"/>
        <v>17.682887119865281</v>
      </c>
    </row>
    <row r="164" spans="1:101" x14ac:dyDescent="0.6">
      <c r="A164" s="214" t="s">
        <v>12</v>
      </c>
      <c r="B164" s="13" t="s">
        <v>2144</v>
      </c>
      <c r="C164" s="219" t="s">
        <v>301</v>
      </c>
      <c r="D164" s="216" t="s">
        <v>203</v>
      </c>
      <c r="E164" s="217" t="s">
        <v>195</v>
      </c>
      <c r="F164" s="217" t="s">
        <v>757</v>
      </c>
      <c r="G164" s="218">
        <v>43378</v>
      </c>
      <c r="H164" s="217" t="s">
        <v>830</v>
      </c>
      <c r="I164" s="217" t="s">
        <v>267</v>
      </c>
      <c r="J164" s="217" t="s">
        <v>1196</v>
      </c>
      <c r="K164" s="217" t="s">
        <v>91</v>
      </c>
      <c r="L164" s="220">
        <v>1465129429</v>
      </c>
      <c r="M164" s="206">
        <v>636127563</v>
      </c>
      <c r="N164" s="206">
        <v>829001866</v>
      </c>
      <c r="O164" s="206">
        <v>1801835090</v>
      </c>
      <c r="P164" s="206">
        <v>215165658</v>
      </c>
      <c r="Q164" s="206">
        <v>211145518</v>
      </c>
      <c r="R164" s="206">
        <v>159294293</v>
      </c>
      <c r="S164" s="207">
        <v>2836300</v>
      </c>
      <c r="T164" s="207">
        <v>36200</v>
      </c>
      <c r="U164" s="207">
        <f>1407584+221710</f>
        <v>1629294</v>
      </c>
      <c r="V164" s="207">
        <v>0</v>
      </c>
      <c r="W164" s="207">
        <f>2032*2+236+129+1+47+70+70+66</f>
        <v>4683</v>
      </c>
      <c r="X164" s="207">
        <f>76937+64877</f>
        <v>141814</v>
      </c>
      <c r="Y164" s="208" t="s">
        <v>2439</v>
      </c>
      <c r="Z164" s="207">
        <v>4538</v>
      </c>
      <c r="AA164" s="207">
        <v>0</v>
      </c>
      <c r="AB164" s="176">
        <f t="shared" si="214"/>
        <v>1780329</v>
      </c>
      <c r="AC164" s="177">
        <f t="shared" si="191"/>
        <v>62.769417903606815</v>
      </c>
      <c r="AD164" s="177">
        <f t="shared" si="215"/>
        <v>45.912470163745567</v>
      </c>
      <c r="AE164" s="26">
        <f t="shared" si="219"/>
        <v>1.3773741049123669</v>
      </c>
      <c r="AF164" s="178">
        <f t="shared" si="192"/>
        <v>58.186993321667082</v>
      </c>
      <c r="AG164" s="178">
        <f t="shared" si="193"/>
        <v>63.580907824720548</v>
      </c>
      <c r="AH164" s="178">
        <f t="shared" si="216"/>
        <v>5.3939145030534661</v>
      </c>
      <c r="AI164" s="179">
        <f t="shared" si="217"/>
        <v>100</v>
      </c>
      <c r="AJ164" s="30">
        <f t="shared" si="220"/>
        <v>4</v>
      </c>
      <c r="AK164" s="204">
        <v>6</v>
      </c>
      <c r="AL164" s="204">
        <v>13</v>
      </c>
      <c r="AM164" s="204">
        <v>1</v>
      </c>
      <c r="AN164" s="181">
        <f t="shared" si="178"/>
        <v>19</v>
      </c>
      <c r="AO164" s="182">
        <f t="shared" si="179"/>
        <v>5.2631578947368416</v>
      </c>
      <c r="AP164" s="183">
        <f t="shared" si="194"/>
        <v>100</v>
      </c>
      <c r="AQ164" s="38">
        <f t="shared" si="221"/>
        <v>2</v>
      </c>
      <c r="AR164" s="212">
        <v>2</v>
      </c>
      <c r="AS164" s="292">
        <f t="shared" si="180"/>
        <v>0.25</v>
      </c>
      <c r="AT164" s="185">
        <f t="shared" si="181"/>
        <v>1.5</v>
      </c>
      <c r="AU164" s="185">
        <f t="shared" si="195"/>
        <v>1</v>
      </c>
      <c r="AV164" s="186">
        <f t="shared" si="182"/>
        <v>16.666666666666664</v>
      </c>
      <c r="AW164" s="179">
        <f t="shared" si="196"/>
        <v>60</v>
      </c>
      <c r="AX164" s="239">
        <f t="shared" si="222"/>
        <v>0.6</v>
      </c>
      <c r="AY164" s="54">
        <v>10</v>
      </c>
      <c r="AZ164" s="54">
        <f>20-2</f>
        <v>18</v>
      </c>
      <c r="BA164" s="189">
        <f t="shared" si="183"/>
        <v>20</v>
      </c>
      <c r="BB164" s="178">
        <f t="shared" si="197"/>
        <v>90</v>
      </c>
      <c r="BC164" s="179">
        <f t="shared" si="198"/>
        <v>100</v>
      </c>
      <c r="BD164" s="30">
        <f t="shared" si="223"/>
        <v>1</v>
      </c>
      <c r="BE164" s="190">
        <v>24215000</v>
      </c>
      <c r="BF164" s="190">
        <v>1699000</v>
      </c>
      <c r="BG164" s="301">
        <v>0</v>
      </c>
      <c r="BH164" s="191">
        <f t="shared" si="184"/>
        <v>25914000</v>
      </c>
      <c r="BI164" s="178">
        <f t="shared" si="185"/>
        <v>0</v>
      </c>
      <c r="BJ164" s="294" t="str">
        <f t="shared" si="199"/>
        <v>금속/비금속/화학업</v>
      </c>
      <c r="BK164" s="192">
        <f t="shared" si="200"/>
        <v>3.9534118626990464</v>
      </c>
      <c r="BL164" s="193">
        <f t="shared" si="201"/>
        <v>-3.9534118626990464</v>
      </c>
      <c r="BM164" s="241">
        <f t="shared" si="202"/>
        <v>100</v>
      </c>
      <c r="BN164" s="47">
        <f t="shared" si="203"/>
        <v>2</v>
      </c>
      <c r="BO164" s="54">
        <v>1712000</v>
      </c>
      <c r="BP164" s="194">
        <f t="shared" si="186"/>
        <v>9.5014244616581423E-2</v>
      </c>
      <c r="BQ164" s="179">
        <f t="shared" si="204"/>
        <v>40</v>
      </c>
      <c r="BR164" s="30">
        <f t="shared" si="224"/>
        <v>0.8</v>
      </c>
      <c r="BS164" s="195">
        <v>672278.09</v>
      </c>
      <c r="BT164" s="195">
        <v>46093094.196999997</v>
      </c>
      <c r="BU164" s="196">
        <f t="shared" si="205"/>
        <v>-45420816.106999993</v>
      </c>
      <c r="BV164" s="178">
        <f t="shared" si="187"/>
        <v>-2.520808722123399</v>
      </c>
      <c r="BW164" s="192">
        <f t="shared" si="206"/>
        <v>5.1474158565187729</v>
      </c>
      <c r="BX164" s="192">
        <f t="shared" si="207"/>
        <v>58.801668188491917</v>
      </c>
      <c r="BY164" s="192">
        <f t="shared" si="208"/>
        <v>6.6930498535228526</v>
      </c>
      <c r="BZ164" s="192">
        <f t="shared" si="209"/>
        <v>87.404026648396723</v>
      </c>
      <c r="CA164" s="192">
        <f t="shared" si="188"/>
        <v>40</v>
      </c>
      <c r="CB164" s="55">
        <f t="shared" si="210"/>
        <v>0.8</v>
      </c>
      <c r="CC164" s="197">
        <f t="shared" si="225"/>
        <v>76.734153334221816</v>
      </c>
      <c r="CD164" s="198">
        <f t="shared" si="226"/>
        <v>71.456977386599817</v>
      </c>
      <c r="CE164" s="58">
        <f t="shared" si="227"/>
        <v>1.0718546607989972</v>
      </c>
      <c r="CF164" s="245" t="s">
        <v>2326</v>
      </c>
      <c r="CG164" s="245" t="s">
        <v>2326</v>
      </c>
      <c r="CH164" s="245" t="s">
        <v>2326</v>
      </c>
      <c r="CI164" s="245" t="s">
        <v>2326</v>
      </c>
      <c r="CJ164" s="235"/>
      <c r="CK164" s="173" t="s">
        <v>2490</v>
      </c>
      <c r="CL164" s="173" t="s">
        <v>2487</v>
      </c>
      <c r="CM164" s="199">
        <f t="shared" si="211"/>
        <v>70</v>
      </c>
      <c r="CN164" s="58">
        <f t="shared" si="228"/>
        <v>1.05</v>
      </c>
      <c r="CO164" s="54">
        <v>0</v>
      </c>
      <c r="CP164" s="186">
        <f t="shared" si="189"/>
        <v>0</v>
      </c>
      <c r="CQ164" s="179">
        <f t="shared" si="212"/>
        <v>100</v>
      </c>
      <c r="CR164" s="30">
        <f t="shared" si="229"/>
        <v>3</v>
      </c>
      <c r="CS164" s="200">
        <f>_xlfn.XLOOKUP(C164, '1-1. 관계사체무보증금액 (환율 등)'!$3:$3, '1-1. 관계사체무보증금액 (환율 등)'!$33:$33)</f>
        <v>0</v>
      </c>
      <c r="CT164" s="178">
        <f t="shared" si="190"/>
        <v>0</v>
      </c>
      <c r="CU164" s="179">
        <f t="shared" si="213"/>
        <v>100</v>
      </c>
      <c r="CV164" s="30">
        <f t="shared" si="230"/>
        <v>2</v>
      </c>
      <c r="CW164" s="72">
        <f t="shared" si="218"/>
        <v>19.699228765711368</v>
      </c>
    </row>
    <row r="165" spans="1:101" x14ac:dyDescent="0.6">
      <c r="A165" s="214" t="s">
        <v>869</v>
      </c>
      <c r="B165" s="13" t="s">
        <v>2145</v>
      </c>
      <c r="C165" s="219" t="s">
        <v>478</v>
      </c>
      <c r="D165" s="216" t="s">
        <v>285</v>
      </c>
      <c r="E165" s="217" t="s">
        <v>171</v>
      </c>
      <c r="F165" s="217" t="s">
        <v>144</v>
      </c>
      <c r="G165" s="218">
        <v>32756</v>
      </c>
      <c r="H165" s="217" t="s">
        <v>830</v>
      </c>
      <c r="I165" s="217" t="s">
        <v>1723</v>
      </c>
      <c r="J165" s="217" t="s">
        <v>1182</v>
      </c>
      <c r="K165" s="217" t="s">
        <v>346</v>
      </c>
      <c r="L165" s="220">
        <v>49842667</v>
      </c>
      <c r="M165" s="206">
        <v>4029139</v>
      </c>
      <c r="N165" s="206">
        <v>45813528</v>
      </c>
      <c r="O165" s="206">
        <v>28065827</v>
      </c>
      <c r="P165" s="206">
        <v>1582371</v>
      </c>
      <c r="Q165" s="206">
        <v>2149604</v>
      </c>
      <c r="R165" s="206">
        <v>1307423</v>
      </c>
      <c r="S165" s="207">
        <v>28705031</v>
      </c>
      <c r="T165" s="207">
        <v>2050</v>
      </c>
      <c r="U165" s="207">
        <v>9111748</v>
      </c>
      <c r="V165" s="207">
        <v>894786</v>
      </c>
      <c r="W165" s="207">
        <v>0</v>
      </c>
      <c r="X165" s="207">
        <v>0</v>
      </c>
      <c r="Z165" s="207">
        <v>0</v>
      </c>
      <c r="AA165" s="207">
        <v>0</v>
      </c>
      <c r="AB165" s="176">
        <f t="shared" si="214"/>
        <v>10006534</v>
      </c>
      <c r="AC165" s="177">
        <f t="shared" si="191"/>
        <v>34.85986132535443</v>
      </c>
      <c r="AD165" s="177">
        <f t="shared" si="215"/>
        <v>70.000119684676847</v>
      </c>
      <c r="AE165" s="26">
        <f t="shared" si="219"/>
        <v>2.1000035905403052</v>
      </c>
      <c r="AF165" s="178">
        <f t="shared" si="192"/>
        <v>34.862351056846677</v>
      </c>
      <c r="AG165" s="178">
        <f t="shared" si="193"/>
        <v>34.862351056846677</v>
      </c>
      <c r="AH165" s="178">
        <f t="shared" si="216"/>
        <v>0</v>
      </c>
      <c r="AI165" s="179">
        <f t="shared" si="217"/>
        <v>100</v>
      </c>
      <c r="AJ165" s="30">
        <f t="shared" si="220"/>
        <v>4</v>
      </c>
      <c r="AK165" s="204">
        <v>7</v>
      </c>
      <c r="AL165" s="204">
        <v>3</v>
      </c>
      <c r="AM165" s="204">
        <v>2</v>
      </c>
      <c r="AN165" s="181">
        <f t="shared" si="178"/>
        <v>10</v>
      </c>
      <c r="AO165" s="182">
        <f t="shared" si="179"/>
        <v>20</v>
      </c>
      <c r="AP165" s="183">
        <f t="shared" si="194"/>
        <v>60</v>
      </c>
      <c r="AQ165" s="38">
        <f t="shared" si="221"/>
        <v>1.2</v>
      </c>
      <c r="AR165" s="212">
        <v>2</v>
      </c>
      <c r="AS165" s="292">
        <f t="shared" si="180"/>
        <v>0.25</v>
      </c>
      <c r="AT165" s="185">
        <f t="shared" si="181"/>
        <v>1.75</v>
      </c>
      <c r="AU165" s="185">
        <f t="shared" si="195"/>
        <v>1</v>
      </c>
      <c r="AV165" s="186">
        <f t="shared" si="182"/>
        <v>14.285714285714285</v>
      </c>
      <c r="AW165" s="179">
        <f t="shared" si="196"/>
        <v>60</v>
      </c>
      <c r="AX165" s="239">
        <f t="shared" si="222"/>
        <v>0.6</v>
      </c>
      <c r="AY165" s="54">
        <v>19</v>
      </c>
      <c r="AZ165" s="54">
        <v>10</v>
      </c>
      <c r="BA165" s="189">
        <f t="shared" si="183"/>
        <v>38</v>
      </c>
      <c r="BB165" s="178">
        <f t="shared" si="197"/>
        <v>26.315789473684209</v>
      </c>
      <c r="BC165" s="179">
        <f t="shared" si="198"/>
        <v>25</v>
      </c>
      <c r="BD165" s="30">
        <f t="shared" si="223"/>
        <v>0.25</v>
      </c>
      <c r="BE165" s="190">
        <v>1076009</v>
      </c>
      <c r="BF165" s="190">
        <v>101186</v>
      </c>
      <c r="BG165" s="54">
        <v>3869</v>
      </c>
      <c r="BH165" s="191">
        <f t="shared" si="184"/>
        <v>1177195</v>
      </c>
      <c r="BI165" s="178">
        <f t="shared" si="185"/>
        <v>0.32866262598804785</v>
      </c>
      <c r="BJ165" s="294" t="str">
        <f t="shared" si="199"/>
        <v>비제조/서비스업</v>
      </c>
      <c r="BK165" s="192">
        <f t="shared" si="200"/>
        <v>1.7464434573900924</v>
      </c>
      <c r="BL165" s="193">
        <f t="shared" si="201"/>
        <v>-1.4177808314020446</v>
      </c>
      <c r="BM165" s="241">
        <f t="shared" si="202"/>
        <v>80</v>
      </c>
      <c r="BN165" s="47">
        <f t="shared" si="203"/>
        <v>1.6</v>
      </c>
      <c r="BO165" s="54">
        <v>0</v>
      </c>
      <c r="BP165" s="194">
        <f t="shared" si="186"/>
        <v>0</v>
      </c>
      <c r="BQ165" s="179">
        <f t="shared" si="204"/>
        <v>25</v>
      </c>
      <c r="BR165" s="30">
        <f t="shared" si="224"/>
        <v>0.5</v>
      </c>
      <c r="BS165" s="195">
        <v>64798.887000000002</v>
      </c>
      <c r="BT165" s="195">
        <v>7090.91</v>
      </c>
      <c r="BU165" s="196">
        <f t="shared" si="205"/>
        <v>57707.976999999999</v>
      </c>
      <c r="BV165" s="178">
        <f t="shared" si="187"/>
        <v>0.20561652076028258</v>
      </c>
      <c r="BW165" s="192">
        <f t="shared" si="206"/>
        <v>2.8482825397737606</v>
      </c>
      <c r="BX165" s="192">
        <f t="shared" si="207"/>
        <v>6.9836836880485444</v>
      </c>
      <c r="BY165" s="192">
        <f t="shared" si="208"/>
        <v>5.5697595856656799</v>
      </c>
      <c r="BZ165" s="192">
        <f t="shared" si="209"/>
        <v>68.241646696353286</v>
      </c>
      <c r="CA165" s="192">
        <f t="shared" si="188"/>
        <v>40</v>
      </c>
      <c r="CB165" s="55">
        <f t="shared" si="210"/>
        <v>0.8</v>
      </c>
      <c r="CC165" s="197">
        <f t="shared" si="225"/>
        <v>8.7946490390349332</v>
      </c>
      <c r="CD165" s="198">
        <f t="shared" si="226"/>
        <v>97.06231820136874</v>
      </c>
      <c r="CE165" s="58">
        <f t="shared" si="227"/>
        <v>1.455934773020531</v>
      </c>
      <c r="CF165" s="245" t="s">
        <v>2326</v>
      </c>
      <c r="CG165" s="245" t="s">
        <v>2326</v>
      </c>
      <c r="CH165" s="245" t="s">
        <v>2326</v>
      </c>
      <c r="CI165" s="245" t="s">
        <v>2326</v>
      </c>
      <c r="CJ165" s="235"/>
      <c r="CK165" s="173" t="s">
        <v>2479</v>
      </c>
      <c r="CL165" s="173" t="s">
        <v>2478</v>
      </c>
      <c r="CM165" s="199">
        <f t="shared" si="211"/>
        <v>25</v>
      </c>
      <c r="CN165" s="58">
        <f t="shared" si="228"/>
        <v>0.375</v>
      </c>
      <c r="CO165" s="54">
        <v>0</v>
      </c>
      <c r="CP165" s="186">
        <f t="shared" si="189"/>
        <v>0</v>
      </c>
      <c r="CQ165" s="179">
        <f t="shared" si="212"/>
        <v>100</v>
      </c>
      <c r="CR165" s="30">
        <f t="shared" si="229"/>
        <v>3</v>
      </c>
      <c r="CS165" s="200">
        <f>_xlfn.XLOOKUP(C165, '1-1. 관계사체무보증금액 (환율 등)'!$3:$3, '1-1. 관계사체무보증금액 (환율 등)'!$33:$33)</f>
        <v>0</v>
      </c>
      <c r="CT165" s="178">
        <f t="shared" si="190"/>
        <v>0</v>
      </c>
      <c r="CU165" s="179">
        <f t="shared" si="213"/>
        <v>100</v>
      </c>
      <c r="CV165" s="30">
        <f t="shared" si="230"/>
        <v>2</v>
      </c>
      <c r="CW165" s="72">
        <f t="shared" si="218"/>
        <v>17.880938363560837</v>
      </c>
    </row>
    <row r="166" spans="1:101" x14ac:dyDescent="0.6">
      <c r="A166" s="214" t="s">
        <v>19</v>
      </c>
      <c r="B166" s="13" t="s">
        <v>2146</v>
      </c>
      <c r="C166" s="219" t="s">
        <v>927</v>
      </c>
      <c r="D166" s="216" t="s">
        <v>202</v>
      </c>
      <c r="E166" s="217" t="s">
        <v>954</v>
      </c>
      <c r="F166" s="217" t="s">
        <v>968</v>
      </c>
      <c r="G166" s="218">
        <v>35249</v>
      </c>
      <c r="H166" s="217" t="s">
        <v>755</v>
      </c>
      <c r="I166" s="217" t="s">
        <v>733</v>
      </c>
      <c r="J166" s="217" t="s">
        <v>1026</v>
      </c>
      <c r="K166" s="217" t="s">
        <v>308</v>
      </c>
      <c r="L166" s="220">
        <v>298109844</v>
      </c>
      <c r="M166" s="206">
        <v>31806382</v>
      </c>
      <c r="N166" s="206">
        <v>266303462</v>
      </c>
      <c r="O166" s="206">
        <v>55615777</v>
      </c>
      <c r="P166" s="206">
        <v>4744809</v>
      </c>
      <c r="Q166" s="206">
        <v>9739774</v>
      </c>
      <c r="R166" s="206">
        <v>7926239</v>
      </c>
      <c r="S166" s="207">
        <v>10000000</v>
      </c>
      <c r="T166" s="207">
        <v>0</v>
      </c>
      <c r="U166" s="207">
        <f>426041+2101210</f>
        <v>2527251</v>
      </c>
      <c r="V166" s="207">
        <f>1047750+229690+130000</f>
        <v>1407440</v>
      </c>
      <c r="W166" s="207">
        <f>377220+94366</f>
        <v>471586</v>
      </c>
      <c r="X166" s="207">
        <v>50000</v>
      </c>
      <c r="Y166" s="208" t="s">
        <v>2440</v>
      </c>
      <c r="Z166" s="207">
        <v>300000</v>
      </c>
      <c r="AA166" s="207">
        <v>0</v>
      </c>
      <c r="AB166" s="176">
        <f t="shared" si="214"/>
        <v>4756277</v>
      </c>
      <c r="AC166" s="177">
        <f t="shared" si="191"/>
        <v>47.56277</v>
      </c>
      <c r="AD166" s="177">
        <f t="shared" si="215"/>
        <v>59.036734752589183</v>
      </c>
      <c r="AE166" s="26">
        <f t="shared" si="219"/>
        <v>1.7711020425776753</v>
      </c>
      <c r="AF166" s="178">
        <f t="shared" si="192"/>
        <v>39.346910000000001</v>
      </c>
      <c r="AG166" s="178">
        <f t="shared" si="193"/>
        <v>47.56277</v>
      </c>
      <c r="AH166" s="178">
        <f t="shared" si="216"/>
        <v>8.2158599999999993</v>
      </c>
      <c r="AI166" s="179">
        <f t="shared" si="217"/>
        <v>100</v>
      </c>
      <c r="AJ166" s="30">
        <f t="shared" si="220"/>
        <v>4</v>
      </c>
      <c r="AK166" s="204">
        <v>6</v>
      </c>
      <c r="AL166" s="204">
        <v>5</v>
      </c>
      <c r="AM166" s="204">
        <v>0</v>
      </c>
      <c r="AN166" s="181">
        <f t="shared" si="178"/>
        <v>11</v>
      </c>
      <c r="AO166" s="182">
        <f t="shared" si="179"/>
        <v>0</v>
      </c>
      <c r="AP166" s="183">
        <f t="shared" si="194"/>
        <v>100</v>
      </c>
      <c r="AQ166" s="38">
        <f t="shared" si="221"/>
        <v>2</v>
      </c>
      <c r="AR166" s="212">
        <v>3</v>
      </c>
      <c r="AS166" s="292">
        <f t="shared" si="180"/>
        <v>0.25</v>
      </c>
      <c r="AT166" s="185">
        <f t="shared" si="181"/>
        <v>1.5</v>
      </c>
      <c r="AU166" s="185">
        <f t="shared" si="195"/>
        <v>1</v>
      </c>
      <c r="AV166" s="186">
        <f t="shared" si="182"/>
        <v>33.333333333333329</v>
      </c>
      <c r="AW166" s="179">
        <f t="shared" si="196"/>
        <v>80</v>
      </c>
      <c r="AX166" s="239">
        <f t="shared" si="222"/>
        <v>0.8</v>
      </c>
      <c r="AY166" s="54">
        <v>16</v>
      </c>
      <c r="AZ166" s="54">
        <f>16*3-13</f>
        <v>35</v>
      </c>
      <c r="BA166" s="189">
        <f t="shared" si="183"/>
        <v>48</v>
      </c>
      <c r="BB166" s="178">
        <f t="shared" si="197"/>
        <v>72.916666666666657</v>
      </c>
      <c r="BC166" s="179">
        <f t="shared" si="198"/>
        <v>50</v>
      </c>
      <c r="BD166" s="30">
        <f t="shared" si="223"/>
        <v>0.5</v>
      </c>
      <c r="BE166" s="190">
        <v>1787063</v>
      </c>
      <c r="BF166" s="190">
        <v>249165</v>
      </c>
      <c r="BG166" s="301">
        <v>0</v>
      </c>
      <c r="BH166" s="191">
        <f t="shared" si="184"/>
        <v>2036228</v>
      </c>
      <c r="BI166" s="178">
        <f t="shared" si="185"/>
        <v>0</v>
      </c>
      <c r="BJ166" s="294" t="str">
        <f t="shared" si="199"/>
        <v>전기전자/기계업</v>
      </c>
      <c r="BK166" s="192">
        <f t="shared" si="200"/>
        <v>2.4096449716116455</v>
      </c>
      <c r="BL166" s="193">
        <f t="shared" si="201"/>
        <v>-2.4096449716116455</v>
      </c>
      <c r="BM166" s="241">
        <f t="shared" si="202"/>
        <v>100</v>
      </c>
      <c r="BN166" s="47">
        <f t="shared" si="203"/>
        <v>2</v>
      </c>
      <c r="BO166" s="54">
        <f>3486251-1564829</f>
        <v>1921422</v>
      </c>
      <c r="BP166" s="194">
        <f t="shared" si="186"/>
        <v>3.4548146293092339</v>
      </c>
      <c r="BQ166" s="179">
        <f t="shared" si="204"/>
        <v>85</v>
      </c>
      <c r="BR166" s="30">
        <f t="shared" si="224"/>
        <v>1.7</v>
      </c>
      <c r="BS166" s="195">
        <v>4189120.713</v>
      </c>
      <c r="BT166" s="195">
        <v>103</v>
      </c>
      <c r="BU166" s="196">
        <f t="shared" si="205"/>
        <v>4189017.713</v>
      </c>
      <c r="BV166" s="178">
        <f t="shared" si="187"/>
        <v>7.5320672279738181</v>
      </c>
      <c r="BW166" s="192">
        <f t="shared" si="206"/>
        <v>5.2309968128308268</v>
      </c>
      <c r="BX166" s="192">
        <f t="shared" si="207"/>
        <v>5.2949250554463383</v>
      </c>
      <c r="BY166" s="192">
        <f t="shared" si="208"/>
        <v>7.0695458012309622</v>
      </c>
      <c r="BZ166" s="192">
        <f t="shared" si="209"/>
        <v>37.240491337456561</v>
      </c>
      <c r="CA166" s="192">
        <f t="shared" si="188"/>
        <v>55</v>
      </c>
      <c r="CB166" s="55">
        <f t="shared" si="210"/>
        <v>1.1000000000000001</v>
      </c>
      <c r="CC166" s="197">
        <f t="shared" si="225"/>
        <v>11.943660724921406</v>
      </c>
      <c r="CD166" s="198">
        <f t="shared" si="226"/>
        <v>95.875504751914036</v>
      </c>
      <c r="CE166" s="58">
        <f t="shared" si="227"/>
        <v>1.4381325712787105</v>
      </c>
      <c r="CF166" s="245" t="s">
        <v>2326</v>
      </c>
      <c r="CG166" s="245" t="s">
        <v>2326</v>
      </c>
      <c r="CH166" s="245" t="s">
        <v>2326</v>
      </c>
      <c r="CI166" s="245" t="s">
        <v>2326</v>
      </c>
      <c r="CJ166" s="235"/>
      <c r="CK166" s="173" t="s">
        <v>2501</v>
      </c>
      <c r="CL166" s="173" t="s">
        <v>2493</v>
      </c>
      <c r="CM166" s="199">
        <f t="shared" si="211"/>
        <v>40</v>
      </c>
      <c r="CN166" s="58">
        <f t="shared" si="228"/>
        <v>0.6</v>
      </c>
      <c r="CO166" s="54">
        <f>300000+37824000</f>
        <v>38124000</v>
      </c>
      <c r="CP166" s="186">
        <f t="shared" si="189"/>
        <v>14.315998640678581</v>
      </c>
      <c r="CQ166" s="179">
        <f t="shared" si="212"/>
        <v>60</v>
      </c>
      <c r="CR166" s="30">
        <f t="shared" si="229"/>
        <v>1.7999999999999998</v>
      </c>
      <c r="CS166" s="200">
        <f>_xlfn.XLOOKUP(C166, '1-1. 관계사체무보증금액 (환율 등)'!$3:$3, '1-1. 관계사체무보증금액 (환율 등)'!$33:$33)</f>
        <v>102957422.32451093</v>
      </c>
      <c r="CT166" s="178">
        <f t="shared" si="190"/>
        <v>38.661691271783369</v>
      </c>
      <c r="CU166" s="179">
        <f t="shared" si="213"/>
        <v>40</v>
      </c>
      <c r="CV166" s="30">
        <f t="shared" si="230"/>
        <v>0.8</v>
      </c>
      <c r="CW166" s="72">
        <f t="shared" si="218"/>
        <v>18.509234613856385</v>
      </c>
    </row>
    <row r="167" spans="1:101" x14ac:dyDescent="0.6">
      <c r="A167" s="214" t="s">
        <v>361</v>
      </c>
      <c r="B167" s="13" t="s">
        <v>2147</v>
      </c>
      <c r="C167" s="219" t="s">
        <v>949</v>
      </c>
      <c r="D167" s="216" t="s">
        <v>285</v>
      </c>
      <c r="E167" s="217" t="s">
        <v>504</v>
      </c>
      <c r="F167" s="217" t="s">
        <v>650</v>
      </c>
      <c r="G167" s="218">
        <v>37462</v>
      </c>
      <c r="H167" s="217" t="s">
        <v>830</v>
      </c>
      <c r="I167" s="217" t="s">
        <v>1724</v>
      </c>
      <c r="J167" s="217" t="s">
        <v>1175</v>
      </c>
      <c r="K167" s="217" t="s">
        <v>91</v>
      </c>
      <c r="L167" s="220">
        <v>573569548</v>
      </c>
      <c r="M167" s="206">
        <v>109458880</v>
      </c>
      <c r="N167" s="206">
        <v>464110668</v>
      </c>
      <c r="O167" s="206">
        <v>119350275</v>
      </c>
      <c r="P167" s="206">
        <v>9219026</v>
      </c>
      <c r="Q167" s="206">
        <v>8486086</v>
      </c>
      <c r="R167" s="206">
        <v>9179410</v>
      </c>
      <c r="S167" s="207">
        <v>41040895</v>
      </c>
      <c r="T167" s="207">
        <v>3276263</v>
      </c>
      <c r="U167" s="207">
        <f>476074+20132636</f>
        <v>20608710</v>
      </c>
      <c r="V167" s="207">
        <v>0</v>
      </c>
      <c r="W167" s="207">
        <f>2668+5910+7300+47016+3339</f>
        <v>66233</v>
      </c>
      <c r="X167" s="207">
        <v>0</v>
      </c>
      <c r="Z167" s="207">
        <v>1000000</v>
      </c>
      <c r="AA167" s="207">
        <v>0</v>
      </c>
      <c r="AB167" s="176">
        <f t="shared" si="214"/>
        <v>21674943</v>
      </c>
      <c r="AC167" s="177">
        <f t="shared" si="191"/>
        <v>52.813036850195395</v>
      </c>
      <c r="AD167" s="177">
        <f t="shared" si="215"/>
        <v>54.505434248968307</v>
      </c>
      <c r="AE167" s="26">
        <f t="shared" si="219"/>
        <v>1.6351630274690492</v>
      </c>
      <c r="AF167" s="178">
        <f t="shared" si="192"/>
        <v>54.571457230140631</v>
      </c>
      <c r="AG167" s="178">
        <f t="shared" si="193"/>
        <v>57.394821164946073</v>
      </c>
      <c r="AH167" s="178">
        <f t="shared" si="216"/>
        <v>2.8233639348054425</v>
      </c>
      <c r="AI167" s="179">
        <f t="shared" si="217"/>
        <v>100</v>
      </c>
      <c r="AJ167" s="30">
        <f t="shared" si="220"/>
        <v>4</v>
      </c>
      <c r="AK167" s="204">
        <v>5</v>
      </c>
      <c r="AL167" s="204">
        <v>3</v>
      </c>
      <c r="AM167" s="204">
        <v>1</v>
      </c>
      <c r="AN167" s="181">
        <f t="shared" si="178"/>
        <v>8</v>
      </c>
      <c r="AO167" s="182">
        <f t="shared" si="179"/>
        <v>12.5</v>
      </c>
      <c r="AP167" s="183">
        <f t="shared" si="194"/>
        <v>80</v>
      </c>
      <c r="AQ167" s="38">
        <f t="shared" si="221"/>
        <v>1.6</v>
      </c>
      <c r="AR167" s="212">
        <v>1</v>
      </c>
      <c r="AS167" s="292">
        <f t="shared" si="180"/>
        <v>0.25</v>
      </c>
      <c r="AT167" s="185">
        <f t="shared" si="181"/>
        <v>1.25</v>
      </c>
      <c r="AU167" s="185">
        <f t="shared" si="195"/>
        <v>1</v>
      </c>
      <c r="AV167" s="186">
        <f t="shared" si="182"/>
        <v>0</v>
      </c>
      <c r="AW167" s="179">
        <f t="shared" si="196"/>
        <v>40</v>
      </c>
      <c r="AX167" s="239">
        <f t="shared" si="222"/>
        <v>0.4</v>
      </c>
      <c r="AY167" s="54">
        <v>8</v>
      </c>
      <c r="AZ167" s="54">
        <v>6</v>
      </c>
      <c r="BA167" s="189">
        <f t="shared" si="183"/>
        <v>8</v>
      </c>
      <c r="BB167" s="178">
        <f t="shared" si="197"/>
        <v>75</v>
      </c>
      <c r="BC167" s="179">
        <f t="shared" si="198"/>
        <v>50</v>
      </c>
      <c r="BD167" s="30">
        <f t="shared" si="223"/>
        <v>0.5</v>
      </c>
      <c r="BE167" s="190">
        <v>16229325</v>
      </c>
      <c r="BF167" s="190">
        <v>1455126</v>
      </c>
      <c r="BG167" s="54">
        <v>140423</v>
      </c>
      <c r="BH167" s="191">
        <f t="shared" si="184"/>
        <v>17684451</v>
      </c>
      <c r="BI167" s="178">
        <f t="shared" si="185"/>
        <v>0.79404783331979045</v>
      </c>
      <c r="BJ167" s="294" t="str">
        <f t="shared" si="199"/>
        <v>비제조/서비스업</v>
      </c>
      <c r="BK167" s="192">
        <f t="shared" si="200"/>
        <v>1.7464434573900924</v>
      </c>
      <c r="BL167" s="193">
        <f t="shared" si="201"/>
        <v>-0.95239562407030198</v>
      </c>
      <c r="BM167" s="241">
        <f t="shared" si="202"/>
        <v>80</v>
      </c>
      <c r="BN167" s="47">
        <f t="shared" si="203"/>
        <v>1.6</v>
      </c>
      <c r="BO167" s="54">
        <v>0</v>
      </c>
      <c r="BP167" s="194">
        <f t="shared" si="186"/>
        <v>0</v>
      </c>
      <c r="BQ167" s="179">
        <f t="shared" si="204"/>
        <v>25</v>
      </c>
      <c r="BR167" s="30">
        <f t="shared" si="224"/>
        <v>0.5</v>
      </c>
      <c r="BS167" s="195">
        <v>685768.42599999998</v>
      </c>
      <c r="BT167" s="195">
        <v>0</v>
      </c>
      <c r="BU167" s="196">
        <f t="shared" si="205"/>
        <v>685768.42599999998</v>
      </c>
      <c r="BV167" s="178">
        <f t="shared" si="187"/>
        <v>0.57458470539762052</v>
      </c>
      <c r="BW167" s="192">
        <f t="shared" si="206"/>
        <v>2.8482825397737606</v>
      </c>
      <c r="BX167" s="192">
        <f t="shared" si="207"/>
        <v>5.1697018420467495</v>
      </c>
      <c r="BY167" s="192">
        <f t="shared" si="208"/>
        <v>5.5697595856656799</v>
      </c>
      <c r="BZ167" s="192">
        <f t="shared" si="209"/>
        <v>65.844461390492441</v>
      </c>
      <c r="CA167" s="192">
        <f t="shared" si="188"/>
        <v>40</v>
      </c>
      <c r="CB167" s="55">
        <f t="shared" si="210"/>
        <v>0.8</v>
      </c>
      <c r="CC167" s="197">
        <f t="shared" si="225"/>
        <v>23.584650719556397</v>
      </c>
      <c r="CD167" s="198">
        <f t="shared" si="226"/>
        <v>91.488196964991303</v>
      </c>
      <c r="CE167" s="58">
        <f t="shared" si="227"/>
        <v>1.3723229544748694</v>
      </c>
      <c r="CF167" s="245" t="s">
        <v>2326</v>
      </c>
      <c r="CG167" s="245" t="s">
        <v>2326</v>
      </c>
      <c r="CH167" s="245" t="s">
        <v>2326</v>
      </c>
      <c r="CI167" s="245" t="s">
        <v>2326</v>
      </c>
      <c r="CJ167" s="235"/>
      <c r="CK167" s="173" t="s">
        <v>2479</v>
      </c>
      <c r="CL167" s="173" t="s">
        <v>2478</v>
      </c>
      <c r="CM167" s="199">
        <f t="shared" si="211"/>
        <v>25</v>
      </c>
      <c r="CN167" s="58">
        <f t="shared" si="228"/>
        <v>0.375</v>
      </c>
      <c r="CO167" s="54">
        <v>15492000</v>
      </c>
      <c r="CP167" s="186">
        <f t="shared" si="189"/>
        <v>3.3379969623969079</v>
      </c>
      <c r="CQ167" s="179">
        <f t="shared" si="212"/>
        <v>80</v>
      </c>
      <c r="CR167" s="30">
        <f t="shared" si="229"/>
        <v>2.4</v>
      </c>
      <c r="CS167" s="200">
        <f>_xlfn.XLOOKUP(C167, '1-1. 관계사체무보증금액 (환율 등)'!$3:$3, '1-1. 관계사체무보증금액 (환율 등)'!$33:$33)</f>
        <v>18700000</v>
      </c>
      <c r="CT167" s="178">
        <f t="shared" si="190"/>
        <v>4.0292114121367275</v>
      </c>
      <c r="CU167" s="179">
        <f t="shared" si="213"/>
        <v>80</v>
      </c>
      <c r="CV167" s="30">
        <f t="shared" si="230"/>
        <v>1.6</v>
      </c>
      <c r="CW167" s="72">
        <f t="shared" si="218"/>
        <v>16.782485981943921</v>
      </c>
    </row>
    <row r="168" spans="1:101" x14ac:dyDescent="0.6">
      <c r="A168" s="214" t="s">
        <v>1725</v>
      </c>
      <c r="B168" s="13" t="s">
        <v>2148</v>
      </c>
      <c r="C168" s="219" t="s">
        <v>351</v>
      </c>
      <c r="D168" s="216" t="s">
        <v>191</v>
      </c>
      <c r="E168" s="217" t="s">
        <v>1091</v>
      </c>
      <c r="F168" s="217" t="s">
        <v>584</v>
      </c>
      <c r="G168" s="218">
        <v>43140</v>
      </c>
      <c r="H168" s="217" t="s">
        <v>830</v>
      </c>
      <c r="I168" s="217" t="s">
        <v>804</v>
      </c>
      <c r="J168" s="217" t="s">
        <v>1164</v>
      </c>
      <c r="K168" s="217" t="s">
        <v>346</v>
      </c>
      <c r="L168" s="220">
        <v>5571483130</v>
      </c>
      <c r="M168" s="206">
        <v>1401534327</v>
      </c>
      <c r="N168" s="206">
        <v>4169948803</v>
      </c>
      <c r="O168" s="206">
        <v>1937469297</v>
      </c>
      <c r="P168" s="206">
        <v>618890773</v>
      </c>
      <c r="Q168" s="206">
        <v>606389938</v>
      </c>
      <c r="R168" s="206">
        <v>511383102</v>
      </c>
      <c r="S168" s="207">
        <v>140805210</v>
      </c>
      <c r="T168" s="207">
        <v>3012503</v>
      </c>
      <c r="U168" s="207">
        <v>28223603</v>
      </c>
      <c r="V168" s="207">
        <f>6053+7330+12700+2801+19352+10412+52467+8163+6783+6579+1930+3836+106+4161+10404+510+436+3367+3761+6177+2550+2227+444+222+1092+3182+836+2578+2550+970</f>
        <v>183979</v>
      </c>
      <c r="W168" s="207">
        <f>10885+25845+129919+4383+142157+3488+21828+15568+53919+11460+2483+44824+13526+64802+2080+20241+23805+4826+569+2775+10834+25441+3741+4513+3162+14049+4161+754+3908+7551+2560+4393+233+361+5251+2924+969+3826+15606+4580+596+7876+25530</f>
        <v>752202</v>
      </c>
      <c r="X168" s="207">
        <v>0</v>
      </c>
      <c r="Z168" s="207">
        <v>2976330</v>
      </c>
      <c r="AA168" s="207">
        <v>0</v>
      </c>
      <c r="AB168" s="176">
        <f t="shared" si="214"/>
        <v>32136114</v>
      </c>
      <c r="AC168" s="177">
        <f t="shared" si="191"/>
        <v>22.823100082731312</v>
      </c>
      <c r="AD168" s="177">
        <f t="shared" si="215"/>
        <v>80.388578754834896</v>
      </c>
      <c r="AE168" s="26">
        <f t="shared" si="219"/>
        <v>2.4116573626450468</v>
      </c>
      <c r="AF168" s="178">
        <f t="shared" si="192"/>
        <v>20.616172378411871</v>
      </c>
      <c r="AG168" s="178">
        <f t="shared" si="193"/>
        <v>23.322071755219962</v>
      </c>
      <c r="AH168" s="178">
        <f t="shared" si="216"/>
        <v>2.705899376808091</v>
      </c>
      <c r="AI168" s="179">
        <f t="shared" si="217"/>
        <v>100</v>
      </c>
      <c r="AJ168" s="30">
        <f t="shared" si="220"/>
        <v>4</v>
      </c>
      <c r="AK168" s="204">
        <v>9</v>
      </c>
      <c r="AL168" s="204">
        <v>39</v>
      </c>
      <c r="AM168" s="180">
        <v>1</v>
      </c>
      <c r="AN168" s="181">
        <f t="shared" si="178"/>
        <v>48</v>
      </c>
      <c r="AO168" s="182">
        <f t="shared" si="179"/>
        <v>2.083333333333333</v>
      </c>
      <c r="AP168" s="183">
        <f t="shared" si="194"/>
        <v>100</v>
      </c>
      <c r="AQ168" s="38">
        <f t="shared" si="221"/>
        <v>2</v>
      </c>
      <c r="AR168" s="212">
        <v>5</v>
      </c>
      <c r="AS168" s="292">
        <f t="shared" si="180"/>
        <v>0.5</v>
      </c>
      <c r="AT168" s="185">
        <f t="shared" si="181"/>
        <v>4.5</v>
      </c>
      <c r="AU168" s="185">
        <f t="shared" si="195"/>
        <v>4</v>
      </c>
      <c r="AV168" s="186">
        <f t="shared" si="182"/>
        <v>11.111111111111111</v>
      </c>
      <c r="AW168" s="179">
        <f t="shared" si="196"/>
        <v>60</v>
      </c>
      <c r="AX168" s="239">
        <f t="shared" si="222"/>
        <v>0.6</v>
      </c>
      <c r="AY168" s="54">
        <f>12</f>
        <v>12</v>
      </c>
      <c r="AZ168" s="54">
        <f>12*5-6</f>
        <v>54</v>
      </c>
      <c r="BA168" s="189">
        <f t="shared" si="183"/>
        <v>60</v>
      </c>
      <c r="BB168" s="178">
        <f t="shared" si="197"/>
        <v>90</v>
      </c>
      <c r="BC168" s="179">
        <f t="shared" si="198"/>
        <v>100</v>
      </c>
      <c r="BD168" s="30">
        <f t="shared" si="223"/>
        <v>1</v>
      </c>
      <c r="BE168" s="190">
        <f>33695832-BF168</f>
        <v>31519709.769462839</v>
      </c>
      <c r="BF168" s="190">
        <f>33695832*11415154/176756207</f>
        <v>2176122.2305371603</v>
      </c>
      <c r="BG168" s="54">
        <v>1465416</v>
      </c>
      <c r="BH168" s="191">
        <f t="shared" si="184"/>
        <v>33695832</v>
      </c>
      <c r="BI168" s="178">
        <f t="shared" si="185"/>
        <v>4.3489533067472559</v>
      </c>
      <c r="BJ168" s="294" t="str">
        <f t="shared" si="199"/>
        <v>식약/섬유/종이업</v>
      </c>
      <c r="BK168" s="192">
        <f t="shared" si="200"/>
        <v>2.1999360555264444</v>
      </c>
      <c r="BL168" s="193">
        <f t="shared" si="201"/>
        <v>2.1490172512208114</v>
      </c>
      <c r="BM168" s="241">
        <f t="shared" si="202"/>
        <v>40</v>
      </c>
      <c r="BN168" s="47">
        <f t="shared" si="203"/>
        <v>0.8</v>
      </c>
      <c r="BO168" s="54">
        <v>412283365</v>
      </c>
      <c r="BP168" s="194">
        <f t="shared" si="186"/>
        <v>21.27947862907476</v>
      </c>
      <c r="BQ168" s="179">
        <f t="shared" si="204"/>
        <v>100</v>
      </c>
      <c r="BR168" s="30">
        <f t="shared" si="224"/>
        <v>2</v>
      </c>
      <c r="BS168" s="195">
        <v>107155737.359</v>
      </c>
      <c r="BT168" s="195">
        <v>2040</v>
      </c>
      <c r="BU168" s="196">
        <f t="shared" si="205"/>
        <v>107153697.359</v>
      </c>
      <c r="BV168" s="178">
        <f t="shared" si="187"/>
        <v>5.5306010539066621</v>
      </c>
      <c r="BW168" s="192">
        <f t="shared" si="206"/>
        <v>5.0508176117342281</v>
      </c>
      <c r="BX168" s="192">
        <f t="shared" si="207"/>
        <v>0.23019215138282939</v>
      </c>
      <c r="BY168" s="192">
        <f t="shared" si="208"/>
        <v>6.9871618081220941</v>
      </c>
      <c r="BZ168" s="192">
        <f t="shared" si="209"/>
        <v>47.26275708993559</v>
      </c>
      <c r="CA168" s="192">
        <f t="shared" si="188"/>
        <v>55</v>
      </c>
      <c r="CB168" s="55">
        <f t="shared" si="210"/>
        <v>1.1000000000000001</v>
      </c>
      <c r="CC168" s="197">
        <f t="shared" si="225"/>
        <v>33.610348548924378</v>
      </c>
      <c r="CD168" s="198">
        <f t="shared" si="226"/>
        <v>87.709667632314932</v>
      </c>
      <c r="CE168" s="58">
        <f t="shared" si="227"/>
        <v>1.315645014484724</v>
      </c>
      <c r="CF168" s="245" t="s">
        <v>2326</v>
      </c>
      <c r="CG168" s="245" t="s">
        <v>2326</v>
      </c>
      <c r="CH168" s="245" t="s">
        <v>2326</v>
      </c>
      <c r="CI168" s="245" t="s">
        <v>2326</v>
      </c>
      <c r="CJ168" s="235"/>
      <c r="CK168" s="173" t="s">
        <v>2491</v>
      </c>
      <c r="CL168" s="173" t="s">
        <v>2478</v>
      </c>
      <c r="CM168" s="199">
        <f t="shared" si="211"/>
        <v>25</v>
      </c>
      <c r="CN168" s="58">
        <f t="shared" si="228"/>
        <v>0.375</v>
      </c>
      <c r="CO168" s="54">
        <v>620724501</v>
      </c>
      <c r="CP168" s="186">
        <f t="shared" si="189"/>
        <v>14.885662398383168</v>
      </c>
      <c r="CQ168" s="179">
        <f t="shared" si="212"/>
        <v>60</v>
      </c>
      <c r="CR168" s="30">
        <f t="shared" si="229"/>
        <v>1.7999999999999998</v>
      </c>
      <c r="CS168" s="200">
        <f>_xlfn.XLOOKUP(C168, '1-1. 관계사체무보증금액 (환율 등)'!$3:$3, '1-1. 관계사체무보증금액 (환율 등)'!$33:$33)</f>
        <v>42687007.749682888</v>
      </c>
      <c r="CT168" s="178">
        <f t="shared" si="190"/>
        <v>1.0236818188024859</v>
      </c>
      <c r="CU168" s="179">
        <f t="shared" si="213"/>
        <v>100</v>
      </c>
      <c r="CV168" s="30">
        <f t="shared" si="230"/>
        <v>2</v>
      </c>
      <c r="CW168" s="72">
        <f t="shared" si="218"/>
        <v>19.402302377129772</v>
      </c>
    </row>
    <row r="169" spans="1:101" x14ac:dyDescent="0.6">
      <c r="A169" s="214" t="s">
        <v>1726</v>
      </c>
      <c r="B169" s="13" t="s">
        <v>2149</v>
      </c>
      <c r="C169" s="219" t="s">
        <v>1727</v>
      </c>
      <c r="D169" s="14" t="s">
        <v>202</v>
      </c>
      <c r="E169" s="217" t="s">
        <v>205</v>
      </c>
      <c r="F169" s="217" t="s">
        <v>1728</v>
      </c>
      <c r="G169" s="218">
        <v>44229</v>
      </c>
      <c r="H169" s="217" t="s">
        <v>830</v>
      </c>
      <c r="I169" s="217" t="s">
        <v>1729</v>
      </c>
      <c r="J169" s="217" t="s">
        <v>1730</v>
      </c>
      <c r="K169" s="217" t="s">
        <v>690</v>
      </c>
      <c r="L169" s="220">
        <v>487384549</v>
      </c>
      <c r="M169" s="206">
        <v>250541994</v>
      </c>
      <c r="N169" s="206">
        <v>236842555</v>
      </c>
      <c r="O169" s="206">
        <v>931449231</v>
      </c>
      <c r="P169" s="206">
        <v>44671754</v>
      </c>
      <c r="Q169" s="206">
        <v>50417620</v>
      </c>
      <c r="R169" s="206">
        <v>39493848</v>
      </c>
      <c r="S169" s="207">
        <v>50005551</v>
      </c>
      <c r="T169" s="207">
        <v>1168407</v>
      </c>
      <c r="U169" s="207">
        <v>7053999</v>
      </c>
      <c r="V169" s="207">
        <f>18364+79337+59989+135309+33058</f>
        <v>326057</v>
      </c>
      <c r="W169" s="207">
        <f>20984+37001+2000+26725+14940+43830+46554+52000+39174+11826</f>
        <v>295034</v>
      </c>
      <c r="X169" s="207">
        <v>0</v>
      </c>
      <c r="Z169" s="207">
        <v>0</v>
      </c>
      <c r="AA169" s="207">
        <v>0</v>
      </c>
      <c r="AB169" s="176">
        <f t="shared" si="214"/>
        <v>7675090</v>
      </c>
      <c r="AC169" s="177">
        <f t="shared" si="191"/>
        <v>15.348476012193126</v>
      </c>
      <c r="AD169" s="177">
        <f t="shared" si="215"/>
        <v>86.839635202364974</v>
      </c>
      <c r="AE169" s="26">
        <f t="shared" si="219"/>
        <v>2.605189056070949</v>
      </c>
      <c r="AF169" s="178">
        <f t="shared" si="192"/>
        <v>15.111563444414358</v>
      </c>
      <c r="AG169" s="178">
        <f t="shared" si="193"/>
        <v>15.715681490301725</v>
      </c>
      <c r="AH169" s="178">
        <f t="shared" si="216"/>
        <v>0.60411804588736651</v>
      </c>
      <c r="AI169" s="179">
        <f t="shared" si="217"/>
        <v>100</v>
      </c>
      <c r="AJ169" s="30">
        <f t="shared" si="220"/>
        <v>4</v>
      </c>
      <c r="AK169" s="204">
        <v>5</v>
      </c>
      <c r="AL169" s="204">
        <v>12</v>
      </c>
      <c r="AM169" s="204">
        <v>1</v>
      </c>
      <c r="AN169" s="181">
        <f t="shared" si="178"/>
        <v>17</v>
      </c>
      <c r="AO169" s="182">
        <f t="shared" si="179"/>
        <v>5.8823529411764701</v>
      </c>
      <c r="AP169" s="183">
        <f t="shared" si="194"/>
        <v>100</v>
      </c>
      <c r="AQ169" s="38">
        <f t="shared" si="221"/>
        <v>2</v>
      </c>
      <c r="AR169" s="212">
        <v>2</v>
      </c>
      <c r="AS169" s="292">
        <f t="shared" si="180"/>
        <v>0.25</v>
      </c>
      <c r="AT169" s="185">
        <f t="shared" si="181"/>
        <v>1.25</v>
      </c>
      <c r="AU169" s="185">
        <f t="shared" si="195"/>
        <v>1</v>
      </c>
      <c r="AV169" s="186">
        <f t="shared" si="182"/>
        <v>20</v>
      </c>
      <c r="AW169" s="179">
        <f t="shared" si="196"/>
        <v>80</v>
      </c>
      <c r="AX169" s="239">
        <f t="shared" si="222"/>
        <v>0.8</v>
      </c>
      <c r="AY169" s="54">
        <v>56</v>
      </c>
      <c r="AZ169" s="54">
        <f>56*2</f>
        <v>112</v>
      </c>
      <c r="BA169" s="189">
        <f t="shared" si="183"/>
        <v>112</v>
      </c>
      <c r="BB169" s="178">
        <f t="shared" si="197"/>
        <v>100</v>
      </c>
      <c r="BC169" s="179">
        <f t="shared" si="198"/>
        <v>100</v>
      </c>
      <c r="BD169" s="30">
        <f t="shared" si="223"/>
        <v>1</v>
      </c>
      <c r="BE169" s="190">
        <v>32816294</v>
      </c>
      <c r="BF169" s="190">
        <v>2730912</v>
      </c>
      <c r="BG169" s="301">
        <v>0</v>
      </c>
      <c r="BH169" s="191">
        <f t="shared" si="184"/>
        <v>35547206</v>
      </c>
      <c r="BI169" s="178">
        <f t="shared" si="185"/>
        <v>0</v>
      </c>
      <c r="BJ169" s="294" t="str">
        <f t="shared" si="199"/>
        <v>전기전자/기계업</v>
      </c>
      <c r="BK169" s="192">
        <f t="shared" si="200"/>
        <v>2.4096449716116455</v>
      </c>
      <c r="BL169" s="193">
        <f t="shared" si="201"/>
        <v>-2.4096449716116455</v>
      </c>
      <c r="BM169" s="241">
        <f t="shared" si="202"/>
        <v>100</v>
      </c>
      <c r="BN169" s="47">
        <f t="shared" si="203"/>
        <v>2</v>
      </c>
      <c r="BO169" s="54">
        <v>32658000</v>
      </c>
      <c r="BP169" s="194">
        <f t="shared" si="186"/>
        <v>3.5061492256468458</v>
      </c>
      <c r="BQ169" s="179">
        <f t="shared" si="204"/>
        <v>85</v>
      </c>
      <c r="BR169" s="30">
        <f t="shared" si="224"/>
        <v>1.7</v>
      </c>
      <c r="BS169" s="195">
        <v>1444928.6950000001</v>
      </c>
      <c r="BT169" s="195">
        <v>110391.42200000001</v>
      </c>
      <c r="BU169" s="196">
        <f t="shared" si="205"/>
        <v>1334537.273</v>
      </c>
      <c r="BV169" s="178">
        <f t="shared" si="187"/>
        <v>0.14327536365747454</v>
      </c>
      <c r="BW169" s="192">
        <f t="shared" si="206"/>
        <v>5.2309968128308268</v>
      </c>
      <c r="BX169" s="192">
        <f t="shared" si="207"/>
        <v>25.884909544378594</v>
      </c>
      <c r="BY169" s="192">
        <f t="shared" si="208"/>
        <v>7.0695458012309622</v>
      </c>
      <c r="BZ169" s="192">
        <f t="shared" si="209"/>
        <v>76.413509006146512</v>
      </c>
      <c r="CA169" s="192">
        <f t="shared" si="188"/>
        <v>40</v>
      </c>
      <c r="CB169" s="55">
        <f t="shared" si="210"/>
        <v>0.8</v>
      </c>
      <c r="CC169" s="197">
        <f t="shared" si="225"/>
        <v>105.78419659423113</v>
      </c>
      <c r="CD169" s="198">
        <f t="shared" si="226"/>
        <v>60.508468620264651</v>
      </c>
      <c r="CE169" s="58">
        <f t="shared" si="227"/>
        <v>0.90762702930396977</v>
      </c>
      <c r="CF169" s="245" t="s">
        <v>2326</v>
      </c>
      <c r="CG169" s="245" t="s">
        <v>2326</v>
      </c>
      <c r="CH169" s="245" t="s">
        <v>2326</v>
      </c>
      <c r="CI169" s="245" t="s">
        <v>2326</v>
      </c>
      <c r="CJ169" s="235"/>
      <c r="CK169" s="173" t="s">
        <v>2512</v>
      </c>
      <c r="CL169" s="173" t="s">
        <v>2493</v>
      </c>
      <c r="CM169" s="199">
        <f t="shared" si="211"/>
        <v>40</v>
      </c>
      <c r="CN169" s="58">
        <f t="shared" si="228"/>
        <v>0.6</v>
      </c>
      <c r="CO169" s="54">
        <v>73299000</v>
      </c>
      <c r="CP169" s="186">
        <f t="shared" si="189"/>
        <v>30.948407899078777</v>
      </c>
      <c r="CQ169" s="179">
        <f t="shared" si="212"/>
        <v>60</v>
      </c>
      <c r="CR169" s="30">
        <f t="shared" si="229"/>
        <v>1.7999999999999998</v>
      </c>
      <c r="CS169" s="200">
        <f>_xlfn.XLOOKUP(C169, '1-1. 관계사체무보증금액 (환율 등)'!$3:$3, '1-1. 관계사체무보증금액 (환율 등)'!$33:$33)</f>
        <v>268629832.36400956</v>
      </c>
      <c r="CT169" s="178">
        <f t="shared" si="190"/>
        <v>113.42126940152693</v>
      </c>
      <c r="CU169" s="179">
        <f t="shared" si="213"/>
        <v>20</v>
      </c>
      <c r="CV169" s="30">
        <f t="shared" si="230"/>
        <v>0.4</v>
      </c>
      <c r="CW169" s="72">
        <f t="shared" si="218"/>
        <v>18.61281608537492</v>
      </c>
    </row>
    <row r="170" spans="1:101" x14ac:dyDescent="0.6">
      <c r="A170" s="214" t="s">
        <v>945</v>
      </c>
      <c r="B170" s="13" t="s">
        <v>2150</v>
      </c>
      <c r="C170" s="219" t="s">
        <v>51</v>
      </c>
      <c r="D170" s="216" t="s">
        <v>203</v>
      </c>
      <c r="E170" s="217" t="s">
        <v>188</v>
      </c>
      <c r="F170" s="217" t="s">
        <v>160</v>
      </c>
      <c r="G170" s="218">
        <v>28301</v>
      </c>
      <c r="H170" s="217" t="s">
        <v>830</v>
      </c>
      <c r="I170" s="217" t="s">
        <v>253</v>
      </c>
      <c r="J170" s="217" t="s">
        <v>1050</v>
      </c>
      <c r="K170" s="217" t="s">
        <v>407</v>
      </c>
      <c r="L170" s="220">
        <v>1117980000</v>
      </c>
      <c r="M170" s="206">
        <v>475314000</v>
      </c>
      <c r="N170" s="206">
        <v>642666000</v>
      </c>
      <c r="O170" s="206">
        <v>1145427000</v>
      </c>
      <c r="P170" s="206">
        <v>167535000</v>
      </c>
      <c r="Q170" s="206">
        <v>168668000</v>
      </c>
      <c r="R170" s="206">
        <v>122873000</v>
      </c>
      <c r="S170" s="207">
        <v>24000000</v>
      </c>
      <c r="T170" s="207">
        <v>0</v>
      </c>
      <c r="U170" s="207">
        <f>5730410+392070</f>
        <v>6122480</v>
      </c>
      <c r="V170" s="207">
        <f>190620+3000+5710</f>
        <v>199330</v>
      </c>
      <c r="W170" s="207">
        <f>11100</f>
        <v>11100</v>
      </c>
      <c r="X170" s="207">
        <v>0</v>
      </c>
      <c r="Z170" s="207">
        <v>2196910</v>
      </c>
      <c r="AA170" s="207">
        <v>0</v>
      </c>
      <c r="AB170" s="176">
        <f t="shared" si="214"/>
        <v>8529820</v>
      </c>
      <c r="AC170" s="177">
        <f t="shared" si="191"/>
        <v>35.540916666666668</v>
      </c>
      <c r="AD170" s="177">
        <f t="shared" si="215"/>
        <v>69.41232738780208</v>
      </c>
      <c r="AE170" s="26">
        <f t="shared" si="219"/>
        <v>2.0823698216340625</v>
      </c>
      <c r="AF170" s="178">
        <f t="shared" si="192"/>
        <v>26.340875000000004</v>
      </c>
      <c r="AG170" s="178">
        <f t="shared" si="193"/>
        <v>35.540916666666668</v>
      </c>
      <c r="AH170" s="178">
        <f t="shared" si="216"/>
        <v>9.2000416666666638</v>
      </c>
      <c r="AI170" s="179">
        <f t="shared" si="217"/>
        <v>100</v>
      </c>
      <c r="AJ170" s="30">
        <f t="shared" si="220"/>
        <v>4</v>
      </c>
      <c r="AK170" s="204">
        <v>5</v>
      </c>
      <c r="AL170" s="204">
        <v>10</v>
      </c>
      <c r="AM170" s="204">
        <v>1</v>
      </c>
      <c r="AN170" s="181">
        <f t="shared" si="178"/>
        <v>15</v>
      </c>
      <c r="AO170" s="182">
        <f t="shared" si="179"/>
        <v>6.666666666666667</v>
      </c>
      <c r="AP170" s="183">
        <f t="shared" si="194"/>
        <v>100</v>
      </c>
      <c r="AQ170" s="38">
        <f t="shared" si="221"/>
        <v>2</v>
      </c>
      <c r="AR170" s="212">
        <v>1</v>
      </c>
      <c r="AS170" s="292">
        <f t="shared" si="180"/>
        <v>0.25</v>
      </c>
      <c r="AT170" s="185">
        <f t="shared" si="181"/>
        <v>1.25</v>
      </c>
      <c r="AU170" s="185">
        <f t="shared" si="195"/>
        <v>1</v>
      </c>
      <c r="AV170" s="186">
        <f t="shared" si="182"/>
        <v>0</v>
      </c>
      <c r="AW170" s="179">
        <f t="shared" si="196"/>
        <v>40</v>
      </c>
      <c r="AX170" s="239">
        <f t="shared" si="222"/>
        <v>0.4</v>
      </c>
      <c r="AY170" s="54">
        <f>9</f>
        <v>9</v>
      </c>
      <c r="AZ170" s="54">
        <v>6</v>
      </c>
      <c r="BA170" s="189">
        <f t="shared" si="183"/>
        <v>9</v>
      </c>
      <c r="BB170" s="178">
        <f t="shared" si="197"/>
        <v>66.666666666666657</v>
      </c>
      <c r="BC170" s="179">
        <f t="shared" si="198"/>
        <v>25</v>
      </c>
      <c r="BD170" s="30">
        <f t="shared" si="223"/>
        <v>0.25</v>
      </c>
      <c r="BE170" s="190">
        <v>8495000</v>
      </c>
      <c r="BF170" s="190">
        <v>804000</v>
      </c>
      <c r="BG170" s="54">
        <v>1753000</v>
      </c>
      <c r="BH170" s="191">
        <f t="shared" si="184"/>
        <v>9299000</v>
      </c>
      <c r="BI170" s="178">
        <f t="shared" si="185"/>
        <v>18.851489407463166</v>
      </c>
      <c r="BJ170" s="294" t="str">
        <f t="shared" si="199"/>
        <v>금속/비금속/화학업</v>
      </c>
      <c r="BK170" s="192">
        <f t="shared" si="200"/>
        <v>3.9534118626990464</v>
      </c>
      <c r="BL170" s="193">
        <f t="shared" si="201"/>
        <v>14.898077544764121</v>
      </c>
      <c r="BM170" s="241">
        <f t="shared" si="202"/>
        <v>20</v>
      </c>
      <c r="BN170" s="47">
        <f t="shared" si="203"/>
        <v>0.4</v>
      </c>
      <c r="BO170" s="54">
        <f>(6284-1097)*1000</f>
        <v>5187000</v>
      </c>
      <c r="BP170" s="194">
        <f t="shared" si="186"/>
        <v>0.45284422315869977</v>
      </c>
      <c r="BQ170" s="179">
        <f t="shared" si="204"/>
        <v>55</v>
      </c>
      <c r="BR170" s="30">
        <f t="shared" si="224"/>
        <v>1.1000000000000001</v>
      </c>
      <c r="BS170" s="195">
        <v>43741000</v>
      </c>
      <c r="BT170" s="195">
        <v>5000</v>
      </c>
      <c r="BU170" s="196">
        <f t="shared" si="205"/>
        <v>43736000</v>
      </c>
      <c r="BV170" s="178">
        <f t="shared" si="187"/>
        <v>3.8183140435837468</v>
      </c>
      <c r="BW170" s="192">
        <f t="shared" si="206"/>
        <v>5.1474158565187729</v>
      </c>
      <c r="BX170" s="192">
        <f t="shared" si="207"/>
        <v>1.766511629147173</v>
      </c>
      <c r="BY170" s="192">
        <f t="shared" si="208"/>
        <v>6.6930498535228526</v>
      </c>
      <c r="BZ170" s="192">
        <f t="shared" si="209"/>
        <v>57.870411479947137</v>
      </c>
      <c r="CA170" s="192">
        <f t="shared" si="188"/>
        <v>55</v>
      </c>
      <c r="CB170" s="55">
        <f t="shared" si="210"/>
        <v>1.1000000000000001</v>
      </c>
      <c r="CC170" s="197">
        <f t="shared" si="225"/>
        <v>73.959724024609983</v>
      </c>
      <c r="CD170" s="198">
        <f t="shared" si="226"/>
        <v>72.502616573639457</v>
      </c>
      <c r="CE170" s="58">
        <f t="shared" si="227"/>
        <v>1.0875392486045918</v>
      </c>
      <c r="CF170" s="245" t="s">
        <v>2326</v>
      </c>
      <c r="CG170" s="245" t="s">
        <v>2326</v>
      </c>
      <c r="CH170" s="245" t="s">
        <v>2326</v>
      </c>
      <c r="CI170" s="245" t="s">
        <v>2326</v>
      </c>
      <c r="CJ170" s="235"/>
      <c r="CK170" s="173" t="s">
        <v>2485</v>
      </c>
      <c r="CL170" s="173" t="s">
        <v>2482</v>
      </c>
      <c r="CM170" s="199">
        <f t="shared" si="211"/>
        <v>55</v>
      </c>
      <c r="CN170" s="58">
        <f t="shared" si="228"/>
        <v>0.82499999999999996</v>
      </c>
      <c r="CO170" s="54">
        <v>126578000</v>
      </c>
      <c r="CP170" s="186">
        <f t="shared" si="189"/>
        <v>19.695767319260703</v>
      </c>
      <c r="CQ170" s="179">
        <f t="shared" si="212"/>
        <v>60</v>
      </c>
      <c r="CR170" s="30">
        <f t="shared" si="229"/>
        <v>1.7999999999999998</v>
      </c>
      <c r="CS170" s="200">
        <f>_xlfn.XLOOKUP(C170, '1-1. 관계사체무보증금액 (환율 등)'!$3:$3, '1-1. 관계사체무보증금액 (환율 등)'!$33:$33)</f>
        <v>0</v>
      </c>
      <c r="CT170" s="178">
        <f t="shared" si="190"/>
        <v>0</v>
      </c>
      <c r="CU170" s="179">
        <f t="shared" si="213"/>
        <v>100</v>
      </c>
      <c r="CV170" s="30">
        <f t="shared" si="230"/>
        <v>2</v>
      </c>
      <c r="CW170" s="72">
        <f t="shared" si="218"/>
        <v>17.044909070238653</v>
      </c>
    </row>
    <row r="171" spans="1:101" x14ac:dyDescent="0.6">
      <c r="A171" s="214" t="s">
        <v>1731</v>
      </c>
      <c r="B171" s="13" t="s">
        <v>2151</v>
      </c>
      <c r="C171" s="219" t="s">
        <v>1732</v>
      </c>
      <c r="D171" s="14" t="s">
        <v>202</v>
      </c>
      <c r="E171" s="217" t="s">
        <v>572</v>
      </c>
      <c r="F171" s="217" t="s">
        <v>1733</v>
      </c>
      <c r="G171" s="218">
        <v>33480</v>
      </c>
      <c r="H171" s="217" t="s">
        <v>830</v>
      </c>
      <c r="I171" s="217" t="s">
        <v>1734</v>
      </c>
      <c r="J171" s="217" t="s">
        <v>1735</v>
      </c>
      <c r="K171" s="217" t="s">
        <v>690</v>
      </c>
      <c r="L171" s="220">
        <v>181493057</v>
      </c>
      <c r="M171" s="206">
        <v>70279714</v>
      </c>
      <c r="N171" s="206">
        <v>111213342</v>
      </c>
      <c r="O171" s="206">
        <v>120360819</v>
      </c>
      <c r="P171" s="206">
        <v>9391620</v>
      </c>
      <c r="Q171" s="206">
        <v>7726840</v>
      </c>
      <c r="R171" s="206">
        <v>5939402</v>
      </c>
      <c r="S171" s="207">
        <v>53985163</v>
      </c>
      <c r="T171" s="207">
        <v>0</v>
      </c>
      <c r="U171" s="207">
        <f>10198612+10008919</f>
        <v>20207531</v>
      </c>
      <c r="V171" s="207">
        <f>876661+544522+401950</f>
        <v>1823133</v>
      </c>
      <c r="W171" s="207">
        <f>421318+25207+10000</f>
        <v>456525</v>
      </c>
      <c r="X171" s="207">
        <v>0</v>
      </c>
      <c r="Z171" s="207">
        <v>1542007</v>
      </c>
      <c r="AA171" s="207">
        <v>0</v>
      </c>
      <c r="AB171" s="176">
        <f t="shared" si="214"/>
        <v>24029196</v>
      </c>
      <c r="AC171" s="177">
        <f t="shared" si="191"/>
        <v>44.510740849295942</v>
      </c>
      <c r="AD171" s="177">
        <f t="shared" si="215"/>
        <v>61.670822051815939</v>
      </c>
      <c r="AE171" s="26">
        <f t="shared" si="219"/>
        <v>1.8501246615544782</v>
      </c>
      <c r="AF171" s="178">
        <f t="shared" si="192"/>
        <v>40.808738504688776</v>
      </c>
      <c r="AG171" s="178">
        <f t="shared" si="193"/>
        <v>44.510740849295942</v>
      </c>
      <c r="AH171" s="178">
        <f t="shared" si="216"/>
        <v>3.7020023446071662</v>
      </c>
      <c r="AI171" s="179">
        <f t="shared" si="217"/>
        <v>100</v>
      </c>
      <c r="AJ171" s="30">
        <f t="shared" si="220"/>
        <v>4</v>
      </c>
      <c r="AK171" s="204">
        <v>8</v>
      </c>
      <c r="AL171" s="204">
        <v>6</v>
      </c>
      <c r="AM171" s="204">
        <v>3</v>
      </c>
      <c r="AN171" s="181">
        <f t="shared" si="178"/>
        <v>14</v>
      </c>
      <c r="AO171" s="182">
        <f t="shared" si="179"/>
        <v>21.428571428571427</v>
      </c>
      <c r="AP171" s="183">
        <f t="shared" si="194"/>
        <v>60</v>
      </c>
      <c r="AQ171" s="38">
        <f t="shared" si="221"/>
        <v>1.2</v>
      </c>
      <c r="AR171" s="212">
        <v>3</v>
      </c>
      <c r="AS171" s="292">
        <f t="shared" si="180"/>
        <v>0.25</v>
      </c>
      <c r="AT171" s="185">
        <f t="shared" si="181"/>
        <v>2</v>
      </c>
      <c r="AU171" s="185">
        <f t="shared" si="195"/>
        <v>2</v>
      </c>
      <c r="AV171" s="186">
        <f t="shared" si="182"/>
        <v>12.5</v>
      </c>
      <c r="AW171" s="179">
        <f t="shared" si="196"/>
        <v>60</v>
      </c>
      <c r="AX171" s="239">
        <f t="shared" si="222"/>
        <v>0.6</v>
      </c>
      <c r="AY171" s="54">
        <v>6</v>
      </c>
      <c r="AZ171" s="54">
        <v>18</v>
      </c>
      <c r="BA171" s="189">
        <f t="shared" si="183"/>
        <v>18</v>
      </c>
      <c r="BB171" s="178">
        <f t="shared" si="197"/>
        <v>100</v>
      </c>
      <c r="BC171" s="179">
        <f t="shared" si="198"/>
        <v>100</v>
      </c>
      <c r="BD171" s="30">
        <f t="shared" si="223"/>
        <v>1</v>
      </c>
      <c r="BE171" s="190">
        <v>3795286</v>
      </c>
      <c r="BF171" s="190">
        <v>1276797</v>
      </c>
      <c r="BG171" s="54">
        <v>68216</v>
      </c>
      <c r="BH171" s="191">
        <f t="shared" si="184"/>
        <v>5072083</v>
      </c>
      <c r="BI171" s="178">
        <f t="shared" si="185"/>
        <v>1.3449306724673078</v>
      </c>
      <c r="BJ171" s="294" t="str">
        <f t="shared" si="199"/>
        <v>전기전자/기계업</v>
      </c>
      <c r="BK171" s="192">
        <f t="shared" si="200"/>
        <v>2.4096449716116455</v>
      </c>
      <c r="BL171" s="193">
        <f t="shared" si="201"/>
        <v>-1.0647142991443377</v>
      </c>
      <c r="BM171" s="241">
        <f t="shared" si="202"/>
        <v>80</v>
      </c>
      <c r="BN171" s="47">
        <f t="shared" si="203"/>
        <v>1.6</v>
      </c>
      <c r="BO171" s="54">
        <v>5463893</v>
      </c>
      <c r="BP171" s="194">
        <f t="shared" si="186"/>
        <v>4.5395944007326836</v>
      </c>
      <c r="BQ171" s="179">
        <f t="shared" si="204"/>
        <v>100</v>
      </c>
      <c r="BR171" s="30">
        <f t="shared" si="224"/>
        <v>2</v>
      </c>
      <c r="BS171" s="195">
        <v>606892.08299999998</v>
      </c>
      <c r="BT171" s="195">
        <v>6545.4539999999997</v>
      </c>
      <c r="BU171" s="196">
        <f t="shared" si="205"/>
        <v>600346.62899999996</v>
      </c>
      <c r="BV171" s="178">
        <f t="shared" si="187"/>
        <v>0.49878908600646854</v>
      </c>
      <c r="BW171" s="192">
        <f t="shared" si="206"/>
        <v>5.2309968128308268</v>
      </c>
      <c r="BX171" s="192">
        <f t="shared" si="207"/>
        <v>22.393789969816158</v>
      </c>
      <c r="BY171" s="192">
        <f t="shared" si="208"/>
        <v>7.0695458012309622</v>
      </c>
      <c r="BZ171" s="192">
        <f t="shared" si="209"/>
        <v>74.837322846179106</v>
      </c>
      <c r="CA171" s="192">
        <f t="shared" si="188"/>
        <v>40</v>
      </c>
      <c r="CB171" s="55">
        <f t="shared" si="210"/>
        <v>0.8</v>
      </c>
      <c r="CC171" s="197">
        <f t="shared" si="225"/>
        <v>63.193599559304673</v>
      </c>
      <c r="CD171" s="198">
        <f t="shared" si="226"/>
        <v>76.560201171116333</v>
      </c>
      <c r="CE171" s="58">
        <f t="shared" si="227"/>
        <v>1.148403017566745</v>
      </c>
      <c r="CF171" s="245" t="s">
        <v>2326</v>
      </c>
      <c r="CG171" s="245" t="s">
        <v>2326</v>
      </c>
      <c r="CH171" s="245" t="s">
        <v>2326</v>
      </c>
      <c r="CI171" s="245" t="s">
        <v>2326</v>
      </c>
      <c r="CJ171" s="235"/>
      <c r="CK171" s="173" t="s">
        <v>2501</v>
      </c>
      <c r="CL171" s="173" t="s">
        <v>2493</v>
      </c>
      <c r="CM171" s="199">
        <f t="shared" si="211"/>
        <v>40</v>
      </c>
      <c r="CN171" s="58">
        <f t="shared" si="228"/>
        <v>0.6</v>
      </c>
      <c r="CO171" s="54">
        <v>78037000</v>
      </c>
      <c r="CP171" s="186">
        <f t="shared" si="189"/>
        <v>70.168739286694574</v>
      </c>
      <c r="CQ171" s="179">
        <f t="shared" si="212"/>
        <v>40</v>
      </c>
      <c r="CR171" s="30">
        <f t="shared" si="229"/>
        <v>1.2</v>
      </c>
      <c r="CS171" s="200">
        <f>_xlfn.XLOOKUP(C171, '1-1. 관계사체무보증금액 (환율 등)'!$3:$3, '1-1. 관계사체무보증금액 (환율 등)'!$33:$33)</f>
        <v>18000000</v>
      </c>
      <c r="CT171" s="178">
        <f t="shared" si="190"/>
        <v>16.185108437798768</v>
      </c>
      <c r="CU171" s="179">
        <f t="shared" si="213"/>
        <v>60</v>
      </c>
      <c r="CV171" s="30">
        <f t="shared" si="230"/>
        <v>1.2</v>
      </c>
      <c r="CW171" s="72">
        <f t="shared" si="218"/>
        <v>17.198527679121224</v>
      </c>
    </row>
    <row r="172" spans="1:101" x14ac:dyDescent="0.6">
      <c r="A172" s="214" t="s">
        <v>762</v>
      </c>
      <c r="B172" s="13" t="s">
        <v>2152</v>
      </c>
      <c r="C172" s="219" t="s">
        <v>103</v>
      </c>
      <c r="D172" s="216" t="s">
        <v>191</v>
      </c>
      <c r="E172" s="217" t="s">
        <v>554</v>
      </c>
      <c r="F172" s="217" t="s">
        <v>777</v>
      </c>
      <c r="G172" s="218">
        <v>40568</v>
      </c>
      <c r="H172" s="217" t="s">
        <v>830</v>
      </c>
      <c r="I172" s="217" t="s">
        <v>1736</v>
      </c>
      <c r="J172" s="217" t="s">
        <v>1081</v>
      </c>
      <c r="K172" s="217" t="s">
        <v>690</v>
      </c>
      <c r="L172" s="220">
        <v>84677096</v>
      </c>
      <c r="M172" s="206">
        <v>21426870</v>
      </c>
      <c r="N172" s="206">
        <v>63250226</v>
      </c>
      <c r="O172" s="206">
        <v>241730925</v>
      </c>
      <c r="P172" s="206">
        <v>412795</v>
      </c>
      <c r="Q172" s="206">
        <v>2901178</v>
      </c>
      <c r="R172" s="206">
        <v>2331137</v>
      </c>
      <c r="S172" s="207">
        <v>2000000</v>
      </c>
      <c r="T172" s="207">
        <v>321042</v>
      </c>
      <c r="U172" s="207">
        <f>811522+303000</f>
        <v>1114522</v>
      </c>
      <c r="V172" s="207">
        <v>0</v>
      </c>
      <c r="W172" s="207">
        <f>39950</f>
        <v>39950</v>
      </c>
      <c r="X172" s="207">
        <v>60000</v>
      </c>
      <c r="Y172" s="208" t="s">
        <v>2441</v>
      </c>
      <c r="Z172" s="207">
        <v>0</v>
      </c>
      <c r="AA172" s="207">
        <v>0</v>
      </c>
      <c r="AB172" s="176">
        <f t="shared" si="214"/>
        <v>1214472</v>
      </c>
      <c r="AC172" s="177">
        <f t="shared" si="191"/>
        <v>60.723599999999998</v>
      </c>
      <c r="AD172" s="177">
        <f t="shared" si="215"/>
        <v>47.678135788262381</v>
      </c>
      <c r="AE172" s="26">
        <f t="shared" si="219"/>
        <v>1.4303440736478714</v>
      </c>
      <c r="AF172" s="178">
        <f t="shared" si="192"/>
        <v>66.381767739276384</v>
      </c>
      <c r="AG172" s="178">
        <f t="shared" si="193"/>
        <v>72.334864838786913</v>
      </c>
      <c r="AH172" s="178">
        <f t="shared" si="216"/>
        <v>5.9530970995105292</v>
      </c>
      <c r="AI172" s="179">
        <f t="shared" si="217"/>
        <v>100</v>
      </c>
      <c r="AJ172" s="30">
        <f t="shared" si="220"/>
        <v>4</v>
      </c>
      <c r="AK172" s="204">
        <v>5</v>
      </c>
      <c r="AL172" s="204">
        <v>0</v>
      </c>
      <c r="AM172" s="204">
        <v>1</v>
      </c>
      <c r="AN172" s="181">
        <f t="shared" si="178"/>
        <v>5</v>
      </c>
      <c r="AO172" s="182">
        <f t="shared" si="179"/>
        <v>20</v>
      </c>
      <c r="AP172" s="183">
        <f t="shared" si="194"/>
        <v>60</v>
      </c>
      <c r="AQ172" s="38">
        <f t="shared" si="221"/>
        <v>1.2</v>
      </c>
      <c r="AR172" s="212">
        <v>2</v>
      </c>
      <c r="AS172" s="292">
        <f t="shared" si="180"/>
        <v>0.25</v>
      </c>
      <c r="AT172" s="185">
        <f t="shared" si="181"/>
        <v>1.25</v>
      </c>
      <c r="AU172" s="185">
        <f t="shared" si="195"/>
        <v>1</v>
      </c>
      <c r="AV172" s="186">
        <f t="shared" si="182"/>
        <v>20</v>
      </c>
      <c r="AW172" s="179">
        <f t="shared" si="196"/>
        <v>80</v>
      </c>
      <c r="AX172" s="239">
        <f t="shared" si="222"/>
        <v>0.8</v>
      </c>
      <c r="AY172" s="301">
        <v>1</v>
      </c>
      <c r="AZ172" s="301">
        <v>0</v>
      </c>
      <c r="BA172" s="189">
        <f t="shared" si="183"/>
        <v>2</v>
      </c>
      <c r="BB172" s="178">
        <f t="shared" si="197"/>
        <v>0</v>
      </c>
      <c r="BC172" s="179">
        <f t="shared" si="198"/>
        <v>25</v>
      </c>
      <c r="BD172" s="30">
        <f t="shared" si="223"/>
        <v>0.25</v>
      </c>
      <c r="BE172" s="190">
        <v>3527621.5630000001</v>
      </c>
      <c r="BF172" s="190">
        <v>407875.48599999998</v>
      </c>
      <c r="BG172" s="301">
        <v>0</v>
      </c>
      <c r="BH172" s="191">
        <f t="shared" si="184"/>
        <v>3935497.0490000001</v>
      </c>
      <c r="BI172" s="178">
        <f t="shared" si="185"/>
        <v>0</v>
      </c>
      <c r="BJ172" s="294" t="str">
        <f t="shared" si="199"/>
        <v>식약/섬유/종이업</v>
      </c>
      <c r="BK172" s="192">
        <f t="shared" si="200"/>
        <v>2.1999360555264444</v>
      </c>
      <c r="BL172" s="193">
        <f t="shared" si="201"/>
        <v>-2.1999360555264444</v>
      </c>
      <c r="BM172" s="241">
        <f t="shared" si="202"/>
        <v>100</v>
      </c>
      <c r="BN172" s="47">
        <f t="shared" si="203"/>
        <v>2</v>
      </c>
      <c r="BO172" s="54">
        <v>2864343.7379999999</v>
      </c>
      <c r="BP172" s="194">
        <f t="shared" si="186"/>
        <v>1.1849306157249015</v>
      </c>
      <c r="BQ172" s="179">
        <f t="shared" si="204"/>
        <v>70</v>
      </c>
      <c r="BR172" s="30">
        <f t="shared" si="224"/>
        <v>1.4000000000000001</v>
      </c>
      <c r="BS172" s="195">
        <v>3724694.1609999998</v>
      </c>
      <c r="BT172" s="195">
        <v>162842.932</v>
      </c>
      <c r="BU172" s="196">
        <f t="shared" si="205"/>
        <v>3561851.2289999998</v>
      </c>
      <c r="BV172" s="178">
        <f t="shared" si="187"/>
        <v>1.4734776814344295</v>
      </c>
      <c r="BW172" s="192">
        <f t="shared" si="206"/>
        <v>5.0508176117342281</v>
      </c>
      <c r="BX172" s="192">
        <f t="shared" si="207"/>
        <v>12.797360976917366</v>
      </c>
      <c r="BY172" s="192">
        <f t="shared" si="208"/>
        <v>6.9871618081220941</v>
      </c>
      <c r="BZ172" s="192">
        <f t="shared" si="209"/>
        <v>69.567014226519575</v>
      </c>
      <c r="CA172" s="192">
        <f t="shared" si="188"/>
        <v>40</v>
      </c>
      <c r="CB172" s="55">
        <f t="shared" si="210"/>
        <v>0.8</v>
      </c>
      <c r="CC172" s="197">
        <f t="shared" si="225"/>
        <v>33.876353263939322</v>
      </c>
      <c r="CD172" s="198">
        <f t="shared" si="226"/>
        <v>87.609414599017839</v>
      </c>
      <c r="CE172" s="58">
        <f t="shared" si="227"/>
        <v>1.3141412189852675</v>
      </c>
      <c r="CF172" s="245" t="s">
        <v>2326</v>
      </c>
      <c r="CG172" s="245" t="s">
        <v>2326</v>
      </c>
      <c r="CH172" s="245" t="s">
        <v>2326</v>
      </c>
      <c r="CI172" s="245" t="s">
        <v>2326</v>
      </c>
      <c r="CJ172" s="235"/>
      <c r="CK172" s="173" t="s">
        <v>2479</v>
      </c>
      <c r="CL172" s="173" t="s">
        <v>2478</v>
      </c>
      <c r="CM172" s="199">
        <f t="shared" si="211"/>
        <v>25</v>
      </c>
      <c r="CN172" s="58">
        <f t="shared" si="228"/>
        <v>0.375</v>
      </c>
      <c r="CO172" s="54">
        <v>3967450</v>
      </c>
      <c r="CP172" s="186">
        <f t="shared" si="189"/>
        <v>6.2726258084832773</v>
      </c>
      <c r="CQ172" s="179">
        <f t="shared" si="212"/>
        <v>80</v>
      </c>
      <c r="CR172" s="30">
        <f t="shared" si="229"/>
        <v>2.4</v>
      </c>
      <c r="CS172" s="200">
        <f>_xlfn.XLOOKUP(C172, '1-1. 관계사체무보증금액 (환율 등)'!$3:$3, '1-1. 관계사체무보증금액 (환율 등)'!$33:$33)</f>
        <v>0</v>
      </c>
      <c r="CT172" s="178">
        <f t="shared" si="190"/>
        <v>0</v>
      </c>
      <c r="CU172" s="179">
        <f t="shared" si="213"/>
        <v>100</v>
      </c>
      <c r="CV172" s="30">
        <f t="shared" si="230"/>
        <v>2</v>
      </c>
      <c r="CW172" s="72">
        <f t="shared" si="218"/>
        <v>17.969485292633138</v>
      </c>
    </row>
    <row r="173" spans="1:101" x14ac:dyDescent="0.6">
      <c r="A173" s="214" t="s">
        <v>899</v>
      </c>
      <c r="B173" s="13" t="s">
        <v>2153</v>
      </c>
      <c r="C173" s="219" t="s">
        <v>862</v>
      </c>
      <c r="D173" s="216" t="s">
        <v>191</v>
      </c>
      <c r="E173" s="217" t="s">
        <v>1029</v>
      </c>
      <c r="F173" s="217" t="s">
        <v>1107</v>
      </c>
      <c r="G173" s="218">
        <v>35054</v>
      </c>
      <c r="H173" s="217" t="s">
        <v>830</v>
      </c>
      <c r="I173" s="217" t="s">
        <v>975</v>
      </c>
      <c r="J173" s="217" t="s">
        <v>1215</v>
      </c>
      <c r="K173" s="217" t="s">
        <v>690</v>
      </c>
      <c r="L173" s="220">
        <v>426922360</v>
      </c>
      <c r="M173" s="206">
        <v>43331711</v>
      </c>
      <c r="N173" s="206">
        <v>383590648</v>
      </c>
      <c r="O173" s="206">
        <v>226067372</v>
      </c>
      <c r="P173" s="206">
        <v>21433375</v>
      </c>
      <c r="Q173" s="206">
        <v>24456144</v>
      </c>
      <c r="R173" s="206">
        <v>20262547</v>
      </c>
      <c r="S173" s="207">
        <v>4029782</v>
      </c>
      <c r="T173" s="207">
        <v>422855</v>
      </c>
      <c r="U173" s="207">
        <v>639094</v>
      </c>
      <c r="V173" s="207">
        <f>554281+323138+285260+22696</f>
        <v>1185375</v>
      </c>
      <c r="W173" s="207">
        <v>0</v>
      </c>
      <c r="X173" s="207">
        <v>0</v>
      </c>
      <c r="Z173" s="207">
        <f>352325+7064+5751</f>
        <v>365140</v>
      </c>
      <c r="AA173" s="207">
        <f>49830+41</f>
        <v>49871</v>
      </c>
      <c r="AB173" s="176">
        <f t="shared" si="214"/>
        <v>2189609</v>
      </c>
      <c r="AC173" s="177">
        <f t="shared" si="191"/>
        <v>54.33566877811257</v>
      </c>
      <c r="AD173" s="177">
        <f t="shared" si="215"/>
        <v>53.191310030397666</v>
      </c>
      <c r="AE173" s="26">
        <f t="shared" si="219"/>
        <v>1.5957393009119298</v>
      </c>
      <c r="AF173" s="178">
        <f t="shared" si="192"/>
        <v>51.29154559275986</v>
      </c>
      <c r="AG173" s="178">
        <f t="shared" si="193"/>
        <v>60.154745947210273</v>
      </c>
      <c r="AH173" s="178">
        <f t="shared" si="216"/>
        <v>8.863200354450413</v>
      </c>
      <c r="AI173" s="179">
        <f t="shared" si="217"/>
        <v>100</v>
      </c>
      <c r="AJ173" s="30">
        <f t="shared" si="220"/>
        <v>4</v>
      </c>
      <c r="AK173" s="204">
        <v>9</v>
      </c>
      <c r="AL173" s="204">
        <v>4</v>
      </c>
      <c r="AM173" s="204">
        <v>3</v>
      </c>
      <c r="AN173" s="181">
        <f t="shared" si="178"/>
        <v>13</v>
      </c>
      <c r="AO173" s="182">
        <f t="shared" si="179"/>
        <v>23.076923076923077</v>
      </c>
      <c r="AP173" s="183">
        <f t="shared" si="194"/>
        <v>60</v>
      </c>
      <c r="AQ173" s="38">
        <f t="shared" si="221"/>
        <v>1.2</v>
      </c>
      <c r="AR173" s="212">
        <v>3</v>
      </c>
      <c r="AS173" s="292">
        <f t="shared" si="180"/>
        <v>0.25</v>
      </c>
      <c r="AT173" s="185">
        <f t="shared" si="181"/>
        <v>2.25</v>
      </c>
      <c r="AU173" s="185">
        <f t="shared" si="195"/>
        <v>2</v>
      </c>
      <c r="AV173" s="186">
        <f t="shared" si="182"/>
        <v>11.111111111111111</v>
      </c>
      <c r="AW173" s="179">
        <f t="shared" si="196"/>
        <v>60</v>
      </c>
      <c r="AX173" s="239">
        <f t="shared" si="222"/>
        <v>0.6</v>
      </c>
      <c r="AY173" s="54">
        <v>5</v>
      </c>
      <c r="AZ173" s="54">
        <f>3*5-7</f>
        <v>8</v>
      </c>
      <c r="BA173" s="189">
        <f t="shared" si="183"/>
        <v>15</v>
      </c>
      <c r="BB173" s="178">
        <f t="shared" si="197"/>
        <v>53.333333333333336</v>
      </c>
      <c r="BC173" s="179">
        <f t="shared" si="198"/>
        <v>25</v>
      </c>
      <c r="BD173" s="30">
        <f t="shared" si="223"/>
        <v>0.25</v>
      </c>
      <c r="BE173" s="190">
        <v>24745137</v>
      </c>
      <c r="BF173" s="190">
        <v>3443402</v>
      </c>
      <c r="BG173" s="54">
        <v>1151017</v>
      </c>
      <c r="BH173" s="191">
        <f t="shared" si="184"/>
        <v>28188539</v>
      </c>
      <c r="BI173" s="178">
        <f t="shared" si="185"/>
        <v>4.0832800876980535</v>
      </c>
      <c r="BJ173" s="294" t="str">
        <f t="shared" si="199"/>
        <v>식약/섬유/종이업</v>
      </c>
      <c r="BK173" s="192">
        <f t="shared" si="200"/>
        <v>2.1999360555264444</v>
      </c>
      <c r="BL173" s="193">
        <f t="shared" si="201"/>
        <v>1.8833440321716091</v>
      </c>
      <c r="BM173" s="241">
        <f t="shared" si="202"/>
        <v>60</v>
      </c>
      <c r="BN173" s="47">
        <f t="shared" si="203"/>
        <v>1.2</v>
      </c>
      <c r="BO173" s="54">
        <v>0</v>
      </c>
      <c r="BP173" s="194">
        <f t="shared" si="186"/>
        <v>0</v>
      </c>
      <c r="BQ173" s="179">
        <f t="shared" si="204"/>
        <v>25</v>
      </c>
      <c r="BR173" s="30">
        <f t="shared" si="224"/>
        <v>0.5</v>
      </c>
      <c r="BS173" s="195">
        <v>50591021.450999998</v>
      </c>
      <c r="BT173" s="195">
        <v>248559.2</v>
      </c>
      <c r="BU173" s="196">
        <f t="shared" si="205"/>
        <v>50342462.250999995</v>
      </c>
      <c r="BV173" s="178">
        <f t="shared" si="187"/>
        <v>22.268787311333011</v>
      </c>
      <c r="BW173" s="192">
        <f t="shared" si="206"/>
        <v>5.0508176117342281</v>
      </c>
      <c r="BX173" s="192">
        <f t="shared" si="207"/>
        <v>296.45848057630178</v>
      </c>
      <c r="BY173" s="192">
        <f t="shared" si="208"/>
        <v>6.9871618081220941</v>
      </c>
      <c r="BZ173" s="192">
        <f t="shared" si="209"/>
        <v>0.68654095883196042</v>
      </c>
      <c r="CA173" s="192">
        <f t="shared" si="188"/>
        <v>100</v>
      </c>
      <c r="CB173" s="55">
        <f t="shared" si="210"/>
        <v>2</v>
      </c>
      <c r="CC173" s="197">
        <f t="shared" si="225"/>
        <v>11.296341875362927</v>
      </c>
      <c r="CD173" s="198">
        <f t="shared" si="226"/>
        <v>96.119469142451152</v>
      </c>
      <c r="CE173" s="58">
        <f t="shared" si="227"/>
        <v>1.4417920371367672</v>
      </c>
      <c r="CF173" s="245" t="s">
        <v>2326</v>
      </c>
      <c r="CG173" s="245" t="s">
        <v>2326</v>
      </c>
      <c r="CH173" s="245" t="s">
        <v>2326</v>
      </c>
      <c r="CI173" s="245" t="s">
        <v>2326</v>
      </c>
      <c r="CJ173" s="235"/>
      <c r="CK173" s="173" t="s">
        <v>2479</v>
      </c>
      <c r="CL173" s="173" t="s">
        <v>2478</v>
      </c>
      <c r="CM173" s="199">
        <f t="shared" si="211"/>
        <v>25</v>
      </c>
      <c r="CN173" s="58">
        <f t="shared" si="228"/>
        <v>0.375</v>
      </c>
      <c r="CO173" s="54">
        <v>186073000</v>
      </c>
      <c r="CP173" s="186">
        <f t="shared" si="189"/>
        <v>48.508221191044257</v>
      </c>
      <c r="CQ173" s="179">
        <f t="shared" si="212"/>
        <v>40</v>
      </c>
      <c r="CR173" s="30">
        <f t="shared" si="229"/>
        <v>1.2</v>
      </c>
      <c r="CS173" s="200">
        <f>_xlfn.XLOOKUP(C173, '1-1. 관계사체무보증금액 (환율 등)'!$3:$3, '1-1. 관계사체무보증금액 (환율 등)'!$33:$33)</f>
        <v>0</v>
      </c>
      <c r="CT173" s="178">
        <f t="shared" si="190"/>
        <v>0</v>
      </c>
      <c r="CU173" s="179">
        <f t="shared" si="213"/>
        <v>100</v>
      </c>
      <c r="CV173" s="30">
        <f t="shared" si="230"/>
        <v>2</v>
      </c>
      <c r="CW173" s="72">
        <f t="shared" si="218"/>
        <v>16.362531338048697</v>
      </c>
    </row>
    <row r="174" spans="1:101" x14ac:dyDescent="0.6">
      <c r="A174" s="214" t="s">
        <v>881</v>
      </c>
      <c r="B174" s="13" t="s">
        <v>2154</v>
      </c>
      <c r="C174" s="219" t="s">
        <v>547</v>
      </c>
      <c r="D174" s="216" t="s">
        <v>191</v>
      </c>
      <c r="E174" s="217" t="s">
        <v>403</v>
      </c>
      <c r="F174" s="217" t="s">
        <v>159</v>
      </c>
      <c r="G174" s="218">
        <v>27941</v>
      </c>
      <c r="H174" s="217" t="s">
        <v>830</v>
      </c>
      <c r="I174" s="217" t="s">
        <v>800</v>
      </c>
      <c r="J174" s="217" t="s">
        <v>1077</v>
      </c>
      <c r="K174" s="217" t="s">
        <v>91</v>
      </c>
      <c r="L174" s="220">
        <v>692320507</v>
      </c>
      <c r="M174" s="206">
        <v>130333252</v>
      </c>
      <c r="N174" s="206">
        <v>561987255</v>
      </c>
      <c r="O174" s="206">
        <v>383845600</v>
      </c>
      <c r="P174" s="206">
        <v>10768868</v>
      </c>
      <c r="Q174" s="206">
        <v>19845163</v>
      </c>
      <c r="R174" s="206">
        <v>15665849</v>
      </c>
      <c r="S174" s="207">
        <v>16000000</v>
      </c>
      <c r="T174" s="207">
        <v>215000</v>
      </c>
      <c r="U174" s="207">
        <f>100000+6429287</f>
        <v>6529287</v>
      </c>
      <c r="V174" s="207">
        <f>29838+246784+441917+436899+1605493</f>
        <v>2760931</v>
      </c>
      <c r="W174" s="207">
        <f>6157+4483+8899</f>
        <v>19539</v>
      </c>
      <c r="X174" s="207">
        <v>1226034</v>
      </c>
      <c r="Y174" s="208" t="s">
        <v>2442</v>
      </c>
      <c r="Z174" s="207">
        <v>0</v>
      </c>
      <c r="AA174" s="207">
        <v>0</v>
      </c>
      <c r="AB174" s="176">
        <f t="shared" si="214"/>
        <v>10535791</v>
      </c>
      <c r="AC174" s="177">
        <f t="shared" si="191"/>
        <v>65.848693749999995</v>
      </c>
      <c r="AD174" s="177">
        <f t="shared" si="215"/>
        <v>43.254867304372851</v>
      </c>
      <c r="AE174" s="26">
        <f t="shared" si="219"/>
        <v>1.2976460191311856</v>
      </c>
      <c r="AF174" s="178">
        <f t="shared" si="192"/>
        <v>58.854722838137477</v>
      </c>
      <c r="AG174" s="178">
        <f t="shared" si="193"/>
        <v>66.745587583148563</v>
      </c>
      <c r="AH174" s="178">
        <f t="shared" si="216"/>
        <v>7.8908647450110863</v>
      </c>
      <c r="AI174" s="179">
        <f t="shared" si="217"/>
        <v>100</v>
      </c>
      <c r="AJ174" s="30">
        <f t="shared" si="220"/>
        <v>4</v>
      </c>
      <c r="AK174" s="204">
        <v>7</v>
      </c>
      <c r="AL174" s="204">
        <v>10</v>
      </c>
      <c r="AM174" s="180">
        <v>1</v>
      </c>
      <c r="AN174" s="181">
        <f t="shared" si="178"/>
        <v>17</v>
      </c>
      <c r="AO174" s="182">
        <f t="shared" si="179"/>
        <v>5.8823529411764701</v>
      </c>
      <c r="AP174" s="183">
        <f t="shared" si="194"/>
        <v>100</v>
      </c>
      <c r="AQ174" s="38">
        <f t="shared" si="221"/>
        <v>2</v>
      </c>
      <c r="AR174" s="212">
        <v>2</v>
      </c>
      <c r="AS174" s="292">
        <f t="shared" si="180"/>
        <v>0.25</v>
      </c>
      <c r="AT174" s="185">
        <f t="shared" si="181"/>
        <v>1.75</v>
      </c>
      <c r="AU174" s="185">
        <f t="shared" si="195"/>
        <v>1</v>
      </c>
      <c r="AV174" s="186">
        <f t="shared" si="182"/>
        <v>14.285714285714285</v>
      </c>
      <c r="AW174" s="179">
        <f t="shared" si="196"/>
        <v>60</v>
      </c>
      <c r="AX174" s="239">
        <f t="shared" si="222"/>
        <v>0.6</v>
      </c>
      <c r="AY174" s="54">
        <v>22</v>
      </c>
      <c r="AZ174" s="54">
        <f>22*2-8</f>
        <v>36</v>
      </c>
      <c r="BA174" s="189">
        <f t="shared" si="183"/>
        <v>44</v>
      </c>
      <c r="BB174" s="178">
        <f t="shared" si="197"/>
        <v>81.818181818181827</v>
      </c>
      <c r="BC174" s="179">
        <f t="shared" si="198"/>
        <v>75</v>
      </c>
      <c r="BD174" s="30">
        <f t="shared" si="223"/>
        <v>0.75</v>
      </c>
      <c r="BE174" s="190">
        <v>9828126</v>
      </c>
      <c r="BF174" s="190">
        <v>1076837</v>
      </c>
      <c r="BG174" s="54">
        <v>176417</v>
      </c>
      <c r="BH174" s="191">
        <f t="shared" si="184"/>
        <v>10904963</v>
      </c>
      <c r="BI174" s="178">
        <f t="shared" si="185"/>
        <v>1.6177679832567977</v>
      </c>
      <c r="BJ174" s="294" t="str">
        <f t="shared" si="199"/>
        <v>식약/섬유/종이업</v>
      </c>
      <c r="BK174" s="192">
        <f t="shared" si="200"/>
        <v>2.1999360555264444</v>
      </c>
      <c r="BL174" s="193">
        <f t="shared" si="201"/>
        <v>-0.58216807226964673</v>
      </c>
      <c r="BM174" s="241">
        <f t="shared" si="202"/>
        <v>80</v>
      </c>
      <c r="BN174" s="47">
        <f t="shared" si="203"/>
        <v>1.6</v>
      </c>
      <c r="BO174" s="54">
        <v>0</v>
      </c>
      <c r="BP174" s="194">
        <f t="shared" si="186"/>
        <v>0</v>
      </c>
      <c r="BQ174" s="179">
        <f t="shared" si="204"/>
        <v>25</v>
      </c>
      <c r="BR174" s="30">
        <f t="shared" si="224"/>
        <v>0.5</v>
      </c>
      <c r="BS174" s="195">
        <v>19474469.973999999</v>
      </c>
      <c r="BT174" s="195">
        <v>6363.6360000000004</v>
      </c>
      <c r="BU174" s="196">
        <f t="shared" si="205"/>
        <v>19468106.338</v>
      </c>
      <c r="BV174" s="178">
        <f t="shared" si="187"/>
        <v>5.0718586686938707</v>
      </c>
      <c r="BW174" s="192">
        <f t="shared" si="206"/>
        <v>5.0508176117342281</v>
      </c>
      <c r="BX174" s="192">
        <f t="shared" si="207"/>
        <v>4.4272607797892622E-4</v>
      </c>
      <c r="BY174" s="192">
        <f t="shared" si="208"/>
        <v>6.9871618081220941</v>
      </c>
      <c r="BZ174" s="192">
        <f t="shared" si="209"/>
        <v>49.879863172071261</v>
      </c>
      <c r="CA174" s="192">
        <f t="shared" si="188"/>
        <v>55</v>
      </c>
      <c r="CB174" s="55">
        <f t="shared" si="210"/>
        <v>1.1000000000000001</v>
      </c>
      <c r="CC174" s="197">
        <f t="shared" si="225"/>
        <v>23.191496042023228</v>
      </c>
      <c r="CD174" s="198">
        <f t="shared" si="226"/>
        <v>91.636370838433464</v>
      </c>
      <c r="CE174" s="58">
        <f t="shared" si="227"/>
        <v>1.374545562576502</v>
      </c>
      <c r="CF174" s="245" t="s">
        <v>2326</v>
      </c>
      <c r="CG174" s="245" t="s">
        <v>2326</v>
      </c>
      <c r="CH174" s="245" t="s">
        <v>2326</v>
      </c>
      <c r="CI174" s="245" t="s">
        <v>2326</v>
      </c>
      <c r="CJ174" s="235"/>
      <c r="CK174" s="173" t="s">
        <v>2479</v>
      </c>
      <c r="CL174" s="173" t="s">
        <v>2478</v>
      </c>
      <c r="CM174" s="199">
        <f t="shared" si="211"/>
        <v>25</v>
      </c>
      <c r="CN174" s="58">
        <f t="shared" si="228"/>
        <v>0.375</v>
      </c>
      <c r="CO174" s="54">
        <f>16534000-468000--1382000-591000-8302000-1062000</f>
        <v>7493000</v>
      </c>
      <c r="CP174" s="186">
        <f t="shared" si="189"/>
        <v>1.3333042579408674</v>
      </c>
      <c r="CQ174" s="179">
        <f t="shared" si="212"/>
        <v>100</v>
      </c>
      <c r="CR174" s="30">
        <f t="shared" si="229"/>
        <v>3</v>
      </c>
      <c r="CS174" s="200">
        <f>_xlfn.XLOOKUP(C174, '1-1. 관계사체무보증금액 (환율 등)'!$3:$3, '1-1. 관계사체무보증금액 (환율 등)'!$33:$33)</f>
        <v>75853164.556962013</v>
      </c>
      <c r="CT174" s="178">
        <f t="shared" si="190"/>
        <v>13.497310460708226</v>
      </c>
      <c r="CU174" s="179">
        <f t="shared" si="213"/>
        <v>60</v>
      </c>
      <c r="CV174" s="30">
        <f t="shared" si="230"/>
        <v>1.2</v>
      </c>
      <c r="CW174" s="72">
        <f t="shared" si="218"/>
        <v>17.797191581707686</v>
      </c>
    </row>
    <row r="175" spans="1:101" x14ac:dyDescent="0.6">
      <c r="A175" s="214" t="s">
        <v>330</v>
      </c>
      <c r="B175" s="13" t="s">
        <v>2155</v>
      </c>
      <c r="C175" s="219" t="s">
        <v>78</v>
      </c>
      <c r="D175" s="216" t="s">
        <v>285</v>
      </c>
      <c r="E175" s="217" t="s">
        <v>171</v>
      </c>
      <c r="F175" s="217" t="s">
        <v>1205</v>
      </c>
      <c r="G175" s="218">
        <v>27750</v>
      </c>
      <c r="H175" s="217" t="s">
        <v>755</v>
      </c>
      <c r="I175" s="217" t="s">
        <v>232</v>
      </c>
      <c r="J175" s="217" t="s">
        <v>1093</v>
      </c>
      <c r="K175" s="217" t="s">
        <v>91</v>
      </c>
      <c r="L175" s="220">
        <v>993336394</v>
      </c>
      <c r="M175" s="206">
        <v>651630168</v>
      </c>
      <c r="N175" s="206">
        <v>341706226</v>
      </c>
      <c r="O175" s="206">
        <v>1463883744</v>
      </c>
      <c r="P175" s="206">
        <v>144479752</v>
      </c>
      <c r="Q175" s="206">
        <v>118763976</v>
      </c>
      <c r="R175" s="206">
        <v>84457579</v>
      </c>
      <c r="S175" s="207">
        <v>143708390</v>
      </c>
      <c r="T175" s="207">
        <v>0</v>
      </c>
      <c r="U175" s="207">
        <f>11794272+59858000</f>
        <v>71652272</v>
      </c>
      <c r="V175" s="207">
        <f>4748336*3</f>
        <v>14245008</v>
      </c>
      <c r="W175" s="207">
        <v>150000</v>
      </c>
      <c r="X175" s="207">
        <v>0</v>
      </c>
      <c r="Z175" s="207">
        <v>25376900</v>
      </c>
      <c r="AA175" s="207">
        <v>0</v>
      </c>
      <c r="AB175" s="176">
        <f t="shared" si="214"/>
        <v>111424180</v>
      </c>
      <c r="AC175" s="177">
        <f t="shared" si="191"/>
        <v>77.534916367791752</v>
      </c>
      <c r="AD175" s="177">
        <f t="shared" si="215"/>
        <v>33.16894444666994</v>
      </c>
      <c r="AE175" s="26">
        <f t="shared" si="219"/>
        <v>0.99506833340009815</v>
      </c>
      <c r="AF175" s="178">
        <f t="shared" si="192"/>
        <v>59.771931200398257</v>
      </c>
      <c r="AG175" s="178">
        <f t="shared" si="193"/>
        <v>77.534916367791752</v>
      </c>
      <c r="AH175" s="178">
        <f t="shared" si="216"/>
        <v>17.762985167393495</v>
      </c>
      <c r="AI175" s="179">
        <f t="shared" si="217"/>
        <v>80</v>
      </c>
      <c r="AJ175" s="30">
        <f t="shared" si="220"/>
        <v>3.2</v>
      </c>
      <c r="AK175" s="204">
        <v>4</v>
      </c>
      <c r="AL175" s="204">
        <v>15</v>
      </c>
      <c r="AM175" s="204">
        <v>1</v>
      </c>
      <c r="AN175" s="181">
        <f t="shared" si="178"/>
        <v>19</v>
      </c>
      <c r="AO175" s="182">
        <f t="shared" si="179"/>
        <v>5.2631578947368416</v>
      </c>
      <c r="AP175" s="183">
        <f t="shared" si="194"/>
        <v>100</v>
      </c>
      <c r="AQ175" s="38">
        <f t="shared" si="221"/>
        <v>2</v>
      </c>
      <c r="AR175" s="212">
        <v>1</v>
      </c>
      <c r="AS175" s="292">
        <f t="shared" si="180"/>
        <v>0.25</v>
      </c>
      <c r="AT175" s="185">
        <f t="shared" si="181"/>
        <v>1</v>
      </c>
      <c r="AU175" s="185">
        <f t="shared" si="195"/>
        <v>1</v>
      </c>
      <c r="AV175" s="186">
        <f t="shared" si="182"/>
        <v>0</v>
      </c>
      <c r="AW175" s="179">
        <f t="shared" si="196"/>
        <v>40</v>
      </c>
      <c r="AX175" s="239">
        <f t="shared" si="222"/>
        <v>0.4</v>
      </c>
      <c r="AY175" s="54">
        <v>19</v>
      </c>
      <c r="AZ175" s="54">
        <v>19</v>
      </c>
      <c r="BA175" s="189">
        <f t="shared" si="183"/>
        <v>19</v>
      </c>
      <c r="BB175" s="178">
        <f t="shared" si="197"/>
        <v>100</v>
      </c>
      <c r="BC175" s="179">
        <f t="shared" si="198"/>
        <v>100</v>
      </c>
      <c r="BD175" s="30">
        <f t="shared" si="223"/>
        <v>1</v>
      </c>
      <c r="BE175" s="190">
        <v>50380000</v>
      </c>
      <c r="BF175" s="190">
        <v>3642000</v>
      </c>
      <c r="BG175" s="54">
        <v>807000</v>
      </c>
      <c r="BH175" s="191">
        <f t="shared" si="184"/>
        <v>54022000</v>
      </c>
      <c r="BI175" s="178">
        <f t="shared" si="185"/>
        <v>1.493835844655881</v>
      </c>
      <c r="BJ175" s="294" t="str">
        <f t="shared" si="199"/>
        <v>비제조/서비스업</v>
      </c>
      <c r="BK175" s="192">
        <f t="shared" si="200"/>
        <v>1.7464434573900924</v>
      </c>
      <c r="BL175" s="193">
        <f t="shared" si="201"/>
        <v>-0.2526076127342114</v>
      </c>
      <c r="BM175" s="241">
        <f t="shared" si="202"/>
        <v>80</v>
      </c>
      <c r="BN175" s="47">
        <f t="shared" si="203"/>
        <v>1.6</v>
      </c>
      <c r="BO175" s="54">
        <v>0</v>
      </c>
      <c r="BP175" s="194">
        <f t="shared" si="186"/>
        <v>0</v>
      </c>
      <c r="BQ175" s="179">
        <f t="shared" si="204"/>
        <v>25</v>
      </c>
      <c r="BR175" s="30">
        <f t="shared" si="224"/>
        <v>0.5</v>
      </c>
      <c r="BS175" s="195">
        <v>36774474.288000003</v>
      </c>
      <c r="BT175" s="195">
        <v>446833</v>
      </c>
      <c r="BU175" s="196">
        <f t="shared" si="205"/>
        <v>36327641.288000003</v>
      </c>
      <c r="BV175" s="178">
        <f t="shared" si="187"/>
        <v>2.4815933257607106</v>
      </c>
      <c r="BW175" s="192">
        <f t="shared" si="206"/>
        <v>2.8482825397737606</v>
      </c>
      <c r="BX175" s="192">
        <f t="shared" si="207"/>
        <v>0.13446097967350837</v>
      </c>
      <c r="BY175" s="192">
        <f t="shared" si="208"/>
        <v>5.5697595856656799</v>
      </c>
      <c r="BZ175" s="192">
        <f t="shared" si="209"/>
        <v>52.624569708915139</v>
      </c>
      <c r="CA175" s="192">
        <f t="shared" si="188"/>
        <v>55</v>
      </c>
      <c r="CB175" s="55">
        <f t="shared" si="210"/>
        <v>1.1000000000000001</v>
      </c>
      <c r="CC175" s="197">
        <f t="shared" si="225"/>
        <v>190.69894500546795</v>
      </c>
      <c r="CD175" s="198">
        <f t="shared" si="226"/>
        <v>28.505422736632681</v>
      </c>
      <c r="CE175" s="58">
        <f t="shared" si="227"/>
        <v>0.42758134104949019</v>
      </c>
      <c r="CF175" s="245" t="s">
        <v>2326</v>
      </c>
      <c r="CG175" s="245" t="s">
        <v>2326</v>
      </c>
      <c r="CH175" s="245" t="s">
        <v>2326</v>
      </c>
      <c r="CI175" s="245" t="s">
        <v>2326</v>
      </c>
      <c r="CJ175" s="235"/>
      <c r="CK175" s="173" t="s">
        <v>2501</v>
      </c>
      <c r="CL175" s="173" t="s">
        <v>2493</v>
      </c>
      <c r="CM175" s="199">
        <f t="shared" si="211"/>
        <v>40</v>
      </c>
      <c r="CN175" s="58">
        <f t="shared" si="228"/>
        <v>0.6</v>
      </c>
      <c r="CO175" s="54">
        <v>35887000</v>
      </c>
      <c r="CP175" s="186">
        <f t="shared" si="189"/>
        <v>10.50229620340602</v>
      </c>
      <c r="CQ175" s="179">
        <f t="shared" si="212"/>
        <v>60</v>
      </c>
      <c r="CR175" s="30">
        <f t="shared" si="229"/>
        <v>1.7999999999999998</v>
      </c>
      <c r="CS175" s="200">
        <f>_xlfn.XLOOKUP(C175, '1-1. 관계사체무보증금액 (환율 등)'!$3:$3, '1-1. 관계사체무보증금액 (환율 등)'!$33:$33)</f>
        <v>19866377.445339471</v>
      </c>
      <c r="CT175" s="178">
        <f t="shared" si="190"/>
        <v>5.813876345741348</v>
      </c>
      <c r="CU175" s="179">
        <f t="shared" si="213"/>
        <v>80</v>
      </c>
      <c r="CV175" s="30">
        <f t="shared" si="230"/>
        <v>1.6</v>
      </c>
      <c r="CW175" s="72">
        <f t="shared" si="218"/>
        <v>15.22264967444959</v>
      </c>
    </row>
    <row r="176" spans="1:101" x14ac:dyDescent="0.6">
      <c r="A176" s="214" t="s">
        <v>707</v>
      </c>
      <c r="B176" s="13" t="s">
        <v>2156</v>
      </c>
      <c r="C176" s="219" t="s">
        <v>4</v>
      </c>
      <c r="D176" s="216" t="s">
        <v>285</v>
      </c>
      <c r="E176" s="217" t="s">
        <v>504</v>
      </c>
      <c r="F176" s="217" t="s">
        <v>594</v>
      </c>
      <c r="G176" s="218">
        <v>31278</v>
      </c>
      <c r="H176" s="217" t="s">
        <v>830</v>
      </c>
      <c r="I176" s="217" t="s">
        <v>798</v>
      </c>
      <c r="J176" s="217" t="s">
        <v>1199</v>
      </c>
      <c r="K176" s="217" t="s">
        <v>91</v>
      </c>
      <c r="L176" s="220">
        <v>8345250728</v>
      </c>
      <c r="M176" s="206">
        <v>4385916580</v>
      </c>
      <c r="N176" s="206">
        <v>3959334148</v>
      </c>
      <c r="O176" s="206">
        <v>1865707316</v>
      </c>
      <c r="P176" s="206">
        <v>348026286</v>
      </c>
      <c r="Q176" s="206">
        <v>294941948</v>
      </c>
      <c r="R176" s="206">
        <v>247588341</v>
      </c>
      <c r="S176" s="207">
        <v>9845181</v>
      </c>
      <c r="T176" s="207">
        <v>8774</v>
      </c>
      <c r="U176" s="207">
        <v>1827521</v>
      </c>
      <c r="V176" s="207">
        <v>984518</v>
      </c>
      <c r="W176" s="207">
        <f>210+100+800+182</f>
        <v>1292</v>
      </c>
      <c r="X176" s="207">
        <v>0</v>
      </c>
      <c r="Z176" s="207">
        <v>0</v>
      </c>
      <c r="AA176" s="207">
        <v>0</v>
      </c>
      <c r="AB176" s="176">
        <f t="shared" si="214"/>
        <v>2813331</v>
      </c>
      <c r="AC176" s="177">
        <f t="shared" si="191"/>
        <v>28.575716383477356</v>
      </c>
      <c r="AD176" s="177">
        <f t="shared" si="215"/>
        <v>75.423720037275018</v>
      </c>
      <c r="AE176" s="26">
        <f t="shared" si="219"/>
        <v>2.2627116011182506</v>
      </c>
      <c r="AF176" s="178">
        <f t="shared" si="192"/>
        <v>28.588070827081474</v>
      </c>
      <c r="AG176" s="178">
        <f t="shared" si="193"/>
        <v>28.60120570448132</v>
      </c>
      <c r="AH176" s="178">
        <f t="shared" si="216"/>
        <v>1.313487739984609E-2</v>
      </c>
      <c r="AI176" s="179">
        <f t="shared" si="217"/>
        <v>100</v>
      </c>
      <c r="AJ176" s="30">
        <f t="shared" si="220"/>
        <v>4</v>
      </c>
      <c r="AK176" s="204">
        <v>7</v>
      </c>
      <c r="AL176" s="204">
        <v>33</v>
      </c>
      <c r="AM176" s="204">
        <v>2</v>
      </c>
      <c r="AN176" s="181">
        <f t="shared" si="178"/>
        <v>40</v>
      </c>
      <c r="AO176" s="182">
        <f t="shared" si="179"/>
        <v>5</v>
      </c>
      <c r="AP176" s="183">
        <f t="shared" si="194"/>
        <v>100</v>
      </c>
      <c r="AQ176" s="38">
        <f t="shared" si="221"/>
        <v>2</v>
      </c>
      <c r="AR176" s="212">
        <v>4</v>
      </c>
      <c r="AS176" s="292">
        <f t="shared" si="180"/>
        <v>0.5</v>
      </c>
      <c r="AT176" s="185">
        <f t="shared" si="181"/>
        <v>3.5</v>
      </c>
      <c r="AU176" s="185">
        <f t="shared" si="195"/>
        <v>3</v>
      </c>
      <c r="AV176" s="186">
        <f t="shared" si="182"/>
        <v>14.285714285714285</v>
      </c>
      <c r="AW176" s="179">
        <f t="shared" si="196"/>
        <v>60</v>
      </c>
      <c r="AX176" s="239">
        <f t="shared" si="222"/>
        <v>0.6</v>
      </c>
      <c r="AY176" s="54">
        <v>11</v>
      </c>
      <c r="AZ176" s="54">
        <f>4*3+7*4</f>
        <v>40</v>
      </c>
      <c r="BA176" s="189">
        <f t="shared" si="183"/>
        <v>44</v>
      </c>
      <c r="BB176" s="178">
        <f t="shared" si="197"/>
        <v>90.909090909090907</v>
      </c>
      <c r="BC176" s="179">
        <f t="shared" si="198"/>
        <v>100</v>
      </c>
      <c r="BD176" s="30">
        <f t="shared" si="223"/>
        <v>1</v>
      </c>
      <c r="BE176" s="190">
        <v>187512000</v>
      </c>
      <c r="BF176" s="190">
        <v>19426000</v>
      </c>
      <c r="BG176" s="301">
        <v>0</v>
      </c>
      <c r="BH176" s="191">
        <f t="shared" si="184"/>
        <v>206938000</v>
      </c>
      <c r="BI176" s="178">
        <f t="shared" si="185"/>
        <v>0</v>
      </c>
      <c r="BJ176" s="294" t="str">
        <f t="shared" si="199"/>
        <v>비제조/서비스업</v>
      </c>
      <c r="BK176" s="192">
        <f t="shared" si="200"/>
        <v>1.7464434573900924</v>
      </c>
      <c r="BL176" s="193">
        <f t="shared" si="201"/>
        <v>-1.7464434573900924</v>
      </c>
      <c r="BM176" s="241">
        <f t="shared" si="202"/>
        <v>80</v>
      </c>
      <c r="BN176" s="47">
        <f t="shared" si="203"/>
        <v>1.6</v>
      </c>
      <c r="BO176" s="54">
        <v>4614000</v>
      </c>
      <c r="BP176" s="194">
        <f t="shared" si="186"/>
        <v>0.24730567117527452</v>
      </c>
      <c r="BQ176" s="179">
        <f t="shared" si="204"/>
        <v>55</v>
      </c>
      <c r="BR176" s="30">
        <f t="shared" si="224"/>
        <v>1.1000000000000001</v>
      </c>
      <c r="BS176" s="195">
        <v>223747829.741</v>
      </c>
      <c r="BT176" s="195">
        <v>130715.943</v>
      </c>
      <c r="BU176" s="196">
        <f t="shared" si="205"/>
        <v>223617113.79800001</v>
      </c>
      <c r="BV176" s="178">
        <f t="shared" si="187"/>
        <v>11.985648117488543</v>
      </c>
      <c r="BW176" s="192">
        <f t="shared" si="206"/>
        <v>2.8482825397737606</v>
      </c>
      <c r="BX176" s="192">
        <f t="shared" si="207"/>
        <v>83.491449700806982</v>
      </c>
      <c r="BY176" s="192">
        <f t="shared" si="208"/>
        <v>5.5697595856656799</v>
      </c>
      <c r="BZ176" s="192">
        <f t="shared" si="209"/>
        <v>5.0447360994441688</v>
      </c>
      <c r="CA176" s="192">
        <f t="shared" si="188"/>
        <v>85</v>
      </c>
      <c r="CB176" s="55">
        <f t="shared" si="210"/>
        <v>1.7</v>
      </c>
      <c r="CC176" s="197">
        <f t="shared" si="225"/>
        <v>110.77409524062227</v>
      </c>
      <c r="CD176" s="198">
        <f t="shared" si="226"/>
        <v>58.627853552529295</v>
      </c>
      <c r="CE176" s="58">
        <f t="shared" si="227"/>
        <v>0.87941780328793939</v>
      </c>
      <c r="CF176" s="245" t="s">
        <v>2326</v>
      </c>
      <c r="CG176" s="245" t="s">
        <v>2326</v>
      </c>
      <c r="CH176" s="245" t="s">
        <v>2326</v>
      </c>
      <c r="CI176" s="245" t="s">
        <v>2326</v>
      </c>
      <c r="CJ176" s="235"/>
      <c r="CK176" s="173" t="s">
        <v>2476</v>
      </c>
      <c r="CL176" s="173" t="s">
        <v>2477</v>
      </c>
      <c r="CM176" s="199">
        <f t="shared" si="211"/>
        <v>85</v>
      </c>
      <c r="CN176" s="58">
        <f t="shared" si="228"/>
        <v>1.2749999999999999</v>
      </c>
      <c r="CO176" s="54">
        <v>1165739000</v>
      </c>
      <c r="CP176" s="186">
        <f t="shared" si="189"/>
        <v>29.442804179305149</v>
      </c>
      <c r="CQ176" s="179">
        <f t="shared" si="212"/>
        <v>60</v>
      </c>
      <c r="CR176" s="30">
        <f t="shared" si="229"/>
        <v>1.7999999999999998</v>
      </c>
      <c r="CS176" s="200">
        <f>_xlfn.XLOOKUP(C176, '1-1. 관계사체무보증금액 (환율 등)'!$3:$3, '1-1. 관계사체무보증금액 (환율 등)'!$33:$33)</f>
        <v>205565000</v>
      </c>
      <c r="CT176" s="178">
        <f t="shared" si="190"/>
        <v>5.1919083440794749</v>
      </c>
      <c r="CU176" s="179">
        <f t="shared" si="213"/>
        <v>80</v>
      </c>
      <c r="CV176" s="30">
        <f t="shared" si="230"/>
        <v>1.6</v>
      </c>
      <c r="CW176" s="72">
        <f t="shared" si="218"/>
        <v>19.817129404406192</v>
      </c>
    </row>
    <row r="177" spans="1:101" x14ac:dyDescent="0.6">
      <c r="A177" s="214" t="s">
        <v>231</v>
      </c>
      <c r="B177" s="1" t="s">
        <v>2157</v>
      </c>
      <c r="C177" s="219" t="s">
        <v>413</v>
      </c>
      <c r="D177" s="216" t="s">
        <v>285</v>
      </c>
      <c r="E177" s="217" t="s">
        <v>1039</v>
      </c>
      <c r="F177" s="217" t="s">
        <v>1072</v>
      </c>
      <c r="G177" s="218">
        <v>40738</v>
      </c>
      <c r="H177" s="217" t="s">
        <v>830</v>
      </c>
      <c r="I177" s="217" t="s">
        <v>1737</v>
      </c>
      <c r="J177" s="217" t="s">
        <v>1187</v>
      </c>
      <c r="K177" s="217" t="s">
        <v>91</v>
      </c>
      <c r="L177" s="220">
        <v>1134250211</v>
      </c>
      <c r="M177" s="206">
        <v>421706641</v>
      </c>
      <c r="N177" s="206">
        <v>712543570</v>
      </c>
      <c r="O177" s="206">
        <v>1430631262</v>
      </c>
      <c r="P177" s="206">
        <v>99554619</v>
      </c>
      <c r="Q177" s="206">
        <v>116211296</v>
      </c>
      <c r="R177" s="206">
        <v>89493182</v>
      </c>
      <c r="S177" s="207">
        <v>35700000</v>
      </c>
      <c r="T177" s="207">
        <v>0</v>
      </c>
      <c r="U177" s="207">
        <f>5404820+13892210</f>
        <v>19297030</v>
      </c>
      <c r="V177" s="207">
        <v>0</v>
      </c>
      <c r="W177" s="207">
        <f>990+4110+350+400</f>
        <v>5850</v>
      </c>
      <c r="X177" s="207">
        <v>0</v>
      </c>
      <c r="Z177" s="207">
        <v>0</v>
      </c>
      <c r="AA177" s="207">
        <v>0</v>
      </c>
      <c r="AB177" s="176">
        <f t="shared" si="214"/>
        <v>19302880</v>
      </c>
      <c r="AC177" s="177">
        <f t="shared" si="191"/>
        <v>54.069691876750703</v>
      </c>
      <c r="AD177" s="177">
        <f t="shared" si="215"/>
        <v>53.420864318109295</v>
      </c>
      <c r="AE177" s="26">
        <f t="shared" si="219"/>
        <v>1.6026259295432788</v>
      </c>
      <c r="AF177" s="178">
        <f t="shared" si="192"/>
        <v>54.05330532212885</v>
      </c>
      <c r="AG177" s="178">
        <f t="shared" si="193"/>
        <v>54.069691876750703</v>
      </c>
      <c r="AH177" s="178">
        <f t="shared" si="216"/>
        <v>1.6386554621853122E-2</v>
      </c>
      <c r="AI177" s="179">
        <f t="shared" si="217"/>
        <v>100</v>
      </c>
      <c r="AJ177" s="30">
        <f t="shared" si="220"/>
        <v>4</v>
      </c>
      <c r="AK177" s="204">
        <v>6</v>
      </c>
      <c r="AL177" s="204">
        <v>13</v>
      </c>
      <c r="AM177" s="204">
        <v>0</v>
      </c>
      <c r="AN177" s="181">
        <f t="shared" si="178"/>
        <v>19</v>
      </c>
      <c r="AO177" s="182">
        <f t="shared" si="179"/>
        <v>0</v>
      </c>
      <c r="AP177" s="183">
        <f t="shared" si="194"/>
        <v>100</v>
      </c>
      <c r="AQ177" s="38">
        <f t="shared" si="221"/>
        <v>2</v>
      </c>
      <c r="AR177" s="212">
        <v>3</v>
      </c>
      <c r="AS177" s="292">
        <f t="shared" si="180"/>
        <v>0.25</v>
      </c>
      <c r="AT177" s="185">
        <f t="shared" si="181"/>
        <v>1.5</v>
      </c>
      <c r="AU177" s="185">
        <f t="shared" si="195"/>
        <v>1</v>
      </c>
      <c r="AV177" s="186">
        <f t="shared" si="182"/>
        <v>33.333333333333329</v>
      </c>
      <c r="AW177" s="179">
        <f t="shared" si="196"/>
        <v>80</v>
      </c>
      <c r="AX177" s="239">
        <f t="shared" si="222"/>
        <v>0.8</v>
      </c>
      <c r="AY177" s="54">
        <v>11</v>
      </c>
      <c r="AZ177" s="54">
        <f>33-2</f>
        <v>31</v>
      </c>
      <c r="BA177" s="189">
        <f t="shared" si="183"/>
        <v>33</v>
      </c>
      <c r="BB177" s="178">
        <f t="shared" si="197"/>
        <v>93.939393939393938</v>
      </c>
      <c r="BC177" s="179">
        <f t="shared" si="198"/>
        <v>100</v>
      </c>
      <c r="BD177" s="30">
        <f t="shared" si="223"/>
        <v>1</v>
      </c>
      <c r="BE177" s="190">
        <v>98282013</v>
      </c>
      <c r="BF177" s="190">
        <v>11303545</v>
      </c>
      <c r="BG177" s="54">
        <v>360425</v>
      </c>
      <c r="BH177" s="191">
        <f t="shared" si="184"/>
        <v>109585558</v>
      </c>
      <c r="BI177" s="178">
        <f t="shared" si="185"/>
        <v>0.32889826595581145</v>
      </c>
      <c r="BJ177" s="294" t="str">
        <f t="shared" si="199"/>
        <v>비제조/서비스업</v>
      </c>
      <c r="BK177" s="192">
        <f t="shared" si="200"/>
        <v>1.7464434573900924</v>
      </c>
      <c r="BL177" s="193">
        <f t="shared" si="201"/>
        <v>-1.4175451914342809</v>
      </c>
      <c r="BM177" s="241">
        <f t="shared" si="202"/>
        <v>80</v>
      </c>
      <c r="BN177" s="47">
        <f t="shared" si="203"/>
        <v>1.6</v>
      </c>
      <c r="BO177" s="54">
        <v>3149000</v>
      </c>
      <c r="BP177" s="194">
        <f t="shared" si="186"/>
        <v>0.22011262326238748</v>
      </c>
      <c r="BQ177" s="179">
        <f t="shared" si="204"/>
        <v>55</v>
      </c>
      <c r="BR177" s="30">
        <f t="shared" si="224"/>
        <v>1.1000000000000001</v>
      </c>
      <c r="BS177" s="195">
        <v>35066457</v>
      </c>
      <c r="BT177" s="195">
        <v>8339437</v>
      </c>
      <c r="BU177" s="196">
        <f t="shared" si="205"/>
        <v>26727020</v>
      </c>
      <c r="BV177" s="178">
        <f t="shared" si="187"/>
        <v>1.8681976767819297</v>
      </c>
      <c r="BW177" s="192">
        <f t="shared" si="206"/>
        <v>2.8482825397737606</v>
      </c>
      <c r="BX177" s="192">
        <f t="shared" si="207"/>
        <v>0.96056633866571584</v>
      </c>
      <c r="BY177" s="192">
        <f t="shared" si="208"/>
        <v>5.5697595856656799</v>
      </c>
      <c r="BZ177" s="192">
        <f t="shared" si="209"/>
        <v>56.983942968608247</v>
      </c>
      <c r="CA177" s="192">
        <f t="shared" si="188"/>
        <v>55</v>
      </c>
      <c r="CB177" s="55">
        <f t="shared" si="210"/>
        <v>1.1000000000000001</v>
      </c>
      <c r="CC177" s="197">
        <f t="shared" si="225"/>
        <v>59.183277873099051</v>
      </c>
      <c r="CD177" s="198">
        <f t="shared" si="226"/>
        <v>78.071628942299355</v>
      </c>
      <c r="CE177" s="58">
        <f t="shared" si="227"/>
        <v>1.1710744341344903</v>
      </c>
      <c r="CF177" s="245" t="s">
        <v>2326</v>
      </c>
      <c r="CG177" s="245" t="s">
        <v>2326</v>
      </c>
      <c r="CH177" s="245" t="s">
        <v>2326</v>
      </c>
      <c r="CI177" s="245" t="s">
        <v>2326</v>
      </c>
      <c r="CJ177" s="235"/>
      <c r="CK177" s="173" t="s">
        <v>2489</v>
      </c>
      <c r="CL177" s="173" t="s">
        <v>2484</v>
      </c>
      <c r="CM177" s="199">
        <f t="shared" si="211"/>
        <v>100</v>
      </c>
      <c r="CN177" s="58">
        <f t="shared" si="228"/>
        <v>1.5</v>
      </c>
      <c r="CO177" s="54">
        <v>139376000</v>
      </c>
      <c r="CP177" s="186">
        <f t="shared" si="189"/>
        <v>19.560347727227402</v>
      </c>
      <c r="CQ177" s="179">
        <f t="shared" si="212"/>
        <v>60</v>
      </c>
      <c r="CR177" s="30">
        <f t="shared" si="229"/>
        <v>1.7999999999999998</v>
      </c>
      <c r="CS177" s="200">
        <f>_xlfn.XLOOKUP(C177, '1-1. 관계사체무보증금액 (환율 등)'!$3:$3, '1-1. 관계사체무보증금액 (환율 등)'!$33:$33)</f>
        <v>0</v>
      </c>
      <c r="CT177" s="178">
        <f t="shared" si="190"/>
        <v>0</v>
      </c>
      <c r="CU177" s="179">
        <f t="shared" si="213"/>
        <v>100</v>
      </c>
      <c r="CV177" s="30">
        <f t="shared" si="230"/>
        <v>2</v>
      </c>
      <c r="CW177" s="72">
        <f t="shared" si="218"/>
        <v>19.673700363677767</v>
      </c>
    </row>
    <row r="178" spans="1:101" x14ac:dyDescent="0.6">
      <c r="A178" s="214" t="s">
        <v>1738</v>
      </c>
      <c r="B178" s="13" t="s">
        <v>2158</v>
      </c>
      <c r="C178" s="219" t="s">
        <v>374</v>
      </c>
      <c r="D178" s="216" t="s">
        <v>191</v>
      </c>
      <c r="E178" s="217" t="s">
        <v>190</v>
      </c>
      <c r="F178" s="217" t="s">
        <v>125</v>
      </c>
      <c r="G178" s="218">
        <v>28122</v>
      </c>
      <c r="H178" s="217" t="s">
        <v>830</v>
      </c>
      <c r="I178" s="217" t="s">
        <v>251</v>
      </c>
      <c r="J178" s="217" t="s">
        <v>287</v>
      </c>
      <c r="K178" s="217" t="s">
        <v>91</v>
      </c>
      <c r="L178" s="220">
        <v>385696451</v>
      </c>
      <c r="M178" s="206">
        <v>57970889</v>
      </c>
      <c r="N178" s="206">
        <v>327725561</v>
      </c>
      <c r="O178" s="206">
        <v>201337780</v>
      </c>
      <c r="P178" s="206">
        <v>7473489</v>
      </c>
      <c r="Q178" s="206">
        <v>11002724</v>
      </c>
      <c r="R178" s="206">
        <v>11593733</v>
      </c>
      <c r="S178" s="207">
        <v>9000000</v>
      </c>
      <c r="T178" s="207">
        <v>0</v>
      </c>
      <c r="U178" s="207">
        <v>894620</v>
      </c>
      <c r="V178" s="207">
        <v>983300</v>
      </c>
      <c r="W178" s="207">
        <v>0</v>
      </c>
      <c r="X178" s="207">
        <v>449990</v>
      </c>
      <c r="Y178" s="208" t="s">
        <v>2443</v>
      </c>
      <c r="Z178" s="207">
        <f>1712190+370090</f>
        <v>2082280</v>
      </c>
      <c r="AA178" s="207">
        <f>4352+15809</f>
        <v>20161</v>
      </c>
      <c r="AB178" s="176">
        <f t="shared" si="214"/>
        <v>4410190</v>
      </c>
      <c r="AC178" s="177">
        <f t="shared" si="191"/>
        <v>49.002111111111113</v>
      </c>
      <c r="AD178" s="177">
        <f t="shared" si="215"/>
        <v>57.794495588799393</v>
      </c>
      <c r="AE178" s="26">
        <f t="shared" si="219"/>
        <v>1.7338348676639816</v>
      </c>
      <c r="AF178" s="178">
        <f t="shared" si="192"/>
        <v>20.912624380013938</v>
      </c>
      <c r="AG178" s="178">
        <f t="shared" si="193"/>
        <v>48.887613686615097</v>
      </c>
      <c r="AH178" s="178">
        <f t="shared" si="216"/>
        <v>27.974989306601159</v>
      </c>
      <c r="AI178" s="179">
        <f t="shared" si="217"/>
        <v>80</v>
      </c>
      <c r="AJ178" s="30">
        <f t="shared" si="220"/>
        <v>3.2</v>
      </c>
      <c r="AK178" s="204">
        <v>10</v>
      </c>
      <c r="AL178" s="204">
        <v>0</v>
      </c>
      <c r="AM178" s="204">
        <v>2</v>
      </c>
      <c r="AN178" s="181">
        <f t="shared" si="178"/>
        <v>10</v>
      </c>
      <c r="AO178" s="182">
        <f t="shared" si="179"/>
        <v>20</v>
      </c>
      <c r="AP178" s="183">
        <f t="shared" si="194"/>
        <v>60</v>
      </c>
      <c r="AQ178" s="38">
        <f t="shared" si="221"/>
        <v>1.2</v>
      </c>
      <c r="AR178" s="212">
        <v>2</v>
      </c>
      <c r="AS178" s="292">
        <f t="shared" si="180"/>
        <v>0.25</v>
      </c>
      <c r="AT178" s="185">
        <f t="shared" si="181"/>
        <v>2.5</v>
      </c>
      <c r="AU178" s="185">
        <f t="shared" si="195"/>
        <v>2</v>
      </c>
      <c r="AV178" s="186">
        <f t="shared" si="182"/>
        <v>0</v>
      </c>
      <c r="AW178" s="179">
        <f t="shared" si="196"/>
        <v>40</v>
      </c>
      <c r="AX178" s="239">
        <f t="shared" si="222"/>
        <v>0.4</v>
      </c>
      <c r="AY178" s="54">
        <v>9</v>
      </c>
      <c r="AZ178" s="54">
        <f>18-2</f>
        <v>16</v>
      </c>
      <c r="BA178" s="189">
        <f t="shared" si="183"/>
        <v>18</v>
      </c>
      <c r="BB178" s="178">
        <f t="shared" si="197"/>
        <v>88.888888888888886</v>
      </c>
      <c r="BC178" s="179">
        <f t="shared" si="198"/>
        <v>75</v>
      </c>
      <c r="BD178" s="30">
        <f t="shared" si="223"/>
        <v>0.75</v>
      </c>
      <c r="BE178" s="190">
        <v>19194319</v>
      </c>
      <c r="BF178" s="190">
        <v>1287233</v>
      </c>
      <c r="BG178" s="54">
        <v>246943</v>
      </c>
      <c r="BH178" s="191">
        <f t="shared" si="184"/>
        <v>20481552</v>
      </c>
      <c r="BI178" s="178">
        <f t="shared" si="185"/>
        <v>1.2056849988711793</v>
      </c>
      <c r="BJ178" s="294" t="str">
        <f t="shared" si="199"/>
        <v>식약/섬유/종이업</v>
      </c>
      <c r="BK178" s="192">
        <f t="shared" si="200"/>
        <v>2.1999360555264444</v>
      </c>
      <c r="BL178" s="193">
        <f t="shared" si="201"/>
        <v>-0.99425105665526514</v>
      </c>
      <c r="BM178" s="241">
        <f t="shared" si="202"/>
        <v>80</v>
      </c>
      <c r="BN178" s="47">
        <f t="shared" si="203"/>
        <v>1.6</v>
      </c>
      <c r="BO178" s="54">
        <v>2280498</v>
      </c>
      <c r="BP178" s="194">
        <f t="shared" si="186"/>
        <v>1.1326726658056923</v>
      </c>
      <c r="BQ178" s="179">
        <f t="shared" si="204"/>
        <v>70</v>
      </c>
      <c r="BR178" s="30">
        <f t="shared" si="224"/>
        <v>1.4000000000000001</v>
      </c>
      <c r="BS178" s="195">
        <v>22474858</v>
      </c>
      <c r="BT178" s="195">
        <v>2876824</v>
      </c>
      <c r="BU178" s="196">
        <f t="shared" si="205"/>
        <v>19598034</v>
      </c>
      <c r="BV178" s="178">
        <f t="shared" si="187"/>
        <v>9.7339078636905612</v>
      </c>
      <c r="BW178" s="192">
        <f t="shared" si="206"/>
        <v>5.0508176117342281</v>
      </c>
      <c r="BX178" s="192">
        <f t="shared" si="207"/>
        <v>21.931334307968431</v>
      </c>
      <c r="BY178" s="192">
        <f t="shared" si="208"/>
        <v>6.9871618081220941</v>
      </c>
      <c r="BZ178" s="192">
        <f t="shared" si="209"/>
        <v>25.135172375241343</v>
      </c>
      <c r="CA178" s="192">
        <f t="shared" si="188"/>
        <v>70</v>
      </c>
      <c r="CB178" s="55">
        <f t="shared" si="210"/>
        <v>1.4000000000000001</v>
      </c>
      <c r="CC178" s="197">
        <f t="shared" si="225"/>
        <v>17.688851862244583</v>
      </c>
      <c r="CD178" s="198">
        <f t="shared" si="226"/>
        <v>93.710231710209328</v>
      </c>
      <c r="CE178" s="58">
        <f t="shared" si="227"/>
        <v>1.4056534756531398</v>
      </c>
      <c r="CF178" s="245" t="s">
        <v>2326</v>
      </c>
      <c r="CG178" s="245" t="s">
        <v>2326</v>
      </c>
      <c r="CH178" s="245" t="s">
        <v>2326</v>
      </c>
      <c r="CI178" s="245" t="s">
        <v>2326</v>
      </c>
      <c r="CJ178" s="235"/>
      <c r="CK178" s="173" t="s">
        <v>2491</v>
      </c>
      <c r="CL178" s="173" t="s">
        <v>2478</v>
      </c>
      <c r="CM178" s="199">
        <f t="shared" si="211"/>
        <v>25</v>
      </c>
      <c r="CN178" s="58">
        <f t="shared" si="228"/>
        <v>0.375</v>
      </c>
      <c r="CO178" s="54">
        <v>72594925</v>
      </c>
      <c r="CP178" s="186">
        <f t="shared" si="189"/>
        <v>22.151133032922019</v>
      </c>
      <c r="CQ178" s="179">
        <f t="shared" si="212"/>
        <v>60</v>
      </c>
      <c r="CR178" s="30">
        <f t="shared" si="229"/>
        <v>1.7999999999999998</v>
      </c>
      <c r="CS178" s="200">
        <f>_xlfn.XLOOKUP(C178, '1-1. 관계사체무보증금액 (환율 등)'!$3:$3, '1-1. 관계사체무보증금액 (환율 등)'!$33:$33)</f>
        <v>0</v>
      </c>
      <c r="CT178" s="178">
        <f t="shared" si="190"/>
        <v>0</v>
      </c>
      <c r="CU178" s="179">
        <f t="shared" si="213"/>
        <v>100</v>
      </c>
      <c r="CV178" s="30">
        <f t="shared" si="230"/>
        <v>2</v>
      </c>
      <c r="CW178" s="72">
        <f t="shared" si="218"/>
        <v>17.264488343317122</v>
      </c>
    </row>
    <row r="179" spans="1:101" x14ac:dyDescent="0.6">
      <c r="A179" s="214" t="s">
        <v>414</v>
      </c>
      <c r="B179" s="13" t="s">
        <v>2159</v>
      </c>
      <c r="C179" s="219" t="s">
        <v>411</v>
      </c>
      <c r="D179" s="221" t="s">
        <v>350</v>
      </c>
      <c r="E179" s="217" t="s">
        <v>179</v>
      </c>
      <c r="F179" s="217" t="s">
        <v>808</v>
      </c>
      <c r="G179" s="218">
        <v>32013</v>
      </c>
      <c r="H179" s="217" t="s">
        <v>746</v>
      </c>
      <c r="I179" s="217" t="s">
        <v>266</v>
      </c>
      <c r="J179" s="217" t="s">
        <v>1192</v>
      </c>
      <c r="K179" s="217" t="s">
        <v>91</v>
      </c>
      <c r="L179" s="220">
        <v>10400472991</v>
      </c>
      <c r="M179" s="206">
        <v>9031560866</v>
      </c>
      <c r="N179" s="206">
        <v>1368912125</v>
      </c>
      <c r="O179" s="206">
        <v>2043938653</v>
      </c>
      <c r="P179" s="206">
        <v>111260253</v>
      </c>
      <c r="Q179" s="206">
        <v>121787342</v>
      </c>
      <c r="R179" s="206">
        <v>93015535</v>
      </c>
      <c r="S179" s="207">
        <v>9386237</v>
      </c>
      <c r="T179" s="207">
        <v>3397836</v>
      </c>
      <c r="U179" s="207">
        <f>1523340</f>
        <v>1523340</v>
      </c>
      <c r="V179" s="207">
        <f>68950+971105+16509+1703+763+764+1766+1440+940+2310+127</f>
        <v>1066377</v>
      </c>
      <c r="W179" s="207">
        <f>19127+288+500+2000+293+284+1000</f>
        <v>23492</v>
      </c>
      <c r="X179" s="207">
        <v>0</v>
      </c>
      <c r="Z179" s="207">
        <v>0</v>
      </c>
      <c r="AA179" s="207">
        <v>0</v>
      </c>
      <c r="AB179" s="176">
        <f t="shared" si="214"/>
        <v>2613209</v>
      </c>
      <c r="AC179" s="177">
        <f t="shared" si="191"/>
        <v>27.84085890863399</v>
      </c>
      <c r="AD179" s="177">
        <f t="shared" si="215"/>
        <v>76.057946856760083</v>
      </c>
      <c r="AE179" s="60">
        <f>AD179*0.04</f>
        <v>3.0423178742704033</v>
      </c>
      <c r="AF179" s="178">
        <f t="shared" si="192"/>
        <v>43.245550857399159</v>
      </c>
      <c r="AG179" s="178">
        <f t="shared" si="193"/>
        <v>43.637842555967779</v>
      </c>
      <c r="AH179" s="178">
        <f t="shared" si="216"/>
        <v>0.39229169856862001</v>
      </c>
      <c r="AI179" s="179">
        <f t="shared" si="217"/>
        <v>100</v>
      </c>
      <c r="AJ179" s="61">
        <f>AI179*0.05</f>
        <v>5</v>
      </c>
      <c r="AK179" s="204">
        <v>5</v>
      </c>
      <c r="AL179" s="204">
        <v>32</v>
      </c>
      <c r="AM179" s="204">
        <v>1</v>
      </c>
      <c r="AN179" s="181">
        <f t="shared" si="178"/>
        <v>37</v>
      </c>
      <c r="AO179" s="182">
        <f t="shared" si="179"/>
        <v>2.7027027027027026</v>
      </c>
      <c r="AP179" s="183">
        <f t="shared" si="194"/>
        <v>100</v>
      </c>
      <c r="AQ179" s="62">
        <f>AP179*0.03</f>
        <v>3</v>
      </c>
      <c r="AR179" s="212">
        <v>3</v>
      </c>
      <c r="AS179" s="292">
        <f t="shared" si="180"/>
        <v>0.5</v>
      </c>
      <c r="AT179" s="185">
        <f t="shared" si="181"/>
        <v>2.5</v>
      </c>
      <c r="AU179" s="185">
        <f t="shared" si="195"/>
        <v>2</v>
      </c>
      <c r="AV179" s="186">
        <f t="shared" si="182"/>
        <v>20</v>
      </c>
      <c r="AW179" s="179">
        <f t="shared" si="196"/>
        <v>80</v>
      </c>
      <c r="AX179" s="240">
        <f>AW179*0.02</f>
        <v>1.6</v>
      </c>
      <c r="AY179" s="54">
        <v>8</v>
      </c>
      <c r="AZ179" s="54">
        <f>24-4</f>
        <v>20</v>
      </c>
      <c r="BA179" s="189">
        <f t="shared" si="183"/>
        <v>24</v>
      </c>
      <c r="BB179" s="178">
        <f t="shared" si="197"/>
        <v>83.333333333333343</v>
      </c>
      <c r="BC179" s="179">
        <f t="shared" si="198"/>
        <v>75</v>
      </c>
      <c r="BD179" s="61">
        <f>BC179*0.02</f>
        <v>1.5</v>
      </c>
      <c r="BE179" s="190">
        <v>76952062</v>
      </c>
      <c r="BF179" s="190">
        <v>4773241</v>
      </c>
      <c r="BG179" s="54">
        <v>2907074</v>
      </c>
      <c r="BH179" s="191">
        <f t="shared" si="184"/>
        <v>81725303</v>
      </c>
      <c r="BI179" s="178">
        <f t="shared" si="185"/>
        <v>3.5571284452747767</v>
      </c>
      <c r="BJ179" s="294" t="str">
        <f t="shared" si="199"/>
        <v>금융업</v>
      </c>
      <c r="BK179" s="192">
        <f t="shared" si="200"/>
        <v>2.7106886075318837</v>
      </c>
      <c r="BL179" s="193">
        <f t="shared" si="201"/>
        <v>0.846439837742893</v>
      </c>
      <c r="BM179" s="241">
        <f t="shared" si="202"/>
        <v>60</v>
      </c>
      <c r="BN179" s="47">
        <f t="shared" si="203"/>
        <v>1.2</v>
      </c>
      <c r="BO179" s="54">
        <v>0</v>
      </c>
      <c r="BP179" s="194">
        <f t="shared" si="186"/>
        <v>0</v>
      </c>
      <c r="BQ179" s="179">
        <f t="shared" si="204"/>
        <v>25</v>
      </c>
      <c r="BR179" s="61">
        <f>BQ179*0.01</f>
        <v>0.25</v>
      </c>
      <c r="BS179" s="195">
        <v>1098489.1200000001</v>
      </c>
      <c r="BT179" s="195">
        <v>22727.273000000001</v>
      </c>
      <c r="BU179" s="196">
        <f t="shared" si="205"/>
        <v>1075761.8470000001</v>
      </c>
      <c r="BV179" s="178">
        <f t="shared" si="187"/>
        <v>5.2631806997780771E-2</v>
      </c>
      <c r="BW179" s="192">
        <f t="shared" si="206"/>
        <v>0.39407896396795111</v>
      </c>
      <c r="BX179" s="192">
        <f t="shared" si="207"/>
        <v>0.11658616100301215</v>
      </c>
      <c r="BY179" s="192">
        <f t="shared" si="208"/>
        <v>1.5698937849002934</v>
      </c>
      <c r="BZ179" s="192">
        <f t="shared" si="209"/>
        <v>58.608946981710872</v>
      </c>
      <c r="CA179" s="192">
        <f t="shared" si="188"/>
        <v>55</v>
      </c>
      <c r="CB179" s="55">
        <f t="shared" si="210"/>
        <v>1.1000000000000001</v>
      </c>
      <c r="CC179" s="242" t="s">
        <v>1273</v>
      </c>
      <c r="CD179" s="243" t="s">
        <v>1273</v>
      </c>
      <c r="CE179" s="244"/>
      <c r="CF179" s="295" t="s">
        <v>2379</v>
      </c>
      <c r="CG179" s="210">
        <v>4.2</v>
      </c>
      <c r="CH179" s="295" t="s">
        <v>2379</v>
      </c>
      <c r="CI179" s="188">
        <f>IF((100-(75*(CG179-1)/9))&gt;100,100,IF((100-(75*(CG179-1)/9))&lt;25,25,(100-(75*(CG179-1)/9))))</f>
        <v>73.333333333333329</v>
      </c>
      <c r="CJ179" s="63">
        <f>CI179*0.04</f>
        <v>2.9333333333333331</v>
      </c>
      <c r="CK179" s="173" t="s">
        <v>2486</v>
      </c>
      <c r="CL179" s="173" t="s">
        <v>2487</v>
      </c>
      <c r="CM179" s="199">
        <f t="shared" si="211"/>
        <v>70</v>
      </c>
      <c r="CN179" s="65">
        <f>CM179*0.03</f>
        <v>2.1</v>
      </c>
      <c r="CO179" s="54">
        <v>124692000</v>
      </c>
      <c r="CP179" s="186">
        <f t="shared" si="189"/>
        <v>9.1088388891288403</v>
      </c>
      <c r="CQ179" s="179">
        <f t="shared" si="212"/>
        <v>80</v>
      </c>
      <c r="CR179" s="61">
        <f>CQ179*0.04</f>
        <v>3.2</v>
      </c>
      <c r="CS179" s="200">
        <f>_xlfn.XLOOKUP(C179, '1-1. 관계사체무보증금액 (환율 등)'!$3:$3, '1-1. 관계사체무보증금액 (환율 등)'!$33:$33)</f>
        <v>0</v>
      </c>
      <c r="CT179" s="178">
        <f t="shared" si="190"/>
        <v>0</v>
      </c>
      <c r="CU179" s="179">
        <f t="shared" si="213"/>
        <v>100</v>
      </c>
      <c r="CV179" s="70">
        <f>CU179*0.03</f>
        <v>3</v>
      </c>
      <c r="CW179" s="72">
        <f t="shared" si="218"/>
        <v>27.925651207603735</v>
      </c>
    </row>
    <row r="180" spans="1:101" x14ac:dyDescent="0.6">
      <c r="A180" s="214" t="s">
        <v>9</v>
      </c>
      <c r="B180" s="13" t="s">
        <v>2160</v>
      </c>
      <c r="C180" s="219" t="s">
        <v>505</v>
      </c>
      <c r="D180" s="216" t="s">
        <v>285</v>
      </c>
      <c r="E180" s="217" t="s">
        <v>999</v>
      </c>
      <c r="F180" s="217" t="s">
        <v>165</v>
      </c>
      <c r="G180" s="218">
        <v>27667</v>
      </c>
      <c r="H180" s="217" t="s">
        <v>830</v>
      </c>
      <c r="I180" s="217" t="s">
        <v>754</v>
      </c>
      <c r="J180" s="217" t="s">
        <v>1089</v>
      </c>
      <c r="K180" s="217" t="s">
        <v>425</v>
      </c>
      <c r="L180" s="220">
        <v>152880655</v>
      </c>
      <c r="M180" s="206">
        <v>70989813</v>
      </c>
      <c r="N180" s="206">
        <v>81890843</v>
      </c>
      <c r="O180" s="206">
        <v>202728990</v>
      </c>
      <c r="P180" s="206">
        <v>2828954</v>
      </c>
      <c r="Q180" s="206">
        <v>1737125</v>
      </c>
      <c r="R180" s="206">
        <v>1041713</v>
      </c>
      <c r="S180" s="207">
        <v>71047521</v>
      </c>
      <c r="T180" s="207">
        <v>755693</v>
      </c>
      <c r="U180" s="207">
        <v>7613702</v>
      </c>
      <c r="V180" s="207">
        <f>38912+49531+1838+1500+2297+2297+1875+1875</f>
        <v>100125</v>
      </c>
      <c r="W180" s="207">
        <f>154314+51981</f>
        <v>206295</v>
      </c>
      <c r="X180" s="207">
        <v>0</v>
      </c>
      <c r="Z180" s="207">
        <v>0</v>
      </c>
      <c r="AA180" s="207">
        <v>0</v>
      </c>
      <c r="AB180" s="176">
        <f t="shared" si="214"/>
        <v>7920122</v>
      </c>
      <c r="AC180" s="177">
        <f t="shared" si="191"/>
        <v>11.147640182969932</v>
      </c>
      <c r="AD180" s="177">
        <f t="shared" si="215"/>
        <v>90.465212730463236</v>
      </c>
      <c r="AE180" s="26">
        <f t="shared" ref="AE180:AE193" si="231">AD180*0.03</f>
        <v>2.713956381913897</v>
      </c>
      <c r="AF180" s="178">
        <f t="shared" si="192"/>
        <v>10.974002554038002</v>
      </c>
      <c r="AG180" s="178">
        <f t="shared" si="193"/>
        <v>11.267486172076788</v>
      </c>
      <c r="AH180" s="178">
        <f t="shared" si="216"/>
        <v>0.29348361803878653</v>
      </c>
      <c r="AI180" s="179">
        <f t="shared" si="217"/>
        <v>100</v>
      </c>
      <c r="AJ180" s="30">
        <f t="shared" ref="AJ180:AJ193" si="232">AI180*0.04</f>
        <v>4</v>
      </c>
      <c r="AK180" s="204">
        <v>6</v>
      </c>
      <c r="AL180" s="204">
        <v>1</v>
      </c>
      <c r="AM180" s="204">
        <v>1</v>
      </c>
      <c r="AN180" s="181">
        <f t="shared" si="178"/>
        <v>7</v>
      </c>
      <c r="AO180" s="182">
        <f t="shared" si="179"/>
        <v>14.285714285714285</v>
      </c>
      <c r="AP180" s="183">
        <f t="shared" si="194"/>
        <v>80</v>
      </c>
      <c r="AQ180" s="38">
        <f t="shared" ref="AQ180:AQ193" si="233">AP180*0.02</f>
        <v>1.6</v>
      </c>
      <c r="AR180" s="212">
        <v>2</v>
      </c>
      <c r="AS180" s="292">
        <f t="shared" si="180"/>
        <v>0.25</v>
      </c>
      <c r="AT180" s="185">
        <f t="shared" si="181"/>
        <v>1.5</v>
      </c>
      <c r="AU180" s="185">
        <f t="shared" si="195"/>
        <v>1</v>
      </c>
      <c r="AV180" s="186">
        <f t="shared" si="182"/>
        <v>16.666666666666664</v>
      </c>
      <c r="AW180" s="179">
        <f t="shared" si="196"/>
        <v>60</v>
      </c>
      <c r="AX180" s="239">
        <f t="shared" ref="AX180:AX193" si="234">AW180*0.01</f>
        <v>0.6</v>
      </c>
      <c r="AY180" s="54">
        <v>6</v>
      </c>
      <c r="AZ180" s="54">
        <v>6</v>
      </c>
      <c r="BA180" s="189">
        <f t="shared" si="183"/>
        <v>12</v>
      </c>
      <c r="BB180" s="178">
        <f t="shared" si="197"/>
        <v>50</v>
      </c>
      <c r="BC180" s="179">
        <f t="shared" si="198"/>
        <v>25</v>
      </c>
      <c r="BD180" s="30">
        <f t="shared" ref="BD180:BD193" si="235">BC180*0.01</f>
        <v>0.25</v>
      </c>
      <c r="BE180" s="190">
        <v>9132625</v>
      </c>
      <c r="BF180" s="190">
        <v>1443091</v>
      </c>
      <c r="BG180" s="301">
        <v>0</v>
      </c>
      <c r="BH180" s="191">
        <f t="shared" si="184"/>
        <v>10575716</v>
      </c>
      <c r="BI180" s="178">
        <f t="shared" si="185"/>
        <v>0</v>
      </c>
      <c r="BJ180" s="294" t="str">
        <f t="shared" si="199"/>
        <v>비제조/서비스업</v>
      </c>
      <c r="BK180" s="192">
        <f t="shared" si="200"/>
        <v>1.7464434573900924</v>
      </c>
      <c r="BL180" s="193">
        <f t="shared" si="201"/>
        <v>-1.7464434573900924</v>
      </c>
      <c r="BM180" s="241">
        <f t="shared" si="202"/>
        <v>80</v>
      </c>
      <c r="BN180" s="47">
        <f t="shared" si="203"/>
        <v>1.6</v>
      </c>
      <c r="BO180" s="54">
        <v>349000</v>
      </c>
      <c r="BP180" s="194">
        <f t="shared" si="186"/>
        <v>0.17215100810199863</v>
      </c>
      <c r="BQ180" s="179">
        <f t="shared" si="204"/>
        <v>55</v>
      </c>
      <c r="BR180" s="30">
        <f t="shared" ref="BR180:BR193" si="236">BQ180*0.02</f>
        <v>1.1000000000000001</v>
      </c>
      <c r="BS180" s="195">
        <v>353448.9</v>
      </c>
      <c r="BT180" s="195">
        <v>0</v>
      </c>
      <c r="BU180" s="196">
        <f t="shared" si="205"/>
        <v>353448.9</v>
      </c>
      <c r="BV180" s="178">
        <f t="shared" si="187"/>
        <v>0.17434551417633956</v>
      </c>
      <c r="BW180" s="192">
        <f t="shared" si="206"/>
        <v>2.8482825397737606</v>
      </c>
      <c r="BX180" s="192">
        <f t="shared" si="207"/>
        <v>7.1499392168607834</v>
      </c>
      <c r="BY180" s="192">
        <f t="shared" si="208"/>
        <v>5.5697595856656799</v>
      </c>
      <c r="BZ180" s="192">
        <f t="shared" si="209"/>
        <v>68.441518237526068</v>
      </c>
      <c r="CA180" s="192">
        <f t="shared" si="188"/>
        <v>40</v>
      </c>
      <c r="CB180" s="55">
        <f t="shared" si="210"/>
        <v>0.8</v>
      </c>
      <c r="CC180" s="197">
        <f t="shared" ref="CC180:CC193" si="237">(M180/N180)*100</f>
        <v>86.68834072205118</v>
      </c>
      <c r="CD180" s="198">
        <f t="shared" ref="CD180:CD193" si="238">IF((100-(75*(CC180-1)/(200-1)))&gt;100, 100, IF((100-(75*(CC180-1)/(200-1)))&lt;25, 25, (100-(75*(CC180-1)/(200-1)))))</f>
        <v>67.705399225357596</v>
      </c>
      <c r="CE180" s="58">
        <f t="shared" ref="CE180:CE193" si="239">CD180*0.015</f>
        <v>1.0155809883803639</v>
      </c>
      <c r="CF180" s="245" t="s">
        <v>2326</v>
      </c>
      <c r="CG180" s="245" t="s">
        <v>2326</v>
      </c>
      <c r="CH180" s="245" t="s">
        <v>2326</v>
      </c>
      <c r="CI180" s="245" t="s">
        <v>2326</v>
      </c>
      <c r="CJ180" s="235"/>
      <c r="CK180" s="173" t="s">
        <v>2479</v>
      </c>
      <c r="CL180" s="173" t="s">
        <v>2478</v>
      </c>
      <c r="CM180" s="199">
        <f t="shared" si="211"/>
        <v>25</v>
      </c>
      <c r="CN180" s="58">
        <f t="shared" ref="CN180:CN193" si="240">CM180*0.015</f>
        <v>0.375</v>
      </c>
      <c r="CO180" s="54">
        <v>0</v>
      </c>
      <c r="CP180" s="186">
        <f t="shared" si="189"/>
        <v>0</v>
      </c>
      <c r="CQ180" s="179">
        <f t="shared" si="212"/>
        <v>100</v>
      </c>
      <c r="CR180" s="30">
        <f t="shared" ref="CR180:CR193" si="241">CQ180*0.03</f>
        <v>3</v>
      </c>
      <c r="CS180" s="200">
        <f>_xlfn.XLOOKUP(C180, '1-1. 관계사체무보증금액 (환율 등)'!$3:$3, '1-1. 관계사체무보증금액 (환율 등)'!$33:$33)</f>
        <v>0</v>
      </c>
      <c r="CT180" s="178">
        <f t="shared" si="190"/>
        <v>0</v>
      </c>
      <c r="CU180" s="179">
        <f t="shared" si="213"/>
        <v>100</v>
      </c>
      <c r="CV180" s="30">
        <f t="shared" ref="CV180:CV193" si="242">CU180*0.02</f>
        <v>2</v>
      </c>
      <c r="CW180" s="72">
        <f t="shared" si="218"/>
        <v>19.054537370294263</v>
      </c>
    </row>
    <row r="181" spans="1:101" x14ac:dyDescent="0.6">
      <c r="A181" s="214" t="s">
        <v>821</v>
      </c>
      <c r="B181" s="13" t="s">
        <v>2161</v>
      </c>
      <c r="C181" s="219" t="s">
        <v>86</v>
      </c>
      <c r="D181" s="216" t="s">
        <v>285</v>
      </c>
      <c r="E181" s="217" t="s">
        <v>999</v>
      </c>
      <c r="F181" s="217" t="s">
        <v>153</v>
      </c>
      <c r="G181" s="218">
        <v>33277</v>
      </c>
      <c r="H181" s="217" t="s">
        <v>830</v>
      </c>
      <c r="I181" s="217" t="s">
        <v>787</v>
      </c>
      <c r="J181" s="217" t="s">
        <v>1245</v>
      </c>
      <c r="K181" s="217" t="s">
        <v>91</v>
      </c>
      <c r="L181" s="220">
        <v>131824972</v>
      </c>
      <c r="M181" s="206">
        <v>27592356</v>
      </c>
      <c r="N181" s="206">
        <v>104232616</v>
      </c>
      <c r="O181" s="206">
        <v>117958170</v>
      </c>
      <c r="P181" s="206">
        <v>9678013</v>
      </c>
      <c r="Q181" s="206">
        <v>10111802</v>
      </c>
      <c r="R181" s="206">
        <v>8289001</v>
      </c>
      <c r="S181" s="207">
        <v>9500000</v>
      </c>
      <c r="T181" s="207">
        <v>124633</v>
      </c>
      <c r="U181" s="207">
        <v>1747631</v>
      </c>
      <c r="V181" s="207">
        <f>76802+1253600+10100+482520+1032390+70000+809480+554120+292900+141837+130559+130556+20000+4200+21000+3100+32000</f>
        <v>5065164</v>
      </c>
      <c r="W181" s="207">
        <f>13354+28170+21000+888</f>
        <v>63412</v>
      </c>
      <c r="X181" s="207">
        <v>100000</v>
      </c>
      <c r="Y181" s="208" t="s">
        <v>2444</v>
      </c>
      <c r="Z181" s="207">
        <f>261332+33836+200372</f>
        <v>495540</v>
      </c>
      <c r="AA181" s="207">
        <v>33836</v>
      </c>
      <c r="AB181" s="176">
        <f t="shared" si="214"/>
        <v>7471747</v>
      </c>
      <c r="AC181" s="177">
        <f t="shared" si="191"/>
        <v>78.649968421052634</v>
      </c>
      <c r="AD181" s="177">
        <f t="shared" si="215"/>
        <v>32.206586518078851</v>
      </c>
      <c r="AE181" s="26">
        <f t="shared" si="231"/>
        <v>0.96619759554236551</v>
      </c>
      <c r="AF181" s="178">
        <f t="shared" si="192"/>
        <v>72.930176006481162</v>
      </c>
      <c r="AG181" s="178">
        <f t="shared" si="193"/>
        <v>79.621969889089911</v>
      </c>
      <c r="AH181" s="178">
        <f t="shared" si="216"/>
        <v>6.6917938826087493</v>
      </c>
      <c r="AI181" s="179">
        <f t="shared" si="217"/>
        <v>100</v>
      </c>
      <c r="AJ181" s="30">
        <f t="shared" si="232"/>
        <v>4</v>
      </c>
      <c r="AK181" s="204">
        <v>6</v>
      </c>
      <c r="AL181" s="204">
        <v>5</v>
      </c>
      <c r="AM181" s="204">
        <v>3</v>
      </c>
      <c r="AN181" s="181">
        <f t="shared" si="178"/>
        <v>11</v>
      </c>
      <c r="AO181" s="182">
        <f t="shared" si="179"/>
        <v>27.27272727272727</v>
      </c>
      <c r="AP181" s="183">
        <f t="shared" si="194"/>
        <v>60</v>
      </c>
      <c r="AQ181" s="38">
        <f t="shared" si="233"/>
        <v>1.2</v>
      </c>
      <c r="AR181" s="212">
        <v>2</v>
      </c>
      <c r="AS181" s="292">
        <f t="shared" si="180"/>
        <v>0.25</v>
      </c>
      <c r="AT181" s="185">
        <f t="shared" si="181"/>
        <v>1.5</v>
      </c>
      <c r="AU181" s="185">
        <f t="shared" si="195"/>
        <v>1</v>
      </c>
      <c r="AV181" s="186">
        <f t="shared" si="182"/>
        <v>16.666666666666664</v>
      </c>
      <c r="AW181" s="179">
        <f t="shared" si="196"/>
        <v>60</v>
      </c>
      <c r="AX181" s="239">
        <f t="shared" si="234"/>
        <v>0.6</v>
      </c>
      <c r="AY181" s="54">
        <v>13</v>
      </c>
      <c r="AZ181" s="54">
        <v>26</v>
      </c>
      <c r="BA181" s="189">
        <f t="shared" si="183"/>
        <v>26</v>
      </c>
      <c r="BB181" s="178">
        <f t="shared" si="197"/>
        <v>100</v>
      </c>
      <c r="BC181" s="179">
        <f t="shared" si="198"/>
        <v>100</v>
      </c>
      <c r="BD181" s="30">
        <f t="shared" si="235"/>
        <v>1</v>
      </c>
      <c r="BE181" s="190">
        <v>7686143</v>
      </c>
      <c r="BF181" s="190">
        <v>644148</v>
      </c>
      <c r="BG181" s="301">
        <v>0</v>
      </c>
      <c r="BH181" s="191">
        <f t="shared" si="184"/>
        <v>8330291</v>
      </c>
      <c r="BI181" s="178">
        <f t="shared" si="185"/>
        <v>0</v>
      </c>
      <c r="BJ181" s="294" t="str">
        <f t="shared" si="199"/>
        <v>비제조/서비스업</v>
      </c>
      <c r="BK181" s="192">
        <f t="shared" si="200"/>
        <v>1.7464434573900924</v>
      </c>
      <c r="BL181" s="193">
        <f t="shared" si="201"/>
        <v>-1.7464434573900924</v>
      </c>
      <c r="BM181" s="241">
        <f t="shared" si="202"/>
        <v>80</v>
      </c>
      <c r="BN181" s="47">
        <f t="shared" si="203"/>
        <v>1.6</v>
      </c>
      <c r="BO181" s="54">
        <v>744000</v>
      </c>
      <c r="BP181" s="194">
        <f t="shared" si="186"/>
        <v>0.63073206374768276</v>
      </c>
      <c r="BQ181" s="179">
        <f t="shared" si="204"/>
        <v>70</v>
      </c>
      <c r="BR181" s="30">
        <f t="shared" si="236"/>
        <v>1.4000000000000001</v>
      </c>
      <c r="BS181" s="195">
        <v>2614873.6469999999</v>
      </c>
      <c r="BT181" s="195">
        <v>288783.63699999999</v>
      </c>
      <c r="BU181" s="196">
        <f t="shared" si="205"/>
        <v>2326090.0099999998</v>
      </c>
      <c r="BV181" s="178">
        <f t="shared" si="187"/>
        <v>1.9719617640728062</v>
      </c>
      <c r="BW181" s="192">
        <f t="shared" si="206"/>
        <v>2.8482825397737606</v>
      </c>
      <c r="BX181" s="192">
        <f t="shared" si="207"/>
        <v>0.76793810192512235</v>
      </c>
      <c r="BY181" s="192">
        <f t="shared" si="208"/>
        <v>5.5697595856656799</v>
      </c>
      <c r="BZ181" s="192">
        <f t="shared" si="209"/>
        <v>56.250976869820278</v>
      </c>
      <c r="CA181" s="192">
        <f t="shared" si="188"/>
        <v>55</v>
      </c>
      <c r="CB181" s="55">
        <f t="shared" si="210"/>
        <v>1.1000000000000001</v>
      </c>
      <c r="CC181" s="197">
        <f t="shared" si="237"/>
        <v>26.471902038801364</v>
      </c>
      <c r="CD181" s="198">
        <f t="shared" si="238"/>
        <v>90.400036920049743</v>
      </c>
      <c r="CE181" s="58">
        <f t="shared" si="239"/>
        <v>1.356000553800746</v>
      </c>
      <c r="CF181" s="245" t="s">
        <v>2326</v>
      </c>
      <c r="CG181" s="245" t="s">
        <v>2326</v>
      </c>
      <c r="CH181" s="245" t="s">
        <v>2326</v>
      </c>
      <c r="CI181" s="245" t="s">
        <v>2326</v>
      </c>
      <c r="CJ181" s="235"/>
      <c r="CK181" s="173" t="s">
        <v>2479</v>
      </c>
      <c r="CL181" s="173" t="s">
        <v>2478</v>
      </c>
      <c r="CM181" s="199">
        <f t="shared" si="211"/>
        <v>25</v>
      </c>
      <c r="CN181" s="58">
        <f t="shared" si="240"/>
        <v>0.375</v>
      </c>
      <c r="CO181" s="54">
        <f>5702000-14000</f>
        <v>5688000</v>
      </c>
      <c r="CP181" s="186">
        <f t="shared" si="189"/>
        <v>5.4570250832042824</v>
      </c>
      <c r="CQ181" s="179">
        <f t="shared" si="212"/>
        <v>80</v>
      </c>
      <c r="CR181" s="30">
        <f t="shared" si="241"/>
        <v>2.4</v>
      </c>
      <c r="CS181" s="200">
        <f>_xlfn.XLOOKUP(C181, '1-1. 관계사체무보증금액 (환율 등)'!$3:$3, '1-1. 관계사체무보증금액 (환율 등)'!$33:$33)</f>
        <v>2923000</v>
      </c>
      <c r="CT181" s="178">
        <f t="shared" si="190"/>
        <v>2.8043045566466449</v>
      </c>
      <c r="CU181" s="179">
        <f t="shared" si="213"/>
        <v>100</v>
      </c>
      <c r="CV181" s="30">
        <f t="shared" si="242"/>
        <v>2</v>
      </c>
      <c r="CW181" s="72">
        <f t="shared" si="218"/>
        <v>17.997198149343113</v>
      </c>
    </row>
    <row r="182" spans="1:101" x14ac:dyDescent="0.6">
      <c r="A182" s="214" t="s">
        <v>553</v>
      </c>
      <c r="B182" s="13" t="s">
        <v>2162</v>
      </c>
      <c r="C182" s="219" t="s">
        <v>47</v>
      </c>
      <c r="D182" s="216" t="s">
        <v>203</v>
      </c>
      <c r="E182" s="217" t="s">
        <v>1179</v>
      </c>
      <c r="F182" s="217" t="s">
        <v>211</v>
      </c>
      <c r="G182" s="218">
        <v>27517</v>
      </c>
      <c r="H182" s="217" t="s">
        <v>830</v>
      </c>
      <c r="I182" s="217" t="s">
        <v>973</v>
      </c>
      <c r="J182" s="217" t="s">
        <v>381</v>
      </c>
      <c r="K182" s="217" t="s">
        <v>91</v>
      </c>
      <c r="L182" s="220">
        <v>3324252824</v>
      </c>
      <c r="M182" s="206">
        <v>1744378392</v>
      </c>
      <c r="N182" s="206">
        <v>1579874432</v>
      </c>
      <c r="O182" s="206">
        <v>1329446841</v>
      </c>
      <c r="P182" s="206">
        <v>132736708</v>
      </c>
      <c r="Q182" s="206">
        <v>169634745</v>
      </c>
      <c r="R182" s="206">
        <v>144326674</v>
      </c>
      <c r="S182" s="207">
        <v>503859595</v>
      </c>
      <c r="T182" s="207">
        <v>1577790</v>
      </c>
      <c r="U182" s="207">
        <v>391388365</v>
      </c>
      <c r="V182" s="207">
        <v>0</v>
      </c>
      <c r="W182" s="207">
        <f>446429+219871+160634+155304+169643+99286+92164+26786+74919+73136+28586+26786+69086+26786+3140</f>
        <v>1672556</v>
      </c>
      <c r="X182" s="207">
        <v>0</v>
      </c>
      <c r="Z182" s="207">
        <v>0</v>
      </c>
      <c r="AA182" s="207">
        <v>0</v>
      </c>
      <c r="AB182" s="176">
        <f t="shared" si="214"/>
        <v>393060921</v>
      </c>
      <c r="AC182" s="177">
        <f t="shared" si="191"/>
        <v>78.010010110058531</v>
      </c>
      <c r="AD182" s="177">
        <f t="shared" si="215"/>
        <v>32.75890957129586</v>
      </c>
      <c r="AE182" s="26">
        <f t="shared" si="231"/>
        <v>0.98276728713887573</v>
      </c>
      <c r="AF182" s="178">
        <f t="shared" si="192"/>
        <v>77.922067075473706</v>
      </c>
      <c r="AG182" s="178">
        <f t="shared" si="193"/>
        <v>78.255058631876977</v>
      </c>
      <c r="AH182" s="178">
        <f t="shared" si="216"/>
        <v>0.33299155640327172</v>
      </c>
      <c r="AI182" s="179">
        <f t="shared" si="217"/>
        <v>100</v>
      </c>
      <c r="AJ182" s="30">
        <f t="shared" si="232"/>
        <v>4</v>
      </c>
      <c r="AK182" s="204">
        <v>14</v>
      </c>
      <c r="AL182" s="204">
        <v>10</v>
      </c>
      <c r="AM182" s="180">
        <v>1</v>
      </c>
      <c r="AN182" s="181">
        <f t="shared" si="178"/>
        <v>24</v>
      </c>
      <c r="AO182" s="182">
        <f t="shared" si="179"/>
        <v>4.1666666666666661</v>
      </c>
      <c r="AP182" s="183">
        <f t="shared" si="194"/>
        <v>100</v>
      </c>
      <c r="AQ182" s="38">
        <f t="shared" si="233"/>
        <v>2</v>
      </c>
      <c r="AR182" s="212">
        <v>4</v>
      </c>
      <c r="AS182" s="292">
        <f t="shared" si="180"/>
        <v>0.5</v>
      </c>
      <c r="AT182" s="185">
        <f t="shared" si="181"/>
        <v>7</v>
      </c>
      <c r="AU182" s="185">
        <f t="shared" si="195"/>
        <v>7</v>
      </c>
      <c r="AV182" s="186">
        <f t="shared" si="182"/>
        <v>-21.428571428571427</v>
      </c>
      <c r="AW182" s="179">
        <f t="shared" si="196"/>
        <v>20</v>
      </c>
      <c r="AX182" s="239">
        <f t="shared" si="234"/>
        <v>0.2</v>
      </c>
      <c r="AY182" s="54">
        <v>7</v>
      </c>
      <c r="AZ182" s="54">
        <v>28</v>
      </c>
      <c r="BA182" s="189">
        <f t="shared" si="183"/>
        <v>28</v>
      </c>
      <c r="BB182" s="178">
        <f t="shared" si="197"/>
        <v>100</v>
      </c>
      <c r="BC182" s="179">
        <f t="shared" si="198"/>
        <v>100</v>
      </c>
      <c r="BD182" s="30">
        <f t="shared" si="235"/>
        <v>1</v>
      </c>
      <c r="BE182" s="190">
        <v>17523496</v>
      </c>
      <c r="BF182" s="190">
        <v>3642519</v>
      </c>
      <c r="BG182" s="54">
        <v>1826921</v>
      </c>
      <c r="BH182" s="191">
        <f t="shared" si="184"/>
        <v>21166015</v>
      </c>
      <c r="BI182" s="178">
        <f t="shared" si="185"/>
        <v>8.6313885726718045</v>
      </c>
      <c r="BJ182" s="294" t="str">
        <f t="shared" si="199"/>
        <v>금속/비금속/화학업</v>
      </c>
      <c r="BK182" s="192">
        <f t="shared" si="200"/>
        <v>3.9534118626990464</v>
      </c>
      <c r="BL182" s="193">
        <f t="shared" si="201"/>
        <v>4.6779767099727581</v>
      </c>
      <c r="BM182" s="241">
        <f t="shared" si="202"/>
        <v>40</v>
      </c>
      <c r="BN182" s="47">
        <f t="shared" si="203"/>
        <v>0.8</v>
      </c>
      <c r="BO182" s="54">
        <v>4992639</v>
      </c>
      <c r="BP182" s="194">
        <f t="shared" si="186"/>
        <v>0.37554258252587025</v>
      </c>
      <c r="BQ182" s="179">
        <f t="shared" si="204"/>
        <v>55</v>
      </c>
      <c r="BR182" s="30">
        <f t="shared" si="236"/>
        <v>1.1000000000000001</v>
      </c>
      <c r="BS182" s="195">
        <v>183188504.565</v>
      </c>
      <c r="BT182" s="195">
        <v>9350058.3389999997</v>
      </c>
      <c r="BU182" s="196">
        <f t="shared" si="205"/>
        <v>173838446.22600001</v>
      </c>
      <c r="BV182" s="178">
        <f t="shared" si="187"/>
        <v>13.075998292285234</v>
      </c>
      <c r="BW182" s="192">
        <f t="shared" si="206"/>
        <v>5.1474158565187729</v>
      </c>
      <c r="BX182" s="192">
        <f t="shared" si="207"/>
        <v>62.862419440744439</v>
      </c>
      <c r="BY182" s="192">
        <f t="shared" si="208"/>
        <v>6.6930498535228526</v>
      </c>
      <c r="BZ182" s="192">
        <f t="shared" si="209"/>
        <v>11.808794915526866</v>
      </c>
      <c r="CA182" s="192">
        <f t="shared" si="188"/>
        <v>85</v>
      </c>
      <c r="CB182" s="55">
        <f t="shared" si="210"/>
        <v>1.7</v>
      </c>
      <c r="CC182" s="197">
        <f t="shared" si="237"/>
        <v>110.41247055259642</v>
      </c>
      <c r="CD182" s="198">
        <f t="shared" si="238"/>
        <v>58.764144264096828</v>
      </c>
      <c r="CE182" s="58">
        <f t="shared" si="239"/>
        <v>0.88146216396145238</v>
      </c>
      <c r="CF182" s="245" t="s">
        <v>2326</v>
      </c>
      <c r="CG182" s="245" t="s">
        <v>2326</v>
      </c>
      <c r="CH182" s="245" t="s">
        <v>2326</v>
      </c>
      <c r="CI182" s="245" t="s">
        <v>2326</v>
      </c>
      <c r="CJ182" s="235"/>
      <c r="CK182" s="173" t="s">
        <v>2485</v>
      </c>
      <c r="CL182" s="173" t="s">
        <v>2482</v>
      </c>
      <c r="CM182" s="199">
        <f t="shared" si="211"/>
        <v>55</v>
      </c>
      <c r="CN182" s="58">
        <f t="shared" si="240"/>
        <v>0.82499999999999996</v>
      </c>
      <c r="CO182" s="54">
        <f>482295000-941000-377000-799000</f>
        <v>480178000</v>
      </c>
      <c r="CP182" s="186">
        <f t="shared" si="189"/>
        <v>30.393428127837442</v>
      </c>
      <c r="CQ182" s="179">
        <f t="shared" si="212"/>
        <v>60</v>
      </c>
      <c r="CR182" s="30">
        <f t="shared" si="241"/>
        <v>1.7999999999999998</v>
      </c>
      <c r="CS182" s="200">
        <f>_xlfn.XLOOKUP(C182, '1-1. 관계사체무보증금액 (환율 등)'!$3:$3, '1-1. 관계사체무보증금액 (환율 등)'!$33:$33)</f>
        <v>0</v>
      </c>
      <c r="CT182" s="178">
        <f t="shared" si="190"/>
        <v>0</v>
      </c>
      <c r="CU182" s="179">
        <f t="shared" si="213"/>
        <v>100</v>
      </c>
      <c r="CV182" s="30">
        <f t="shared" si="242"/>
        <v>2</v>
      </c>
      <c r="CW182" s="72">
        <f t="shared" si="218"/>
        <v>17.289229451100329</v>
      </c>
    </row>
    <row r="183" spans="1:101" x14ac:dyDescent="0.6">
      <c r="A183" s="214" t="s">
        <v>290</v>
      </c>
      <c r="B183" s="13" t="s">
        <v>2163</v>
      </c>
      <c r="C183" s="219" t="s">
        <v>325</v>
      </c>
      <c r="D183" s="216" t="s">
        <v>202</v>
      </c>
      <c r="E183" s="217" t="s">
        <v>205</v>
      </c>
      <c r="F183" s="217" t="s">
        <v>164</v>
      </c>
      <c r="G183" s="218">
        <v>31889</v>
      </c>
      <c r="H183" s="217" t="s">
        <v>830</v>
      </c>
      <c r="I183" s="217" t="s">
        <v>710</v>
      </c>
      <c r="J183" s="217" t="s">
        <v>1095</v>
      </c>
      <c r="K183" s="217" t="s">
        <v>317</v>
      </c>
      <c r="L183" s="220">
        <v>75722188</v>
      </c>
      <c r="M183" s="206">
        <v>2498635</v>
      </c>
      <c r="N183" s="206">
        <v>73223553</v>
      </c>
      <c r="O183" s="206">
        <v>17441063</v>
      </c>
      <c r="P183" s="206">
        <v>2055789</v>
      </c>
      <c r="Q183" s="206">
        <v>4418292</v>
      </c>
      <c r="R183" s="206">
        <v>5632855</v>
      </c>
      <c r="S183" s="207">
        <v>34845011</v>
      </c>
      <c r="T183" s="207">
        <v>2</v>
      </c>
      <c r="U183" s="207">
        <v>1119766</v>
      </c>
      <c r="V183" s="207">
        <f>358+923+50000</f>
        <v>51281</v>
      </c>
      <c r="W183" s="207">
        <v>0</v>
      </c>
      <c r="X183" s="207">
        <v>0</v>
      </c>
      <c r="Z183" s="207">
        <v>0</v>
      </c>
      <c r="AA183" s="207">
        <v>0</v>
      </c>
      <c r="AB183" s="176">
        <f t="shared" si="214"/>
        <v>1171047</v>
      </c>
      <c r="AC183" s="177">
        <f t="shared" si="191"/>
        <v>3.3607307513836053</v>
      </c>
      <c r="AD183" s="177">
        <f t="shared" si="215"/>
        <v>97.185790490750634</v>
      </c>
      <c r="AE183" s="26">
        <f t="shared" si="231"/>
        <v>2.9155737147225187</v>
      </c>
      <c r="AF183" s="178">
        <f t="shared" si="192"/>
        <v>3.3607309442795672</v>
      </c>
      <c r="AG183" s="178">
        <f t="shared" si="193"/>
        <v>3.3607309442795672</v>
      </c>
      <c r="AH183" s="178">
        <f t="shared" si="216"/>
        <v>0</v>
      </c>
      <c r="AI183" s="179">
        <f t="shared" si="217"/>
        <v>100</v>
      </c>
      <c r="AJ183" s="30">
        <f t="shared" si="232"/>
        <v>4</v>
      </c>
      <c r="AK183" s="204">
        <v>4</v>
      </c>
      <c r="AL183" s="204">
        <v>2</v>
      </c>
      <c r="AM183" s="204">
        <v>1</v>
      </c>
      <c r="AN183" s="181">
        <f t="shared" si="178"/>
        <v>6</v>
      </c>
      <c r="AO183" s="182">
        <f t="shared" si="179"/>
        <v>16.666666666666664</v>
      </c>
      <c r="AP183" s="183">
        <f t="shared" si="194"/>
        <v>80</v>
      </c>
      <c r="AQ183" s="38">
        <f t="shared" si="233"/>
        <v>1.6</v>
      </c>
      <c r="AR183" s="212">
        <v>1</v>
      </c>
      <c r="AS183" s="292">
        <f t="shared" si="180"/>
        <v>0.25</v>
      </c>
      <c r="AT183" s="185">
        <f t="shared" si="181"/>
        <v>1</v>
      </c>
      <c r="AU183" s="185">
        <f t="shared" si="195"/>
        <v>1</v>
      </c>
      <c r="AV183" s="186">
        <f t="shared" si="182"/>
        <v>0</v>
      </c>
      <c r="AW183" s="179">
        <f t="shared" si="196"/>
        <v>40</v>
      </c>
      <c r="AX183" s="239">
        <f t="shared" si="234"/>
        <v>0.4</v>
      </c>
      <c r="AY183" s="54">
        <v>7</v>
      </c>
      <c r="AZ183" s="54">
        <v>7</v>
      </c>
      <c r="BA183" s="189">
        <f t="shared" si="183"/>
        <v>7</v>
      </c>
      <c r="BB183" s="178">
        <f t="shared" si="197"/>
        <v>100</v>
      </c>
      <c r="BC183" s="179">
        <f t="shared" si="198"/>
        <v>100</v>
      </c>
      <c r="BD183" s="30">
        <f t="shared" si="235"/>
        <v>1</v>
      </c>
      <c r="BE183" s="190">
        <v>1583601</v>
      </c>
      <c r="BF183" s="190">
        <v>122521</v>
      </c>
      <c r="BG183" s="54">
        <v>18855</v>
      </c>
      <c r="BH183" s="191">
        <f t="shared" si="184"/>
        <v>1706122</v>
      </c>
      <c r="BI183" s="178">
        <f t="shared" si="185"/>
        <v>1.1051378506343625</v>
      </c>
      <c r="BJ183" s="294" t="str">
        <f t="shared" si="199"/>
        <v>전기전자/기계업</v>
      </c>
      <c r="BK183" s="192">
        <f t="shared" si="200"/>
        <v>2.4096449716116455</v>
      </c>
      <c r="BL183" s="193">
        <f t="shared" si="201"/>
        <v>-1.3045071209772829</v>
      </c>
      <c r="BM183" s="241">
        <f t="shared" si="202"/>
        <v>80</v>
      </c>
      <c r="BN183" s="47">
        <f t="shared" si="203"/>
        <v>1.6</v>
      </c>
      <c r="BO183" s="54">
        <v>167722</v>
      </c>
      <c r="BP183" s="194">
        <f t="shared" si="186"/>
        <v>0.96165010125816297</v>
      </c>
      <c r="BQ183" s="179">
        <f t="shared" si="204"/>
        <v>70</v>
      </c>
      <c r="BR183" s="30">
        <f t="shared" si="236"/>
        <v>1.4000000000000001</v>
      </c>
      <c r="BS183" s="195">
        <v>545056</v>
      </c>
      <c r="BT183" s="195">
        <v>25882</v>
      </c>
      <c r="BU183" s="196">
        <f t="shared" si="205"/>
        <v>519174</v>
      </c>
      <c r="BV183" s="178">
        <f t="shared" si="187"/>
        <v>2.9767337002337531</v>
      </c>
      <c r="BW183" s="192">
        <f t="shared" si="206"/>
        <v>5.2309968128308268</v>
      </c>
      <c r="BX183" s="192">
        <f t="shared" si="207"/>
        <v>5.0817021808158476</v>
      </c>
      <c r="BY183" s="192">
        <f t="shared" si="208"/>
        <v>7.0695458012309622</v>
      </c>
      <c r="BZ183" s="192">
        <f t="shared" si="209"/>
        <v>62.508729427545717</v>
      </c>
      <c r="CA183" s="192">
        <f t="shared" si="188"/>
        <v>40</v>
      </c>
      <c r="CB183" s="55">
        <f t="shared" si="210"/>
        <v>0.8</v>
      </c>
      <c r="CC183" s="197">
        <f t="shared" si="237"/>
        <v>3.4123378306977266</v>
      </c>
      <c r="CD183" s="198">
        <f t="shared" si="238"/>
        <v>99.090827450742069</v>
      </c>
      <c r="CE183" s="58">
        <f t="shared" si="239"/>
        <v>1.4863624117611309</v>
      </c>
      <c r="CF183" s="245" t="s">
        <v>2326</v>
      </c>
      <c r="CG183" s="245" t="s">
        <v>2326</v>
      </c>
      <c r="CH183" s="245" t="s">
        <v>2326</v>
      </c>
      <c r="CI183" s="245" t="s">
        <v>2326</v>
      </c>
      <c r="CJ183" s="235"/>
      <c r="CK183" s="173" t="s">
        <v>2501</v>
      </c>
      <c r="CL183" s="173" t="s">
        <v>2493</v>
      </c>
      <c r="CM183" s="199">
        <f t="shared" si="211"/>
        <v>40</v>
      </c>
      <c r="CN183" s="58">
        <f t="shared" si="240"/>
        <v>0.6</v>
      </c>
      <c r="CO183" s="54">
        <v>0</v>
      </c>
      <c r="CP183" s="186">
        <f t="shared" si="189"/>
        <v>0</v>
      </c>
      <c r="CQ183" s="179">
        <f t="shared" si="212"/>
        <v>100</v>
      </c>
      <c r="CR183" s="30">
        <f t="shared" si="241"/>
        <v>3</v>
      </c>
      <c r="CS183" s="200">
        <f>_xlfn.XLOOKUP(C183, '1-1. 관계사체무보증금액 (환율 등)'!$3:$3, '1-1. 관계사체무보증금액 (환율 등)'!$33:$33)</f>
        <v>0</v>
      </c>
      <c r="CT183" s="178">
        <f t="shared" si="190"/>
        <v>0</v>
      </c>
      <c r="CU183" s="179">
        <f t="shared" si="213"/>
        <v>100</v>
      </c>
      <c r="CV183" s="30">
        <f t="shared" si="242"/>
        <v>2</v>
      </c>
      <c r="CW183" s="72">
        <f t="shared" si="218"/>
        <v>20.801936126483653</v>
      </c>
    </row>
    <row r="184" spans="1:101" x14ac:dyDescent="0.6">
      <c r="A184" s="305" t="s">
        <v>1739</v>
      </c>
      <c r="B184" s="13" t="s">
        <v>2164</v>
      </c>
      <c r="C184" s="219" t="s">
        <v>922</v>
      </c>
      <c r="D184" s="216" t="s">
        <v>202</v>
      </c>
      <c r="E184" s="217" t="s">
        <v>593</v>
      </c>
      <c r="F184" s="217" t="s">
        <v>991</v>
      </c>
      <c r="G184" s="218">
        <v>30905</v>
      </c>
      <c r="H184" s="217" t="s">
        <v>830</v>
      </c>
      <c r="I184" s="217" t="s">
        <v>759</v>
      </c>
      <c r="J184" s="217" t="s">
        <v>1116</v>
      </c>
      <c r="K184" s="217" t="s">
        <v>91</v>
      </c>
      <c r="L184" s="220">
        <v>150922633</v>
      </c>
      <c r="M184" s="206">
        <v>52979361</v>
      </c>
      <c r="N184" s="206">
        <v>97943272</v>
      </c>
      <c r="O184" s="206">
        <v>457295501</v>
      </c>
      <c r="P184" s="206">
        <v>13985109</v>
      </c>
      <c r="Q184" s="206">
        <v>16291509</v>
      </c>
      <c r="R184" s="206">
        <v>13892645</v>
      </c>
      <c r="S184" s="207">
        <v>77124820</v>
      </c>
      <c r="T184" s="207">
        <v>3490</v>
      </c>
      <c r="U184" s="207">
        <f>801890+15607082</f>
        <v>16408972</v>
      </c>
      <c r="V184" s="207">
        <f>1111570+1104370+1393970+3038400</f>
        <v>6648310</v>
      </c>
      <c r="W184" s="207">
        <v>0</v>
      </c>
      <c r="X184" s="207">
        <v>0</v>
      </c>
      <c r="Z184" s="207">
        <v>2739956</v>
      </c>
      <c r="AA184" s="207">
        <v>0</v>
      </c>
      <c r="AB184" s="176">
        <f t="shared" si="214"/>
        <v>25797238</v>
      </c>
      <c r="AC184" s="177">
        <f t="shared" si="191"/>
        <v>33.448684872133249</v>
      </c>
      <c r="AD184" s="177">
        <f t="shared" si="215"/>
        <v>71.218051030955195</v>
      </c>
      <c r="AE184" s="26">
        <f t="shared" si="231"/>
        <v>2.136541530928656</v>
      </c>
      <c r="AF184" s="178">
        <f t="shared" si="192"/>
        <v>29.897412298257827</v>
      </c>
      <c r="AG184" s="178">
        <f t="shared" si="193"/>
        <v>33.450198537810486</v>
      </c>
      <c r="AH184" s="178">
        <f t="shared" si="216"/>
        <v>3.5527862395526597</v>
      </c>
      <c r="AI184" s="179">
        <f t="shared" si="217"/>
        <v>100</v>
      </c>
      <c r="AJ184" s="30">
        <f t="shared" si="232"/>
        <v>4</v>
      </c>
      <c r="AK184" s="204">
        <v>5</v>
      </c>
      <c r="AL184" s="204">
        <v>7</v>
      </c>
      <c r="AM184" s="204">
        <v>4</v>
      </c>
      <c r="AN184" s="181">
        <f t="shared" si="178"/>
        <v>12</v>
      </c>
      <c r="AO184" s="182">
        <f t="shared" si="179"/>
        <v>33.333333333333329</v>
      </c>
      <c r="AP184" s="183">
        <f t="shared" si="194"/>
        <v>40</v>
      </c>
      <c r="AQ184" s="38">
        <f t="shared" si="233"/>
        <v>0.8</v>
      </c>
      <c r="AR184" s="212">
        <v>1</v>
      </c>
      <c r="AS184" s="292">
        <f t="shared" si="180"/>
        <v>0.25</v>
      </c>
      <c r="AT184" s="185">
        <f t="shared" si="181"/>
        <v>1.25</v>
      </c>
      <c r="AU184" s="185">
        <f t="shared" si="195"/>
        <v>1</v>
      </c>
      <c r="AV184" s="186">
        <f t="shared" si="182"/>
        <v>0</v>
      </c>
      <c r="AW184" s="179">
        <f t="shared" si="196"/>
        <v>40</v>
      </c>
      <c r="AX184" s="239">
        <f t="shared" si="234"/>
        <v>0.4</v>
      </c>
      <c r="AY184" s="54">
        <v>14</v>
      </c>
      <c r="AZ184" s="54">
        <v>14</v>
      </c>
      <c r="BA184" s="189">
        <f t="shared" si="183"/>
        <v>14</v>
      </c>
      <c r="BB184" s="178">
        <f t="shared" si="197"/>
        <v>100</v>
      </c>
      <c r="BC184" s="179">
        <f t="shared" si="198"/>
        <v>100</v>
      </c>
      <c r="BD184" s="30">
        <f t="shared" si="235"/>
        <v>1</v>
      </c>
      <c r="BE184" s="302">
        <f>6537566*'1-1. 관계사체무보증금액 (환율 등)'!B4/1000</f>
        <v>8275399.9999999991</v>
      </c>
      <c r="BF184" s="302">
        <f>499579*'1-1. 관계사체무보증금액 (환율 등)'!B4/1000</f>
        <v>632378.4810126581</v>
      </c>
      <c r="BG184" s="303">
        <f>247015*'1-1. 관계사체무보증금액 (환율 등)'!B4/1000</f>
        <v>312677.21518987342</v>
      </c>
      <c r="BH184" s="191">
        <f t="shared" si="184"/>
        <v>8907778.4810126573</v>
      </c>
      <c r="BI184" s="178">
        <f t="shared" si="185"/>
        <v>3.5101593046611943</v>
      </c>
      <c r="BJ184" s="294" t="str">
        <f t="shared" si="199"/>
        <v>전기전자/기계업</v>
      </c>
      <c r="BK184" s="192">
        <f t="shared" si="200"/>
        <v>2.4096449716116455</v>
      </c>
      <c r="BL184" s="193">
        <f t="shared" si="201"/>
        <v>1.1005143330495488</v>
      </c>
      <c r="BM184" s="241">
        <f t="shared" si="202"/>
        <v>60</v>
      </c>
      <c r="BN184" s="47">
        <f t="shared" si="203"/>
        <v>1.2</v>
      </c>
      <c r="BO184" s="303">
        <f>6310*'1-1. 관계사체무보증금액 (환율 등)'!B4</f>
        <v>7987341.7721518977</v>
      </c>
      <c r="BP184" s="194">
        <f t="shared" si="186"/>
        <v>1.7466477922230637</v>
      </c>
      <c r="BQ184" s="179">
        <f t="shared" si="204"/>
        <v>70</v>
      </c>
      <c r="BR184" s="30">
        <f t="shared" si="236"/>
        <v>1.4000000000000001</v>
      </c>
      <c r="BS184" s="304">
        <f>94276*'1-1. 관계사체무보증금액 (환율 등)'!B4/1000</f>
        <v>119336.70886075948</v>
      </c>
      <c r="BT184" s="304">
        <v>0</v>
      </c>
      <c r="BU184" s="196">
        <f t="shared" si="205"/>
        <v>119336.70886075948</v>
      </c>
      <c r="BV184" s="178">
        <f t="shared" si="187"/>
        <v>2.6096191324821164E-2</v>
      </c>
      <c r="BW184" s="192">
        <f t="shared" si="206"/>
        <v>5.2309968128308268</v>
      </c>
      <c r="BX184" s="192">
        <f t="shared" si="207"/>
        <v>27.090990479753607</v>
      </c>
      <c r="BY184" s="192">
        <f t="shared" si="208"/>
        <v>7.0695458012309622</v>
      </c>
      <c r="BZ184" s="192">
        <f t="shared" si="209"/>
        <v>76.920845746391393</v>
      </c>
      <c r="CA184" s="192">
        <f t="shared" si="188"/>
        <v>40</v>
      </c>
      <c r="CB184" s="55">
        <f t="shared" si="210"/>
        <v>0.8</v>
      </c>
      <c r="CC184" s="197">
        <f t="shared" si="237"/>
        <v>54.091883922358655</v>
      </c>
      <c r="CD184" s="198">
        <f t="shared" si="238"/>
        <v>79.990496009161319</v>
      </c>
      <c r="CE184" s="58">
        <f t="shared" si="239"/>
        <v>1.1998574401374198</v>
      </c>
      <c r="CF184" s="245" t="s">
        <v>2326</v>
      </c>
      <c r="CG184" s="245" t="s">
        <v>2326</v>
      </c>
      <c r="CH184" s="245" t="s">
        <v>2326</v>
      </c>
      <c r="CI184" s="245" t="s">
        <v>2326</v>
      </c>
      <c r="CJ184" s="235"/>
      <c r="CK184" s="173" t="s">
        <v>2479</v>
      </c>
      <c r="CL184" s="173" t="s">
        <v>2478</v>
      </c>
      <c r="CM184" s="199">
        <f t="shared" si="211"/>
        <v>25</v>
      </c>
      <c r="CN184" s="58">
        <f t="shared" si="240"/>
        <v>0.375</v>
      </c>
      <c r="CO184" s="54">
        <f>6005000+13257000</f>
        <v>19262000</v>
      </c>
      <c r="CP184" s="186">
        <f t="shared" si="189"/>
        <v>19.666486126785717</v>
      </c>
      <c r="CQ184" s="179">
        <f t="shared" si="212"/>
        <v>60</v>
      </c>
      <c r="CR184" s="30">
        <f t="shared" si="241"/>
        <v>1.7999999999999998</v>
      </c>
      <c r="CS184" s="200">
        <f>_xlfn.XLOOKUP(C184, '1-1. 관계사체무보증금액 (환율 등)'!$3:$3, '1-1. 관계사체무보증금액 (환율 등)'!$33:$33)</f>
        <v>30253164.556962021</v>
      </c>
      <c r="CT184" s="178">
        <f t="shared" si="190"/>
        <v>30.888456081967554</v>
      </c>
      <c r="CU184" s="179">
        <f t="shared" si="213"/>
        <v>60</v>
      </c>
      <c r="CV184" s="30">
        <f t="shared" si="242"/>
        <v>1.2</v>
      </c>
      <c r="CW184" s="72">
        <f t="shared" si="218"/>
        <v>16.311398971066076</v>
      </c>
    </row>
    <row r="185" spans="1:101" x14ac:dyDescent="0.6">
      <c r="A185" s="214" t="s">
        <v>429</v>
      </c>
      <c r="B185" s="13" t="s">
        <v>2165</v>
      </c>
      <c r="C185" s="219" t="s">
        <v>445</v>
      </c>
      <c r="D185" s="216" t="s">
        <v>203</v>
      </c>
      <c r="E185" s="217" t="s">
        <v>1179</v>
      </c>
      <c r="F185" s="217" t="s">
        <v>608</v>
      </c>
      <c r="G185" s="218">
        <v>41584</v>
      </c>
      <c r="H185" s="217" t="s">
        <v>830</v>
      </c>
      <c r="I185" s="217" t="s">
        <v>241</v>
      </c>
      <c r="J185" s="217" t="s">
        <v>1226</v>
      </c>
      <c r="K185" s="217" t="s">
        <v>91</v>
      </c>
      <c r="L185" s="220">
        <v>1177294529</v>
      </c>
      <c r="M185" s="206">
        <v>334705711</v>
      </c>
      <c r="N185" s="206">
        <v>842588818</v>
      </c>
      <c r="O185" s="206">
        <v>479630807</v>
      </c>
      <c r="P185" s="206">
        <v>74104110</v>
      </c>
      <c r="Q185" s="206">
        <v>65510324</v>
      </c>
      <c r="R185" s="206">
        <v>49527867</v>
      </c>
      <c r="S185" s="207">
        <v>38958090</v>
      </c>
      <c r="T185" s="207">
        <v>13270</v>
      </c>
      <c r="U185" s="207">
        <f>96910+21015400</f>
        <v>21112310</v>
      </c>
      <c r="V185" s="207">
        <f>866730+61760+10550+8660+6230+3740</f>
        <v>957670</v>
      </c>
      <c r="W185" s="207">
        <f>3640+3490</f>
        <v>7130</v>
      </c>
      <c r="X185" s="207">
        <v>1675650</v>
      </c>
      <c r="Y185" s="208" t="s">
        <v>2445</v>
      </c>
      <c r="Z185" s="207">
        <v>100000</v>
      </c>
      <c r="AA185" s="207">
        <v>0</v>
      </c>
      <c r="AB185" s="176">
        <f t="shared" si="214"/>
        <v>23852760</v>
      </c>
      <c r="AC185" s="177">
        <f t="shared" si="191"/>
        <v>61.226718250304366</v>
      </c>
      <c r="AD185" s="177">
        <f t="shared" si="215"/>
        <v>47.243914053247096</v>
      </c>
      <c r="AE185" s="26">
        <f t="shared" si="231"/>
        <v>1.4173174215974129</v>
      </c>
      <c r="AF185" s="178">
        <f t="shared" si="192"/>
        <v>56.669872912495165</v>
      </c>
      <c r="AG185" s="178">
        <f t="shared" si="193"/>
        <v>61.247580551149042</v>
      </c>
      <c r="AH185" s="178">
        <f t="shared" si="216"/>
        <v>4.5777076386538766</v>
      </c>
      <c r="AI185" s="179">
        <f t="shared" si="217"/>
        <v>100</v>
      </c>
      <c r="AJ185" s="30">
        <f t="shared" si="232"/>
        <v>4</v>
      </c>
      <c r="AK185" s="204">
        <v>9</v>
      </c>
      <c r="AL185" s="204">
        <v>10</v>
      </c>
      <c r="AM185" s="204">
        <v>1</v>
      </c>
      <c r="AN185" s="181">
        <f t="shared" si="178"/>
        <v>19</v>
      </c>
      <c r="AO185" s="182">
        <f t="shared" si="179"/>
        <v>5.2631578947368416</v>
      </c>
      <c r="AP185" s="183">
        <f t="shared" si="194"/>
        <v>100</v>
      </c>
      <c r="AQ185" s="38">
        <f t="shared" si="233"/>
        <v>2</v>
      </c>
      <c r="AR185" s="212">
        <v>2</v>
      </c>
      <c r="AS185" s="292">
        <f t="shared" si="180"/>
        <v>0.25</v>
      </c>
      <c r="AT185" s="185">
        <f t="shared" si="181"/>
        <v>2.25</v>
      </c>
      <c r="AU185" s="185">
        <f t="shared" si="195"/>
        <v>2</v>
      </c>
      <c r="AV185" s="186">
        <f t="shared" si="182"/>
        <v>0</v>
      </c>
      <c r="AW185" s="179">
        <f t="shared" si="196"/>
        <v>40</v>
      </c>
      <c r="AX185" s="239">
        <f t="shared" si="234"/>
        <v>0.4</v>
      </c>
      <c r="AY185" s="54">
        <v>12</v>
      </c>
      <c r="AZ185" s="54">
        <v>24</v>
      </c>
      <c r="BA185" s="189">
        <f t="shared" si="183"/>
        <v>24</v>
      </c>
      <c r="BB185" s="178">
        <f t="shared" si="197"/>
        <v>100</v>
      </c>
      <c r="BC185" s="179">
        <f t="shared" si="198"/>
        <v>100</v>
      </c>
      <c r="BD185" s="30">
        <f t="shared" si="235"/>
        <v>1</v>
      </c>
      <c r="BE185" s="190">
        <v>14043458</v>
      </c>
      <c r="BF185" s="190">
        <v>1884923</v>
      </c>
      <c r="BG185" s="54">
        <v>1244363</v>
      </c>
      <c r="BH185" s="191">
        <f t="shared" si="184"/>
        <v>15928381</v>
      </c>
      <c r="BI185" s="178">
        <f t="shared" si="185"/>
        <v>7.8122377911477638</v>
      </c>
      <c r="BJ185" s="294" t="str">
        <f t="shared" si="199"/>
        <v>금속/비금속/화학업</v>
      </c>
      <c r="BK185" s="192">
        <f t="shared" si="200"/>
        <v>3.9534118626990464</v>
      </c>
      <c r="BL185" s="193">
        <f t="shared" si="201"/>
        <v>3.8588259284487174</v>
      </c>
      <c r="BM185" s="241">
        <f t="shared" si="202"/>
        <v>40</v>
      </c>
      <c r="BN185" s="47">
        <f t="shared" si="203"/>
        <v>0.8</v>
      </c>
      <c r="BO185" s="54">
        <v>3474000</v>
      </c>
      <c r="BP185" s="194">
        <f t="shared" si="186"/>
        <v>0.72430710231672002</v>
      </c>
      <c r="BQ185" s="179">
        <f t="shared" si="204"/>
        <v>70</v>
      </c>
      <c r="BR185" s="30">
        <f t="shared" si="236"/>
        <v>1.4000000000000001</v>
      </c>
      <c r="BS185" s="195">
        <v>36359771.012000002</v>
      </c>
      <c r="BT185" s="195">
        <v>183771.46299999999</v>
      </c>
      <c r="BU185" s="196">
        <f t="shared" si="205"/>
        <v>36175999.549000002</v>
      </c>
      <c r="BV185" s="178">
        <f t="shared" si="187"/>
        <v>7.5424678775898562</v>
      </c>
      <c r="BW185" s="192">
        <f t="shared" si="206"/>
        <v>5.1474158565187729</v>
      </c>
      <c r="BX185" s="192">
        <f t="shared" si="207"/>
        <v>5.7362741836366808</v>
      </c>
      <c r="BY185" s="192">
        <f t="shared" si="208"/>
        <v>6.6930498535228526</v>
      </c>
      <c r="BZ185" s="192">
        <f t="shared" si="209"/>
        <v>36.023090872114508</v>
      </c>
      <c r="CA185" s="192">
        <f t="shared" si="188"/>
        <v>55</v>
      </c>
      <c r="CB185" s="55">
        <f t="shared" si="210"/>
        <v>1.1000000000000001</v>
      </c>
      <c r="CC185" s="197">
        <f t="shared" si="237"/>
        <v>39.723493102420925</v>
      </c>
      <c r="CD185" s="198">
        <f t="shared" si="238"/>
        <v>85.40571867999212</v>
      </c>
      <c r="CE185" s="58">
        <f t="shared" si="239"/>
        <v>1.2810857801998818</v>
      </c>
      <c r="CF185" s="245" t="s">
        <v>2326</v>
      </c>
      <c r="CG185" s="245" t="s">
        <v>2326</v>
      </c>
      <c r="CH185" s="245" t="s">
        <v>2326</v>
      </c>
      <c r="CI185" s="245" t="s">
        <v>2326</v>
      </c>
      <c r="CJ185" s="235"/>
      <c r="CK185" s="173" t="s">
        <v>2491</v>
      </c>
      <c r="CL185" s="173" t="s">
        <v>2478</v>
      </c>
      <c r="CM185" s="199">
        <f t="shared" si="211"/>
        <v>25</v>
      </c>
      <c r="CN185" s="58">
        <f t="shared" si="240"/>
        <v>0.375</v>
      </c>
      <c r="CO185" s="54">
        <f>(478391-1704-80-213)*1000</f>
        <v>476394000</v>
      </c>
      <c r="CP185" s="186">
        <f t="shared" si="189"/>
        <v>56.539321413116596</v>
      </c>
      <c r="CQ185" s="179">
        <f t="shared" si="212"/>
        <v>40</v>
      </c>
      <c r="CR185" s="30">
        <f t="shared" si="241"/>
        <v>1.2</v>
      </c>
      <c r="CS185" s="200">
        <f>_xlfn.XLOOKUP(C185, '1-1. 관계사체무보증금액 (환율 등)'!$3:$3, '1-1. 관계사체무보증금액 (환율 등)'!$33:$33)</f>
        <v>120000000</v>
      </c>
      <c r="CT185" s="178">
        <f t="shared" si="190"/>
        <v>14.241822041364902</v>
      </c>
      <c r="CU185" s="179">
        <f t="shared" si="213"/>
        <v>60</v>
      </c>
      <c r="CV185" s="30">
        <f t="shared" si="242"/>
        <v>1.2</v>
      </c>
      <c r="CW185" s="72">
        <f t="shared" si="218"/>
        <v>16.173403201797296</v>
      </c>
    </row>
    <row r="186" spans="1:101" x14ac:dyDescent="0.6">
      <c r="A186" s="214" t="s">
        <v>22</v>
      </c>
      <c r="B186" s="13" t="s">
        <v>2166</v>
      </c>
      <c r="C186" s="219" t="s">
        <v>426</v>
      </c>
      <c r="D186" s="216" t="s">
        <v>191</v>
      </c>
      <c r="E186" s="217" t="s">
        <v>1029</v>
      </c>
      <c r="F186" s="217" t="s">
        <v>169</v>
      </c>
      <c r="G186" s="218">
        <v>32492</v>
      </c>
      <c r="H186" s="217" t="s">
        <v>830</v>
      </c>
      <c r="I186" s="217" t="s">
        <v>235</v>
      </c>
      <c r="J186" s="217" t="s">
        <v>1180</v>
      </c>
      <c r="K186" s="217" t="s">
        <v>91</v>
      </c>
      <c r="L186" s="220">
        <v>790607841</v>
      </c>
      <c r="M186" s="206">
        <v>88403731</v>
      </c>
      <c r="N186" s="206">
        <v>702204110</v>
      </c>
      <c r="O186" s="206">
        <v>598684604</v>
      </c>
      <c r="P186" s="206">
        <v>76947409</v>
      </c>
      <c r="Q186" s="206">
        <v>87571953</v>
      </c>
      <c r="R186" s="206">
        <v>64953978</v>
      </c>
      <c r="S186" s="207">
        <v>8956502</v>
      </c>
      <c r="T186" s="207">
        <v>0</v>
      </c>
      <c r="U186" s="207">
        <v>4226310</v>
      </c>
      <c r="V186" s="207">
        <f>71000+55120+6660+6580</f>
        <v>139360</v>
      </c>
      <c r="W186" s="207">
        <v>0</v>
      </c>
      <c r="X186" s="207">
        <v>0</v>
      </c>
      <c r="Z186" s="207">
        <v>91000</v>
      </c>
      <c r="AA186" s="207">
        <v>0</v>
      </c>
      <c r="AB186" s="176">
        <f t="shared" si="214"/>
        <v>4456670</v>
      </c>
      <c r="AC186" s="177">
        <f t="shared" si="191"/>
        <v>49.759046556345318</v>
      </c>
      <c r="AD186" s="177">
        <f t="shared" si="215"/>
        <v>57.141214134339485</v>
      </c>
      <c r="AE186" s="26">
        <f t="shared" si="231"/>
        <v>1.7142364240301844</v>
      </c>
      <c r="AF186" s="178">
        <f t="shared" si="192"/>
        <v>48.743024899676236</v>
      </c>
      <c r="AG186" s="178">
        <f t="shared" si="193"/>
        <v>49.759046556345318</v>
      </c>
      <c r="AH186" s="178">
        <f t="shared" si="216"/>
        <v>1.0160216566690821</v>
      </c>
      <c r="AI186" s="179">
        <f t="shared" si="217"/>
        <v>100</v>
      </c>
      <c r="AJ186" s="30">
        <f t="shared" si="232"/>
        <v>4</v>
      </c>
      <c r="AK186" s="204">
        <v>8</v>
      </c>
      <c r="AL186" s="204">
        <v>10</v>
      </c>
      <c r="AM186" s="180">
        <v>1</v>
      </c>
      <c r="AN186" s="181">
        <f t="shared" si="178"/>
        <v>18</v>
      </c>
      <c r="AO186" s="182">
        <f t="shared" si="179"/>
        <v>5.5555555555555554</v>
      </c>
      <c r="AP186" s="183">
        <f t="shared" si="194"/>
        <v>100</v>
      </c>
      <c r="AQ186" s="38">
        <f t="shared" si="233"/>
        <v>2</v>
      </c>
      <c r="AR186" s="212">
        <v>2</v>
      </c>
      <c r="AS186" s="292">
        <f t="shared" si="180"/>
        <v>0.25</v>
      </c>
      <c r="AT186" s="185">
        <f t="shared" si="181"/>
        <v>2</v>
      </c>
      <c r="AU186" s="185">
        <f t="shared" si="195"/>
        <v>2</v>
      </c>
      <c r="AV186" s="186">
        <f t="shared" si="182"/>
        <v>0</v>
      </c>
      <c r="AW186" s="179">
        <f t="shared" si="196"/>
        <v>40</v>
      </c>
      <c r="AX186" s="239">
        <f t="shared" si="234"/>
        <v>0.4</v>
      </c>
      <c r="AY186" s="54">
        <v>5</v>
      </c>
      <c r="AZ186" s="54">
        <v>10</v>
      </c>
      <c r="BA186" s="189">
        <f t="shared" si="183"/>
        <v>10</v>
      </c>
      <c r="BB186" s="178">
        <f t="shared" si="197"/>
        <v>100</v>
      </c>
      <c r="BC186" s="179">
        <f t="shared" si="198"/>
        <v>100</v>
      </c>
      <c r="BD186" s="30">
        <f t="shared" si="235"/>
        <v>1</v>
      </c>
      <c r="BE186" s="190">
        <v>7292925.767</v>
      </c>
      <c r="BF186" s="190">
        <v>744653.2</v>
      </c>
      <c r="BG186" s="54">
        <v>176974.041</v>
      </c>
      <c r="BH186" s="191">
        <f t="shared" si="184"/>
        <v>8037578.9670000002</v>
      </c>
      <c r="BI186" s="178">
        <f t="shared" si="185"/>
        <v>2.2018326877608891</v>
      </c>
      <c r="BJ186" s="294" t="str">
        <f t="shared" si="199"/>
        <v>식약/섬유/종이업</v>
      </c>
      <c r="BK186" s="192">
        <f t="shared" si="200"/>
        <v>2.1999360555264444</v>
      </c>
      <c r="BL186" s="193">
        <f t="shared" si="201"/>
        <v>1.8966322344446951E-3</v>
      </c>
      <c r="BM186" s="241">
        <f t="shared" si="202"/>
        <v>60</v>
      </c>
      <c r="BN186" s="47">
        <f t="shared" si="203"/>
        <v>1.2</v>
      </c>
      <c r="BO186" s="54">
        <v>415000</v>
      </c>
      <c r="BP186" s="194">
        <f t="shared" si="186"/>
        <v>6.9318635760341016E-2</v>
      </c>
      <c r="BQ186" s="179">
        <f t="shared" si="204"/>
        <v>40</v>
      </c>
      <c r="BR186" s="30">
        <f t="shared" si="236"/>
        <v>0.8</v>
      </c>
      <c r="BS186" s="195">
        <v>21057624.973999999</v>
      </c>
      <c r="BT186" s="195">
        <f>(372702460+1839000000)/1000</f>
        <v>2211702.46</v>
      </c>
      <c r="BU186" s="196">
        <f t="shared" si="205"/>
        <v>18845922.513999999</v>
      </c>
      <c r="BV186" s="178">
        <f t="shared" si="187"/>
        <v>3.1478882850977739</v>
      </c>
      <c r="BW186" s="192">
        <f t="shared" si="206"/>
        <v>5.0508176117342281</v>
      </c>
      <c r="BX186" s="192">
        <f t="shared" si="207"/>
        <v>3.6211400221730692</v>
      </c>
      <c r="BY186" s="192">
        <f t="shared" si="208"/>
        <v>6.9871618081220941</v>
      </c>
      <c r="BZ186" s="192">
        <f t="shared" si="209"/>
        <v>60.73222119224193</v>
      </c>
      <c r="CA186" s="192">
        <f t="shared" si="188"/>
        <v>40</v>
      </c>
      <c r="CB186" s="55">
        <f t="shared" si="210"/>
        <v>0.8</v>
      </c>
      <c r="CC186" s="197">
        <f t="shared" si="237"/>
        <v>12.589463624757194</v>
      </c>
      <c r="CD186" s="198">
        <f t="shared" si="238"/>
        <v>95.632111699212118</v>
      </c>
      <c r="CE186" s="58">
        <f t="shared" si="239"/>
        <v>1.4344816754881817</v>
      </c>
      <c r="CF186" s="245" t="s">
        <v>2326</v>
      </c>
      <c r="CG186" s="245" t="s">
        <v>2326</v>
      </c>
      <c r="CH186" s="245" t="s">
        <v>2326</v>
      </c>
      <c r="CI186" s="245" t="s">
        <v>2326</v>
      </c>
      <c r="CJ186" s="235"/>
      <c r="CK186" s="173" t="s">
        <v>2491</v>
      </c>
      <c r="CL186" s="173" t="s">
        <v>2478</v>
      </c>
      <c r="CM186" s="199">
        <f t="shared" si="211"/>
        <v>25</v>
      </c>
      <c r="CN186" s="58">
        <f t="shared" si="240"/>
        <v>0.375</v>
      </c>
      <c r="CO186" s="54">
        <v>220501000</v>
      </c>
      <c r="CP186" s="186">
        <f t="shared" si="189"/>
        <v>31.401268784940605</v>
      </c>
      <c r="CQ186" s="179">
        <f t="shared" si="212"/>
        <v>60</v>
      </c>
      <c r="CR186" s="30">
        <f t="shared" si="241"/>
        <v>1.7999999999999998</v>
      </c>
      <c r="CS186" s="200">
        <f>_xlfn.XLOOKUP(C186, '1-1. 관계사체무보증금액 (환율 등)'!$3:$3, '1-1. 관계사체무보증금액 (환율 등)'!$33:$33)</f>
        <v>0</v>
      </c>
      <c r="CT186" s="178">
        <f t="shared" si="190"/>
        <v>0</v>
      </c>
      <c r="CU186" s="179">
        <f t="shared" si="213"/>
        <v>100</v>
      </c>
      <c r="CV186" s="30">
        <f t="shared" si="242"/>
        <v>2</v>
      </c>
      <c r="CW186" s="72">
        <f t="shared" si="218"/>
        <v>17.523718099518369</v>
      </c>
    </row>
    <row r="187" spans="1:101" x14ac:dyDescent="0.6">
      <c r="A187" s="214" t="s">
        <v>6</v>
      </c>
      <c r="B187" s="13" t="s">
        <v>2167</v>
      </c>
      <c r="C187" s="219" t="s">
        <v>558</v>
      </c>
      <c r="D187" s="216" t="s">
        <v>285</v>
      </c>
      <c r="E187" s="217" t="s">
        <v>245</v>
      </c>
      <c r="F187" s="217" t="s">
        <v>236</v>
      </c>
      <c r="G187" s="218">
        <v>40389</v>
      </c>
      <c r="H187" s="217" t="s">
        <v>830</v>
      </c>
      <c r="I187" s="217" t="s">
        <v>791</v>
      </c>
      <c r="J187" s="217" t="s">
        <v>1189</v>
      </c>
      <c r="K187" s="217" t="s">
        <v>91</v>
      </c>
      <c r="L187" s="220">
        <v>825178689</v>
      </c>
      <c r="M187" s="206">
        <v>439685810</v>
      </c>
      <c r="N187" s="206">
        <v>385492879</v>
      </c>
      <c r="O187" s="206">
        <v>2678991235</v>
      </c>
      <c r="P187" s="206">
        <v>35714794</v>
      </c>
      <c r="Q187" s="206">
        <v>39761445</v>
      </c>
      <c r="R187" s="206">
        <v>36294420</v>
      </c>
      <c r="S187" s="207">
        <v>33428840</v>
      </c>
      <c r="T187" s="207">
        <v>1964500</v>
      </c>
      <c r="U187" s="207">
        <v>14380000</v>
      </c>
      <c r="V187" s="207">
        <v>0</v>
      </c>
      <c r="W187" s="207">
        <f>30000+2000</f>
        <v>32000</v>
      </c>
      <c r="X187" s="207">
        <v>0</v>
      </c>
      <c r="Z187" s="207">
        <v>0</v>
      </c>
      <c r="AA187" s="207">
        <v>0</v>
      </c>
      <c r="AB187" s="176">
        <f t="shared" si="214"/>
        <v>14412000</v>
      </c>
      <c r="AC187" s="177">
        <f t="shared" si="191"/>
        <v>43.112474139096662</v>
      </c>
      <c r="AD187" s="177">
        <f t="shared" si="215"/>
        <v>62.877611502505765</v>
      </c>
      <c r="AE187" s="26">
        <f t="shared" si="231"/>
        <v>1.8863283450751729</v>
      </c>
      <c r="AF187" s="178">
        <f t="shared" si="192"/>
        <v>45.702531818560317</v>
      </c>
      <c r="AG187" s="178">
        <f t="shared" si="193"/>
        <v>45.804234253761564</v>
      </c>
      <c r="AH187" s="178">
        <f t="shared" si="216"/>
        <v>0.101702435201247</v>
      </c>
      <c r="AI187" s="179">
        <f t="shared" si="217"/>
        <v>100</v>
      </c>
      <c r="AJ187" s="30">
        <f t="shared" si="232"/>
        <v>4</v>
      </c>
      <c r="AK187" s="204">
        <v>6</v>
      </c>
      <c r="AL187" s="204">
        <v>9</v>
      </c>
      <c r="AM187" s="180">
        <v>1</v>
      </c>
      <c r="AN187" s="181">
        <f t="shared" si="178"/>
        <v>15</v>
      </c>
      <c r="AO187" s="182">
        <f t="shared" si="179"/>
        <v>6.666666666666667</v>
      </c>
      <c r="AP187" s="183">
        <f t="shared" si="194"/>
        <v>100</v>
      </c>
      <c r="AQ187" s="38">
        <f t="shared" si="233"/>
        <v>2</v>
      </c>
      <c r="AR187" s="212">
        <v>3</v>
      </c>
      <c r="AS187" s="292">
        <f t="shared" si="180"/>
        <v>0.25</v>
      </c>
      <c r="AT187" s="185">
        <f t="shared" si="181"/>
        <v>1.5</v>
      </c>
      <c r="AU187" s="185">
        <f t="shared" si="195"/>
        <v>1</v>
      </c>
      <c r="AV187" s="186">
        <f t="shared" si="182"/>
        <v>33.333333333333329</v>
      </c>
      <c r="AW187" s="179">
        <f t="shared" si="196"/>
        <v>80</v>
      </c>
      <c r="AX187" s="239">
        <f t="shared" si="234"/>
        <v>0.8</v>
      </c>
      <c r="AY187" s="54">
        <v>8</v>
      </c>
      <c r="AZ187" s="54">
        <f>23</f>
        <v>23</v>
      </c>
      <c r="BA187" s="189">
        <f t="shared" si="183"/>
        <v>24</v>
      </c>
      <c r="BB187" s="178">
        <f t="shared" si="197"/>
        <v>95.833333333333343</v>
      </c>
      <c r="BC187" s="179">
        <f t="shared" si="198"/>
        <v>100</v>
      </c>
      <c r="BD187" s="30">
        <f t="shared" si="235"/>
        <v>1</v>
      </c>
      <c r="BE187" s="190">
        <v>28436021</v>
      </c>
      <c r="BF187" s="190">
        <v>2434964</v>
      </c>
      <c r="BG187" s="54">
        <v>718512</v>
      </c>
      <c r="BH187" s="191">
        <f t="shared" si="184"/>
        <v>30870985</v>
      </c>
      <c r="BI187" s="178">
        <f t="shared" si="185"/>
        <v>2.3274670374139341</v>
      </c>
      <c r="BJ187" s="294" t="str">
        <f t="shared" si="199"/>
        <v>비제조/서비스업</v>
      </c>
      <c r="BK187" s="192">
        <f t="shared" si="200"/>
        <v>1.7464434573900924</v>
      </c>
      <c r="BL187" s="193">
        <f t="shared" si="201"/>
        <v>0.58102358002384169</v>
      </c>
      <c r="BM187" s="241">
        <f t="shared" si="202"/>
        <v>60</v>
      </c>
      <c r="BN187" s="47">
        <f t="shared" si="203"/>
        <v>1.2</v>
      </c>
      <c r="BO187" s="54">
        <v>0</v>
      </c>
      <c r="BP187" s="194">
        <f t="shared" si="186"/>
        <v>0</v>
      </c>
      <c r="BQ187" s="179">
        <f t="shared" si="204"/>
        <v>25</v>
      </c>
      <c r="BR187" s="30">
        <f t="shared" si="236"/>
        <v>0.5</v>
      </c>
      <c r="BS187" s="195">
        <v>2616420.9360000002</v>
      </c>
      <c r="BT187" s="195">
        <v>156113.64300000001</v>
      </c>
      <c r="BU187" s="196">
        <f t="shared" si="205"/>
        <v>2460307.2930000001</v>
      </c>
      <c r="BV187" s="178">
        <f t="shared" si="187"/>
        <v>9.183707885479514E-2</v>
      </c>
      <c r="BW187" s="192">
        <f t="shared" si="206"/>
        <v>2.8482825397737606</v>
      </c>
      <c r="BX187" s="192">
        <f t="shared" si="207"/>
        <v>7.5979915790207677</v>
      </c>
      <c r="BY187" s="192">
        <f t="shared" si="208"/>
        <v>5.5697595856656799</v>
      </c>
      <c r="BZ187" s="192">
        <f t="shared" si="209"/>
        <v>68.966283490919309</v>
      </c>
      <c r="CA187" s="192">
        <f t="shared" si="188"/>
        <v>40</v>
      </c>
      <c r="CB187" s="55">
        <f t="shared" si="210"/>
        <v>0.8</v>
      </c>
      <c r="CC187" s="197">
        <f t="shared" si="237"/>
        <v>114.05808873579737</v>
      </c>
      <c r="CD187" s="198">
        <f t="shared" si="238"/>
        <v>57.390167561885413</v>
      </c>
      <c r="CE187" s="58">
        <f t="shared" si="239"/>
        <v>0.86085251342828117</v>
      </c>
      <c r="CF187" s="245" t="s">
        <v>2326</v>
      </c>
      <c r="CG187" s="245" t="s">
        <v>2326</v>
      </c>
      <c r="CH187" s="245" t="s">
        <v>2326</v>
      </c>
      <c r="CI187" s="245" t="s">
        <v>2326</v>
      </c>
      <c r="CJ187" s="235"/>
      <c r="CK187" s="173" t="s">
        <v>2511</v>
      </c>
      <c r="CL187" s="173" t="s">
        <v>2487</v>
      </c>
      <c r="CM187" s="199">
        <f t="shared" si="211"/>
        <v>70</v>
      </c>
      <c r="CN187" s="58">
        <f t="shared" si="240"/>
        <v>1.05</v>
      </c>
      <c r="CO187" s="54">
        <v>155003000</v>
      </c>
      <c r="CP187" s="186">
        <f t="shared" si="189"/>
        <v>40.20904365395554</v>
      </c>
      <c r="CQ187" s="179">
        <f t="shared" si="212"/>
        <v>40</v>
      </c>
      <c r="CR187" s="30">
        <f t="shared" si="241"/>
        <v>1.2</v>
      </c>
      <c r="CS187" s="200">
        <f>_xlfn.XLOOKUP(C187, '1-1. 관계사체무보증금액 (환율 등)'!$3:$3, '1-1. 관계사체무보증금액 (환율 등)'!$33:$33)</f>
        <v>76252531.645569623</v>
      </c>
      <c r="CT187" s="178">
        <f t="shared" si="190"/>
        <v>19.780529239184631</v>
      </c>
      <c r="CU187" s="179">
        <f t="shared" si="213"/>
        <v>60</v>
      </c>
      <c r="CV187" s="30">
        <f t="shared" si="242"/>
        <v>1.2</v>
      </c>
      <c r="CW187" s="72">
        <f t="shared" si="218"/>
        <v>16.497180858503455</v>
      </c>
    </row>
    <row r="188" spans="1:101" x14ac:dyDescent="0.6">
      <c r="A188" s="214" t="s">
        <v>1740</v>
      </c>
      <c r="B188" s="13" t="s">
        <v>2168</v>
      </c>
      <c r="C188" s="219" t="s">
        <v>1741</v>
      </c>
      <c r="D188" s="14" t="s">
        <v>203</v>
      </c>
      <c r="E188" s="217" t="s">
        <v>1179</v>
      </c>
      <c r="F188" s="217" t="s">
        <v>1742</v>
      </c>
      <c r="G188" s="218">
        <v>31439</v>
      </c>
      <c r="H188" s="217" t="s">
        <v>830</v>
      </c>
      <c r="I188" s="217" t="s">
        <v>1743</v>
      </c>
      <c r="J188" s="217" t="s">
        <v>1744</v>
      </c>
      <c r="K188" s="217" t="s">
        <v>91</v>
      </c>
      <c r="L188" s="220">
        <v>3153017076</v>
      </c>
      <c r="M188" s="206">
        <v>1770069189</v>
      </c>
      <c r="N188" s="206">
        <v>1382947887</v>
      </c>
      <c r="O188" s="206">
        <v>1806485573</v>
      </c>
      <c r="P188" s="206">
        <v>305824732</v>
      </c>
      <c r="Q188" s="206">
        <v>260984230</v>
      </c>
      <c r="R188" s="206">
        <v>190493378</v>
      </c>
      <c r="S188" s="207">
        <v>30892606</v>
      </c>
      <c r="T188" s="207">
        <v>705630</v>
      </c>
      <c r="U188" s="207">
        <f>2449512+13743443</f>
        <v>16192955</v>
      </c>
      <c r="V188" s="207">
        <f>17600+337314</f>
        <v>354914</v>
      </c>
      <c r="W188" s="207">
        <f>62136+15806+3375+31856+31705+759+759+406</f>
        <v>146802</v>
      </c>
      <c r="X188" s="207">
        <v>300000</v>
      </c>
      <c r="Y188" s="208" t="s">
        <v>2446</v>
      </c>
      <c r="Z188" s="207">
        <v>0</v>
      </c>
      <c r="AA188" s="207">
        <v>0</v>
      </c>
      <c r="AB188" s="176">
        <f t="shared" si="214"/>
        <v>16994671</v>
      </c>
      <c r="AC188" s="177">
        <f t="shared" si="191"/>
        <v>55.012099011653468</v>
      </c>
      <c r="AD188" s="177">
        <f t="shared" si="215"/>
        <v>52.607509483613235</v>
      </c>
      <c r="AE188" s="26">
        <f t="shared" si="231"/>
        <v>1.5782252845083971</v>
      </c>
      <c r="AF188" s="178">
        <f t="shared" si="192"/>
        <v>54.817908888919511</v>
      </c>
      <c r="AG188" s="178">
        <f t="shared" si="193"/>
        <v>56.298024022015326</v>
      </c>
      <c r="AH188" s="178">
        <f t="shared" si="216"/>
        <v>1.4801151330958149</v>
      </c>
      <c r="AI188" s="179">
        <f t="shared" si="217"/>
        <v>100</v>
      </c>
      <c r="AJ188" s="30">
        <f t="shared" si="232"/>
        <v>4</v>
      </c>
      <c r="AK188" s="204">
        <v>10</v>
      </c>
      <c r="AL188" s="204">
        <v>6</v>
      </c>
      <c r="AM188" s="204">
        <v>1</v>
      </c>
      <c r="AN188" s="181">
        <f t="shared" si="178"/>
        <v>16</v>
      </c>
      <c r="AO188" s="182">
        <f t="shared" si="179"/>
        <v>6.25</v>
      </c>
      <c r="AP188" s="183">
        <f t="shared" si="194"/>
        <v>100</v>
      </c>
      <c r="AQ188" s="38">
        <f t="shared" si="233"/>
        <v>2</v>
      </c>
      <c r="AR188" s="212">
        <v>6</v>
      </c>
      <c r="AS188" s="292">
        <f t="shared" si="180"/>
        <v>0.5</v>
      </c>
      <c r="AT188" s="185">
        <f t="shared" si="181"/>
        <v>5</v>
      </c>
      <c r="AU188" s="185">
        <f t="shared" si="195"/>
        <v>5</v>
      </c>
      <c r="AV188" s="186">
        <f t="shared" si="182"/>
        <v>10</v>
      </c>
      <c r="AW188" s="179">
        <f t="shared" si="196"/>
        <v>60</v>
      </c>
      <c r="AX188" s="239">
        <f t="shared" si="234"/>
        <v>0.6</v>
      </c>
      <c r="AY188" s="54">
        <v>17</v>
      </c>
      <c r="AZ188" s="54">
        <f>17*6-5-10</f>
        <v>87</v>
      </c>
      <c r="BA188" s="189">
        <f t="shared" si="183"/>
        <v>102</v>
      </c>
      <c r="BB188" s="178">
        <f t="shared" si="197"/>
        <v>85.294117647058826</v>
      </c>
      <c r="BC188" s="179">
        <f t="shared" si="198"/>
        <v>75</v>
      </c>
      <c r="BD188" s="30">
        <f t="shared" si="235"/>
        <v>0.75</v>
      </c>
      <c r="BE188" s="190">
        <v>26548957</v>
      </c>
      <c r="BF188" s="190">
        <v>2742563</v>
      </c>
      <c r="BG188" s="54">
        <v>2096664</v>
      </c>
      <c r="BH188" s="191">
        <f t="shared" si="184"/>
        <v>29291520</v>
      </c>
      <c r="BI188" s="178">
        <f t="shared" si="185"/>
        <v>7.1579214735186154</v>
      </c>
      <c r="BJ188" s="294" t="str">
        <f t="shared" si="199"/>
        <v>금속/비금속/화학업</v>
      </c>
      <c r="BK188" s="192">
        <f t="shared" si="200"/>
        <v>3.9534118626990464</v>
      </c>
      <c r="BL188" s="193">
        <f t="shared" si="201"/>
        <v>3.204509610819569</v>
      </c>
      <c r="BM188" s="241">
        <f t="shared" si="202"/>
        <v>40</v>
      </c>
      <c r="BN188" s="47">
        <f t="shared" si="203"/>
        <v>0.8</v>
      </c>
      <c r="BO188" s="54">
        <v>2890000</v>
      </c>
      <c r="BP188" s="194">
        <f t="shared" si="186"/>
        <v>0.15997913535509867</v>
      </c>
      <c r="BQ188" s="179">
        <f t="shared" si="204"/>
        <v>55</v>
      </c>
      <c r="BR188" s="30">
        <f t="shared" si="236"/>
        <v>1.1000000000000001</v>
      </c>
      <c r="BS188" s="195">
        <v>8978610.6899999995</v>
      </c>
      <c r="BT188" s="195">
        <v>72756.618000000002</v>
      </c>
      <c r="BU188" s="196">
        <f t="shared" si="205"/>
        <v>8905854.0719999988</v>
      </c>
      <c r="BV188" s="178">
        <f t="shared" si="187"/>
        <v>0.49299336817897732</v>
      </c>
      <c r="BW188" s="192">
        <f t="shared" si="206"/>
        <v>5.1474158565187729</v>
      </c>
      <c r="BX188" s="192">
        <f t="shared" si="207"/>
        <v>21.663648699963215</v>
      </c>
      <c r="BY188" s="192">
        <f t="shared" si="208"/>
        <v>6.6930498535228526</v>
      </c>
      <c r="BZ188" s="192">
        <f t="shared" si="209"/>
        <v>75.660120899540701</v>
      </c>
      <c r="CA188" s="192">
        <f t="shared" si="188"/>
        <v>40</v>
      </c>
      <c r="CB188" s="55">
        <f t="shared" si="210"/>
        <v>0.8</v>
      </c>
      <c r="CC188" s="197">
        <f t="shared" si="237"/>
        <v>127.99247214150449</v>
      </c>
      <c r="CD188" s="198">
        <f t="shared" si="238"/>
        <v>52.138515524558606</v>
      </c>
      <c r="CE188" s="58">
        <f t="shared" si="239"/>
        <v>0.78207773286837912</v>
      </c>
      <c r="CF188" s="245" t="s">
        <v>2326</v>
      </c>
      <c r="CG188" s="245" t="s">
        <v>2326</v>
      </c>
      <c r="CH188" s="245" t="s">
        <v>2326</v>
      </c>
      <c r="CI188" s="245" t="s">
        <v>2326</v>
      </c>
      <c r="CJ188" s="235"/>
      <c r="CK188" s="173" t="s">
        <v>2501</v>
      </c>
      <c r="CL188" s="173" t="s">
        <v>2493</v>
      </c>
      <c r="CM188" s="199">
        <f t="shared" si="211"/>
        <v>40</v>
      </c>
      <c r="CN188" s="58">
        <f t="shared" si="240"/>
        <v>0.6</v>
      </c>
      <c r="CO188" s="54">
        <v>106936000</v>
      </c>
      <c r="CP188" s="186">
        <f t="shared" si="189"/>
        <v>7.7324677961636015</v>
      </c>
      <c r="CQ188" s="179">
        <f t="shared" si="212"/>
        <v>80</v>
      </c>
      <c r="CR188" s="30">
        <f t="shared" si="241"/>
        <v>2.4</v>
      </c>
      <c r="CS188" s="200">
        <f>_xlfn.XLOOKUP(C188, '1-1. 관계사체무보증금액 (환율 등)'!$3:$3, '1-1. 관계사체무보증금액 (환율 등)'!$33:$33)</f>
        <v>7850000</v>
      </c>
      <c r="CT188" s="178">
        <f t="shared" si="190"/>
        <v>0.56762804107021281</v>
      </c>
      <c r="CU188" s="179">
        <f t="shared" si="213"/>
        <v>100</v>
      </c>
      <c r="CV188" s="30">
        <f t="shared" si="242"/>
        <v>2</v>
      </c>
      <c r="CW188" s="72">
        <f t="shared" si="218"/>
        <v>17.410303017376776</v>
      </c>
    </row>
    <row r="189" spans="1:101" x14ac:dyDescent="0.6">
      <c r="A189" s="214" t="s">
        <v>18</v>
      </c>
      <c r="B189" s="13" t="s">
        <v>2169</v>
      </c>
      <c r="C189" s="219" t="s">
        <v>912</v>
      </c>
      <c r="D189" s="216" t="s">
        <v>203</v>
      </c>
      <c r="E189" s="217" t="s">
        <v>188</v>
      </c>
      <c r="F189" s="217" t="s">
        <v>392</v>
      </c>
      <c r="G189" s="218">
        <v>43181</v>
      </c>
      <c r="H189" s="217" t="s">
        <v>830</v>
      </c>
      <c r="I189" s="217" t="s">
        <v>181</v>
      </c>
      <c r="J189" s="217" t="s">
        <v>1184</v>
      </c>
      <c r="K189" s="217" t="s">
        <v>91</v>
      </c>
      <c r="L189" s="220">
        <v>477316913</v>
      </c>
      <c r="M189" s="206">
        <v>117171080</v>
      </c>
      <c r="N189" s="206">
        <v>360145833</v>
      </c>
      <c r="O189" s="206">
        <v>589759237</v>
      </c>
      <c r="P189" s="206">
        <v>37545912</v>
      </c>
      <c r="Q189" s="206">
        <v>22571287</v>
      </c>
      <c r="R189" s="206">
        <v>16498602</v>
      </c>
      <c r="S189" s="207">
        <v>26409935</v>
      </c>
      <c r="T189" s="207">
        <v>200010</v>
      </c>
      <c r="U189" s="207">
        <v>11904812</v>
      </c>
      <c r="V189" s="207">
        <f>32000+8000+1100</f>
        <v>41100</v>
      </c>
      <c r="W189" s="207">
        <f>1800+2000+4387+2000</f>
        <v>10187</v>
      </c>
      <c r="X189" s="207">
        <v>0</v>
      </c>
      <c r="Z189" s="207">
        <v>4767766</v>
      </c>
      <c r="AA189" s="207">
        <v>0</v>
      </c>
      <c r="AB189" s="176">
        <f t="shared" si="214"/>
        <v>16723865</v>
      </c>
      <c r="AC189" s="177">
        <f t="shared" si="191"/>
        <v>63.32414297876916</v>
      </c>
      <c r="AD189" s="177">
        <f t="shared" si="215"/>
        <v>45.433708591396012</v>
      </c>
      <c r="AE189" s="26">
        <f t="shared" si="231"/>
        <v>1.3630112577418803</v>
      </c>
      <c r="AF189" s="178">
        <f t="shared" si="192"/>
        <v>45.577818326454576</v>
      </c>
      <c r="AG189" s="178">
        <f t="shared" si="193"/>
        <v>63.807374496493217</v>
      </c>
      <c r="AH189" s="178">
        <f t="shared" si="216"/>
        <v>18.229556170038641</v>
      </c>
      <c r="AI189" s="179">
        <f t="shared" si="217"/>
        <v>80</v>
      </c>
      <c r="AJ189" s="30">
        <f t="shared" si="232"/>
        <v>3.2</v>
      </c>
      <c r="AK189" s="204">
        <v>8</v>
      </c>
      <c r="AL189" s="204">
        <v>6</v>
      </c>
      <c r="AM189" s="204">
        <v>0</v>
      </c>
      <c r="AN189" s="181">
        <f t="shared" si="178"/>
        <v>14</v>
      </c>
      <c r="AO189" s="182">
        <f t="shared" si="179"/>
        <v>0</v>
      </c>
      <c r="AP189" s="183">
        <f t="shared" si="194"/>
        <v>100</v>
      </c>
      <c r="AQ189" s="38">
        <f t="shared" si="233"/>
        <v>2</v>
      </c>
      <c r="AR189" s="212">
        <v>3</v>
      </c>
      <c r="AS189" s="292">
        <f t="shared" si="180"/>
        <v>0.25</v>
      </c>
      <c r="AT189" s="185">
        <f t="shared" si="181"/>
        <v>2</v>
      </c>
      <c r="AU189" s="185">
        <f t="shared" si="195"/>
        <v>2</v>
      </c>
      <c r="AV189" s="186">
        <f t="shared" si="182"/>
        <v>12.5</v>
      </c>
      <c r="AW189" s="179">
        <f t="shared" si="196"/>
        <v>60</v>
      </c>
      <c r="AX189" s="239">
        <f t="shared" si="234"/>
        <v>0.6</v>
      </c>
      <c r="AY189" s="54">
        <v>7</v>
      </c>
      <c r="AZ189" s="54">
        <v>20</v>
      </c>
      <c r="BA189" s="189">
        <f t="shared" si="183"/>
        <v>21</v>
      </c>
      <c r="BB189" s="178">
        <f t="shared" si="197"/>
        <v>95.238095238095227</v>
      </c>
      <c r="BC189" s="179">
        <f t="shared" si="198"/>
        <v>100</v>
      </c>
      <c r="BD189" s="30">
        <f t="shared" si="235"/>
        <v>1</v>
      </c>
      <c r="BE189" s="190">
        <v>34781101</v>
      </c>
      <c r="BF189" s="190">
        <v>3020233</v>
      </c>
      <c r="BG189" s="54">
        <v>331019</v>
      </c>
      <c r="BH189" s="191">
        <f t="shared" si="184"/>
        <v>37801334</v>
      </c>
      <c r="BI189" s="178">
        <f t="shared" si="185"/>
        <v>0.87568073655813305</v>
      </c>
      <c r="BJ189" s="294" t="str">
        <f t="shared" si="199"/>
        <v>금속/비금속/화학업</v>
      </c>
      <c r="BK189" s="192">
        <f t="shared" si="200"/>
        <v>3.9534118626990464</v>
      </c>
      <c r="BL189" s="193">
        <f t="shared" si="201"/>
        <v>-3.0777311261409133</v>
      </c>
      <c r="BM189" s="241">
        <f t="shared" si="202"/>
        <v>100</v>
      </c>
      <c r="BN189" s="47">
        <f t="shared" si="203"/>
        <v>2</v>
      </c>
      <c r="BO189" s="54">
        <f>(15166-196)*1000</f>
        <v>14970000</v>
      </c>
      <c r="BP189" s="194">
        <f t="shared" si="186"/>
        <v>2.5383239567640716</v>
      </c>
      <c r="BQ189" s="179">
        <f t="shared" si="204"/>
        <v>85</v>
      </c>
      <c r="BR189" s="30">
        <f t="shared" si="236"/>
        <v>1.7</v>
      </c>
      <c r="BS189" s="195">
        <v>22191029.092999998</v>
      </c>
      <c r="BT189" s="195">
        <v>501061.30300000001</v>
      </c>
      <c r="BU189" s="196">
        <f t="shared" si="205"/>
        <v>21689967.789999999</v>
      </c>
      <c r="BV189" s="178">
        <f t="shared" si="187"/>
        <v>3.6777665239010062</v>
      </c>
      <c r="BW189" s="192">
        <f t="shared" si="206"/>
        <v>5.1474158565187729</v>
      </c>
      <c r="BX189" s="192">
        <f t="shared" si="207"/>
        <v>2.1598691608638467</v>
      </c>
      <c r="BY189" s="192">
        <f t="shared" si="208"/>
        <v>6.6930498535228526</v>
      </c>
      <c r="BZ189" s="192">
        <f t="shared" si="209"/>
        <v>58.690025141350802</v>
      </c>
      <c r="CA189" s="192">
        <f t="shared" si="188"/>
        <v>55</v>
      </c>
      <c r="CB189" s="55">
        <f t="shared" si="210"/>
        <v>1.1000000000000001</v>
      </c>
      <c r="CC189" s="197">
        <f t="shared" si="237"/>
        <v>32.534342831060883</v>
      </c>
      <c r="CD189" s="198">
        <f t="shared" si="238"/>
        <v>88.115197425479565</v>
      </c>
      <c r="CE189" s="58">
        <f t="shared" si="239"/>
        <v>1.3217279613821935</v>
      </c>
      <c r="CF189" s="245" t="s">
        <v>2326</v>
      </c>
      <c r="CG189" s="245" t="s">
        <v>2326</v>
      </c>
      <c r="CH189" s="245" t="s">
        <v>2326</v>
      </c>
      <c r="CI189" s="245" t="s">
        <v>2326</v>
      </c>
      <c r="CJ189" s="235"/>
      <c r="CK189" s="173" t="s">
        <v>2491</v>
      </c>
      <c r="CL189" s="173" t="s">
        <v>2478</v>
      </c>
      <c r="CM189" s="199">
        <f t="shared" si="211"/>
        <v>25</v>
      </c>
      <c r="CN189" s="58">
        <f t="shared" si="240"/>
        <v>0.375</v>
      </c>
      <c r="CO189" s="54">
        <v>17331000</v>
      </c>
      <c r="CP189" s="186">
        <f t="shared" si="189"/>
        <v>4.8122172775493421</v>
      </c>
      <c r="CQ189" s="179">
        <f t="shared" si="212"/>
        <v>80</v>
      </c>
      <c r="CR189" s="30">
        <f t="shared" si="241"/>
        <v>2.4</v>
      </c>
      <c r="CS189" s="200">
        <f>_xlfn.XLOOKUP(C189, '1-1. 관계사체무보증금액 (환율 등)'!$3:$3, '1-1. 관계사체무보증금액 (환율 등)'!$33:$33)</f>
        <v>0</v>
      </c>
      <c r="CT189" s="178">
        <f t="shared" si="190"/>
        <v>0</v>
      </c>
      <c r="CU189" s="179">
        <f t="shared" si="213"/>
        <v>100</v>
      </c>
      <c r="CV189" s="30">
        <f t="shared" si="242"/>
        <v>2</v>
      </c>
      <c r="CW189" s="72">
        <f t="shared" si="218"/>
        <v>19.059739219124072</v>
      </c>
    </row>
    <row r="190" spans="1:101" x14ac:dyDescent="0.6">
      <c r="A190" s="214" t="s">
        <v>111</v>
      </c>
      <c r="B190" s="13" t="s">
        <v>2170</v>
      </c>
      <c r="C190" s="219" t="s">
        <v>482</v>
      </c>
      <c r="D190" s="216" t="s">
        <v>203</v>
      </c>
      <c r="E190" s="217" t="s">
        <v>180</v>
      </c>
      <c r="F190" s="217" t="s">
        <v>170</v>
      </c>
      <c r="G190" s="218">
        <v>41169</v>
      </c>
      <c r="H190" s="217" t="s">
        <v>830</v>
      </c>
      <c r="I190" s="217" t="s">
        <v>772</v>
      </c>
      <c r="J190" s="217" t="s">
        <v>390</v>
      </c>
      <c r="K190" s="217" t="s">
        <v>91</v>
      </c>
      <c r="L190" s="220">
        <v>1062980988</v>
      </c>
      <c r="M190" s="206">
        <v>365498356</v>
      </c>
      <c r="N190" s="206">
        <v>697482632</v>
      </c>
      <c r="O190" s="206">
        <v>1712779790</v>
      </c>
      <c r="P190" s="206">
        <v>90523569</v>
      </c>
      <c r="Q190" s="206">
        <v>88392901</v>
      </c>
      <c r="R190" s="206">
        <v>56304809</v>
      </c>
      <c r="S190" s="207">
        <v>48648709</v>
      </c>
      <c r="T190" s="207">
        <v>476432</v>
      </c>
      <c r="U190" s="207">
        <f>315493+30274778</f>
        <v>30590271</v>
      </c>
      <c r="V190" s="207">
        <f>286652+231367+90309+1061812</f>
        <v>1670140</v>
      </c>
      <c r="W190" s="207">
        <v>0</v>
      </c>
      <c r="X190" s="207">
        <v>0</v>
      </c>
      <c r="Z190" s="207">
        <v>0</v>
      </c>
      <c r="AA190" s="207">
        <v>0</v>
      </c>
      <c r="AB190" s="176">
        <f t="shared" si="214"/>
        <v>32260411</v>
      </c>
      <c r="AC190" s="177">
        <f t="shared" si="191"/>
        <v>66.312984790613868</v>
      </c>
      <c r="AD190" s="177">
        <f t="shared" si="215"/>
        <v>42.854155819378136</v>
      </c>
      <c r="AE190" s="26">
        <f t="shared" si="231"/>
        <v>1.285624674581344</v>
      </c>
      <c r="AF190" s="178">
        <f t="shared" si="192"/>
        <v>66.96883147126303</v>
      </c>
      <c r="AG190" s="178">
        <f t="shared" si="193"/>
        <v>66.96883147126303</v>
      </c>
      <c r="AH190" s="178">
        <f t="shared" si="216"/>
        <v>0</v>
      </c>
      <c r="AI190" s="179">
        <f t="shared" si="217"/>
        <v>100</v>
      </c>
      <c r="AJ190" s="30">
        <f t="shared" si="232"/>
        <v>4</v>
      </c>
      <c r="AK190" s="204">
        <v>8</v>
      </c>
      <c r="AL190" s="204">
        <v>9</v>
      </c>
      <c r="AM190" s="204">
        <v>1</v>
      </c>
      <c r="AN190" s="181">
        <f t="shared" si="178"/>
        <v>17</v>
      </c>
      <c r="AO190" s="182">
        <f t="shared" si="179"/>
        <v>5.8823529411764701</v>
      </c>
      <c r="AP190" s="183">
        <f t="shared" si="194"/>
        <v>100</v>
      </c>
      <c r="AQ190" s="38">
        <f t="shared" si="233"/>
        <v>2</v>
      </c>
      <c r="AR190" s="212">
        <v>3</v>
      </c>
      <c r="AS190" s="292">
        <f t="shared" si="180"/>
        <v>0.25</v>
      </c>
      <c r="AT190" s="185">
        <f t="shared" si="181"/>
        <v>2</v>
      </c>
      <c r="AU190" s="185">
        <f t="shared" si="195"/>
        <v>2</v>
      </c>
      <c r="AV190" s="186">
        <f t="shared" si="182"/>
        <v>12.5</v>
      </c>
      <c r="AW190" s="179">
        <f t="shared" si="196"/>
        <v>60</v>
      </c>
      <c r="AX190" s="239">
        <f t="shared" si="234"/>
        <v>0.6</v>
      </c>
      <c r="AY190" s="54">
        <v>12</v>
      </c>
      <c r="AZ190" s="54">
        <f>12*3-4-1</f>
        <v>31</v>
      </c>
      <c r="BA190" s="189">
        <f t="shared" si="183"/>
        <v>36</v>
      </c>
      <c r="BB190" s="178">
        <f t="shared" si="197"/>
        <v>86.111111111111114</v>
      </c>
      <c r="BC190" s="179">
        <f t="shared" si="198"/>
        <v>75</v>
      </c>
      <c r="BD190" s="30">
        <f t="shared" si="235"/>
        <v>0.75</v>
      </c>
      <c r="BE190" s="190">
        <v>16722562</v>
      </c>
      <c r="BF190" s="190">
        <v>1325645</v>
      </c>
      <c r="BG190" s="54">
        <v>587789</v>
      </c>
      <c r="BH190" s="191">
        <f t="shared" si="184"/>
        <v>18048207</v>
      </c>
      <c r="BI190" s="178">
        <f t="shared" si="185"/>
        <v>3.2567722655219988</v>
      </c>
      <c r="BJ190" s="294" t="str">
        <f t="shared" si="199"/>
        <v>금속/비금속/화학업</v>
      </c>
      <c r="BK190" s="192">
        <f t="shared" si="200"/>
        <v>3.9534118626990464</v>
      </c>
      <c r="BL190" s="193">
        <f t="shared" si="201"/>
        <v>-0.6966395971770476</v>
      </c>
      <c r="BM190" s="241">
        <f t="shared" si="202"/>
        <v>80</v>
      </c>
      <c r="BN190" s="47">
        <f t="shared" si="203"/>
        <v>1.6</v>
      </c>
      <c r="BO190" s="54">
        <v>19323000</v>
      </c>
      <c r="BP190" s="194">
        <f t="shared" si="186"/>
        <v>1.1281660440423578</v>
      </c>
      <c r="BQ190" s="179">
        <f t="shared" si="204"/>
        <v>70</v>
      </c>
      <c r="BR190" s="30">
        <f t="shared" si="236"/>
        <v>1.4000000000000001</v>
      </c>
      <c r="BS190" s="195">
        <v>36655415.68</v>
      </c>
      <c r="BT190" s="195">
        <v>488824.59399999998</v>
      </c>
      <c r="BU190" s="196">
        <f t="shared" si="205"/>
        <v>36166591.086000003</v>
      </c>
      <c r="BV190" s="178">
        <f t="shared" si="187"/>
        <v>2.1115727367380952</v>
      </c>
      <c r="BW190" s="192">
        <f t="shared" si="206"/>
        <v>5.1474158565187729</v>
      </c>
      <c r="BX190" s="192">
        <f t="shared" si="207"/>
        <v>9.2163434479196784</v>
      </c>
      <c r="BY190" s="192">
        <f t="shared" si="208"/>
        <v>6.6930498535228526</v>
      </c>
      <c r="BZ190" s="192">
        <f t="shared" si="209"/>
        <v>67.493493890771546</v>
      </c>
      <c r="CA190" s="192">
        <f t="shared" si="188"/>
        <v>40</v>
      </c>
      <c r="CB190" s="55">
        <f t="shared" si="210"/>
        <v>0.8</v>
      </c>
      <c r="CC190" s="197">
        <f t="shared" si="237"/>
        <v>52.402502833934363</v>
      </c>
      <c r="CD190" s="198">
        <f t="shared" si="238"/>
        <v>80.627197424396599</v>
      </c>
      <c r="CE190" s="58">
        <f t="shared" si="239"/>
        <v>1.209407961365949</v>
      </c>
      <c r="CF190" s="245" t="s">
        <v>2326</v>
      </c>
      <c r="CG190" s="245" t="s">
        <v>2326</v>
      </c>
      <c r="CH190" s="245" t="s">
        <v>2326</v>
      </c>
      <c r="CI190" s="245" t="s">
        <v>2326</v>
      </c>
      <c r="CJ190" s="235"/>
      <c r="CK190" s="173" t="s">
        <v>2491</v>
      </c>
      <c r="CL190" s="173" t="s">
        <v>2478</v>
      </c>
      <c r="CM190" s="199">
        <f t="shared" si="211"/>
        <v>25</v>
      </c>
      <c r="CN190" s="58">
        <f t="shared" si="240"/>
        <v>0.375</v>
      </c>
      <c r="CO190" s="54">
        <f>253993000-12431000-15000-2587000-2520000</f>
        <v>236440000</v>
      </c>
      <c r="CP190" s="186">
        <f t="shared" si="189"/>
        <v>33.899051983849255</v>
      </c>
      <c r="CQ190" s="179">
        <f t="shared" si="212"/>
        <v>60</v>
      </c>
      <c r="CR190" s="30">
        <f t="shared" si="241"/>
        <v>1.7999999999999998</v>
      </c>
      <c r="CS190" s="200">
        <f>_xlfn.XLOOKUP(C190, '1-1. 관계사체무보증금액 (환율 등)'!$3:$3, '1-1. 관계사체무보증금액 (환율 등)'!$33:$33)</f>
        <v>61070195.627157651</v>
      </c>
      <c r="CT190" s="178">
        <f t="shared" si="190"/>
        <v>8.7558016250586217</v>
      </c>
      <c r="CU190" s="179">
        <f t="shared" si="213"/>
        <v>80</v>
      </c>
      <c r="CV190" s="30">
        <f t="shared" si="242"/>
        <v>1.6</v>
      </c>
      <c r="CW190" s="72">
        <f t="shared" si="218"/>
        <v>17.420032635947294</v>
      </c>
    </row>
    <row r="191" spans="1:101" x14ac:dyDescent="0.6">
      <c r="A191" s="214" t="s">
        <v>1745</v>
      </c>
      <c r="B191" s="13" t="s">
        <v>2171</v>
      </c>
      <c r="C191" s="219" t="s">
        <v>1746</v>
      </c>
      <c r="D191" s="14" t="s">
        <v>202</v>
      </c>
      <c r="E191" s="217" t="s">
        <v>189</v>
      </c>
      <c r="F191" s="217" t="s">
        <v>1747</v>
      </c>
      <c r="G191" s="218">
        <v>44393</v>
      </c>
      <c r="H191" s="217" t="s">
        <v>830</v>
      </c>
      <c r="I191" s="217" t="s">
        <v>1748</v>
      </c>
      <c r="J191" s="217" t="s">
        <v>1749</v>
      </c>
      <c r="K191" s="217" t="s">
        <v>690</v>
      </c>
      <c r="L191" s="220">
        <v>3184712423</v>
      </c>
      <c r="M191" s="206">
        <v>268563685</v>
      </c>
      <c r="N191" s="206">
        <v>2916148739</v>
      </c>
      <c r="O191" s="206">
        <v>2820638098</v>
      </c>
      <c r="P191" s="206">
        <v>1115338664</v>
      </c>
      <c r="Q191" s="206">
        <v>1224820701</v>
      </c>
      <c r="R191" s="206">
        <v>903927973</v>
      </c>
      <c r="S191" s="207">
        <v>104383353</v>
      </c>
      <c r="T191" s="207">
        <v>2129887</v>
      </c>
      <c r="U191" s="207">
        <v>32589639</v>
      </c>
      <c r="V191" s="207">
        <f>120000+126135+45000+46764+26100+10400+18000</f>
        <v>392399</v>
      </c>
      <c r="W191" s="207">
        <f>4501989+483435+1000+220500+41500+88200+2100+642014+5000+344000+269200+180500+234716+36300+213420+41500+9600+6888+92100+214342</f>
        <v>7628304</v>
      </c>
      <c r="X191" s="207">
        <v>0</v>
      </c>
      <c r="Z191" s="207">
        <f>24649029+3181555</f>
        <v>27830584</v>
      </c>
      <c r="AA191" s="207">
        <v>0</v>
      </c>
      <c r="AB191" s="176">
        <f t="shared" si="214"/>
        <v>68440926</v>
      </c>
      <c r="AC191" s="177">
        <f t="shared" si="191"/>
        <v>65.566897434306398</v>
      </c>
      <c r="AD191" s="177">
        <f t="shared" si="215"/>
        <v>43.498074711473194</v>
      </c>
      <c r="AE191" s="26">
        <f t="shared" si="231"/>
        <v>1.3049422413441958</v>
      </c>
      <c r="AF191" s="178">
        <f t="shared" si="192"/>
        <v>32.255178518838669</v>
      </c>
      <c r="AG191" s="178">
        <f t="shared" si="193"/>
        <v>66.932622117669823</v>
      </c>
      <c r="AH191" s="178">
        <f t="shared" si="216"/>
        <v>34.677443598831154</v>
      </c>
      <c r="AI191" s="179">
        <f t="shared" si="217"/>
        <v>60</v>
      </c>
      <c r="AJ191" s="30">
        <f t="shared" si="232"/>
        <v>2.4</v>
      </c>
      <c r="AK191" s="204">
        <v>7</v>
      </c>
      <c r="AL191" s="204">
        <v>23</v>
      </c>
      <c r="AM191" s="204">
        <v>2</v>
      </c>
      <c r="AN191" s="181">
        <f t="shared" si="178"/>
        <v>30</v>
      </c>
      <c r="AO191" s="182">
        <f t="shared" si="179"/>
        <v>6.666666666666667</v>
      </c>
      <c r="AP191" s="183">
        <f t="shared" si="194"/>
        <v>100</v>
      </c>
      <c r="AQ191" s="38">
        <f t="shared" si="233"/>
        <v>2</v>
      </c>
      <c r="AR191" s="212">
        <v>4</v>
      </c>
      <c r="AS191" s="292">
        <f t="shared" si="180"/>
        <v>0.5</v>
      </c>
      <c r="AT191" s="185">
        <f t="shared" si="181"/>
        <v>3.5</v>
      </c>
      <c r="AU191" s="185">
        <f t="shared" si="195"/>
        <v>3</v>
      </c>
      <c r="AV191" s="186">
        <f t="shared" si="182"/>
        <v>14.285714285714285</v>
      </c>
      <c r="AW191" s="179">
        <f t="shared" si="196"/>
        <v>60</v>
      </c>
      <c r="AX191" s="239">
        <f t="shared" si="234"/>
        <v>0.6</v>
      </c>
      <c r="AY191" s="54">
        <v>17</v>
      </c>
      <c r="AZ191" s="54">
        <f>4*17-5</f>
        <v>63</v>
      </c>
      <c r="BA191" s="189">
        <f t="shared" si="183"/>
        <v>68</v>
      </c>
      <c r="BB191" s="178">
        <f t="shared" si="197"/>
        <v>92.64705882352942</v>
      </c>
      <c r="BC191" s="179">
        <f t="shared" si="198"/>
        <v>100</v>
      </c>
      <c r="BD191" s="30">
        <f t="shared" si="235"/>
        <v>1</v>
      </c>
      <c r="BE191" s="190">
        <v>39402201</v>
      </c>
      <c r="BF191" s="190">
        <v>1351027</v>
      </c>
      <c r="BG191" s="54">
        <v>597225</v>
      </c>
      <c r="BH191" s="191">
        <f t="shared" si="184"/>
        <v>40753228</v>
      </c>
      <c r="BI191" s="178">
        <f t="shared" si="185"/>
        <v>1.4654667355430102</v>
      </c>
      <c r="BJ191" s="294" t="str">
        <f t="shared" si="199"/>
        <v>전기전자/기계업</v>
      </c>
      <c r="BK191" s="192">
        <f t="shared" si="200"/>
        <v>2.4096449716116455</v>
      </c>
      <c r="BL191" s="193">
        <f t="shared" si="201"/>
        <v>-0.94417823606863527</v>
      </c>
      <c r="BM191" s="241">
        <f t="shared" si="202"/>
        <v>80</v>
      </c>
      <c r="BN191" s="47">
        <f t="shared" si="203"/>
        <v>1.6</v>
      </c>
      <c r="BO191" s="54">
        <v>45959370</v>
      </c>
      <c r="BP191" s="194">
        <f t="shared" si="186"/>
        <v>1.6293962005472422</v>
      </c>
      <c r="BQ191" s="179">
        <f t="shared" si="204"/>
        <v>70</v>
      </c>
      <c r="BR191" s="30">
        <f t="shared" si="236"/>
        <v>1.4000000000000001</v>
      </c>
      <c r="BS191" s="195">
        <v>254521878.78299999</v>
      </c>
      <c r="BT191" s="195">
        <v>2489418.4789999998</v>
      </c>
      <c r="BU191" s="196">
        <f t="shared" si="205"/>
        <v>252032460.30399999</v>
      </c>
      <c r="BV191" s="178">
        <f t="shared" si="187"/>
        <v>8.935299444572701</v>
      </c>
      <c r="BW191" s="192">
        <f t="shared" si="206"/>
        <v>5.2309968128308268</v>
      </c>
      <c r="BX191" s="192">
        <f t="shared" si="207"/>
        <v>13.721857987529775</v>
      </c>
      <c r="BY191" s="192">
        <f t="shared" si="208"/>
        <v>7.0695458012309622</v>
      </c>
      <c r="BZ191" s="192">
        <f t="shared" si="209"/>
        <v>30.014612577305133</v>
      </c>
      <c r="CA191" s="192">
        <f t="shared" si="188"/>
        <v>70</v>
      </c>
      <c r="CB191" s="55">
        <f t="shared" si="210"/>
        <v>1.4000000000000001</v>
      </c>
      <c r="CC191" s="197">
        <f t="shared" si="237"/>
        <v>9.2095331561206759</v>
      </c>
      <c r="CD191" s="198">
        <f t="shared" si="238"/>
        <v>96.90595484065804</v>
      </c>
      <c r="CE191" s="58">
        <f t="shared" si="239"/>
        <v>1.4535893226098706</v>
      </c>
      <c r="CF191" s="245" t="s">
        <v>2326</v>
      </c>
      <c r="CG191" s="245" t="s">
        <v>2326</v>
      </c>
      <c r="CH191" s="245" t="s">
        <v>2326</v>
      </c>
      <c r="CI191" s="245" t="s">
        <v>2326</v>
      </c>
      <c r="CJ191" s="235"/>
      <c r="CK191" s="173" t="s">
        <v>2491</v>
      </c>
      <c r="CL191" s="173" t="s">
        <v>2478</v>
      </c>
      <c r="CM191" s="199">
        <f t="shared" si="211"/>
        <v>25</v>
      </c>
      <c r="CN191" s="58">
        <f t="shared" si="240"/>
        <v>0.375</v>
      </c>
      <c r="CO191" s="54">
        <v>265755434</v>
      </c>
      <c r="CP191" s="186">
        <f t="shared" si="189"/>
        <v>9.1132331642017803</v>
      </c>
      <c r="CQ191" s="179">
        <f t="shared" si="212"/>
        <v>80</v>
      </c>
      <c r="CR191" s="30">
        <f t="shared" si="241"/>
        <v>2.4</v>
      </c>
      <c r="CS191" s="200">
        <f>_xlfn.XLOOKUP(C191, '1-1. 관계사체무보증금액 (환율 등)'!$3:$3, '1-1. 관계사체무보증금액 (환율 등)'!$33:$33)</f>
        <v>0</v>
      </c>
      <c r="CT191" s="178">
        <f t="shared" si="190"/>
        <v>0</v>
      </c>
      <c r="CU191" s="179">
        <f t="shared" si="213"/>
        <v>100</v>
      </c>
      <c r="CV191" s="30">
        <f t="shared" si="242"/>
        <v>2</v>
      </c>
      <c r="CW191" s="72">
        <f t="shared" si="218"/>
        <v>17.933531563954066</v>
      </c>
    </row>
    <row r="192" spans="1:101" x14ac:dyDescent="0.6">
      <c r="A192" s="214" t="s">
        <v>1750</v>
      </c>
      <c r="B192" s="13" t="s">
        <v>2172</v>
      </c>
      <c r="C192" s="219" t="s">
        <v>1751</v>
      </c>
      <c r="D192" s="14" t="s">
        <v>202</v>
      </c>
      <c r="E192" s="217" t="s">
        <v>954</v>
      </c>
      <c r="F192" s="217" t="s">
        <v>1752</v>
      </c>
      <c r="G192" s="218">
        <v>32455</v>
      </c>
      <c r="H192" s="217" t="s">
        <v>830</v>
      </c>
      <c r="I192" s="217" t="s">
        <v>1753</v>
      </c>
      <c r="J192" s="217" t="s">
        <v>1754</v>
      </c>
      <c r="K192" s="217" t="s">
        <v>308</v>
      </c>
      <c r="L192" s="220">
        <v>1914532174</v>
      </c>
      <c r="M192" s="206">
        <v>433489874</v>
      </c>
      <c r="N192" s="206">
        <v>1481042299</v>
      </c>
      <c r="O192" s="206">
        <v>2351608869</v>
      </c>
      <c r="P192" s="206">
        <v>172143218</v>
      </c>
      <c r="Q192" s="206">
        <v>206431272</v>
      </c>
      <c r="R192" s="206">
        <v>163552128</v>
      </c>
      <c r="S192" s="207">
        <v>46448520</v>
      </c>
      <c r="T192" s="207">
        <v>393058</v>
      </c>
      <c r="U192" s="207">
        <v>12291248</v>
      </c>
      <c r="V192" s="207">
        <f>6817884+5451011+193515+150000+2321579+511000+364996+145991</f>
        <v>15955976</v>
      </c>
      <c r="W192" s="207">
        <v>20721</v>
      </c>
      <c r="X192" s="207">
        <v>1787132</v>
      </c>
      <c r="Y192" s="208" t="s">
        <v>2447</v>
      </c>
      <c r="Z192" s="207">
        <v>0</v>
      </c>
      <c r="AA192" s="207">
        <v>0</v>
      </c>
      <c r="AB192" s="176">
        <f t="shared" si="214"/>
        <v>30055077</v>
      </c>
      <c r="AC192" s="177">
        <f t="shared" si="191"/>
        <v>64.706210230164501</v>
      </c>
      <c r="AD192" s="177">
        <f t="shared" si="215"/>
        <v>44.240900261653195</v>
      </c>
      <c r="AE192" s="26">
        <f t="shared" si="231"/>
        <v>1.3272270078495958</v>
      </c>
      <c r="AF192" s="178">
        <f t="shared" si="192"/>
        <v>61.333059692246707</v>
      </c>
      <c r="AG192" s="178">
        <f t="shared" si="193"/>
        <v>65.258442093144126</v>
      </c>
      <c r="AH192" s="178">
        <f t="shared" si="216"/>
        <v>3.9253824008974192</v>
      </c>
      <c r="AI192" s="179">
        <f t="shared" si="217"/>
        <v>100</v>
      </c>
      <c r="AJ192" s="30">
        <f t="shared" si="232"/>
        <v>4</v>
      </c>
      <c r="AK192" s="204">
        <v>6</v>
      </c>
      <c r="AL192" s="204">
        <v>38</v>
      </c>
      <c r="AM192" s="204">
        <v>1</v>
      </c>
      <c r="AN192" s="181">
        <f t="shared" si="178"/>
        <v>44</v>
      </c>
      <c r="AO192" s="182">
        <f t="shared" si="179"/>
        <v>2.2727272727272729</v>
      </c>
      <c r="AP192" s="183">
        <f t="shared" si="194"/>
        <v>100</v>
      </c>
      <c r="AQ192" s="38">
        <f t="shared" si="233"/>
        <v>2</v>
      </c>
      <c r="AR192" s="212">
        <v>3</v>
      </c>
      <c r="AS192" s="292">
        <f t="shared" si="180"/>
        <v>0.25</v>
      </c>
      <c r="AT192" s="185">
        <f t="shared" si="181"/>
        <v>1.5</v>
      </c>
      <c r="AU192" s="185">
        <f t="shared" si="195"/>
        <v>1</v>
      </c>
      <c r="AV192" s="186">
        <f t="shared" si="182"/>
        <v>33.333333333333329</v>
      </c>
      <c r="AW192" s="179">
        <f t="shared" si="196"/>
        <v>80</v>
      </c>
      <c r="AX192" s="239">
        <f t="shared" si="234"/>
        <v>0.8</v>
      </c>
      <c r="AY192" s="54">
        <v>14</v>
      </c>
      <c r="AZ192" s="54">
        <f>14*3-1</f>
        <v>41</v>
      </c>
      <c r="BA192" s="189">
        <f t="shared" si="183"/>
        <v>42</v>
      </c>
      <c r="BB192" s="178">
        <f t="shared" si="197"/>
        <v>97.61904761904762</v>
      </c>
      <c r="BC192" s="179">
        <f t="shared" si="198"/>
        <v>100</v>
      </c>
      <c r="BD192" s="30">
        <f t="shared" si="235"/>
        <v>1</v>
      </c>
      <c r="BE192" s="190">
        <v>56772331</v>
      </c>
      <c r="BF192" s="190">
        <v>4327394</v>
      </c>
      <c r="BG192" s="54">
        <v>141990</v>
      </c>
      <c r="BH192" s="191">
        <f t="shared" si="184"/>
        <v>61099725</v>
      </c>
      <c r="BI192" s="178">
        <f t="shared" si="185"/>
        <v>0.23239057131599203</v>
      </c>
      <c r="BJ192" s="294" t="str">
        <f t="shared" si="199"/>
        <v>전기전자/기계업</v>
      </c>
      <c r="BK192" s="192">
        <f t="shared" si="200"/>
        <v>2.4096449716116455</v>
      </c>
      <c r="BL192" s="193">
        <f t="shared" si="201"/>
        <v>-2.1772544002956535</v>
      </c>
      <c r="BM192" s="241">
        <f t="shared" si="202"/>
        <v>100</v>
      </c>
      <c r="BN192" s="47">
        <f t="shared" si="203"/>
        <v>2</v>
      </c>
      <c r="BO192" s="54">
        <v>148926629</v>
      </c>
      <c r="BP192" s="194">
        <f t="shared" si="186"/>
        <v>6.3329676530489394</v>
      </c>
      <c r="BQ192" s="179">
        <f t="shared" si="204"/>
        <v>100</v>
      </c>
      <c r="BR192" s="30">
        <f t="shared" si="236"/>
        <v>2</v>
      </c>
      <c r="BS192" s="195">
        <v>82434935.871000007</v>
      </c>
      <c r="BT192" s="195">
        <v>3235907.2620000001</v>
      </c>
      <c r="BU192" s="196">
        <f t="shared" si="205"/>
        <v>79199028.609000012</v>
      </c>
      <c r="BV192" s="178">
        <f t="shared" si="187"/>
        <v>3.3678657047538128</v>
      </c>
      <c r="BW192" s="192">
        <f t="shared" si="206"/>
        <v>5.2309968128308268</v>
      </c>
      <c r="BX192" s="192">
        <f t="shared" si="207"/>
        <v>3.4712575258842824</v>
      </c>
      <c r="BY192" s="192">
        <f t="shared" si="208"/>
        <v>7.0695458012309622</v>
      </c>
      <c r="BZ192" s="192">
        <f t="shared" si="209"/>
        <v>60.393405538351395</v>
      </c>
      <c r="CA192" s="192">
        <f t="shared" si="188"/>
        <v>40</v>
      </c>
      <c r="CB192" s="55">
        <f t="shared" si="210"/>
        <v>0.8</v>
      </c>
      <c r="CC192" s="197">
        <f t="shared" si="237"/>
        <v>29.269243308762515</v>
      </c>
      <c r="CD192" s="198">
        <f t="shared" si="238"/>
        <v>89.345762572074435</v>
      </c>
      <c r="CE192" s="58">
        <f t="shared" si="239"/>
        <v>1.3401864385811164</v>
      </c>
      <c r="CF192" s="245" t="s">
        <v>2326</v>
      </c>
      <c r="CG192" s="245" t="s">
        <v>2326</v>
      </c>
      <c r="CH192" s="245" t="s">
        <v>2326</v>
      </c>
      <c r="CI192" s="245" t="s">
        <v>2326</v>
      </c>
      <c r="CJ192" s="235"/>
      <c r="CK192" s="173" t="s">
        <v>2490</v>
      </c>
      <c r="CL192" s="173" t="s">
        <v>2487</v>
      </c>
      <c r="CM192" s="199">
        <f t="shared" si="211"/>
        <v>70</v>
      </c>
      <c r="CN192" s="58">
        <f t="shared" si="240"/>
        <v>1.05</v>
      </c>
      <c r="CO192" s="54">
        <v>357007000</v>
      </c>
      <c r="CP192" s="186">
        <f t="shared" si="189"/>
        <v>24.105118418363283</v>
      </c>
      <c r="CQ192" s="179">
        <f t="shared" si="212"/>
        <v>60</v>
      </c>
      <c r="CR192" s="30">
        <f t="shared" si="241"/>
        <v>1.7999999999999998</v>
      </c>
      <c r="CS192" s="200">
        <f>_xlfn.XLOOKUP(C192, '1-1. 관계사체무보증금액 (환율 등)'!$3:$3, '1-1. 관계사체무보증금액 (환율 등)'!$33:$33)</f>
        <v>538009379.72773921</v>
      </c>
      <c r="CT192" s="178">
        <f t="shared" si="190"/>
        <v>36.326402027207678</v>
      </c>
      <c r="CU192" s="179">
        <f t="shared" si="213"/>
        <v>40</v>
      </c>
      <c r="CV192" s="30">
        <f t="shared" si="242"/>
        <v>0.8</v>
      </c>
      <c r="CW192" s="72">
        <f t="shared" si="218"/>
        <v>18.917413446430714</v>
      </c>
    </row>
    <row r="193" spans="1:101" x14ac:dyDescent="0.6">
      <c r="A193" s="214" t="s">
        <v>789</v>
      </c>
      <c r="B193" s="13" t="s">
        <v>2173</v>
      </c>
      <c r="C193" s="219" t="s">
        <v>448</v>
      </c>
      <c r="D193" s="216" t="s">
        <v>285</v>
      </c>
      <c r="E193" s="217" t="s">
        <v>624</v>
      </c>
      <c r="F193" s="217" t="s">
        <v>1186</v>
      </c>
      <c r="G193" s="218">
        <v>35094</v>
      </c>
      <c r="H193" s="217" t="s">
        <v>830</v>
      </c>
      <c r="I193" s="217" t="s">
        <v>579</v>
      </c>
      <c r="J193" s="217" t="s">
        <v>964</v>
      </c>
      <c r="K193" s="217" t="s">
        <v>91</v>
      </c>
      <c r="L193" s="220">
        <v>1985699161</v>
      </c>
      <c r="M193" s="206">
        <v>512258282</v>
      </c>
      <c r="N193" s="206">
        <v>1473440879</v>
      </c>
      <c r="O193" s="206">
        <v>2427260264</v>
      </c>
      <c r="P193" s="206">
        <v>192825146</v>
      </c>
      <c r="Q193" s="206">
        <v>188400341</v>
      </c>
      <c r="R193" s="206">
        <v>141531341</v>
      </c>
      <c r="S193" s="207">
        <v>37999178</v>
      </c>
      <c r="T193" s="207">
        <v>4188939</v>
      </c>
      <c r="U193" s="207">
        <v>9747383</v>
      </c>
      <c r="V193" s="207">
        <v>0</v>
      </c>
      <c r="W193" s="207">
        <f>57+20</f>
        <v>77</v>
      </c>
      <c r="X193" s="207">
        <v>0</v>
      </c>
      <c r="Z193" s="207">
        <v>0</v>
      </c>
      <c r="AA193" s="207">
        <v>0</v>
      </c>
      <c r="AB193" s="176">
        <f t="shared" si="214"/>
        <v>9747460</v>
      </c>
      <c r="AC193" s="177">
        <f t="shared" si="191"/>
        <v>25.651765414504489</v>
      </c>
      <c r="AD193" s="177">
        <f t="shared" si="215"/>
        <v>77.947268054225134</v>
      </c>
      <c r="AE193" s="26">
        <f t="shared" si="231"/>
        <v>2.3384180416267539</v>
      </c>
      <c r="AF193" s="178">
        <f t="shared" si="192"/>
        <v>28.829677897278394</v>
      </c>
      <c r="AG193" s="178">
        <f t="shared" si="193"/>
        <v>28.829905638939728</v>
      </c>
      <c r="AH193" s="178">
        <f t="shared" si="216"/>
        <v>2.2774166133388007E-4</v>
      </c>
      <c r="AI193" s="179">
        <f t="shared" si="217"/>
        <v>100</v>
      </c>
      <c r="AJ193" s="30">
        <f t="shared" si="232"/>
        <v>4</v>
      </c>
      <c r="AK193" s="204">
        <v>10</v>
      </c>
      <c r="AL193" s="204">
        <v>26</v>
      </c>
      <c r="AM193" s="204">
        <v>0</v>
      </c>
      <c r="AN193" s="181">
        <f t="shared" ref="AN193:AN256" si="243">SUM(AK193:AL193)</f>
        <v>36</v>
      </c>
      <c r="AO193" s="182">
        <f t="shared" ref="AO193:AO256" si="244">(AM193/AN193)*100</f>
        <v>0</v>
      </c>
      <c r="AP193" s="183">
        <f t="shared" si="194"/>
        <v>100</v>
      </c>
      <c r="AQ193" s="38">
        <f t="shared" si="233"/>
        <v>2</v>
      </c>
      <c r="AR193" s="212">
        <v>2</v>
      </c>
      <c r="AS193" s="292">
        <f t="shared" ref="AS193:AS256" si="245">IF(L193&gt;=2000000000, 0.5, IF(L193&lt;2000000000, 0.25))</f>
        <v>0.25</v>
      </c>
      <c r="AT193" s="185">
        <f t="shared" ref="AT193:AT256" si="246">AK193*AS193</f>
        <v>2.5</v>
      </c>
      <c r="AU193" s="185">
        <f t="shared" si="195"/>
        <v>2</v>
      </c>
      <c r="AV193" s="186">
        <f t="shared" ref="AV193:AV256" si="247">(AR193-AU193)/AK193*100</f>
        <v>0</v>
      </c>
      <c r="AW193" s="179">
        <f t="shared" si="196"/>
        <v>40</v>
      </c>
      <c r="AX193" s="239">
        <f t="shared" si="234"/>
        <v>0.4</v>
      </c>
      <c r="AY193" s="54">
        <v>7</v>
      </c>
      <c r="AZ193" s="54">
        <v>14</v>
      </c>
      <c r="BA193" s="189">
        <f t="shared" ref="BA193:BA256" si="248">AR193*AY193</f>
        <v>14</v>
      </c>
      <c r="BB193" s="178">
        <f t="shared" si="197"/>
        <v>100</v>
      </c>
      <c r="BC193" s="179">
        <f t="shared" si="198"/>
        <v>100</v>
      </c>
      <c r="BD193" s="30">
        <f t="shared" si="235"/>
        <v>1</v>
      </c>
      <c r="BE193" s="190">
        <v>214457565.42300001</v>
      </c>
      <c r="BF193" s="190">
        <v>29750959.107999999</v>
      </c>
      <c r="BG193" s="301">
        <v>0</v>
      </c>
      <c r="BH193" s="191">
        <f t="shared" ref="BH193:BH256" si="249">SUM(BE193:BF193)</f>
        <v>244208524.53100002</v>
      </c>
      <c r="BI193" s="178">
        <f t="shared" ref="BI193:BI256" si="250">(BG193/BH193)*100</f>
        <v>0</v>
      </c>
      <c r="BJ193" s="294" t="str">
        <f t="shared" si="199"/>
        <v>비제조/서비스업</v>
      </c>
      <c r="BK193" s="192">
        <f t="shared" si="200"/>
        <v>1.7464434573900924</v>
      </c>
      <c r="BL193" s="193">
        <f t="shared" si="201"/>
        <v>-1.7464434573900924</v>
      </c>
      <c r="BM193" s="241">
        <f t="shared" si="202"/>
        <v>80</v>
      </c>
      <c r="BN193" s="47">
        <f t="shared" si="203"/>
        <v>1.6</v>
      </c>
      <c r="BO193" s="54">
        <v>21552000</v>
      </c>
      <c r="BP193" s="194">
        <f t="shared" ref="BP193:BP256" si="251">(BO193/O193)*100</f>
        <v>0.88791467151871939</v>
      </c>
      <c r="BQ193" s="179">
        <f t="shared" si="204"/>
        <v>70</v>
      </c>
      <c r="BR193" s="30">
        <f t="shared" si="236"/>
        <v>1.4000000000000001</v>
      </c>
      <c r="BS193" s="195">
        <v>149334212.597</v>
      </c>
      <c r="BT193" s="195">
        <v>17116380.903999999</v>
      </c>
      <c r="BU193" s="196">
        <f t="shared" si="205"/>
        <v>132217831.693</v>
      </c>
      <c r="BV193" s="178">
        <f t="shared" ref="BV193:BV256" si="252">BU193/O193*100</f>
        <v>5.4472045562642641</v>
      </c>
      <c r="BW193" s="192">
        <f t="shared" si="206"/>
        <v>2.8482825397737606</v>
      </c>
      <c r="BX193" s="192">
        <f t="shared" si="207"/>
        <v>6.7543956477990656</v>
      </c>
      <c r="BY193" s="192">
        <f t="shared" si="208"/>
        <v>5.5697595856656799</v>
      </c>
      <c r="BZ193" s="192">
        <f t="shared" si="209"/>
        <v>32.03884058720913</v>
      </c>
      <c r="CA193" s="192">
        <f t="shared" ref="CA193:CA256" si="253">IF(BZ193&lt;=5, 100, IF(BZ193&lt;=15, 85, IF(BZ193&lt;=35, 70, IF(BZ193&lt;=60, 55, IF(BZ193&lt;=90, 40, 25)))))</f>
        <v>70</v>
      </c>
      <c r="CB193" s="55">
        <f t="shared" si="210"/>
        <v>1.4000000000000001</v>
      </c>
      <c r="CC193" s="197">
        <f t="shared" si="237"/>
        <v>34.766123928071089</v>
      </c>
      <c r="CD193" s="198">
        <f t="shared" si="238"/>
        <v>87.274073896455619</v>
      </c>
      <c r="CE193" s="58">
        <f t="shared" si="239"/>
        <v>1.3091111084468343</v>
      </c>
      <c r="CF193" s="245" t="s">
        <v>2326</v>
      </c>
      <c r="CG193" s="245" t="s">
        <v>2326</v>
      </c>
      <c r="CH193" s="245" t="s">
        <v>2326</v>
      </c>
      <c r="CI193" s="245" t="s">
        <v>2326</v>
      </c>
      <c r="CJ193" s="235"/>
      <c r="CK193" s="173" t="s">
        <v>2513</v>
      </c>
      <c r="CL193" s="173" t="s">
        <v>2484</v>
      </c>
      <c r="CM193" s="199">
        <f t="shared" si="211"/>
        <v>100</v>
      </c>
      <c r="CN193" s="58">
        <f t="shared" si="240"/>
        <v>1.5</v>
      </c>
      <c r="CO193" s="54">
        <v>8477000</v>
      </c>
      <c r="CP193" s="186">
        <f t="shared" ref="CP193:CP256" si="254">(CO193/N193)*100</f>
        <v>0.57531999558429525</v>
      </c>
      <c r="CQ193" s="179">
        <f t="shared" si="212"/>
        <v>100</v>
      </c>
      <c r="CR193" s="30">
        <f t="shared" si="241"/>
        <v>3</v>
      </c>
      <c r="CS193" s="200">
        <f>_xlfn.XLOOKUP(C193, '1-1. 관계사체무보증금액 (환율 등)'!$3:$3, '1-1. 관계사체무보증금액 (환율 등)'!$33:$33)</f>
        <v>0</v>
      </c>
      <c r="CT193" s="178">
        <f t="shared" ref="CT193:CT256" si="255">(CS193/N193)*100</f>
        <v>0</v>
      </c>
      <c r="CU193" s="179">
        <f t="shared" si="213"/>
        <v>100</v>
      </c>
      <c r="CV193" s="30">
        <f t="shared" si="242"/>
        <v>2</v>
      </c>
      <c r="CW193" s="72">
        <f t="shared" si="218"/>
        <v>21.947529150073589</v>
      </c>
    </row>
    <row r="194" spans="1:101" x14ac:dyDescent="0.6">
      <c r="A194" s="214" t="s">
        <v>2475</v>
      </c>
      <c r="B194" s="13" t="s">
        <v>2174</v>
      </c>
      <c r="C194" s="219" t="s">
        <v>533</v>
      </c>
      <c r="D194" s="221" t="s">
        <v>481</v>
      </c>
      <c r="E194" s="217" t="s">
        <v>604</v>
      </c>
      <c r="F194" s="217" t="s">
        <v>268</v>
      </c>
      <c r="G194" s="218">
        <v>44155</v>
      </c>
      <c r="H194" s="217" t="s">
        <v>830</v>
      </c>
      <c r="I194" s="217" t="s">
        <v>955</v>
      </c>
      <c r="J194" s="1" t="s">
        <v>2305</v>
      </c>
      <c r="K194" s="217" t="s">
        <v>91</v>
      </c>
      <c r="L194" s="220">
        <v>204362337</v>
      </c>
      <c r="M194" s="206">
        <v>77627222</v>
      </c>
      <c r="N194" s="206">
        <v>126735115</v>
      </c>
      <c r="O194" s="206">
        <v>230018279</v>
      </c>
      <c r="P194" s="206">
        <v>3054336</v>
      </c>
      <c r="Q194" s="206">
        <v>41586408</v>
      </c>
      <c r="R194" s="206">
        <v>32212761</v>
      </c>
      <c r="S194" s="207">
        <v>22607693</v>
      </c>
      <c r="T194" s="207">
        <v>0</v>
      </c>
      <c r="U194" s="207">
        <v>4535596</v>
      </c>
      <c r="V194" s="207">
        <f>174197+157132+157132+21958+45668+37774+1000+33334+10578+16668+16667+11000+6666</f>
        <v>689774</v>
      </c>
      <c r="W194" s="207">
        <f>33000+46200+207059+6000+63062+42000+8000+240</f>
        <v>405561</v>
      </c>
      <c r="X194" s="207">
        <v>0</v>
      </c>
      <c r="Z194" s="207">
        <v>0</v>
      </c>
      <c r="AA194" s="207">
        <v>0</v>
      </c>
      <c r="AB194" s="176">
        <f t="shared" si="214"/>
        <v>5630931</v>
      </c>
      <c r="AC194" s="177">
        <f t="shared" ref="AC194:AC257" si="256">(AB194/S194)*100</f>
        <v>24.907145545545049</v>
      </c>
      <c r="AD194" s="177">
        <f t="shared" si="215"/>
        <v>78.589920415237302</v>
      </c>
      <c r="AE194" s="60">
        <f>AD194*0.04</f>
        <v>3.1435968166094921</v>
      </c>
      <c r="AF194" s="178">
        <f t="shared" ref="AF194:AF257" si="257">(U194+V194)/(S194-T194-AA194)*100</f>
        <v>23.113238489216922</v>
      </c>
      <c r="AG194" s="178">
        <f t="shared" ref="AG194:AG257" si="258">(U194+V194+Z194+W194+X194-AA194)/(S194-T194-AA194)*100</f>
        <v>24.907145545545049</v>
      </c>
      <c r="AH194" s="178">
        <f t="shared" si="216"/>
        <v>1.793907056328127</v>
      </c>
      <c r="AI194" s="179">
        <f t="shared" si="217"/>
        <v>100</v>
      </c>
      <c r="AJ194" s="61">
        <f>AI194*0.05</f>
        <v>5</v>
      </c>
      <c r="AK194" s="204">
        <v>8</v>
      </c>
      <c r="AL194" s="204">
        <v>23</v>
      </c>
      <c r="AM194" s="204">
        <v>1</v>
      </c>
      <c r="AN194" s="181">
        <f t="shared" si="243"/>
        <v>31</v>
      </c>
      <c r="AO194" s="182">
        <f t="shared" si="244"/>
        <v>3.225806451612903</v>
      </c>
      <c r="AP194" s="183">
        <f t="shared" ref="AP194:AP257" si="259">IF(AO194&lt;10, 100, IF(AO194&lt;20, 80, IF(AO194&lt;30, 60, IF(AO194&lt;50, 40, IF(AO194&gt;=50, 20)))))</f>
        <v>100</v>
      </c>
      <c r="AQ194" s="62">
        <f>AP194*0.03</f>
        <v>3</v>
      </c>
      <c r="AR194" s="212">
        <v>3</v>
      </c>
      <c r="AS194" s="292">
        <f t="shared" si="245"/>
        <v>0.25</v>
      </c>
      <c r="AT194" s="185">
        <f t="shared" si="246"/>
        <v>2</v>
      </c>
      <c r="AU194" s="185">
        <f t="shared" ref="AU194:AU257" si="260">ROUNDDOWN(AT194,0)</f>
        <v>2</v>
      </c>
      <c r="AV194" s="186">
        <f t="shared" si="247"/>
        <v>12.5</v>
      </c>
      <c r="AW194" s="179">
        <f t="shared" ref="AW194:AW257" si="261">IF(AV194&lt;0, 20, IF(AV194=0, 40, IF(AV194&lt;20, 60, IF(AV194&lt;40, 80, IF(AV194&gt;=40, 100)))))</f>
        <v>60</v>
      </c>
      <c r="AX194" s="240">
        <f>AW194*0.02</f>
        <v>1.2</v>
      </c>
      <c r="AY194" s="54">
        <v>22</v>
      </c>
      <c r="AZ194" s="54">
        <f>5*3</f>
        <v>15</v>
      </c>
      <c r="BA194" s="189">
        <f t="shared" si="248"/>
        <v>66</v>
      </c>
      <c r="BB194" s="178">
        <f t="shared" ref="BB194:BB257" si="262">(AZ194/BA194)*100</f>
        <v>22.727272727272727</v>
      </c>
      <c r="BC194" s="179">
        <f t="shared" ref="BC194:BC257" si="263">IF(BB194&lt;70, 25, IF(BB194&lt;80, 50, IF(BB194&lt;90, 75, IF(BB194&gt;=90, 100))))</f>
        <v>25</v>
      </c>
      <c r="BD194" s="61">
        <f>BC194*0.02</f>
        <v>0.5</v>
      </c>
      <c r="BE194" s="190">
        <f>5147488+13997239</f>
        <v>19144727</v>
      </c>
      <c r="BF194" s="190">
        <v>1641507</v>
      </c>
      <c r="BG194" s="54">
        <v>367698</v>
      </c>
      <c r="BH194" s="191">
        <f t="shared" si="249"/>
        <v>20786234</v>
      </c>
      <c r="BI194" s="178">
        <f t="shared" si="250"/>
        <v>1.7689495846145098</v>
      </c>
      <c r="BJ194" s="294" t="str">
        <f t="shared" ref="BJ194:BJ257" si="264">IF(D194="금융업(보험)", "금융업", IF(D194="금융업(증권)", "금융업", IF(D194="금융업(종금)", "금융업", D194)))</f>
        <v>금융업</v>
      </c>
      <c r="BK194" s="192">
        <f t="shared" ref="BK194:BK257" si="265">AVERAGEIF(BJ:BJ, BJ194, BI:BI)</f>
        <v>2.7106886075318837</v>
      </c>
      <c r="BL194" s="193">
        <f t="shared" ref="BL194:BL257" si="266">BI194-BK194</f>
        <v>-0.94173902291737388</v>
      </c>
      <c r="BM194" s="241">
        <f t="shared" ref="BM194:BM257" si="267">IF(BL194&lt;-2, 100, IF(BL194&lt;0, 80, IF(BL194&lt;2, 60, IF(BL194&lt;10, 40, 20))))</f>
        <v>80</v>
      </c>
      <c r="BN194" s="47">
        <f t="shared" ref="BN194:BN257" si="268">BM194*0.02</f>
        <v>1.6</v>
      </c>
      <c r="BO194" s="301">
        <v>0</v>
      </c>
      <c r="BP194" s="194">
        <f t="shared" si="251"/>
        <v>0</v>
      </c>
      <c r="BQ194" s="179">
        <f t="shared" ref="BQ194:BQ257" si="269">IF(BP194=0, 25, IF(BP194&lt;0.1, 40, IF(BP194&lt;0.5, 55, IF(BP194&lt;2, 70, IF(BP194&lt;4, 85, IF(BP194&gt;=4, 100))))))</f>
        <v>25</v>
      </c>
      <c r="BR194" s="61">
        <f>BQ194*0.01</f>
        <v>0.25</v>
      </c>
      <c r="BS194" s="195">
        <v>21107059</v>
      </c>
      <c r="BT194" s="195">
        <v>7851178</v>
      </c>
      <c r="BU194" s="196">
        <f t="shared" ref="BU194:BU257" si="270">BS194-BT194</f>
        <v>13255881</v>
      </c>
      <c r="BV194" s="178">
        <f t="shared" si="252"/>
        <v>5.7629685160804112</v>
      </c>
      <c r="BW194" s="192">
        <f t="shared" ref="BW194:BW257" si="271">AVERAGEIF(BJ:BJ, BJ194, BV:BV)</f>
        <v>0.39407896396795111</v>
      </c>
      <c r="BX194" s="192">
        <f t="shared" ref="BX194:BX257" si="272">(BV194-BW194)^2</f>
        <v>28.824975022782333</v>
      </c>
      <c r="BY194" s="192">
        <f t="shared" ref="BY194:BY257" si="273">SQRT(SUMIF(BJ:BJ, BJ194, BX:BX)/COUNTIF(BJ:BJ, BJ194))</f>
        <v>1.5698937849002934</v>
      </c>
      <c r="BZ194" s="192">
        <f t="shared" ref="BZ194:BZ257" si="274">(1-_xlfn.NORM.DIST(BV194, BW194, BY194, TRUE))*100</f>
        <v>3.1321361136327219E-2</v>
      </c>
      <c r="CA194" s="192">
        <f t="shared" si="253"/>
        <v>100</v>
      </c>
      <c r="CB194" s="55">
        <f t="shared" ref="CB194:CB257" si="275">CA194*0.02</f>
        <v>2</v>
      </c>
      <c r="CC194" s="242" t="s">
        <v>1273</v>
      </c>
      <c r="CD194" s="243" t="s">
        <v>1273</v>
      </c>
      <c r="CE194" s="244"/>
      <c r="CF194" s="295" t="s">
        <v>2379</v>
      </c>
      <c r="CG194" s="295" t="s">
        <v>2379</v>
      </c>
      <c r="CH194" s="306">
        <f>(968618+5648837)/L194*100</f>
        <v>3.2380991023801022</v>
      </c>
      <c r="CI194" s="188">
        <f>IF((100-(75*(CH194-10)/40))&gt;100, 100, IF((100-(75*(CH194-10)/40))&lt;25, 25, (100-(75*(CH194-10)/40))))</f>
        <v>100</v>
      </c>
      <c r="CJ194" s="63">
        <f>CI194*0.04</f>
        <v>4</v>
      </c>
      <c r="CK194" s="173" t="s">
        <v>2491</v>
      </c>
      <c r="CL194" s="173" t="s">
        <v>2478</v>
      </c>
      <c r="CM194" s="199">
        <f t="shared" ref="CM194:CM257" si="276">IF(CL194="A", 100, IF(CL194="B", 85, IF(CL194="C", 70, IF(CL194="D", 55, IF(CL194="E", 40, 25)))))</f>
        <v>25</v>
      </c>
      <c r="CN194" s="65">
        <f>CM194*0.03</f>
        <v>0.75</v>
      </c>
      <c r="CO194" s="54">
        <v>26334000</v>
      </c>
      <c r="CP194" s="186">
        <f t="shared" si="254"/>
        <v>20.778771534629531</v>
      </c>
      <c r="CQ194" s="179">
        <f t="shared" ref="CQ194:CQ257" si="277">IF(CP194&lt;3, 100, IF(CP194&lt;10, 80, IF(CP194&lt;35, 60, IF(CP194&lt;100, 40, IF(CP194&gt;=100, 20)))))</f>
        <v>60</v>
      </c>
      <c r="CR194" s="61">
        <f>CQ194*0.04</f>
        <v>2.4</v>
      </c>
      <c r="CS194" s="200">
        <f>_xlfn.XLOOKUP(C194, '1-1. 관계사체무보증금액 (환율 등)'!$3:$3, '1-1. 관계사체무보증금액 (환율 등)'!$33:$33)</f>
        <v>0</v>
      </c>
      <c r="CT194" s="178">
        <f t="shared" si="255"/>
        <v>0</v>
      </c>
      <c r="CU194" s="179">
        <f t="shared" ref="CU194:CU257" si="278">IF(CT194&lt;3, 100, IF(CT194&lt;10, 80, IF(CT194&lt;35, 60, IF(CT194&lt;100, 40, 20))))</f>
        <v>100</v>
      </c>
      <c r="CV194" s="70">
        <f>CU194*0.03</f>
        <v>3</v>
      </c>
      <c r="CW194" s="72">
        <f t="shared" si="218"/>
        <v>26.843596816609491</v>
      </c>
    </row>
    <row r="195" spans="1:101" x14ac:dyDescent="0.6">
      <c r="A195" s="214" t="s">
        <v>813</v>
      </c>
      <c r="B195" s="13" t="s">
        <v>2175</v>
      </c>
      <c r="C195" s="219" t="s">
        <v>428</v>
      </c>
      <c r="D195" s="216" t="s">
        <v>203</v>
      </c>
      <c r="E195" s="217" t="s">
        <v>246</v>
      </c>
      <c r="F195" s="217" t="s">
        <v>394</v>
      </c>
      <c r="G195" s="218">
        <v>25454</v>
      </c>
      <c r="H195" s="217" t="s">
        <v>830</v>
      </c>
      <c r="I195" s="217" t="s">
        <v>783</v>
      </c>
      <c r="J195" s="217" t="s">
        <v>1069</v>
      </c>
      <c r="K195" s="217" t="s">
        <v>690</v>
      </c>
      <c r="L195" s="220">
        <v>436729659</v>
      </c>
      <c r="M195" s="206">
        <v>131134120</v>
      </c>
      <c r="N195" s="206">
        <v>305595540</v>
      </c>
      <c r="O195" s="206">
        <v>388455876</v>
      </c>
      <c r="P195" s="206">
        <v>16230918</v>
      </c>
      <c r="Q195" s="206">
        <v>19676309</v>
      </c>
      <c r="R195" s="206">
        <v>17916229</v>
      </c>
      <c r="S195" s="207">
        <v>36720000</v>
      </c>
      <c r="T195" s="207">
        <v>171963</v>
      </c>
      <c r="U195" s="207">
        <v>7651174</v>
      </c>
      <c r="V195" s="207">
        <f>1696794+1661072+1635620+1487960+500282+453650+5000+2570+6849+6800+31228+13006</f>
        <v>7500831</v>
      </c>
      <c r="W195" s="207">
        <v>0</v>
      </c>
      <c r="X195" s="207">
        <v>0</v>
      </c>
      <c r="Z195" s="207">
        <f>4463965+1904858+58600+35590</f>
        <v>6463013</v>
      </c>
      <c r="AA195" s="207">
        <f>1300000+50000</f>
        <v>1350000</v>
      </c>
      <c r="AB195" s="176">
        <f t="shared" ref="AB195:AB258" si="279">SUM(U195,V195,Z195,W195,X195)</f>
        <v>21615018</v>
      </c>
      <c r="AC195" s="177">
        <f t="shared" si="256"/>
        <v>58.864428104575161</v>
      </c>
      <c r="AD195" s="177">
        <f t="shared" ref="AD195:AD258" si="280">100-(75*(AC195-0.1))/(87-0.1)</f>
        <v>49.282714524244682</v>
      </c>
      <c r="AE195" s="26">
        <f t="shared" ref="AE195:AE206" si="281">AD195*0.03</f>
        <v>1.4784814357273404</v>
      </c>
      <c r="AF195" s="178">
        <f t="shared" si="257"/>
        <v>43.047869402489688</v>
      </c>
      <c r="AG195" s="178">
        <f t="shared" si="258"/>
        <v>57.574284611383298</v>
      </c>
      <c r="AH195" s="178">
        <f t="shared" ref="AH195:AH258" si="282">AG195-AF195</f>
        <v>14.52641520889361</v>
      </c>
      <c r="AI195" s="179">
        <f t="shared" ref="AI195:AI258" si="283">IF(AH195&lt;10, 100, IF(AH195&lt;30, 80, IF(AH195&lt;50, 60, IF(AH195&lt;80, 40, IF(AH195&lt;=100, 20)))))</f>
        <v>80</v>
      </c>
      <c r="AJ195" s="30">
        <f t="shared" ref="AJ195:AJ206" si="284">AI195*0.04</f>
        <v>3.2</v>
      </c>
      <c r="AK195" s="204">
        <v>5</v>
      </c>
      <c r="AL195" s="204">
        <v>8</v>
      </c>
      <c r="AM195" s="204">
        <v>3</v>
      </c>
      <c r="AN195" s="181">
        <f t="shared" si="243"/>
        <v>13</v>
      </c>
      <c r="AO195" s="182">
        <f t="shared" si="244"/>
        <v>23.076923076923077</v>
      </c>
      <c r="AP195" s="183">
        <f t="shared" si="259"/>
        <v>60</v>
      </c>
      <c r="AQ195" s="38">
        <f t="shared" ref="AQ195:AQ206" si="285">AP195*0.02</f>
        <v>1.2</v>
      </c>
      <c r="AR195" s="212">
        <v>1</v>
      </c>
      <c r="AS195" s="292">
        <f t="shared" si="245"/>
        <v>0.25</v>
      </c>
      <c r="AT195" s="185">
        <f t="shared" si="246"/>
        <v>1.25</v>
      </c>
      <c r="AU195" s="185">
        <f t="shared" si="260"/>
        <v>1</v>
      </c>
      <c r="AV195" s="186">
        <f t="shared" si="247"/>
        <v>0</v>
      </c>
      <c r="AW195" s="179">
        <f t="shared" si="261"/>
        <v>40</v>
      </c>
      <c r="AX195" s="239">
        <f t="shared" ref="AX195:AX206" si="286">AW195*0.01</f>
        <v>0.4</v>
      </c>
      <c r="AY195" s="54">
        <v>18</v>
      </c>
      <c r="AZ195" s="54">
        <v>16</v>
      </c>
      <c r="BA195" s="189">
        <f t="shared" si="248"/>
        <v>18</v>
      </c>
      <c r="BB195" s="178">
        <f t="shared" si="262"/>
        <v>88.888888888888886</v>
      </c>
      <c r="BC195" s="179">
        <f t="shared" si="263"/>
        <v>75</v>
      </c>
      <c r="BD195" s="30">
        <f t="shared" ref="BD195:BD206" si="287">BC195*0.01</f>
        <v>0.75</v>
      </c>
      <c r="BE195" s="190">
        <v>11454848</v>
      </c>
      <c r="BF195" s="190">
        <v>1338165</v>
      </c>
      <c r="BG195" s="54">
        <v>59347</v>
      </c>
      <c r="BH195" s="191">
        <f t="shared" si="249"/>
        <v>12793013</v>
      </c>
      <c r="BI195" s="178">
        <f t="shared" si="250"/>
        <v>0.46390166257159282</v>
      </c>
      <c r="BJ195" s="294" t="str">
        <f t="shared" si="264"/>
        <v>금속/비금속/화학업</v>
      </c>
      <c r="BK195" s="192">
        <f t="shared" si="265"/>
        <v>3.9534118626990464</v>
      </c>
      <c r="BL195" s="193">
        <f t="shared" si="266"/>
        <v>-3.4895102001274534</v>
      </c>
      <c r="BM195" s="241">
        <f t="shared" si="267"/>
        <v>100</v>
      </c>
      <c r="BN195" s="47">
        <f t="shared" si="268"/>
        <v>2</v>
      </c>
      <c r="BO195" s="54">
        <v>2973636</v>
      </c>
      <c r="BP195" s="194">
        <f t="shared" si="251"/>
        <v>0.76550161388213878</v>
      </c>
      <c r="BQ195" s="179">
        <f t="shared" si="269"/>
        <v>70</v>
      </c>
      <c r="BR195" s="30">
        <f t="shared" ref="BR195:BR206" si="288">BQ195*0.02</f>
        <v>1.4000000000000001</v>
      </c>
      <c r="BS195" s="195">
        <v>35181377.355999999</v>
      </c>
      <c r="BT195" s="195">
        <v>1655872.66</v>
      </c>
      <c r="BU195" s="196">
        <f t="shared" si="270"/>
        <v>33525504.695999999</v>
      </c>
      <c r="BV195" s="178">
        <f t="shared" si="252"/>
        <v>8.6304537445071361</v>
      </c>
      <c r="BW195" s="192">
        <f t="shared" si="271"/>
        <v>5.1474158565187729</v>
      </c>
      <c r="BX195" s="192">
        <f t="shared" si="272"/>
        <v>12.131552929162439</v>
      </c>
      <c r="BY195" s="192">
        <f t="shared" si="273"/>
        <v>6.6930498535228526</v>
      </c>
      <c r="BZ195" s="192">
        <f t="shared" si="274"/>
        <v>30.139371978320906</v>
      </c>
      <c r="CA195" s="192">
        <f t="shared" si="253"/>
        <v>70</v>
      </c>
      <c r="CB195" s="55">
        <f t="shared" si="275"/>
        <v>1.4000000000000001</v>
      </c>
      <c r="CC195" s="197">
        <f t="shared" ref="CC195:CC206" si="289">(M195/N195)*100</f>
        <v>42.911005834705577</v>
      </c>
      <c r="CD195" s="198">
        <f t="shared" ref="CD195:CD206" si="290">IF((100-(75*(CC195-1)/(200-1)))&gt;100, 100, IF((100-(75*(CC195-1)/(200-1)))&lt;25, 25, (100-(75*(CC195-1)/(200-1)))))</f>
        <v>84.204394785914985</v>
      </c>
      <c r="CE195" s="58">
        <f t="shared" ref="CE195:CE206" si="291">CD195*0.015</f>
        <v>1.2630659217887248</v>
      </c>
      <c r="CF195" s="245" t="s">
        <v>2326</v>
      </c>
      <c r="CG195" s="245" t="s">
        <v>2326</v>
      </c>
      <c r="CH195" s="245" t="s">
        <v>2326</v>
      </c>
      <c r="CI195" s="245" t="s">
        <v>2326</v>
      </c>
      <c r="CJ195" s="235"/>
      <c r="CK195" s="173" t="s">
        <v>2491</v>
      </c>
      <c r="CL195" s="173" t="s">
        <v>2478</v>
      </c>
      <c r="CM195" s="199">
        <f t="shared" si="276"/>
        <v>25</v>
      </c>
      <c r="CN195" s="58">
        <f t="shared" ref="CN195:CN206" si="292">CM195*0.015</f>
        <v>0.375</v>
      </c>
      <c r="CO195" s="54">
        <v>104835825</v>
      </c>
      <c r="CP195" s="186">
        <f t="shared" si="254"/>
        <v>34.305417219112556</v>
      </c>
      <c r="CQ195" s="179">
        <f t="shared" si="277"/>
        <v>60</v>
      </c>
      <c r="CR195" s="30">
        <f t="shared" ref="CR195:CR206" si="293">CQ195*0.03</f>
        <v>1.7999999999999998</v>
      </c>
      <c r="CS195" s="200">
        <f>_xlfn.XLOOKUP(C195, '1-1. 관계사체무보증금액 (환율 등)'!$3:$3, '1-1. 관계사체무보증금액 (환율 등)'!$33:$33)</f>
        <v>25112785166.833252</v>
      </c>
      <c r="CT195" s="178">
        <f t="shared" si="255"/>
        <v>8217.6543436573884</v>
      </c>
      <c r="CU195" s="179">
        <f t="shared" si="278"/>
        <v>20</v>
      </c>
      <c r="CV195" s="30">
        <f t="shared" ref="CV195:CV206" si="294">CU195*0.02</f>
        <v>0.4</v>
      </c>
      <c r="CW195" s="72">
        <f t="shared" ref="CW195:CW258" si="295">AE195+AJ195+AQ195+AX195+BD195+BN195+BR195+CB195+CE195+CJ195+CN195+CR195+CV195</f>
        <v>15.666547357516064</v>
      </c>
    </row>
    <row r="196" spans="1:101" x14ac:dyDescent="0.6">
      <c r="A196" s="214" t="s">
        <v>1757</v>
      </c>
      <c r="B196" s="13" t="s">
        <v>2176</v>
      </c>
      <c r="C196" s="219" t="s">
        <v>1758</v>
      </c>
      <c r="D196" s="14" t="s">
        <v>202</v>
      </c>
      <c r="E196" s="217" t="s">
        <v>593</v>
      </c>
      <c r="F196" s="217" t="s">
        <v>1759</v>
      </c>
      <c r="G196" s="218">
        <v>44383</v>
      </c>
      <c r="H196" s="217" t="s">
        <v>830</v>
      </c>
      <c r="I196" s="217" t="s">
        <v>1760</v>
      </c>
      <c r="J196" s="217" t="s">
        <v>1761</v>
      </c>
      <c r="K196" s="217" t="s">
        <v>346</v>
      </c>
      <c r="L196" s="220">
        <v>490185292</v>
      </c>
      <c r="M196" s="206">
        <v>160877015</v>
      </c>
      <c r="N196" s="206">
        <v>329308277</v>
      </c>
      <c r="O196" s="206">
        <v>853045926</v>
      </c>
      <c r="P196" s="206">
        <v>11254172</v>
      </c>
      <c r="Q196" s="206">
        <v>25536401</v>
      </c>
      <c r="R196" s="206">
        <v>19988516</v>
      </c>
      <c r="S196" s="207">
        <v>17977732</v>
      </c>
      <c r="T196" s="207">
        <v>293277</v>
      </c>
      <c r="U196" s="207">
        <v>4530000</v>
      </c>
      <c r="V196" s="207">
        <f>440200+47260+45100</f>
        <v>532560</v>
      </c>
      <c r="W196" s="207">
        <f>23750+1500+498+7900+5700+624</f>
        <v>39972</v>
      </c>
      <c r="X196" s="207">
        <v>0</v>
      </c>
      <c r="Z196" s="207">
        <v>0</v>
      </c>
      <c r="AA196" s="207">
        <v>0</v>
      </c>
      <c r="AB196" s="176">
        <f t="shared" si="279"/>
        <v>5102532</v>
      </c>
      <c r="AC196" s="177">
        <f t="shared" si="256"/>
        <v>28.382512321353996</v>
      </c>
      <c r="AD196" s="177">
        <f t="shared" si="280"/>
        <v>75.590466926334301</v>
      </c>
      <c r="AE196" s="26">
        <f t="shared" si="281"/>
        <v>2.2677140077900289</v>
      </c>
      <c r="AF196" s="178">
        <f t="shared" si="257"/>
        <v>28.627175674907708</v>
      </c>
      <c r="AG196" s="178">
        <f t="shared" si="258"/>
        <v>28.85320469304822</v>
      </c>
      <c r="AH196" s="178">
        <f t="shared" si="282"/>
        <v>0.22602901814051179</v>
      </c>
      <c r="AI196" s="179">
        <f t="shared" si="283"/>
        <v>100</v>
      </c>
      <c r="AJ196" s="30">
        <f t="shared" si="284"/>
        <v>4</v>
      </c>
      <c r="AK196" s="204">
        <v>5</v>
      </c>
      <c r="AL196" s="204">
        <v>26</v>
      </c>
      <c r="AM196" s="204">
        <v>1</v>
      </c>
      <c r="AN196" s="181">
        <f t="shared" si="243"/>
        <v>31</v>
      </c>
      <c r="AO196" s="182">
        <f t="shared" si="244"/>
        <v>3.225806451612903</v>
      </c>
      <c r="AP196" s="183">
        <f t="shared" si="259"/>
        <v>100</v>
      </c>
      <c r="AQ196" s="38">
        <f t="shared" si="285"/>
        <v>2</v>
      </c>
      <c r="AR196" s="212">
        <v>3</v>
      </c>
      <c r="AS196" s="292">
        <f t="shared" si="245"/>
        <v>0.25</v>
      </c>
      <c r="AT196" s="185">
        <f t="shared" si="246"/>
        <v>1.25</v>
      </c>
      <c r="AU196" s="185">
        <f t="shared" si="260"/>
        <v>1</v>
      </c>
      <c r="AV196" s="186">
        <f t="shared" si="247"/>
        <v>40</v>
      </c>
      <c r="AW196" s="179">
        <f t="shared" si="261"/>
        <v>100</v>
      </c>
      <c r="AX196" s="239">
        <f t="shared" si="286"/>
        <v>1</v>
      </c>
      <c r="AY196" s="54">
        <v>8</v>
      </c>
      <c r="AZ196" s="54">
        <f>24-2</f>
        <v>22</v>
      </c>
      <c r="BA196" s="189">
        <f t="shared" si="248"/>
        <v>24</v>
      </c>
      <c r="BB196" s="178">
        <f t="shared" si="262"/>
        <v>91.666666666666657</v>
      </c>
      <c r="BC196" s="179">
        <f t="shared" si="263"/>
        <v>100</v>
      </c>
      <c r="BD196" s="30">
        <f t="shared" si="287"/>
        <v>1</v>
      </c>
      <c r="BE196" s="190">
        <v>7497366</v>
      </c>
      <c r="BF196" s="190">
        <v>692722</v>
      </c>
      <c r="BG196" s="54">
        <v>529195</v>
      </c>
      <c r="BH196" s="191">
        <f t="shared" si="249"/>
        <v>8190088</v>
      </c>
      <c r="BI196" s="178">
        <f t="shared" si="250"/>
        <v>6.4614079848714683</v>
      </c>
      <c r="BJ196" s="294" t="str">
        <f t="shared" si="264"/>
        <v>전기전자/기계업</v>
      </c>
      <c r="BK196" s="192">
        <f t="shared" si="265"/>
        <v>2.4096449716116455</v>
      </c>
      <c r="BL196" s="193">
        <f t="shared" si="266"/>
        <v>4.0517630132598228</v>
      </c>
      <c r="BM196" s="241">
        <f t="shared" si="267"/>
        <v>40</v>
      </c>
      <c r="BN196" s="47">
        <f t="shared" si="268"/>
        <v>0.8</v>
      </c>
      <c r="BO196" s="54">
        <v>39742290</v>
      </c>
      <c r="BP196" s="194">
        <f t="shared" si="251"/>
        <v>4.658868741845442</v>
      </c>
      <c r="BQ196" s="179">
        <f t="shared" si="269"/>
        <v>100</v>
      </c>
      <c r="BR196" s="30">
        <f t="shared" si="288"/>
        <v>2</v>
      </c>
      <c r="BS196" s="195">
        <v>32310008.909000002</v>
      </c>
      <c r="BT196" s="195">
        <v>3798271.1549999998</v>
      </c>
      <c r="BU196" s="196">
        <f t="shared" si="270"/>
        <v>28511737.754000001</v>
      </c>
      <c r="BV196" s="178">
        <f t="shared" si="252"/>
        <v>3.3423449881173219</v>
      </c>
      <c r="BW196" s="192">
        <f t="shared" si="271"/>
        <v>5.2309968128308268</v>
      </c>
      <c r="BX196" s="192">
        <f t="shared" si="272"/>
        <v>3.5670057149936518</v>
      </c>
      <c r="BY196" s="192">
        <f t="shared" si="273"/>
        <v>7.0695458012309622</v>
      </c>
      <c r="BZ196" s="192">
        <f t="shared" si="274"/>
        <v>60.532439830820373</v>
      </c>
      <c r="CA196" s="192">
        <f t="shared" si="253"/>
        <v>40</v>
      </c>
      <c r="CB196" s="55">
        <f t="shared" si="275"/>
        <v>0.8</v>
      </c>
      <c r="CC196" s="197">
        <f t="shared" si="289"/>
        <v>48.853012886766891</v>
      </c>
      <c r="CD196" s="198">
        <f t="shared" si="290"/>
        <v>81.96494489192203</v>
      </c>
      <c r="CE196" s="58">
        <f t="shared" si="291"/>
        <v>1.2294741733788304</v>
      </c>
      <c r="CF196" s="245" t="s">
        <v>2326</v>
      </c>
      <c r="CG196" s="245" t="s">
        <v>2326</v>
      </c>
      <c r="CH196" s="245" t="s">
        <v>2326</v>
      </c>
      <c r="CI196" s="245" t="s">
        <v>2326</v>
      </c>
      <c r="CJ196" s="235"/>
      <c r="CK196" s="173" t="s">
        <v>2479</v>
      </c>
      <c r="CL196" s="173" t="s">
        <v>2478</v>
      </c>
      <c r="CM196" s="199">
        <f t="shared" si="276"/>
        <v>25</v>
      </c>
      <c r="CN196" s="58">
        <f t="shared" si="292"/>
        <v>0.375</v>
      </c>
      <c r="CO196" s="54">
        <f>990000+121582471+110300</f>
        <v>122682771</v>
      </c>
      <c r="CP196" s="186">
        <f t="shared" si="254"/>
        <v>37.254687953075653</v>
      </c>
      <c r="CQ196" s="179">
        <f t="shared" si="277"/>
        <v>40</v>
      </c>
      <c r="CR196" s="30">
        <f t="shared" si="293"/>
        <v>1.2</v>
      </c>
      <c r="CS196" s="200">
        <f>_xlfn.XLOOKUP(C196, '1-1. 관계사체무보증금액 (환율 등)'!$3:$3, '1-1. 관계사체무보증금액 (환율 등)'!$33:$33)</f>
        <v>0</v>
      </c>
      <c r="CT196" s="178">
        <f t="shared" si="255"/>
        <v>0</v>
      </c>
      <c r="CU196" s="179">
        <f t="shared" si="278"/>
        <v>100</v>
      </c>
      <c r="CV196" s="30">
        <f t="shared" si="294"/>
        <v>2</v>
      </c>
      <c r="CW196" s="72">
        <f t="shared" si="295"/>
        <v>18.672188181168863</v>
      </c>
    </row>
    <row r="197" spans="1:101" x14ac:dyDescent="0.6">
      <c r="A197" s="214" t="s">
        <v>524</v>
      </c>
      <c r="B197" s="13" t="s">
        <v>2177</v>
      </c>
      <c r="C197" s="219" t="s">
        <v>905</v>
      </c>
      <c r="D197" s="216" t="s">
        <v>203</v>
      </c>
      <c r="E197" s="217" t="s">
        <v>246</v>
      </c>
      <c r="F197" s="217" t="s">
        <v>1190</v>
      </c>
      <c r="G197" s="218">
        <v>35669</v>
      </c>
      <c r="H197" s="217" t="s">
        <v>830</v>
      </c>
      <c r="I197" s="217" t="s">
        <v>760</v>
      </c>
      <c r="J197" s="217" t="s">
        <v>1090</v>
      </c>
      <c r="K197" s="217" t="s">
        <v>317</v>
      </c>
      <c r="L197" s="220">
        <v>169880794</v>
      </c>
      <c r="M197" s="206">
        <v>10753658</v>
      </c>
      <c r="N197" s="206">
        <v>159127136</v>
      </c>
      <c r="O197" s="206">
        <v>80968867</v>
      </c>
      <c r="P197" s="206">
        <v>2227640</v>
      </c>
      <c r="Q197" s="206">
        <v>2895711</v>
      </c>
      <c r="R197" s="206">
        <v>2402054</v>
      </c>
      <c r="S197" s="207">
        <v>20000000</v>
      </c>
      <c r="T197" s="207">
        <v>500000</v>
      </c>
      <c r="U197" s="207">
        <v>10200000</v>
      </c>
      <c r="V197" s="207">
        <v>0</v>
      </c>
      <c r="W197" s="207">
        <v>0</v>
      </c>
      <c r="X197" s="207">
        <v>0</v>
      </c>
      <c r="Z197" s="207">
        <v>0</v>
      </c>
      <c r="AA197" s="207">
        <v>0</v>
      </c>
      <c r="AB197" s="176">
        <f t="shared" si="279"/>
        <v>10200000</v>
      </c>
      <c r="AC197" s="177">
        <f t="shared" si="256"/>
        <v>51</v>
      </c>
      <c r="AD197" s="177">
        <f t="shared" si="280"/>
        <v>56.070195627157652</v>
      </c>
      <c r="AE197" s="26">
        <f t="shared" si="281"/>
        <v>1.6821058688147295</v>
      </c>
      <c r="AF197" s="178">
        <f t="shared" si="257"/>
        <v>52.307692307692314</v>
      </c>
      <c r="AG197" s="178">
        <f t="shared" si="258"/>
        <v>52.307692307692314</v>
      </c>
      <c r="AH197" s="178">
        <f t="shared" si="282"/>
        <v>0</v>
      </c>
      <c r="AI197" s="179">
        <f t="shared" si="283"/>
        <v>100</v>
      </c>
      <c r="AJ197" s="30">
        <f t="shared" si="284"/>
        <v>4</v>
      </c>
      <c r="AK197" s="204">
        <v>6</v>
      </c>
      <c r="AL197" s="204">
        <v>5</v>
      </c>
      <c r="AM197" s="204">
        <v>0</v>
      </c>
      <c r="AN197" s="181">
        <f t="shared" si="243"/>
        <v>11</v>
      </c>
      <c r="AO197" s="182">
        <f t="shared" si="244"/>
        <v>0</v>
      </c>
      <c r="AP197" s="183">
        <f t="shared" si="259"/>
        <v>100</v>
      </c>
      <c r="AQ197" s="38">
        <f t="shared" si="285"/>
        <v>2</v>
      </c>
      <c r="AR197" s="212">
        <v>2</v>
      </c>
      <c r="AS197" s="292">
        <f t="shared" si="245"/>
        <v>0.25</v>
      </c>
      <c r="AT197" s="185">
        <f t="shared" si="246"/>
        <v>1.5</v>
      </c>
      <c r="AU197" s="185">
        <f t="shared" si="260"/>
        <v>1</v>
      </c>
      <c r="AV197" s="186">
        <f t="shared" si="247"/>
        <v>16.666666666666664</v>
      </c>
      <c r="AW197" s="179">
        <f t="shared" si="261"/>
        <v>60</v>
      </c>
      <c r="AX197" s="239">
        <f t="shared" si="286"/>
        <v>0.6</v>
      </c>
      <c r="AY197" s="54">
        <v>5</v>
      </c>
      <c r="AZ197" s="54">
        <v>0</v>
      </c>
      <c r="BA197" s="189">
        <f t="shared" si="248"/>
        <v>10</v>
      </c>
      <c r="BB197" s="178">
        <f t="shared" si="262"/>
        <v>0</v>
      </c>
      <c r="BC197" s="179">
        <f t="shared" si="263"/>
        <v>25</v>
      </c>
      <c r="BD197" s="30">
        <f t="shared" si="287"/>
        <v>0.25</v>
      </c>
      <c r="BE197" s="190">
        <v>4621015</v>
      </c>
      <c r="BF197" s="190">
        <v>160675</v>
      </c>
      <c r="BG197" s="54">
        <v>313408</v>
      </c>
      <c r="BH197" s="191">
        <f t="shared" si="249"/>
        <v>4781690</v>
      </c>
      <c r="BI197" s="178">
        <f t="shared" si="250"/>
        <v>6.5543353918802767</v>
      </c>
      <c r="BJ197" s="294" t="str">
        <f t="shared" si="264"/>
        <v>금속/비금속/화학업</v>
      </c>
      <c r="BK197" s="192">
        <f t="shared" si="265"/>
        <v>3.9534118626990464</v>
      </c>
      <c r="BL197" s="193">
        <f t="shared" si="266"/>
        <v>2.6009235291812303</v>
      </c>
      <c r="BM197" s="241">
        <f t="shared" si="267"/>
        <v>40</v>
      </c>
      <c r="BN197" s="47">
        <f t="shared" si="268"/>
        <v>0.8</v>
      </c>
      <c r="BO197" s="54">
        <v>1945206</v>
      </c>
      <c r="BP197" s="194">
        <f t="shared" si="251"/>
        <v>2.4024122753255273</v>
      </c>
      <c r="BQ197" s="179">
        <f t="shared" si="269"/>
        <v>85</v>
      </c>
      <c r="BR197" s="30">
        <f t="shared" si="288"/>
        <v>1.7</v>
      </c>
      <c r="BS197" s="195">
        <v>4035276.753</v>
      </c>
      <c r="BT197" s="195">
        <v>59270.1</v>
      </c>
      <c r="BU197" s="196">
        <f t="shared" si="270"/>
        <v>3976006.6529999999</v>
      </c>
      <c r="BV197" s="178">
        <f t="shared" si="252"/>
        <v>4.9105375934184678</v>
      </c>
      <c r="BW197" s="192">
        <f t="shared" si="271"/>
        <v>5.1474158565187729</v>
      </c>
      <c r="BX197" s="192">
        <f t="shared" si="272"/>
        <v>5.6111311529417326E-2</v>
      </c>
      <c r="BY197" s="192">
        <f t="shared" si="273"/>
        <v>6.6930498535228526</v>
      </c>
      <c r="BZ197" s="192">
        <f t="shared" si="274"/>
        <v>51.411628959655033</v>
      </c>
      <c r="CA197" s="192">
        <f t="shared" si="253"/>
        <v>55</v>
      </c>
      <c r="CB197" s="55">
        <f t="shared" si="275"/>
        <v>1.1000000000000001</v>
      </c>
      <c r="CC197" s="197">
        <f t="shared" si="289"/>
        <v>6.7579033157487354</v>
      </c>
      <c r="CD197" s="198">
        <f t="shared" si="290"/>
        <v>97.829935936275604</v>
      </c>
      <c r="CE197" s="58">
        <f t="shared" si="291"/>
        <v>1.4674490390441339</v>
      </c>
      <c r="CF197" s="245" t="s">
        <v>2326</v>
      </c>
      <c r="CG197" s="245" t="s">
        <v>2326</v>
      </c>
      <c r="CH197" s="245" t="s">
        <v>2326</v>
      </c>
      <c r="CI197" s="245" t="s">
        <v>2326</v>
      </c>
      <c r="CJ197" s="235"/>
      <c r="CK197" s="173" t="s">
        <v>2492</v>
      </c>
      <c r="CL197" s="173" t="s">
        <v>2493</v>
      </c>
      <c r="CM197" s="199">
        <f t="shared" si="276"/>
        <v>40</v>
      </c>
      <c r="CN197" s="58">
        <f t="shared" si="292"/>
        <v>0.6</v>
      </c>
      <c r="CO197" s="54">
        <f>46813000-150000</f>
        <v>46663000</v>
      </c>
      <c r="CP197" s="186">
        <f t="shared" si="254"/>
        <v>29.324351064798904</v>
      </c>
      <c r="CQ197" s="179">
        <f t="shared" si="277"/>
        <v>60</v>
      </c>
      <c r="CR197" s="30">
        <f t="shared" si="293"/>
        <v>1.7999999999999998</v>
      </c>
      <c r="CS197" s="200">
        <f>_xlfn.XLOOKUP(C197, '1-1. 관계사체무보증금액 (환율 등)'!$3:$3, '1-1. 관계사체무보증금액 (환율 등)'!$33:$33)</f>
        <v>0</v>
      </c>
      <c r="CT197" s="178">
        <f t="shared" si="255"/>
        <v>0</v>
      </c>
      <c r="CU197" s="179">
        <f t="shared" si="278"/>
        <v>100</v>
      </c>
      <c r="CV197" s="30">
        <f t="shared" si="294"/>
        <v>2</v>
      </c>
      <c r="CW197" s="72">
        <f t="shared" si="295"/>
        <v>17.999554907858862</v>
      </c>
    </row>
    <row r="198" spans="1:101" x14ac:dyDescent="0.6">
      <c r="A198" s="214" t="s">
        <v>506</v>
      </c>
      <c r="B198" s="13" t="s">
        <v>2178</v>
      </c>
      <c r="C198" s="219" t="s">
        <v>453</v>
      </c>
      <c r="D198" s="216" t="s">
        <v>285</v>
      </c>
      <c r="E198" s="217" t="s">
        <v>245</v>
      </c>
      <c r="F198" s="217" t="s">
        <v>344</v>
      </c>
      <c r="G198" s="218">
        <v>40024</v>
      </c>
      <c r="H198" s="217" t="s">
        <v>830</v>
      </c>
      <c r="I198" s="217" t="s">
        <v>724</v>
      </c>
      <c r="J198" s="1" t="s">
        <v>2306</v>
      </c>
      <c r="K198" s="217" t="s">
        <v>91</v>
      </c>
      <c r="L198" s="220">
        <v>1895028518</v>
      </c>
      <c r="M198" s="206">
        <v>309482206</v>
      </c>
      <c r="N198" s="206">
        <v>1585546312</v>
      </c>
      <c r="O198" s="206">
        <v>2130649097</v>
      </c>
      <c r="P198" s="206">
        <v>241563536</v>
      </c>
      <c r="Q198" s="206">
        <v>256945444</v>
      </c>
      <c r="R198" s="206">
        <v>204214530</v>
      </c>
      <c r="S198" s="207">
        <v>44311468</v>
      </c>
      <c r="T198" s="207">
        <v>445407</v>
      </c>
      <c r="U198" s="207">
        <v>22386320</v>
      </c>
      <c r="V198" s="207">
        <f>9600</f>
        <v>9600</v>
      </c>
      <c r="W198" s="207">
        <f>2844+1524+108+800+230</f>
        <v>5506</v>
      </c>
      <c r="X198" s="207">
        <v>0</v>
      </c>
      <c r="Z198" s="207">
        <v>0</v>
      </c>
      <c r="AA198" s="207">
        <v>0</v>
      </c>
      <c r="AB198" s="176">
        <f t="shared" si="279"/>
        <v>22401426</v>
      </c>
      <c r="AC198" s="177">
        <f t="shared" si="256"/>
        <v>50.554465945474881</v>
      </c>
      <c r="AD198" s="177">
        <f t="shared" si="280"/>
        <v>56.454718689175884</v>
      </c>
      <c r="AE198" s="26">
        <f t="shared" si="281"/>
        <v>1.6936415606752764</v>
      </c>
      <c r="AF198" s="178">
        <f t="shared" si="257"/>
        <v>51.055233794527389</v>
      </c>
      <c r="AG198" s="178">
        <f t="shared" si="258"/>
        <v>51.067785639563127</v>
      </c>
      <c r="AH198" s="178">
        <f t="shared" si="282"/>
        <v>1.2551845035737585E-2</v>
      </c>
      <c r="AI198" s="179">
        <f t="shared" si="283"/>
        <v>100</v>
      </c>
      <c r="AJ198" s="30">
        <f t="shared" si="284"/>
        <v>4</v>
      </c>
      <c r="AK198" s="204">
        <v>10</v>
      </c>
      <c r="AL198" s="204">
        <v>14</v>
      </c>
      <c r="AM198" s="180">
        <v>1</v>
      </c>
      <c r="AN198" s="181">
        <f t="shared" si="243"/>
        <v>24</v>
      </c>
      <c r="AO198" s="182">
        <f t="shared" si="244"/>
        <v>4.1666666666666661</v>
      </c>
      <c r="AP198" s="183">
        <f t="shared" si="259"/>
        <v>100</v>
      </c>
      <c r="AQ198" s="38">
        <f t="shared" si="285"/>
        <v>2</v>
      </c>
      <c r="AR198" s="212">
        <v>5</v>
      </c>
      <c r="AS198" s="292">
        <f t="shared" si="245"/>
        <v>0.25</v>
      </c>
      <c r="AT198" s="185">
        <f t="shared" si="246"/>
        <v>2.5</v>
      </c>
      <c r="AU198" s="185">
        <f t="shared" si="260"/>
        <v>2</v>
      </c>
      <c r="AV198" s="186">
        <f t="shared" si="247"/>
        <v>30</v>
      </c>
      <c r="AW198" s="179">
        <f t="shared" si="261"/>
        <v>80</v>
      </c>
      <c r="AX198" s="239">
        <f t="shared" si="286"/>
        <v>0.8</v>
      </c>
      <c r="AY198" s="54">
        <v>5</v>
      </c>
      <c r="AZ198" s="54">
        <v>25</v>
      </c>
      <c r="BA198" s="189">
        <f t="shared" si="248"/>
        <v>25</v>
      </c>
      <c r="BB198" s="178">
        <f t="shared" si="262"/>
        <v>100</v>
      </c>
      <c r="BC198" s="179">
        <f t="shared" si="263"/>
        <v>100</v>
      </c>
      <c r="BD198" s="30">
        <f t="shared" si="287"/>
        <v>1</v>
      </c>
      <c r="BE198" s="190">
        <v>24504838</v>
      </c>
      <c r="BF198" s="190">
        <v>1762052</v>
      </c>
      <c r="BG198" s="54">
        <v>489093</v>
      </c>
      <c r="BH198" s="191">
        <f t="shared" si="249"/>
        <v>26266890</v>
      </c>
      <c r="BI198" s="178">
        <f t="shared" si="250"/>
        <v>1.8620133559778109</v>
      </c>
      <c r="BJ198" s="294" t="str">
        <f t="shared" si="264"/>
        <v>비제조/서비스업</v>
      </c>
      <c r="BK198" s="192">
        <f t="shared" si="265"/>
        <v>1.7464434573900924</v>
      </c>
      <c r="BL198" s="193">
        <f t="shared" si="266"/>
        <v>0.11556989858771849</v>
      </c>
      <c r="BM198" s="241">
        <f t="shared" si="267"/>
        <v>60</v>
      </c>
      <c r="BN198" s="47">
        <f t="shared" si="268"/>
        <v>1.2</v>
      </c>
      <c r="BO198" s="54">
        <v>209743</v>
      </c>
      <c r="BP198" s="194">
        <f t="shared" si="251"/>
        <v>9.8440893104041714E-3</v>
      </c>
      <c r="BQ198" s="179">
        <f t="shared" si="269"/>
        <v>40</v>
      </c>
      <c r="BR198" s="30">
        <f t="shared" si="288"/>
        <v>0.8</v>
      </c>
      <c r="BS198" s="195">
        <v>1676634</v>
      </c>
      <c r="BT198" s="195">
        <v>509612</v>
      </c>
      <c r="BU198" s="196">
        <f t="shared" si="270"/>
        <v>1167022</v>
      </c>
      <c r="BV198" s="178">
        <f t="shared" si="252"/>
        <v>5.4773073691167268E-2</v>
      </c>
      <c r="BW198" s="192">
        <f t="shared" si="271"/>
        <v>2.8482825397737606</v>
      </c>
      <c r="BX198" s="192">
        <f t="shared" si="272"/>
        <v>7.8036951370930554</v>
      </c>
      <c r="BY198" s="192">
        <f t="shared" si="273"/>
        <v>5.5697595856656799</v>
      </c>
      <c r="BZ198" s="192">
        <f t="shared" si="274"/>
        <v>69.200773274218932</v>
      </c>
      <c r="CA198" s="192">
        <f t="shared" si="253"/>
        <v>40</v>
      </c>
      <c r="CB198" s="55">
        <f t="shared" si="275"/>
        <v>0.8</v>
      </c>
      <c r="CC198" s="197">
        <f t="shared" si="289"/>
        <v>19.518963505368742</v>
      </c>
      <c r="CD198" s="198">
        <f t="shared" si="290"/>
        <v>93.020491141192679</v>
      </c>
      <c r="CE198" s="58">
        <f t="shared" si="291"/>
        <v>1.3953073671178902</v>
      </c>
      <c r="CF198" s="245" t="s">
        <v>2326</v>
      </c>
      <c r="CG198" s="245" t="s">
        <v>2326</v>
      </c>
      <c r="CH198" s="245" t="s">
        <v>2326</v>
      </c>
      <c r="CI198" s="245" t="s">
        <v>2326</v>
      </c>
      <c r="CJ198" s="235"/>
      <c r="CK198" s="173" t="s">
        <v>2486</v>
      </c>
      <c r="CL198" s="173" t="s">
        <v>2487</v>
      </c>
      <c r="CM198" s="199">
        <f t="shared" si="276"/>
        <v>70</v>
      </c>
      <c r="CN198" s="58">
        <f t="shared" si="292"/>
        <v>1.05</v>
      </c>
      <c r="CO198" s="54">
        <v>593582000</v>
      </c>
      <c r="CP198" s="186">
        <f t="shared" si="254"/>
        <v>37.437064783762686</v>
      </c>
      <c r="CQ198" s="179">
        <f t="shared" si="277"/>
        <v>40</v>
      </c>
      <c r="CR198" s="30">
        <f t="shared" si="293"/>
        <v>1.2</v>
      </c>
      <c r="CS198" s="200">
        <f>_xlfn.XLOOKUP(C198, '1-1. 관계사체무보증금액 (환율 등)'!$3:$3, '1-1. 관계사체무보증금액 (환율 등)'!$33:$33)</f>
        <v>0</v>
      </c>
      <c r="CT198" s="178">
        <f t="shared" si="255"/>
        <v>0</v>
      </c>
      <c r="CU198" s="179">
        <f t="shared" si="278"/>
        <v>100</v>
      </c>
      <c r="CV198" s="30">
        <f t="shared" si="294"/>
        <v>2</v>
      </c>
      <c r="CW198" s="72">
        <f t="shared" si="295"/>
        <v>17.93894892779317</v>
      </c>
    </row>
    <row r="199" spans="1:101" x14ac:dyDescent="0.6">
      <c r="A199" s="214" t="s">
        <v>1762</v>
      </c>
      <c r="B199" s="13" t="s">
        <v>2179</v>
      </c>
      <c r="C199" s="219" t="s">
        <v>864</v>
      </c>
      <c r="D199" s="216" t="s">
        <v>191</v>
      </c>
      <c r="E199" s="217" t="s">
        <v>1029</v>
      </c>
      <c r="F199" s="217" t="s">
        <v>1002</v>
      </c>
      <c r="G199" s="218">
        <v>35249</v>
      </c>
      <c r="H199" s="217" t="s">
        <v>830</v>
      </c>
      <c r="I199" s="217" t="s">
        <v>718</v>
      </c>
      <c r="J199" s="217" t="s">
        <v>1122</v>
      </c>
      <c r="K199" s="217" t="s">
        <v>690</v>
      </c>
      <c r="L199" s="220">
        <v>203654155</v>
      </c>
      <c r="M199" s="206">
        <v>67128963</v>
      </c>
      <c r="N199" s="206">
        <v>136525192</v>
      </c>
      <c r="O199" s="206">
        <v>105452639</v>
      </c>
      <c r="P199" s="206">
        <v>7856944</v>
      </c>
      <c r="Q199" s="206">
        <v>10061299</v>
      </c>
      <c r="R199" s="206">
        <v>7970141</v>
      </c>
      <c r="S199" s="207">
        <v>22295000</v>
      </c>
      <c r="T199" s="207">
        <v>4627676</v>
      </c>
      <c r="U199" s="207">
        <v>11316730</v>
      </c>
      <c r="V199" s="207">
        <v>0</v>
      </c>
      <c r="W199" s="207">
        <v>0</v>
      </c>
      <c r="X199" s="207">
        <v>0</v>
      </c>
      <c r="Z199" s="207">
        <v>0</v>
      </c>
      <c r="AA199" s="207">
        <v>0</v>
      </c>
      <c r="AB199" s="176">
        <f t="shared" si="279"/>
        <v>11316730</v>
      </c>
      <c r="AC199" s="177">
        <f t="shared" si="256"/>
        <v>50.759049114151154</v>
      </c>
      <c r="AD199" s="177">
        <f t="shared" si="280"/>
        <v>56.278150937153782</v>
      </c>
      <c r="AE199" s="26">
        <f t="shared" si="281"/>
        <v>1.6883445281146134</v>
      </c>
      <c r="AF199" s="178">
        <f t="shared" si="257"/>
        <v>64.054578950383203</v>
      </c>
      <c r="AG199" s="178">
        <f t="shared" si="258"/>
        <v>64.054578950383203</v>
      </c>
      <c r="AH199" s="178">
        <f t="shared" si="282"/>
        <v>0</v>
      </c>
      <c r="AI199" s="179">
        <f t="shared" si="283"/>
        <v>100</v>
      </c>
      <c r="AJ199" s="30">
        <f t="shared" si="284"/>
        <v>4</v>
      </c>
      <c r="AK199" s="204">
        <v>8</v>
      </c>
      <c r="AL199" s="204">
        <v>5</v>
      </c>
      <c r="AM199" s="204">
        <v>0</v>
      </c>
      <c r="AN199" s="181">
        <f t="shared" si="243"/>
        <v>13</v>
      </c>
      <c r="AO199" s="182">
        <f t="shared" si="244"/>
        <v>0</v>
      </c>
      <c r="AP199" s="183">
        <f t="shared" si="259"/>
        <v>100</v>
      </c>
      <c r="AQ199" s="38">
        <f t="shared" si="285"/>
        <v>2</v>
      </c>
      <c r="AR199" s="212">
        <v>3</v>
      </c>
      <c r="AS199" s="292">
        <f t="shared" si="245"/>
        <v>0.25</v>
      </c>
      <c r="AT199" s="185">
        <f t="shared" si="246"/>
        <v>2</v>
      </c>
      <c r="AU199" s="185">
        <f t="shared" si="260"/>
        <v>2</v>
      </c>
      <c r="AV199" s="186">
        <f t="shared" si="247"/>
        <v>12.5</v>
      </c>
      <c r="AW199" s="179">
        <f t="shared" si="261"/>
        <v>60</v>
      </c>
      <c r="AX199" s="239">
        <f t="shared" si="286"/>
        <v>0.6</v>
      </c>
      <c r="AY199" s="54">
        <v>11</v>
      </c>
      <c r="AZ199" s="54">
        <f>3*11-8-5</f>
        <v>20</v>
      </c>
      <c r="BA199" s="189">
        <f t="shared" si="248"/>
        <v>33</v>
      </c>
      <c r="BB199" s="178">
        <f t="shared" si="262"/>
        <v>60.606060606060609</v>
      </c>
      <c r="BC199" s="179">
        <f t="shared" si="263"/>
        <v>25</v>
      </c>
      <c r="BD199" s="30">
        <f t="shared" si="287"/>
        <v>0.25</v>
      </c>
      <c r="BE199" s="190">
        <v>2291135</v>
      </c>
      <c r="BF199" s="190">
        <v>214230</v>
      </c>
      <c r="BG199" s="301">
        <v>0</v>
      </c>
      <c r="BH199" s="191">
        <f t="shared" si="249"/>
        <v>2505365</v>
      </c>
      <c r="BI199" s="178">
        <f t="shared" si="250"/>
        <v>0</v>
      </c>
      <c r="BJ199" s="294" t="str">
        <f t="shared" si="264"/>
        <v>식약/섬유/종이업</v>
      </c>
      <c r="BK199" s="192">
        <f t="shared" si="265"/>
        <v>2.1999360555264444</v>
      </c>
      <c r="BL199" s="193">
        <f t="shared" si="266"/>
        <v>-2.1999360555264444</v>
      </c>
      <c r="BM199" s="241">
        <f t="shared" si="267"/>
        <v>100</v>
      </c>
      <c r="BN199" s="47">
        <f t="shared" si="268"/>
        <v>2</v>
      </c>
      <c r="BO199" s="54">
        <v>0</v>
      </c>
      <c r="BP199" s="194">
        <f t="shared" si="251"/>
        <v>0</v>
      </c>
      <c r="BQ199" s="179">
        <f t="shared" si="269"/>
        <v>25</v>
      </c>
      <c r="BR199" s="30">
        <f t="shared" si="288"/>
        <v>0.5</v>
      </c>
      <c r="BS199" s="195">
        <v>10802469.827</v>
      </c>
      <c r="BT199" s="195">
        <v>1338991.1610000001</v>
      </c>
      <c r="BU199" s="196">
        <f t="shared" si="270"/>
        <v>9463478.6659999993</v>
      </c>
      <c r="BV199" s="178">
        <f t="shared" si="252"/>
        <v>8.9741506288903778</v>
      </c>
      <c r="BW199" s="192">
        <f t="shared" si="271"/>
        <v>5.0508176117342281</v>
      </c>
      <c r="BX199" s="192">
        <f t="shared" si="272"/>
        <v>15.392541963507577</v>
      </c>
      <c r="BY199" s="192">
        <f t="shared" si="273"/>
        <v>6.9871618081220941</v>
      </c>
      <c r="BZ199" s="192">
        <f t="shared" si="274"/>
        <v>28.722633333807611</v>
      </c>
      <c r="CA199" s="192">
        <f t="shared" si="253"/>
        <v>70</v>
      </c>
      <c r="CB199" s="55">
        <f t="shared" si="275"/>
        <v>1.4000000000000001</v>
      </c>
      <c r="CC199" s="197">
        <f t="shared" si="289"/>
        <v>49.169652879887543</v>
      </c>
      <c r="CD199" s="198">
        <f t="shared" si="290"/>
        <v>81.845608211097655</v>
      </c>
      <c r="CE199" s="58">
        <f t="shared" si="291"/>
        <v>1.2276841231664648</v>
      </c>
      <c r="CF199" s="245" t="s">
        <v>2326</v>
      </c>
      <c r="CG199" s="245" t="s">
        <v>2326</v>
      </c>
      <c r="CH199" s="245" t="s">
        <v>2326</v>
      </c>
      <c r="CI199" s="245" t="s">
        <v>2326</v>
      </c>
      <c r="CJ199" s="235"/>
      <c r="CK199" s="173" t="s">
        <v>2479</v>
      </c>
      <c r="CL199" s="173" t="s">
        <v>2478</v>
      </c>
      <c r="CM199" s="199">
        <f t="shared" si="276"/>
        <v>25</v>
      </c>
      <c r="CN199" s="58">
        <f t="shared" si="292"/>
        <v>0.375</v>
      </c>
      <c r="CO199" s="54">
        <v>800000</v>
      </c>
      <c r="CP199" s="186">
        <f t="shared" si="254"/>
        <v>0.58597244089574319</v>
      </c>
      <c r="CQ199" s="179">
        <f t="shared" si="277"/>
        <v>100</v>
      </c>
      <c r="CR199" s="30">
        <f t="shared" si="293"/>
        <v>3</v>
      </c>
      <c r="CS199" s="200">
        <f>_xlfn.XLOOKUP(C199, '1-1. 관계사체무보증금액 (환율 등)'!$3:$3, '1-1. 관계사체무보증금액 (환율 등)'!$33:$33)</f>
        <v>0</v>
      </c>
      <c r="CT199" s="178">
        <f t="shared" si="255"/>
        <v>0</v>
      </c>
      <c r="CU199" s="179">
        <f t="shared" si="278"/>
        <v>100</v>
      </c>
      <c r="CV199" s="30">
        <f t="shared" si="294"/>
        <v>2</v>
      </c>
      <c r="CW199" s="72">
        <f t="shared" si="295"/>
        <v>19.041028651281081</v>
      </c>
    </row>
    <row r="200" spans="1:101" x14ac:dyDescent="0.6">
      <c r="A200" s="214" t="s">
        <v>792</v>
      </c>
      <c r="B200" s="13" t="s">
        <v>2180</v>
      </c>
      <c r="C200" s="219" t="s">
        <v>518</v>
      </c>
      <c r="D200" s="216" t="s">
        <v>191</v>
      </c>
      <c r="E200" s="217" t="s">
        <v>178</v>
      </c>
      <c r="F200" s="217" t="s">
        <v>280</v>
      </c>
      <c r="G200" s="218">
        <v>42923</v>
      </c>
      <c r="H200" s="217" t="s">
        <v>830</v>
      </c>
      <c r="I200" s="217" t="s">
        <v>702</v>
      </c>
      <c r="J200" s="217" t="s">
        <v>1181</v>
      </c>
      <c r="K200" s="217" t="s">
        <v>91</v>
      </c>
      <c r="L200" s="220">
        <v>1228500766</v>
      </c>
      <c r="M200" s="206">
        <v>276810740</v>
      </c>
      <c r="N200" s="206">
        <v>951690026</v>
      </c>
      <c r="O200" s="206">
        <v>939112572</v>
      </c>
      <c r="P200" s="206">
        <v>140231959</v>
      </c>
      <c r="Q200" s="206">
        <v>140016468</v>
      </c>
      <c r="R200" s="206">
        <v>104657276</v>
      </c>
      <c r="S200" s="207">
        <v>39536132</v>
      </c>
      <c r="T200" s="207">
        <v>7344</v>
      </c>
      <c r="U200" s="207">
        <f>14775139+1613553</f>
        <v>16388692</v>
      </c>
      <c r="V200" s="207">
        <f>238997+486909+197670</f>
        <v>923576</v>
      </c>
      <c r="W200" s="207">
        <f>6400+65+861+548</f>
        <v>7874</v>
      </c>
      <c r="X200" s="207">
        <v>0</v>
      </c>
      <c r="Z200" s="207">
        <v>0</v>
      </c>
      <c r="AA200" s="207">
        <v>0</v>
      </c>
      <c r="AB200" s="176">
        <f t="shared" si="279"/>
        <v>17320142</v>
      </c>
      <c r="AC200" s="177">
        <f t="shared" si="256"/>
        <v>43.808387729988354</v>
      </c>
      <c r="AD200" s="177">
        <f t="shared" si="280"/>
        <v>62.276995630044574</v>
      </c>
      <c r="AE200" s="26">
        <f t="shared" si="281"/>
        <v>1.8683098689013371</v>
      </c>
      <c r="AF200" s="178">
        <f t="shared" si="257"/>
        <v>43.796607171461972</v>
      </c>
      <c r="AG200" s="178">
        <f t="shared" si="258"/>
        <v>43.816526831027552</v>
      </c>
      <c r="AH200" s="178">
        <f t="shared" si="282"/>
        <v>1.9919659565580616E-2</v>
      </c>
      <c r="AI200" s="179">
        <f t="shared" si="283"/>
        <v>100</v>
      </c>
      <c r="AJ200" s="30">
        <f t="shared" si="284"/>
        <v>4</v>
      </c>
      <c r="AK200" s="204">
        <v>5</v>
      </c>
      <c r="AL200" s="204">
        <v>15</v>
      </c>
      <c r="AM200" s="204">
        <v>2</v>
      </c>
      <c r="AN200" s="181">
        <f t="shared" si="243"/>
        <v>20</v>
      </c>
      <c r="AO200" s="182">
        <f t="shared" si="244"/>
        <v>10</v>
      </c>
      <c r="AP200" s="183">
        <f t="shared" si="259"/>
        <v>80</v>
      </c>
      <c r="AQ200" s="38">
        <f t="shared" si="285"/>
        <v>1.6</v>
      </c>
      <c r="AR200" s="212">
        <v>3</v>
      </c>
      <c r="AS200" s="292">
        <f t="shared" si="245"/>
        <v>0.25</v>
      </c>
      <c r="AT200" s="185">
        <f t="shared" si="246"/>
        <v>1.25</v>
      </c>
      <c r="AU200" s="185">
        <f t="shared" si="260"/>
        <v>1</v>
      </c>
      <c r="AV200" s="186">
        <f t="shared" si="247"/>
        <v>40</v>
      </c>
      <c r="AW200" s="179">
        <f t="shared" si="261"/>
        <v>100</v>
      </c>
      <c r="AX200" s="239">
        <f t="shared" si="286"/>
        <v>1</v>
      </c>
      <c r="AY200" s="54">
        <v>19</v>
      </c>
      <c r="AZ200" s="54">
        <f>19*3-2</f>
        <v>55</v>
      </c>
      <c r="BA200" s="189">
        <f t="shared" si="248"/>
        <v>57</v>
      </c>
      <c r="BB200" s="178">
        <f t="shared" si="262"/>
        <v>96.491228070175438</v>
      </c>
      <c r="BC200" s="179">
        <f t="shared" si="263"/>
        <v>100</v>
      </c>
      <c r="BD200" s="30">
        <f t="shared" si="287"/>
        <v>1</v>
      </c>
      <c r="BE200" s="190">
        <v>60272301</v>
      </c>
      <c r="BF200" s="190">
        <v>4558866</v>
      </c>
      <c r="BG200" s="301">
        <v>0</v>
      </c>
      <c r="BH200" s="191">
        <f t="shared" si="249"/>
        <v>64831167</v>
      </c>
      <c r="BI200" s="178">
        <f t="shared" si="250"/>
        <v>0</v>
      </c>
      <c r="BJ200" s="294" t="str">
        <f t="shared" si="264"/>
        <v>식약/섬유/종이업</v>
      </c>
      <c r="BK200" s="192">
        <f t="shared" si="265"/>
        <v>2.1999360555264444</v>
      </c>
      <c r="BL200" s="193">
        <f t="shared" si="266"/>
        <v>-2.1999360555264444</v>
      </c>
      <c r="BM200" s="241">
        <f t="shared" si="267"/>
        <v>100</v>
      </c>
      <c r="BN200" s="47">
        <f t="shared" si="268"/>
        <v>2</v>
      </c>
      <c r="BO200" s="54">
        <v>5268000</v>
      </c>
      <c r="BP200" s="194">
        <f t="shared" si="251"/>
        <v>0.56095511412235677</v>
      </c>
      <c r="BQ200" s="179">
        <f t="shared" si="269"/>
        <v>70</v>
      </c>
      <c r="BR200" s="30">
        <f t="shared" si="288"/>
        <v>1.4000000000000001</v>
      </c>
      <c r="BS200" s="195">
        <v>17752909.390000001</v>
      </c>
      <c r="BT200" s="195">
        <v>2646264.3739999998</v>
      </c>
      <c r="BU200" s="196">
        <f t="shared" si="270"/>
        <v>15106645.016000001</v>
      </c>
      <c r="BV200" s="178">
        <f t="shared" si="252"/>
        <v>1.6086085381465856</v>
      </c>
      <c r="BW200" s="192">
        <f t="shared" si="271"/>
        <v>5.0508176117342281</v>
      </c>
      <c r="BX200" s="192">
        <f t="shared" si="272"/>
        <v>11.848803306289097</v>
      </c>
      <c r="BY200" s="192">
        <f t="shared" si="273"/>
        <v>6.9871618081220941</v>
      </c>
      <c r="BZ200" s="192">
        <f t="shared" si="274"/>
        <v>68.886922497825239</v>
      </c>
      <c r="CA200" s="192">
        <f t="shared" si="253"/>
        <v>40</v>
      </c>
      <c r="CB200" s="55">
        <f t="shared" si="275"/>
        <v>0.8</v>
      </c>
      <c r="CC200" s="197">
        <f t="shared" si="289"/>
        <v>29.086228965060101</v>
      </c>
      <c r="CD200" s="198">
        <f t="shared" si="290"/>
        <v>89.414737827238653</v>
      </c>
      <c r="CE200" s="58">
        <f t="shared" si="291"/>
        <v>1.3412210674085798</v>
      </c>
      <c r="CF200" s="245" t="s">
        <v>2326</v>
      </c>
      <c r="CG200" s="245" t="s">
        <v>2326</v>
      </c>
      <c r="CH200" s="245" t="s">
        <v>2326</v>
      </c>
      <c r="CI200" s="245" t="s">
        <v>2326</v>
      </c>
      <c r="CJ200" s="235"/>
      <c r="CK200" s="173" t="s">
        <v>2511</v>
      </c>
      <c r="CL200" s="173" t="s">
        <v>2477</v>
      </c>
      <c r="CM200" s="199">
        <f t="shared" si="276"/>
        <v>85</v>
      </c>
      <c r="CN200" s="58">
        <f t="shared" si="292"/>
        <v>1.2749999999999999</v>
      </c>
      <c r="CO200" s="54">
        <v>356181000</v>
      </c>
      <c r="CP200" s="186">
        <f t="shared" si="254"/>
        <v>37.426156654919069</v>
      </c>
      <c r="CQ200" s="179">
        <f t="shared" si="277"/>
        <v>40</v>
      </c>
      <c r="CR200" s="30">
        <f t="shared" si="293"/>
        <v>1.2</v>
      </c>
      <c r="CS200" s="200">
        <f>_xlfn.XLOOKUP(C200, '1-1. 관계사체무보증금액 (환율 등)'!$3:$3, '1-1. 관계사체무보증금액 (환율 등)'!$33:$33)</f>
        <v>0</v>
      </c>
      <c r="CT200" s="178">
        <f t="shared" si="255"/>
        <v>0</v>
      </c>
      <c r="CU200" s="179">
        <f t="shared" si="278"/>
        <v>100</v>
      </c>
      <c r="CV200" s="30">
        <f t="shared" si="294"/>
        <v>2</v>
      </c>
      <c r="CW200" s="72">
        <f t="shared" si="295"/>
        <v>19.484530936309916</v>
      </c>
    </row>
    <row r="201" spans="1:101" x14ac:dyDescent="0.6">
      <c r="A201" s="214" t="s">
        <v>1763</v>
      </c>
      <c r="B201" s="13" t="s">
        <v>2181</v>
      </c>
      <c r="C201" s="219" t="s">
        <v>1764</v>
      </c>
      <c r="D201" s="14" t="s">
        <v>202</v>
      </c>
      <c r="E201" s="217" t="s">
        <v>572</v>
      </c>
      <c r="F201" s="217" t="s">
        <v>1765</v>
      </c>
      <c r="G201" s="218">
        <v>38861</v>
      </c>
      <c r="H201" s="217" t="s">
        <v>830</v>
      </c>
      <c r="I201" s="217" t="s">
        <v>1766</v>
      </c>
      <c r="J201" s="217" t="s">
        <v>1767</v>
      </c>
      <c r="K201" s="217" t="s">
        <v>317</v>
      </c>
      <c r="L201" s="220">
        <v>285172713</v>
      </c>
      <c r="M201" s="206">
        <v>183290683</v>
      </c>
      <c r="N201" s="206">
        <v>101882030</v>
      </c>
      <c r="O201" s="206">
        <v>252909508</v>
      </c>
      <c r="P201" s="206">
        <v>22627714</v>
      </c>
      <c r="Q201" s="206">
        <v>24143944</v>
      </c>
      <c r="R201" s="206">
        <v>20922790</v>
      </c>
      <c r="S201" s="207">
        <v>20000000</v>
      </c>
      <c r="T201" s="207">
        <v>0</v>
      </c>
      <c r="U201" s="207">
        <v>5050286</v>
      </c>
      <c r="V201" s="207">
        <f>2471706+200000+148008+110000+90000+90000</f>
        <v>3109714</v>
      </c>
      <c r="W201" s="207">
        <v>0</v>
      </c>
      <c r="X201" s="207">
        <v>0</v>
      </c>
      <c r="Z201" s="207">
        <v>0</v>
      </c>
      <c r="AA201" s="207">
        <v>0</v>
      </c>
      <c r="AB201" s="176">
        <f t="shared" si="279"/>
        <v>8160000</v>
      </c>
      <c r="AC201" s="177">
        <f t="shared" si="256"/>
        <v>40.799999999999997</v>
      </c>
      <c r="AD201" s="177">
        <f t="shared" si="280"/>
        <v>64.87341772151899</v>
      </c>
      <c r="AE201" s="26">
        <f t="shared" si="281"/>
        <v>1.9462025316455696</v>
      </c>
      <c r="AF201" s="178">
        <f t="shared" si="257"/>
        <v>40.799999999999997</v>
      </c>
      <c r="AG201" s="178">
        <f t="shared" si="258"/>
        <v>40.799999999999997</v>
      </c>
      <c r="AH201" s="178">
        <f t="shared" si="282"/>
        <v>0</v>
      </c>
      <c r="AI201" s="179">
        <f t="shared" si="283"/>
        <v>100</v>
      </c>
      <c r="AJ201" s="30">
        <f t="shared" si="284"/>
        <v>4</v>
      </c>
      <c r="AK201" s="204">
        <v>5</v>
      </c>
      <c r="AL201" s="204">
        <v>11</v>
      </c>
      <c r="AM201" s="204">
        <v>1</v>
      </c>
      <c r="AN201" s="181">
        <f t="shared" si="243"/>
        <v>16</v>
      </c>
      <c r="AO201" s="182">
        <f t="shared" si="244"/>
        <v>6.25</v>
      </c>
      <c r="AP201" s="183">
        <f t="shared" si="259"/>
        <v>100</v>
      </c>
      <c r="AQ201" s="38">
        <f t="shared" si="285"/>
        <v>2</v>
      </c>
      <c r="AR201" s="212">
        <v>1</v>
      </c>
      <c r="AS201" s="292">
        <f t="shared" si="245"/>
        <v>0.25</v>
      </c>
      <c r="AT201" s="185">
        <f t="shared" si="246"/>
        <v>1.25</v>
      </c>
      <c r="AU201" s="185">
        <f t="shared" si="260"/>
        <v>1</v>
      </c>
      <c r="AV201" s="186">
        <f t="shared" si="247"/>
        <v>0</v>
      </c>
      <c r="AW201" s="179">
        <f t="shared" si="261"/>
        <v>40</v>
      </c>
      <c r="AX201" s="239">
        <f t="shared" si="286"/>
        <v>0.4</v>
      </c>
      <c r="AY201" s="54">
        <v>18</v>
      </c>
      <c r="AZ201" s="54">
        <v>9</v>
      </c>
      <c r="BA201" s="189">
        <f t="shared" si="248"/>
        <v>18</v>
      </c>
      <c r="BB201" s="178">
        <f t="shared" si="262"/>
        <v>50</v>
      </c>
      <c r="BC201" s="179">
        <f t="shared" si="263"/>
        <v>25</v>
      </c>
      <c r="BD201" s="30">
        <f t="shared" si="287"/>
        <v>0.25</v>
      </c>
      <c r="BE201" s="190">
        <v>13752872</v>
      </c>
      <c r="BF201" s="190">
        <v>1188012</v>
      </c>
      <c r="BG201" s="54">
        <v>1102825</v>
      </c>
      <c r="BH201" s="191">
        <f t="shared" si="249"/>
        <v>14940884</v>
      </c>
      <c r="BI201" s="178">
        <f t="shared" si="250"/>
        <v>7.3812566913711395</v>
      </c>
      <c r="BJ201" s="294" t="str">
        <f t="shared" si="264"/>
        <v>전기전자/기계업</v>
      </c>
      <c r="BK201" s="192">
        <f t="shared" si="265"/>
        <v>2.4096449716116455</v>
      </c>
      <c r="BL201" s="193">
        <f t="shared" si="266"/>
        <v>4.971611719759494</v>
      </c>
      <c r="BM201" s="241">
        <f t="shared" si="267"/>
        <v>40</v>
      </c>
      <c r="BN201" s="47">
        <f t="shared" si="268"/>
        <v>0.8</v>
      </c>
      <c r="BO201" s="54">
        <v>6733000</v>
      </c>
      <c r="BP201" s="194">
        <f t="shared" si="251"/>
        <v>2.6622170329792425</v>
      </c>
      <c r="BQ201" s="179">
        <f t="shared" si="269"/>
        <v>85</v>
      </c>
      <c r="BR201" s="30">
        <f t="shared" si="288"/>
        <v>1.7</v>
      </c>
      <c r="BS201" s="195">
        <v>11893518.647</v>
      </c>
      <c r="BT201" s="195">
        <v>701523.03200000001</v>
      </c>
      <c r="BU201" s="196">
        <f t="shared" si="270"/>
        <v>11191995.615</v>
      </c>
      <c r="BV201" s="178">
        <f t="shared" si="252"/>
        <v>4.4252965036806762</v>
      </c>
      <c r="BW201" s="192">
        <f t="shared" si="271"/>
        <v>5.2309968128308268</v>
      </c>
      <c r="BX201" s="192">
        <f t="shared" si="272"/>
        <v>0.64915298816464839</v>
      </c>
      <c r="BY201" s="192">
        <f t="shared" si="273"/>
        <v>7.0695458012309622</v>
      </c>
      <c r="BZ201" s="192">
        <f t="shared" si="274"/>
        <v>54.536832521955567</v>
      </c>
      <c r="CA201" s="192">
        <f t="shared" si="253"/>
        <v>55</v>
      </c>
      <c r="CB201" s="55">
        <f t="shared" si="275"/>
        <v>1.1000000000000001</v>
      </c>
      <c r="CC201" s="197">
        <f t="shared" si="289"/>
        <v>179.9048203103138</v>
      </c>
      <c r="CD201" s="198">
        <f t="shared" si="290"/>
        <v>32.573560184555106</v>
      </c>
      <c r="CE201" s="58">
        <f t="shared" si="291"/>
        <v>0.48860340276832659</v>
      </c>
      <c r="CF201" s="245" t="s">
        <v>2326</v>
      </c>
      <c r="CG201" s="245" t="s">
        <v>2326</v>
      </c>
      <c r="CH201" s="245" t="s">
        <v>2326</v>
      </c>
      <c r="CI201" s="245" t="s">
        <v>2326</v>
      </c>
      <c r="CJ201" s="235"/>
      <c r="CK201" s="173" t="s">
        <v>2479</v>
      </c>
      <c r="CL201" s="173" t="s">
        <v>2478</v>
      </c>
      <c r="CM201" s="199">
        <f t="shared" si="276"/>
        <v>25</v>
      </c>
      <c r="CN201" s="58">
        <f t="shared" si="292"/>
        <v>0.375</v>
      </c>
      <c r="CO201" s="54">
        <v>2011000</v>
      </c>
      <c r="CP201" s="186">
        <f t="shared" si="254"/>
        <v>1.9738515221967994</v>
      </c>
      <c r="CQ201" s="179">
        <f t="shared" si="277"/>
        <v>100</v>
      </c>
      <c r="CR201" s="30">
        <f t="shared" si="293"/>
        <v>3</v>
      </c>
      <c r="CS201" s="200">
        <f>_xlfn.XLOOKUP(C201, '1-1. 관계사체무보증금액 (환율 등)'!$3:$3, '1-1. 관계사체무보증금액 (환율 등)'!$33:$33)</f>
        <v>0</v>
      </c>
      <c r="CT201" s="178">
        <f t="shared" si="255"/>
        <v>0</v>
      </c>
      <c r="CU201" s="179">
        <f t="shared" si="278"/>
        <v>100</v>
      </c>
      <c r="CV201" s="30">
        <f t="shared" si="294"/>
        <v>2</v>
      </c>
      <c r="CW201" s="72">
        <f t="shared" si="295"/>
        <v>18.059805934413895</v>
      </c>
    </row>
    <row r="202" spans="1:101" x14ac:dyDescent="0.6">
      <c r="A202" s="214" t="s">
        <v>1768</v>
      </c>
      <c r="B202" s="13" t="s">
        <v>2182</v>
      </c>
      <c r="C202" s="219" t="s">
        <v>1769</v>
      </c>
      <c r="D202" s="14" t="s">
        <v>285</v>
      </c>
      <c r="E202" s="217" t="s">
        <v>1770</v>
      </c>
      <c r="F202" s="217" t="s">
        <v>1771</v>
      </c>
      <c r="G202" s="218">
        <v>39233</v>
      </c>
      <c r="H202" s="217" t="s">
        <v>830</v>
      </c>
      <c r="I202" s="217" t="s">
        <v>1772</v>
      </c>
      <c r="J202" s="217" t="s">
        <v>1773</v>
      </c>
      <c r="K202" s="217" t="s">
        <v>690</v>
      </c>
      <c r="L202" s="220">
        <v>675351513</v>
      </c>
      <c r="M202" s="206">
        <v>277354565</v>
      </c>
      <c r="N202" s="206">
        <v>397996948</v>
      </c>
      <c r="O202" s="206">
        <v>731149922</v>
      </c>
      <c r="P202" s="206">
        <v>30772712</v>
      </c>
      <c r="Q202" s="206">
        <v>12835237</v>
      </c>
      <c r="R202" s="206">
        <v>6907900</v>
      </c>
      <c r="S202" s="207">
        <v>115505985</v>
      </c>
      <c r="T202" s="207">
        <v>2822896</v>
      </c>
      <c r="U202" s="207">
        <f>67890914+859809+859809</f>
        <v>69610532</v>
      </c>
      <c r="V202" s="207">
        <f>177275+1570</f>
        <v>178845</v>
      </c>
      <c r="W202" s="207">
        <f>71206+36161+40416+26133+15750+1001</f>
        <v>190667</v>
      </c>
      <c r="X202" s="207">
        <v>0</v>
      </c>
      <c r="Z202" s="207">
        <v>0</v>
      </c>
      <c r="AA202" s="207">
        <v>0</v>
      </c>
      <c r="AB202" s="176">
        <f t="shared" si="279"/>
        <v>69980044</v>
      </c>
      <c r="AC202" s="177">
        <f t="shared" si="256"/>
        <v>60.585643246105377</v>
      </c>
      <c r="AD202" s="177">
        <f t="shared" si="280"/>
        <v>47.797200880806635</v>
      </c>
      <c r="AE202" s="26">
        <f t="shared" si="281"/>
        <v>1.433916026424199</v>
      </c>
      <c r="AF202" s="178">
        <f t="shared" si="257"/>
        <v>61.934206471744844</v>
      </c>
      <c r="AG202" s="178">
        <f t="shared" si="258"/>
        <v>62.103412873248445</v>
      </c>
      <c r="AH202" s="178">
        <f t="shared" si="282"/>
        <v>0.169206401503601</v>
      </c>
      <c r="AI202" s="179">
        <f t="shared" si="283"/>
        <v>100</v>
      </c>
      <c r="AJ202" s="30">
        <f t="shared" si="284"/>
        <v>4</v>
      </c>
      <c r="AK202" s="204">
        <v>5</v>
      </c>
      <c r="AL202" s="204">
        <v>9</v>
      </c>
      <c r="AM202" s="204">
        <v>2</v>
      </c>
      <c r="AN202" s="181">
        <f t="shared" si="243"/>
        <v>14</v>
      </c>
      <c r="AO202" s="182">
        <f t="shared" si="244"/>
        <v>14.285714285714285</v>
      </c>
      <c r="AP202" s="183">
        <f t="shared" si="259"/>
        <v>80</v>
      </c>
      <c r="AQ202" s="38">
        <f t="shared" si="285"/>
        <v>1.6</v>
      </c>
      <c r="AR202" s="212">
        <v>3</v>
      </c>
      <c r="AS202" s="292">
        <f t="shared" si="245"/>
        <v>0.25</v>
      </c>
      <c r="AT202" s="185">
        <f t="shared" si="246"/>
        <v>1.25</v>
      </c>
      <c r="AU202" s="185">
        <f t="shared" si="260"/>
        <v>1</v>
      </c>
      <c r="AV202" s="186">
        <f t="shared" si="247"/>
        <v>40</v>
      </c>
      <c r="AW202" s="179">
        <f t="shared" si="261"/>
        <v>100</v>
      </c>
      <c r="AX202" s="239">
        <f t="shared" si="286"/>
        <v>1</v>
      </c>
      <c r="AY202" s="54">
        <v>6</v>
      </c>
      <c r="AZ202" s="54">
        <v>18</v>
      </c>
      <c r="BA202" s="189">
        <f t="shared" si="248"/>
        <v>18</v>
      </c>
      <c r="BB202" s="178">
        <f t="shared" si="262"/>
        <v>100</v>
      </c>
      <c r="BC202" s="179">
        <f t="shared" si="263"/>
        <v>100</v>
      </c>
      <c r="BD202" s="30">
        <f t="shared" si="287"/>
        <v>1</v>
      </c>
      <c r="BE202" s="190">
        <v>75651644</v>
      </c>
      <c r="BF202" s="190">
        <v>6588206</v>
      </c>
      <c r="BG202" s="54">
        <v>884217</v>
      </c>
      <c r="BH202" s="191">
        <f t="shared" si="249"/>
        <v>82239850</v>
      </c>
      <c r="BI202" s="178">
        <f t="shared" si="250"/>
        <v>1.0751685466352383</v>
      </c>
      <c r="BJ202" s="294" t="str">
        <f t="shared" si="264"/>
        <v>비제조/서비스업</v>
      </c>
      <c r="BK202" s="192">
        <f t="shared" si="265"/>
        <v>1.7464434573900924</v>
      </c>
      <c r="BL202" s="193">
        <f t="shared" si="266"/>
        <v>-0.67127491075485413</v>
      </c>
      <c r="BM202" s="241">
        <f t="shared" si="267"/>
        <v>80</v>
      </c>
      <c r="BN202" s="47">
        <f t="shared" si="268"/>
        <v>1.6</v>
      </c>
      <c r="BO202" s="54">
        <v>0</v>
      </c>
      <c r="BP202" s="194">
        <f t="shared" si="251"/>
        <v>0</v>
      </c>
      <c r="BQ202" s="179">
        <f t="shared" si="269"/>
        <v>25</v>
      </c>
      <c r="BR202" s="30">
        <f t="shared" si="288"/>
        <v>0.5</v>
      </c>
      <c r="BS202" s="195">
        <v>15087319.045</v>
      </c>
      <c r="BT202" s="195">
        <v>925544.13500000001</v>
      </c>
      <c r="BU202" s="196">
        <f t="shared" si="270"/>
        <v>14161774.91</v>
      </c>
      <c r="BV202" s="178">
        <f t="shared" si="252"/>
        <v>1.936918063433781</v>
      </c>
      <c r="BW202" s="192">
        <f t="shared" si="271"/>
        <v>2.8482825397737606</v>
      </c>
      <c r="BX202" s="192">
        <f t="shared" si="272"/>
        <v>0.83058520873444508</v>
      </c>
      <c r="BY202" s="192">
        <f t="shared" si="273"/>
        <v>5.5697595856656799</v>
      </c>
      <c r="BZ202" s="192">
        <f t="shared" si="274"/>
        <v>56.498770656045224</v>
      </c>
      <c r="CA202" s="192">
        <f t="shared" si="253"/>
        <v>55</v>
      </c>
      <c r="CB202" s="55">
        <f t="shared" si="275"/>
        <v>1.1000000000000001</v>
      </c>
      <c r="CC202" s="197">
        <f t="shared" si="289"/>
        <v>69.687611021579997</v>
      </c>
      <c r="CD202" s="198">
        <f t="shared" si="290"/>
        <v>74.112709413977385</v>
      </c>
      <c r="CE202" s="58">
        <f t="shared" si="291"/>
        <v>1.1116906412096608</v>
      </c>
      <c r="CF202" s="245" t="s">
        <v>2326</v>
      </c>
      <c r="CG202" s="245" t="s">
        <v>2326</v>
      </c>
      <c r="CH202" s="245" t="s">
        <v>2326</v>
      </c>
      <c r="CI202" s="245" t="s">
        <v>2326</v>
      </c>
      <c r="CJ202" s="235"/>
      <c r="CK202" s="173" t="s">
        <v>2491</v>
      </c>
      <c r="CL202" s="173" t="s">
        <v>2478</v>
      </c>
      <c r="CM202" s="199">
        <f t="shared" si="276"/>
        <v>25</v>
      </c>
      <c r="CN202" s="58">
        <f t="shared" si="292"/>
        <v>0.375</v>
      </c>
      <c r="CO202" s="54">
        <f>16000000+8170000+53947000+6660000</f>
        <v>84777000</v>
      </c>
      <c r="CP202" s="186">
        <f t="shared" si="254"/>
        <v>21.300917111555336</v>
      </c>
      <c r="CQ202" s="179">
        <f t="shared" si="277"/>
        <v>60</v>
      </c>
      <c r="CR202" s="30">
        <f t="shared" si="293"/>
        <v>1.7999999999999998</v>
      </c>
      <c r="CS202" s="200">
        <f>_xlfn.XLOOKUP(C202, '1-1. 관계사체무보증금액 (환율 등)'!$3:$3, '1-1. 관계사체무보증금액 (환율 등)'!$33:$33)</f>
        <v>0</v>
      </c>
      <c r="CT202" s="178">
        <f t="shared" si="255"/>
        <v>0</v>
      </c>
      <c r="CU202" s="179">
        <f t="shared" si="278"/>
        <v>100</v>
      </c>
      <c r="CV202" s="30">
        <f t="shared" si="294"/>
        <v>2</v>
      </c>
      <c r="CW202" s="72">
        <f t="shared" si="295"/>
        <v>17.52060666763386</v>
      </c>
    </row>
    <row r="203" spans="1:101" x14ac:dyDescent="0.6">
      <c r="A203" s="214" t="s">
        <v>326</v>
      </c>
      <c r="B203" s="13" t="s">
        <v>2183</v>
      </c>
      <c r="C203" s="219" t="s">
        <v>76</v>
      </c>
      <c r="D203" s="216" t="s">
        <v>191</v>
      </c>
      <c r="E203" s="217" t="s">
        <v>34</v>
      </c>
      <c r="F203" s="217" t="s">
        <v>126</v>
      </c>
      <c r="G203" s="218">
        <v>39378</v>
      </c>
      <c r="H203" s="217" t="s">
        <v>830</v>
      </c>
      <c r="I203" s="217" t="s">
        <v>706</v>
      </c>
      <c r="J203" s="217" t="s">
        <v>1097</v>
      </c>
      <c r="K203" s="217" t="s">
        <v>855</v>
      </c>
      <c r="L203" s="220">
        <v>417890867</v>
      </c>
      <c r="M203" s="206">
        <v>80034380</v>
      </c>
      <c r="N203" s="206">
        <v>337856486</v>
      </c>
      <c r="O203" s="206">
        <v>262522023</v>
      </c>
      <c r="P203" s="206">
        <v>48213162</v>
      </c>
      <c r="Q203" s="206">
        <v>53424815</v>
      </c>
      <c r="R203" s="206">
        <v>45275094</v>
      </c>
      <c r="S203" s="207">
        <v>16244822</v>
      </c>
      <c r="T203" s="207">
        <v>1536774</v>
      </c>
      <c r="U203" s="207">
        <v>4184089</v>
      </c>
      <c r="V203" s="207">
        <f>10200+883400+10200+10577+42465</f>
        <v>956842</v>
      </c>
      <c r="W203" s="207">
        <f>2000+8971+500+6552+12003+7100+102</f>
        <v>37228</v>
      </c>
      <c r="X203" s="207">
        <v>810000</v>
      </c>
      <c r="Y203" s="208" t="s">
        <v>2448</v>
      </c>
      <c r="Z203" s="207">
        <f>16000+16000+16000+3000</f>
        <v>51000</v>
      </c>
      <c r="AA203" s="207">
        <v>2930</v>
      </c>
      <c r="AB203" s="176">
        <f t="shared" si="279"/>
        <v>6039159</v>
      </c>
      <c r="AC203" s="177">
        <f t="shared" si="256"/>
        <v>37.175901342593967</v>
      </c>
      <c r="AD203" s="177">
        <f t="shared" si="280"/>
        <v>68.001235895344678</v>
      </c>
      <c r="AE203" s="26">
        <f t="shared" si="281"/>
        <v>2.0400370768603402</v>
      </c>
      <c r="AF203" s="178">
        <f t="shared" si="257"/>
        <v>34.960147888646659</v>
      </c>
      <c r="AG203" s="178">
        <f t="shared" si="258"/>
        <v>41.048490736354516</v>
      </c>
      <c r="AH203" s="178">
        <f t="shared" si="282"/>
        <v>6.0883428477078567</v>
      </c>
      <c r="AI203" s="179">
        <f t="shared" si="283"/>
        <v>100</v>
      </c>
      <c r="AJ203" s="30">
        <f t="shared" si="284"/>
        <v>4</v>
      </c>
      <c r="AK203" s="204">
        <v>8</v>
      </c>
      <c r="AL203" s="204">
        <v>5</v>
      </c>
      <c r="AM203" s="204">
        <v>2</v>
      </c>
      <c r="AN203" s="181">
        <f t="shared" si="243"/>
        <v>13</v>
      </c>
      <c r="AO203" s="182">
        <f t="shared" si="244"/>
        <v>15.384615384615385</v>
      </c>
      <c r="AP203" s="183">
        <f t="shared" si="259"/>
        <v>80</v>
      </c>
      <c r="AQ203" s="38">
        <f t="shared" si="285"/>
        <v>1.6</v>
      </c>
      <c r="AR203" s="212">
        <v>3</v>
      </c>
      <c r="AS203" s="292">
        <f t="shared" si="245"/>
        <v>0.25</v>
      </c>
      <c r="AT203" s="185">
        <f t="shared" si="246"/>
        <v>2</v>
      </c>
      <c r="AU203" s="185">
        <f t="shared" si="260"/>
        <v>2</v>
      </c>
      <c r="AV203" s="186">
        <f t="shared" si="247"/>
        <v>12.5</v>
      </c>
      <c r="AW203" s="179">
        <f t="shared" si="261"/>
        <v>60</v>
      </c>
      <c r="AX203" s="239">
        <f t="shared" si="286"/>
        <v>0.6</v>
      </c>
      <c r="AY203" s="54">
        <v>11</v>
      </c>
      <c r="AZ203" s="54">
        <v>33</v>
      </c>
      <c r="BA203" s="189">
        <f t="shared" si="248"/>
        <v>33</v>
      </c>
      <c r="BB203" s="178">
        <f t="shared" si="262"/>
        <v>100</v>
      </c>
      <c r="BC203" s="179">
        <f t="shared" si="263"/>
        <v>100</v>
      </c>
      <c r="BD203" s="30">
        <f t="shared" si="287"/>
        <v>1</v>
      </c>
      <c r="BE203" s="190">
        <v>33646702</v>
      </c>
      <c r="BF203" s="190">
        <v>3056475</v>
      </c>
      <c r="BG203" s="54">
        <v>1028455</v>
      </c>
      <c r="BH203" s="191">
        <f t="shared" si="249"/>
        <v>36703177</v>
      </c>
      <c r="BI203" s="178">
        <f t="shared" si="250"/>
        <v>2.8020871326751906</v>
      </c>
      <c r="BJ203" s="294" t="str">
        <f t="shared" si="264"/>
        <v>식약/섬유/종이업</v>
      </c>
      <c r="BK203" s="192">
        <f t="shared" si="265"/>
        <v>2.1999360555264444</v>
      </c>
      <c r="BL203" s="193">
        <f t="shared" si="266"/>
        <v>0.60215107714874616</v>
      </c>
      <c r="BM203" s="241">
        <f t="shared" si="267"/>
        <v>60</v>
      </c>
      <c r="BN203" s="47">
        <f t="shared" si="268"/>
        <v>1.2</v>
      </c>
      <c r="BO203" s="54">
        <v>29664827</v>
      </c>
      <c r="BP203" s="194">
        <f t="shared" si="251"/>
        <v>11.299938443640594</v>
      </c>
      <c r="BQ203" s="179">
        <f t="shared" si="269"/>
        <v>100</v>
      </c>
      <c r="BR203" s="30">
        <f t="shared" si="288"/>
        <v>2</v>
      </c>
      <c r="BS203" s="195">
        <v>22388924.958999999</v>
      </c>
      <c r="BT203" s="195">
        <v>618928.13699999999</v>
      </c>
      <c r="BU203" s="196">
        <f t="shared" si="270"/>
        <v>21769996.822000001</v>
      </c>
      <c r="BV203" s="178">
        <f t="shared" si="252"/>
        <v>8.2926363941664434</v>
      </c>
      <c r="BW203" s="192">
        <f t="shared" si="271"/>
        <v>5.0508176117342281</v>
      </c>
      <c r="BX203" s="192">
        <f t="shared" si="272"/>
        <v>10.509389018130291</v>
      </c>
      <c r="BY203" s="192">
        <f t="shared" si="273"/>
        <v>6.9871618081220941</v>
      </c>
      <c r="BZ203" s="192">
        <f t="shared" si="274"/>
        <v>32.133537245276692</v>
      </c>
      <c r="CA203" s="192">
        <f t="shared" si="253"/>
        <v>70</v>
      </c>
      <c r="CB203" s="55">
        <f t="shared" si="275"/>
        <v>1.4000000000000001</v>
      </c>
      <c r="CC203" s="197">
        <f t="shared" si="289"/>
        <v>23.688868888549322</v>
      </c>
      <c r="CD203" s="198">
        <f t="shared" si="290"/>
        <v>91.448918760596996</v>
      </c>
      <c r="CE203" s="58">
        <f t="shared" si="291"/>
        <v>1.371733781408955</v>
      </c>
      <c r="CF203" s="245" t="s">
        <v>2326</v>
      </c>
      <c r="CG203" s="245" t="s">
        <v>2326</v>
      </c>
      <c r="CH203" s="245" t="s">
        <v>2326</v>
      </c>
      <c r="CI203" s="245" t="s">
        <v>2326</v>
      </c>
      <c r="CJ203" s="235"/>
      <c r="CK203" s="173" t="s">
        <v>2479</v>
      </c>
      <c r="CL203" s="173" t="s">
        <v>2478</v>
      </c>
      <c r="CM203" s="199">
        <f t="shared" si="276"/>
        <v>25</v>
      </c>
      <c r="CN203" s="58">
        <f t="shared" si="292"/>
        <v>0.375</v>
      </c>
      <c r="CO203" s="54">
        <f>12869000-74000</f>
        <v>12795000</v>
      </c>
      <c r="CP203" s="186">
        <f t="shared" si="254"/>
        <v>3.7871109569286174</v>
      </c>
      <c r="CQ203" s="179">
        <f t="shared" si="277"/>
        <v>80</v>
      </c>
      <c r="CR203" s="30">
        <f t="shared" si="293"/>
        <v>2.4</v>
      </c>
      <c r="CS203" s="200">
        <f>_xlfn.XLOOKUP(C203, '1-1. 관계사체무보증금액 (환율 등)'!$3:$3, '1-1. 관계사체무보증금액 (환율 등)'!$33:$33)</f>
        <v>34683880</v>
      </c>
      <c r="CT203" s="178">
        <f t="shared" si="255"/>
        <v>10.26586181921042</v>
      </c>
      <c r="CU203" s="179">
        <f t="shared" si="278"/>
        <v>60</v>
      </c>
      <c r="CV203" s="30">
        <f t="shared" si="294"/>
        <v>1.2</v>
      </c>
      <c r="CW203" s="72">
        <f t="shared" si="295"/>
        <v>19.186770858269291</v>
      </c>
    </row>
    <row r="204" spans="1:101" x14ac:dyDescent="0.6">
      <c r="A204" s="214" t="s">
        <v>824</v>
      </c>
      <c r="B204" s="13" t="s">
        <v>2184</v>
      </c>
      <c r="C204" s="219" t="s">
        <v>944</v>
      </c>
      <c r="D204" s="216" t="s">
        <v>203</v>
      </c>
      <c r="E204" s="217" t="s">
        <v>180</v>
      </c>
      <c r="F204" s="217" t="s">
        <v>121</v>
      </c>
      <c r="G204" s="218">
        <v>38324</v>
      </c>
      <c r="H204" s="217" t="s">
        <v>830</v>
      </c>
      <c r="I204" s="217" t="s">
        <v>1774</v>
      </c>
      <c r="J204" s="217" t="s">
        <v>1083</v>
      </c>
      <c r="K204" s="217" t="s">
        <v>91</v>
      </c>
      <c r="L204" s="220">
        <v>1081099768</v>
      </c>
      <c r="M204" s="206">
        <v>439582782</v>
      </c>
      <c r="N204" s="206">
        <v>641516987</v>
      </c>
      <c r="O204" s="206">
        <v>792569992</v>
      </c>
      <c r="P204" s="206">
        <v>95951025</v>
      </c>
      <c r="Q204" s="206">
        <v>117596454</v>
      </c>
      <c r="R204" s="206">
        <v>117383163</v>
      </c>
      <c r="S204" s="207">
        <v>6767600</v>
      </c>
      <c r="T204" s="207">
        <v>128671</v>
      </c>
      <c r="U204" s="207">
        <f>1695734+631920+223449</f>
        <v>2551103</v>
      </c>
      <c r="V204" s="207">
        <f>69173+244310+38063+42250+79553+47275</f>
        <v>520624</v>
      </c>
      <c r="W204" s="207">
        <f>761+2085</f>
        <v>2846</v>
      </c>
      <c r="X204" s="207">
        <v>0</v>
      </c>
      <c r="Z204" s="207">
        <v>0</v>
      </c>
      <c r="AA204" s="207">
        <v>0</v>
      </c>
      <c r="AB204" s="176">
        <f t="shared" si="279"/>
        <v>3074573</v>
      </c>
      <c r="AC204" s="177">
        <f t="shared" si="256"/>
        <v>45.430773095336605</v>
      </c>
      <c r="AD204" s="177">
        <f t="shared" si="280"/>
        <v>60.876778111044359</v>
      </c>
      <c r="AE204" s="26">
        <f t="shared" si="281"/>
        <v>1.8263033433313307</v>
      </c>
      <c r="AF204" s="178">
        <f t="shared" si="257"/>
        <v>46.268411667002312</v>
      </c>
      <c r="AG204" s="178">
        <f t="shared" si="258"/>
        <v>46.31128002724536</v>
      </c>
      <c r="AH204" s="178">
        <f t="shared" si="282"/>
        <v>4.2868360243048187E-2</v>
      </c>
      <c r="AI204" s="179">
        <f t="shared" si="283"/>
        <v>100</v>
      </c>
      <c r="AJ204" s="30">
        <f t="shared" si="284"/>
        <v>4</v>
      </c>
      <c r="AK204" s="204">
        <v>5</v>
      </c>
      <c r="AL204" s="204">
        <v>8</v>
      </c>
      <c r="AM204" s="204">
        <v>3</v>
      </c>
      <c r="AN204" s="181">
        <f t="shared" si="243"/>
        <v>13</v>
      </c>
      <c r="AO204" s="182">
        <f t="shared" si="244"/>
        <v>23.076923076923077</v>
      </c>
      <c r="AP204" s="183">
        <f t="shared" si="259"/>
        <v>60</v>
      </c>
      <c r="AQ204" s="38">
        <f t="shared" si="285"/>
        <v>1.2</v>
      </c>
      <c r="AR204" s="212">
        <v>1</v>
      </c>
      <c r="AS204" s="292">
        <f t="shared" si="245"/>
        <v>0.25</v>
      </c>
      <c r="AT204" s="185">
        <f t="shared" si="246"/>
        <v>1.25</v>
      </c>
      <c r="AU204" s="185">
        <f t="shared" si="260"/>
        <v>1</v>
      </c>
      <c r="AV204" s="186">
        <f t="shared" si="247"/>
        <v>0</v>
      </c>
      <c r="AW204" s="179">
        <f t="shared" si="261"/>
        <v>40</v>
      </c>
      <c r="AX204" s="239">
        <f t="shared" si="286"/>
        <v>0.4</v>
      </c>
      <c r="AY204" s="54">
        <v>16</v>
      </c>
      <c r="AZ204" s="54">
        <v>16</v>
      </c>
      <c r="BA204" s="189">
        <f t="shared" si="248"/>
        <v>16</v>
      </c>
      <c r="BB204" s="178">
        <f t="shared" si="262"/>
        <v>100</v>
      </c>
      <c r="BC204" s="179">
        <f t="shared" si="263"/>
        <v>100</v>
      </c>
      <c r="BD204" s="30">
        <f t="shared" si="287"/>
        <v>1</v>
      </c>
      <c r="BE204" s="190">
        <f>6205362+8278496</f>
        <v>14483858</v>
      </c>
      <c r="BF204" s="190">
        <v>4730072</v>
      </c>
      <c r="BG204" s="54">
        <v>481627</v>
      </c>
      <c r="BH204" s="191">
        <f t="shared" si="249"/>
        <v>19213930</v>
      </c>
      <c r="BI204" s="178">
        <f t="shared" si="250"/>
        <v>2.5066553276711216</v>
      </c>
      <c r="BJ204" s="294" t="str">
        <f t="shared" si="264"/>
        <v>금속/비금속/화학업</v>
      </c>
      <c r="BK204" s="192">
        <f t="shared" si="265"/>
        <v>3.9534118626990464</v>
      </c>
      <c r="BL204" s="193">
        <f t="shared" si="266"/>
        <v>-1.4467565350279248</v>
      </c>
      <c r="BM204" s="241">
        <f t="shared" si="267"/>
        <v>80</v>
      </c>
      <c r="BN204" s="47">
        <f t="shared" si="268"/>
        <v>1.6</v>
      </c>
      <c r="BO204" s="54">
        <v>1547669</v>
      </c>
      <c r="BP204" s="194">
        <f t="shared" si="251"/>
        <v>0.19527221767437292</v>
      </c>
      <c r="BQ204" s="179">
        <f t="shared" si="269"/>
        <v>55</v>
      </c>
      <c r="BR204" s="30">
        <f t="shared" si="288"/>
        <v>1.1000000000000001</v>
      </c>
      <c r="BS204" s="195">
        <v>32238473.291000001</v>
      </c>
      <c r="BT204" s="195">
        <v>345909.09700000001</v>
      </c>
      <c r="BU204" s="196">
        <f t="shared" si="270"/>
        <v>31892564.194000002</v>
      </c>
      <c r="BV204" s="178">
        <f t="shared" si="252"/>
        <v>4.0239429344935385</v>
      </c>
      <c r="BW204" s="192">
        <f t="shared" si="271"/>
        <v>5.1474158565187729</v>
      </c>
      <c r="BX204" s="192">
        <f t="shared" si="272"/>
        <v>1.2621914065239184</v>
      </c>
      <c r="BY204" s="192">
        <f t="shared" si="273"/>
        <v>6.6930498535228526</v>
      </c>
      <c r="BZ204" s="192">
        <f t="shared" si="274"/>
        <v>56.665197250599107</v>
      </c>
      <c r="CA204" s="192">
        <f t="shared" si="253"/>
        <v>55</v>
      </c>
      <c r="CB204" s="55">
        <f t="shared" si="275"/>
        <v>1.1000000000000001</v>
      </c>
      <c r="CC204" s="197">
        <f t="shared" si="289"/>
        <v>68.522391598026374</v>
      </c>
      <c r="CD204" s="198">
        <f t="shared" si="290"/>
        <v>74.551862463055386</v>
      </c>
      <c r="CE204" s="58">
        <f t="shared" si="291"/>
        <v>1.1182779369458307</v>
      </c>
      <c r="CF204" s="245" t="s">
        <v>2326</v>
      </c>
      <c r="CG204" s="245" t="s">
        <v>2326</v>
      </c>
      <c r="CH204" s="245" t="s">
        <v>2326</v>
      </c>
      <c r="CI204" s="245" t="s">
        <v>2326</v>
      </c>
      <c r="CJ204" s="235"/>
      <c r="CK204" s="173" t="s">
        <v>2491</v>
      </c>
      <c r="CL204" s="173" t="s">
        <v>2478</v>
      </c>
      <c r="CM204" s="199">
        <f t="shared" si="276"/>
        <v>25</v>
      </c>
      <c r="CN204" s="58">
        <f t="shared" si="292"/>
        <v>0.375</v>
      </c>
      <c r="CO204" s="54">
        <v>42000000</v>
      </c>
      <c r="CP204" s="186">
        <f t="shared" si="254"/>
        <v>6.5469817403291923</v>
      </c>
      <c r="CQ204" s="179">
        <f t="shared" si="277"/>
        <v>80</v>
      </c>
      <c r="CR204" s="30">
        <f t="shared" si="293"/>
        <v>2.4</v>
      </c>
      <c r="CS204" s="200">
        <f>_xlfn.XLOOKUP(C204, '1-1. 관계사체무보증금액 (환율 등)'!$3:$3, '1-1. 관계사체무보증금액 (환율 등)'!$33:$33)</f>
        <v>19636363.63636364</v>
      </c>
      <c r="CT204" s="178">
        <f t="shared" si="255"/>
        <v>3.0609265279461164</v>
      </c>
      <c r="CU204" s="179">
        <f t="shared" si="278"/>
        <v>80</v>
      </c>
      <c r="CV204" s="30">
        <f t="shared" si="294"/>
        <v>1.6</v>
      </c>
      <c r="CW204" s="72">
        <f t="shared" si="295"/>
        <v>17.719581280277161</v>
      </c>
    </row>
    <row r="205" spans="1:101" x14ac:dyDescent="0.6">
      <c r="A205" s="214" t="s">
        <v>1775</v>
      </c>
      <c r="B205" s="13" t="s">
        <v>2185</v>
      </c>
      <c r="C205" s="219" t="s">
        <v>355</v>
      </c>
      <c r="D205" s="216" t="s">
        <v>191</v>
      </c>
      <c r="E205" s="217" t="s">
        <v>977</v>
      </c>
      <c r="F205" s="217" t="s">
        <v>962</v>
      </c>
      <c r="G205" s="218">
        <v>32856</v>
      </c>
      <c r="H205" s="217" t="s">
        <v>830</v>
      </c>
      <c r="I205" s="217" t="s">
        <v>803</v>
      </c>
      <c r="J205" s="217" t="s">
        <v>1108</v>
      </c>
      <c r="K205" s="217" t="s">
        <v>690</v>
      </c>
      <c r="L205" s="220">
        <v>219850861</v>
      </c>
      <c r="M205" s="206">
        <v>106769427</v>
      </c>
      <c r="N205" s="206">
        <v>113081434</v>
      </c>
      <c r="O205" s="206">
        <v>103067188</v>
      </c>
      <c r="P205" s="206">
        <v>4420274</v>
      </c>
      <c r="Q205" s="206">
        <v>926544</v>
      </c>
      <c r="R205" s="206">
        <v>3447674</v>
      </c>
      <c r="S205" s="207">
        <v>72921381</v>
      </c>
      <c r="T205" s="207">
        <v>907818</v>
      </c>
      <c r="U205" s="207">
        <f>13257727+401876</f>
        <v>13659603</v>
      </c>
      <c r="V205" s="207">
        <f>768300+781513</f>
        <v>1549813</v>
      </c>
      <c r="W205" s="207">
        <f>277000+200000+50000+150000+150000</f>
        <v>827000</v>
      </c>
      <c r="X205" s="207">
        <v>0</v>
      </c>
      <c r="Z205" s="207">
        <v>0</v>
      </c>
      <c r="AA205" s="207">
        <v>0</v>
      </c>
      <c r="AB205" s="176">
        <f t="shared" si="279"/>
        <v>16036416</v>
      </c>
      <c r="AC205" s="177">
        <f t="shared" si="256"/>
        <v>21.991377261492069</v>
      </c>
      <c r="AD205" s="177">
        <f t="shared" si="280"/>
        <v>81.10640627604252</v>
      </c>
      <c r="AE205" s="26">
        <f t="shared" si="281"/>
        <v>2.4331921882812755</v>
      </c>
      <c r="AF205" s="178">
        <f t="shared" si="257"/>
        <v>21.12021036926058</v>
      </c>
      <c r="AG205" s="178">
        <f t="shared" si="258"/>
        <v>22.268605151504588</v>
      </c>
      <c r="AH205" s="178">
        <f t="shared" si="282"/>
        <v>1.1483947822440079</v>
      </c>
      <c r="AI205" s="179">
        <f t="shared" si="283"/>
        <v>100</v>
      </c>
      <c r="AJ205" s="30">
        <f t="shared" si="284"/>
        <v>4</v>
      </c>
      <c r="AK205" s="204">
        <v>5</v>
      </c>
      <c r="AL205" s="204">
        <v>15</v>
      </c>
      <c r="AM205" s="204">
        <v>2</v>
      </c>
      <c r="AN205" s="181">
        <f t="shared" si="243"/>
        <v>20</v>
      </c>
      <c r="AO205" s="182">
        <f t="shared" si="244"/>
        <v>10</v>
      </c>
      <c r="AP205" s="183">
        <f t="shared" si="259"/>
        <v>80</v>
      </c>
      <c r="AQ205" s="38">
        <f t="shared" si="285"/>
        <v>1.6</v>
      </c>
      <c r="AR205" s="212">
        <v>1</v>
      </c>
      <c r="AS205" s="292">
        <f t="shared" si="245"/>
        <v>0.25</v>
      </c>
      <c r="AT205" s="185">
        <f t="shared" si="246"/>
        <v>1.25</v>
      </c>
      <c r="AU205" s="185">
        <f t="shared" si="260"/>
        <v>1</v>
      </c>
      <c r="AV205" s="186">
        <f t="shared" si="247"/>
        <v>0</v>
      </c>
      <c r="AW205" s="179">
        <f t="shared" si="261"/>
        <v>40</v>
      </c>
      <c r="AX205" s="239">
        <f t="shared" si="286"/>
        <v>0.4</v>
      </c>
      <c r="AY205" s="54">
        <v>41</v>
      </c>
      <c r="AZ205" s="54">
        <v>41</v>
      </c>
      <c r="BA205" s="189">
        <f t="shared" si="248"/>
        <v>41</v>
      </c>
      <c r="BB205" s="178">
        <f t="shared" si="262"/>
        <v>100</v>
      </c>
      <c r="BC205" s="179">
        <f t="shared" si="263"/>
        <v>100</v>
      </c>
      <c r="BD205" s="30">
        <f t="shared" si="287"/>
        <v>1</v>
      </c>
      <c r="BE205" s="190">
        <v>2142014</v>
      </c>
      <c r="BF205" s="190">
        <v>203665</v>
      </c>
      <c r="BG205" s="54">
        <v>183755</v>
      </c>
      <c r="BH205" s="191">
        <f t="shared" si="249"/>
        <v>2345679</v>
      </c>
      <c r="BI205" s="178">
        <f t="shared" si="250"/>
        <v>7.8337658307040297</v>
      </c>
      <c r="BJ205" s="294" t="str">
        <f t="shared" si="264"/>
        <v>식약/섬유/종이업</v>
      </c>
      <c r="BK205" s="192">
        <f t="shared" si="265"/>
        <v>2.1999360555264444</v>
      </c>
      <c r="BL205" s="193">
        <f t="shared" si="266"/>
        <v>5.6338297751775848</v>
      </c>
      <c r="BM205" s="241">
        <f t="shared" si="267"/>
        <v>40</v>
      </c>
      <c r="BN205" s="47">
        <f t="shared" si="268"/>
        <v>0.8</v>
      </c>
      <c r="BO205" s="54">
        <v>585682</v>
      </c>
      <c r="BP205" s="194">
        <f t="shared" si="251"/>
        <v>0.56825262371570673</v>
      </c>
      <c r="BQ205" s="179">
        <f t="shared" si="269"/>
        <v>70</v>
      </c>
      <c r="BR205" s="30">
        <f t="shared" si="288"/>
        <v>1.4000000000000001</v>
      </c>
      <c r="BS205" s="195">
        <v>4348757.8619999997</v>
      </c>
      <c r="BT205" s="195">
        <v>143984.89499999999</v>
      </c>
      <c r="BU205" s="196">
        <f t="shared" si="270"/>
        <v>4204772.9670000002</v>
      </c>
      <c r="BV205" s="178">
        <f t="shared" si="252"/>
        <v>4.0796426569821627</v>
      </c>
      <c r="BW205" s="192">
        <f t="shared" si="271"/>
        <v>5.0508176117342281</v>
      </c>
      <c r="BX205" s="192">
        <f t="shared" si="272"/>
        <v>0.9431807927376763</v>
      </c>
      <c r="BY205" s="192">
        <f t="shared" si="273"/>
        <v>6.9871618081220941</v>
      </c>
      <c r="BZ205" s="192">
        <f t="shared" si="274"/>
        <v>55.52726332311331</v>
      </c>
      <c r="CA205" s="192">
        <f t="shared" si="253"/>
        <v>55</v>
      </c>
      <c r="CB205" s="55">
        <f t="shared" si="275"/>
        <v>1.1000000000000001</v>
      </c>
      <c r="CC205" s="197">
        <f t="shared" si="289"/>
        <v>94.41817566621944</v>
      </c>
      <c r="CD205" s="198">
        <f t="shared" si="290"/>
        <v>64.792144849414782</v>
      </c>
      <c r="CE205" s="58">
        <f t="shared" si="291"/>
        <v>0.97188217274122168</v>
      </c>
      <c r="CF205" s="245" t="s">
        <v>2326</v>
      </c>
      <c r="CG205" s="245" t="s">
        <v>2326</v>
      </c>
      <c r="CH205" s="245" t="s">
        <v>2326</v>
      </c>
      <c r="CI205" s="245" t="s">
        <v>2326</v>
      </c>
      <c r="CJ205" s="235"/>
      <c r="CK205" s="173" t="s">
        <v>2479</v>
      </c>
      <c r="CL205" s="173" t="s">
        <v>2478</v>
      </c>
      <c r="CM205" s="199">
        <f t="shared" si="276"/>
        <v>25</v>
      </c>
      <c r="CN205" s="58">
        <f t="shared" si="292"/>
        <v>0.375</v>
      </c>
      <c r="CO205" s="54">
        <v>42497</v>
      </c>
      <c r="CP205" s="186">
        <f t="shared" si="254"/>
        <v>3.7580881756416357E-2</v>
      </c>
      <c r="CQ205" s="179">
        <f t="shared" si="277"/>
        <v>100</v>
      </c>
      <c r="CR205" s="30">
        <f t="shared" si="293"/>
        <v>3</v>
      </c>
      <c r="CS205" s="200">
        <f>_xlfn.XLOOKUP(C205, '1-1. 관계사체무보증금액 (환율 등)'!$3:$3, '1-1. 관계사체무보증금액 (환율 등)'!$33:$33)</f>
        <v>11346000</v>
      </c>
      <c r="CT205" s="178">
        <f t="shared" si="255"/>
        <v>10.033477290356965</v>
      </c>
      <c r="CU205" s="179">
        <f t="shared" si="278"/>
        <v>60</v>
      </c>
      <c r="CV205" s="30">
        <f t="shared" si="294"/>
        <v>1.2</v>
      </c>
      <c r="CW205" s="72">
        <f t="shared" si="295"/>
        <v>18.280074361022496</v>
      </c>
    </row>
    <row r="206" spans="1:101" x14ac:dyDescent="0.6">
      <c r="A206" s="214" t="s">
        <v>871</v>
      </c>
      <c r="B206" s="1" t="s">
        <v>2186</v>
      </c>
      <c r="C206" s="219" t="s">
        <v>20</v>
      </c>
      <c r="D206" s="216" t="s">
        <v>285</v>
      </c>
      <c r="E206" s="217" t="s">
        <v>999</v>
      </c>
      <c r="F206" s="217" t="s">
        <v>1007</v>
      </c>
      <c r="G206" s="218">
        <v>38204</v>
      </c>
      <c r="H206" s="217" t="s">
        <v>830</v>
      </c>
      <c r="I206" s="217" t="s">
        <v>331</v>
      </c>
      <c r="J206" s="217" t="s">
        <v>1212</v>
      </c>
      <c r="K206" s="217" t="s">
        <v>690</v>
      </c>
      <c r="L206" s="220">
        <v>475552210</v>
      </c>
      <c r="M206" s="206">
        <v>243500167</v>
      </c>
      <c r="N206" s="206">
        <v>232052043</v>
      </c>
      <c r="O206" s="206">
        <v>729811429</v>
      </c>
      <c r="P206" s="206">
        <v>47569618</v>
      </c>
      <c r="Q206" s="206">
        <v>37906414</v>
      </c>
      <c r="R206" s="206">
        <v>29707608</v>
      </c>
      <c r="S206" s="207">
        <v>27355975</v>
      </c>
      <c r="T206" s="207">
        <v>1129726</v>
      </c>
      <c r="U206" s="207">
        <v>11935240</v>
      </c>
      <c r="V206" s="207">
        <f>151844+1136</f>
        <v>152980</v>
      </c>
      <c r="W206" s="207">
        <f>105056+1136+1136+2386</f>
        <v>109714</v>
      </c>
      <c r="X206" s="207">
        <v>0</v>
      </c>
      <c r="Z206" s="207">
        <v>0</v>
      </c>
      <c r="AA206" s="207">
        <v>0</v>
      </c>
      <c r="AB206" s="176">
        <f t="shared" si="279"/>
        <v>12197934</v>
      </c>
      <c r="AC206" s="177">
        <f t="shared" si="256"/>
        <v>44.589651803673604</v>
      </c>
      <c r="AD206" s="177">
        <f t="shared" si="280"/>
        <v>61.60271708543705</v>
      </c>
      <c r="AE206" s="26">
        <f t="shared" si="281"/>
        <v>1.8480815125631114</v>
      </c>
      <c r="AF206" s="178">
        <f t="shared" si="257"/>
        <v>46.09206600608421</v>
      </c>
      <c r="AG206" s="178">
        <f t="shared" si="258"/>
        <v>46.510402612283599</v>
      </c>
      <c r="AH206" s="178">
        <f t="shared" si="282"/>
        <v>0.41833660619938939</v>
      </c>
      <c r="AI206" s="179">
        <f t="shared" si="283"/>
        <v>100</v>
      </c>
      <c r="AJ206" s="30">
        <f t="shared" si="284"/>
        <v>4</v>
      </c>
      <c r="AK206" s="204">
        <v>6</v>
      </c>
      <c r="AL206" s="204">
        <v>5</v>
      </c>
      <c r="AM206" s="204">
        <v>0</v>
      </c>
      <c r="AN206" s="181">
        <f t="shared" si="243"/>
        <v>11</v>
      </c>
      <c r="AO206" s="182">
        <f t="shared" si="244"/>
        <v>0</v>
      </c>
      <c r="AP206" s="183">
        <f t="shared" si="259"/>
        <v>100</v>
      </c>
      <c r="AQ206" s="38">
        <f t="shared" si="285"/>
        <v>2</v>
      </c>
      <c r="AR206" s="212">
        <v>3</v>
      </c>
      <c r="AS206" s="292">
        <f t="shared" si="245"/>
        <v>0.25</v>
      </c>
      <c r="AT206" s="185">
        <f t="shared" si="246"/>
        <v>1.5</v>
      </c>
      <c r="AU206" s="185">
        <f t="shared" si="260"/>
        <v>1</v>
      </c>
      <c r="AV206" s="186">
        <f t="shared" si="247"/>
        <v>33.333333333333329</v>
      </c>
      <c r="AW206" s="179">
        <f t="shared" si="261"/>
        <v>80</v>
      </c>
      <c r="AX206" s="239">
        <f t="shared" si="286"/>
        <v>0.8</v>
      </c>
      <c r="AY206" s="54">
        <v>35</v>
      </c>
      <c r="AZ206" s="54">
        <f>35*3-8</f>
        <v>97</v>
      </c>
      <c r="BA206" s="189">
        <f t="shared" si="248"/>
        <v>105</v>
      </c>
      <c r="BB206" s="178">
        <f t="shared" si="262"/>
        <v>92.38095238095238</v>
      </c>
      <c r="BC206" s="179">
        <f t="shared" si="263"/>
        <v>100</v>
      </c>
      <c r="BD206" s="30">
        <f t="shared" si="287"/>
        <v>1</v>
      </c>
      <c r="BE206" s="190">
        <v>16548928</v>
      </c>
      <c r="BF206" s="190">
        <v>847503</v>
      </c>
      <c r="BG206" s="54">
        <v>1012604</v>
      </c>
      <c r="BH206" s="191">
        <f t="shared" si="249"/>
        <v>17396431</v>
      </c>
      <c r="BI206" s="178">
        <f t="shared" si="250"/>
        <v>5.8207571426575946</v>
      </c>
      <c r="BJ206" s="294" t="str">
        <f t="shared" si="264"/>
        <v>비제조/서비스업</v>
      </c>
      <c r="BK206" s="192">
        <f t="shared" si="265"/>
        <v>1.7464434573900924</v>
      </c>
      <c r="BL206" s="193">
        <f t="shared" si="266"/>
        <v>4.0743136852675024</v>
      </c>
      <c r="BM206" s="241">
        <f t="shared" si="267"/>
        <v>40</v>
      </c>
      <c r="BN206" s="47">
        <f t="shared" si="268"/>
        <v>0.8</v>
      </c>
      <c r="BO206" s="54">
        <v>4910786</v>
      </c>
      <c r="BP206" s="194">
        <f t="shared" si="251"/>
        <v>0.67288422801611125</v>
      </c>
      <c r="BQ206" s="179">
        <f t="shared" si="269"/>
        <v>70</v>
      </c>
      <c r="BR206" s="30">
        <f t="shared" si="288"/>
        <v>1.4000000000000001</v>
      </c>
      <c r="BS206" s="195">
        <v>380039.3</v>
      </c>
      <c r="BT206" s="195">
        <v>8181.8180000000002</v>
      </c>
      <c r="BU206" s="196">
        <f t="shared" si="270"/>
        <v>371857.48199999996</v>
      </c>
      <c r="BV206" s="178">
        <f t="shared" si="252"/>
        <v>5.0952542975316983E-2</v>
      </c>
      <c r="BW206" s="192">
        <f t="shared" si="271"/>
        <v>2.8482825397737606</v>
      </c>
      <c r="BX206" s="192">
        <f t="shared" si="272"/>
        <v>7.825055110988381</v>
      </c>
      <c r="BY206" s="192">
        <f t="shared" si="273"/>
        <v>5.5697595856656799</v>
      </c>
      <c r="BZ206" s="192">
        <f t="shared" si="274"/>
        <v>69.224900022818929</v>
      </c>
      <c r="CA206" s="192">
        <f t="shared" si="253"/>
        <v>40</v>
      </c>
      <c r="CB206" s="55">
        <f t="shared" si="275"/>
        <v>0.8</v>
      </c>
      <c r="CC206" s="197">
        <f t="shared" si="289"/>
        <v>104.93342952382454</v>
      </c>
      <c r="CD206" s="198">
        <f t="shared" si="290"/>
        <v>60.829109475945522</v>
      </c>
      <c r="CE206" s="58">
        <f t="shared" si="291"/>
        <v>0.91243664213918274</v>
      </c>
      <c r="CF206" s="245" t="s">
        <v>2326</v>
      </c>
      <c r="CG206" s="245" t="s">
        <v>2326</v>
      </c>
      <c r="CH206" s="245" t="s">
        <v>2326</v>
      </c>
      <c r="CI206" s="245" t="s">
        <v>2326</v>
      </c>
      <c r="CJ206" s="235"/>
      <c r="CK206" s="173" t="s">
        <v>2491</v>
      </c>
      <c r="CL206" s="173" t="s">
        <v>2478</v>
      </c>
      <c r="CM206" s="199">
        <f t="shared" si="276"/>
        <v>25</v>
      </c>
      <c r="CN206" s="58">
        <f t="shared" si="292"/>
        <v>0.375</v>
      </c>
      <c r="CO206" s="54">
        <v>41000</v>
      </c>
      <c r="CP206" s="186">
        <f t="shared" si="254"/>
        <v>1.7668450348441878E-2</v>
      </c>
      <c r="CQ206" s="179">
        <f t="shared" si="277"/>
        <v>100</v>
      </c>
      <c r="CR206" s="30">
        <f t="shared" si="293"/>
        <v>3</v>
      </c>
      <c r="CS206" s="200">
        <f>_xlfn.XLOOKUP(C206, '1-1. 관계사체무보증금액 (환율 등)'!$3:$3, '1-1. 관계사체무보증금액 (환율 등)'!$33:$33)</f>
        <v>0</v>
      </c>
      <c r="CT206" s="178">
        <f t="shared" si="255"/>
        <v>0</v>
      </c>
      <c r="CU206" s="179">
        <f t="shared" si="278"/>
        <v>100</v>
      </c>
      <c r="CV206" s="30">
        <f t="shared" si="294"/>
        <v>2</v>
      </c>
      <c r="CW206" s="72">
        <f t="shared" si="295"/>
        <v>18.935518154702294</v>
      </c>
    </row>
    <row r="207" spans="1:101" x14ac:dyDescent="0.6">
      <c r="A207" s="214" t="s">
        <v>560</v>
      </c>
      <c r="B207" s="13" t="s">
        <v>2187</v>
      </c>
      <c r="C207" s="219" t="s">
        <v>11</v>
      </c>
      <c r="D207" s="221" t="s">
        <v>350</v>
      </c>
      <c r="E207" s="217" t="s">
        <v>179</v>
      </c>
      <c r="F207" s="217" t="s">
        <v>992</v>
      </c>
      <c r="G207" s="218">
        <v>32163</v>
      </c>
      <c r="H207" s="217" t="s">
        <v>830</v>
      </c>
      <c r="I207" s="217" t="s">
        <v>786</v>
      </c>
      <c r="J207" s="217" t="s">
        <v>1211</v>
      </c>
      <c r="K207" s="217" t="s">
        <v>91</v>
      </c>
      <c r="L207" s="220">
        <v>12900025445</v>
      </c>
      <c r="M207" s="206">
        <v>11393545083</v>
      </c>
      <c r="N207" s="206">
        <v>1506480362</v>
      </c>
      <c r="O207" s="206">
        <v>2449590915</v>
      </c>
      <c r="P207" s="206">
        <v>49619816</v>
      </c>
      <c r="Q207" s="206">
        <v>61425265</v>
      </c>
      <c r="R207" s="206">
        <v>38657881</v>
      </c>
      <c r="S207" s="207">
        <v>199596576</v>
      </c>
      <c r="T207" s="207">
        <v>6916473</v>
      </c>
      <c r="U207" s="207">
        <f>115504369</f>
        <v>115504369</v>
      </c>
      <c r="V207" s="207">
        <v>0</v>
      </c>
      <c r="W207" s="207">
        <f>79354+23745+31648+18824+6453+14906+14860+18813+2901+907+20220+14913+1212+20050+4886+210+1000+3595</f>
        <v>278497</v>
      </c>
      <c r="X207" s="207">
        <v>0</v>
      </c>
      <c r="Z207" s="207">
        <v>0</v>
      </c>
      <c r="AA207" s="207">
        <v>0</v>
      </c>
      <c r="AB207" s="176">
        <f t="shared" si="279"/>
        <v>115782866</v>
      </c>
      <c r="AC207" s="177">
        <f t="shared" si="256"/>
        <v>58.008442990525047</v>
      </c>
      <c r="AD207" s="177">
        <f t="shared" si="280"/>
        <v>50.021481883896683</v>
      </c>
      <c r="AE207" s="60">
        <f>AD207*0.04</f>
        <v>2.0008592753558672</v>
      </c>
      <c r="AF207" s="178">
        <f t="shared" si="257"/>
        <v>59.946183960676002</v>
      </c>
      <c r="AG207" s="178">
        <f t="shared" si="258"/>
        <v>60.090722496655502</v>
      </c>
      <c r="AH207" s="178">
        <f t="shared" si="282"/>
        <v>0.14453853597949973</v>
      </c>
      <c r="AI207" s="179">
        <f t="shared" si="283"/>
        <v>100</v>
      </c>
      <c r="AJ207" s="61">
        <f>AI207*0.05</f>
        <v>5</v>
      </c>
      <c r="AK207" s="204">
        <v>5</v>
      </c>
      <c r="AL207" s="204">
        <v>33</v>
      </c>
      <c r="AM207" s="204">
        <v>0</v>
      </c>
      <c r="AN207" s="181">
        <f t="shared" si="243"/>
        <v>38</v>
      </c>
      <c r="AO207" s="182">
        <f t="shared" si="244"/>
        <v>0</v>
      </c>
      <c r="AP207" s="183">
        <f t="shared" si="259"/>
        <v>100</v>
      </c>
      <c r="AQ207" s="62">
        <f>AP207*0.03</f>
        <v>3</v>
      </c>
      <c r="AR207" s="212">
        <v>3</v>
      </c>
      <c r="AS207" s="292">
        <f t="shared" si="245"/>
        <v>0.5</v>
      </c>
      <c r="AT207" s="185">
        <f t="shared" si="246"/>
        <v>2.5</v>
      </c>
      <c r="AU207" s="185">
        <f t="shared" si="260"/>
        <v>2</v>
      </c>
      <c r="AV207" s="186">
        <f t="shared" si="247"/>
        <v>20</v>
      </c>
      <c r="AW207" s="179">
        <f t="shared" si="261"/>
        <v>80</v>
      </c>
      <c r="AX207" s="240">
        <f>AW207*0.02</f>
        <v>1.6</v>
      </c>
      <c r="AY207" s="54">
        <v>35</v>
      </c>
      <c r="AZ207" s="54">
        <f>35*3-8</f>
        <v>97</v>
      </c>
      <c r="BA207" s="189">
        <f t="shared" si="248"/>
        <v>105</v>
      </c>
      <c r="BB207" s="178">
        <f t="shared" si="262"/>
        <v>92.38095238095238</v>
      </c>
      <c r="BC207" s="179">
        <f t="shared" si="263"/>
        <v>100</v>
      </c>
      <c r="BD207" s="61">
        <f>BC207*0.02</f>
        <v>2</v>
      </c>
      <c r="BE207" s="190">
        <v>169311985</v>
      </c>
      <c r="BF207" s="190">
        <v>17707665</v>
      </c>
      <c r="BG207" s="54">
        <v>5023210</v>
      </c>
      <c r="BH207" s="191">
        <f t="shared" si="249"/>
        <v>187019650</v>
      </c>
      <c r="BI207" s="178">
        <f t="shared" si="250"/>
        <v>2.6859263184376614</v>
      </c>
      <c r="BJ207" s="294" t="str">
        <f t="shared" si="264"/>
        <v>금융업</v>
      </c>
      <c r="BK207" s="192">
        <f t="shared" si="265"/>
        <v>2.7106886075318837</v>
      </c>
      <c r="BL207" s="193">
        <f t="shared" si="266"/>
        <v>-2.476228909422229E-2</v>
      </c>
      <c r="BM207" s="241">
        <f t="shared" si="267"/>
        <v>80</v>
      </c>
      <c r="BN207" s="47">
        <f t="shared" si="268"/>
        <v>1.6</v>
      </c>
      <c r="BO207" s="54">
        <v>0</v>
      </c>
      <c r="BP207" s="194">
        <f t="shared" si="251"/>
        <v>0</v>
      </c>
      <c r="BQ207" s="179">
        <f t="shared" si="269"/>
        <v>25</v>
      </c>
      <c r="BR207" s="61">
        <f>BQ207*0.01</f>
        <v>0.25</v>
      </c>
      <c r="BS207" s="195">
        <v>7494597</v>
      </c>
      <c r="BT207" s="195">
        <v>11331859</v>
      </c>
      <c r="BU207" s="196">
        <f t="shared" si="270"/>
        <v>-3837262</v>
      </c>
      <c r="BV207" s="178">
        <f t="shared" si="252"/>
        <v>-0.15664909501838187</v>
      </c>
      <c r="BW207" s="192">
        <f t="shared" si="271"/>
        <v>0.39407896396795111</v>
      </c>
      <c r="BX207" s="192">
        <f t="shared" si="272"/>
        <v>0.30330139495485392</v>
      </c>
      <c r="BY207" s="192">
        <f t="shared" si="273"/>
        <v>1.5698937849002934</v>
      </c>
      <c r="BZ207" s="192">
        <f t="shared" si="274"/>
        <v>63.713302828276142</v>
      </c>
      <c r="CA207" s="192">
        <f t="shared" si="253"/>
        <v>40</v>
      </c>
      <c r="CB207" s="55">
        <f t="shared" si="275"/>
        <v>0.8</v>
      </c>
      <c r="CC207" s="242" t="s">
        <v>1273</v>
      </c>
      <c r="CD207" s="243" t="s">
        <v>1273</v>
      </c>
      <c r="CE207" s="244"/>
      <c r="CF207" s="295" t="s">
        <v>2379</v>
      </c>
      <c r="CG207" s="210">
        <v>2.04</v>
      </c>
      <c r="CH207" s="295" t="s">
        <v>2379</v>
      </c>
      <c r="CI207" s="188">
        <f>IF((100-(75*(CG207-1)/9))&gt;100,100,IF((100-(75*(CG207-1)/9))&lt;25,25,(100-(75*(CG207-1)/9))))</f>
        <v>91.333333333333329</v>
      </c>
      <c r="CJ207" s="63">
        <f>CI207*0.04</f>
        <v>3.6533333333333333</v>
      </c>
      <c r="CK207" s="173" t="s">
        <v>2486</v>
      </c>
      <c r="CL207" s="173" t="s">
        <v>2487</v>
      </c>
      <c r="CM207" s="199">
        <f t="shared" si="276"/>
        <v>70</v>
      </c>
      <c r="CN207" s="65">
        <f>CM207*0.03</f>
        <v>2.1</v>
      </c>
      <c r="CO207" s="54">
        <v>73552000</v>
      </c>
      <c r="CP207" s="186">
        <f t="shared" si="254"/>
        <v>4.8823736342870427</v>
      </c>
      <c r="CQ207" s="179">
        <f t="shared" si="277"/>
        <v>80</v>
      </c>
      <c r="CR207" s="61">
        <f>CQ207*0.04</f>
        <v>3.2</v>
      </c>
      <c r="CS207" s="200">
        <f>_xlfn.XLOOKUP(C207, '1-1. 관계사체무보증금액 (환율 등)'!$3:$3, '1-1. 관계사체무보증금액 (환율 등)'!$33:$33)</f>
        <v>0</v>
      </c>
      <c r="CT207" s="178">
        <f t="shared" si="255"/>
        <v>0</v>
      </c>
      <c r="CU207" s="179">
        <f t="shared" si="278"/>
        <v>100</v>
      </c>
      <c r="CV207" s="70">
        <f>CU207*0.03</f>
        <v>3</v>
      </c>
      <c r="CW207" s="72">
        <f t="shared" si="295"/>
        <v>28.204192608689201</v>
      </c>
    </row>
    <row r="208" spans="1:101" x14ac:dyDescent="0.6">
      <c r="A208" s="214" t="s">
        <v>1776</v>
      </c>
      <c r="B208" s="13" t="s">
        <v>2188</v>
      </c>
      <c r="C208" s="219" t="s">
        <v>53</v>
      </c>
      <c r="D208" s="221" t="s">
        <v>350</v>
      </c>
      <c r="E208" s="217" t="s">
        <v>179</v>
      </c>
      <c r="F208" s="217" t="s">
        <v>620</v>
      </c>
      <c r="G208" s="218">
        <v>32013</v>
      </c>
      <c r="H208" s="217" t="s">
        <v>830</v>
      </c>
      <c r="I208" s="217" t="s">
        <v>631</v>
      </c>
      <c r="J208" s="217" t="s">
        <v>1123</v>
      </c>
      <c r="K208" s="217" t="s">
        <v>91</v>
      </c>
      <c r="L208" s="220">
        <v>7518981791</v>
      </c>
      <c r="M208" s="206">
        <v>6570247685</v>
      </c>
      <c r="N208" s="206">
        <v>948734106</v>
      </c>
      <c r="O208" s="206">
        <v>1456503449</v>
      </c>
      <c r="P208" s="206">
        <v>11313859</v>
      </c>
      <c r="Q208" s="206">
        <v>9393410</v>
      </c>
      <c r="R208" s="206">
        <v>3677466</v>
      </c>
      <c r="S208" s="207">
        <v>96866418</v>
      </c>
      <c r="T208" s="207">
        <v>5027273</v>
      </c>
      <c r="U208" s="207">
        <v>27373920</v>
      </c>
      <c r="V208" s="207">
        <f>1300000+165884+467120+49500+39130+20376+20257+40211</f>
        <v>2102478</v>
      </c>
      <c r="W208" s="207">
        <f>39410+39508+30966+35000+19000+18722+2222+10000</f>
        <v>194828</v>
      </c>
      <c r="X208" s="207">
        <v>0</v>
      </c>
      <c r="Z208" s="207">
        <f>939596+939390</f>
        <v>1878986</v>
      </c>
      <c r="AA208" s="207">
        <v>0</v>
      </c>
      <c r="AB208" s="176">
        <f t="shared" si="279"/>
        <v>31550212</v>
      </c>
      <c r="AC208" s="177">
        <f t="shared" si="256"/>
        <v>32.570846172922387</v>
      </c>
      <c r="AD208" s="177">
        <f t="shared" si="280"/>
        <v>71.975679367443277</v>
      </c>
      <c r="AE208" s="60">
        <f>AD208*0.04</f>
        <v>2.8790271746977312</v>
      </c>
      <c r="AF208" s="178">
        <f t="shared" si="257"/>
        <v>32.095679897716813</v>
      </c>
      <c r="AG208" s="178">
        <f t="shared" si="258"/>
        <v>34.353773655013882</v>
      </c>
      <c r="AH208" s="178">
        <f t="shared" si="282"/>
        <v>2.2580937572970683</v>
      </c>
      <c r="AI208" s="179">
        <f t="shared" si="283"/>
        <v>100</v>
      </c>
      <c r="AJ208" s="61">
        <f>AI208*0.05</f>
        <v>5</v>
      </c>
      <c r="AK208" s="204">
        <v>5</v>
      </c>
      <c r="AL208" s="204">
        <v>32</v>
      </c>
      <c r="AM208" s="204">
        <v>1</v>
      </c>
      <c r="AN208" s="181">
        <f t="shared" si="243"/>
        <v>37</v>
      </c>
      <c r="AO208" s="182">
        <f t="shared" si="244"/>
        <v>2.7027027027027026</v>
      </c>
      <c r="AP208" s="183">
        <f t="shared" si="259"/>
        <v>100</v>
      </c>
      <c r="AQ208" s="62">
        <f>AP208*0.03</f>
        <v>3</v>
      </c>
      <c r="AR208" s="212">
        <v>3</v>
      </c>
      <c r="AS208" s="292">
        <f t="shared" si="245"/>
        <v>0.5</v>
      </c>
      <c r="AT208" s="185">
        <f t="shared" si="246"/>
        <v>2.5</v>
      </c>
      <c r="AU208" s="185">
        <f t="shared" si="260"/>
        <v>2</v>
      </c>
      <c r="AV208" s="186">
        <f t="shared" si="247"/>
        <v>20</v>
      </c>
      <c r="AW208" s="179">
        <f t="shared" si="261"/>
        <v>80</v>
      </c>
      <c r="AX208" s="240">
        <f>AW208*0.02</f>
        <v>1.6</v>
      </c>
      <c r="AY208" s="54">
        <v>13</v>
      </c>
      <c r="AZ208" s="54">
        <f>13*3</f>
        <v>39</v>
      </c>
      <c r="BA208" s="189">
        <f t="shared" si="248"/>
        <v>39</v>
      </c>
      <c r="BB208" s="178">
        <f t="shared" si="262"/>
        <v>100</v>
      </c>
      <c r="BC208" s="179">
        <f t="shared" si="263"/>
        <v>100</v>
      </c>
      <c r="BD208" s="61">
        <f>BC208*0.02</f>
        <v>2</v>
      </c>
      <c r="BE208" s="190">
        <v>109790220</v>
      </c>
      <c r="BF208" s="190">
        <v>6026446</v>
      </c>
      <c r="BG208" s="54">
        <v>4493531</v>
      </c>
      <c r="BH208" s="191">
        <f t="shared" si="249"/>
        <v>115816666</v>
      </c>
      <c r="BI208" s="178">
        <f t="shared" si="250"/>
        <v>3.8798656145049106</v>
      </c>
      <c r="BJ208" s="294" t="str">
        <f t="shared" si="264"/>
        <v>금융업</v>
      </c>
      <c r="BK208" s="192">
        <f t="shared" si="265"/>
        <v>2.7106886075318837</v>
      </c>
      <c r="BL208" s="193">
        <f t="shared" si="266"/>
        <v>1.169177006973027</v>
      </c>
      <c r="BM208" s="241">
        <f t="shared" si="267"/>
        <v>60</v>
      </c>
      <c r="BN208" s="47">
        <f t="shared" si="268"/>
        <v>1.2</v>
      </c>
      <c r="BO208" s="54">
        <v>0</v>
      </c>
      <c r="BP208" s="194">
        <f t="shared" si="251"/>
        <v>0</v>
      </c>
      <c r="BQ208" s="179">
        <f t="shared" si="269"/>
        <v>25</v>
      </c>
      <c r="BR208" s="61">
        <f>BQ208*0.01</f>
        <v>0.25</v>
      </c>
      <c r="BS208" s="195">
        <v>5497232</v>
      </c>
      <c r="BT208" s="195">
        <v>760806</v>
      </c>
      <c r="BU208" s="196">
        <f t="shared" si="270"/>
        <v>4736426</v>
      </c>
      <c r="BV208" s="178">
        <f t="shared" si="252"/>
        <v>0.32519154027763647</v>
      </c>
      <c r="BW208" s="192">
        <f t="shared" si="271"/>
        <v>0.39407896396795111</v>
      </c>
      <c r="BX208" s="192">
        <f t="shared" si="272"/>
        <v>4.7454771426889229E-3</v>
      </c>
      <c r="BY208" s="192">
        <f t="shared" si="273"/>
        <v>1.5698937849002934</v>
      </c>
      <c r="BZ208" s="192">
        <f t="shared" si="274"/>
        <v>51.750009416426913</v>
      </c>
      <c r="CA208" s="192">
        <f t="shared" si="253"/>
        <v>55</v>
      </c>
      <c r="CB208" s="55">
        <f t="shared" si="275"/>
        <v>1.1000000000000001</v>
      </c>
      <c r="CC208" s="242" t="s">
        <v>1273</v>
      </c>
      <c r="CD208" s="243" t="s">
        <v>1273</v>
      </c>
      <c r="CE208" s="244"/>
      <c r="CF208" s="295" t="s">
        <v>2379</v>
      </c>
      <c r="CG208" s="210">
        <v>7.69</v>
      </c>
      <c r="CH208" s="295" t="s">
        <v>2379</v>
      </c>
      <c r="CI208" s="188">
        <f>IF((100-(75*(CG208-1)/9))&gt;100,100,IF((100-(75*(CG208-1)/9))&lt;25,25,(100-(75*(CG208-1)/9))))</f>
        <v>44.249999999999993</v>
      </c>
      <c r="CJ208" s="63">
        <f>CI208*0.04</f>
        <v>1.7699999999999998</v>
      </c>
      <c r="CK208" s="173" t="s">
        <v>2505</v>
      </c>
      <c r="CL208" s="173" t="s">
        <v>2477</v>
      </c>
      <c r="CM208" s="199">
        <f t="shared" si="276"/>
        <v>85</v>
      </c>
      <c r="CN208" s="65">
        <f>CM208*0.03</f>
        <v>2.5499999999999998</v>
      </c>
      <c r="CO208" s="54">
        <v>69859000</v>
      </c>
      <c r="CP208" s="186">
        <f t="shared" si="254"/>
        <v>7.3633908128944183</v>
      </c>
      <c r="CQ208" s="179">
        <f t="shared" si="277"/>
        <v>80</v>
      </c>
      <c r="CR208" s="61">
        <f>CQ208*0.04</f>
        <v>3.2</v>
      </c>
      <c r="CS208" s="200">
        <f>_xlfn.XLOOKUP(C208, '1-1. 관계사체무보증금액 (환율 등)'!$3:$3, '1-1. 관계사체무보증금액 (환율 등)'!$33:$33)</f>
        <v>0</v>
      </c>
      <c r="CT208" s="178">
        <f t="shared" si="255"/>
        <v>0</v>
      </c>
      <c r="CU208" s="179">
        <f t="shared" si="278"/>
        <v>100</v>
      </c>
      <c r="CV208" s="70">
        <f>CU208*0.03</f>
        <v>3</v>
      </c>
      <c r="CW208" s="72">
        <f t="shared" si="295"/>
        <v>27.549027174697731</v>
      </c>
    </row>
    <row r="209" spans="1:101" x14ac:dyDescent="0.6">
      <c r="A209" s="214" t="s">
        <v>405</v>
      </c>
      <c r="B209" s="13" t="s">
        <v>2189</v>
      </c>
      <c r="C209" s="219" t="s">
        <v>522</v>
      </c>
      <c r="D209" s="216" t="s">
        <v>191</v>
      </c>
      <c r="E209" s="217" t="s">
        <v>34</v>
      </c>
      <c r="F209" s="217" t="s">
        <v>116</v>
      </c>
      <c r="G209" s="218">
        <v>22951</v>
      </c>
      <c r="H209" s="217" t="s">
        <v>830</v>
      </c>
      <c r="I209" s="217" t="s">
        <v>258</v>
      </c>
      <c r="J209" s="217" t="s">
        <v>1114</v>
      </c>
      <c r="K209" s="217" t="s">
        <v>91</v>
      </c>
      <c r="L209" s="220">
        <v>2274482334</v>
      </c>
      <c r="M209" s="206">
        <v>333634565</v>
      </c>
      <c r="N209" s="206">
        <v>1940847769</v>
      </c>
      <c r="O209" s="206">
        <v>1726364617</v>
      </c>
      <c r="P209" s="206">
        <v>41119507</v>
      </c>
      <c r="Q209" s="206">
        <v>153965942</v>
      </c>
      <c r="R209" s="206">
        <v>130274124</v>
      </c>
      <c r="S209" s="207">
        <v>73231476</v>
      </c>
      <c r="T209" s="207">
        <v>6236192</v>
      </c>
      <c r="U209" s="207">
        <v>11509054</v>
      </c>
      <c r="V209" s="207">
        <v>0</v>
      </c>
      <c r="W209" s="207">
        <f>52608+16586+800+1050+3526+396+54+275+44+1064+882+1584+375+1482+1487+2730+3053+1003+142</f>
        <v>89141</v>
      </c>
      <c r="X209" s="207">
        <v>0</v>
      </c>
      <c r="Y209" s="208" t="s">
        <v>2449</v>
      </c>
      <c r="Z209" s="207">
        <v>0</v>
      </c>
      <c r="AA209" s="207">
        <v>0</v>
      </c>
      <c r="AB209" s="176">
        <f t="shared" si="279"/>
        <v>11598195</v>
      </c>
      <c r="AC209" s="177">
        <f t="shared" si="256"/>
        <v>15.83771846958267</v>
      </c>
      <c r="AD209" s="177">
        <f t="shared" si="280"/>
        <v>86.417389122914841</v>
      </c>
      <c r="AE209" s="26">
        <f t="shared" ref="AE209:AE225" si="296">AD209*0.03</f>
        <v>2.592521673687445</v>
      </c>
      <c r="AF209" s="178">
        <f t="shared" si="257"/>
        <v>17.178901726873789</v>
      </c>
      <c r="AG209" s="178">
        <f t="shared" si="258"/>
        <v>17.311957361058429</v>
      </c>
      <c r="AH209" s="178">
        <f t="shared" si="282"/>
        <v>0.13305563418463962</v>
      </c>
      <c r="AI209" s="179">
        <f t="shared" si="283"/>
        <v>100</v>
      </c>
      <c r="AJ209" s="30">
        <f t="shared" ref="AJ209:AJ225" si="297">AI209*0.04</f>
        <v>4</v>
      </c>
      <c r="AK209" s="204">
        <v>8</v>
      </c>
      <c r="AL209" s="204">
        <v>22</v>
      </c>
      <c r="AM209" s="204">
        <v>0</v>
      </c>
      <c r="AN209" s="181">
        <f t="shared" si="243"/>
        <v>30</v>
      </c>
      <c r="AO209" s="182">
        <f t="shared" si="244"/>
        <v>0</v>
      </c>
      <c r="AP209" s="183">
        <f t="shared" si="259"/>
        <v>100</v>
      </c>
      <c r="AQ209" s="38">
        <f t="shared" ref="AQ209:AQ225" si="298">AP209*0.02</f>
        <v>2</v>
      </c>
      <c r="AR209" s="212">
        <v>5</v>
      </c>
      <c r="AS209" s="292">
        <f t="shared" si="245"/>
        <v>0.5</v>
      </c>
      <c r="AT209" s="185">
        <f t="shared" si="246"/>
        <v>4</v>
      </c>
      <c r="AU209" s="185">
        <f t="shared" si="260"/>
        <v>4</v>
      </c>
      <c r="AV209" s="186">
        <f t="shared" si="247"/>
        <v>12.5</v>
      </c>
      <c r="AW209" s="179">
        <f t="shared" si="261"/>
        <v>60</v>
      </c>
      <c r="AX209" s="239">
        <f t="shared" ref="AX209:AX225" si="299">AW209*0.01</f>
        <v>0.6</v>
      </c>
      <c r="AY209" s="54">
        <v>10</v>
      </c>
      <c r="AZ209" s="54">
        <v>49</v>
      </c>
      <c r="BA209" s="189">
        <f t="shared" si="248"/>
        <v>50</v>
      </c>
      <c r="BB209" s="178">
        <f t="shared" si="262"/>
        <v>98</v>
      </c>
      <c r="BC209" s="179">
        <f t="shared" si="263"/>
        <v>100</v>
      </c>
      <c r="BD209" s="30">
        <f t="shared" ref="BD209:BD225" si="300">BC209*0.01</f>
        <v>1</v>
      </c>
      <c r="BE209" s="190">
        <f>61008105+55749291</f>
        <v>116757396</v>
      </c>
      <c r="BF209" s="190">
        <v>14774235</v>
      </c>
      <c r="BG209" s="54">
        <v>490623</v>
      </c>
      <c r="BH209" s="191">
        <f t="shared" si="249"/>
        <v>131531631</v>
      </c>
      <c r="BI209" s="178">
        <f t="shared" si="250"/>
        <v>0.37300761517965214</v>
      </c>
      <c r="BJ209" s="294" t="str">
        <f t="shared" si="264"/>
        <v>식약/섬유/종이업</v>
      </c>
      <c r="BK209" s="192">
        <f t="shared" si="265"/>
        <v>2.1999360555264444</v>
      </c>
      <c r="BL209" s="193">
        <f t="shared" si="266"/>
        <v>-1.8269284403467922</v>
      </c>
      <c r="BM209" s="241">
        <f t="shared" si="267"/>
        <v>80</v>
      </c>
      <c r="BN209" s="47">
        <f t="shared" si="268"/>
        <v>1.6</v>
      </c>
      <c r="BO209" s="54">
        <v>180035000</v>
      </c>
      <c r="BP209" s="194">
        <f t="shared" si="251"/>
        <v>10.428561743396759</v>
      </c>
      <c r="BQ209" s="179">
        <f t="shared" si="269"/>
        <v>100</v>
      </c>
      <c r="BR209" s="30">
        <f t="shared" ref="BR209:BR225" si="301">BQ209*0.02</f>
        <v>2</v>
      </c>
      <c r="BS209" s="195">
        <v>29324228.079999998</v>
      </c>
      <c r="BT209" s="195">
        <v>65782.835999999996</v>
      </c>
      <c r="BU209" s="196">
        <f t="shared" si="270"/>
        <v>29258445.243999999</v>
      </c>
      <c r="BV209" s="178">
        <f t="shared" si="252"/>
        <v>1.6948010261496222</v>
      </c>
      <c r="BW209" s="192">
        <f t="shared" si="271"/>
        <v>5.0508176117342281</v>
      </c>
      <c r="BX209" s="192">
        <f t="shared" si="272"/>
        <v>11.262847322718958</v>
      </c>
      <c r="BY209" s="192">
        <f t="shared" si="273"/>
        <v>6.9871618081220941</v>
      </c>
      <c r="BZ209" s="192">
        <f t="shared" si="274"/>
        <v>68.449716654188691</v>
      </c>
      <c r="CA209" s="192">
        <f t="shared" si="253"/>
        <v>40</v>
      </c>
      <c r="CB209" s="55">
        <f t="shared" si="275"/>
        <v>0.8</v>
      </c>
      <c r="CC209" s="197">
        <f t="shared" ref="CC209:CC225" si="302">(M209/N209)*100</f>
        <v>17.190145993361522</v>
      </c>
      <c r="CD209" s="198">
        <f t="shared" ref="CD209:CD225" si="303">IF((100-(75*(CC209-1)/(200-1)))&gt;100, 100, IF((100-(75*(CC209-1)/(200-1)))&lt;25, 25, (100-(75*(CC209-1)/(200-1)))))</f>
        <v>93.898186183406466</v>
      </c>
      <c r="CE209" s="58">
        <f t="shared" ref="CE209:CE225" si="304">CD209*0.015</f>
        <v>1.4084727927510969</v>
      </c>
      <c r="CF209" s="245" t="s">
        <v>2326</v>
      </c>
      <c r="CG209" s="245" t="s">
        <v>2326</v>
      </c>
      <c r="CH209" s="245" t="s">
        <v>2326</v>
      </c>
      <c r="CI209" s="245" t="s">
        <v>2326</v>
      </c>
      <c r="CJ209" s="235"/>
      <c r="CK209" s="173" t="s">
        <v>2491</v>
      </c>
      <c r="CL209" s="173" t="s">
        <v>2478</v>
      </c>
      <c r="CM209" s="199">
        <f t="shared" si="276"/>
        <v>25</v>
      </c>
      <c r="CN209" s="58">
        <f t="shared" ref="CN209:CN225" si="305">CM209*0.015</f>
        <v>0.375</v>
      </c>
      <c r="CO209" s="54">
        <v>246902000</v>
      </c>
      <c r="CP209" s="186">
        <f t="shared" si="254"/>
        <v>12.721348059524187</v>
      </c>
      <c r="CQ209" s="179">
        <f t="shared" si="277"/>
        <v>60</v>
      </c>
      <c r="CR209" s="30">
        <f t="shared" ref="CR209:CR225" si="306">CQ209*0.03</f>
        <v>1.7999999999999998</v>
      </c>
      <c r="CS209" s="200">
        <f>_xlfn.XLOOKUP(C209, '1-1. 관계사체무보증금액 (환율 등)'!$3:$3, '1-1. 관계사체무보증금액 (환율 등)'!$33:$33)</f>
        <v>0</v>
      </c>
      <c r="CT209" s="178">
        <f t="shared" si="255"/>
        <v>0</v>
      </c>
      <c r="CU209" s="179">
        <f t="shared" si="278"/>
        <v>100</v>
      </c>
      <c r="CV209" s="30">
        <f t="shared" ref="CV209:CV225" si="307">CU209*0.02</f>
        <v>2</v>
      </c>
      <c r="CW209" s="72">
        <f t="shared" si="295"/>
        <v>20.175994466438542</v>
      </c>
    </row>
    <row r="210" spans="1:101" x14ac:dyDescent="0.6">
      <c r="A210" s="214" t="s">
        <v>942</v>
      </c>
      <c r="B210" s="13" t="s">
        <v>2190</v>
      </c>
      <c r="C210" s="219" t="s">
        <v>477</v>
      </c>
      <c r="D210" s="216" t="s">
        <v>203</v>
      </c>
      <c r="E210" s="217" t="s">
        <v>200</v>
      </c>
      <c r="F210" s="217" t="s">
        <v>654</v>
      </c>
      <c r="G210" s="218">
        <v>34929</v>
      </c>
      <c r="H210" s="217" t="s">
        <v>830</v>
      </c>
      <c r="I210" s="217" t="s">
        <v>997</v>
      </c>
      <c r="J210" s="217" t="s">
        <v>1074</v>
      </c>
      <c r="K210" s="217" t="s">
        <v>690</v>
      </c>
      <c r="L210" s="220">
        <v>337212432</v>
      </c>
      <c r="M210" s="206">
        <v>209999598</v>
      </c>
      <c r="N210" s="206">
        <v>127212835</v>
      </c>
      <c r="O210" s="206">
        <v>429618752</v>
      </c>
      <c r="P210" s="206">
        <v>13690371</v>
      </c>
      <c r="Q210" s="206">
        <v>5164140</v>
      </c>
      <c r="R210" s="206">
        <v>5720773</v>
      </c>
      <c r="S210" s="207">
        <v>33442000</v>
      </c>
      <c r="T210" s="207">
        <v>1211</v>
      </c>
      <c r="U210" s="207">
        <v>8248217</v>
      </c>
      <c r="V210" s="207">
        <f>17025140-170000-15000-50000-8248217</f>
        <v>8541923</v>
      </c>
      <c r="W210" s="207">
        <f>50000+15000</f>
        <v>65000</v>
      </c>
      <c r="X210" s="207">
        <v>0</v>
      </c>
      <c r="Z210" s="207">
        <v>170000</v>
      </c>
      <c r="AA210" s="207">
        <v>0</v>
      </c>
      <c r="AB210" s="176">
        <f t="shared" si="279"/>
        <v>17025140</v>
      </c>
      <c r="AC210" s="177">
        <f t="shared" si="256"/>
        <v>50.909455176125832</v>
      </c>
      <c r="AD210" s="177">
        <f t="shared" si="280"/>
        <v>56.148341332457569</v>
      </c>
      <c r="AE210" s="26">
        <f t="shared" si="296"/>
        <v>1.6844502399737271</v>
      </c>
      <c r="AF210" s="178">
        <f t="shared" si="257"/>
        <v>50.208564157980838</v>
      </c>
      <c r="AG210" s="178">
        <f t="shared" si="258"/>
        <v>50.911298773482883</v>
      </c>
      <c r="AH210" s="178">
        <f t="shared" si="282"/>
        <v>0.7027346155020453</v>
      </c>
      <c r="AI210" s="179">
        <f t="shared" si="283"/>
        <v>100</v>
      </c>
      <c r="AJ210" s="30">
        <f t="shared" si="297"/>
        <v>4</v>
      </c>
      <c r="AK210" s="204">
        <v>9</v>
      </c>
      <c r="AL210" s="204">
        <v>2</v>
      </c>
      <c r="AM210" s="204">
        <v>1</v>
      </c>
      <c r="AN210" s="181">
        <f t="shared" si="243"/>
        <v>11</v>
      </c>
      <c r="AO210" s="182">
        <f t="shared" si="244"/>
        <v>9.0909090909090917</v>
      </c>
      <c r="AP210" s="183">
        <f t="shared" si="259"/>
        <v>100</v>
      </c>
      <c r="AQ210" s="38">
        <f t="shared" si="298"/>
        <v>2</v>
      </c>
      <c r="AR210" s="212">
        <v>3</v>
      </c>
      <c r="AS210" s="292">
        <f t="shared" si="245"/>
        <v>0.25</v>
      </c>
      <c r="AT210" s="185">
        <f t="shared" si="246"/>
        <v>2.25</v>
      </c>
      <c r="AU210" s="185">
        <f t="shared" si="260"/>
        <v>2</v>
      </c>
      <c r="AV210" s="186">
        <f t="shared" si="247"/>
        <v>11.111111111111111</v>
      </c>
      <c r="AW210" s="179">
        <f t="shared" si="261"/>
        <v>60</v>
      </c>
      <c r="AX210" s="239">
        <f t="shared" si="299"/>
        <v>0.6</v>
      </c>
      <c r="AY210" s="54">
        <v>31</v>
      </c>
      <c r="AZ210" s="54">
        <f>31*3-20</f>
        <v>73</v>
      </c>
      <c r="BA210" s="189">
        <f t="shared" si="248"/>
        <v>93</v>
      </c>
      <c r="BB210" s="178">
        <f t="shared" si="262"/>
        <v>78.494623655913969</v>
      </c>
      <c r="BC210" s="179">
        <f t="shared" si="263"/>
        <v>50</v>
      </c>
      <c r="BD210" s="30">
        <f t="shared" si="300"/>
        <v>0.5</v>
      </c>
      <c r="BE210" s="190">
        <v>1898143</v>
      </c>
      <c r="BF210" s="190">
        <v>130556</v>
      </c>
      <c r="BG210" s="54">
        <v>237422</v>
      </c>
      <c r="BH210" s="191">
        <f t="shared" si="249"/>
        <v>2028699</v>
      </c>
      <c r="BI210" s="178">
        <f t="shared" si="250"/>
        <v>11.703165427695286</v>
      </c>
      <c r="BJ210" s="294" t="str">
        <f t="shared" si="264"/>
        <v>금속/비금속/화학업</v>
      </c>
      <c r="BK210" s="192">
        <f t="shared" si="265"/>
        <v>3.9534118626990464</v>
      </c>
      <c r="BL210" s="193">
        <f t="shared" si="266"/>
        <v>7.7497535649962392</v>
      </c>
      <c r="BM210" s="241">
        <f t="shared" si="267"/>
        <v>40</v>
      </c>
      <c r="BN210" s="47">
        <f t="shared" si="268"/>
        <v>0.8</v>
      </c>
      <c r="BO210" s="54">
        <v>534919</v>
      </c>
      <c r="BP210" s="194">
        <f t="shared" si="251"/>
        <v>0.1245101610462292</v>
      </c>
      <c r="BQ210" s="179">
        <f t="shared" si="269"/>
        <v>55</v>
      </c>
      <c r="BR210" s="30">
        <f t="shared" si="301"/>
        <v>1.1000000000000001</v>
      </c>
      <c r="BS210" s="195">
        <v>5091157.7960000001</v>
      </c>
      <c r="BT210" s="195">
        <v>0</v>
      </c>
      <c r="BU210" s="196">
        <f t="shared" si="270"/>
        <v>5091157.7960000001</v>
      </c>
      <c r="BV210" s="178">
        <f t="shared" si="252"/>
        <v>1.1850408699106318</v>
      </c>
      <c r="BW210" s="192">
        <f t="shared" si="271"/>
        <v>5.1474158565187729</v>
      </c>
      <c r="BX210" s="192">
        <f t="shared" si="272"/>
        <v>15.700415534497866</v>
      </c>
      <c r="BY210" s="192">
        <f t="shared" si="273"/>
        <v>6.6930498535228526</v>
      </c>
      <c r="BZ210" s="192">
        <f t="shared" si="274"/>
        <v>72.307918165331373</v>
      </c>
      <c r="CA210" s="192">
        <f t="shared" si="253"/>
        <v>40</v>
      </c>
      <c r="CB210" s="55">
        <f t="shared" si="275"/>
        <v>0.8</v>
      </c>
      <c r="CC210" s="197">
        <f t="shared" si="302"/>
        <v>165.07736660377077</v>
      </c>
      <c r="CD210" s="198">
        <f t="shared" si="303"/>
        <v>38.161796506116545</v>
      </c>
      <c r="CE210" s="58">
        <f t="shared" si="304"/>
        <v>0.57242694759174817</v>
      </c>
      <c r="CF210" s="245" t="s">
        <v>2326</v>
      </c>
      <c r="CG210" s="245" t="s">
        <v>2326</v>
      </c>
      <c r="CH210" s="245" t="s">
        <v>2326</v>
      </c>
      <c r="CI210" s="245" t="s">
        <v>2326</v>
      </c>
      <c r="CJ210" s="235"/>
      <c r="CK210" s="173" t="s">
        <v>2479</v>
      </c>
      <c r="CL210" s="173" t="s">
        <v>2478</v>
      </c>
      <c r="CM210" s="199">
        <f t="shared" si="276"/>
        <v>25</v>
      </c>
      <c r="CN210" s="58">
        <f t="shared" si="305"/>
        <v>0.375</v>
      </c>
      <c r="CO210" s="54">
        <v>0</v>
      </c>
      <c r="CP210" s="186">
        <f t="shared" si="254"/>
        <v>0</v>
      </c>
      <c r="CQ210" s="179">
        <f t="shared" si="277"/>
        <v>100</v>
      </c>
      <c r="CR210" s="30">
        <f t="shared" si="306"/>
        <v>3</v>
      </c>
      <c r="CS210" s="200">
        <f>_xlfn.XLOOKUP(C210, '1-1. 관계사체무보증금액 (환율 등)'!$3:$3, '1-1. 관계사체무보증금액 (환율 등)'!$33:$33)</f>
        <v>0</v>
      </c>
      <c r="CT210" s="178">
        <f t="shared" si="255"/>
        <v>0</v>
      </c>
      <c r="CU210" s="179">
        <f t="shared" si="278"/>
        <v>100</v>
      </c>
      <c r="CV210" s="30">
        <f t="shared" si="307"/>
        <v>2</v>
      </c>
      <c r="CW210" s="72">
        <f t="shared" si="295"/>
        <v>17.431877187565476</v>
      </c>
    </row>
    <row r="211" spans="1:101" x14ac:dyDescent="0.6">
      <c r="A211" s="214" t="s">
        <v>820</v>
      </c>
      <c r="B211" s="13" t="s">
        <v>2191</v>
      </c>
      <c r="C211" s="219" t="s">
        <v>419</v>
      </c>
      <c r="D211" s="216" t="s">
        <v>285</v>
      </c>
      <c r="E211" s="217" t="s">
        <v>796</v>
      </c>
      <c r="F211" s="217" t="s">
        <v>1015</v>
      </c>
      <c r="G211" s="218">
        <v>42202</v>
      </c>
      <c r="H211" s="217" t="s">
        <v>830</v>
      </c>
      <c r="I211" s="217" t="s">
        <v>784</v>
      </c>
      <c r="J211" s="217" t="s">
        <v>1104</v>
      </c>
      <c r="K211" s="217" t="s">
        <v>91</v>
      </c>
      <c r="L211" s="220">
        <v>1090534674</v>
      </c>
      <c r="M211" s="206">
        <v>385964079</v>
      </c>
      <c r="N211" s="206">
        <v>704570595</v>
      </c>
      <c r="O211" s="206">
        <v>487630665</v>
      </c>
      <c r="P211" s="206">
        <v>26670913</v>
      </c>
      <c r="Q211" s="206">
        <v>152059469</v>
      </c>
      <c r="R211" s="206">
        <v>126398998</v>
      </c>
      <c r="S211" s="207">
        <v>20000000</v>
      </c>
      <c r="T211" s="207">
        <v>0</v>
      </c>
      <c r="U211" s="207">
        <v>3539000</v>
      </c>
      <c r="V211" s="207">
        <v>400000</v>
      </c>
      <c r="W211" s="207">
        <f>4500+400+3517+1000</f>
        <v>9417</v>
      </c>
      <c r="X211" s="207">
        <v>1800000</v>
      </c>
      <c r="Y211" s="208" t="s">
        <v>2450</v>
      </c>
      <c r="Z211" s="207">
        <v>0</v>
      </c>
      <c r="AA211" s="207">
        <v>0</v>
      </c>
      <c r="AB211" s="176">
        <f t="shared" si="279"/>
        <v>5748417</v>
      </c>
      <c r="AC211" s="177">
        <f t="shared" si="256"/>
        <v>28.742084999999999</v>
      </c>
      <c r="AD211" s="177">
        <f t="shared" si="280"/>
        <v>75.28013377445339</v>
      </c>
      <c r="AE211" s="26">
        <f t="shared" si="296"/>
        <v>2.2584040132336014</v>
      </c>
      <c r="AF211" s="178">
        <f t="shared" si="257"/>
        <v>19.695</v>
      </c>
      <c r="AG211" s="178">
        <f t="shared" si="258"/>
        <v>28.742084999999999</v>
      </c>
      <c r="AH211" s="178">
        <f t="shared" si="282"/>
        <v>9.0470849999999992</v>
      </c>
      <c r="AI211" s="179">
        <f t="shared" si="283"/>
        <v>100</v>
      </c>
      <c r="AJ211" s="30">
        <f t="shared" si="297"/>
        <v>4</v>
      </c>
      <c r="AK211" s="204">
        <v>7</v>
      </c>
      <c r="AL211" s="204">
        <v>20</v>
      </c>
      <c r="AM211" s="204">
        <v>1</v>
      </c>
      <c r="AN211" s="181">
        <f t="shared" si="243"/>
        <v>27</v>
      </c>
      <c r="AO211" s="182">
        <f t="shared" si="244"/>
        <v>3.7037037037037033</v>
      </c>
      <c r="AP211" s="183">
        <f t="shared" si="259"/>
        <v>100</v>
      </c>
      <c r="AQ211" s="38">
        <f t="shared" si="298"/>
        <v>2</v>
      </c>
      <c r="AR211" s="212">
        <v>3</v>
      </c>
      <c r="AS211" s="292">
        <f t="shared" si="245"/>
        <v>0.25</v>
      </c>
      <c r="AT211" s="185">
        <f t="shared" si="246"/>
        <v>1.75</v>
      </c>
      <c r="AU211" s="185">
        <f t="shared" si="260"/>
        <v>1</v>
      </c>
      <c r="AV211" s="186">
        <f t="shared" si="247"/>
        <v>28.571428571428569</v>
      </c>
      <c r="AW211" s="179">
        <f t="shared" si="261"/>
        <v>80</v>
      </c>
      <c r="AX211" s="239">
        <f t="shared" si="299"/>
        <v>0.8</v>
      </c>
      <c r="AY211" s="54">
        <v>8</v>
      </c>
      <c r="AZ211" s="54">
        <f>24-3</f>
        <v>21</v>
      </c>
      <c r="BA211" s="189">
        <f t="shared" si="248"/>
        <v>24</v>
      </c>
      <c r="BB211" s="178">
        <f t="shared" si="262"/>
        <v>87.5</v>
      </c>
      <c r="BC211" s="179">
        <f t="shared" si="263"/>
        <v>75</v>
      </c>
      <c r="BD211" s="30">
        <f t="shared" si="300"/>
        <v>0.75</v>
      </c>
      <c r="BE211" s="190">
        <v>80508463</v>
      </c>
      <c r="BF211" s="190">
        <v>7299337</v>
      </c>
      <c r="BG211" s="54">
        <v>1490181</v>
      </c>
      <c r="BH211" s="191">
        <f t="shared" si="249"/>
        <v>87807800</v>
      </c>
      <c r="BI211" s="178">
        <f t="shared" si="250"/>
        <v>1.6970941078127455</v>
      </c>
      <c r="BJ211" s="294" t="str">
        <f t="shared" si="264"/>
        <v>비제조/서비스업</v>
      </c>
      <c r="BK211" s="192">
        <f t="shared" si="265"/>
        <v>1.7464434573900924</v>
      </c>
      <c r="BL211" s="193">
        <f t="shared" si="266"/>
        <v>-4.9349349577346935E-2</v>
      </c>
      <c r="BM211" s="241">
        <f t="shared" si="267"/>
        <v>80</v>
      </c>
      <c r="BN211" s="47">
        <f t="shared" si="268"/>
        <v>1.6</v>
      </c>
      <c r="BO211" s="54">
        <v>0</v>
      </c>
      <c r="BP211" s="194">
        <f t="shared" si="251"/>
        <v>0</v>
      </c>
      <c r="BQ211" s="179">
        <f t="shared" si="269"/>
        <v>25</v>
      </c>
      <c r="BR211" s="30">
        <f t="shared" si="301"/>
        <v>0.5</v>
      </c>
      <c r="BS211" s="195">
        <v>1827883.1370000001</v>
      </c>
      <c r="BT211" s="195">
        <v>42935.000999999997</v>
      </c>
      <c r="BU211" s="196">
        <f t="shared" si="270"/>
        <v>1784948.1360000002</v>
      </c>
      <c r="BV211" s="178">
        <f t="shared" si="252"/>
        <v>0.36604509603595176</v>
      </c>
      <c r="BW211" s="192">
        <f t="shared" si="271"/>
        <v>2.8482825397737606</v>
      </c>
      <c r="BX211" s="192">
        <f t="shared" si="272"/>
        <v>6.1615027270940113</v>
      </c>
      <c r="BY211" s="192">
        <f t="shared" si="273"/>
        <v>5.5697595856656799</v>
      </c>
      <c r="BZ211" s="192">
        <f t="shared" si="274"/>
        <v>67.207976118179275</v>
      </c>
      <c r="CA211" s="192">
        <f t="shared" si="253"/>
        <v>40</v>
      </c>
      <c r="CB211" s="55">
        <f t="shared" si="275"/>
        <v>0.8</v>
      </c>
      <c r="CC211" s="197">
        <f t="shared" si="302"/>
        <v>54.780043581012627</v>
      </c>
      <c r="CD211" s="198">
        <f t="shared" si="303"/>
        <v>79.731139353889716</v>
      </c>
      <c r="CE211" s="58">
        <f t="shared" si="304"/>
        <v>1.1959670903083457</v>
      </c>
      <c r="CF211" s="245" t="s">
        <v>2326</v>
      </c>
      <c r="CG211" s="245" t="s">
        <v>2326</v>
      </c>
      <c r="CH211" s="245" t="s">
        <v>2326</v>
      </c>
      <c r="CI211" s="245" t="s">
        <v>2326</v>
      </c>
      <c r="CJ211" s="235"/>
      <c r="CK211" s="173" t="s">
        <v>2486</v>
      </c>
      <c r="CL211" s="173" t="s">
        <v>2487</v>
      </c>
      <c r="CM211" s="199">
        <f t="shared" si="276"/>
        <v>70</v>
      </c>
      <c r="CN211" s="58">
        <f t="shared" si="305"/>
        <v>1.05</v>
      </c>
      <c r="CO211" s="54">
        <v>290815000</v>
      </c>
      <c r="CP211" s="186">
        <f t="shared" si="254"/>
        <v>41.275494899130727</v>
      </c>
      <c r="CQ211" s="179">
        <f t="shared" si="277"/>
        <v>40</v>
      </c>
      <c r="CR211" s="30">
        <f t="shared" si="306"/>
        <v>1.2</v>
      </c>
      <c r="CS211" s="200">
        <f>_xlfn.XLOOKUP(C211, '1-1. 관계사체무보증금액 (환율 등)'!$3:$3, '1-1. 관계사체무보증금액 (환율 등)'!$33:$33)</f>
        <v>0</v>
      </c>
      <c r="CT211" s="178">
        <f t="shared" si="255"/>
        <v>0</v>
      </c>
      <c r="CU211" s="179">
        <f t="shared" si="278"/>
        <v>100</v>
      </c>
      <c r="CV211" s="30">
        <f t="shared" si="307"/>
        <v>2</v>
      </c>
      <c r="CW211" s="72">
        <f t="shared" si="295"/>
        <v>18.154371103541948</v>
      </c>
    </row>
    <row r="212" spans="1:101" x14ac:dyDescent="0.6">
      <c r="A212" s="214" t="s">
        <v>831</v>
      </c>
      <c r="B212" s="13" t="s">
        <v>2192</v>
      </c>
      <c r="C212" s="219" t="s">
        <v>421</v>
      </c>
      <c r="D212" s="216" t="s">
        <v>285</v>
      </c>
      <c r="E212" s="217" t="s">
        <v>504</v>
      </c>
      <c r="F212" s="217" t="s">
        <v>879</v>
      </c>
      <c r="G212" s="218">
        <v>40704</v>
      </c>
      <c r="H212" s="217" t="s">
        <v>830</v>
      </c>
      <c r="I212" s="217" t="s">
        <v>778</v>
      </c>
      <c r="J212" s="217" t="s">
        <v>113</v>
      </c>
      <c r="K212" s="217" t="s">
        <v>91</v>
      </c>
      <c r="L212" s="220">
        <v>20129787392</v>
      </c>
      <c r="M212" s="206">
        <v>9708728742</v>
      </c>
      <c r="N212" s="206">
        <v>10421058650</v>
      </c>
      <c r="O212" s="206">
        <v>15486823899</v>
      </c>
      <c r="P212" s="206">
        <v>258855639</v>
      </c>
      <c r="Q212" s="206">
        <v>1381769677</v>
      </c>
      <c r="R212" s="206">
        <v>1050709937</v>
      </c>
      <c r="S212" s="207">
        <v>27875819</v>
      </c>
      <c r="T212" s="207">
        <v>1087464</v>
      </c>
      <c r="U212" s="207">
        <v>5172911</v>
      </c>
      <c r="V212" s="207">
        <v>2787582</v>
      </c>
      <c r="W212" s="207">
        <v>0</v>
      </c>
      <c r="X212" s="207">
        <v>0</v>
      </c>
      <c r="Z212" s="207">
        <v>0</v>
      </c>
      <c r="AA212" s="207">
        <v>0</v>
      </c>
      <c r="AB212" s="176">
        <f t="shared" si="279"/>
        <v>7960493</v>
      </c>
      <c r="AC212" s="177">
        <f t="shared" si="256"/>
        <v>28.556983384057705</v>
      </c>
      <c r="AD212" s="177">
        <f t="shared" si="280"/>
        <v>75.439887758293125</v>
      </c>
      <c r="AE212" s="26">
        <f t="shared" si="296"/>
        <v>2.2631966327487936</v>
      </c>
      <c r="AF212" s="178">
        <f t="shared" si="257"/>
        <v>29.716244241201075</v>
      </c>
      <c r="AG212" s="178">
        <f t="shared" si="258"/>
        <v>29.716244241201075</v>
      </c>
      <c r="AH212" s="178">
        <f t="shared" si="282"/>
        <v>0</v>
      </c>
      <c r="AI212" s="179">
        <f t="shared" si="283"/>
        <v>100</v>
      </c>
      <c r="AJ212" s="30">
        <f t="shared" si="297"/>
        <v>4</v>
      </c>
      <c r="AK212" s="204">
        <v>7</v>
      </c>
      <c r="AL212" s="204">
        <v>43</v>
      </c>
      <c r="AM212" s="204">
        <v>2</v>
      </c>
      <c r="AN212" s="181">
        <f t="shared" si="243"/>
        <v>50</v>
      </c>
      <c r="AO212" s="182">
        <f t="shared" si="244"/>
        <v>4</v>
      </c>
      <c r="AP212" s="183">
        <f t="shared" si="259"/>
        <v>100</v>
      </c>
      <c r="AQ212" s="38">
        <f t="shared" si="298"/>
        <v>2</v>
      </c>
      <c r="AR212" s="212">
        <v>4</v>
      </c>
      <c r="AS212" s="292">
        <f t="shared" si="245"/>
        <v>0.5</v>
      </c>
      <c r="AT212" s="185">
        <f t="shared" si="246"/>
        <v>3.5</v>
      </c>
      <c r="AU212" s="185">
        <f t="shared" si="260"/>
        <v>3</v>
      </c>
      <c r="AV212" s="186">
        <f t="shared" si="247"/>
        <v>14.285714285714285</v>
      </c>
      <c r="AW212" s="179">
        <f t="shared" si="261"/>
        <v>60</v>
      </c>
      <c r="AX212" s="239">
        <f t="shared" si="299"/>
        <v>0.6</v>
      </c>
      <c r="AY212" s="54">
        <v>15</v>
      </c>
      <c r="AZ212" s="54">
        <f>4*15</f>
        <v>60</v>
      </c>
      <c r="BA212" s="189">
        <f t="shared" si="248"/>
        <v>60</v>
      </c>
      <c r="BB212" s="178">
        <f t="shared" si="262"/>
        <v>100</v>
      </c>
      <c r="BC212" s="179">
        <f t="shared" si="263"/>
        <v>100</v>
      </c>
      <c r="BD212" s="30">
        <f t="shared" si="300"/>
        <v>1</v>
      </c>
      <c r="BE212" s="190">
        <v>1085137000</v>
      </c>
      <c r="BF212" s="190">
        <v>85861000</v>
      </c>
      <c r="BG212" s="301">
        <v>0</v>
      </c>
      <c r="BH212" s="191">
        <f t="shared" si="249"/>
        <v>1170998000</v>
      </c>
      <c r="BI212" s="178">
        <f t="shared" si="250"/>
        <v>0</v>
      </c>
      <c r="BJ212" s="294" t="str">
        <f t="shared" si="264"/>
        <v>비제조/서비스업</v>
      </c>
      <c r="BK212" s="192">
        <f t="shared" si="265"/>
        <v>1.7464434573900924</v>
      </c>
      <c r="BL212" s="193">
        <f t="shared" si="266"/>
        <v>-1.7464434573900924</v>
      </c>
      <c r="BM212" s="241">
        <f t="shared" si="267"/>
        <v>80</v>
      </c>
      <c r="BN212" s="47">
        <f t="shared" si="268"/>
        <v>1.6</v>
      </c>
      <c r="BO212" s="54">
        <v>8408000</v>
      </c>
      <c r="BP212" s="194">
        <f t="shared" si="251"/>
        <v>5.4291312762605327E-2</v>
      </c>
      <c r="BQ212" s="179">
        <f t="shared" si="269"/>
        <v>40</v>
      </c>
      <c r="BR212" s="30">
        <f t="shared" si="301"/>
        <v>0.8</v>
      </c>
      <c r="BS212" s="195">
        <v>330002834.45300001</v>
      </c>
      <c r="BT212" s="195">
        <v>71492800.583000004</v>
      </c>
      <c r="BU212" s="196">
        <f t="shared" si="270"/>
        <v>258510033.87</v>
      </c>
      <c r="BV212" s="178">
        <f t="shared" si="252"/>
        <v>1.6692256304838091</v>
      </c>
      <c r="BW212" s="192">
        <f t="shared" si="271"/>
        <v>2.8482825397737606</v>
      </c>
      <c r="BX212" s="192">
        <f t="shared" si="272"/>
        <v>1.3901751953443728</v>
      </c>
      <c r="BY212" s="192">
        <f t="shared" si="273"/>
        <v>5.5697595856656799</v>
      </c>
      <c r="BZ212" s="192">
        <f t="shared" si="274"/>
        <v>58.382516989085723</v>
      </c>
      <c r="CA212" s="192">
        <f t="shared" si="253"/>
        <v>55</v>
      </c>
      <c r="CB212" s="55">
        <f t="shared" si="275"/>
        <v>1.1000000000000001</v>
      </c>
      <c r="CC212" s="197">
        <f t="shared" si="302"/>
        <v>93.164514931503632</v>
      </c>
      <c r="CD212" s="198">
        <f t="shared" si="303"/>
        <v>65.264630050940838</v>
      </c>
      <c r="CE212" s="58">
        <f t="shared" si="304"/>
        <v>0.97896945076411257</v>
      </c>
      <c r="CF212" s="245" t="s">
        <v>2326</v>
      </c>
      <c r="CG212" s="245" t="s">
        <v>2326</v>
      </c>
      <c r="CH212" s="245" t="s">
        <v>2326</v>
      </c>
      <c r="CI212" s="245" t="s">
        <v>2326</v>
      </c>
      <c r="CJ212" s="235"/>
      <c r="CK212" s="173" t="s">
        <v>2476</v>
      </c>
      <c r="CL212" s="173" t="s">
        <v>2477</v>
      </c>
      <c r="CM212" s="199">
        <f t="shared" si="276"/>
        <v>85</v>
      </c>
      <c r="CN212" s="58">
        <f t="shared" si="305"/>
        <v>1.2749999999999999</v>
      </c>
      <c r="CO212" s="54">
        <v>7707347000</v>
      </c>
      <c r="CP212" s="186">
        <f t="shared" si="254"/>
        <v>73.959347690649452</v>
      </c>
      <c r="CQ212" s="179">
        <f t="shared" si="277"/>
        <v>40</v>
      </c>
      <c r="CR212" s="30">
        <f t="shared" si="306"/>
        <v>1.2</v>
      </c>
      <c r="CS212" s="200">
        <f>_xlfn.XLOOKUP(C212, '1-1. 관계사체무보증금액 (환율 등)'!$3:$3, '1-1. 관계사체무보증금액 (환율 등)'!$33:$33)</f>
        <v>287974683.54430377</v>
      </c>
      <c r="CT212" s="178">
        <f t="shared" si="255"/>
        <v>2.7633918320218243</v>
      </c>
      <c r="CU212" s="179">
        <f t="shared" si="278"/>
        <v>100</v>
      </c>
      <c r="CV212" s="30">
        <f t="shared" si="307"/>
        <v>2</v>
      </c>
      <c r="CW212" s="72">
        <f t="shared" si="295"/>
        <v>18.817166083512909</v>
      </c>
    </row>
    <row r="213" spans="1:101" x14ac:dyDescent="0.6">
      <c r="A213" s="214" t="s">
        <v>1777</v>
      </c>
      <c r="B213" s="13" t="s">
        <v>2193</v>
      </c>
      <c r="C213" s="219" t="s">
        <v>1778</v>
      </c>
      <c r="D213" s="14" t="s">
        <v>202</v>
      </c>
      <c r="E213" s="217" t="s">
        <v>205</v>
      </c>
      <c r="F213" s="217" t="s">
        <v>1779</v>
      </c>
      <c r="G213" s="218">
        <v>37901</v>
      </c>
      <c r="H213" s="217" t="s">
        <v>830</v>
      </c>
      <c r="I213" s="217" t="s">
        <v>1780</v>
      </c>
      <c r="J213" s="217" t="s">
        <v>1781</v>
      </c>
      <c r="K213" s="217" t="s">
        <v>308</v>
      </c>
      <c r="L213" s="220">
        <v>462207021</v>
      </c>
      <c r="M213" s="206">
        <v>210809722</v>
      </c>
      <c r="N213" s="206">
        <v>251397299</v>
      </c>
      <c r="O213" s="206">
        <v>497212502</v>
      </c>
      <c r="P213" s="206">
        <v>96368755</v>
      </c>
      <c r="Q213" s="206">
        <v>91241096</v>
      </c>
      <c r="R213" s="206">
        <v>85549247</v>
      </c>
      <c r="S213" s="207">
        <v>63246419</v>
      </c>
      <c r="T213" s="207">
        <v>0</v>
      </c>
      <c r="U213" s="207">
        <f>13404873+571000</f>
        <v>13975873</v>
      </c>
      <c r="V213" s="207">
        <f>2700000+100000+9928+42500+2000</f>
        <v>2854428</v>
      </c>
      <c r="W213" s="207">
        <v>0</v>
      </c>
      <c r="X213" s="207">
        <v>0</v>
      </c>
      <c r="Z213" s="207">
        <v>0</v>
      </c>
      <c r="AA213" s="207">
        <v>0</v>
      </c>
      <c r="AB213" s="176">
        <f t="shared" si="279"/>
        <v>16830301</v>
      </c>
      <c r="AC213" s="177">
        <f t="shared" si="256"/>
        <v>26.610678147643423</v>
      </c>
      <c r="AD213" s="177">
        <f t="shared" si="280"/>
        <v>77.119667881780714</v>
      </c>
      <c r="AE213" s="26">
        <f t="shared" si="296"/>
        <v>2.3135900364534212</v>
      </c>
      <c r="AF213" s="178">
        <f t="shared" si="257"/>
        <v>26.610678147643423</v>
      </c>
      <c r="AG213" s="178">
        <f t="shared" si="258"/>
        <v>26.610678147643423</v>
      </c>
      <c r="AH213" s="178">
        <f t="shared" si="282"/>
        <v>0</v>
      </c>
      <c r="AI213" s="179">
        <f t="shared" si="283"/>
        <v>100</v>
      </c>
      <c r="AJ213" s="30">
        <f t="shared" si="297"/>
        <v>4</v>
      </c>
      <c r="AK213" s="204">
        <v>5</v>
      </c>
      <c r="AL213" s="204">
        <v>9</v>
      </c>
      <c r="AM213" s="204">
        <v>1</v>
      </c>
      <c r="AN213" s="181">
        <f t="shared" si="243"/>
        <v>14</v>
      </c>
      <c r="AO213" s="182">
        <f t="shared" si="244"/>
        <v>7.1428571428571423</v>
      </c>
      <c r="AP213" s="183">
        <f t="shared" si="259"/>
        <v>100</v>
      </c>
      <c r="AQ213" s="38">
        <f t="shared" si="298"/>
        <v>2</v>
      </c>
      <c r="AR213" s="212">
        <v>1</v>
      </c>
      <c r="AS213" s="292">
        <f t="shared" si="245"/>
        <v>0.25</v>
      </c>
      <c r="AT213" s="185">
        <f t="shared" si="246"/>
        <v>1.25</v>
      </c>
      <c r="AU213" s="185">
        <f t="shared" si="260"/>
        <v>1</v>
      </c>
      <c r="AV213" s="186">
        <f t="shared" si="247"/>
        <v>0</v>
      </c>
      <c r="AW213" s="179">
        <f t="shared" si="261"/>
        <v>40</v>
      </c>
      <c r="AX213" s="239">
        <f t="shared" si="299"/>
        <v>0.4</v>
      </c>
      <c r="AY213" s="54">
        <v>28</v>
      </c>
      <c r="AZ213" s="54">
        <v>28</v>
      </c>
      <c r="BA213" s="189">
        <f t="shared" si="248"/>
        <v>28</v>
      </c>
      <c r="BB213" s="178">
        <f t="shared" si="262"/>
        <v>100</v>
      </c>
      <c r="BC213" s="179">
        <f t="shared" si="263"/>
        <v>100</v>
      </c>
      <c r="BD213" s="30">
        <f t="shared" si="300"/>
        <v>1</v>
      </c>
      <c r="BE213" s="190">
        <v>7766497</v>
      </c>
      <c r="BF213" s="190">
        <v>1176275</v>
      </c>
      <c r="BG213" s="54">
        <v>242485</v>
      </c>
      <c r="BH213" s="191">
        <f t="shared" si="249"/>
        <v>8942772</v>
      </c>
      <c r="BI213" s="178">
        <f t="shared" si="250"/>
        <v>2.7115194259676976</v>
      </c>
      <c r="BJ213" s="294" t="str">
        <f t="shared" si="264"/>
        <v>전기전자/기계업</v>
      </c>
      <c r="BK213" s="192">
        <f t="shared" si="265"/>
        <v>2.4096449716116455</v>
      </c>
      <c r="BL213" s="193">
        <f t="shared" si="266"/>
        <v>0.30187445435605209</v>
      </c>
      <c r="BM213" s="241">
        <f t="shared" si="267"/>
        <v>60</v>
      </c>
      <c r="BN213" s="47">
        <f t="shared" si="268"/>
        <v>1.2</v>
      </c>
      <c r="BO213" s="54">
        <v>4107000</v>
      </c>
      <c r="BP213" s="194">
        <f t="shared" si="251"/>
        <v>0.82600497442841847</v>
      </c>
      <c r="BQ213" s="179">
        <f t="shared" si="269"/>
        <v>70</v>
      </c>
      <c r="BR213" s="30">
        <f t="shared" si="301"/>
        <v>1.4000000000000001</v>
      </c>
      <c r="BS213" s="195">
        <v>37281602</v>
      </c>
      <c r="BT213" s="195">
        <v>785984</v>
      </c>
      <c r="BU213" s="196">
        <f t="shared" si="270"/>
        <v>36495618</v>
      </c>
      <c r="BV213" s="178">
        <f t="shared" si="252"/>
        <v>7.3400443177110617</v>
      </c>
      <c r="BW213" s="192">
        <f t="shared" si="271"/>
        <v>5.2309968128308268</v>
      </c>
      <c r="BX213" s="192">
        <f t="shared" si="272"/>
        <v>4.448081377841544</v>
      </c>
      <c r="BY213" s="192">
        <f t="shared" si="273"/>
        <v>7.0695458012309622</v>
      </c>
      <c r="BZ213" s="192">
        <f t="shared" si="274"/>
        <v>38.272619956457646</v>
      </c>
      <c r="CA213" s="192">
        <f t="shared" si="253"/>
        <v>55</v>
      </c>
      <c r="CB213" s="55">
        <f t="shared" si="275"/>
        <v>1.1000000000000001</v>
      </c>
      <c r="CC213" s="197">
        <f t="shared" si="302"/>
        <v>83.855205620168576</v>
      </c>
      <c r="CD213" s="198">
        <f t="shared" si="303"/>
        <v>68.773163710991739</v>
      </c>
      <c r="CE213" s="58">
        <f t="shared" si="304"/>
        <v>1.0315974556648762</v>
      </c>
      <c r="CF213" s="245" t="s">
        <v>2326</v>
      </c>
      <c r="CG213" s="245" t="s">
        <v>2326</v>
      </c>
      <c r="CH213" s="245" t="s">
        <v>2326</v>
      </c>
      <c r="CI213" s="245" t="s">
        <v>2326</v>
      </c>
      <c r="CJ213" s="235"/>
      <c r="CK213" s="173" t="s">
        <v>2512</v>
      </c>
      <c r="CL213" s="173" t="s">
        <v>2493</v>
      </c>
      <c r="CM213" s="199">
        <f t="shared" si="276"/>
        <v>40</v>
      </c>
      <c r="CN213" s="58">
        <f t="shared" si="305"/>
        <v>0.6</v>
      </c>
      <c r="CO213" s="54">
        <f>44690616-55295</f>
        <v>44635321</v>
      </c>
      <c r="CP213" s="186">
        <f t="shared" si="254"/>
        <v>17.754892824047406</v>
      </c>
      <c r="CQ213" s="179">
        <f t="shared" si="277"/>
        <v>60</v>
      </c>
      <c r="CR213" s="30">
        <f t="shared" si="306"/>
        <v>1.7999999999999998</v>
      </c>
      <c r="CS213" s="200">
        <f>_xlfn.XLOOKUP(C213, '1-1. 관계사체무보증금액 (환율 등)'!$3:$3, '1-1. 관계사체무보증금액 (환율 등)'!$33:$33)</f>
        <v>51086653</v>
      </c>
      <c r="CT213" s="178">
        <f t="shared" si="255"/>
        <v>20.321082685936094</v>
      </c>
      <c r="CU213" s="179">
        <f t="shared" si="278"/>
        <v>60</v>
      </c>
      <c r="CV213" s="30">
        <f t="shared" si="307"/>
        <v>1.2</v>
      </c>
      <c r="CW213" s="72">
        <f t="shared" si="295"/>
        <v>18.045187492118295</v>
      </c>
    </row>
    <row r="214" spans="1:101" x14ac:dyDescent="0.6">
      <c r="A214" s="214" t="s">
        <v>488</v>
      </c>
      <c r="B214" s="13" t="s">
        <v>2194</v>
      </c>
      <c r="C214" s="219" t="s">
        <v>495</v>
      </c>
      <c r="D214" s="216" t="s">
        <v>191</v>
      </c>
      <c r="E214" s="217" t="s">
        <v>34</v>
      </c>
      <c r="F214" s="217" t="s">
        <v>234</v>
      </c>
      <c r="G214" s="218">
        <v>40339</v>
      </c>
      <c r="H214" s="217" t="s">
        <v>830</v>
      </c>
      <c r="I214" s="217" t="s">
        <v>959</v>
      </c>
      <c r="J214" s="217" t="s">
        <v>1070</v>
      </c>
      <c r="K214" s="217" t="s">
        <v>91</v>
      </c>
      <c r="L214" s="220">
        <v>479981348</v>
      </c>
      <c r="M214" s="206">
        <v>232687116</v>
      </c>
      <c r="N214" s="206">
        <v>247294232</v>
      </c>
      <c r="O214" s="206">
        <v>154038839</v>
      </c>
      <c r="P214" s="206">
        <v>5567015</v>
      </c>
      <c r="Q214" s="206">
        <v>5998079</v>
      </c>
      <c r="R214" s="206">
        <v>7325400</v>
      </c>
      <c r="S214" s="207">
        <v>17998577</v>
      </c>
      <c r="T214" s="207">
        <v>245820</v>
      </c>
      <c r="U214" s="207">
        <v>5278113</v>
      </c>
      <c r="V214" s="207">
        <f>1397720+1405307+1591200+708860</f>
        <v>5103087</v>
      </c>
      <c r="W214" s="207">
        <f>471+102+465+140+20023</f>
        <v>21201</v>
      </c>
      <c r="X214" s="207">
        <v>0</v>
      </c>
      <c r="Z214" s="207">
        <v>0</v>
      </c>
      <c r="AA214" s="207">
        <v>0</v>
      </c>
      <c r="AB214" s="176">
        <f t="shared" si="279"/>
        <v>10402401</v>
      </c>
      <c r="AC214" s="177">
        <f t="shared" si="256"/>
        <v>57.795685736711299</v>
      </c>
      <c r="AD214" s="177">
        <f t="shared" si="280"/>
        <v>50.205104369926957</v>
      </c>
      <c r="AE214" s="26">
        <f t="shared" si="296"/>
        <v>1.5061531310978087</v>
      </c>
      <c r="AF214" s="178">
        <f t="shared" si="257"/>
        <v>58.476550994304709</v>
      </c>
      <c r="AG214" s="178">
        <f t="shared" si="258"/>
        <v>58.595974698465149</v>
      </c>
      <c r="AH214" s="178">
        <f t="shared" si="282"/>
        <v>0.11942370416043957</v>
      </c>
      <c r="AI214" s="179">
        <f t="shared" si="283"/>
        <v>100</v>
      </c>
      <c r="AJ214" s="30">
        <f t="shared" si="297"/>
        <v>4</v>
      </c>
      <c r="AK214" s="204">
        <v>5</v>
      </c>
      <c r="AL214" s="204">
        <v>22</v>
      </c>
      <c r="AM214" s="204">
        <v>2</v>
      </c>
      <c r="AN214" s="181">
        <f t="shared" si="243"/>
        <v>27</v>
      </c>
      <c r="AO214" s="182">
        <f t="shared" si="244"/>
        <v>7.4074074074074066</v>
      </c>
      <c r="AP214" s="183">
        <f t="shared" si="259"/>
        <v>100</v>
      </c>
      <c r="AQ214" s="38">
        <f t="shared" si="298"/>
        <v>2</v>
      </c>
      <c r="AR214" s="212">
        <v>3</v>
      </c>
      <c r="AS214" s="292">
        <f t="shared" si="245"/>
        <v>0.25</v>
      </c>
      <c r="AT214" s="185">
        <f t="shared" si="246"/>
        <v>1.25</v>
      </c>
      <c r="AU214" s="185">
        <f t="shared" si="260"/>
        <v>1</v>
      </c>
      <c r="AV214" s="186">
        <f t="shared" si="247"/>
        <v>40</v>
      </c>
      <c r="AW214" s="179">
        <f t="shared" si="261"/>
        <v>100</v>
      </c>
      <c r="AX214" s="239">
        <f t="shared" si="299"/>
        <v>1</v>
      </c>
      <c r="AY214" s="54">
        <v>8</v>
      </c>
      <c r="AZ214" s="54">
        <v>24</v>
      </c>
      <c r="BA214" s="189">
        <f t="shared" si="248"/>
        <v>24</v>
      </c>
      <c r="BB214" s="178">
        <f t="shared" si="262"/>
        <v>100</v>
      </c>
      <c r="BC214" s="179">
        <f t="shared" si="263"/>
        <v>100</v>
      </c>
      <c r="BD214" s="30">
        <f t="shared" si="300"/>
        <v>1</v>
      </c>
      <c r="BE214" s="190">
        <v>23360077</v>
      </c>
      <c r="BF214" s="190">
        <v>1787381</v>
      </c>
      <c r="BG214" s="301">
        <v>0</v>
      </c>
      <c r="BH214" s="191">
        <f t="shared" si="249"/>
        <v>25147458</v>
      </c>
      <c r="BI214" s="178">
        <f t="shared" si="250"/>
        <v>0</v>
      </c>
      <c r="BJ214" s="294" t="str">
        <f t="shared" si="264"/>
        <v>식약/섬유/종이업</v>
      </c>
      <c r="BK214" s="192">
        <f t="shared" si="265"/>
        <v>2.1999360555264444</v>
      </c>
      <c r="BL214" s="193">
        <f t="shared" si="266"/>
        <v>-2.1999360555264444</v>
      </c>
      <c r="BM214" s="241">
        <f t="shared" si="267"/>
        <v>100</v>
      </c>
      <c r="BN214" s="47">
        <f t="shared" si="268"/>
        <v>2</v>
      </c>
      <c r="BO214" s="54">
        <v>7053907</v>
      </c>
      <c r="BP214" s="194">
        <f t="shared" si="251"/>
        <v>4.5793041844466256</v>
      </c>
      <c r="BQ214" s="179">
        <f t="shared" si="269"/>
        <v>100</v>
      </c>
      <c r="BR214" s="30">
        <f t="shared" si="301"/>
        <v>2</v>
      </c>
      <c r="BS214" s="195">
        <v>63131628.144000001</v>
      </c>
      <c r="BT214" s="195">
        <v>42272.726999999999</v>
      </c>
      <c r="BU214" s="196">
        <f t="shared" si="270"/>
        <v>63089355.417000003</v>
      </c>
      <c r="BV214" s="178">
        <f t="shared" si="252"/>
        <v>40.956784552887996</v>
      </c>
      <c r="BW214" s="192">
        <f t="shared" si="271"/>
        <v>5.0508176117342281</v>
      </c>
      <c r="BX214" s="192">
        <f t="shared" si="272"/>
        <v>1289.2384619792269</v>
      </c>
      <c r="BY214" s="192">
        <f t="shared" si="273"/>
        <v>6.9871618081220941</v>
      </c>
      <c r="BZ214" s="192">
        <f t="shared" si="274"/>
        <v>1.3821347122355832E-5</v>
      </c>
      <c r="CA214" s="192">
        <f t="shared" si="253"/>
        <v>100</v>
      </c>
      <c r="CB214" s="55">
        <f t="shared" si="275"/>
        <v>2</v>
      </c>
      <c r="CC214" s="197">
        <f t="shared" si="302"/>
        <v>94.093224139574758</v>
      </c>
      <c r="CD214" s="198">
        <f t="shared" si="303"/>
        <v>64.914614017748207</v>
      </c>
      <c r="CE214" s="58">
        <f t="shared" si="304"/>
        <v>0.9737192102662231</v>
      </c>
      <c r="CF214" s="245" t="s">
        <v>2326</v>
      </c>
      <c r="CG214" s="245" t="s">
        <v>2326</v>
      </c>
      <c r="CH214" s="245" t="s">
        <v>2326</v>
      </c>
      <c r="CI214" s="245" t="s">
        <v>2326</v>
      </c>
      <c r="CJ214" s="235"/>
      <c r="CK214" s="173" t="s">
        <v>2491</v>
      </c>
      <c r="CL214" s="173" t="s">
        <v>2478</v>
      </c>
      <c r="CM214" s="199">
        <f t="shared" si="276"/>
        <v>25</v>
      </c>
      <c r="CN214" s="58">
        <f t="shared" si="305"/>
        <v>0.375</v>
      </c>
      <c r="CO214" s="54">
        <f>25864000-272000-10000000</f>
        <v>15592000</v>
      </c>
      <c r="CP214" s="186">
        <f t="shared" si="254"/>
        <v>6.3050399008093327</v>
      </c>
      <c r="CQ214" s="179">
        <f t="shared" si="277"/>
        <v>80</v>
      </c>
      <c r="CR214" s="30">
        <f t="shared" si="306"/>
        <v>2.4</v>
      </c>
      <c r="CS214" s="200">
        <f>_xlfn.XLOOKUP(C214, '1-1. 관계사체무보증금액 (환율 등)'!$3:$3, '1-1. 관계사체무보증금액 (환율 등)'!$33:$33)</f>
        <v>0</v>
      </c>
      <c r="CT214" s="178">
        <f t="shared" si="255"/>
        <v>0</v>
      </c>
      <c r="CU214" s="179">
        <f t="shared" si="278"/>
        <v>100</v>
      </c>
      <c r="CV214" s="30">
        <f t="shared" si="307"/>
        <v>2</v>
      </c>
      <c r="CW214" s="72">
        <f t="shared" si="295"/>
        <v>21.254872341364027</v>
      </c>
    </row>
    <row r="215" spans="1:101" x14ac:dyDescent="0.6">
      <c r="A215" s="214" t="s">
        <v>854</v>
      </c>
      <c r="B215" s="13" t="s">
        <v>2195</v>
      </c>
      <c r="C215" s="219" t="s">
        <v>324</v>
      </c>
      <c r="D215" s="216" t="s">
        <v>285</v>
      </c>
      <c r="E215" s="217" t="s">
        <v>978</v>
      </c>
      <c r="F215" s="217" t="s">
        <v>628</v>
      </c>
      <c r="G215" s="218">
        <v>39028</v>
      </c>
      <c r="H215" s="217" t="s">
        <v>830</v>
      </c>
      <c r="I215" s="217" t="s">
        <v>1782</v>
      </c>
      <c r="J215" s="217" t="s">
        <v>1073</v>
      </c>
      <c r="K215" s="217" t="s">
        <v>346</v>
      </c>
      <c r="L215" s="220">
        <v>425143163</v>
      </c>
      <c r="M215" s="206">
        <v>223549583</v>
      </c>
      <c r="N215" s="206">
        <v>201593580</v>
      </c>
      <c r="O215" s="206">
        <v>728356330</v>
      </c>
      <c r="P215" s="206">
        <v>8460657</v>
      </c>
      <c r="Q215" s="206">
        <v>15047784</v>
      </c>
      <c r="R215" s="206">
        <v>11942346</v>
      </c>
      <c r="S215" s="207">
        <v>4374754</v>
      </c>
      <c r="T215" s="207">
        <v>252755</v>
      </c>
      <c r="U215" s="207">
        <v>1772940</v>
      </c>
      <c r="V215" s="207">
        <f>378060+600</f>
        <v>378660</v>
      </c>
      <c r="W215" s="207">
        <f>5+366+195</f>
        <v>566</v>
      </c>
      <c r="X215" s="207">
        <v>216920</v>
      </c>
      <c r="Y215" s="208" t="s">
        <v>2451</v>
      </c>
      <c r="Z215" s="207">
        <v>616000</v>
      </c>
      <c r="AA215" s="207">
        <v>4660</v>
      </c>
      <c r="AB215" s="176">
        <f t="shared" si="279"/>
        <v>2985086</v>
      </c>
      <c r="AC215" s="177">
        <f t="shared" si="256"/>
        <v>68.234373864221851</v>
      </c>
      <c r="AD215" s="177">
        <f t="shared" si="280"/>
        <v>41.19587986402027</v>
      </c>
      <c r="AE215" s="26">
        <f t="shared" si="296"/>
        <v>1.2358763959206081</v>
      </c>
      <c r="AF215" s="178">
        <f t="shared" si="257"/>
        <v>52.257052431194026</v>
      </c>
      <c r="AG215" s="178">
        <f t="shared" si="258"/>
        <v>72.387189881620145</v>
      </c>
      <c r="AH215" s="178">
        <f t="shared" si="282"/>
        <v>20.130137450426119</v>
      </c>
      <c r="AI215" s="179">
        <f t="shared" si="283"/>
        <v>80</v>
      </c>
      <c r="AJ215" s="30">
        <f t="shared" si="297"/>
        <v>3.2</v>
      </c>
      <c r="AK215" s="204">
        <v>7</v>
      </c>
      <c r="AL215" s="204">
        <v>1</v>
      </c>
      <c r="AM215" s="204">
        <v>1</v>
      </c>
      <c r="AN215" s="181">
        <f t="shared" si="243"/>
        <v>8</v>
      </c>
      <c r="AO215" s="182">
        <f t="shared" si="244"/>
        <v>12.5</v>
      </c>
      <c r="AP215" s="183">
        <f t="shared" si="259"/>
        <v>80</v>
      </c>
      <c r="AQ215" s="38">
        <f t="shared" si="298"/>
        <v>1.6</v>
      </c>
      <c r="AR215" s="212">
        <v>2</v>
      </c>
      <c r="AS215" s="292">
        <f t="shared" si="245"/>
        <v>0.25</v>
      </c>
      <c r="AT215" s="185">
        <f t="shared" si="246"/>
        <v>1.75</v>
      </c>
      <c r="AU215" s="185">
        <f t="shared" si="260"/>
        <v>1</v>
      </c>
      <c r="AV215" s="186">
        <f t="shared" si="247"/>
        <v>14.285714285714285</v>
      </c>
      <c r="AW215" s="179">
        <f t="shared" si="261"/>
        <v>60</v>
      </c>
      <c r="AX215" s="239">
        <f t="shared" si="299"/>
        <v>0.6</v>
      </c>
      <c r="AY215" s="54">
        <v>11</v>
      </c>
      <c r="AZ215" s="54">
        <v>22</v>
      </c>
      <c r="BA215" s="189">
        <f t="shared" si="248"/>
        <v>22</v>
      </c>
      <c r="BB215" s="178">
        <f t="shared" si="262"/>
        <v>100</v>
      </c>
      <c r="BC215" s="179">
        <f t="shared" si="263"/>
        <v>100</v>
      </c>
      <c r="BD215" s="30">
        <f t="shared" si="300"/>
        <v>1</v>
      </c>
      <c r="BE215" s="190">
        <v>17254452</v>
      </c>
      <c r="BF215" s="190">
        <v>1813816</v>
      </c>
      <c r="BG215" s="54">
        <v>78144</v>
      </c>
      <c r="BH215" s="191">
        <f t="shared" si="249"/>
        <v>19068268</v>
      </c>
      <c r="BI215" s="178">
        <f t="shared" si="250"/>
        <v>0.40981173539201354</v>
      </c>
      <c r="BJ215" s="294" t="str">
        <f t="shared" si="264"/>
        <v>비제조/서비스업</v>
      </c>
      <c r="BK215" s="192">
        <f t="shared" si="265"/>
        <v>1.7464434573900924</v>
      </c>
      <c r="BL215" s="193">
        <f t="shared" si="266"/>
        <v>-1.3366317219980788</v>
      </c>
      <c r="BM215" s="241">
        <f t="shared" si="267"/>
        <v>80</v>
      </c>
      <c r="BN215" s="47">
        <f t="shared" si="268"/>
        <v>1.6</v>
      </c>
      <c r="BO215" s="54">
        <v>0</v>
      </c>
      <c r="BP215" s="194">
        <f t="shared" si="251"/>
        <v>0</v>
      </c>
      <c r="BQ215" s="179">
        <f t="shared" si="269"/>
        <v>25</v>
      </c>
      <c r="BR215" s="30">
        <f t="shared" si="301"/>
        <v>0.5</v>
      </c>
      <c r="BS215" s="195">
        <v>13715375.377</v>
      </c>
      <c r="BT215" s="195">
        <f>(20500000+9418181)/1000</f>
        <v>29918.181</v>
      </c>
      <c r="BU215" s="196">
        <f t="shared" si="270"/>
        <v>13685457.196</v>
      </c>
      <c r="BV215" s="178">
        <f t="shared" si="252"/>
        <v>1.878950814637665</v>
      </c>
      <c r="BW215" s="192">
        <f t="shared" si="271"/>
        <v>2.8482825397737606</v>
      </c>
      <c r="BX215" s="192">
        <f t="shared" si="272"/>
        <v>0.93960399335531908</v>
      </c>
      <c r="BY215" s="192">
        <f t="shared" si="273"/>
        <v>5.5697595856656799</v>
      </c>
      <c r="BZ215" s="192">
        <f t="shared" si="274"/>
        <v>56.908092437670767</v>
      </c>
      <c r="CA215" s="192">
        <f t="shared" si="253"/>
        <v>55</v>
      </c>
      <c r="CB215" s="55">
        <f t="shared" si="275"/>
        <v>1.1000000000000001</v>
      </c>
      <c r="CC215" s="197">
        <f t="shared" si="302"/>
        <v>110.89122133750489</v>
      </c>
      <c r="CD215" s="198">
        <f t="shared" si="303"/>
        <v>58.583710551191629</v>
      </c>
      <c r="CE215" s="58">
        <f t="shared" si="304"/>
        <v>0.87875565826787438</v>
      </c>
      <c r="CF215" s="245" t="s">
        <v>2326</v>
      </c>
      <c r="CG215" s="245" t="s">
        <v>2326</v>
      </c>
      <c r="CH215" s="245" t="s">
        <v>2326</v>
      </c>
      <c r="CI215" s="245" t="s">
        <v>2326</v>
      </c>
      <c r="CJ215" s="235"/>
      <c r="CK215" s="173" t="s">
        <v>2491</v>
      </c>
      <c r="CL215" s="173" t="s">
        <v>2478</v>
      </c>
      <c r="CM215" s="199">
        <f t="shared" si="276"/>
        <v>25</v>
      </c>
      <c r="CN215" s="58">
        <f t="shared" si="305"/>
        <v>0.375</v>
      </c>
      <c r="CO215" s="54">
        <v>1087000</v>
      </c>
      <c r="CP215" s="186">
        <f t="shared" si="254"/>
        <v>0.53920367900604771</v>
      </c>
      <c r="CQ215" s="179">
        <f t="shared" si="277"/>
        <v>100</v>
      </c>
      <c r="CR215" s="30">
        <f t="shared" si="306"/>
        <v>3</v>
      </c>
      <c r="CS215" s="200">
        <f>_xlfn.XLOOKUP(C215, '1-1. 관계사체무보증금액 (환율 등)'!$3:$3, '1-1. 관계사체무보증금액 (환율 등)'!$33:$33)</f>
        <v>0</v>
      </c>
      <c r="CT215" s="178">
        <f t="shared" si="255"/>
        <v>0</v>
      </c>
      <c r="CU215" s="179">
        <f t="shared" si="278"/>
        <v>100</v>
      </c>
      <c r="CV215" s="30">
        <f t="shared" si="307"/>
        <v>2</v>
      </c>
      <c r="CW215" s="72">
        <f t="shared" si="295"/>
        <v>17.089632054188481</v>
      </c>
    </row>
    <row r="216" spans="1:101" x14ac:dyDescent="0.6">
      <c r="A216" s="214" t="s">
        <v>1783</v>
      </c>
      <c r="B216" s="1" t="s">
        <v>2196</v>
      </c>
      <c r="C216" s="219" t="s">
        <v>1784</v>
      </c>
      <c r="D216" s="14" t="s">
        <v>285</v>
      </c>
      <c r="E216" s="217" t="s">
        <v>1432</v>
      </c>
      <c r="F216" s="217" t="s">
        <v>1785</v>
      </c>
      <c r="G216" s="218">
        <v>40893</v>
      </c>
      <c r="H216" s="217" t="s">
        <v>830</v>
      </c>
      <c r="I216" s="217" t="s">
        <v>1786</v>
      </c>
      <c r="J216" s="217" t="s">
        <v>1787</v>
      </c>
      <c r="K216" s="217" t="s">
        <v>484</v>
      </c>
      <c r="L216" s="220">
        <v>385856608</v>
      </c>
      <c r="M216" s="206">
        <v>158877086</v>
      </c>
      <c r="N216" s="206">
        <v>226979522</v>
      </c>
      <c r="O216" s="206">
        <v>667448084</v>
      </c>
      <c r="P216" s="206">
        <v>26380166</v>
      </c>
      <c r="Q216" s="206">
        <v>27563574</v>
      </c>
      <c r="R216" s="206">
        <v>25353259</v>
      </c>
      <c r="S216" s="207">
        <v>29747874</v>
      </c>
      <c r="T216" s="207">
        <v>1533742</v>
      </c>
      <c r="U216" s="207">
        <v>14380402</v>
      </c>
      <c r="V216" s="207">
        <f>519846*5</f>
        <v>2599230</v>
      </c>
      <c r="W216" s="207">
        <f>10000+3200+5438+9454</f>
        <v>28092</v>
      </c>
      <c r="X216" s="207">
        <v>0</v>
      </c>
      <c r="Z216" s="207">
        <v>0</v>
      </c>
      <c r="AA216" s="207">
        <v>0</v>
      </c>
      <c r="AB216" s="176">
        <f t="shared" si="279"/>
        <v>17007724</v>
      </c>
      <c r="AC216" s="177">
        <f t="shared" si="256"/>
        <v>57.17290586883621</v>
      </c>
      <c r="AD216" s="177">
        <f t="shared" si="280"/>
        <v>50.742601379025139</v>
      </c>
      <c r="AE216" s="26">
        <f t="shared" si="296"/>
        <v>1.5222780413707542</v>
      </c>
      <c r="AF216" s="178">
        <f t="shared" si="257"/>
        <v>60.181302051043076</v>
      </c>
      <c r="AG216" s="178">
        <f t="shared" si="258"/>
        <v>60.280869175773333</v>
      </c>
      <c r="AH216" s="178">
        <f t="shared" si="282"/>
        <v>9.9567124730256751E-2</v>
      </c>
      <c r="AI216" s="179">
        <f t="shared" si="283"/>
        <v>100</v>
      </c>
      <c r="AJ216" s="30">
        <f t="shared" si="297"/>
        <v>4</v>
      </c>
      <c r="AK216" s="204">
        <v>5</v>
      </c>
      <c r="AL216" s="204">
        <v>6</v>
      </c>
      <c r="AM216" s="204">
        <v>0</v>
      </c>
      <c r="AN216" s="181">
        <f t="shared" si="243"/>
        <v>11</v>
      </c>
      <c r="AO216" s="182">
        <f t="shared" si="244"/>
        <v>0</v>
      </c>
      <c r="AP216" s="183">
        <f t="shared" si="259"/>
        <v>100</v>
      </c>
      <c r="AQ216" s="38">
        <f t="shared" si="298"/>
        <v>2</v>
      </c>
      <c r="AR216" s="212">
        <v>3</v>
      </c>
      <c r="AS216" s="292">
        <f t="shared" si="245"/>
        <v>0.25</v>
      </c>
      <c r="AT216" s="185">
        <f t="shared" si="246"/>
        <v>1.25</v>
      </c>
      <c r="AU216" s="185">
        <f t="shared" si="260"/>
        <v>1</v>
      </c>
      <c r="AV216" s="186">
        <f t="shared" si="247"/>
        <v>40</v>
      </c>
      <c r="AW216" s="179">
        <f t="shared" si="261"/>
        <v>100</v>
      </c>
      <c r="AX216" s="239">
        <f t="shared" si="299"/>
        <v>1</v>
      </c>
      <c r="AY216" s="54">
        <v>15</v>
      </c>
      <c r="AZ216" s="54">
        <f>15*3-1</f>
        <v>44</v>
      </c>
      <c r="BA216" s="189">
        <f t="shared" si="248"/>
        <v>45</v>
      </c>
      <c r="BB216" s="178">
        <f t="shared" si="262"/>
        <v>97.777777777777771</v>
      </c>
      <c r="BC216" s="179">
        <f t="shared" si="263"/>
        <v>100</v>
      </c>
      <c r="BD216" s="30">
        <f t="shared" si="300"/>
        <v>1</v>
      </c>
      <c r="BE216" s="190">
        <v>10640496</v>
      </c>
      <c r="BF216" s="190">
        <v>661325</v>
      </c>
      <c r="BG216" s="54">
        <v>223965</v>
      </c>
      <c r="BH216" s="191">
        <f t="shared" si="249"/>
        <v>11301821</v>
      </c>
      <c r="BI216" s="178">
        <f t="shared" si="250"/>
        <v>1.9816718031545537</v>
      </c>
      <c r="BJ216" s="294" t="str">
        <f t="shared" si="264"/>
        <v>비제조/서비스업</v>
      </c>
      <c r="BK216" s="192">
        <f t="shared" si="265"/>
        <v>1.7464434573900924</v>
      </c>
      <c r="BL216" s="193">
        <f t="shared" si="266"/>
        <v>0.23522834576446128</v>
      </c>
      <c r="BM216" s="241">
        <f t="shared" si="267"/>
        <v>60</v>
      </c>
      <c r="BN216" s="47">
        <f t="shared" si="268"/>
        <v>1.2</v>
      </c>
      <c r="BO216" s="54">
        <v>0</v>
      </c>
      <c r="BP216" s="194">
        <f t="shared" si="251"/>
        <v>0</v>
      </c>
      <c r="BQ216" s="179">
        <f t="shared" si="269"/>
        <v>25</v>
      </c>
      <c r="BR216" s="30">
        <f t="shared" si="301"/>
        <v>0.5</v>
      </c>
      <c r="BS216" s="195">
        <v>10148630.346000001</v>
      </c>
      <c r="BT216" s="195">
        <v>98676.409</v>
      </c>
      <c r="BU216" s="196">
        <f t="shared" si="270"/>
        <v>10049953.937000001</v>
      </c>
      <c r="BV216" s="178">
        <f t="shared" si="252"/>
        <v>1.5057281873926245</v>
      </c>
      <c r="BW216" s="192">
        <f t="shared" si="271"/>
        <v>2.8482825397737606</v>
      </c>
      <c r="BX216" s="192">
        <f t="shared" si="272"/>
        <v>1.8024521890975318</v>
      </c>
      <c r="BY216" s="192">
        <f t="shared" si="273"/>
        <v>5.5697595856656799</v>
      </c>
      <c r="BZ216" s="192">
        <f t="shared" si="274"/>
        <v>59.523929945308353</v>
      </c>
      <c r="CA216" s="192">
        <f t="shared" si="253"/>
        <v>55</v>
      </c>
      <c r="CB216" s="55">
        <f t="shared" si="275"/>
        <v>1.1000000000000001</v>
      </c>
      <c r="CC216" s="197">
        <f t="shared" si="302"/>
        <v>69.996220187651986</v>
      </c>
      <c r="CD216" s="198">
        <f t="shared" si="303"/>
        <v>73.996399426764327</v>
      </c>
      <c r="CE216" s="58">
        <f t="shared" si="304"/>
        <v>1.1099459914014649</v>
      </c>
      <c r="CF216" s="245" t="s">
        <v>2326</v>
      </c>
      <c r="CG216" s="245" t="s">
        <v>2326</v>
      </c>
      <c r="CH216" s="245" t="s">
        <v>2326</v>
      </c>
      <c r="CI216" s="245" t="s">
        <v>2326</v>
      </c>
      <c r="CJ216" s="235"/>
      <c r="CK216" s="173" t="s">
        <v>2514</v>
      </c>
      <c r="CL216" s="173" t="s">
        <v>2493</v>
      </c>
      <c r="CM216" s="199">
        <f t="shared" si="276"/>
        <v>40</v>
      </c>
      <c r="CN216" s="58">
        <f t="shared" si="305"/>
        <v>0.6</v>
      </c>
      <c r="CO216" s="54">
        <v>9799000</v>
      </c>
      <c r="CP216" s="186">
        <f t="shared" si="254"/>
        <v>4.3171295426377716</v>
      </c>
      <c r="CQ216" s="179">
        <f t="shared" si="277"/>
        <v>80</v>
      </c>
      <c r="CR216" s="30">
        <f t="shared" si="306"/>
        <v>2.4</v>
      </c>
      <c r="CS216" s="200">
        <f>_xlfn.XLOOKUP(C216, '1-1. 관계사체무보증금액 (환율 등)'!$3:$3, '1-1. 관계사체무보증금액 (환율 등)'!$33:$33)</f>
        <v>4000000</v>
      </c>
      <c r="CT216" s="178">
        <f t="shared" si="255"/>
        <v>1.7622735147005903</v>
      </c>
      <c r="CU216" s="179">
        <f t="shared" si="278"/>
        <v>100</v>
      </c>
      <c r="CV216" s="30">
        <f t="shared" si="307"/>
        <v>2</v>
      </c>
      <c r="CW216" s="72">
        <f t="shared" si="295"/>
        <v>18.432224032772218</v>
      </c>
    </row>
    <row r="217" spans="1:101" x14ac:dyDescent="0.6">
      <c r="A217" s="214" t="s">
        <v>1788</v>
      </c>
      <c r="B217" s="13" t="s">
        <v>2197</v>
      </c>
      <c r="C217" s="219" t="s">
        <v>1789</v>
      </c>
      <c r="D217" s="14" t="s">
        <v>202</v>
      </c>
      <c r="E217" s="217" t="s">
        <v>954</v>
      </c>
      <c r="F217" s="217" t="s">
        <v>1790</v>
      </c>
      <c r="G217" s="218">
        <v>38251</v>
      </c>
      <c r="H217" s="217" t="s">
        <v>830</v>
      </c>
      <c r="I217" s="217" t="s">
        <v>1791</v>
      </c>
      <c r="J217" s="217" t="s">
        <v>1792</v>
      </c>
      <c r="K217" s="217" t="s">
        <v>91</v>
      </c>
      <c r="L217" s="220">
        <v>233019596</v>
      </c>
      <c r="M217" s="206">
        <v>132560660</v>
      </c>
      <c r="N217" s="206">
        <v>100458936</v>
      </c>
      <c r="O217" s="206">
        <v>236142858</v>
      </c>
      <c r="P217" s="206">
        <v>7431623</v>
      </c>
      <c r="Q217" s="206">
        <v>7265559</v>
      </c>
      <c r="R217" s="206">
        <v>6211434</v>
      </c>
      <c r="S217" s="207">
        <v>10000000</v>
      </c>
      <c r="T217" s="207">
        <v>0</v>
      </c>
      <c r="U217" s="207">
        <f>2000000</f>
        <v>2000000</v>
      </c>
      <c r="V217" s="207">
        <f>170500+1317670</f>
        <v>1488170</v>
      </c>
      <c r="W217" s="207">
        <f>280000</f>
        <v>280000</v>
      </c>
      <c r="X217" s="207">
        <v>0</v>
      </c>
      <c r="Z217" s="207">
        <f>1300000+100000</f>
        <v>1400000</v>
      </c>
      <c r="AA217" s="207">
        <v>0</v>
      </c>
      <c r="AB217" s="176">
        <f>SUM(U217,V217,Z217,W217,X217)</f>
        <v>5168170</v>
      </c>
      <c r="AC217" s="177">
        <f t="shared" si="256"/>
        <v>51.681699999999999</v>
      </c>
      <c r="AD217" s="177">
        <f t="shared" si="280"/>
        <v>55.481846950517841</v>
      </c>
      <c r="AE217" s="26">
        <f t="shared" si="296"/>
        <v>1.6644554085155352</v>
      </c>
      <c r="AF217" s="178">
        <f t="shared" si="257"/>
        <v>34.881700000000002</v>
      </c>
      <c r="AG217" s="178">
        <f t="shared" si="258"/>
        <v>51.681699999999999</v>
      </c>
      <c r="AH217" s="178">
        <f t="shared" si="282"/>
        <v>16.799999999999997</v>
      </c>
      <c r="AI217" s="179">
        <f t="shared" si="283"/>
        <v>80</v>
      </c>
      <c r="AJ217" s="30">
        <f t="shared" si="297"/>
        <v>3.2</v>
      </c>
      <c r="AK217" s="204">
        <v>5</v>
      </c>
      <c r="AL217" s="204">
        <v>15</v>
      </c>
      <c r="AM217" s="204">
        <v>3</v>
      </c>
      <c r="AN217" s="181">
        <f t="shared" si="243"/>
        <v>20</v>
      </c>
      <c r="AO217" s="182">
        <f t="shared" si="244"/>
        <v>15</v>
      </c>
      <c r="AP217" s="183">
        <f t="shared" si="259"/>
        <v>80</v>
      </c>
      <c r="AQ217" s="38">
        <f t="shared" si="298"/>
        <v>1.6</v>
      </c>
      <c r="AR217" s="212">
        <v>3</v>
      </c>
      <c r="AS217" s="292">
        <f t="shared" si="245"/>
        <v>0.25</v>
      </c>
      <c r="AT217" s="185">
        <f t="shared" si="246"/>
        <v>1.25</v>
      </c>
      <c r="AU217" s="185">
        <f t="shared" si="260"/>
        <v>1</v>
      </c>
      <c r="AV217" s="186">
        <f t="shared" si="247"/>
        <v>40</v>
      </c>
      <c r="AW217" s="179">
        <f t="shared" si="261"/>
        <v>100</v>
      </c>
      <c r="AX217" s="239">
        <f t="shared" si="299"/>
        <v>1</v>
      </c>
      <c r="AY217" s="54">
        <v>10</v>
      </c>
      <c r="AZ217" s="54">
        <f>30-5</f>
        <v>25</v>
      </c>
      <c r="BA217" s="189">
        <f t="shared" si="248"/>
        <v>30</v>
      </c>
      <c r="BB217" s="178">
        <f t="shared" si="262"/>
        <v>83.333333333333343</v>
      </c>
      <c r="BC217" s="179">
        <f t="shared" si="263"/>
        <v>75</v>
      </c>
      <c r="BD217" s="30">
        <f t="shared" si="300"/>
        <v>0.75</v>
      </c>
      <c r="BE217" s="190">
        <v>8443478</v>
      </c>
      <c r="BF217" s="190">
        <v>899375</v>
      </c>
      <c r="BG217" s="54">
        <v>253958</v>
      </c>
      <c r="BH217" s="191">
        <f t="shared" si="249"/>
        <v>9342853</v>
      </c>
      <c r="BI217" s="178">
        <f t="shared" si="250"/>
        <v>2.7182060982871077</v>
      </c>
      <c r="BJ217" s="294" t="str">
        <f t="shared" si="264"/>
        <v>전기전자/기계업</v>
      </c>
      <c r="BK217" s="192">
        <f t="shared" si="265"/>
        <v>2.4096449716116455</v>
      </c>
      <c r="BL217" s="193">
        <f t="shared" si="266"/>
        <v>0.30856112667546221</v>
      </c>
      <c r="BM217" s="241">
        <f t="shared" si="267"/>
        <v>60</v>
      </c>
      <c r="BN217" s="47">
        <f t="shared" si="268"/>
        <v>1.2</v>
      </c>
      <c r="BO217" s="54">
        <v>15163247.431</v>
      </c>
      <c r="BP217" s="194">
        <f t="shared" si="251"/>
        <v>6.4212178845569827</v>
      </c>
      <c r="BQ217" s="179">
        <f t="shared" si="269"/>
        <v>100</v>
      </c>
      <c r="BR217" s="30">
        <f t="shared" si="301"/>
        <v>2</v>
      </c>
      <c r="BS217" s="195">
        <v>29207206.888999999</v>
      </c>
      <c r="BT217" s="195">
        <v>267141.92800000001</v>
      </c>
      <c r="BU217" s="196">
        <f t="shared" si="270"/>
        <v>28940064.960999999</v>
      </c>
      <c r="BV217" s="178">
        <f t="shared" si="252"/>
        <v>12.255320870640093</v>
      </c>
      <c r="BW217" s="192">
        <f t="shared" si="271"/>
        <v>5.2309968128308268</v>
      </c>
      <c r="BX217" s="192">
        <f t="shared" si="272"/>
        <v>49.341128469118033</v>
      </c>
      <c r="BY217" s="192">
        <f t="shared" si="273"/>
        <v>7.0695458012309622</v>
      </c>
      <c r="BZ217" s="192">
        <f t="shared" si="274"/>
        <v>16.020801778653393</v>
      </c>
      <c r="CA217" s="192">
        <f t="shared" si="253"/>
        <v>70</v>
      </c>
      <c r="CB217" s="55">
        <f t="shared" si="275"/>
        <v>1.4000000000000001</v>
      </c>
      <c r="CC217" s="197">
        <f t="shared" si="302"/>
        <v>131.95507067683855</v>
      </c>
      <c r="CD217" s="198">
        <f t="shared" si="303"/>
        <v>50.645073865513112</v>
      </c>
      <c r="CE217" s="58">
        <f t="shared" si="304"/>
        <v>0.75967610798269669</v>
      </c>
      <c r="CF217" s="245" t="s">
        <v>2326</v>
      </c>
      <c r="CG217" s="245" t="s">
        <v>2326</v>
      </c>
      <c r="CH217" s="245" t="s">
        <v>2326</v>
      </c>
      <c r="CI217" s="245" t="s">
        <v>2326</v>
      </c>
      <c r="CJ217" s="235"/>
      <c r="CK217" s="173" t="s">
        <v>2479</v>
      </c>
      <c r="CL217" s="173" t="s">
        <v>2478</v>
      </c>
      <c r="CM217" s="199">
        <f t="shared" si="276"/>
        <v>25</v>
      </c>
      <c r="CN217" s="58">
        <f t="shared" si="305"/>
        <v>0.375</v>
      </c>
      <c r="CO217" s="54">
        <v>30184755</v>
      </c>
      <c r="CP217" s="186">
        <f t="shared" si="254"/>
        <v>30.046859146507387</v>
      </c>
      <c r="CQ217" s="179">
        <f t="shared" si="277"/>
        <v>60</v>
      </c>
      <c r="CR217" s="30">
        <f t="shared" si="306"/>
        <v>1.7999999999999998</v>
      </c>
      <c r="CS217" s="200">
        <f>_xlfn.XLOOKUP(C217, '1-1. 관계사체무보증금액 (환율 등)'!$3:$3, '1-1. 관계사체무보증금액 (환율 등)'!$33:$33)</f>
        <v>84219780.424843714</v>
      </c>
      <c r="CT217" s="178">
        <f t="shared" si="255"/>
        <v>83.835031285662538</v>
      </c>
      <c r="CU217" s="179">
        <f t="shared" si="278"/>
        <v>40</v>
      </c>
      <c r="CV217" s="30">
        <f t="shared" si="307"/>
        <v>0.8</v>
      </c>
      <c r="CW217" s="72">
        <f t="shared" si="295"/>
        <v>16.549131516498232</v>
      </c>
    </row>
    <row r="218" spans="1:101" x14ac:dyDescent="0.6">
      <c r="A218" s="214" t="s">
        <v>412</v>
      </c>
      <c r="B218" s="13" t="s">
        <v>2198</v>
      </c>
      <c r="C218" s="219" t="s">
        <v>310</v>
      </c>
      <c r="D218" s="216" t="s">
        <v>285</v>
      </c>
      <c r="E218" s="217" t="s">
        <v>867</v>
      </c>
      <c r="F218" s="217" t="s">
        <v>573</v>
      </c>
      <c r="G218" s="218">
        <v>32844</v>
      </c>
      <c r="H218" s="217" t="s">
        <v>830</v>
      </c>
      <c r="I218" s="217" t="s">
        <v>785</v>
      </c>
      <c r="J218" s="217" t="s">
        <v>656</v>
      </c>
      <c r="K218" s="217" t="s">
        <v>346</v>
      </c>
      <c r="L218" s="220">
        <v>409776787</v>
      </c>
      <c r="M218" s="206">
        <v>290957356</v>
      </c>
      <c r="N218" s="206">
        <v>118819431</v>
      </c>
      <c r="O218" s="206">
        <v>462562008</v>
      </c>
      <c r="P218" s="206">
        <v>3161189</v>
      </c>
      <c r="Q218" s="206">
        <v>2974624</v>
      </c>
      <c r="R218" s="206">
        <v>6061078</v>
      </c>
      <c r="S218" s="207">
        <v>54024880</v>
      </c>
      <c r="T218" s="207">
        <v>0</v>
      </c>
      <c r="U218" s="207">
        <v>34512600</v>
      </c>
      <c r="V218" s="207">
        <v>0</v>
      </c>
      <c r="W218" s="207">
        <f>1600+100+4440</f>
        <v>6140</v>
      </c>
      <c r="X218" s="207">
        <v>0</v>
      </c>
      <c r="Z218" s="207">
        <v>0</v>
      </c>
      <c r="AA218" s="207">
        <v>0</v>
      </c>
      <c r="AB218" s="176">
        <f t="shared" si="279"/>
        <v>34518740</v>
      </c>
      <c r="AC218" s="177">
        <f t="shared" si="256"/>
        <v>63.89415395277139</v>
      </c>
      <c r="AD218" s="177">
        <f t="shared" si="280"/>
        <v>44.941754356066127</v>
      </c>
      <c r="AE218" s="26">
        <f t="shared" si="296"/>
        <v>1.3482526306819838</v>
      </c>
      <c r="AF218" s="178">
        <f t="shared" si="257"/>
        <v>63.882788818781279</v>
      </c>
      <c r="AG218" s="178">
        <f t="shared" si="258"/>
        <v>63.89415395277139</v>
      </c>
      <c r="AH218" s="178">
        <f t="shared" si="282"/>
        <v>1.1365133990111076E-2</v>
      </c>
      <c r="AI218" s="179">
        <f t="shared" si="283"/>
        <v>100</v>
      </c>
      <c r="AJ218" s="30">
        <f t="shared" si="297"/>
        <v>4</v>
      </c>
      <c r="AK218" s="204">
        <v>4</v>
      </c>
      <c r="AL218" s="204">
        <v>9</v>
      </c>
      <c r="AM218" s="204">
        <v>0</v>
      </c>
      <c r="AN218" s="181">
        <f t="shared" si="243"/>
        <v>13</v>
      </c>
      <c r="AO218" s="182">
        <f t="shared" si="244"/>
        <v>0</v>
      </c>
      <c r="AP218" s="183">
        <f t="shared" si="259"/>
        <v>100</v>
      </c>
      <c r="AQ218" s="38">
        <f t="shared" si="298"/>
        <v>2</v>
      </c>
      <c r="AR218" s="212">
        <v>1</v>
      </c>
      <c r="AS218" s="292">
        <f t="shared" si="245"/>
        <v>0.25</v>
      </c>
      <c r="AT218" s="185">
        <f t="shared" si="246"/>
        <v>1</v>
      </c>
      <c r="AU218" s="185">
        <f t="shared" si="260"/>
        <v>1</v>
      </c>
      <c r="AV218" s="186">
        <f t="shared" si="247"/>
        <v>0</v>
      </c>
      <c r="AW218" s="179">
        <f t="shared" si="261"/>
        <v>40</v>
      </c>
      <c r="AX218" s="239">
        <f t="shared" si="299"/>
        <v>0.4</v>
      </c>
      <c r="AY218" s="54">
        <v>52</v>
      </c>
      <c r="AZ218" s="54">
        <v>52</v>
      </c>
      <c r="BA218" s="189">
        <f t="shared" si="248"/>
        <v>52</v>
      </c>
      <c r="BB218" s="178">
        <f t="shared" si="262"/>
        <v>100</v>
      </c>
      <c r="BC218" s="179">
        <f t="shared" si="263"/>
        <v>100</v>
      </c>
      <c r="BD218" s="30">
        <f t="shared" si="300"/>
        <v>1</v>
      </c>
      <c r="BE218" s="190">
        <v>7854217</v>
      </c>
      <c r="BF218" s="190">
        <v>800006</v>
      </c>
      <c r="BG218" s="54">
        <v>554185</v>
      </c>
      <c r="BH218" s="191">
        <f t="shared" si="249"/>
        <v>8654223</v>
      </c>
      <c r="BI218" s="178">
        <f t="shared" si="250"/>
        <v>6.4036366985227913</v>
      </c>
      <c r="BJ218" s="294" t="str">
        <f t="shared" si="264"/>
        <v>비제조/서비스업</v>
      </c>
      <c r="BK218" s="192">
        <f t="shared" si="265"/>
        <v>1.7464434573900924</v>
      </c>
      <c r="BL218" s="193">
        <f t="shared" si="266"/>
        <v>4.6571932411326991</v>
      </c>
      <c r="BM218" s="241">
        <f t="shared" si="267"/>
        <v>40</v>
      </c>
      <c r="BN218" s="47">
        <f t="shared" si="268"/>
        <v>0.8</v>
      </c>
      <c r="BO218" s="54">
        <v>2561000</v>
      </c>
      <c r="BP218" s="194">
        <f t="shared" si="251"/>
        <v>0.55365550038860945</v>
      </c>
      <c r="BQ218" s="179">
        <f t="shared" si="269"/>
        <v>70</v>
      </c>
      <c r="BR218" s="30">
        <f t="shared" si="301"/>
        <v>1.4000000000000001</v>
      </c>
      <c r="BS218" s="195">
        <v>5606238</v>
      </c>
      <c r="BT218" s="195">
        <v>2</v>
      </c>
      <c r="BU218" s="196">
        <f t="shared" si="270"/>
        <v>5606236</v>
      </c>
      <c r="BV218" s="178">
        <f t="shared" si="252"/>
        <v>1.2119966411076286</v>
      </c>
      <c r="BW218" s="192">
        <f t="shared" si="271"/>
        <v>2.8482825397737606</v>
      </c>
      <c r="BX218" s="192">
        <f t="shared" si="272"/>
        <v>2.6774315421736312</v>
      </c>
      <c r="BY218" s="192">
        <f t="shared" si="273"/>
        <v>5.5697595856656799</v>
      </c>
      <c r="BZ218" s="192">
        <f t="shared" si="274"/>
        <v>61.553712285959584</v>
      </c>
      <c r="CA218" s="192">
        <f t="shared" si="253"/>
        <v>40</v>
      </c>
      <c r="CB218" s="55">
        <f t="shared" si="275"/>
        <v>0.8</v>
      </c>
      <c r="CC218" s="197">
        <f t="shared" si="302"/>
        <v>244.87354766073571</v>
      </c>
      <c r="CD218" s="198">
        <f t="shared" si="303"/>
        <v>25</v>
      </c>
      <c r="CE218" s="58">
        <f t="shared" si="304"/>
        <v>0.375</v>
      </c>
      <c r="CF218" s="245" t="s">
        <v>2326</v>
      </c>
      <c r="CG218" s="245" t="s">
        <v>2326</v>
      </c>
      <c r="CH218" s="245" t="s">
        <v>2326</v>
      </c>
      <c r="CI218" s="245" t="s">
        <v>2326</v>
      </c>
      <c r="CJ218" s="235"/>
      <c r="CK218" s="173" t="s">
        <v>2515</v>
      </c>
      <c r="CL218" s="173" t="s">
        <v>2493</v>
      </c>
      <c r="CM218" s="199">
        <f t="shared" si="276"/>
        <v>40</v>
      </c>
      <c r="CN218" s="58">
        <f t="shared" si="305"/>
        <v>0.6</v>
      </c>
      <c r="CO218" s="54">
        <v>3807000</v>
      </c>
      <c r="CP218" s="186">
        <f t="shared" si="254"/>
        <v>3.2040214028629714</v>
      </c>
      <c r="CQ218" s="179">
        <f t="shared" si="277"/>
        <v>80</v>
      </c>
      <c r="CR218" s="30">
        <f t="shared" si="306"/>
        <v>2.4</v>
      </c>
      <c r="CS218" s="200">
        <f>_xlfn.XLOOKUP(C218, '1-1. 관계사체무보증금액 (환율 등)'!$3:$3, '1-1. 관계사체무보증금액 (환율 등)'!$33:$33)</f>
        <v>0</v>
      </c>
      <c r="CT218" s="178">
        <f t="shared" si="255"/>
        <v>0</v>
      </c>
      <c r="CU218" s="179">
        <f t="shared" si="278"/>
        <v>100</v>
      </c>
      <c r="CV218" s="30">
        <f t="shared" si="307"/>
        <v>2</v>
      </c>
      <c r="CW218" s="72">
        <f t="shared" si="295"/>
        <v>17.123252630681986</v>
      </c>
    </row>
    <row r="219" spans="1:101" x14ac:dyDescent="0.6">
      <c r="A219" s="214" t="s">
        <v>1793</v>
      </c>
      <c r="B219" s="1" t="s">
        <v>2199</v>
      </c>
      <c r="C219" s="219" t="s">
        <v>1794</v>
      </c>
      <c r="D219" s="14" t="s">
        <v>203</v>
      </c>
      <c r="E219" s="217" t="s">
        <v>1795</v>
      </c>
      <c r="F219" s="217" t="s">
        <v>1796</v>
      </c>
      <c r="G219" s="218">
        <v>31475</v>
      </c>
      <c r="H219" s="217" t="s">
        <v>830</v>
      </c>
      <c r="I219" s="217" t="s">
        <v>1797</v>
      </c>
      <c r="J219" s="217" t="s">
        <v>1798</v>
      </c>
      <c r="K219" s="217" t="s">
        <v>91</v>
      </c>
      <c r="L219" s="220">
        <v>116167864</v>
      </c>
      <c r="M219" s="206">
        <v>60940447</v>
      </c>
      <c r="N219" s="206">
        <v>55227417</v>
      </c>
      <c r="O219" s="206">
        <v>137670991</v>
      </c>
      <c r="P219" s="206">
        <v>3899804</v>
      </c>
      <c r="Q219" s="206">
        <v>2802032</v>
      </c>
      <c r="R219" s="206">
        <v>2347584</v>
      </c>
      <c r="S219" s="207">
        <v>77456610</v>
      </c>
      <c r="T219" s="207">
        <v>27600</v>
      </c>
      <c r="U219" s="207">
        <v>32003820</v>
      </c>
      <c r="V219" s="207">
        <v>0</v>
      </c>
      <c r="W219" s="207">
        <v>0</v>
      </c>
      <c r="X219" s="207">
        <v>0</v>
      </c>
      <c r="Y219" s="208" t="s">
        <v>2452</v>
      </c>
      <c r="Z219" s="207">
        <v>0</v>
      </c>
      <c r="AA219" s="207">
        <v>0</v>
      </c>
      <c r="AB219" s="176">
        <f t="shared" si="279"/>
        <v>32003820</v>
      </c>
      <c r="AC219" s="177">
        <f t="shared" si="256"/>
        <v>41.318384576861803</v>
      </c>
      <c r="AD219" s="177">
        <f t="shared" si="280"/>
        <v>64.426020215596836</v>
      </c>
      <c r="AE219" s="26">
        <f t="shared" si="296"/>
        <v>1.9327806064679049</v>
      </c>
      <c r="AF219" s="178">
        <f t="shared" si="257"/>
        <v>41.333112744176894</v>
      </c>
      <c r="AG219" s="178">
        <f t="shared" si="258"/>
        <v>41.333112744176894</v>
      </c>
      <c r="AH219" s="178">
        <f t="shared" si="282"/>
        <v>0</v>
      </c>
      <c r="AI219" s="179">
        <f t="shared" si="283"/>
        <v>100</v>
      </c>
      <c r="AJ219" s="30">
        <f t="shared" si="297"/>
        <v>4</v>
      </c>
      <c r="AK219" s="204">
        <v>5</v>
      </c>
      <c r="AL219" s="204">
        <v>5</v>
      </c>
      <c r="AM219" s="204">
        <v>0</v>
      </c>
      <c r="AN219" s="181">
        <f t="shared" si="243"/>
        <v>10</v>
      </c>
      <c r="AO219" s="182">
        <f t="shared" si="244"/>
        <v>0</v>
      </c>
      <c r="AP219" s="183">
        <f t="shared" si="259"/>
        <v>100</v>
      </c>
      <c r="AQ219" s="38">
        <f t="shared" si="298"/>
        <v>2</v>
      </c>
      <c r="AR219" s="212">
        <v>1</v>
      </c>
      <c r="AS219" s="292">
        <f t="shared" si="245"/>
        <v>0.25</v>
      </c>
      <c r="AT219" s="185">
        <f t="shared" si="246"/>
        <v>1.25</v>
      </c>
      <c r="AU219" s="185">
        <f t="shared" si="260"/>
        <v>1</v>
      </c>
      <c r="AV219" s="186">
        <f t="shared" si="247"/>
        <v>0</v>
      </c>
      <c r="AW219" s="179">
        <f t="shared" si="261"/>
        <v>40</v>
      </c>
      <c r="AX219" s="239">
        <f t="shared" si="299"/>
        <v>0.4</v>
      </c>
      <c r="AY219" s="54">
        <v>13</v>
      </c>
      <c r="AZ219" s="54">
        <v>13</v>
      </c>
      <c r="BA219" s="189">
        <f t="shared" si="248"/>
        <v>13</v>
      </c>
      <c r="BB219" s="178">
        <f t="shared" si="262"/>
        <v>100</v>
      </c>
      <c r="BC219" s="179">
        <f t="shared" si="263"/>
        <v>100</v>
      </c>
      <c r="BD219" s="30">
        <f t="shared" si="300"/>
        <v>1</v>
      </c>
      <c r="BE219" s="190">
        <v>3741281</v>
      </c>
      <c r="BF219" s="190">
        <v>440191</v>
      </c>
      <c r="BG219" s="54">
        <v>194113</v>
      </c>
      <c r="BH219" s="191">
        <f t="shared" si="249"/>
        <v>4181472</v>
      </c>
      <c r="BI219" s="178">
        <f t="shared" si="250"/>
        <v>4.6422169035210565</v>
      </c>
      <c r="BJ219" s="294" t="str">
        <f t="shared" si="264"/>
        <v>금속/비금속/화학업</v>
      </c>
      <c r="BK219" s="192">
        <f t="shared" si="265"/>
        <v>3.9534118626990464</v>
      </c>
      <c r="BL219" s="193">
        <f t="shared" si="266"/>
        <v>0.68880504082201011</v>
      </c>
      <c r="BM219" s="241">
        <f t="shared" si="267"/>
        <v>60</v>
      </c>
      <c r="BN219" s="47">
        <f t="shared" si="268"/>
        <v>1.2</v>
      </c>
      <c r="BO219" s="54">
        <v>0</v>
      </c>
      <c r="BP219" s="194">
        <f t="shared" si="251"/>
        <v>0</v>
      </c>
      <c r="BQ219" s="179">
        <f t="shared" si="269"/>
        <v>25</v>
      </c>
      <c r="BR219" s="30">
        <f t="shared" si="301"/>
        <v>0.5</v>
      </c>
      <c r="BS219" s="195">
        <v>2472366.3629999999</v>
      </c>
      <c r="BT219" s="195">
        <v>990</v>
      </c>
      <c r="BU219" s="196">
        <f t="shared" si="270"/>
        <v>2471376.3629999999</v>
      </c>
      <c r="BV219" s="178">
        <f t="shared" si="252"/>
        <v>1.7951322533880791</v>
      </c>
      <c r="BW219" s="192">
        <f t="shared" si="271"/>
        <v>5.1474158565187729</v>
      </c>
      <c r="BX219" s="192">
        <f t="shared" si="272"/>
        <v>11.237805355818907</v>
      </c>
      <c r="BY219" s="192">
        <f t="shared" si="273"/>
        <v>6.6930498535228526</v>
      </c>
      <c r="BZ219" s="192">
        <f t="shared" si="274"/>
        <v>69.17653118482724</v>
      </c>
      <c r="CA219" s="192">
        <f t="shared" si="253"/>
        <v>40</v>
      </c>
      <c r="CB219" s="55">
        <f t="shared" si="275"/>
        <v>0.8</v>
      </c>
      <c r="CC219" s="197">
        <f t="shared" si="302"/>
        <v>110.34455404640778</v>
      </c>
      <c r="CD219" s="198">
        <f t="shared" si="303"/>
        <v>58.789740937283504</v>
      </c>
      <c r="CE219" s="58">
        <f t="shared" si="304"/>
        <v>0.88184611405925251</v>
      </c>
      <c r="CF219" s="245" t="s">
        <v>2326</v>
      </c>
      <c r="CG219" s="245" t="s">
        <v>2326</v>
      </c>
      <c r="CH219" s="245" t="s">
        <v>2326</v>
      </c>
      <c r="CI219" s="245" t="s">
        <v>2326</v>
      </c>
      <c r="CJ219" s="235"/>
      <c r="CK219" s="173" t="s">
        <v>2479</v>
      </c>
      <c r="CL219" s="173" t="s">
        <v>2478</v>
      </c>
      <c r="CM219" s="199">
        <f t="shared" si="276"/>
        <v>25</v>
      </c>
      <c r="CN219" s="58">
        <f t="shared" si="305"/>
        <v>0.375</v>
      </c>
      <c r="CO219" s="54">
        <v>762916</v>
      </c>
      <c r="CP219" s="186">
        <f t="shared" si="254"/>
        <v>1.3814080785273735</v>
      </c>
      <c r="CQ219" s="179">
        <f t="shared" si="277"/>
        <v>100</v>
      </c>
      <c r="CR219" s="30">
        <f t="shared" si="306"/>
        <v>3</v>
      </c>
      <c r="CS219" s="200">
        <f>_xlfn.XLOOKUP(C219, '1-1. 관계사체무보증금액 (환율 등)'!$3:$3, '1-1. 관계사체무보증금액 (환율 등)'!$33:$33)</f>
        <v>0</v>
      </c>
      <c r="CT219" s="178">
        <f t="shared" si="255"/>
        <v>0</v>
      </c>
      <c r="CU219" s="179">
        <f t="shared" si="278"/>
        <v>100</v>
      </c>
      <c r="CV219" s="30">
        <f t="shared" si="307"/>
        <v>2</v>
      </c>
      <c r="CW219" s="72">
        <f t="shared" si="295"/>
        <v>18.089626720527157</v>
      </c>
    </row>
    <row r="220" spans="1:101" x14ac:dyDescent="0.6">
      <c r="A220" s="214" t="s">
        <v>508</v>
      </c>
      <c r="B220" s="13" t="s">
        <v>2200</v>
      </c>
      <c r="C220" s="219" t="s">
        <v>460</v>
      </c>
      <c r="D220" s="216" t="s">
        <v>191</v>
      </c>
      <c r="E220" s="217" t="s">
        <v>34</v>
      </c>
      <c r="F220" s="217" t="s">
        <v>134</v>
      </c>
      <c r="G220" s="218">
        <v>27269</v>
      </c>
      <c r="H220" s="217" t="s">
        <v>830</v>
      </c>
      <c r="I220" s="217" t="s">
        <v>1799</v>
      </c>
      <c r="J220" s="217" t="s">
        <v>1071</v>
      </c>
      <c r="K220" s="217" t="s">
        <v>690</v>
      </c>
      <c r="L220" s="220">
        <v>348763942</v>
      </c>
      <c r="M220" s="206">
        <v>159228662</v>
      </c>
      <c r="N220" s="206">
        <v>189535280</v>
      </c>
      <c r="O220" s="206">
        <v>235057199</v>
      </c>
      <c r="P220" s="206">
        <v>11763437</v>
      </c>
      <c r="Q220" s="206">
        <v>12291336</v>
      </c>
      <c r="R220" s="206">
        <v>9393997</v>
      </c>
      <c r="S220" s="207">
        <v>19085664</v>
      </c>
      <c r="T220" s="207">
        <v>998805</v>
      </c>
      <c r="U220" s="207">
        <v>4167794</v>
      </c>
      <c r="V220" s="207">
        <f>11694+66693+25011+778877+10162</f>
        <v>892437</v>
      </c>
      <c r="W220" s="207">
        <f>9392+3220</f>
        <v>12612</v>
      </c>
      <c r="X220" s="207">
        <v>0</v>
      </c>
      <c r="Z220" s="207">
        <v>0</v>
      </c>
      <c r="AA220" s="207">
        <v>0</v>
      </c>
      <c r="AB220" s="176">
        <f t="shared" si="279"/>
        <v>5072843</v>
      </c>
      <c r="AC220" s="177">
        <f t="shared" si="256"/>
        <v>26.579337244960406</v>
      </c>
      <c r="AD220" s="177">
        <f t="shared" si="280"/>
        <v>77.146716992266619</v>
      </c>
      <c r="AE220" s="26">
        <f t="shared" si="296"/>
        <v>2.3144015097679986</v>
      </c>
      <c r="AF220" s="178">
        <f t="shared" si="257"/>
        <v>27.977389551165295</v>
      </c>
      <c r="AG220" s="178">
        <f t="shared" si="258"/>
        <v>28.047119734830684</v>
      </c>
      <c r="AH220" s="178">
        <f t="shared" si="282"/>
        <v>6.9730183665388523E-2</v>
      </c>
      <c r="AI220" s="179">
        <f t="shared" si="283"/>
        <v>100</v>
      </c>
      <c r="AJ220" s="30">
        <f t="shared" si="297"/>
        <v>4</v>
      </c>
      <c r="AK220" s="204">
        <v>6</v>
      </c>
      <c r="AL220" s="204">
        <v>16</v>
      </c>
      <c r="AM220" s="204">
        <v>1</v>
      </c>
      <c r="AN220" s="181">
        <f t="shared" si="243"/>
        <v>22</v>
      </c>
      <c r="AO220" s="182">
        <f t="shared" si="244"/>
        <v>4.5454545454545459</v>
      </c>
      <c r="AP220" s="183">
        <f t="shared" si="259"/>
        <v>100</v>
      </c>
      <c r="AQ220" s="38">
        <f t="shared" si="298"/>
        <v>2</v>
      </c>
      <c r="AR220" s="212">
        <v>3</v>
      </c>
      <c r="AS220" s="292">
        <f t="shared" si="245"/>
        <v>0.25</v>
      </c>
      <c r="AT220" s="185">
        <f t="shared" si="246"/>
        <v>1.5</v>
      </c>
      <c r="AU220" s="185">
        <f t="shared" si="260"/>
        <v>1</v>
      </c>
      <c r="AV220" s="186">
        <f t="shared" si="247"/>
        <v>33.333333333333329</v>
      </c>
      <c r="AW220" s="179">
        <f t="shared" si="261"/>
        <v>80</v>
      </c>
      <c r="AX220" s="239">
        <f t="shared" si="299"/>
        <v>0.8</v>
      </c>
      <c r="AY220" s="54">
        <v>16</v>
      </c>
      <c r="AZ220" s="54">
        <f>16*3</f>
        <v>48</v>
      </c>
      <c r="BA220" s="189">
        <f t="shared" si="248"/>
        <v>48</v>
      </c>
      <c r="BB220" s="178">
        <f t="shared" si="262"/>
        <v>100</v>
      </c>
      <c r="BC220" s="179">
        <f t="shared" si="263"/>
        <v>100</v>
      </c>
      <c r="BD220" s="30">
        <f t="shared" si="300"/>
        <v>1</v>
      </c>
      <c r="BE220" s="190">
        <v>36745290</v>
      </c>
      <c r="BF220" s="190">
        <v>2344389</v>
      </c>
      <c r="BG220" s="54">
        <v>240319</v>
      </c>
      <c r="BH220" s="191">
        <f t="shared" si="249"/>
        <v>39089679</v>
      </c>
      <c r="BI220" s="178">
        <f t="shared" si="250"/>
        <v>0.61478888071708138</v>
      </c>
      <c r="BJ220" s="294" t="str">
        <f t="shared" si="264"/>
        <v>식약/섬유/종이업</v>
      </c>
      <c r="BK220" s="192">
        <f t="shared" si="265"/>
        <v>2.1999360555264444</v>
      </c>
      <c r="BL220" s="193">
        <f t="shared" si="266"/>
        <v>-1.5851471748093631</v>
      </c>
      <c r="BM220" s="241">
        <f t="shared" si="267"/>
        <v>80</v>
      </c>
      <c r="BN220" s="47">
        <f t="shared" si="268"/>
        <v>1.6</v>
      </c>
      <c r="BO220" s="54">
        <f>40546466-29334</f>
        <v>40517132</v>
      </c>
      <c r="BP220" s="194">
        <f t="shared" si="251"/>
        <v>17.237137246751587</v>
      </c>
      <c r="BQ220" s="179">
        <f t="shared" si="269"/>
        <v>100</v>
      </c>
      <c r="BR220" s="30">
        <f t="shared" si="301"/>
        <v>2</v>
      </c>
      <c r="BS220" s="195">
        <v>1052011.69</v>
      </c>
      <c r="BT220" s="195">
        <v>0</v>
      </c>
      <c r="BU220" s="196">
        <f t="shared" si="270"/>
        <v>1052011.69</v>
      </c>
      <c r="BV220" s="178">
        <f t="shared" si="252"/>
        <v>0.44755561389974702</v>
      </c>
      <c r="BW220" s="192">
        <f t="shared" si="271"/>
        <v>5.0508176117342281</v>
      </c>
      <c r="BX220" s="192">
        <f t="shared" si="272"/>
        <v>21.190021020707093</v>
      </c>
      <c r="BY220" s="192">
        <f t="shared" si="273"/>
        <v>6.9871618081220941</v>
      </c>
      <c r="BZ220" s="192">
        <f t="shared" si="274"/>
        <v>74.499340204794962</v>
      </c>
      <c r="CA220" s="192">
        <f t="shared" si="253"/>
        <v>40</v>
      </c>
      <c r="CB220" s="55">
        <f t="shared" si="275"/>
        <v>0.8</v>
      </c>
      <c r="CC220" s="197">
        <f t="shared" si="302"/>
        <v>84.010038658765794</v>
      </c>
      <c r="CD220" s="198">
        <f t="shared" si="303"/>
        <v>68.71480955071641</v>
      </c>
      <c r="CE220" s="58">
        <f t="shared" si="304"/>
        <v>1.0307221432607461</v>
      </c>
      <c r="CF220" s="245" t="s">
        <v>2326</v>
      </c>
      <c r="CG220" s="245" t="s">
        <v>2326</v>
      </c>
      <c r="CH220" s="245" t="s">
        <v>2326</v>
      </c>
      <c r="CI220" s="245" t="s">
        <v>2326</v>
      </c>
      <c r="CJ220" s="235"/>
      <c r="CK220" s="173" t="s">
        <v>2479</v>
      </c>
      <c r="CL220" s="173" t="s">
        <v>2478</v>
      </c>
      <c r="CM220" s="199">
        <f t="shared" si="276"/>
        <v>25</v>
      </c>
      <c r="CN220" s="58">
        <f t="shared" si="305"/>
        <v>0.375</v>
      </c>
      <c r="CO220" s="54">
        <v>16849000</v>
      </c>
      <c r="CP220" s="186">
        <f t="shared" si="254"/>
        <v>8.8896378552847786</v>
      </c>
      <c r="CQ220" s="179">
        <f t="shared" si="277"/>
        <v>80</v>
      </c>
      <c r="CR220" s="30">
        <f t="shared" si="306"/>
        <v>2.4</v>
      </c>
      <c r="CS220" s="200">
        <f>_xlfn.XLOOKUP(C220, '1-1. 관계사체무보증금액 (환율 등)'!$3:$3, '1-1. 관계사체무보증금액 (환율 등)'!$33:$33)</f>
        <v>0</v>
      </c>
      <c r="CT220" s="178">
        <f t="shared" si="255"/>
        <v>0</v>
      </c>
      <c r="CU220" s="179">
        <f t="shared" si="278"/>
        <v>100</v>
      </c>
      <c r="CV220" s="30">
        <f t="shared" si="307"/>
        <v>2</v>
      </c>
      <c r="CW220" s="72">
        <f t="shared" si="295"/>
        <v>20.320123653028745</v>
      </c>
    </row>
    <row r="221" spans="1:101" x14ac:dyDescent="0.6">
      <c r="A221" s="214" t="s">
        <v>362</v>
      </c>
      <c r="B221" s="13" t="s">
        <v>2201</v>
      </c>
      <c r="C221" s="219" t="s">
        <v>490</v>
      </c>
      <c r="D221" s="216" t="s">
        <v>202</v>
      </c>
      <c r="E221" s="217" t="s">
        <v>613</v>
      </c>
      <c r="F221" s="217">
        <v>0</v>
      </c>
      <c r="G221" s="218">
        <v>39661</v>
      </c>
      <c r="H221" s="217" t="s">
        <v>830</v>
      </c>
      <c r="I221" s="217" t="s">
        <v>214</v>
      </c>
      <c r="J221" s="1" t="s">
        <v>2307</v>
      </c>
      <c r="K221" s="217" t="s">
        <v>690</v>
      </c>
      <c r="L221" s="220">
        <v>818333453</v>
      </c>
      <c r="M221" s="206">
        <v>480040681</v>
      </c>
      <c r="N221" s="206">
        <v>338292772</v>
      </c>
      <c r="O221" s="206">
        <v>1132474477</v>
      </c>
      <c r="P221" s="206">
        <v>29176389</v>
      </c>
      <c r="Q221" s="206">
        <v>25221767</v>
      </c>
      <c r="R221" s="206">
        <v>22259261</v>
      </c>
      <c r="S221" s="207">
        <v>37080390</v>
      </c>
      <c r="T221" s="207">
        <v>8121</v>
      </c>
      <c r="U221" s="207">
        <f>21123411</f>
        <v>21123411</v>
      </c>
      <c r="V221" s="207">
        <v>0</v>
      </c>
      <c r="W221" s="207">
        <f>287246+10000</f>
        <v>297246</v>
      </c>
      <c r="X221" s="207">
        <v>96981</v>
      </c>
      <c r="Y221" s="208" t="s">
        <v>2453</v>
      </c>
      <c r="Z221" s="207">
        <v>640839</v>
      </c>
      <c r="AA221" s="207">
        <v>0</v>
      </c>
      <c r="AB221" s="176">
        <f t="shared" si="279"/>
        <v>22158477</v>
      </c>
      <c r="AC221" s="177">
        <f t="shared" si="256"/>
        <v>59.757939439148288</v>
      </c>
      <c r="AD221" s="177">
        <f t="shared" si="280"/>
        <v>48.51155974757053</v>
      </c>
      <c r="AE221" s="26">
        <f t="shared" si="296"/>
        <v>1.455346792427116</v>
      </c>
      <c r="AF221" s="178">
        <f t="shared" si="257"/>
        <v>56.979007678218998</v>
      </c>
      <c r="AG221" s="178">
        <f t="shared" si="258"/>
        <v>59.771029930754985</v>
      </c>
      <c r="AH221" s="178">
        <f t="shared" si="282"/>
        <v>2.7920222525359861</v>
      </c>
      <c r="AI221" s="179">
        <f t="shared" si="283"/>
        <v>100</v>
      </c>
      <c r="AJ221" s="30">
        <f t="shared" si="297"/>
        <v>4</v>
      </c>
      <c r="AK221" s="204">
        <v>5</v>
      </c>
      <c r="AL221" s="204">
        <v>11</v>
      </c>
      <c r="AM221" s="204">
        <v>1</v>
      </c>
      <c r="AN221" s="181">
        <f t="shared" si="243"/>
        <v>16</v>
      </c>
      <c r="AO221" s="182">
        <f t="shared" si="244"/>
        <v>6.25</v>
      </c>
      <c r="AP221" s="183">
        <f t="shared" si="259"/>
        <v>100</v>
      </c>
      <c r="AQ221" s="38">
        <f t="shared" si="298"/>
        <v>2</v>
      </c>
      <c r="AR221" s="212">
        <v>1</v>
      </c>
      <c r="AS221" s="292">
        <f t="shared" si="245"/>
        <v>0.25</v>
      </c>
      <c r="AT221" s="185">
        <f t="shared" si="246"/>
        <v>1.25</v>
      </c>
      <c r="AU221" s="185">
        <f t="shared" si="260"/>
        <v>1</v>
      </c>
      <c r="AV221" s="186">
        <f t="shared" si="247"/>
        <v>0</v>
      </c>
      <c r="AW221" s="179">
        <f t="shared" si="261"/>
        <v>40</v>
      </c>
      <c r="AX221" s="239">
        <f t="shared" si="299"/>
        <v>0.4</v>
      </c>
      <c r="AY221" s="54">
        <v>25</v>
      </c>
      <c r="AZ221" s="54">
        <v>25</v>
      </c>
      <c r="BA221" s="189">
        <f t="shared" si="248"/>
        <v>25</v>
      </c>
      <c r="BB221" s="178">
        <f t="shared" si="262"/>
        <v>100</v>
      </c>
      <c r="BC221" s="179">
        <f t="shared" si="263"/>
        <v>100</v>
      </c>
      <c r="BD221" s="30">
        <f t="shared" si="300"/>
        <v>1</v>
      </c>
      <c r="BE221" s="190">
        <v>15399331</v>
      </c>
      <c r="BF221" s="190">
        <v>912985</v>
      </c>
      <c r="BG221" s="301">
        <v>0</v>
      </c>
      <c r="BH221" s="191">
        <f t="shared" si="249"/>
        <v>16312316</v>
      </c>
      <c r="BI221" s="178">
        <f t="shared" si="250"/>
        <v>0</v>
      </c>
      <c r="BJ221" s="294" t="str">
        <f t="shared" si="264"/>
        <v>전기전자/기계업</v>
      </c>
      <c r="BK221" s="192">
        <f t="shared" si="265"/>
        <v>2.4096449716116455</v>
      </c>
      <c r="BL221" s="193">
        <f t="shared" si="266"/>
        <v>-2.4096449716116455</v>
      </c>
      <c r="BM221" s="241">
        <f t="shared" si="267"/>
        <v>100</v>
      </c>
      <c r="BN221" s="47">
        <f t="shared" si="268"/>
        <v>2</v>
      </c>
      <c r="BO221" s="54">
        <v>8187000</v>
      </c>
      <c r="BP221" s="194">
        <f t="shared" si="251"/>
        <v>0.72293019986533436</v>
      </c>
      <c r="BQ221" s="179">
        <f t="shared" si="269"/>
        <v>70</v>
      </c>
      <c r="BR221" s="30">
        <f t="shared" si="301"/>
        <v>1.4000000000000001</v>
      </c>
      <c r="BS221" s="195">
        <v>24915592.521000002</v>
      </c>
      <c r="BT221" s="195">
        <v>2533288.8659999999</v>
      </c>
      <c r="BU221" s="196">
        <f t="shared" si="270"/>
        <v>22382303.655000001</v>
      </c>
      <c r="BV221" s="178">
        <f t="shared" si="252"/>
        <v>1.9764068956584531</v>
      </c>
      <c r="BW221" s="192">
        <f t="shared" si="271"/>
        <v>5.2309968128308268</v>
      </c>
      <c r="BX221" s="192">
        <f t="shared" si="272"/>
        <v>10.592355528960079</v>
      </c>
      <c r="BY221" s="192">
        <f t="shared" si="273"/>
        <v>7.0695458012309622</v>
      </c>
      <c r="BZ221" s="192">
        <f t="shared" si="274"/>
        <v>67.737381090578936</v>
      </c>
      <c r="CA221" s="192">
        <f t="shared" si="253"/>
        <v>40</v>
      </c>
      <c r="CB221" s="55">
        <f t="shared" si="275"/>
        <v>0.8</v>
      </c>
      <c r="CC221" s="197">
        <f t="shared" si="302"/>
        <v>141.90095702074296</v>
      </c>
      <c r="CD221" s="198">
        <f t="shared" si="303"/>
        <v>46.896624238413459</v>
      </c>
      <c r="CE221" s="58">
        <f t="shared" si="304"/>
        <v>0.7034493635762018</v>
      </c>
      <c r="CF221" s="245" t="s">
        <v>2326</v>
      </c>
      <c r="CG221" s="245" t="s">
        <v>2326</v>
      </c>
      <c r="CH221" s="245" t="s">
        <v>2326</v>
      </c>
      <c r="CI221" s="245" t="s">
        <v>2326</v>
      </c>
      <c r="CJ221" s="235"/>
      <c r="CK221" s="173" t="s">
        <v>2481</v>
      </c>
      <c r="CL221" s="173" t="s">
        <v>2482</v>
      </c>
      <c r="CM221" s="199">
        <f t="shared" si="276"/>
        <v>55</v>
      </c>
      <c r="CN221" s="58">
        <f t="shared" si="305"/>
        <v>0.82499999999999996</v>
      </c>
      <c r="CO221" s="54">
        <v>0</v>
      </c>
      <c r="CP221" s="186">
        <f t="shared" si="254"/>
        <v>0</v>
      </c>
      <c r="CQ221" s="179">
        <f t="shared" si="277"/>
        <v>100</v>
      </c>
      <c r="CR221" s="30">
        <f t="shared" si="306"/>
        <v>3</v>
      </c>
      <c r="CS221" s="200">
        <f>_xlfn.XLOOKUP(C221, '1-1. 관계사체무보증금액 (환율 등)'!$3:$3, '1-1. 관계사체무보증금액 (환율 등)'!$33:$33)</f>
        <v>0</v>
      </c>
      <c r="CT221" s="178">
        <f t="shared" si="255"/>
        <v>0</v>
      </c>
      <c r="CU221" s="179">
        <f t="shared" si="278"/>
        <v>100</v>
      </c>
      <c r="CV221" s="30">
        <f t="shared" si="307"/>
        <v>2</v>
      </c>
      <c r="CW221" s="72">
        <f t="shared" si="295"/>
        <v>19.583796156003316</v>
      </c>
    </row>
    <row r="222" spans="1:101" x14ac:dyDescent="0.6">
      <c r="A222" s="214" t="s">
        <v>1800</v>
      </c>
      <c r="B222" s="13" t="s">
        <v>2202</v>
      </c>
      <c r="C222" s="219" t="s">
        <v>1801</v>
      </c>
      <c r="D222" s="14" t="s">
        <v>285</v>
      </c>
      <c r="E222" s="217" t="s">
        <v>1802</v>
      </c>
      <c r="F222" s="217" t="s">
        <v>1803</v>
      </c>
      <c r="G222" s="218">
        <v>44440</v>
      </c>
      <c r="H222" s="217" t="s">
        <v>830</v>
      </c>
      <c r="I222" s="217" t="s">
        <v>1804</v>
      </c>
      <c r="J222" s="217" t="s">
        <v>1805</v>
      </c>
      <c r="K222" s="217" t="s">
        <v>320</v>
      </c>
      <c r="L222" s="220">
        <v>342505451</v>
      </c>
      <c r="M222" s="206">
        <v>27786558</v>
      </c>
      <c r="N222" s="206">
        <v>314718893</v>
      </c>
      <c r="O222" s="206">
        <v>109080826</v>
      </c>
      <c r="P222" s="206">
        <v>2772988</v>
      </c>
      <c r="Q222" s="206">
        <v>8635778</v>
      </c>
      <c r="R222" s="206">
        <v>7043345</v>
      </c>
      <c r="S222" s="207">
        <v>36313190</v>
      </c>
      <c r="T222" s="207">
        <v>0</v>
      </c>
      <c r="U222" s="207">
        <v>21627500</v>
      </c>
      <c r="V222" s="207">
        <v>0</v>
      </c>
      <c r="W222" s="207">
        <v>0</v>
      </c>
      <c r="X222" s="207">
        <v>0</v>
      </c>
      <c r="Z222" s="207">
        <v>0</v>
      </c>
      <c r="AA222" s="207">
        <v>0</v>
      </c>
      <c r="AB222" s="176">
        <f t="shared" si="279"/>
        <v>21627500</v>
      </c>
      <c r="AC222" s="177">
        <f t="shared" si="256"/>
        <v>59.558248669422873</v>
      </c>
      <c r="AD222" s="177">
        <f t="shared" si="280"/>
        <v>48.683905060912366</v>
      </c>
      <c r="AE222" s="26">
        <f t="shared" si="296"/>
        <v>1.460517151827371</v>
      </c>
      <c r="AF222" s="178">
        <f t="shared" si="257"/>
        <v>59.558248669422873</v>
      </c>
      <c r="AG222" s="178">
        <f t="shared" si="258"/>
        <v>59.558248669422873</v>
      </c>
      <c r="AH222" s="178">
        <f t="shared" si="282"/>
        <v>0</v>
      </c>
      <c r="AI222" s="179">
        <f t="shared" si="283"/>
        <v>100</v>
      </c>
      <c r="AJ222" s="30">
        <f t="shared" si="297"/>
        <v>4</v>
      </c>
      <c r="AK222" s="204">
        <v>4</v>
      </c>
      <c r="AL222" s="204">
        <v>6</v>
      </c>
      <c r="AM222" s="204">
        <v>0</v>
      </c>
      <c r="AN222" s="181">
        <f t="shared" si="243"/>
        <v>10</v>
      </c>
      <c r="AO222" s="182">
        <f t="shared" si="244"/>
        <v>0</v>
      </c>
      <c r="AP222" s="183">
        <f t="shared" si="259"/>
        <v>100</v>
      </c>
      <c r="AQ222" s="38">
        <f t="shared" si="298"/>
        <v>2</v>
      </c>
      <c r="AR222" s="212">
        <v>1</v>
      </c>
      <c r="AS222" s="292">
        <f t="shared" si="245"/>
        <v>0.25</v>
      </c>
      <c r="AT222" s="185">
        <f t="shared" si="246"/>
        <v>1</v>
      </c>
      <c r="AU222" s="185">
        <f t="shared" si="260"/>
        <v>1</v>
      </c>
      <c r="AV222" s="186">
        <f t="shared" si="247"/>
        <v>0</v>
      </c>
      <c r="AW222" s="179">
        <f t="shared" si="261"/>
        <v>40</v>
      </c>
      <c r="AX222" s="239">
        <f t="shared" si="299"/>
        <v>0.4</v>
      </c>
      <c r="AY222" s="54">
        <v>10</v>
      </c>
      <c r="AZ222" s="54">
        <v>9</v>
      </c>
      <c r="BA222" s="189">
        <f t="shared" si="248"/>
        <v>10</v>
      </c>
      <c r="BB222" s="178">
        <f t="shared" si="262"/>
        <v>90</v>
      </c>
      <c r="BC222" s="179">
        <f t="shared" si="263"/>
        <v>100</v>
      </c>
      <c r="BD222" s="30">
        <f t="shared" si="300"/>
        <v>1</v>
      </c>
      <c r="BE222" s="190">
        <v>3972216</v>
      </c>
      <c r="BF222" s="190">
        <v>293864</v>
      </c>
      <c r="BG222" s="301">
        <v>0</v>
      </c>
      <c r="BH222" s="191">
        <f t="shared" si="249"/>
        <v>4266080</v>
      </c>
      <c r="BI222" s="178">
        <f t="shared" si="250"/>
        <v>0</v>
      </c>
      <c r="BJ222" s="294" t="str">
        <f t="shared" si="264"/>
        <v>비제조/서비스업</v>
      </c>
      <c r="BK222" s="192">
        <f t="shared" si="265"/>
        <v>1.7464434573900924</v>
      </c>
      <c r="BL222" s="193">
        <f t="shared" si="266"/>
        <v>-1.7464434573900924</v>
      </c>
      <c r="BM222" s="241">
        <f t="shared" si="267"/>
        <v>80</v>
      </c>
      <c r="BN222" s="47">
        <f t="shared" si="268"/>
        <v>1.6</v>
      </c>
      <c r="BO222" s="54">
        <f>(13505-8018)*1000</f>
        <v>5487000</v>
      </c>
      <c r="BP222" s="194">
        <f t="shared" si="251"/>
        <v>5.0302149343826938</v>
      </c>
      <c r="BQ222" s="179">
        <f t="shared" si="269"/>
        <v>100</v>
      </c>
      <c r="BR222" s="30">
        <f t="shared" si="301"/>
        <v>2</v>
      </c>
      <c r="BS222" s="195">
        <v>15501801.864</v>
      </c>
      <c r="BT222" s="195">
        <v>25822.455000000002</v>
      </c>
      <c r="BU222" s="196">
        <f t="shared" si="270"/>
        <v>15475979.409</v>
      </c>
      <c r="BV222" s="178">
        <f t="shared" si="252"/>
        <v>14.187625796856359</v>
      </c>
      <c r="BW222" s="192">
        <f t="shared" si="271"/>
        <v>2.8482825397737606</v>
      </c>
      <c r="BX222" s="192">
        <f t="shared" si="272"/>
        <v>128.58070550194458</v>
      </c>
      <c r="BY222" s="192">
        <f t="shared" si="273"/>
        <v>5.5697595856656799</v>
      </c>
      <c r="BZ222" s="192">
        <f t="shared" si="274"/>
        <v>2.0881373603994668</v>
      </c>
      <c r="CA222" s="192">
        <f t="shared" si="253"/>
        <v>100</v>
      </c>
      <c r="CB222" s="55">
        <f t="shared" si="275"/>
        <v>2</v>
      </c>
      <c r="CC222" s="197">
        <f t="shared" si="302"/>
        <v>8.8290085590762413</v>
      </c>
      <c r="CD222" s="198">
        <f t="shared" si="303"/>
        <v>97.049368633513978</v>
      </c>
      <c r="CE222" s="58">
        <f t="shared" si="304"/>
        <v>1.4557405295027097</v>
      </c>
      <c r="CF222" s="245" t="s">
        <v>2326</v>
      </c>
      <c r="CG222" s="245" t="s">
        <v>2326</v>
      </c>
      <c r="CH222" s="245" t="s">
        <v>2326</v>
      </c>
      <c r="CI222" s="245" t="s">
        <v>2326</v>
      </c>
      <c r="CJ222" s="235"/>
      <c r="CK222" s="173" t="s">
        <v>2481</v>
      </c>
      <c r="CL222" s="173" t="s">
        <v>2482</v>
      </c>
      <c r="CM222" s="199">
        <f t="shared" si="276"/>
        <v>55</v>
      </c>
      <c r="CN222" s="58">
        <f t="shared" si="305"/>
        <v>0.82499999999999996</v>
      </c>
      <c r="CO222" s="54">
        <v>0</v>
      </c>
      <c r="CP222" s="186">
        <f t="shared" si="254"/>
        <v>0</v>
      </c>
      <c r="CQ222" s="179">
        <f t="shared" si="277"/>
        <v>100</v>
      </c>
      <c r="CR222" s="30">
        <f t="shared" si="306"/>
        <v>3</v>
      </c>
      <c r="CS222" s="200">
        <f>_xlfn.XLOOKUP(C222, '1-1. 관계사체무보증금액 (환율 등)'!$3:$3, '1-1. 관계사체무보증금액 (환율 등)'!$33:$33)</f>
        <v>2000000</v>
      </c>
      <c r="CT222" s="178">
        <f t="shared" si="255"/>
        <v>0.63548774620276771</v>
      </c>
      <c r="CU222" s="179">
        <f t="shared" si="278"/>
        <v>100</v>
      </c>
      <c r="CV222" s="30">
        <f t="shared" si="307"/>
        <v>2</v>
      </c>
      <c r="CW222" s="72">
        <f t="shared" si="295"/>
        <v>21.74125768133008</v>
      </c>
    </row>
    <row r="223" spans="1:101" x14ac:dyDescent="0.6">
      <c r="A223" s="214" t="s">
        <v>93</v>
      </c>
      <c r="B223" s="13" t="s">
        <v>2203</v>
      </c>
      <c r="C223" s="219" t="s">
        <v>517</v>
      </c>
      <c r="D223" s="216" t="s">
        <v>285</v>
      </c>
      <c r="E223" s="217" t="s">
        <v>626</v>
      </c>
      <c r="F223" s="217" t="s">
        <v>129</v>
      </c>
      <c r="G223" s="218">
        <v>43775</v>
      </c>
      <c r="H223" s="217" t="s">
        <v>830</v>
      </c>
      <c r="I223" s="217" t="s">
        <v>837</v>
      </c>
      <c r="J223" s="217" t="s">
        <v>1119</v>
      </c>
      <c r="K223" s="217" t="s">
        <v>91</v>
      </c>
      <c r="L223" s="220">
        <v>753639957</v>
      </c>
      <c r="M223" s="206">
        <v>284239813</v>
      </c>
      <c r="N223" s="206">
        <v>469400144</v>
      </c>
      <c r="O223" s="206">
        <v>589689077</v>
      </c>
      <c r="P223" s="206">
        <v>92750362</v>
      </c>
      <c r="Q223" s="206">
        <v>95830158</v>
      </c>
      <c r="R223" s="206">
        <v>72515496</v>
      </c>
      <c r="S223" s="207">
        <v>38782520</v>
      </c>
      <c r="T223" s="207">
        <v>0</v>
      </c>
      <c r="U223" s="207">
        <v>19319000</v>
      </c>
      <c r="V223" s="207">
        <v>0</v>
      </c>
      <c r="W223" s="207">
        <f>13919+90946+19084+17555</f>
        <v>141504</v>
      </c>
      <c r="X223" s="207">
        <v>0</v>
      </c>
      <c r="Z223" s="207">
        <v>0</v>
      </c>
      <c r="AA223" s="207">
        <v>0</v>
      </c>
      <c r="AB223" s="176">
        <f t="shared" si="279"/>
        <v>19460504</v>
      </c>
      <c r="AC223" s="177">
        <f t="shared" si="256"/>
        <v>50.178544354518486</v>
      </c>
      <c r="AD223" s="177">
        <f t="shared" si="280"/>
        <v>56.779161949494984</v>
      </c>
      <c r="AE223" s="26">
        <f t="shared" si="296"/>
        <v>1.7033748584848494</v>
      </c>
      <c r="AF223" s="178">
        <f t="shared" si="257"/>
        <v>49.813678946081893</v>
      </c>
      <c r="AG223" s="178">
        <f t="shared" si="258"/>
        <v>50.178544354518486</v>
      </c>
      <c r="AH223" s="178">
        <f t="shared" si="282"/>
        <v>0.36486540843659299</v>
      </c>
      <c r="AI223" s="179">
        <f t="shared" si="283"/>
        <v>100</v>
      </c>
      <c r="AJ223" s="30">
        <f t="shared" si="297"/>
        <v>4</v>
      </c>
      <c r="AK223" s="204">
        <v>5</v>
      </c>
      <c r="AL223" s="204">
        <v>7</v>
      </c>
      <c r="AM223" s="204">
        <v>0</v>
      </c>
      <c r="AN223" s="181">
        <f t="shared" si="243"/>
        <v>12</v>
      </c>
      <c r="AO223" s="182">
        <f t="shared" si="244"/>
        <v>0</v>
      </c>
      <c r="AP223" s="183">
        <f t="shared" si="259"/>
        <v>100</v>
      </c>
      <c r="AQ223" s="38">
        <f t="shared" si="298"/>
        <v>2</v>
      </c>
      <c r="AR223" s="212">
        <v>3</v>
      </c>
      <c r="AS223" s="292">
        <f t="shared" si="245"/>
        <v>0.25</v>
      </c>
      <c r="AT223" s="185">
        <f t="shared" si="246"/>
        <v>1.25</v>
      </c>
      <c r="AU223" s="185">
        <f t="shared" si="260"/>
        <v>1</v>
      </c>
      <c r="AV223" s="186">
        <f t="shared" si="247"/>
        <v>40</v>
      </c>
      <c r="AW223" s="179">
        <f t="shared" si="261"/>
        <v>100</v>
      </c>
      <c r="AX223" s="239">
        <f t="shared" si="299"/>
        <v>1</v>
      </c>
      <c r="AY223" s="54">
        <v>8</v>
      </c>
      <c r="AZ223" s="54">
        <v>24</v>
      </c>
      <c r="BA223" s="189">
        <f t="shared" si="248"/>
        <v>24</v>
      </c>
      <c r="BB223" s="178">
        <f t="shared" si="262"/>
        <v>100</v>
      </c>
      <c r="BC223" s="179">
        <f t="shared" si="263"/>
        <v>100</v>
      </c>
      <c r="BD223" s="30">
        <f t="shared" si="300"/>
        <v>1</v>
      </c>
      <c r="BE223" s="190">
        <v>7304487</v>
      </c>
      <c r="BF223" s="190">
        <v>613706</v>
      </c>
      <c r="BG223" s="301">
        <v>0</v>
      </c>
      <c r="BH223" s="191">
        <f t="shared" si="249"/>
        <v>7918193</v>
      </c>
      <c r="BI223" s="178">
        <f t="shared" si="250"/>
        <v>0</v>
      </c>
      <c r="BJ223" s="294" t="str">
        <f t="shared" si="264"/>
        <v>비제조/서비스업</v>
      </c>
      <c r="BK223" s="192">
        <f t="shared" si="265"/>
        <v>1.7464434573900924</v>
      </c>
      <c r="BL223" s="193">
        <f t="shared" si="266"/>
        <v>-1.7464434573900924</v>
      </c>
      <c r="BM223" s="241">
        <f t="shared" si="267"/>
        <v>80</v>
      </c>
      <c r="BN223" s="47">
        <f t="shared" si="268"/>
        <v>1.6</v>
      </c>
      <c r="BO223" s="54">
        <v>4660000</v>
      </c>
      <c r="BP223" s="194">
        <f t="shared" si="251"/>
        <v>0.79024695924628763</v>
      </c>
      <c r="BQ223" s="179">
        <f t="shared" si="269"/>
        <v>70</v>
      </c>
      <c r="BR223" s="30">
        <f t="shared" si="301"/>
        <v>1.4000000000000001</v>
      </c>
      <c r="BS223" s="195">
        <v>420664</v>
      </c>
      <c r="BT223" s="195">
        <v>246897</v>
      </c>
      <c r="BU223" s="196">
        <f t="shared" si="270"/>
        <v>173767</v>
      </c>
      <c r="BV223" s="178">
        <f t="shared" si="252"/>
        <v>2.946756295436688E-2</v>
      </c>
      <c r="BW223" s="192">
        <f t="shared" si="271"/>
        <v>2.8482825397737606</v>
      </c>
      <c r="BX223" s="192">
        <f t="shared" si="272"/>
        <v>7.9457178735413176</v>
      </c>
      <c r="BY223" s="192">
        <f t="shared" si="273"/>
        <v>5.5697595856656799</v>
      </c>
      <c r="BZ223" s="192">
        <f t="shared" si="274"/>
        <v>69.360423203135738</v>
      </c>
      <c r="CA223" s="192">
        <f t="shared" si="253"/>
        <v>40</v>
      </c>
      <c r="CB223" s="55">
        <f t="shared" si="275"/>
        <v>0.8</v>
      </c>
      <c r="CC223" s="197">
        <f t="shared" si="302"/>
        <v>60.553840179478094</v>
      </c>
      <c r="CD223" s="198">
        <f t="shared" si="303"/>
        <v>77.555085359493177</v>
      </c>
      <c r="CE223" s="58">
        <f t="shared" si="304"/>
        <v>1.1633262803923976</v>
      </c>
      <c r="CF223" s="245" t="s">
        <v>2326</v>
      </c>
      <c r="CG223" s="245" t="s">
        <v>2326</v>
      </c>
      <c r="CH223" s="245" t="s">
        <v>2326</v>
      </c>
      <c r="CI223" s="245" t="s">
        <v>2326</v>
      </c>
      <c r="CJ223" s="235"/>
      <c r="CK223" s="173" t="s">
        <v>2481</v>
      </c>
      <c r="CL223" s="173" t="s">
        <v>2482</v>
      </c>
      <c r="CM223" s="199">
        <f t="shared" si="276"/>
        <v>55</v>
      </c>
      <c r="CN223" s="58">
        <f t="shared" si="305"/>
        <v>0.82499999999999996</v>
      </c>
      <c r="CO223" s="54">
        <v>102005000</v>
      </c>
      <c r="CP223" s="186">
        <f t="shared" si="254"/>
        <v>21.730926439596491</v>
      </c>
      <c r="CQ223" s="179">
        <f t="shared" si="277"/>
        <v>60</v>
      </c>
      <c r="CR223" s="30">
        <f t="shared" si="306"/>
        <v>1.7999999999999998</v>
      </c>
      <c r="CS223" s="200">
        <f>_xlfn.XLOOKUP(C223, '1-1. 관계사체무보증금액 (환율 등)'!$3:$3, '1-1. 관계사체무보증금액 (환율 등)'!$33:$33)</f>
        <v>52000000</v>
      </c>
      <c r="CT223" s="178">
        <f t="shared" si="255"/>
        <v>11.077968480555047</v>
      </c>
      <c r="CU223" s="179">
        <f t="shared" si="278"/>
        <v>60</v>
      </c>
      <c r="CV223" s="30">
        <f t="shared" si="307"/>
        <v>1.2</v>
      </c>
      <c r="CW223" s="72">
        <f t="shared" si="295"/>
        <v>18.491701138877247</v>
      </c>
    </row>
    <row r="224" spans="1:101" x14ac:dyDescent="0.6">
      <c r="A224" s="214" t="s">
        <v>917</v>
      </c>
      <c r="B224" s="13" t="s">
        <v>2204</v>
      </c>
      <c r="C224" s="219" t="s">
        <v>13</v>
      </c>
      <c r="D224" s="216" t="s">
        <v>285</v>
      </c>
      <c r="E224" s="217" t="s">
        <v>796</v>
      </c>
      <c r="F224" s="217" t="s">
        <v>1099</v>
      </c>
      <c r="G224" s="218">
        <v>35857</v>
      </c>
      <c r="H224" s="217" t="s">
        <v>830</v>
      </c>
      <c r="I224" s="217" t="s">
        <v>841</v>
      </c>
      <c r="J224" s="217" t="s">
        <v>1137</v>
      </c>
      <c r="K224" s="217" t="s">
        <v>91</v>
      </c>
      <c r="L224" s="220">
        <v>1328473794</v>
      </c>
      <c r="M224" s="206">
        <v>623497507</v>
      </c>
      <c r="N224" s="206">
        <v>704976287</v>
      </c>
      <c r="O224" s="206">
        <v>1280522528</v>
      </c>
      <c r="P224" s="206">
        <v>100830968</v>
      </c>
      <c r="Q224" s="206">
        <v>95133282</v>
      </c>
      <c r="R224" s="206">
        <v>62923623</v>
      </c>
      <c r="S224" s="207">
        <v>115041225</v>
      </c>
      <c r="T224" s="207">
        <v>13762500</v>
      </c>
      <c r="U224" s="207">
        <v>29038075</v>
      </c>
      <c r="V224" s="207">
        <v>0</v>
      </c>
      <c r="W224" s="207">
        <f>12250+7000+5900+9268+2000+3000+3500+75+1000+1000+1000+1265+1000+3400+1000+500+1312</f>
        <v>54470</v>
      </c>
      <c r="X224" s="207">
        <v>0</v>
      </c>
      <c r="Z224" s="207">
        <f>3500000+420649</f>
        <v>3920649</v>
      </c>
      <c r="AA224" s="207">
        <v>0</v>
      </c>
      <c r="AB224" s="176">
        <f t="shared" si="279"/>
        <v>33013194</v>
      </c>
      <c r="AC224" s="177">
        <f t="shared" si="256"/>
        <v>28.696838024803718</v>
      </c>
      <c r="AD224" s="177">
        <f t="shared" si="280"/>
        <v>75.319184673644671</v>
      </c>
      <c r="AE224" s="26">
        <f t="shared" si="296"/>
        <v>2.2595755402093398</v>
      </c>
      <c r="AF224" s="178">
        <f t="shared" si="257"/>
        <v>28.671446051478235</v>
      </c>
      <c r="AG224" s="178">
        <f t="shared" si="258"/>
        <v>32.596375991107706</v>
      </c>
      <c r="AH224" s="178">
        <f t="shared" si="282"/>
        <v>3.9249299396294717</v>
      </c>
      <c r="AI224" s="179">
        <f t="shared" si="283"/>
        <v>100</v>
      </c>
      <c r="AJ224" s="30">
        <f t="shared" si="297"/>
        <v>4</v>
      </c>
      <c r="AK224" s="204">
        <v>6</v>
      </c>
      <c r="AL224" s="204">
        <v>22</v>
      </c>
      <c r="AM224" s="204">
        <v>0</v>
      </c>
      <c r="AN224" s="181">
        <f t="shared" si="243"/>
        <v>28</v>
      </c>
      <c r="AO224" s="182">
        <f t="shared" si="244"/>
        <v>0</v>
      </c>
      <c r="AP224" s="183">
        <f t="shared" si="259"/>
        <v>100</v>
      </c>
      <c r="AQ224" s="38">
        <f t="shared" si="298"/>
        <v>2</v>
      </c>
      <c r="AR224" s="212">
        <v>2</v>
      </c>
      <c r="AS224" s="292">
        <f t="shared" si="245"/>
        <v>0.25</v>
      </c>
      <c r="AT224" s="185">
        <f t="shared" si="246"/>
        <v>1.5</v>
      </c>
      <c r="AU224" s="185">
        <f t="shared" si="260"/>
        <v>1</v>
      </c>
      <c r="AV224" s="186">
        <f t="shared" si="247"/>
        <v>16.666666666666664</v>
      </c>
      <c r="AW224" s="179">
        <f t="shared" si="261"/>
        <v>60</v>
      </c>
      <c r="AX224" s="239">
        <f t="shared" si="299"/>
        <v>0.6</v>
      </c>
      <c r="AY224" s="54">
        <v>7</v>
      </c>
      <c r="AZ224" s="54">
        <v>14</v>
      </c>
      <c r="BA224" s="189">
        <f t="shared" si="248"/>
        <v>14</v>
      </c>
      <c r="BB224" s="178">
        <f t="shared" si="262"/>
        <v>100</v>
      </c>
      <c r="BC224" s="179">
        <f t="shared" si="263"/>
        <v>100</v>
      </c>
      <c r="BD224" s="30">
        <f t="shared" si="300"/>
        <v>1</v>
      </c>
      <c r="BE224" s="190">
        <v>155997836</v>
      </c>
      <c r="BF224" s="190">
        <v>10040548</v>
      </c>
      <c r="BG224" s="54">
        <v>3616082</v>
      </c>
      <c r="BH224" s="191">
        <f t="shared" si="249"/>
        <v>166038384</v>
      </c>
      <c r="BI224" s="178">
        <f t="shared" si="250"/>
        <v>2.1778590666119708</v>
      </c>
      <c r="BJ224" s="294" t="str">
        <f t="shared" si="264"/>
        <v>비제조/서비스업</v>
      </c>
      <c r="BK224" s="192">
        <f t="shared" si="265"/>
        <v>1.7464434573900924</v>
      </c>
      <c r="BL224" s="193">
        <f t="shared" si="266"/>
        <v>0.43141560922187838</v>
      </c>
      <c r="BM224" s="241">
        <f t="shared" si="267"/>
        <v>60</v>
      </c>
      <c r="BN224" s="47">
        <f t="shared" si="268"/>
        <v>1.2</v>
      </c>
      <c r="BO224" s="54">
        <v>0</v>
      </c>
      <c r="BP224" s="194">
        <f t="shared" si="251"/>
        <v>0</v>
      </c>
      <c r="BQ224" s="179">
        <f t="shared" si="269"/>
        <v>25</v>
      </c>
      <c r="BR224" s="30">
        <f t="shared" si="301"/>
        <v>0.5</v>
      </c>
      <c r="BS224" s="195">
        <v>4215502.1189999999</v>
      </c>
      <c r="BT224" s="195">
        <v>147776.935</v>
      </c>
      <c r="BU224" s="196">
        <f t="shared" si="270"/>
        <v>4067725.1839999999</v>
      </c>
      <c r="BV224" s="178">
        <f t="shared" si="252"/>
        <v>0.31766135269429635</v>
      </c>
      <c r="BW224" s="192">
        <f t="shared" si="271"/>
        <v>2.8482825397737606</v>
      </c>
      <c r="BX224" s="192">
        <f t="shared" si="272"/>
        <v>6.4040435924954773</v>
      </c>
      <c r="BY224" s="192">
        <f t="shared" si="273"/>
        <v>5.5697595856656799</v>
      </c>
      <c r="BZ224" s="192">
        <f t="shared" si="274"/>
        <v>67.521159248590635</v>
      </c>
      <c r="CA224" s="192">
        <f t="shared" si="253"/>
        <v>40</v>
      </c>
      <c r="CB224" s="55">
        <f t="shared" si="275"/>
        <v>0.8</v>
      </c>
      <c r="CC224" s="197">
        <f t="shared" si="302"/>
        <v>88.442337493828362</v>
      </c>
      <c r="CD224" s="198">
        <f t="shared" si="303"/>
        <v>67.044345165642582</v>
      </c>
      <c r="CE224" s="58">
        <f t="shared" si="304"/>
        <v>1.0056651774846388</v>
      </c>
      <c r="CF224" s="245" t="s">
        <v>2326</v>
      </c>
      <c r="CG224" s="245" t="s">
        <v>2326</v>
      </c>
      <c r="CH224" s="245" t="s">
        <v>2326</v>
      </c>
      <c r="CI224" s="245" t="s">
        <v>2326</v>
      </c>
      <c r="CJ224" s="235"/>
      <c r="CK224" s="173" t="s">
        <v>2476</v>
      </c>
      <c r="CL224" s="173" t="s">
        <v>2477</v>
      </c>
      <c r="CM224" s="199">
        <f t="shared" si="276"/>
        <v>85</v>
      </c>
      <c r="CN224" s="58">
        <f t="shared" si="305"/>
        <v>1.2749999999999999</v>
      </c>
      <c r="CO224" s="54">
        <v>263738000</v>
      </c>
      <c r="CP224" s="186">
        <f t="shared" si="254"/>
        <v>37.410903723063811</v>
      </c>
      <c r="CQ224" s="179">
        <f t="shared" si="277"/>
        <v>40</v>
      </c>
      <c r="CR224" s="30">
        <f t="shared" si="306"/>
        <v>1.2</v>
      </c>
      <c r="CS224" s="200">
        <f>_xlfn.XLOOKUP(C224, '1-1. 관계사체무보증금액 (환율 등)'!$3:$3, '1-1. 관계사체무보증금액 (환율 등)'!$33:$33)</f>
        <v>12658227.848101264</v>
      </c>
      <c r="CT224" s="178">
        <f t="shared" si="255"/>
        <v>1.7955537060640543</v>
      </c>
      <c r="CU224" s="179">
        <f t="shared" si="278"/>
        <v>100</v>
      </c>
      <c r="CV224" s="30">
        <f t="shared" si="307"/>
        <v>2</v>
      </c>
      <c r="CW224" s="72">
        <f t="shared" si="295"/>
        <v>17.84024071769398</v>
      </c>
    </row>
    <row r="225" spans="1:101" x14ac:dyDescent="0.6">
      <c r="A225" s="214" t="s">
        <v>55</v>
      </c>
      <c r="B225" s="13" t="s">
        <v>2205</v>
      </c>
      <c r="C225" s="219" t="s">
        <v>356</v>
      </c>
      <c r="D225" s="216" t="s">
        <v>203</v>
      </c>
      <c r="E225" s="217" t="s">
        <v>583</v>
      </c>
      <c r="F225" s="217" t="s">
        <v>1084</v>
      </c>
      <c r="G225" s="218">
        <v>38695</v>
      </c>
      <c r="H225" s="217" t="s">
        <v>830</v>
      </c>
      <c r="I225" s="217" t="s">
        <v>1120</v>
      </c>
      <c r="J225" s="217" t="s">
        <v>1198</v>
      </c>
      <c r="K225" s="217" t="s">
        <v>31</v>
      </c>
      <c r="L225" s="220">
        <v>89562390</v>
      </c>
      <c r="M225" s="206">
        <v>12372096</v>
      </c>
      <c r="N225" s="206">
        <v>77190293</v>
      </c>
      <c r="O225" s="206">
        <v>71732783</v>
      </c>
      <c r="P225" s="206">
        <v>2955130</v>
      </c>
      <c r="Q225" s="206">
        <v>147493</v>
      </c>
      <c r="R225" s="206">
        <v>19601</v>
      </c>
      <c r="S225" s="207">
        <v>10000000</v>
      </c>
      <c r="T225" s="207">
        <v>2801930</v>
      </c>
      <c r="U225" s="207">
        <v>3856744</v>
      </c>
      <c r="V225" s="207">
        <f>420000+769819+45649</f>
        <v>1235468</v>
      </c>
      <c r="W225" s="207">
        <f>1546+2406+12604</f>
        <v>16556</v>
      </c>
      <c r="X225" s="207">
        <v>0</v>
      </c>
      <c r="Z225" s="207">
        <v>0</v>
      </c>
      <c r="AA225" s="207">
        <v>0</v>
      </c>
      <c r="AB225" s="176">
        <f t="shared" si="279"/>
        <v>5108768</v>
      </c>
      <c r="AC225" s="177">
        <f t="shared" si="256"/>
        <v>51.087679999999999</v>
      </c>
      <c r="AD225" s="177">
        <f t="shared" si="280"/>
        <v>55.994522439585737</v>
      </c>
      <c r="AE225" s="26">
        <f t="shared" si="296"/>
        <v>1.6798356731875721</v>
      </c>
      <c r="AF225" s="178">
        <f t="shared" si="257"/>
        <v>70.744130023742485</v>
      </c>
      <c r="AG225" s="178">
        <f t="shared" si="258"/>
        <v>70.974136122599532</v>
      </c>
      <c r="AH225" s="178">
        <f t="shared" si="282"/>
        <v>0.23000609885704648</v>
      </c>
      <c r="AI225" s="179">
        <f t="shared" si="283"/>
        <v>100</v>
      </c>
      <c r="AJ225" s="30">
        <f t="shared" si="297"/>
        <v>4</v>
      </c>
      <c r="AK225" s="204">
        <v>7</v>
      </c>
      <c r="AL225" s="204">
        <v>2</v>
      </c>
      <c r="AM225" s="204">
        <v>2</v>
      </c>
      <c r="AN225" s="181">
        <f t="shared" si="243"/>
        <v>9</v>
      </c>
      <c r="AO225" s="182">
        <f t="shared" si="244"/>
        <v>22.222222222222221</v>
      </c>
      <c r="AP225" s="183">
        <f t="shared" si="259"/>
        <v>60</v>
      </c>
      <c r="AQ225" s="38">
        <f t="shared" si="298"/>
        <v>1.2</v>
      </c>
      <c r="AR225" s="212">
        <v>3</v>
      </c>
      <c r="AS225" s="292">
        <f t="shared" si="245"/>
        <v>0.25</v>
      </c>
      <c r="AT225" s="185">
        <f t="shared" si="246"/>
        <v>1.75</v>
      </c>
      <c r="AU225" s="185">
        <f t="shared" si="260"/>
        <v>1</v>
      </c>
      <c r="AV225" s="186">
        <f t="shared" si="247"/>
        <v>28.571428571428569</v>
      </c>
      <c r="AW225" s="179">
        <f t="shared" si="261"/>
        <v>80</v>
      </c>
      <c r="AX225" s="239">
        <f t="shared" si="299"/>
        <v>0.8</v>
      </c>
      <c r="AY225" s="54">
        <v>22</v>
      </c>
      <c r="AZ225" s="54">
        <f>22*3</f>
        <v>66</v>
      </c>
      <c r="BA225" s="189">
        <f t="shared" si="248"/>
        <v>66</v>
      </c>
      <c r="BB225" s="178">
        <f t="shared" si="262"/>
        <v>100</v>
      </c>
      <c r="BC225" s="179">
        <f t="shared" si="263"/>
        <v>100</v>
      </c>
      <c r="BD225" s="30">
        <f t="shared" si="300"/>
        <v>1</v>
      </c>
      <c r="BE225" s="190">
        <v>2915293.1869999999</v>
      </c>
      <c r="BF225" s="190">
        <v>355297.59700000001</v>
      </c>
      <c r="BG225" s="301">
        <v>0</v>
      </c>
      <c r="BH225" s="191">
        <f t="shared" si="249"/>
        <v>3270590.784</v>
      </c>
      <c r="BI225" s="178">
        <f t="shared" si="250"/>
        <v>0</v>
      </c>
      <c r="BJ225" s="294" t="str">
        <f t="shared" si="264"/>
        <v>금속/비금속/화학업</v>
      </c>
      <c r="BK225" s="192">
        <f t="shared" si="265"/>
        <v>3.9534118626990464</v>
      </c>
      <c r="BL225" s="193">
        <f t="shared" si="266"/>
        <v>-3.9534118626990464</v>
      </c>
      <c r="BM225" s="241">
        <f t="shared" si="267"/>
        <v>100</v>
      </c>
      <c r="BN225" s="47">
        <f t="shared" si="268"/>
        <v>2</v>
      </c>
      <c r="BO225" s="54">
        <v>818495.67200000002</v>
      </c>
      <c r="BP225" s="194">
        <f t="shared" si="251"/>
        <v>1.1410343189947056</v>
      </c>
      <c r="BQ225" s="179">
        <f t="shared" si="269"/>
        <v>70</v>
      </c>
      <c r="BR225" s="30">
        <f t="shared" si="301"/>
        <v>1.4000000000000001</v>
      </c>
      <c r="BS225" s="195">
        <v>1716824.236</v>
      </c>
      <c r="BT225" s="195">
        <v>628117.59199999995</v>
      </c>
      <c r="BU225" s="196">
        <f t="shared" si="270"/>
        <v>1088706.6440000001</v>
      </c>
      <c r="BV225" s="178">
        <f t="shared" si="252"/>
        <v>1.5177253669357844</v>
      </c>
      <c r="BW225" s="192">
        <f t="shared" si="271"/>
        <v>5.1474158565187729</v>
      </c>
      <c r="BX225" s="192">
        <f t="shared" si="272"/>
        <v>13.174653050169194</v>
      </c>
      <c r="BY225" s="192">
        <f t="shared" si="273"/>
        <v>6.6930498535228526</v>
      </c>
      <c r="BZ225" s="192">
        <f t="shared" si="274"/>
        <v>70.619662197292982</v>
      </c>
      <c r="CA225" s="192">
        <f t="shared" si="253"/>
        <v>40</v>
      </c>
      <c r="CB225" s="55">
        <f t="shared" si="275"/>
        <v>0.8</v>
      </c>
      <c r="CC225" s="197">
        <f t="shared" si="302"/>
        <v>16.028046428065768</v>
      </c>
      <c r="CD225" s="198">
        <f t="shared" si="303"/>
        <v>94.336163406507879</v>
      </c>
      <c r="CE225" s="58">
        <f t="shared" si="304"/>
        <v>1.4150424510976181</v>
      </c>
      <c r="CF225" s="245" t="s">
        <v>2326</v>
      </c>
      <c r="CG225" s="245" t="s">
        <v>2326</v>
      </c>
      <c r="CH225" s="245" t="s">
        <v>2326</v>
      </c>
      <c r="CI225" s="245" t="s">
        <v>2326</v>
      </c>
      <c r="CJ225" s="235"/>
      <c r="CK225" s="173" t="s">
        <v>2490</v>
      </c>
      <c r="CL225" s="173" t="s">
        <v>2487</v>
      </c>
      <c r="CM225" s="199">
        <f t="shared" si="276"/>
        <v>70</v>
      </c>
      <c r="CN225" s="58">
        <f t="shared" si="305"/>
        <v>1.05</v>
      </c>
      <c r="CO225" s="54">
        <v>0</v>
      </c>
      <c r="CP225" s="186">
        <f t="shared" si="254"/>
        <v>0</v>
      </c>
      <c r="CQ225" s="179">
        <f t="shared" si="277"/>
        <v>100</v>
      </c>
      <c r="CR225" s="30">
        <f t="shared" si="306"/>
        <v>3</v>
      </c>
      <c r="CS225" s="200">
        <f>_xlfn.XLOOKUP(C225, '1-1. 관계사체무보증금액 (환율 등)'!$3:$3, '1-1. 관계사체무보증금액 (환율 등)'!$33:$33)</f>
        <v>0</v>
      </c>
      <c r="CT225" s="178">
        <f t="shared" si="255"/>
        <v>0</v>
      </c>
      <c r="CU225" s="179">
        <f t="shared" si="278"/>
        <v>100</v>
      </c>
      <c r="CV225" s="30">
        <f t="shared" si="307"/>
        <v>2</v>
      </c>
      <c r="CW225" s="72">
        <f t="shared" si="295"/>
        <v>20.344878124285191</v>
      </c>
    </row>
    <row r="226" spans="1:101" x14ac:dyDescent="0.6">
      <c r="A226" s="214" t="s">
        <v>1806</v>
      </c>
      <c r="B226" s="13" t="s">
        <v>2206</v>
      </c>
      <c r="C226" s="219" t="s">
        <v>1807</v>
      </c>
      <c r="D226" s="79" t="s">
        <v>88</v>
      </c>
      <c r="E226" s="217" t="s">
        <v>1585</v>
      </c>
      <c r="F226" s="217" t="s">
        <v>1808</v>
      </c>
      <c r="G226" s="218">
        <v>26661</v>
      </c>
      <c r="H226" s="217" t="s">
        <v>830</v>
      </c>
      <c r="I226" s="217" t="s">
        <v>1809</v>
      </c>
      <c r="J226" s="217" t="s">
        <v>1810</v>
      </c>
      <c r="K226" s="217" t="s">
        <v>1811</v>
      </c>
      <c r="L226" s="220">
        <v>7311029000</v>
      </c>
      <c r="M226" s="206">
        <v>6789175000</v>
      </c>
      <c r="N226" s="206">
        <v>521854000</v>
      </c>
      <c r="O226" s="206">
        <v>275373000</v>
      </c>
      <c r="P226" s="206">
        <v>27020000</v>
      </c>
      <c r="Q226" s="206">
        <v>26964000</v>
      </c>
      <c r="R226" s="206">
        <v>22820000</v>
      </c>
      <c r="S226" s="207">
        <v>32128774</v>
      </c>
      <c r="T226" s="207">
        <v>0</v>
      </c>
      <c r="U226" s="207">
        <v>24196024</v>
      </c>
      <c r="V226" s="207">
        <v>0</v>
      </c>
      <c r="W226" s="207">
        <f>510+32</f>
        <v>542</v>
      </c>
      <c r="X226" s="207">
        <v>0</v>
      </c>
      <c r="Z226" s="207">
        <v>0</v>
      </c>
      <c r="AA226" s="207">
        <v>0</v>
      </c>
      <c r="AB226" s="176">
        <f t="shared" si="279"/>
        <v>24196566</v>
      </c>
      <c r="AC226" s="177">
        <f t="shared" si="256"/>
        <v>75.311202350889587</v>
      </c>
      <c r="AD226" s="177">
        <f t="shared" si="280"/>
        <v>35.08814526678114</v>
      </c>
      <c r="AE226" s="60">
        <f>AD226*0.04</f>
        <v>1.4035258106712456</v>
      </c>
      <c r="AF226" s="178">
        <f t="shared" si="257"/>
        <v>75.309515389538362</v>
      </c>
      <c r="AG226" s="178">
        <f t="shared" si="258"/>
        <v>75.311202350889587</v>
      </c>
      <c r="AH226" s="178">
        <f t="shared" si="282"/>
        <v>1.686961351225591E-3</v>
      </c>
      <c r="AI226" s="179">
        <f t="shared" si="283"/>
        <v>100</v>
      </c>
      <c r="AJ226" s="61">
        <f>AI226*0.05</f>
        <v>5</v>
      </c>
      <c r="AK226" s="204">
        <v>9</v>
      </c>
      <c r="AL226" s="204">
        <v>6</v>
      </c>
      <c r="AM226" s="204">
        <v>0</v>
      </c>
      <c r="AN226" s="181">
        <f t="shared" si="243"/>
        <v>15</v>
      </c>
      <c r="AO226" s="182">
        <f t="shared" si="244"/>
        <v>0</v>
      </c>
      <c r="AP226" s="183">
        <f t="shared" si="259"/>
        <v>100</v>
      </c>
      <c r="AQ226" s="62">
        <f>AP226*0.03</f>
        <v>3</v>
      </c>
      <c r="AR226" s="212">
        <v>5</v>
      </c>
      <c r="AS226" s="292">
        <f t="shared" si="245"/>
        <v>0.5</v>
      </c>
      <c r="AT226" s="185">
        <f t="shared" si="246"/>
        <v>4.5</v>
      </c>
      <c r="AU226" s="185">
        <f t="shared" si="260"/>
        <v>4</v>
      </c>
      <c r="AV226" s="186">
        <f t="shared" si="247"/>
        <v>11.111111111111111</v>
      </c>
      <c r="AW226" s="179">
        <f t="shared" si="261"/>
        <v>60</v>
      </c>
      <c r="AX226" s="240">
        <f>AW226*0.02</f>
        <v>1.2</v>
      </c>
      <c r="AY226" s="54">
        <v>8</v>
      </c>
      <c r="AZ226" s="54">
        <v>40</v>
      </c>
      <c r="BA226" s="189">
        <f t="shared" si="248"/>
        <v>40</v>
      </c>
      <c r="BB226" s="178">
        <f t="shared" si="262"/>
        <v>100</v>
      </c>
      <c r="BC226" s="179">
        <f t="shared" si="263"/>
        <v>100</v>
      </c>
      <c r="BD226" s="61">
        <f>BC226*0.02</f>
        <v>2</v>
      </c>
      <c r="BE226" s="190">
        <v>31850000</v>
      </c>
      <c r="BF226" s="190">
        <f>3575000+3719000</f>
        <v>7294000</v>
      </c>
      <c r="BG226" s="301">
        <v>0</v>
      </c>
      <c r="BH226" s="191">
        <f t="shared" si="249"/>
        <v>39144000</v>
      </c>
      <c r="BI226" s="178">
        <f t="shared" si="250"/>
        <v>0</v>
      </c>
      <c r="BJ226" s="294" t="str">
        <f t="shared" si="264"/>
        <v>금융업</v>
      </c>
      <c r="BK226" s="192">
        <f t="shared" si="265"/>
        <v>2.7106886075318837</v>
      </c>
      <c r="BL226" s="193">
        <f t="shared" si="266"/>
        <v>-2.7106886075318837</v>
      </c>
      <c r="BM226" s="241">
        <f t="shared" si="267"/>
        <v>100</v>
      </c>
      <c r="BN226" s="47">
        <f t="shared" si="268"/>
        <v>2</v>
      </c>
      <c r="BO226" s="54">
        <v>0</v>
      </c>
      <c r="BP226" s="194">
        <f t="shared" si="251"/>
        <v>0</v>
      </c>
      <c r="BQ226" s="179">
        <f t="shared" si="269"/>
        <v>25</v>
      </c>
      <c r="BR226" s="61">
        <f>BQ226*0.01</f>
        <v>0.25</v>
      </c>
      <c r="BS226" s="195">
        <v>5491000</v>
      </c>
      <c r="BT226" s="195">
        <v>15000</v>
      </c>
      <c r="BU226" s="196">
        <f t="shared" si="270"/>
        <v>5476000</v>
      </c>
      <c r="BV226" s="178">
        <f t="shared" si="252"/>
        <v>1.9885754957820845</v>
      </c>
      <c r="BW226" s="192">
        <f t="shared" si="271"/>
        <v>0.39407896396795111</v>
      </c>
      <c r="BX226" s="192">
        <f t="shared" si="272"/>
        <v>2.5424191899672994</v>
      </c>
      <c r="BY226" s="192">
        <f t="shared" si="273"/>
        <v>1.5698937849002934</v>
      </c>
      <c r="BZ226" s="192">
        <f t="shared" si="274"/>
        <v>15.489289828200237</v>
      </c>
      <c r="CA226" s="192">
        <f t="shared" si="253"/>
        <v>70</v>
      </c>
      <c r="CB226" s="55">
        <f t="shared" si="275"/>
        <v>1.4000000000000001</v>
      </c>
      <c r="CC226" s="242" t="s">
        <v>1273</v>
      </c>
      <c r="CD226" s="243" t="s">
        <v>1273</v>
      </c>
      <c r="CE226" s="244"/>
      <c r="CF226" s="210">
        <v>0.55000000000000004</v>
      </c>
      <c r="CG226" s="295" t="s">
        <v>2379</v>
      </c>
      <c r="CH226" s="295" t="s">
        <v>2379</v>
      </c>
      <c r="CI226" s="188">
        <f>IF((100-(75*(CF226-1)))&gt;100,100,IF((100-(75*(CF226-1)))&lt;25,25,(100-(75*(CF226-1)))))</f>
        <v>100</v>
      </c>
      <c r="CJ226" s="63">
        <f>CI226*0.04</f>
        <v>4</v>
      </c>
      <c r="CK226" s="173" t="s">
        <v>2516</v>
      </c>
      <c r="CL226" s="173" t="s">
        <v>2477</v>
      </c>
      <c r="CM226" s="199">
        <f t="shared" si="276"/>
        <v>85</v>
      </c>
      <c r="CN226" s="65">
        <f>CM226*0.03</f>
        <v>2.5499999999999998</v>
      </c>
      <c r="CO226" s="54">
        <v>0</v>
      </c>
      <c r="CP226" s="186">
        <f t="shared" si="254"/>
        <v>0</v>
      </c>
      <c r="CQ226" s="179">
        <f t="shared" si="277"/>
        <v>100</v>
      </c>
      <c r="CR226" s="61">
        <f>CQ226*0.04</f>
        <v>4</v>
      </c>
      <c r="CS226" s="200">
        <f>_xlfn.XLOOKUP(C226, '1-1. 관계사체무보증금액 (환율 등)'!$3:$3, '1-1. 관계사체무보증금액 (환율 등)'!$33:$33)</f>
        <v>0</v>
      </c>
      <c r="CT226" s="178">
        <f t="shared" si="255"/>
        <v>0</v>
      </c>
      <c r="CU226" s="179">
        <f t="shared" si="278"/>
        <v>100</v>
      </c>
      <c r="CV226" s="70">
        <f>CU226*0.03</f>
        <v>3</v>
      </c>
      <c r="CW226" s="72">
        <f t="shared" si="295"/>
        <v>29.803525810671246</v>
      </c>
    </row>
    <row r="227" spans="1:101" x14ac:dyDescent="0.6">
      <c r="A227" s="214" t="s">
        <v>1812</v>
      </c>
      <c r="B227" s="13" t="s">
        <v>2207</v>
      </c>
      <c r="C227" s="219" t="s">
        <v>1813</v>
      </c>
      <c r="D227" s="14" t="s">
        <v>191</v>
      </c>
      <c r="E227" s="217" t="s">
        <v>977</v>
      </c>
      <c r="F227" s="217" t="s">
        <v>1814</v>
      </c>
      <c r="G227" s="218">
        <v>28272</v>
      </c>
      <c r="H227" s="217" t="s">
        <v>830</v>
      </c>
      <c r="I227" s="217" t="s">
        <v>1815</v>
      </c>
      <c r="J227" s="217" t="s">
        <v>1816</v>
      </c>
      <c r="K227" s="217" t="s">
        <v>317</v>
      </c>
      <c r="L227" s="220">
        <v>442034876</v>
      </c>
      <c r="M227" s="206">
        <v>63994596</v>
      </c>
      <c r="N227" s="206">
        <v>378040280</v>
      </c>
      <c r="O227" s="206">
        <v>122005783</v>
      </c>
      <c r="P227" s="206">
        <v>507524</v>
      </c>
      <c r="Q227" s="206">
        <v>4251780</v>
      </c>
      <c r="R227" s="206">
        <v>6061277</v>
      </c>
      <c r="S227" s="207">
        <v>6649138</v>
      </c>
      <c r="T227" s="207">
        <v>3096215</v>
      </c>
      <c r="U227" s="207">
        <v>639541</v>
      </c>
      <c r="V227" s="207">
        <f>996159+378245</f>
        <v>1374404</v>
      </c>
      <c r="W227" s="207">
        <v>0</v>
      </c>
      <c r="X227" s="207">
        <v>0</v>
      </c>
      <c r="Z227" s="207">
        <v>0</v>
      </c>
      <c r="AA227" s="207">
        <v>0</v>
      </c>
      <c r="AB227" s="176">
        <f t="shared" si="279"/>
        <v>2013945</v>
      </c>
      <c r="AC227" s="177">
        <f t="shared" si="256"/>
        <v>30.288813377012179</v>
      </c>
      <c r="AD227" s="177">
        <f t="shared" si="280"/>
        <v>73.945212850679951</v>
      </c>
      <c r="AE227" s="26">
        <f t="shared" ref="AE227:AE235" si="308">AD227*0.03</f>
        <v>2.2183563855203983</v>
      </c>
      <c r="AF227" s="178">
        <f t="shared" si="257"/>
        <v>56.684172440551059</v>
      </c>
      <c r="AG227" s="178">
        <f t="shared" si="258"/>
        <v>56.684172440551059</v>
      </c>
      <c r="AH227" s="178">
        <f t="shared" si="282"/>
        <v>0</v>
      </c>
      <c r="AI227" s="179">
        <f t="shared" si="283"/>
        <v>100</v>
      </c>
      <c r="AJ227" s="30">
        <f t="shared" ref="AJ227:AJ235" si="309">AI227*0.04</f>
        <v>4</v>
      </c>
      <c r="AK227" s="204">
        <v>6</v>
      </c>
      <c r="AL227" s="204">
        <v>4</v>
      </c>
      <c r="AM227" s="204">
        <v>1</v>
      </c>
      <c r="AN227" s="181">
        <f t="shared" si="243"/>
        <v>10</v>
      </c>
      <c r="AO227" s="182">
        <f t="shared" si="244"/>
        <v>10</v>
      </c>
      <c r="AP227" s="183">
        <f t="shared" si="259"/>
        <v>80</v>
      </c>
      <c r="AQ227" s="38">
        <f t="shared" ref="AQ227:AQ235" si="310">AP227*0.02</f>
        <v>1.6</v>
      </c>
      <c r="AR227" s="212">
        <v>3</v>
      </c>
      <c r="AS227" s="292">
        <f t="shared" si="245"/>
        <v>0.25</v>
      </c>
      <c r="AT227" s="185">
        <f t="shared" si="246"/>
        <v>1.5</v>
      </c>
      <c r="AU227" s="185">
        <f t="shared" si="260"/>
        <v>1</v>
      </c>
      <c r="AV227" s="186">
        <f t="shared" si="247"/>
        <v>33.333333333333329</v>
      </c>
      <c r="AW227" s="179">
        <f t="shared" si="261"/>
        <v>80</v>
      </c>
      <c r="AX227" s="239">
        <f t="shared" ref="AX227:AX235" si="311">AW227*0.01</f>
        <v>0.8</v>
      </c>
      <c r="AY227" s="54">
        <v>9</v>
      </c>
      <c r="AZ227" s="54">
        <v>27</v>
      </c>
      <c r="BA227" s="189">
        <f t="shared" si="248"/>
        <v>27</v>
      </c>
      <c r="BB227" s="178">
        <f t="shared" si="262"/>
        <v>100</v>
      </c>
      <c r="BC227" s="179">
        <f t="shared" si="263"/>
        <v>100</v>
      </c>
      <c r="BD227" s="30">
        <f t="shared" ref="BD227:BD235" si="312">BC227*0.01</f>
        <v>1</v>
      </c>
      <c r="BE227" s="190">
        <v>2516360</v>
      </c>
      <c r="BF227" s="190">
        <v>221330</v>
      </c>
      <c r="BG227" s="54">
        <v>83033</v>
      </c>
      <c r="BH227" s="191">
        <f t="shared" si="249"/>
        <v>2737690</v>
      </c>
      <c r="BI227" s="178">
        <f t="shared" si="250"/>
        <v>3.0329584430669652</v>
      </c>
      <c r="BJ227" s="294" t="str">
        <f t="shared" si="264"/>
        <v>식약/섬유/종이업</v>
      </c>
      <c r="BK227" s="192">
        <f t="shared" si="265"/>
        <v>2.1999360555264444</v>
      </c>
      <c r="BL227" s="193">
        <f t="shared" si="266"/>
        <v>0.83302238754052071</v>
      </c>
      <c r="BM227" s="241">
        <f t="shared" si="267"/>
        <v>60</v>
      </c>
      <c r="BN227" s="47">
        <f t="shared" si="268"/>
        <v>1.2</v>
      </c>
      <c r="BO227" s="54">
        <v>743445</v>
      </c>
      <c r="BP227" s="194">
        <f t="shared" si="251"/>
        <v>0.60935226324476766</v>
      </c>
      <c r="BQ227" s="179">
        <f t="shared" si="269"/>
        <v>70</v>
      </c>
      <c r="BR227" s="30">
        <f t="shared" ref="BR227:BR235" si="313">BQ227*0.02</f>
        <v>1.4000000000000001</v>
      </c>
      <c r="BS227" s="195">
        <v>2369752.3160000001</v>
      </c>
      <c r="BT227" s="195">
        <v>0</v>
      </c>
      <c r="BU227" s="196">
        <f t="shared" si="270"/>
        <v>2369752.3160000001</v>
      </c>
      <c r="BV227" s="178">
        <f t="shared" si="252"/>
        <v>1.9423278616227562</v>
      </c>
      <c r="BW227" s="192">
        <f t="shared" si="271"/>
        <v>5.0508176117342281</v>
      </c>
      <c r="BX227" s="192">
        <f t="shared" si="272"/>
        <v>9.6627085265480819</v>
      </c>
      <c r="BY227" s="192">
        <f t="shared" si="273"/>
        <v>6.9871618081220941</v>
      </c>
      <c r="BZ227" s="192">
        <f t="shared" si="274"/>
        <v>67.179889261903654</v>
      </c>
      <c r="CA227" s="192">
        <f t="shared" si="253"/>
        <v>40</v>
      </c>
      <c r="CB227" s="55">
        <f t="shared" si="275"/>
        <v>0.8</v>
      </c>
      <c r="CC227" s="197">
        <f t="shared" ref="CC227:CC235" si="314">(M227/N227)*100</f>
        <v>16.927983441341222</v>
      </c>
      <c r="CD227" s="198">
        <f t="shared" ref="CD227:CD235" si="315">IF((100-(75*(CC227-1)/(200-1)))&gt;100, 100, IF((100-(75*(CC227-1)/(200-1)))&lt;25, 25, (100-(75*(CC227-1)/(200-1)))))</f>
        <v>93.996991165323664</v>
      </c>
      <c r="CE227" s="58">
        <f t="shared" ref="CE227:CE235" si="316">CD227*0.015</f>
        <v>1.409954867479855</v>
      </c>
      <c r="CF227" s="245" t="s">
        <v>2326</v>
      </c>
      <c r="CG227" s="245" t="s">
        <v>2326</v>
      </c>
      <c r="CH227" s="245" t="s">
        <v>2326</v>
      </c>
      <c r="CI227" s="245" t="s">
        <v>2326</v>
      </c>
      <c r="CJ227" s="235"/>
      <c r="CK227" s="173" t="s">
        <v>2479</v>
      </c>
      <c r="CL227" s="173" t="s">
        <v>2478</v>
      </c>
      <c r="CM227" s="199">
        <f t="shared" si="276"/>
        <v>25</v>
      </c>
      <c r="CN227" s="58">
        <f t="shared" ref="CN227:CN235" si="317">CM227*0.015</f>
        <v>0.375</v>
      </c>
      <c r="CO227" s="54">
        <v>0</v>
      </c>
      <c r="CP227" s="186">
        <f t="shared" si="254"/>
        <v>0</v>
      </c>
      <c r="CQ227" s="179">
        <f t="shared" si="277"/>
        <v>100</v>
      </c>
      <c r="CR227" s="30">
        <f t="shared" ref="CR227:CR235" si="318">CQ227*0.03</f>
        <v>3</v>
      </c>
      <c r="CS227" s="200">
        <f>_xlfn.XLOOKUP(C227, '1-1. 관계사체무보증금액 (환율 등)'!$3:$3, '1-1. 관계사체무보증금액 (환율 등)'!$33:$33)</f>
        <v>0</v>
      </c>
      <c r="CT227" s="178">
        <f t="shared" si="255"/>
        <v>0</v>
      </c>
      <c r="CU227" s="179">
        <f t="shared" si="278"/>
        <v>100</v>
      </c>
      <c r="CV227" s="30">
        <f t="shared" ref="CV227:CV235" si="319">CU227*0.02</f>
        <v>2</v>
      </c>
      <c r="CW227" s="72">
        <f t="shared" si="295"/>
        <v>19.803311253000253</v>
      </c>
    </row>
    <row r="228" spans="1:101" x14ac:dyDescent="0.6">
      <c r="A228" s="214" t="s">
        <v>1817</v>
      </c>
      <c r="B228" s="13" t="s">
        <v>2208</v>
      </c>
      <c r="C228" s="219" t="s">
        <v>1818</v>
      </c>
      <c r="D228" s="14" t="s">
        <v>191</v>
      </c>
      <c r="E228" s="217" t="s">
        <v>1067</v>
      </c>
      <c r="F228" s="217" t="s">
        <v>1819</v>
      </c>
      <c r="G228" s="218">
        <v>28122</v>
      </c>
      <c r="H228" s="217" t="s">
        <v>830</v>
      </c>
      <c r="I228" s="217" t="s">
        <v>1820</v>
      </c>
      <c r="J228" s="217" t="s">
        <v>1821</v>
      </c>
      <c r="K228" s="217" t="s">
        <v>91</v>
      </c>
      <c r="L228" s="220">
        <v>130041760</v>
      </c>
      <c r="M228" s="206">
        <v>68561446</v>
      </c>
      <c r="N228" s="206">
        <v>61480314</v>
      </c>
      <c r="O228" s="206">
        <v>148554918</v>
      </c>
      <c r="P228" s="206">
        <v>11907297</v>
      </c>
      <c r="Q228" s="206">
        <v>8526105</v>
      </c>
      <c r="R228" s="206">
        <v>8638058</v>
      </c>
      <c r="S228" s="207">
        <v>5192239</v>
      </c>
      <c r="T228" s="207">
        <v>411</v>
      </c>
      <c r="U228" s="207">
        <v>2832703</v>
      </c>
      <c r="V228" s="207">
        <v>0</v>
      </c>
      <c r="W228" s="207">
        <v>0</v>
      </c>
      <c r="X228" s="207">
        <v>0</v>
      </c>
      <c r="Z228" s="207">
        <v>124322</v>
      </c>
      <c r="AA228" s="207">
        <v>0</v>
      </c>
      <c r="AB228" s="176">
        <f t="shared" si="279"/>
        <v>2957025</v>
      </c>
      <c r="AC228" s="177">
        <f t="shared" si="256"/>
        <v>56.950864549956194</v>
      </c>
      <c r="AD228" s="177">
        <f t="shared" si="280"/>
        <v>50.934236579439421</v>
      </c>
      <c r="AE228" s="26">
        <f t="shared" si="308"/>
        <v>1.5280270973831827</v>
      </c>
      <c r="AF228" s="178">
        <f t="shared" si="257"/>
        <v>54.56080209128654</v>
      </c>
      <c r="AG228" s="178">
        <f t="shared" si="258"/>
        <v>56.955372943787822</v>
      </c>
      <c r="AH228" s="178">
        <f t="shared" si="282"/>
        <v>2.3945708525012819</v>
      </c>
      <c r="AI228" s="179">
        <f t="shared" si="283"/>
        <v>100</v>
      </c>
      <c r="AJ228" s="30">
        <f t="shared" si="309"/>
        <v>4</v>
      </c>
      <c r="AK228" s="204">
        <v>4</v>
      </c>
      <c r="AL228" s="204">
        <v>5</v>
      </c>
      <c r="AM228" s="204">
        <v>1</v>
      </c>
      <c r="AN228" s="181">
        <f t="shared" si="243"/>
        <v>9</v>
      </c>
      <c r="AO228" s="182">
        <f t="shared" si="244"/>
        <v>11.111111111111111</v>
      </c>
      <c r="AP228" s="183">
        <f t="shared" si="259"/>
        <v>80</v>
      </c>
      <c r="AQ228" s="38">
        <f t="shared" si="310"/>
        <v>1.6</v>
      </c>
      <c r="AR228" s="212">
        <v>1</v>
      </c>
      <c r="AS228" s="292">
        <f t="shared" si="245"/>
        <v>0.25</v>
      </c>
      <c r="AT228" s="185">
        <f t="shared" si="246"/>
        <v>1</v>
      </c>
      <c r="AU228" s="185">
        <f t="shared" si="260"/>
        <v>1</v>
      </c>
      <c r="AV228" s="186">
        <f t="shared" si="247"/>
        <v>0</v>
      </c>
      <c r="AW228" s="179">
        <f t="shared" si="261"/>
        <v>40</v>
      </c>
      <c r="AX228" s="239">
        <f t="shared" si="311"/>
        <v>0.4</v>
      </c>
      <c r="AY228" s="54">
        <v>9</v>
      </c>
      <c r="AZ228" s="54">
        <v>8</v>
      </c>
      <c r="BA228" s="189">
        <f t="shared" si="248"/>
        <v>9</v>
      </c>
      <c r="BB228" s="178">
        <f t="shared" si="262"/>
        <v>88.888888888888886</v>
      </c>
      <c r="BC228" s="179">
        <f t="shared" si="263"/>
        <v>75</v>
      </c>
      <c r="BD228" s="30">
        <f t="shared" si="312"/>
        <v>0.75</v>
      </c>
      <c r="BE228" s="190">
        <v>2532280</v>
      </c>
      <c r="BF228" s="190">
        <v>300797</v>
      </c>
      <c r="BG228" s="301">
        <v>0</v>
      </c>
      <c r="BH228" s="191">
        <f t="shared" si="249"/>
        <v>2833077</v>
      </c>
      <c r="BI228" s="178">
        <f t="shared" si="250"/>
        <v>0</v>
      </c>
      <c r="BJ228" s="294" t="str">
        <f t="shared" si="264"/>
        <v>식약/섬유/종이업</v>
      </c>
      <c r="BK228" s="192">
        <f t="shared" si="265"/>
        <v>2.1999360555264444</v>
      </c>
      <c r="BL228" s="193">
        <f t="shared" si="266"/>
        <v>-2.1999360555264444</v>
      </c>
      <c r="BM228" s="241">
        <f t="shared" si="267"/>
        <v>100</v>
      </c>
      <c r="BN228" s="47">
        <f t="shared" si="268"/>
        <v>2</v>
      </c>
      <c r="BO228" s="54">
        <f>143907-32236</f>
        <v>111671</v>
      </c>
      <c r="BP228" s="194">
        <f t="shared" si="251"/>
        <v>7.5171526801960195E-2</v>
      </c>
      <c r="BQ228" s="179">
        <f t="shared" si="269"/>
        <v>40</v>
      </c>
      <c r="BR228" s="30">
        <f t="shared" si="313"/>
        <v>0.8</v>
      </c>
      <c r="BS228" s="195">
        <v>3051419</v>
      </c>
      <c r="BT228" s="195">
        <v>49509</v>
      </c>
      <c r="BU228" s="196">
        <f t="shared" si="270"/>
        <v>3001910</v>
      </c>
      <c r="BV228" s="178">
        <f t="shared" si="252"/>
        <v>2.0207409087594126</v>
      </c>
      <c r="BW228" s="192">
        <f t="shared" si="271"/>
        <v>5.0508176117342281</v>
      </c>
      <c r="BX228" s="192">
        <f t="shared" si="272"/>
        <v>9.1813648259107286</v>
      </c>
      <c r="BY228" s="192">
        <f t="shared" si="273"/>
        <v>6.9871618081220941</v>
      </c>
      <c r="BZ228" s="192">
        <f t="shared" si="274"/>
        <v>66.773357446994737</v>
      </c>
      <c r="CA228" s="192">
        <f t="shared" si="253"/>
        <v>40</v>
      </c>
      <c r="CB228" s="55">
        <f t="shared" si="275"/>
        <v>0.8</v>
      </c>
      <c r="CC228" s="197">
        <f t="shared" si="314"/>
        <v>111.5177225672595</v>
      </c>
      <c r="CD228" s="198">
        <f t="shared" si="315"/>
        <v>58.347591997264004</v>
      </c>
      <c r="CE228" s="58">
        <f t="shared" si="316"/>
        <v>0.87521387995896005</v>
      </c>
      <c r="CF228" s="245" t="s">
        <v>2326</v>
      </c>
      <c r="CG228" s="245" t="s">
        <v>2326</v>
      </c>
      <c r="CH228" s="245" t="s">
        <v>2326</v>
      </c>
      <c r="CI228" s="245" t="s">
        <v>2326</v>
      </c>
      <c r="CJ228" s="235"/>
      <c r="CK228" s="173" t="s">
        <v>2479</v>
      </c>
      <c r="CL228" s="173" t="s">
        <v>2478</v>
      </c>
      <c r="CM228" s="199">
        <f t="shared" si="276"/>
        <v>25</v>
      </c>
      <c r="CN228" s="58">
        <f t="shared" si="317"/>
        <v>0.375</v>
      </c>
      <c r="CO228" s="54">
        <v>0</v>
      </c>
      <c r="CP228" s="186">
        <f t="shared" si="254"/>
        <v>0</v>
      </c>
      <c r="CQ228" s="179">
        <f t="shared" si="277"/>
        <v>100</v>
      </c>
      <c r="CR228" s="30">
        <f t="shared" si="318"/>
        <v>3</v>
      </c>
      <c r="CS228" s="200">
        <f>_xlfn.XLOOKUP(C228, '1-1. 관계사체무보증금액 (환율 등)'!$3:$3, '1-1. 관계사체무보증금액 (환율 등)'!$33:$33)</f>
        <v>0</v>
      </c>
      <c r="CT228" s="178">
        <f t="shared" si="255"/>
        <v>0</v>
      </c>
      <c r="CU228" s="179">
        <f t="shared" si="278"/>
        <v>100</v>
      </c>
      <c r="CV228" s="30">
        <f t="shared" si="319"/>
        <v>2</v>
      </c>
      <c r="CW228" s="72">
        <f t="shared" si="295"/>
        <v>18.128240977342145</v>
      </c>
    </row>
    <row r="229" spans="1:101" x14ac:dyDescent="0.6">
      <c r="A229" s="214" t="s">
        <v>509</v>
      </c>
      <c r="B229" s="13" t="s">
        <v>2209</v>
      </c>
      <c r="C229" s="219" t="s">
        <v>536</v>
      </c>
      <c r="D229" s="216" t="s">
        <v>203</v>
      </c>
      <c r="E229" s="217" t="s">
        <v>585</v>
      </c>
      <c r="F229" s="217" t="s">
        <v>418</v>
      </c>
      <c r="G229" s="218">
        <v>40228</v>
      </c>
      <c r="H229" s="217" t="s">
        <v>830</v>
      </c>
      <c r="I229" s="217" t="s">
        <v>829</v>
      </c>
      <c r="J229" s="217" t="s">
        <v>664</v>
      </c>
      <c r="K229" s="217" t="s">
        <v>31</v>
      </c>
      <c r="L229" s="220">
        <v>145133297</v>
      </c>
      <c r="M229" s="206">
        <v>9248179</v>
      </c>
      <c r="N229" s="206">
        <v>135885117</v>
      </c>
      <c r="O229" s="206">
        <v>66976160</v>
      </c>
      <c r="P229" s="206">
        <v>9435413</v>
      </c>
      <c r="Q229" s="206">
        <v>13174731</v>
      </c>
      <c r="R229" s="206">
        <v>10522135</v>
      </c>
      <c r="S229" s="207">
        <v>1257651</v>
      </c>
      <c r="T229" s="207">
        <v>248617</v>
      </c>
      <c r="U229" s="207">
        <f>570059+81939</f>
        <v>651998</v>
      </c>
      <c r="V229" s="207">
        <v>0</v>
      </c>
      <c r="W229" s="207">
        <v>0</v>
      </c>
      <c r="X229" s="207">
        <v>0</v>
      </c>
      <c r="Z229" s="207">
        <v>0</v>
      </c>
      <c r="AA229" s="207">
        <v>0</v>
      </c>
      <c r="AB229" s="176">
        <f t="shared" si="279"/>
        <v>651998</v>
      </c>
      <c r="AC229" s="177">
        <f t="shared" si="256"/>
        <v>51.842522289570006</v>
      </c>
      <c r="AD229" s="177">
        <f t="shared" si="280"/>
        <v>55.343047506124854</v>
      </c>
      <c r="AE229" s="26">
        <f t="shared" si="308"/>
        <v>1.6602914251837455</v>
      </c>
      <c r="AF229" s="178">
        <f t="shared" si="257"/>
        <v>64.616058527264684</v>
      </c>
      <c r="AG229" s="178">
        <f t="shared" si="258"/>
        <v>64.616058527264684</v>
      </c>
      <c r="AH229" s="178">
        <f t="shared" si="282"/>
        <v>0</v>
      </c>
      <c r="AI229" s="179">
        <f t="shared" si="283"/>
        <v>100</v>
      </c>
      <c r="AJ229" s="30">
        <f t="shared" si="309"/>
        <v>4</v>
      </c>
      <c r="AK229" s="204">
        <v>5</v>
      </c>
      <c r="AL229" s="204">
        <v>4</v>
      </c>
      <c r="AM229" s="204">
        <v>1</v>
      </c>
      <c r="AN229" s="181">
        <f t="shared" si="243"/>
        <v>9</v>
      </c>
      <c r="AO229" s="182">
        <f t="shared" si="244"/>
        <v>11.111111111111111</v>
      </c>
      <c r="AP229" s="183">
        <f t="shared" si="259"/>
        <v>80</v>
      </c>
      <c r="AQ229" s="38">
        <f t="shared" si="310"/>
        <v>1.6</v>
      </c>
      <c r="AR229" s="212">
        <v>3</v>
      </c>
      <c r="AS229" s="292">
        <f t="shared" si="245"/>
        <v>0.25</v>
      </c>
      <c r="AT229" s="185">
        <f t="shared" si="246"/>
        <v>1.25</v>
      </c>
      <c r="AU229" s="185">
        <f t="shared" si="260"/>
        <v>1</v>
      </c>
      <c r="AV229" s="186">
        <f t="shared" si="247"/>
        <v>40</v>
      </c>
      <c r="AW229" s="179">
        <f t="shared" si="261"/>
        <v>100</v>
      </c>
      <c r="AX229" s="239">
        <f t="shared" si="311"/>
        <v>1</v>
      </c>
      <c r="AY229" s="54">
        <v>6</v>
      </c>
      <c r="AZ229" s="54">
        <v>18</v>
      </c>
      <c r="BA229" s="189">
        <f t="shared" si="248"/>
        <v>18</v>
      </c>
      <c r="BB229" s="178">
        <f t="shared" si="262"/>
        <v>100</v>
      </c>
      <c r="BC229" s="179">
        <f t="shared" si="263"/>
        <v>100</v>
      </c>
      <c r="BD229" s="30">
        <f t="shared" si="312"/>
        <v>1</v>
      </c>
      <c r="BE229" s="190">
        <v>2141325.5580000002</v>
      </c>
      <c r="BF229" s="190">
        <v>245827.17800000001</v>
      </c>
      <c r="BG229" s="54">
        <v>63581.224999999999</v>
      </c>
      <c r="BH229" s="191">
        <f t="shared" si="249"/>
        <v>2387152.736</v>
      </c>
      <c r="BI229" s="178">
        <f t="shared" si="250"/>
        <v>2.6634753629773611</v>
      </c>
      <c r="BJ229" s="294" t="str">
        <f t="shared" si="264"/>
        <v>금속/비금속/화학업</v>
      </c>
      <c r="BK229" s="192">
        <f t="shared" si="265"/>
        <v>3.9534118626990464</v>
      </c>
      <c r="BL229" s="193">
        <f t="shared" si="266"/>
        <v>-1.2899364997216853</v>
      </c>
      <c r="BM229" s="241">
        <f t="shared" si="267"/>
        <v>80</v>
      </c>
      <c r="BN229" s="47">
        <f t="shared" si="268"/>
        <v>1.6</v>
      </c>
      <c r="BO229" s="54">
        <v>762000</v>
      </c>
      <c r="BP229" s="194">
        <f t="shared" si="251"/>
        <v>1.137718256764795</v>
      </c>
      <c r="BQ229" s="179">
        <f t="shared" si="269"/>
        <v>70</v>
      </c>
      <c r="BR229" s="30">
        <f t="shared" si="313"/>
        <v>1.4000000000000001</v>
      </c>
      <c r="BS229" s="195">
        <v>271646</v>
      </c>
      <c r="BT229" s="195">
        <v>0</v>
      </c>
      <c r="BU229" s="196">
        <f t="shared" si="270"/>
        <v>271646</v>
      </c>
      <c r="BV229" s="178">
        <f t="shared" si="252"/>
        <v>0.40558610705660042</v>
      </c>
      <c r="BW229" s="192">
        <f t="shared" si="271"/>
        <v>5.1474158565187729</v>
      </c>
      <c r="BX229" s="192">
        <f t="shared" si="272"/>
        <v>22.48494937288449</v>
      </c>
      <c r="BY229" s="192">
        <f t="shared" si="273"/>
        <v>6.6930498535228526</v>
      </c>
      <c r="BZ229" s="192">
        <f t="shared" si="274"/>
        <v>76.067350098247516</v>
      </c>
      <c r="CA229" s="192">
        <f t="shared" si="253"/>
        <v>40</v>
      </c>
      <c r="CB229" s="55">
        <f t="shared" si="275"/>
        <v>0.8</v>
      </c>
      <c r="CC229" s="197">
        <f t="shared" si="314"/>
        <v>6.8058807352684543</v>
      </c>
      <c r="CD229" s="198">
        <f t="shared" si="315"/>
        <v>97.811853994245553</v>
      </c>
      <c r="CE229" s="58">
        <f t="shared" si="316"/>
        <v>1.4671778099136832</v>
      </c>
      <c r="CF229" s="245" t="s">
        <v>2326</v>
      </c>
      <c r="CG229" s="245" t="s">
        <v>2326</v>
      </c>
      <c r="CH229" s="245" t="s">
        <v>2326</v>
      </c>
      <c r="CI229" s="245" t="s">
        <v>2326</v>
      </c>
      <c r="CJ229" s="235"/>
      <c r="CK229" s="173" t="s">
        <v>2479</v>
      </c>
      <c r="CL229" s="173" t="s">
        <v>2478</v>
      </c>
      <c r="CM229" s="199">
        <f t="shared" si="276"/>
        <v>25</v>
      </c>
      <c r="CN229" s="58">
        <f t="shared" si="317"/>
        <v>0.375</v>
      </c>
      <c r="CO229" s="54">
        <v>0</v>
      </c>
      <c r="CP229" s="186">
        <f t="shared" si="254"/>
        <v>0</v>
      </c>
      <c r="CQ229" s="179">
        <f t="shared" si="277"/>
        <v>100</v>
      </c>
      <c r="CR229" s="30">
        <f t="shared" si="318"/>
        <v>3</v>
      </c>
      <c r="CS229" s="200">
        <f>_xlfn.XLOOKUP(C229, '1-1. 관계사체무보증금액 (환율 등)'!$3:$3, '1-1. 관계사체무보증금액 (환율 등)'!$33:$33)</f>
        <v>0</v>
      </c>
      <c r="CT229" s="178">
        <f t="shared" si="255"/>
        <v>0</v>
      </c>
      <c r="CU229" s="179">
        <f t="shared" si="278"/>
        <v>100</v>
      </c>
      <c r="CV229" s="30">
        <f t="shared" si="319"/>
        <v>2</v>
      </c>
      <c r="CW229" s="72">
        <f t="shared" si="295"/>
        <v>19.902469235097428</v>
      </c>
    </row>
    <row r="230" spans="1:101" x14ac:dyDescent="0.6">
      <c r="A230" s="214" t="s">
        <v>775</v>
      </c>
      <c r="B230" s="13" t="s">
        <v>2210</v>
      </c>
      <c r="C230" s="219" t="s">
        <v>64</v>
      </c>
      <c r="D230" s="216" t="s">
        <v>191</v>
      </c>
      <c r="E230" s="217" t="s">
        <v>178</v>
      </c>
      <c r="F230" s="217" t="s">
        <v>147</v>
      </c>
      <c r="G230" s="218">
        <v>28117</v>
      </c>
      <c r="H230" s="217" t="s">
        <v>830</v>
      </c>
      <c r="I230" s="217" t="s">
        <v>790</v>
      </c>
      <c r="J230" s="217" t="s">
        <v>1206</v>
      </c>
      <c r="K230" s="217" t="s">
        <v>690</v>
      </c>
      <c r="L230" s="220">
        <v>418548891</v>
      </c>
      <c r="M230" s="206">
        <v>263651210</v>
      </c>
      <c r="N230" s="206">
        <v>154897681</v>
      </c>
      <c r="O230" s="206">
        <v>319394587</v>
      </c>
      <c r="P230" s="206">
        <v>15318484</v>
      </c>
      <c r="Q230" s="206">
        <v>13458495</v>
      </c>
      <c r="R230" s="206">
        <v>11843676</v>
      </c>
      <c r="S230" s="207">
        <v>600000</v>
      </c>
      <c r="T230" s="207">
        <v>0</v>
      </c>
      <c r="U230" s="207">
        <f>293550+41880</f>
        <v>335430</v>
      </c>
      <c r="V230" s="207">
        <f>1496+5000+5000+14681</f>
        <v>26177</v>
      </c>
      <c r="W230" s="207">
        <v>100</v>
      </c>
      <c r="X230" s="207">
        <v>30000</v>
      </c>
      <c r="Y230" s="208" t="s">
        <v>2454</v>
      </c>
      <c r="Z230" s="207">
        <f>10000+1600</f>
        <v>11600</v>
      </c>
      <c r="AA230" s="207">
        <v>0</v>
      </c>
      <c r="AB230" s="176">
        <f t="shared" si="279"/>
        <v>403307</v>
      </c>
      <c r="AC230" s="177">
        <f t="shared" si="256"/>
        <v>67.217833333333331</v>
      </c>
      <c r="AD230" s="177">
        <f t="shared" si="280"/>
        <v>42.0732163406214</v>
      </c>
      <c r="AE230" s="26">
        <f t="shared" si="308"/>
        <v>1.262196490218642</v>
      </c>
      <c r="AF230" s="178">
        <f t="shared" si="257"/>
        <v>60.267833333333328</v>
      </c>
      <c r="AG230" s="178">
        <f t="shared" si="258"/>
        <v>67.217833333333331</v>
      </c>
      <c r="AH230" s="178">
        <f t="shared" si="282"/>
        <v>6.9500000000000028</v>
      </c>
      <c r="AI230" s="179">
        <f t="shared" si="283"/>
        <v>100</v>
      </c>
      <c r="AJ230" s="30">
        <f t="shared" si="309"/>
        <v>4</v>
      </c>
      <c r="AK230" s="204">
        <v>4</v>
      </c>
      <c r="AL230" s="204">
        <v>4</v>
      </c>
      <c r="AM230" s="204">
        <v>0</v>
      </c>
      <c r="AN230" s="181">
        <f t="shared" si="243"/>
        <v>8</v>
      </c>
      <c r="AO230" s="182">
        <f t="shared" si="244"/>
        <v>0</v>
      </c>
      <c r="AP230" s="183">
        <f t="shared" si="259"/>
        <v>100</v>
      </c>
      <c r="AQ230" s="38">
        <f t="shared" si="310"/>
        <v>2</v>
      </c>
      <c r="AR230" s="212">
        <v>1</v>
      </c>
      <c r="AS230" s="292">
        <f t="shared" si="245"/>
        <v>0.25</v>
      </c>
      <c r="AT230" s="185">
        <f t="shared" si="246"/>
        <v>1</v>
      </c>
      <c r="AU230" s="185">
        <f t="shared" si="260"/>
        <v>1</v>
      </c>
      <c r="AV230" s="186">
        <f t="shared" si="247"/>
        <v>0</v>
      </c>
      <c r="AW230" s="179">
        <f t="shared" si="261"/>
        <v>40</v>
      </c>
      <c r="AX230" s="239">
        <f t="shared" si="311"/>
        <v>0.4</v>
      </c>
      <c r="AY230" s="54">
        <v>13</v>
      </c>
      <c r="AZ230" s="54">
        <v>12</v>
      </c>
      <c r="BA230" s="189">
        <f t="shared" si="248"/>
        <v>13</v>
      </c>
      <c r="BB230" s="178">
        <f t="shared" si="262"/>
        <v>92.307692307692307</v>
      </c>
      <c r="BC230" s="179">
        <f t="shared" si="263"/>
        <v>100</v>
      </c>
      <c r="BD230" s="30">
        <f t="shared" si="312"/>
        <v>1</v>
      </c>
      <c r="BE230" s="190">
        <v>3986704</v>
      </c>
      <c r="BF230" s="190">
        <v>398395</v>
      </c>
      <c r="BG230" s="54">
        <v>163312</v>
      </c>
      <c r="BH230" s="191">
        <f t="shared" si="249"/>
        <v>4385099</v>
      </c>
      <c r="BI230" s="178">
        <f t="shared" si="250"/>
        <v>3.7242488710061048</v>
      </c>
      <c r="BJ230" s="294" t="str">
        <f t="shared" si="264"/>
        <v>식약/섬유/종이업</v>
      </c>
      <c r="BK230" s="192">
        <f t="shared" si="265"/>
        <v>2.1999360555264444</v>
      </c>
      <c r="BL230" s="193">
        <f t="shared" si="266"/>
        <v>1.5243128154796604</v>
      </c>
      <c r="BM230" s="241">
        <f t="shared" si="267"/>
        <v>60</v>
      </c>
      <c r="BN230" s="47">
        <f t="shared" si="268"/>
        <v>1.2</v>
      </c>
      <c r="BO230" s="54">
        <v>2147214</v>
      </c>
      <c r="BP230" s="194">
        <f t="shared" si="251"/>
        <v>0.67227626497001336</v>
      </c>
      <c r="BQ230" s="179">
        <f t="shared" si="269"/>
        <v>70</v>
      </c>
      <c r="BR230" s="30">
        <f t="shared" si="313"/>
        <v>1.4000000000000001</v>
      </c>
      <c r="BS230" s="195">
        <v>29242001.386999998</v>
      </c>
      <c r="BT230" s="195">
        <v>7000</v>
      </c>
      <c r="BU230" s="196">
        <f t="shared" si="270"/>
        <v>29235001.386999998</v>
      </c>
      <c r="BV230" s="178">
        <f t="shared" si="252"/>
        <v>9.1532551198182954</v>
      </c>
      <c r="BW230" s="192">
        <f t="shared" si="271"/>
        <v>5.0508176117342281</v>
      </c>
      <c r="BX230" s="192">
        <f t="shared" si="272"/>
        <v>16.829993507735011</v>
      </c>
      <c r="BY230" s="192">
        <f t="shared" si="273"/>
        <v>6.9871618081220941</v>
      </c>
      <c r="BZ230" s="192">
        <f t="shared" si="274"/>
        <v>27.855506722273184</v>
      </c>
      <c r="CA230" s="192">
        <f t="shared" si="253"/>
        <v>70</v>
      </c>
      <c r="CB230" s="55">
        <f t="shared" si="275"/>
        <v>1.4000000000000001</v>
      </c>
      <c r="CC230" s="197">
        <f t="shared" si="314"/>
        <v>170.2099142465535</v>
      </c>
      <c r="CD230" s="198">
        <f t="shared" si="315"/>
        <v>36.227419253811497</v>
      </c>
      <c r="CE230" s="58">
        <f t="shared" si="316"/>
        <v>0.54341128880717249</v>
      </c>
      <c r="CF230" s="245" t="s">
        <v>2326</v>
      </c>
      <c r="CG230" s="245" t="s">
        <v>2326</v>
      </c>
      <c r="CH230" s="245" t="s">
        <v>2326</v>
      </c>
      <c r="CI230" s="245" t="s">
        <v>2326</v>
      </c>
      <c r="CJ230" s="235"/>
      <c r="CK230" s="173" t="s">
        <v>2491</v>
      </c>
      <c r="CL230" s="173" t="s">
        <v>2478</v>
      </c>
      <c r="CM230" s="199">
        <f t="shared" si="276"/>
        <v>25</v>
      </c>
      <c r="CN230" s="58">
        <f t="shared" si="317"/>
        <v>0.375</v>
      </c>
      <c r="CO230" s="54">
        <v>3539000</v>
      </c>
      <c r="CP230" s="186">
        <f t="shared" si="254"/>
        <v>2.2847340109630179</v>
      </c>
      <c r="CQ230" s="179">
        <f t="shared" si="277"/>
        <v>100</v>
      </c>
      <c r="CR230" s="30">
        <f t="shared" si="318"/>
        <v>3</v>
      </c>
      <c r="CS230" s="200">
        <f>_xlfn.XLOOKUP(C230, '1-1. 관계사체무보증금액 (환율 등)'!$3:$3, '1-1. 관계사체무보증금액 (환율 등)'!$33:$33)</f>
        <v>0</v>
      </c>
      <c r="CT230" s="178">
        <f t="shared" si="255"/>
        <v>0</v>
      </c>
      <c r="CU230" s="179">
        <f t="shared" si="278"/>
        <v>100</v>
      </c>
      <c r="CV230" s="30">
        <f t="shared" si="319"/>
        <v>2</v>
      </c>
      <c r="CW230" s="72">
        <f t="shared" si="295"/>
        <v>18.580607779025815</v>
      </c>
    </row>
    <row r="231" spans="1:101" x14ac:dyDescent="0.6">
      <c r="A231" s="214" t="s">
        <v>843</v>
      </c>
      <c r="B231" s="13" t="s">
        <v>2211</v>
      </c>
      <c r="C231" s="219" t="s">
        <v>537</v>
      </c>
      <c r="D231" s="216" t="s">
        <v>191</v>
      </c>
      <c r="E231" s="217" t="s">
        <v>34</v>
      </c>
      <c r="F231" s="217" t="s">
        <v>282</v>
      </c>
      <c r="G231" s="218">
        <v>41614</v>
      </c>
      <c r="H231" s="217" t="s">
        <v>830</v>
      </c>
      <c r="I231" s="217" t="s">
        <v>819</v>
      </c>
      <c r="J231" s="217" t="s">
        <v>1112</v>
      </c>
      <c r="K231" s="217" t="s">
        <v>91</v>
      </c>
      <c r="L231" s="220">
        <v>1097011146</v>
      </c>
      <c r="M231" s="206">
        <v>479043111</v>
      </c>
      <c r="N231" s="206">
        <v>617968035</v>
      </c>
      <c r="O231" s="206">
        <v>1472343921</v>
      </c>
      <c r="P231" s="206">
        <v>107106911</v>
      </c>
      <c r="Q231" s="206">
        <v>100951688</v>
      </c>
      <c r="R231" s="206">
        <v>82941336</v>
      </c>
      <c r="S231" s="207">
        <v>11988038</v>
      </c>
      <c r="T231" s="207">
        <v>379509</v>
      </c>
      <c r="U231" s="207">
        <f>3011744+1139237</f>
        <v>4150981</v>
      </c>
      <c r="V231" s="207">
        <f>176926+140389+140389+6529</f>
        <v>464233</v>
      </c>
      <c r="W231" s="207">
        <v>0</v>
      </c>
      <c r="X231" s="207">
        <v>0</v>
      </c>
      <c r="Z231" s="207">
        <v>0</v>
      </c>
      <c r="AA231" s="207">
        <v>0</v>
      </c>
      <c r="AB231" s="176">
        <f t="shared" si="279"/>
        <v>4615214</v>
      </c>
      <c r="AC231" s="177">
        <f t="shared" si="256"/>
        <v>38.4984932480194</v>
      </c>
      <c r="AD231" s="177">
        <f t="shared" si="280"/>
        <v>66.85975841655403</v>
      </c>
      <c r="AE231" s="26">
        <f t="shared" si="308"/>
        <v>2.005792752496621</v>
      </c>
      <c r="AF231" s="178">
        <f t="shared" si="257"/>
        <v>39.75709583875787</v>
      </c>
      <c r="AG231" s="178">
        <f t="shared" si="258"/>
        <v>39.75709583875787</v>
      </c>
      <c r="AH231" s="178">
        <f t="shared" si="282"/>
        <v>0</v>
      </c>
      <c r="AI231" s="179">
        <f t="shared" si="283"/>
        <v>100</v>
      </c>
      <c r="AJ231" s="30">
        <f t="shared" si="309"/>
        <v>4</v>
      </c>
      <c r="AK231" s="204">
        <v>7</v>
      </c>
      <c r="AL231" s="204">
        <v>36</v>
      </c>
      <c r="AM231" s="204">
        <v>1</v>
      </c>
      <c r="AN231" s="181">
        <f t="shared" si="243"/>
        <v>43</v>
      </c>
      <c r="AO231" s="182">
        <f t="shared" si="244"/>
        <v>2.3255813953488373</v>
      </c>
      <c r="AP231" s="183">
        <f t="shared" si="259"/>
        <v>100</v>
      </c>
      <c r="AQ231" s="38">
        <f t="shared" si="310"/>
        <v>2</v>
      </c>
      <c r="AR231" s="212">
        <v>2</v>
      </c>
      <c r="AS231" s="292">
        <f t="shared" si="245"/>
        <v>0.25</v>
      </c>
      <c r="AT231" s="185">
        <f t="shared" si="246"/>
        <v>1.75</v>
      </c>
      <c r="AU231" s="185">
        <f t="shared" si="260"/>
        <v>1</v>
      </c>
      <c r="AV231" s="186">
        <f t="shared" si="247"/>
        <v>14.285714285714285</v>
      </c>
      <c r="AW231" s="179">
        <f t="shared" si="261"/>
        <v>60</v>
      </c>
      <c r="AX231" s="239">
        <f t="shared" si="311"/>
        <v>0.6</v>
      </c>
      <c r="AY231" s="54">
        <v>11</v>
      </c>
      <c r="AZ231" s="54">
        <f>22-1</f>
        <v>21</v>
      </c>
      <c r="BA231" s="189">
        <f t="shared" si="248"/>
        <v>22</v>
      </c>
      <c r="BB231" s="178">
        <f t="shared" si="262"/>
        <v>95.454545454545453</v>
      </c>
      <c r="BC231" s="179">
        <f t="shared" si="263"/>
        <v>100</v>
      </c>
      <c r="BD231" s="30">
        <f t="shared" si="312"/>
        <v>1</v>
      </c>
      <c r="BE231" s="190">
        <v>95014191</v>
      </c>
      <c r="BF231" s="190">
        <v>9290594</v>
      </c>
      <c r="BG231" s="301">
        <v>0</v>
      </c>
      <c r="BH231" s="191">
        <f t="shared" si="249"/>
        <v>104304785</v>
      </c>
      <c r="BI231" s="178">
        <f t="shared" si="250"/>
        <v>0</v>
      </c>
      <c r="BJ231" s="294" t="str">
        <f t="shared" si="264"/>
        <v>식약/섬유/종이업</v>
      </c>
      <c r="BK231" s="192">
        <f t="shared" si="265"/>
        <v>2.1999360555264444</v>
      </c>
      <c r="BL231" s="193">
        <f t="shared" si="266"/>
        <v>-2.1999360555264444</v>
      </c>
      <c r="BM231" s="241">
        <f t="shared" si="267"/>
        <v>100</v>
      </c>
      <c r="BN231" s="47">
        <f t="shared" si="268"/>
        <v>2</v>
      </c>
      <c r="BO231" s="54">
        <f>(181370-1205)*1000</f>
        <v>180165000</v>
      </c>
      <c r="BP231" s="194">
        <f t="shared" si="251"/>
        <v>12.236611122599255</v>
      </c>
      <c r="BQ231" s="179">
        <f t="shared" si="269"/>
        <v>100</v>
      </c>
      <c r="BR231" s="30">
        <f t="shared" si="313"/>
        <v>2</v>
      </c>
      <c r="BS231" s="195">
        <v>44621673.056000002</v>
      </c>
      <c r="BT231" s="195">
        <v>142133.34</v>
      </c>
      <c r="BU231" s="196">
        <f t="shared" si="270"/>
        <v>44479539.715999998</v>
      </c>
      <c r="BV231" s="178">
        <f t="shared" si="252"/>
        <v>3.0210020282346788</v>
      </c>
      <c r="BW231" s="192">
        <f t="shared" si="271"/>
        <v>5.0508176117342281</v>
      </c>
      <c r="BX231" s="192">
        <f t="shared" si="272"/>
        <v>4.1201513030176153</v>
      </c>
      <c r="BY231" s="192">
        <f t="shared" si="273"/>
        <v>6.9871618081220941</v>
      </c>
      <c r="BZ231" s="192">
        <f t="shared" si="274"/>
        <v>61.428559207404923</v>
      </c>
      <c r="CA231" s="192">
        <f t="shared" si="253"/>
        <v>40</v>
      </c>
      <c r="CB231" s="55">
        <f t="shared" si="275"/>
        <v>0.8</v>
      </c>
      <c r="CC231" s="197">
        <f t="shared" si="314"/>
        <v>77.519076047355753</v>
      </c>
      <c r="CD231" s="198">
        <f t="shared" si="315"/>
        <v>71.161152243458886</v>
      </c>
      <c r="CE231" s="58">
        <f t="shared" si="316"/>
        <v>1.0674172836518832</v>
      </c>
      <c r="CF231" s="245" t="s">
        <v>2326</v>
      </c>
      <c r="CG231" s="245" t="s">
        <v>2326</v>
      </c>
      <c r="CH231" s="245" t="s">
        <v>2326</v>
      </c>
      <c r="CI231" s="245" t="s">
        <v>2326</v>
      </c>
      <c r="CJ231" s="235"/>
      <c r="CK231" s="173" t="s">
        <v>2517</v>
      </c>
      <c r="CL231" s="173" t="s">
        <v>2487</v>
      </c>
      <c r="CM231" s="199">
        <f t="shared" si="276"/>
        <v>70</v>
      </c>
      <c r="CN231" s="58">
        <f t="shared" si="317"/>
        <v>1.05</v>
      </c>
      <c r="CO231" s="54">
        <v>0</v>
      </c>
      <c r="CP231" s="186">
        <f t="shared" si="254"/>
        <v>0</v>
      </c>
      <c r="CQ231" s="179">
        <f t="shared" si="277"/>
        <v>100</v>
      </c>
      <c r="CR231" s="30">
        <f t="shared" si="318"/>
        <v>3</v>
      </c>
      <c r="CS231" s="200">
        <f>_xlfn.XLOOKUP(C231, '1-1. 관계사체무보증금액 (환율 등)'!$3:$3, '1-1. 관계사체무보증금액 (환율 등)'!$33:$33)</f>
        <v>17055000</v>
      </c>
      <c r="CT231" s="178">
        <f t="shared" si="255"/>
        <v>2.7598514864931487</v>
      </c>
      <c r="CU231" s="179">
        <f t="shared" si="278"/>
        <v>100</v>
      </c>
      <c r="CV231" s="30">
        <f t="shared" si="319"/>
        <v>2</v>
      </c>
      <c r="CW231" s="72">
        <f t="shared" si="295"/>
        <v>21.523210036148505</v>
      </c>
    </row>
    <row r="232" spans="1:101" x14ac:dyDescent="0.6">
      <c r="A232" s="214" t="s">
        <v>799</v>
      </c>
      <c r="B232" s="13" t="s">
        <v>2212</v>
      </c>
      <c r="C232" s="219" t="s">
        <v>546</v>
      </c>
      <c r="D232" s="216" t="s">
        <v>191</v>
      </c>
      <c r="E232" s="217" t="s">
        <v>554</v>
      </c>
      <c r="F232" s="217" t="s">
        <v>218</v>
      </c>
      <c r="G232" s="218">
        <v>43768</v>
      </c>
      <c r="H232" s="217" t="s">
        <v>830</v>
      </c>
      <c r="I232" s="217" t="s">
        <v>842</v>
      </c>
      <c r="J232" s="217" t="s">
        <v>1131</v>
      </c>
      <c r="K232" s="217" t="s">
        <v>690</v>
      </c>
      <c r="L232" s="220">
        <v>740602270</v>
      </c>
      <c r="M232" s="206">
        <v>262924064</v>
      </c>
      <c r="N232" s="206">
        <v>477678206</v>
      </c>
      <c r="O232" s="206">
        <v>269751716</v>
      </c>
      <c r="P232" s="206">
        <v>21819621</v>
      </c>
      <c r="Q232" s="206">
        <v>9990377</v>
      </c>
      <c r="R232" s="206">
        <v>2417491</v>
      </c>
      <c r="S232" s="207">
        <v>18900676</v>
      </c>
      <c r="T232" s="207">
        <v>555393</v>
      </c>
      <c r="U232" s="207">
        <v>6989944</v>
      </c>
      <c r="V232" s="207">
        <v>0</v>
      </c>
      <c r="W232" s="207">
        <f>1258892+2833+1659+1056+9552</f>
        <v>1273992</v>
      </c>
      <c r="X232" s="207">
        <v>0</v>
      </c>
      <c r="Z232" s="207">
        <v>0</v>
      </c>
      <c r="AA232" s="207">
        <v>0</v>
      </c>
      <c r="AB232" s="176">
        <f t="shared" si="279"/>
        <v>8263936</v>
      </c>
      <c r="AC232" s="177">
        <f t="shared" si="256"/>
        <v>43.722965252671386</v>
      </c>
      <c r="AD232" s="177">
        <f t="shared" si="280"/>
        <v>62.350720437855543</v>
      </c>
      <c r="AE232" s="26">
        <f t="shared" si="308"/>
        <v>1.8705216131356661</v>
      </c>
      <c r="AF232" s="178">
        <f t="shared" si="257"/>
        <v>38.102132302892251</v>
      </c>
      <c r="AG232" s="178">
        <f t="shared" si="258"/>
        <v>45.046653136939888</v>
      </c>
      <c r="AH232" s="178">
        <f t="shared" si="282"/>
        <v>6.944520834047637</v>
      </c>
      <c r="AI232" s="179">
        <f t="shared" si="283"/>
        <v>100</v>
      </c>
      <c r="AJ232" s="30">
        <f t="shared" si="309"/>
        <v>4</v>
      </c>
      <c r="AK232" s="204">
        <v>10</v>
      </c>
      <c r="AL232" s="204">
        <v>7</v>
      </c>
      <c r="AM232" s="204">
        <v>1</v>
      </c>
      <c r="AN232" s="181">
        <f t="shared" si="243"/>
        <v>17</v>
      </c>
      <c r="AO232" s="182">
        <f t="shared" si="244"/>
        <v>5.8823529411764701</v>
      </c>
      <c r="AP232" s="183">
        <f t="shared" si="259"/>
        <v>100</v>
      </c>
      <c r="AQ232" s="38">
        <f t="shared" si="310"/>
        <v>2</v>
      </c>
      <c r="AR232" s="212">
        <v>3</v>
      </c>
      <c r="AS232" s="292">
        <f t="shared" si="245"/>
        <v>0.25</v>
      </c>
      <c r="AT232" s="185">
        <f t="shared" si="246"/>
        <v>2.5</v>
      </c>
      <c r="AU232" s="185">
        <f t="shared" si="260"/>
        <v>2</v>
      </c>
      <c r="AV232" s="186">
        <f t="shared" si="247"/>
        <v>10</v>
      </c>
      <c r="AW232" s="179">
        <f t="shared" si="261"/>
        <v>60</v>
      </c>
      <c r="AX232" s="239">
        <f t="shared" si="311"/>
        <v>0.6</v>
      </c>
      <c r="AY232" s="54">
        <v>15</v>
      </c>
      <c r="AZ232" s="54">
        <f>15*3</f>
        <v>45</v>
      </c>
      <c r="BA232" s="189">
        <f t="shared" si="248"/>
        <v>45</v>
      </c>
      <c r="BB232" s="178">
        <f t="shared" si="262"/>
        <v>100</v>
      </c>
      <c r="BC232" s="179">
        <f t="shared" si="263"/>
        <v>100</v>
      </c>
      <c r="BD232" s="30">
        <f t="shared" si="312"/>
        <v>1</v>
      </c>
      <c r="BE232" s="190">
        <v>11206277</v>
      </c>
      <c r="BF232" s="190">
        <v>2842439</v>
      </c>
      <c r="BG232" s="301">
        <v>0</v>
      </c>
      <c r="BH232" s="191">
        <f t="shared" si="249"/>
        <v>14048716</v>
      </c>
      <c r="BI232" s="178">
        <f t="shared" si="250"/>
        <v>0</v>
      </c>
      <c r="BJ232" s="294" t="str">
        <f t="shared" si="264"/>
        <v>식약/섬유/종이업</v>
      </c>
      <c r="BK232" s="192">
        <f t="shared" si="265"/>
        <v>2.1999360555264444</v>
      </c>
      <c r="BL232" s="193">
        <f t="shared" si="266"/>
        <v>-2.1999360555264444</v>
      </c>
      <c r="BM232" s="241">
        <f t="shared" si="267"/>
        <v>100</v>
      </c>
      <c r="BN232" s="47">
        <f t="shared" si="268"/>
        <v>2</v>
      </c>
      <c r="BO232" s="54">
        <v>6108000</v>
      </c>
      <c r="BP232" s="194">
        <f t="shared" si="251"/>
        <v>2.2643044094666669</v>
      </c>
      <c r="BQ232" s="179">
        <f t="shared" si="269"/>
        <v>85</v>
      </c>
      <c r="BR232" s="30">
        <f t="shared" si="313"/>
        <v>1.7</v>
      </c>
      <c r="BS232" s="195">
        <v>668454.09</v>
      </c>
      <c r="BT232" s="195">
        <v>0</v>
      </c>
      <c r="BU232" s="196">
        <f t="shared" si="270"/>
        <v>668454.09</v>
      </c>
      <c r="BV232" s="178">
        <f t="shared" si="252"/>
        <v>0.24780346160986053</v>
      </c>
      <c r="BW232" s="192">
        <f t="shared" si="271"/>
        <v>5.0508176117342281</v>
      </c>
      <c r="BX232" s="192">
        <f t="shared" si="272"/>
        <v>23.068944926294897</v>
      </c>
      <c r="BY232" s="192">
        <f t="shared" si="273"/>
        <v>6.9871618081220941</v>
      </c>
      <c r="BZ232" s="192">
        <f t="shared" si="274"/>
        <v>75.408641493294581</v>
      </c>
      <c r="CA232" s="192">
        <f t="shared" si="253"/>
        <v>40</v>
      </c>
      <c r="CB232" s="55">
        <f t="shared" si="275"/>
        <v>0.8</v>
      </c>
      <c r="CC232" s="197">
        <f t="shared" si="314"/>
        <v>55.042089150703269</v>
      </c>
      <c r="CD232" s="198">
        <f t="shared" si="315"/>
        <v>79.632378460790221</v>
      </c>
      <c r="CE232" s="58">
        <f t="shared" si="316"/>
        <v>1.1944856769118533</v>
      </c>
      <c r="CF232" s="245" t="s">
        <v>2326</v>
      </c>
      <c r="CG232" s="245" t="s">
        <v>2326</v>
      </c>
      <c r="CH232" s="245" t="s">
        <v>2326</v>
      </c>
      <c r="CI232" s="245" t="s">
        <v>2326</v>
      </c>
      <c r="CJ232" s="235"/>
      <c r="CK232" s="173" t="s">
        <v>2479</v>
      </c>
      <c r="CL232" s="173" t="s">
        <v>2478</v>
      </c>
      <c r="CM232" s="199">
        <f t="shared" si="276"/>
        <v>25</v>
      </c>
      <c r="CN232" s="58">
        <f t="shared" si="317"/>
        <v>0.375</v>
      </c>
      <c r="CO232" s="54">
        <v>324258000</v>
      </c>
      <c r="CP232" s="186">
        <f t="shared" si="254"/>
        <v>67.882100528572153</v>
      </c>
      <c r="CQ232" s="179">
        <f t="shared" si="277"/>
        <v>40</v>
      </c>
      <c r="CR232" s="30">
        <f t="shared" si="318"/>
        <v>1.2</v>
      </c>
      <c r="CS232" s="200">
        <f>_xlfn.XLOOKUP(C232, '1-1. 관계사체무보증금액 (환율 등)'!$3:$3, '1-1. 관계사체무보증금액 (환율 등)'!$33:$33)</f>
        <v>0</v>
      </c>
      <c r="CT232" s="178">
        <f t="shared" si="255"/>
        <v>0</v>
      </c>
      <c r="CU232" s="179">
        <f t="shared" si="278"/>
        <v>100</v>
      </c>
      <c r="CV232" s="30">
        <f t="shared" si="319"/>
        <v>2</v>
      </c>
      <c r="CW232" s="72">
        <f t="shared" si="295"/>
        <v>18.740007290047519</v>
      </c>
    </row>
    <row r="233" spans="1:101" x14ac:dyDescent="0.6">
      <c r="A233" s="214" t="s">
        <v>1822</v>
      </c>
      <c r="B233" s="13" t="s">
        <v>2213</v>
      </c>
      <c r="C233" s="219" t="s">
        <v>1823</v>
      </c>
      <c r="D233" s="14" t="s">
        <v>203</v>
      </c>
      <c r="E233" s="217" t="s">
        <v>246</v>
      </c>
      <c r="F233" s="217" t="s">
        <v>1824</v>
      </c>
      <c r="G233" s="218">
        <v>26841</v>
      </c>
      <c r="H233" s="217" t="s">
        <v>830</v>
      </c>
      <c r="I233" s="217" t="s">
        <v>1825</v>
      </c>
      <c r="J233" s="217" t="s">
        <v>1826</v>
      </c>
      <c r="K233" s="217" t="s">
        <v>50</v>
      </c>
      <c r="L233" s="220">
        <v>59360094</v>
      </c>
      <c r="M233" s="206">
        <v>18306208</v>
      </c>
      <c r="N233" s="206">
        <v>41053886</v>
      </c>
      <c r="O233" s="206">
        <v>58845136</v>
      </c>
      <c r="P233" s="206">
        <v>3368252</v>
      </c>
      <c r="Q233" s="206">
        <v>5181465</v>
      </c>
      <c r="R233" s="206">
        <v>4397506</v>
      </c>
      <c r="S233" s="207">
        <v>13000000</v>
      </c>
      <c r="T233" s="207">
        <v>0</v>
      </c>
      <c r="U233" s="207">
        <v>5873790</v>
      </c>
      <c r="V233" s="207">
        <v>0</v>
      </c>
      <c r="W233" s="207">
        <v>0</v>
      </c>
      <c r="X233" s="207">
        <v>0</v>
      </c>
      <c r="Z233" s="207">
        <v>0</v>
      </c>
      <c r="AA233" s="207">
        <v>0</v>
      </c>
      <c r="AB233" s="176">
        <f t="shared" si="279"/>
        <v>5873790</v>
      </c>
      <c r="AC233" s="177">
        <f t="shared" si="256"/>
        <v>45.183</v>
      </c>
      <c r="AD233" s="177">
        <f t="shared" si="280"/>
        <v>61.09062140391255</v>
      </c>
      <c r="AE233" s="26">
        <f t="shared" si="308"/>
        <v>1.8327186421173765</v>
      </c>
      <c r="AF233" s="178">
        <f t="shared" si="257"/>
        <v>45.183</v>
      </c>
      <c r="AG233" s="178">
        <f t="shared" si="258"/>
        <v>45.183</v>
      </c>
      <c r="AH233" s="178">
        <f t="shared" si="282"/>
        <v>0</v>
      </c>
      <c r="AI233" s="179">
        <f t="shared" si="283"/>
        <v>100</v>
      </c>
      <c r="AJ233" s="30">
        <f t="shared" si="309"/>
        <v>4</v>
      </c>
      <c r="AK233" s="204">
        <v>5</v>
      </c>
      <c r="AL233" s="204">
        <v>2</v>
      </c>
      <c r="AM233" s="204">
        <v>0</v>
      </c>
      <c r="AN233" s="181">
        <f t="shared" si="243"/>
        <v>7</v>
      </c>
      <c r="AO233" s="182">
        <f t="shared" si="244"/>
        <v>0</v>
      </c>
      <c r="AP233" s="183">
        <f t="shared" si="259"/>
        <v>100</v>
      </c>
      <c r="AQ233" s="38">
        <f t="shared" si="310"/>
        <v>2</v>
      </c>
      <c r="AR233" s="212">
        <v>1</v>
      </c>
      <c r="AS233" s="292">
        <f t="shared" si="245"/>
        <v>0.25</v>
      </c>
      <c r="AT233" s="185">
        <f t="shared" si="246"/>
        <v>1.25</v>
      </c>
      <c r="AU233" s="185">
        <f t="shared" si="260"/>
        <v>1</v>
      </c>
      <c r="AV233" s="186">
        <f t="shared" si="247"/>
        <v>0</v>
      </c>
      <c r="AW233" s="179">
        <f t="shared" si="261"/>
        <v>40</v>
      </c>
      <c r="AX233" s="239">
        <f t="shared" si="311"/>
        <v>0.4</v>
      </c>
      <c r="AY233" s="54">
        <v>6</v>
      </c>
      <c r="AZ233" s="54">
        <v>6</v>
      </c>
      <c r="BA233" s="189">
        <f t="shared" si="248"/>
        <v>6</v>
      </c>
      <c r="BB233" s="178">
        <f t="shared" si="262"/>
        <v>100</v>
      </c>
      <c r="BC233" s="179">
        <f t="shared" si="263"/>
        <v>100</v>
      </c>
      <c r="BD233" s="30">
        <f t="shared" si="312"/>
        <v>1</v>
      </c>
      <c r="BE233" s="190">
        <v>1562399.0959999999</v>
      </c>
      <c r="BF233" s="190">
        <v>216666.785</v>
      </c>
      <c r="BG233" s="54">
        <v>175688.334</v>
      </c>
      <c r="BH233" s="191">
        <f t="shared" si="249"/>
        <v>1779065.8809999998</v>
      </c>
      <c r="BI233" s="178">
        <f t="shared" si="250"/>
        <v>9.875313549448034</v>
      </c>
      <c r="BJ233" s="294" t="str">
        <f t="shared" si="264"/>
        <v>금속/비금속/화학업</v>
      </c>
      <c r="BK233" s="192">
        <f t="shared" si="265"/>
        <v>3.9534118626990464</v>
      </c>
      <c r="BL233" s="193">
        <f t="shared" si="266"/>
        <v>5.9219016867489875</v>
      </c>
      <c r="BM233" s="241">
        <f t="shared" si="267"/>
        <v>40</v>
      </c>
      <c r="BN233" s="47">
        <f t="shared" si="268"/>
        <v>0.8</v>
      </c>
      <c r="BO233" s="54">
        <v>337000</v>
      </c>
      <c r="BP233" s="194">
        <f t="shared" si="251"/>
        <v>0.57268964422140178</v>
      </c>
      <c r="BQ233" s="179">
        <f t="shared" si="269"/>
        <v>70</v>
      </c>
      <c r="BR233" s="30">
        <f t="shared" si="313"/>
        <v>1.4000000000000001</v>
      </c>
      <c r="BS233" s="195">
        <v>201527.48499999999</v>
      </c>
      <c r="BT233" s="195">
        <v>0</v>
      </c>
      <c r="BU233" s="196">
        <f t="shared" si="270"/>
        <v>201527.48499999999</v>
      </c>
      <c r="BV233" s="178">
        <f t="shared" si="252"/>
        <v>0.34247093081745955</v>
      </c>
      <c r="BW233" s="192">
        <f t="shared" si="271"/>
        <v>5.1474158565187729</v>
      </c>
      <c r="BX233" s="192">
        <f t="shared" si="272"/>
        <v>23.087495739022803</v>
      </c>
      <c r="BY233" s="192">
        <f t="shared" si="273"/>
        <v>6.6930498535228526</v>
      </c>
      <c r="BZ233" s="192">
        <f t="shared" si="274"/>
        <v>76.359073039680794</v>
      </c>
      <c r="CA233" s="192">
        <f t="shared" si="253"/>
        <v>40</v>
      </c>
      <c r="CB233" s="55">
        <f t="shared" si="275"/>
        <v>0.8</v>
      </c>
      <c r="CC233" s="197">
        <f t="shared" si="314"/>
        <v>44.59068259701408</v>
      </c>
      <c r="CD233" s="198">
        <f t="shared" si="315"/>
        <v>83.571350780019827</v>
      </c>
      <c r="CE233" s="58">
        <f t="shared" si="316"/>
        <v>1.2535702617002973</v>
      </c>
      <c r="CF233" s="245" t="s">
        <v>2326</v>
      </c>
      <c r="CG233" s="245" t="s">
        <v>2326</v>
      </c>
      <c r="CH233" s="245" t="s">
        <v>2326</v>
      </c>
      <c r="CI233" s="245" t="s">
        <v>2326</v>
      </c>
      <c r="CJ233" s="235"/>
      <c r="CK233" s="173" t="s">
        <v>2491</v>
      </c>
      <c r="CL233" s="173" t="s">
        <v>2478</v>
      </c>
      <c r="CM233" s="199">
        <f t="shared" si="276"/>
        <v>25</v>
      </c>
      <c r="CN233" s="58">
        <f t="shared" si="317"/>
        <v>0.375</v>
      </c>
      <c r="CO233" s="54">
        <v>0</v>
      </c>
      <c r="CP233" s="186">
        <f t="shared" si="254"/>
        <v>0</v>
      </c>
      <c r="CQ233" s="179">
        <f t="shared" si="277"/>
        <v>100</v>
      </c>
      <c r="CR233" s="30">
        <f t="shared" si="318"/>
        <v>3</v>
      </c>
      <c r="CS233" s="200">
        <f>_xlfn.XLOOKUP(C233, '1-1. 관계사체무보증금액 (환율 등)'!$3:$3, '1-1. 관계사체무보증금액 (환율 등)'!$33:$33)</f>
        <v>0</v>
      </c>
      <c r="CT233" s="178">
        <f t="shared" si="255"/>
        <v>0</v>
      </c>
      <c r="CU233" s="179">
        <f t="shared" si="278"/>
        <v>100</v>
      </c>
      <c r="CV233" s="30">
        <f t="shared" si="319"/>
        <v>2</v>
      </c>
      <c r="CW233" s="72">
        <f t="shared" si="295"/>
        <v>18.861288903817673</v>
      </c>
    </row>
    <row r="234" spans="1:101" x14ac:dyDescent="0.6">
      <c r="A234" s="214" t="s">
        <v>29</v>
      </c>
      <c r="B234" s="13" t="s">
        <v>2214</v>
      </c>
      <c r="C234" s="219" t="s">
        <v>8</v>
      </c>
      <c r="D234" s="216" t="s">
        <v>203</v>
      </c>
      <c r="E234" s="217" t="s">
        <v>246</v>
      </c>
      <c r="F234" s="217" t="s">
        <v>1105</v>
      </c>
      <c r="G234" s="218">
        <v>32781</v>
      </c>
      <c r="H234" s="217" t="s">
        <v>830</v>
      </c>
      <c r="I234" s="217" t="s">
        <v>1825</v>
      </c>
      <c r="J234" s="217" t="s">
        <v>1234</v>
      </c>
      <c r="K234" s="217" t="s">
        <v>690</v>
      </c>
      <c r="L234" s="220">
        <v>45482659</v>
      </c>
      <c r="M234" s="206">
        <v>14914195</v>
      </c>
      <c r="N234" s="206">
        <v>30568464</v>
      </c>
      <c r="O234" s="206">
        <v>50246842</v>
      </c>
      <c r="P234" s="206">
        <v>3199040</v>
      </c>
      <c r="Q234" s="206">
        <v>3233292</v>
      </c>
      <c r="R234" s="206">
        <v>3418425</v>
      </c>
      <c r="S234" s="207">
        <v>10000000</v>
      </c>
      <c r="T234" s="207">
        <v>0</v>
      </c>
      <c r="U234" s="207">
        <v>5049883</v>
      </c>
      <c r="V234" s="207">
        <v>0</v>
      </c>
      <c r="W234" s="207">
        <v>0</v>
      </c>
      <c r="X234" s="207">
        <v>0</v>
      </c>
      <c r="Z234" s="207">
        <v>0</v>
      </c>
      <c r="AA234" s="207">
        <v>0</v>
      </c>
      <c r="AB234" s="176">
        <f t="shared" si="279"/>
        <v>5049883</v>
      </c>
      <c r="AC234" s="177">
        <f t="shared" si="256"/>
        <v>50.498829999999998</v>
      </c>
      <c r="AD234" s="177">
        <f t="shared" si="280"/>
        <v>56.502735903337175</v>
      </c>
      <c r="AE234" s="26">
        <f t="shared" si="308"/>
        <v>1.6950820771001152</v>
      </c>
      <c r="AF234" s="178">
        <f t="shared" si="257"/>
        <v>50.498829999999998</v>
      </c>
      <c r="AG234" s="178">
        <f t="shared" si="258"/>
        <v>50.498829999999998</v>
      </c>
      <c r="AH234" s="178">
        <f t="shared" si="282"/>
        <v>0</v>
      </c>
      <c r="AI234" s="179">
        <f t="shared" si="283"/>
        <v>100</v>
      </c>
      <c r="AJ234" s="30">
        <f t="shared" si="309"/>
        <v>4</v>
      </c>
      <c r="AK234" s="204">
        <v>5</v>
      </c>
      <c r="AL234" s="204">
        <v>3</v>
      </c>
      <c r="AM234" s="204">
        <v>2</v>
      </c>
      <c r="AN234" s="181">
        <f t="shared" si="243"/>
        <v>8</v>
      </c>
      <c r="AO234" s="182">
        <f t="shared" si="244"/>
        <v>25</v>
      </c>
      <c r="AP234" s="183">
        <f t="shared" si="259"/>
        <v>60</v>
      </c>
      <c r="AQ234" s="38">
        <f t="shared" si="310"/>
        <v>1.2</v>
      </c>
      <c r="AR234" s="212">
        <v>1</v>
      </c>
      <c r="AS234" s="292">
        <f t="shared" si="245"/>
        <v>0.25</v>
      </c>
      <c r="AT234" s="185">
        <f t="shared" si="246"/>
        <v>1.25</v>
      </c>
      <c r="AU234" s="185">
        <f t="shared" si="260"/>
        <v>1</v>
      </c>
      <c r="AV234" s="186">
        <f t="shared" si="247"/>
        <v>0</v>
      </c>
      <c r="AW234" s="179">
        <f t="shared" si="261"/>
        <v>40</v>
      </c>
      <c r="AX234" s="239">
        <f t="shared" si="311"/>
        <v>0.4</v>
      </c>
      <c r="AY234" s="54">
        <v>10</v>
      </c>
      <c r="AZ234" s="54">
        <v>10</v>
      </c>
      <c r="BA234" s="189">
        <f t="shared" si="248"/>
        <v>10</v>
      </c>
      <c r="BB234" s="178">
        <f t="shared" si="262"/>
        <v>100</v>
      </c>
      <c r="BC234" s="179">
        <f t="shared" si="263"/>
        <v>100</v>
      </c>
      <c r="BD234" s="30">
        <f t="shared" si="312"/>
        <v>1</v>
      </c>
      <c r="BE234" s="190">
        <v>1486713.4240000001</v>
      </c>
      <c r="BF234" s="190">
        <v>223017.978</v>
      </c>
      <c r="BG234" s="54">
        <v>219984.97099999999</v>
      </c>
      <c r="BH234" s="191">
        <f t="shared" si="249"/>
        <v>1709731.4020000002</v>
      </c>
      <c r="BI234" s="178">
        <f t="shared" si="250"/>
        <v>12.866639212607733</v>
      </c>
      <c r="BJ234" s="294" t="str">
        <f t="shared" si="264"/>
        <v>금속/비금속/화학업</v>
      </c>
      <c r="BK234" s="192">
        <f t="shared" si="265"/>
        <v>3.9534118626990464</v>
      </c>
      <c r="BL234" s="193">
        <f t="shared" si="266"/>
        <v>8.9132273499086878</v>
      </c>
      <c r="BM234" s="241">
        <f t="shared" si="267"/>
        <v>40</v>
      </c>
      <c r="BN234" s="47">
        <f t="shared" si="268"/>
        <v>0.8</v>
      </c>
      <c r="BO234" s="54">
        <v>407993.98</v>
      </c>
      <c r="BP234" s="194">
        <f t="shared" si="251"/>
        <v>0.81197934787623061</v>
      </c>
      <c r="BQ234" s="179">
        <f t="shared" si="269"/>
        <v>70</v>
      </c>
      <c r="BR234" s="30">
        <f t="shared" si="313"/>
        <v>1.4000000000000001</v>
      </c>
      <c r="BS234" s="195">
        <v>1249696.504</v>
      </c>
      <c r="BT234" s="195">
        <v>32500</v>
      </c>
      <c r="BU234" s="196">
        <f t="shared" si="270"/>
        <v>1217196.504</v>
      </c>
      <c r="BV234" s="178">
        <f t="shared" si="252"/>
        <v>2.4224338397227032</v>
      </c>
      <c r="BW234" s="192">
        <f t="shared" si="271"/>
        <v>5.1474158565187729</v>
      </c>
      <c r="BX234" s="192">
        <f t="shared" si="272"/>
        <v>7.4255269918619753</v>
      </c>
      <c r="BY234" s="192">
        <f t="shared" si="273"/>
        <v>6.6930498535228526</v>
      </c>
      <c r="BZ234" s="192">
        <f t="shared" si="274"/>
        <v>65.804597387054883</v>
      </c>
      <c r="CA234" s="192">
        <f t="shared" si="253"/>
        <v>40</v>
      </c>
      <c r="CB234" s="55">
        <f t="shared" si="275"/>
        <v>0.8</v>
      </c>
      <c r="CC234" s="197">
        <f t="shared" si="314"/>
        <v>48.789481211748161</v>
      </c>
      <c r="CD234" s="198">
        <f t="shared" si="315"/>
        <v>81.988888990547181</v>
      </c>
      <c r="CE234" s="58">
        <f t="shared" si="316"/>
        <v>1.2298333348582078</v>
      </c>
      <c r="CF234" s="245" t="s">
        <v>2326</v>
      </c>
      <c r="CG234" s="245" t="s">
        <v>2326</v>
      </c>
      <c r="CH234" s="245" t="s">
        <v>2326</v>
      </c>
      <c r="CI234" s="245" t="s">
        <v>2326</v>
      </c>
      <c r="CJ234" s="235"/>
      <c r="CK234" s="173" t="s">
        <v>2479</v>
      </c>
      <c r="CL234" s="173" t="s">
        <v>2478</v>
      </c>
      <c r="CM234" s="199">
        <f t="shared" si="276"/>
        <v>25</v>
      </c>
      <c r="CN234" s="58">
        <f t="shared" si="317"/>
        <v>0.375</v>
      </c>
      <c r="CO234" s="54">
        <v>0</v>
      </c>
      <c r="CP234" s="186">
        <f t="shared" si="254"/>
        <v>0</v>
      </c>
      <c r="CQ234" s="179">
        <f t="shared" si="277"/>
        <v>100</v>
      </c>
      <c r="CR234" s="30">
        <f t="shared" si="318"/>
        <v>3</v>
      </c>
      <c r="CS234" s="200">
        <f>_xlfn.XLOOKUP(C234, '1-1. 관계사체무보증금액 (환율 등)'!$3:$3, '1-1. 관계사체무보증금액 (환율 등)'!$33:$33)</f>
        <v>0</v>
      </c>
      <c r="CT234" s="178">
        <f t="shared" si="255"/>
        <v>0</v>
      </c>
      <c r="CU234" s="179">
        <f t="shared" si="278"/>
        <v>100</v>
      </c>
      <c r="CV234" s="30">
        <f t="shared" si="319"/>
        <v>2</v>
      </c>
      <c r="CW234" s="72">
        <f t="shared" si="295"/>
        <v>17.899915411958325</v>
      </c>
    </row>
    <row r="235" spans="1:101" x14ac:dyDescent="0.6">
      <c r="A235" s="214" t="s">
        <v>335</v>
      </c>
      <c r="B235" s="13" t="s">
        <v>2215</v>
      </c>
      <c r="C235" s="219" t="s">
        <v>107</v>
      </c>
      <c r="D235" s="216" t="s">
        <v>285</v>
      </c>
      <c r="E235" s="217" t="s">
        <v>867</v>
      </c>
      <c r="F235" s="217" t="s">
        <v>1098</v>
      </c>
      <c r="G235" s="218">
        <v>28301</v>
      </c>
      <c r="H235" s="217" t="s">
        <v>830</v>
      </c>
      <c r="I235" s="217" t="s">
        <v>766</v>
      </c>
      <c r="J235" s="217" t="s">
        <v>1195</v>
      </c>
      <c r="K235" s="217" t="s">
        <v>346</v>
      </c>
      <c r="L235" s="220">
        <v>451746879</v>
      </c>
      <c r="M235" s="206">
        <v>227013990</v>
      </c>
      <c r="N235" s="206">
        <v>224732889</v>
      </c>
      <c r="O235" s="206">
        <v>628936049</v>
      </c>
      <c r="P235" s="206">
        <v>50682533</v>
      </c>
      <c r="Q235" s="206">
        <v>53220599</v>
      </c>
      <c r="R235" s="206">
        <v>49560577</v>
      </c>
      <c r="S235" s="207">
        <v>145471745</v>
      </c>
      <c r="T235" s="207">
        <v>58131</v>
      </c>
      <c r="U235" s="207">
        <v>70661330</v>
      </c>
      <c r="V235" s="207">
        <v>0</v>
      </c>
      <c r="W235" s="207">
        <v>0</v>
      </c>
      <c r="X235" s="207">
        <v>0</v>
      </c>
      <c r="Z235" s="207">
        <v>0</v>
      </c>
      <c r="AA235" s="207">
        <v>0</v>
      </c>
      <c r="AB235" s="176">
        <f t="shared" si="279"/>
        <v>70661330</v>
      </c>
      <c r="AC235" s="177">
        <f t="shared" si="256"/>
        <v>48.573920660675377</v>
      </c>
      <c r="AD235" s="177">
        <f t="shared" si="280"/>
        <v>58.164050062708249</v>
      </c>
      <c r="AE235" s="26">
        <f t="shared" si="308"/>
        <v>1.7449215018812474</v>
      </c>
      <c r="AF235" s="178">
        <f t="shared" si="257"/>
        <v>48.593338722741599</v>
      </c>
      <c r="AG235" s="178">
        <f t="shared" si="258"/>
        <v>48.593338722741599</v>
      </c>
      <c r="AH235" s="178">
        <f t="shared" si="282"/>
        <v>0</v>
      </c>
      <c r="AI235" s="179">
        <f t="shared" si="283"/>
        <v>100</v>
      </c>
      <c r="AJ235" s="30">
        <f t="shared" si="309"/>
        <v>4</v>
      </c>
      <c r="AK235" s="204">
        <v>5</v>
      </c>
      <c r="AL235" s="204">
        <v>6</v>
      </c>
      <c r="AM235" s="204">
        <v>0</v>
      </c>
      <c r="AN235" s="181">
        <f t="shared" si="243"/>
        <v>11</v>
      </c>
      <c r="AO235" s="182">
        <f t="shared" si="244"/>
        <v>0</v>
      </c>
      <c r="AP235" s="183">
        <f t="shared" si="259"/>
        <v>100</v>
      </c>
      <c r="AQ235" s="38">
        <f t="shared" si="310"/>
        <v>2</v>
      </c>
      <c r="AR235" s="212">
        <v>1</v>
      </c>
      <c r="AS235" s="292">
        <f t="shared" si="245"/>
        <v>0.25</v>
      </c>
      <c r="AT235" s="185">
        <f t="shared" si="246"/>
        <v>1.25</v>
      </c>
      <c r="AU235" s="185">
        <f t="shared" si="260"/>
        <v>1</v>
      </c>
      <c r="AV235" s="186">
        <f t="shared" si="247"/>
        <v>0</v>
      </c>
      <c r="AW235" s="179">
        <f t="shared" si="261"/>
        <v>40</v>
      </c>
      <c r="AX235" s="239">
        <f t="shared" si="311"/>
        <v>0.4</v>
      </c>
      <c r="AY235" s="54">
        <v>5</v>
      </c>
      <c r="AZ235" s="54">
        <v>5</v>
      </c>
      <c r="BA235" s="189">
        <f t="shared" si="248"/>
        <v>5</v>
      </c>
      <c r="BB235" s="178">
        <f t="shared" si="262"/>
        <v>100</v>
      </c>
      <c r="BC235" s="179">
        <f t="shared" si="263"/>
        <v>100</v>
      </c>
      <c r="BD235" s="30">
        <f t="shared" si="312"/>
        <v>1</v>
      </c>
      <c r="BE235" s="190">
        <v>9536799</v>
      </c>
      <c r="BF235" s="190">
        <v>985890</v>
      </c>
      <c r="BG235" s="54">
        <v>563191</v>
      </c>
      <c r="BH235" s="191">
        <f t="shared" si="249"/>
        <v>10522689</v>
      </c>
      <c r="BI235" s="178">
        <f t="shared" si="250"/>
        <v>5.3521585594708734</v>
      </c>
      <c r="BJ235" s="294" t="str">
        <f t="shared" si="264"/>
        <v>비제조/서비스업</v>
      </c>
      <c r="BK235" s="192">
        <f t="shared" si="265"/>
        <v>1.7464434573900924</v>
      </c>
      <c r="BL235" s="193">
        <f t="shared" si="266"/>
        <v>3.6057151020807812</v>
      </c>
      <c r="BM235" s="241">
        <f t="shared" si="267"/>
        <v>40</v>
      </c>
      <c r="BN235" s="47">
        <f t="shared" si="268"/>
        <v>0.8</v>
      </c>
      <c r="BO235" s="54">
        <v>0</v>
      </c>
      <c r="BP235" s="194">
        <f t="shared" si="251"/>
        <v>0</v>
      </c>
      <c r="BQ235" s="179">
        <f t="shared" si="269"/>
        <v>25</v>
      </c>
      <c r="BR235" s="30">
        <f t="shared" si="313"/>
        <v>0.5</v>
      </c>
      <c r="BS235" s="195">
        <v>416505.27299999999</v>
      </c>
      <c r="BT235" s="195">
        <v>0</v>
      </c>
      <c r="BU235" s="196">
        <f t="shared" si="270"/>
        <v>416505.27299999999</v>
      </c>
      <c r="BV235" s="178">
        <f t="shared" si="252"/>
        <v>6.6223787563495187E-2</v>
      </c>
      <c r="BW235" s="192">
        <f t="shared" si="271"/>
        <v>2.8482825397737606</v>
      </c>
      <c r="BX235" s="192">
        <f t="shared" si="272"/>
        <v>7.7398509007497385</v>
      </c>
      <c r="BY235" s="192">
        <f t="shared" si="273"/>
        <v>5.5697595856656799</v>
      </c>
      <c r="BZ235" s="192">
        <f t="shared" si="274"/>
        <v>69.128412030573116</v>
      </c>
      <c r="CA235" s="192">
        <f t="shared" si="253"/>
        <v>40</v>
      </c>
      <c r="CB235" s="55">
        <f t="shared" si="275"/>
        <v>0.8</v>
      </c>
      <c r="CC235" s="197">
        <f t="shared" si="314"/>
        <v>101.01502766691172</v>
      </c>
      <c r="CD235" s="198">
        <f t="shared" si="315"/>
        <v>62.305894095385028</v>
      </c>
      <c r="CE235" s="58">
        <f t="shared" si="316"/>
        <v>0.93458841143077542</v>
      </c>
      <c r="CF235" s="245" t="s">
        <v>2326</v>
      </c>
      <c r="CG235" s="245" t="s">
        <v>2326</v>
      </c>
      <c r="CH235" s="245" t="s">
        <v>2326</v>
      </c>
      <c r="CI235" s="245" t="s">
        <v>2326</v>
      </c>
      <c r="CJ235" s="235"/>
      <c r="CK235" s="173" t="s">
        <v>2515</v>
      </c>
      <c r="CL235" s="173" t="s">
        <v>2493</v>
      </c>
      <c r="CM235" s="199">
        <f t="shared" si="276"/>
        <v>40</v>
      </c>
      <c r="CN235" s="58">
        <f t="shared" si="317"/>
        <v>0.6</v>
      </c>
      <c r="CO235" s="54">
        <v>0</v>
      </c>
      <c r="CP235" s="186">
        <f t="shared" si="254"/>
        <v>0</v>
      </c>
      <c r="CQ235" s="179">
        <f t="shared" si="277"/>
        <v>100</v>
      </c>
      <c r="CR235" s="30">
        <f t="shared" si="318"/>
        <v>3</v>
      </c>
      <c r="CS235" s="200">
        <f>_xlfn.XLOOKUP(C235, '1-1. 관계사체무보증금액 (환율 등)'!$3:$3, '1-1. 관계사체무보증금액 (환율 등)'!$33:$33)</f>
        <v>0</v>
      </c>
      <c r="CT235" s="178">
        <f t="shared" si="255"/>
        <v>0</v>
      </c>
      <c r="CU235" s="179">
        <f t="shared" si="278"/>
        <v>100</v>
      </c>
      <c r="CV235" s="30">
        <f t="shared" si="319"/>
        <v>2</v>
      </c>
      <c r="CW235" s="72">
        <f t="shared" si="295"/>
        <v>17.779509913312026</v>
      </c>
    </row>
    <row r="236" spans="1:101" x14ac:dyDescent="0.6">
      <c r="A236" s="214" t="s">
        <v>1827</v>
      </c>
      <c r="B236" s="13" t="s">
        <v>2216</v>
      </c>
      <c r="C236" s="219" t="s">
        <v>1828</v>
      </c>
      <c r="D236" s="79" t="s">
        <v>88</v>
      </c>
      <c r="E236" s="217" t="s">
        <v>1585</v>
      </c>
      <c r="F236" s="217" t="s">
        <v>1829</v>
      </c>
      <c r="G236" s="218">
        <v>44414</v>
      </c>
      <c r="H236" s="217" t="s">
        <v>830</v>
      </c>
      <c r="I236" s="217" t="s">
        <v>1830</v>
      </c>
      <c r="J236" s="1" t="s">
        <v>2308</v>
      </c>
      <c r="K236" s="217" t="s">
        <v>690</v>
      </c>
      <c r="L236" s="220">
        <v>39516079000</v>
      </c>
      <c r="M236" s="206">
        <v>33800969000</v>
      </c>
      <c r="N236" s="206">
        <v>5715110000</v>
      </c>
      <c r="O236" s="206">
        <v>1605801000</v>
      </c>
      <c r="P236" s="206">
        <v>353186000</v>
      </c>
      <c r="Q236" s="206">
        <v>351733000</v>
      </c>
      <c r="R236" s="206">
        <v>263091000</v>
      </c>
      <c r="S236" s="207">
        <v>476730637</v>
      </c>
      <c r="T236" s="207">
        <v>0</v>
      </c>
      <c r="U236" s="207">
        <v>129533725</v>
      </c>
      <c r="V236" s="207">
        <v>0</v>
      </c>
      <c r="W236" s="207">
        <f>45000+6400+2452+8198+90000+2700+3000+50000+8000+85330+122621+30500+20000</f>
        <v>474201</v>
      </c>
      <c r="X236" s="207">
        <v>0</v>
      </c>
      <c r="Z236" s="207">
        <v>0</v>
      </c>
      <c r="AA236" s="207">
        <v>0</v>
      </c>
      <c r="AB236" s="176">
        <f t="shared" si="279"/>
        <v>130007926</v>
      </c>
      <c r="AC236" s="177">
        <f t="shared" si="256"/>
        <v>27.270730242579312</v>
      </c>
      <c r="AD236" s="177">
        <f t="shared" si="280"/>
        <v>76.550002667509233</v>
      </c>
      <c r="AE236" s="60">
        <f>AD236*0.04</f>
        <v>3.0620001067003693</v>
      </c>
      <c r="AF236" s="178">
        <f t="shared" si="257"/>
        <v>27.171260864444925</v>
      </c>
      <c r="AG236" s="178">
        <f t="shared" si="258"/>
        <v>27.270730242579312</v>
      </c>
      <c r="AH236" s="178">
        <f t="shared" si="282"/>
        <v>9.9469378134386943E-2</v>
      </c>
      <c r="AI236" s="179">
        <f t="shared" si="283"/>
        <v>100</v>
      </c>
      <c r="AJ236" s="61">
        <f>AI236*0.05</f>
        <v>5</v>
      </c>
      <c r="AK236" s="204">
        <v>9</v>
      </c>
      <c r="AL236" s="204">
        <v>14</v>
      </c>
      <c r="AM236" s="204">
        <v>0</v>
      </c>
      <c r="AN236" s="181">
        <f t="shared" si="243"/>
        <v>23</v>
      </c>
      <c r="AO236" s="182">
        <f t="shared" si="244"/>
        <v>0</v>
      </c>
      <c r="AP236" s="183">
        <f t="shared" si="259"/>
        <v>100</v>
      </c>
      <c r="AQ236" s="62">
        <f>AP236*0.03</f>
        <v>3</v>
      </c>
      <c r="AR236" s="212">
        <v>6</v>
      </c>
      <c r="AS236" s="292">
        <f t="shared" si="245"/>
        <v>0.5</v>
      </c>
      <c r="AT236" s="185">
        <f t="shared" si="246"/>
        <v>4.5</v>
      </c>
      <c r="AU236" s="185">
        <f t="shared" si="260"/>
        <v>4</v>
      </c>
      <c r="AV236" s="186">
        <f t="shared" si="247"/>
        <v>22.222222222222221</v>
      </c>
      <c r="AW236" s="179">
        <f t="shared" si="261"/>
        <v>80</v>
      </c>
      <c r="AX236" s="240">
        <f>AW236*0.02</f>
        <v>1.6</v>
      </c>
      <c r="AY236" s="54">
        <v>15</v>
      </c>
      <c r="AZ236" s="54">
        <f>15*6</f>
        <v>90</v>
      </c>
      <c r="BA236" s="189">
        <f t="shared" si="248"/>
        <v>90</v>
      </c>
      <c r="BB236" s="178">
        <f t="shared" si="262"/>
        <v>100</v>
      </c>
      <c r="BC236" s="179">
        <f t="shared" si="263"/>
        <v>100</v>
      </c>
      <c r="BD236" s="61">
        <f>BC236*0.02</f>
        <v>2</v>
      </c>
      <c r="BE236" s="190">
        <f>124488000+2488000</f>
        <v>126976000</v>
      </c>
      <c r="BF236" s="190">
        <f>9733000+3834000</f>
        <v>13567000</v>
      </c>
      <c r="BG236" s="301">
        <v>0</v>
      </c>
      <c r="BH236" s="191">
        <f t="shared" si="249"/>
        <v>140543000</v>
      </c>
      <c r="BI236" s="178">
        <f t="shared" si="250"/>
        <v>0</v>
      </c>
      <c r="BJ236" s="294" t="str">
        <f t="shared" si="264"/>
        <v>금융업</v>
      </c>
      <c r="BK236" s="192">
        <f t="shared" si="265"/>
        <v>2.7106886075318837</v>
      </c>
      <c r="BL236" s="193">
        <f t="shared" si="266"/>
        <v>-2.7106886075318837</v>
      </c>
      <c r="BM236" s="241">
        <f t="shared" si="267"/>
        <v>100</v>
      </c>
      <c r="BN236" s="47">
        <f t="shared" si="268"/>
        <v>2</v>
      </c>
      <c r="BO236" s="54">
        <v>0</v>
      </c>
      <c r="BP236" s="194">
        <f t="shared" si="251"/>
        <v>0</v>
      </c>
      <c r="BQ236" s="179">
        <f t="shared" si="269"/>
        <v>25</v>
      </c>
      <c r="BR236" s="61">
        <f>BQ236*0.01</f>
        <v>0.25</v>
      </c>
      <c r="BS236" s="195">
        <v>46453000</v>
      </c>
      <c r="BT236" s="195">
        <v>1962000</v>
      </c>
      <c r="BU236" s="196">
        <f t="shared" si="270"/>
        <v>44491000</v>
      </c>
      <c r="BV236" s="178">
        <f t="shared" si="252"/>
        <v>2.7706421904084002</v>
      </c>
      <c r="BW236" s="192">
        <f t="shared" si="271"/>
        <v>0.39407896396795111</v>
      </c>
      <c r="BX236" s="192">
        <f t="shared" si="272"/>
        <v>5.6480527692690368</v>
      </c>
      <c r="BY236" s="192">
        <f t="shared" si="273"/>
        <v>1.5698937849002934</v>
      </c>
      <c r="BZ236" s="192">
        <f t="shared" si="274"/>
        <v>6.5033598675791175</v>
      </c>
      <c r="CA236" s="192">
        <f t="shared" si="253"/>
        <v>85</v>
      </c>
      <c r="CB236" s="55">
        <f t="shared" si="275"/>
        <v>1.7</v>
      </c>
      <c r="CC236" s="242" t="s">
        <v>1273</v>
      </c>
      <c r="CD236" s="243" t="s">
        <v>1273</v>
      </c>
      <c r="CE236" s="244"/>
      <c r="CF236" s="210">
        <v>0.36</v>
      </c>
      <c r="CG236" s="295" t="s">
        <v>2379</v>
      </c>
      <c r="CH236" s="295" t="s">
        <v>2379</v>
      </c>
      <c r="CI236" s="188">
        <f>IF((100-(75*(CF236-1)))&gt;100,100,IF((100-(75*(CF236-1)))&lt;25,25,(100-(75*(CF236-1)))))</f>
        <v>100</v>
      </c>
      <c r="CJ236" s="63">
        <f>CI236*0.04</f>
        <v>4</v>
      </c>
      <c r="CK236" s="173" t="s">
        <v>2496</v>
      </c>
      <c r="CL236" s="173" t="s">
        <v>2477</v>
      </c>
      <c r="CM236" s="199">
        <f t="shared" si="276"/>
        <v>85</v>
      </c>
      <c r="CN236" s="65">
        <f>CM236*0.03</f>
        <v>2.5499999999999998</v>
      </c>
      <c r="CO236" s="54">
        <v>0</v>
      </c>
      <c r="CP236" s="186">
        <f t="shared" si="254"/>
        <v>0</v>
      </c>
      <c r="CQ236" s="179">
        <f t="shared" si="277"/>
        <v>100</v>
      </c>
      <c r="CR236" s="61">
        <f>CQ236*0.04</f>
        <v>4</v>
      </c>
      <c r="CS236" s="200">
        <f>_xlfn.XLOOKUP(C236, '1-1. 관계사체무보증금액 (환율 등)'!$3:$3, '1-1. 관계사체무보증금액 (환율 등)'!$33:$33)</f>
        <v>0</v>
      </c>
      <c r="CT236" s="178">
        <f t="shared" si="255"/>
        <v>0</v>
      </c>
      <c r="CU236" s="179">
        <f t="shared" si="278"/>
        <v>100</v>
      </c>
      <c r="CV236" s="70">
        <f>CU236*0.03</f>
        <v>3</v>
      </c>
      <c r="CW236" s="72">
        <f t="shared" si="295"/>
        <v>32.162000106700368</v>
      </c>
    </row>
    <row r="237" spans="1:101" x14ac:dyDescent="0.6">
      <c r="A237" s="214" t="s">
        <v>828</v>
      </c>
      <c r="B237" s="13" t="s">
        <v>2217</v>
      </c>
      <c r="C237" s="219" t="s">
        <v>541</v>
      </c>
      <c r="D237" s="216" t="s">
        <v>202</v>
      </c>
      <c r="E237" s="217" t="s">
        <v>161</v>
      </c>
      <c r="F237" s="217" t="s">
        <v>1202</v>
      </c>
      <c r="G237" s="218">
        <v>35759</v>
      </c>
      <c r="H237" s="217" t="s">
        <v>830</v>
      </c>
      <c r="I237" s="217" t="s">
        <v>1831</v>
      </c>
      <c r="J237" s="217" t="s">
        <v>1092</v>
      </c>
      <c r="K237" s="217" t="s">
        <v>690</v>
      </c>
      <c r="L237" s="220">
        <v>620348530</v>
      </c>
      <c r="M237" s="206">
        <v>68839722</v>
      </c>
      <c r="N237" s="206">
        <v>551508808</v>
      </c>
      <c r="O237" s="206">
        <v>211778911</v>
      </c>
      <c r="P237" s="206">
        <v>46883729</v>
      </c>
      <c r="Q237" s="206">
        <v>54068760</v>
      </c>
      <c r="R237" s="206">
        <v>46885493</v>
      </c>
      <c r="S237" s="207">
        <v>13554044</v>
      </c>
      <c r="T237" s="207">
        <v>1384864</v>
      </c>
      <c r="U237" s="207">
        <v>2368848</v>
      </c>
      <c r="V237" s="207">
        <f>2219000+696918+250000</f>
        <v>3165918</v>
      </c>
      <c r="W237" s="207">
        <f>8361</f>
        <v>8361</v>
      </c>
      <c r="X237" s="207">
        <v>0</v>
      </c>
      <c r="Z237" s="207">
        <v>0</v>
      </c>
      <c r="AA237" s="207">
        <v>0</v>
      </c>
      <c r="AB237" s="176">
        <f t="shared" si="279"/>
        <v>5543127</v>
      </c>
      <c r="AC237" s="177">
        <f t="shared" si="256"/>
        <v>40.896480784627819</v>
      </c>
      <c r="AD237" s="177">
        <f t="shared" si="280"/>
        <v>64.790148920056538</v>
      </c>
      <c r="AE237" s="26">
        <f t="shared" ref="AE237:AE245" si="320">AD237*0.03</f>
        <v>1.9437044676016961</v>
      </c>
      <c r="AF237" s="178">
        <f t="shared" si="257"/>
        <v>45.481831972244635</v>
      </c>
      <c r="AG237" s="178">
        <f t="shared" si="258"/>
        <v>45.550538327151045</v>
      </c>
      <c r="AH237" s="178">
        <f t="shared" si="282"/>
        <v>6.8706354906410638E-2</v>
      </c>
      <c r="AI237" s="179">
        <f t="shared" si="283"/>
        <v>100</v>
      </c>
      <c r="AJ237" s="30">
        <f t="shared" ref="AJ237:AJ245" si="321">AI237*0.04</f>
        <v>4</v>
      </c>
      <c r="AK237" s="204">
        <v>7</v>
      </c>
      <c r="AL237" s="204">
        <v>12</v>
      </c>
      <c r="AM237" s="204">
        <v>2</v>
      </c>
      <c r="AN237" s="181">
        <f t="shared" si="243"/>
        <v>19</v>
      </c>
      <c r="AO237" s="182">
        <f t="shared" si="244"/>
        <v>10.526315789473683</v>
      </c>
      <c r="AP237" s="183">
        <f t="shared" si="259"/>
        <v>80</v>
      </c>
      <c r="AQ237" s="38">
        <f t="shared" ref="AQ237:AQ245" si="322">AP237*0.02</f>
        <v>1.6</v>
      </c>
      <c r="AR237" s="212">
        <v>2</v>
      </c>
      <c r="AS237" s="292">
        <f t="shared" si="245"/>
        <v>0.25</v>
      </c>
      <c r="AT237" s="185">
        <f t="shared" si="246"/>
        <v>1.75</v>
      </c>
      <c r="AU237" s="185">
        <f t="shared" si="260"/>
        <v>1</v>
      </c>
      <c r="AV237" s="186">
        <f t="shared" si="247"/>
        <v>14.285714285714285</v>
      </c>
      <c r="AW237" s="179">
        <f t="shared" si="261"/>
        <v>60</v>
      </c>
      <c r="AX237" s="239">
        <f t="shared" ref="AX237:AX245" si="323">AW237*0.01</f>
        <v>0.6</v>
      </c>
      <c r="AY237" s="54">
        <v>8</v>
      </c>
      <c r="AZ237" s="54">
        <v>16</v>
      </c>
      <c r="BA237" s="189">
        <f t="shared" si="248"/>
        <v>16</v>
      </c>
      <c r="BB237" s="178">
        <f t="shared" si="262"/>
        <v>100</v>
      </c>
      <c r="BC237" s="179">
        <f t="shared" si="263"/>
        <v>100</v>
      </c>
      <c r="BD237" s="30">
        <f t="shared" ref="BD237:BD245" si="324">BC237*0.01</f>
        <v>1</v>
      </c>
      <c r="BE237" s="190">
        <v>10718757</v>
      </c>
      <c r="BF237" s="190">
        <v>700412</v>
      </c>
      <c r="BG237" s="54">
        <v>670665</v>
      </c>
      <c r="BH237" s="191">
        <f t="shared" si="249"/>
        <v>11419169</v>
      </c>
      <c r="BI237" s="178">
        <f t="shared" si="250"/>
        <v>5.8731506644660394</v>
      </c>
      <c r="BJ237" s="294" t="str">
        <f t="shared" si="264"/>
        <v>전기전자/기계업</v>
      </c>
      <c r="BK237" s="192">
        <f t="shared" si="265"/>
        <v>2.4096449716116455</v>
      </c>
      <c r="BL237" s="193">
        <f t="shared" si="266"/>
        <v>3.4635056928543939</v>
      </c>
      <c r="BM237" s="241">
        <f t="shared" si="267"/>
        <v>40</v>
      </c>
      <c r="BN237" s="47">
        <f t="shared" si="268"/>
        <v>0.8</v>
      </c>
      <c r="BO237" s="54">
        <v>9993726</v>
      </c>
      <c r="BP237" s="194">
        <f t="shared" si="251"/>
        <v>4.7189429546174217</v>
      </c>
      <c r="BQ237" s="179">
        <f t="shared" si="269"/>
        <v>100</v>
      </c>
      <c r="BR237" s="30">
        <f t="shared" ref="BR237:BR245" si="325">BQ237*0.02</f>
        <v>2</v>
      </c>
      <c r="BS237" s="195">
        <v>13401088.76</v>
      </c>
      <c r="BT237" s="195">
        <v>353320.42800000001</v>
      </c>
      <c r="BU237" s="196">
        <f t="shared" si="270"/>
        <v>13047768.332</v>
      </c>
      <c r="BV237" s="178">
        <f t="shared" si="252"/>
        <v>6.1610328764038265</v>
      </c>
      <c r="BW237" s="192">
        <f t="shared" si="271"/>
        <v>5.2309968128308268</v>
      </c>
      <c r="BX237" s="192">
        <f t="shared" si="272"/>
        <v>0.86496707954636054</v>
      </c>
      <c r="BY237" s="192">
        <f t="shared" si="273"/>
        <v>7.0695458012309622</v>
      </c>
      <c r="BZ237" s="192">
        <f t="shared" si="274"/>
        <v>44.766803046408491</v>
      </c>
      <c r="CA237" s="192">
        <f t="shared" si="253"/>
        <v>55</v>
      </c>
      <c r="CB237" s="55">
        <f t="shared" si="275"/>
        <v>1.1000000000000001</v>
      </c>
      <c r="CC237" s="197">
        <f t="shared" ref="CC237:CC245" si="326">(M237/N237)*100</f>
        <v>12.482071183893041</v>
      </c>
      <c r="CD237" s="198">
        <f t="shared" ref="CD237:CD245" si="327">IF((100-(75*(CC237-1)/(200-1)))&gt;100, 100, IF((100-(75*(CC237-1)/(200-1)))&lt;25, 25, (100-(75*(CC237-1)/(200-1)))))</f>
        <v>95.672586237226241</v>
      </c>
      <c r="CE237" s="58">
        <f t="shared" ref="CE237:CE245" si="328">CD237*0.015</f>
        <v>1.4350887935583936</v>
      </c>
      <c r="CF237" s="245" t="s">
        <v>2326</v>
      </c>
      <c r="CG237" s="245" t="s">
        <v>2326</v>
      </c>
      <c r="CH237" s="245" t="s">
        <v>2326</v>
      </c>
      <c r="CI237" s="245" t="s">
        <v>2326</v>
      </c>
      <c r="CJ237" s="235"/>
      <c r="CK237" s="173" t="s">
        <v>2490</v>
      </c>
      <c r="CL237" s="173" t="s">
        <v>2487</v>
      </c>
      <c r="CM237" s="199">
        <f t="shared" si="276"/>
        <v>70</v>
      </c>
      <c r="CN237" s="58">
        <f t="shared" ref="CN237:CN245" si="329">CM237*0.015</f>
        <v>1.05</v>
      </c>
      <c r="CO237" s="54">
        <v>70581000</v>
      </c>
      <c r="CP237" s="186">
        <f t="shared" si="254"/>
        <v>12.79780104618021</v>
      </c>
      <c r="CQ237" s="179">
        <f t="shared" si="277"/>
        <v>60</v>
      </c>
      <c r="CR237" s="30">
        <f t="shared" ref="CR237:CR245" si="330">CQ237*0.03</f>
        <v>1.7999999999999998</v>
      </c>
      <c r="CS237" s="200">
        <f>_xlfn.XLOOKUP(C237, '1-1. 관계사체무보증금액 (환율 등)'!$3:$3, '1-1. 관계사체무보증금액 (환율 등)'!$33:$33)</f>
        <v>0</v>
      </c>
      <c r="CT237" s="178">
        <f t="shared" si="255"/>
        <v>0</v>
      </c>
      <c r="CU237" s="179">
        <f t="shared" si="278"/>
        <v>100</v>
      </c>
      <c r="CV237" s="30">
        <f t="shared" ref="CV237:CV245" si="331">CU237*0.02</f>
        <v>2</v>
      </c>
      <c r="CW237" s="72">
        <f t="shared" si="295"/>
        <v>19.32879326116009</v>
      </c>
    </row>
    <row r="238" spans="1:101" x14ac:dyDescent="0.6">
      <c r="A238" s="214" t="s">
        <v>1832</v>
      </c>
      <c r="B238" s="13" t="s">
        <v>2218</v>
      </c>
      <c r="C238" s="219" t="s">
        <v>1833</v>
      </c>
      <c r="D238" s="14" t="s">
        <v>203</v>
      </c>
      <c r="E238" s="217" t="s">
        <v>188</v>
      </c>
      <c r="F238" s="217" t="s">
        <v>1834</v>
      </c>
      <c r="G238" s="218">
        <v>26840</v>
      </c>
      <c r="H238" s="217" t="s">
        <v>830</v>
      </c>
      <c r="I238" s="217" t="s">
        <v>1835</v>
      </c>
      <c r="J238" s="217" t="s">
        <v>1836</v>
      </c>
      <c r="K238" s="217" t="s">
        <v>91</v>
      </c>
      <c r="L238" s="220">
        <v>8803079613</v>
      </c>
      <c r="M238" s="206">
        <v>3891106993</v>
      </c>
      <c r="N238" s="206">
        <v>4911972621</v>
      </c>
      <c r="O238" s="206">
        <v>2701705575</v>
      </c>
      <c r="P238" s="206">
        <v>177791342</v>
      </c>
      <c r="Q238" s="206">
        <v>7918913</v>
      </c>
      <c r="R238" s="206">
        <v>7342768</v>
      </c>
      <c r="S238" s="207">
        <v>8886471</v>
      </c>
      <c r="T238" s="207">
        <v>1532300</v>
      </c>
      <c r="U238" s="207">
        <v>1739841</v>
      </c>
      <c r="V238" s="207">
        <f>3281350-1739841-266600</f>
        <v>1274909</v>
      </c>
      <c r="W238" s="207">
        <v>0</v>
      </c>
      <c r="X238" s="207">
        <v>266600</v>
      </c>
      <c r="Y238" s="208" t="s">
        <v>2455</v>
      </c>
      <c r="Z238" s="207">
        <v>0</v>
      </c>
      <c r="AA238" s="207">
        <v>0</v>
      </c>
      <c r="AB238" s="176">
        <f t="shared" si="279"/>
        <v>3281350</v>
      </c>
      <c r="AC238" s="177">
        <f t="shared" si="256"/>
        <v>36.925231624567282</v>
      </c>
      <c r="AD238" s="177">
        <f t="shared" si="280"/>
        <v>68.217579150258388</v>
      </c>
      <c r="AE238" s="26">
        <f t="shared" si="320"/>
        <v>2.0465273745077517</v>
      </c>
      <c r="AF238" s="178">
        <f t="shared" si="257"/>
        <v>40.993743550428732</v>
      </c>
      <c r="AG238" s="178">
        <f t="shared" si="258"/>
        <v>44.618897221726286</v>
      </c>
      <c r="AH238" s="178">
        <f t="shared" si="282"/>
        <v>3.6251536712975536</v>
      </c>
      <c r="AI238" s="179">
        <f t="shared" si="283"/>
        <v>100</v>
      </c>
      <c r="AJ238" s="30">
        <f t="shared" si="321"/>
        <v>4</v>
      </c>
      <c r="AK238" s="204">
        <v>8</v>
      </c>
      <c r="AL238" s="204">
        <v>67</v>
      </c>
      <c r="AM238" s="204">
        <v>1</v>
      </c>
      <c r="AN238" s="181">
        <f t="shared" si="243"/>
        <v>75</v>
      </c>
      <c r="AO238" s="182">
        <f t="shared" si="244"/>
        <v>1.3333333333333335</v>
      </c>
      <c r="AP238" s="183">
        <f t="shared" si="259"/>
        <v>100</v>
      </c>
      <c r="AQ238" s="38">
        <f t="shared" si="322"/>
        <v>2</v>
      </c>
      <c r="AR238" s="212">
        <v>5</v>
      </c>
      <c r="AS238" s="292">
        <f t="shared" si="245"/>
        <v>0.5</v>
      </c>
      <c r="AT238" s="185">
        <f t="shared" si="246"/>
        <v>4</v>
      </c>
      <c r="AU238" s="185">
        <f t="shared" si="260"/>
        <v>4</v>
      </c>
      <c r="AV238" s="186">
        <f t="shared" si="247"/>
        <v>12.5</v>
      </c>
      <c r="AW238" s="179">
        <f t="shared" si="261"/>
        <v>60</v>
      </c>
      <c r="AX238" s="239">
        <f t="shared" si="323"/>
        <v>0.6</v>
      </c>
      <c r="AY238" s="54">
        <v>10</v>
      </c>
      <c r="AZ238" s="54">
        <f>50-1</f>
        <v>49</v>
      </c>
      <c r="BA238" s="189">
        <f t="shared" si="248"/>
        <v>50</v>
      </c>
      <c r="BB238" s="178">
        <f t="shared" si="262"/>
        <v>98</v>
      </c>
      <c r="BC238" s="179">
        <f t="shared" si="263"/>
        <v>100</v>
      </c>
      <c r="BD238" s="30">
        <f t="shared" si="324"/>
        <v>1</v>
      </c>
      <c r="BE238" s="190">
        <v>102571890</v>
      </c>
      <c r="BF238" s="190">
        <v>17821017</v>
      </c>
      <c r="BG238" s="301">
        <v>0</v>
      </c>
      <c r="BH238" s="191">
        <f t="shared" si="249"/>
        <v>120392907</v>
      </c>
      <c r="BI238" s="178">
        <f t="shared" si="250"/>
        <v>0</v>
      </c>
      <c r="BJ238" s="294" t="str">
        <f t="shared" si="264"/>
        <v>금속/비금속/화학업</v>
      </c>
      <c r="BK238" s="192">
        <f t="shared" si="265"/>
        <v>3.9534118626990464</v>
      </c>
      <c r="BL238" s="193">
        <f t="shared" si="266"/>
        <v>-3.9534118626990464</v>
      </c>
      <c r="BM238" s="241">
        <f t="shared" si="267"/>
        <v>100</v>
      </c>
      <c r="BN238" s="47">
        <f t="shared" si="268"/>
        <v>2</v>
      </c>
      <c r="BO238" s="54">
        <f>178767706-693607</f>
        <v>178074099</v>
      </c>
      <c r="BP238" s="194">
        <f t="shared" si="251"/>
        <v>6.5911733923856604</v>
      </c>
      <c r="BQ238" s="179">
        <f t="shared" si="269"/>
        <v>100</v>
      </c>
      <c r="BR238" s="30">
        <f t="shared" si="325"/>
        <v>2</v>
      </c>
      <c r="BS238" s="195">
        <v>145934244.33000001</v>
      </c>
      <c r="BT238" s="195">
        <v>5407128.9040000001</v>
      </c>
      <c r="BU238" s="196">
        <f t="shared" si="270"/>
        <v>140527115.426</v>
      </c>
      <c r="BV238" s="178">
        <f t="shared" si="252"/>
        <v>5.2014222691900835</v>
      </c>
      <c r="BW238" s="192">
        <f t="shared" si="271"/>
        <v>5.1474158565187729</v>
      </c>
      <c r="BX238" s="192">
        <f t="shared" si="272"/>
        <v>2.9166926096239063E-3</v>
      </c>
      <c r="BY238" s="192">
        <f t="shared" si="273"/>
        <v>6.6930498535228526</v>
      </c>
      <c r="BZ238" s="192">
        <f t="shared" si="274"/>
        <v>49.678095814314574</v>
      </c>
      <c r="CA238" s="192">
        <f t="shared" si="253"/>
        <v>55</v>
      </c>
      <c r="CB238" s="55">
        <f t="shared" si="275"/>
        <v>1.1000000000000001</v>
      </c>
      <c r="CC238" s="197">
        <f t="shared" si="326"/>
        <v>79.216789123874065</v>
      </c>
      <c r="CD238" s="198">
        <f t="shared" si="327"/>
        <v>70.521310631705759</v>
      </c>
      <c r="CE238" s="58">
        <f t="shared" si="328"/>
        <v>1.0578196594755864</v>
      </c>
      <c r="CF238" s="245" t="s">
        <v>2326</v>
      </c>
      <c r="CG238" s="245" t="s">
        <v>2326</v>
      </c>
      <c r="CH238" s="245" t="s">
        <v>2326</v>
      </c>
      <c r="CI238" s="245" t="s">
        <v>2326</v>
      </c>
      <c r="CJ238" s="235"/>
      <c r="CK238" s="173" t="s">
        <v>2515</v>
      </c>
      <c r="CL238" s="173" t="s">
        <v>2493</v>
      </c>
      <c r="CM238" s="199">
        <f t="shared" si="276"/>
        <v>40</v>
      </c>
      <c r="CN238" s="58">
        <f t="shared" si="329"/>
        <v>0.6</v>
      </c>
      <c r="CO238" s="54">
        <v>1588016000</v>
      </c>
      <c r="CP238" s="186">
        <f t="shared" si="254"/>
        <v>32.32949616231177</v>
      </c>
      <c r="CQ238" s="179">
        <f t="shared" si="277"/>
        <v>60</v>
      </c>
      <c r="CR238" s="30">
        <f t="shared" si="330"/>
        <v>1.7999999999999998</v>
      </c>
      <c r="CS238" s="200">
        <f>_xlfn.XLOOKUP(C238, '1-1. 관계사체무보증금액 (환율 등)'!$3:$3, '1-1. 관계사체무보증금액 (환율 등)'!$33:$33)</f>
        <v>1271402000</v>
      </c>
      <c r="CT238" s="178">
        <f t="shared" si="255"/>
        <v>25.883735478581769</v>
      </c>
      <c r="CU238" s="179">
        <f t="shared" si="278"/>
        <v>60</v>
      </c>
      <c r="CV238" s="30">
        <f t="shared" si="331"/>
        <v>1.2</v>
      </c>
      <c r="CW238" s="72">
        <f t="shared" si="295"/>
        <v>19.404347033983338</v>
      </c>
    </row>
    <row r="239" spans="1:101" x14ac:dyDescent="0.6">
      <c r="A239" s="214" t="s">
        <v>26</v>
      </c>
      <c r="B239" s="13" t="s">
        <v>2219</v>
      </c>
      <c r="C239" s="219" t="s">
        <v>475</v>
      </c>
      <c r="D239" s="216" t="s">
        <v>202</v>
      </c>
      <c r="E239" s="217" t="s">
        <v>161</v>
      </c>
      <c r="F239" s="217" t="s">
        <v>985</v>
      </c>
      <c r="G239" s="218">
        <v>43074</v>
      </c>
      <c r="H239" s="217" t="s">
        <v>830</v>
      </c>
      <c r="I239" s="217" t="s">
        <v>1017</v>
      </c>
      <c r="J239" s="217" t="s">
        <v>1133</v>
      </c>
      <c r="K239" s="217" t="s">
        <v>690</v>
      </c>
      <c r="L239" s="220">
        <v>483313332</v>
      </c>
      <c r="M239" s="206">
        <v>57327965</v>
      </c>
      <c r="N239" s="206">
        <v>425985367</v>
      </c>
      <c r="O239" s="206">
        <v>378192950</v>
      </c>
      <c r="P239" s="206">
        <v>60336561</v>
      </c>
      <c r="Q239" s="206">
        <v>70491799</v>
      </c>
      <c r="R239" s="206">
        <v>55385939</v>
      </c>
      <c r="S239" s="207">
        <v>20861556</v>
      </c>
      <c r="T239" s="207">
        <v>571495</v>
      </c>
      <c r="U239" s="207">
        <f>6217470+2007062</f>
        <v>8224532</v>
      </c>
      <c r="V239" s="207">
        <f>1094522+600000</f>
        <v>1694522</v>
      </c>
      <c r="W239" s="207">
        <f>826301+10000+2419</f>
        <v>838720</v>
      </c>
      <c r="X239" s="207">
        <v>0</v>
      </c>
      <c r="Z239" s="207">
        <v>0</v>
      </c>
      <c r="AA239" s="207">
        <v>0</v>
      </c>
      <c r="AB239" s="176">
        <f t="shared" si="279"/>
        <v>10757774</v>
      </c>
      <c r="AC239" s="177">
        <f t="shared" si="256"/>
        <v>51.567457384290996</v>
      </c>
      <c r="AD239" s="177">
        <f t="shared" si="280"/>
        <v>55.580445295491089</v>
      </c>
      <c r="AE239" s="26">
        <f t="shared" si="320"/>
        <v>1.6674133588647326</v>
      </c>
      <c r="AF239" s="178">
        <f t="shared" si="257"/>
        <v>48.886269982135587</v>
      </c>
      <c r="AG239" s="178">
        <f t="shared" si="258"/>
        <v>53.019919457117446</v>
      </c>
      <c r="AH239" s="178">
        <f t="shared" si="282"/>
        <v>4.1336494749818584</v>
      </c>
      <c r="AI239" s="179">
        <f t="shared" si="283"/>
        <v>100</v>
      </c>
      <c r="AJ239" s="30">
        <f t="shared" si="321"/>
        <v>4</v>
      </c>
      <c r="AK239" s="204">
        <v>9</v>
      </c>
      <c r="AL239" s="204">
        <v>30</v>
      </c>
      <c r="AM239" s="204">
        <v>2</v>
      </c>
      <c r="AN239" s="181">
        <f t="shared" si="243"/>
        <v>39</v>
      </c>
      <c r="AO239" s="182">
        <f t="shared" si="244"/>
        <v>5.1282051282051277</v>
      </c>
      <c r="AP239" s="183">
        <f t="shared" si="259"/>
        <v>100</v>
      </c>
      <c r="AQ239" s="38">
        <f t="shared" si="322"/>
        <v>2</v>
      </c>
      <c r="AR239" s="212">
        <v>2</v>
      </c>
      <c r="AS239" s="292">
        <f t="shared" si="245"/>
        <v>0.25</v>
      </c>
      <c r="AT239" s="185">
        <f t="shared" si="246"/>
        <v>2.25</v>
      </c>
      <c r="AU239" s="185">
        <f t="shared" si="260"/>
        <v>2</v>
      </c>
      <c r="AV239" s="186">
        <f t="shared" si="247"/>
        <v>0</v>
      </c>
      <c r="AW239" s="179">
        <f t="shared" si="261"/>
        <v>40</v>
      </c>
      <c r="AX239" s="239">
        <f t="shared" si="323"/>
        <v>0.4</v>
      </c>
      <c r="AY239" s="54">
        <v>7</v>
      </c>
      <c r="AZ239" s="54">
        <v>14</v>
      </c>
      <c r="BA239" s="189">
        <f t="shared" si="248"/>
        <v>14</v>
      </c>
      <c r="BB239" s="178">
        <f t="shared" si="262"/>
        <v>100</v>
      </c>
      <c r="BC239" s="179">
        <f t="shared" si="263"/>
        <v>100</v>
      </c>
      <c r="BD239" s="30">
        <f t="shared" si="324"/>
        <v>1</v>
      </c>
      <c r="BE239" s="190">
        <v>9503727</v>
      </c>
      <c r="BF239" s="190">
        <v>702917</v>
      </c>
      <c r="BG239" s="54">
        <v>301616</v>
      </c>
      <c r="BH239" s="191">
        <f t="shared" si="249"/>
        <v>10206644</v>
      </c>
      <c r="BI239" s="178">
        <f t="shared" si="250"/>
        <v>2.9550947402495864</v>
      </c>
      <c r="BJ239" s="294" t="str">
        <f t="shared" si="264"/>
        <v>전기전자/기계업</v>
      </c>
      <c r="BK239" s="192">
        <f t="shared" si="265"/>
        <v>2.4096449716116455</v>
      </c>
      <c r="BL239" s="193">
        <f t="shared" si="266"/>
        <v>0.54544976863794092</v>
      </c>
      <c r="BM239" s="241">
        <f t="shared" si="267"/>
        <v>60</v>
      </c>
      <c r="BN239" s="47">
        <f t="shared" si="268"/>
        <v>1.2</v>
      </c>
      <c r="BO239" s="54">
        <v>39475926</v>
      </c>
      <c r="BP239" s="194">
        <f t="shared" si="251"/>
        <v>10.438038572638648</v>
      </c>
      <c r="BQ239" s="179">
        <f t="shared" si="269"/>
        <v>100</v>
      </c>
      <c r="BR239" s="30">
        <f t="shared" si="325"/>
        <v>2</v>
      </c>
      <c r="BS239" s="195">
        <v>13854710.613</v>
      </c>
      <c r="BT239" s="195">
        <v>7736739.0580000002</v>
      </c>
      <c r="BU239" s="196">
        <f t="shared" si="270"/>
        <v>6117971.5549999997</v>
      </c>
      <c r="BV239" s="178">
        <f t="shared" si="252"/>
        <v>1.6176852463801876</v>
      </c>
      <c r="BW239" s="192">
        <f t="shared" si="271"/>
        <v>5.2309968128308268</v>
      </c>
      <c r="BX239" s="192">
        <f t="shared" si="272"/>
        <v>13.056020476245973</v>
      </c>
      <c r="BY239" s="192">
        <f t="shared" si="273"/>
        <v>7.0695458012309622</v>
      </c>
      <c r="BZ239" s="192">
        <f t="shared" si="274"/>
        <v>69.53627854800682</v>
      </c>
      <c r="CA239" s="192">
        <f t="shared" si="253"/>
        <v>40</v>
      </c>
      <c r="CB239" s="55">
        <f t="shared" si="275"/>
        <v>0.8</v>
      </c>
      <c r="CC239" s="197">
        <f t="shared" si="326"/>
        <v>13.457731049245172</v>
      </c>
      <c r="CD239" s="198">
        <f t="shared" si="327"/>
        <v>95.304875232696546</v>
      </c>
      <c r="CE239" s="58">
        <f t="shared" si="328"/>
        <v>1.429573128490448</v>
      </c>
      <c r="CF239" s="245" t="s">
        <v>2326</v>
      </c>
      <c r="CG239" s="245" t="s">
        <v>2326</v>
      </c>
      <c r="CH239" s="245" t="s">
        <v>2326</v>
      </c>
      <c r="CI239" s="245" t="s">
        <v>2326</v>
      </c>
      <c r="CJ239" s="235"/>
      <c r="CK239" s="173" t="s">
        <v>2490</v>
      </c>
      <c r="CL239" s="173" t="s">
        <v>2487</v>
      </c>
      <c r="CM239" s="199">
        <f t="shared" si="276"/>
        <v>70</v>
      </c>
      <c r="CN239" s="58">
        <f t="shared" si="329"/>
        <v>1.05</v>
      </c>
      <c r="CO239" s="54">
        <v>0</v>
      </c>
      <c r="CP239" s="186">
        <f t="shared" si="254"/>
        <v>0</v>
      </c>
      <c r="CQ239" s="179">
        <f t="shared" si="277"/>
        <v>100</v>
      </c>
      <c r="CR239" s="30">
        <f t="shared" si="330"/>
        <v>3</v>
      </c>
      <c r="CS239" s="200">
        <f>_xlfn.XLOOKUP(C239, '1-1. 관계사체무보증금액 (환율 등)'!$3:$3, '1-1. 관계사체무보증금액 (환율 등)'!$33:$33)</f>
        <v>0</v>
      </c>
      <c r="CT239" s="178">
        <f t="shared" si="255"/>
        <v>0</v>
      </c>
      <c r="CU239" s="179">
        <f t="shared" si="278"/>
        <v>100</v>
      </c>
      <c r="CV239" s="30">
        <f t="shared" si="331"/>
        <v>2</v>
      </c>
      <c r="CW239" s="72">
        <f t="shared" si="295"/>
        <v>20.546986487355181</v>
      </c>
    </row>
    <row r="240" spans="1:101" x14ac:dyDescent="0.6">
      <c r="A240" s="214" t="s">
        <v>1837</v>
      </c>
      <c r="B240" s="13" t="s">
        <v>2220</v>
      </c>
      <c r="C240" s="219" t="s">
        <v>1838</v>
      </c>
      <c r="D240" s="14" t="s">
        <v>285</v>
      </c>
      <c r="E240" s="217" t="s">
        <v>1432</v>
      </c>
      <c r="F240" s="217" t="s">
        <v>1839</v>
      </c>
      <c r="G240" s="218">
        <v>28762</v>
      </c>
      <c r="H240" s="217" t="s">
        <v>830</v>
      </c>
      <c r="I240" s="217" t="s">
        <v>1840</v>
      </c>
      <c r="J240" s="217" t="s">
        <v>1841</v>
      </c>
      <c r="K240" s="217" t="s">
        <v>91</v>
      </c>
      <c r="L240" s="220">
        <v>501506960</v>
      </c>
      <c r="M240" s="206">
        <v>297824193</v>
      </c>
      <c r="N240" s="206">
        <v>203682767</v>
      </c>
      <c r="O240" s="206">
        <v>628065353</v>
      </c>
      <c r="P240" s="206">
        <v>22866089</v>
      </c>
      <c r="Q240" s="206">
        <v>14957802</v>
      </c>
      <c r="R240" s="206">
        <v>12222578</v>
      </c>
      <c r="S240" s="207">
        <v>30000000</v>
      </c>
      <c r="T240" s="207">
        <v>94250</v>
      </c>
      <c r="U240" s="207">
        <v>33930</v>
      </c>
      <c r="V240" s="207">
        <f>6995240-33930</f>
        <v>6961310</v>
      </c>
      <c r="W240" s="207">
        <f>2087500+20000+200</f>
        <v>2107700</v>
      </c>
      <c r="X240" s="207">
        <v>0</v>
      </c>
      <c r="Z240" s="207">
        <v>0</v>
      </c>
      <c r="AA240" s="207">
        <v>0</v>
      </c>
      <c r="AB240" s="176">
        <f t="shared" si="279"/>
        <v>9102940</v>
      </c>
      <c r="AC240" s="177">
        <f t="shared" si="256"/>
        <v>30.343133333333334</v>
      </c>
      <c r="AD240" s="177">
        <f t="shared" si="280"/>
        <v>73.898331415420017</v>
      </c>
      <c r="AE240" s="26">
        <f t="shared" si="320"/>
        <v>2.2169499424626005</v>
      </c>
      <c r="AF240" s="178">
        <f t="shared" si="257"/>
        <v>23.390953244777343</v>
      </c>
      <c r="AG240" s="178">
        <f t="shared" si="258"/>
        <v>30.438761776581423</v>
      </c>
      <c r="AH240" s="178">
        <f t="shared" si="282"/>
        <v>7.0478085318040797</v>
      </c>
      <c r="AI240" s="179">
        <f t="shared" si="283"/>
        <v>100</v>
      </c>
      <c r="AJ240" s="30">
        <f t="shared" si="321"/>
        <v>4</v>
      </c>
      <c r="AK240" s="204">
        <v>7</v>
      </c>
      <c r="AL240" s="204">
        <v>11</v>
      </c>
      <c r="AM240" s="204">
        <v>2</v>
      </c>
      <c r="AN240" s="181">
        <f t="shared" si="243"/>
        <v>18</v>
      </c>
      <c r="AO240" s="182">
        <f t="shared" si="244"/>
        <v>11.111111111111111</v>
      </c>
      <c r="AP240" s="183">
        <f t="shared" si="259"/>
        <v>80</v>
      </c>
      <c r="AQ240" s="38">
        <f t="shared" si="322"/>
        <v>1.6</v>
      </c>
      <c r="AR240" s="212">
        <v>2</v>
      </c>
      <c r="AS240" s="292">
        <f t="shared" si="245"/>
        <v>0.25</v>
      </c>
      <c r="AT240" s="185">
        <f t="shared" si="246"/>
        <v>1.75</v>
      </c>
      <c r="AU240" s="185">
        <f t="shared" si="260"/>
        <v>1</v>
      </c>
      <c r="AV240" s="186">
        <f t="shared" si="247"/>
        <v>14.285714285714285</v>
      </c>
      <c r="AW240" s="179">
        <f t="shared" si="261"/>
        <v>60</v>
      </c>
      <c r="AX240" s="239">
        <f t="shared" si="323"/>
        <v>0.6</v>
      </c>
      <c r="AY240" s="54">
        <v>3</v>
      </c>
      <c r="AZ240" s="54">
        <v>6</v>
      </c>
      <c r="BA240" s="189">
        <f t="shared" si="248"/>
        <v>6</v>
      </c>
      <c r="BB240" s="178">
        <f t="shared" si="262"/>
        <v>100</v>
      </c>
      <c r="BC240" s="179">
        <f t="shared" si="263"/>
        <v>100</v>
      </c>
      <c r="BD240" s="30">
        <f t="shared" si="324"/>
        <v>1</v>
      </c>
      <c r="BE240" s="190">
        <v>24510215</v>
      </c>
      <c r="BF240" s="190">
        <v>2202791</v>
      </c>
      <c r="BG240" s="54">
        <v>433819</v>
      </c>
      <c r="BH240" s="191">
        <f t="shared" si="249"/>
        <v>26713006</v>
      </c>
      <c r="BI240" s="178">
        <f t="shared" si="250"/>
        <v>1.6239991860144829</v>
      </c>
      <c r="BJ240" s="294" t="str">
        <f t="shared" si="264"/>
        <v>비제조/서비스업</v>
      </c>
      <c r="BK240" s="192">
        <f t="shared" si="265"/>
        <v>1.7464434573900924</v>
      </c>
      <c r="BL240" s="193">
        <f t="shared" si="266"/>
        <v>-0.12244427137560954</v>
      </c>
      <c r="BM240" s="241">
        <f t="shared" si="267"/>
        <v>80</v>
      </c>
      <c r="BN240" s="47">
        <f t="shared" si="268"/>
        <v>1.6</v>
      </c>
      <c r="BO240" s="54">
        <v>0</v>
      </c>
      <c r="BP240" s="194">
        <f t="shared" si="251"/>
        <v>0</v>
      </c>
      <c r="BQ240" s="179">
        <f t="shared" si="269"/>
        <v>25</v>
      </c>
      <c r="BR240" s="30">
        <f t="shared" si="325"/>
        <v>0.5</v>
      </c>
      <c r="BS240" s="195">
        <v>44247609.713</v>
      </c>
      <c r="BT240" s="195">
        <v>102699.95699999999</v>
      </c>
      <c r="BU240" s="196">
        <f t="shared" si="270"/>
        <v>44144909.755999997</v>
      </c>
      <c r="BV240" s="178">
        <f t="shared" si="252"/>
        <v>7.02871278365199</v>
      </c>
      <c r="BW240" s="192">
        <f t="shared" si="271"/>
        <v>2.8482825397737606</v>
      </c>
      <c r="BX240" s="192">
        <f t="shared" si="272"/>
        <v>17.475997023931789</v>
      </c>
      <c r="BY240" s="192">
        <f t="shared" si="273"/>
        <v>5.5697595856656799</v>
      </c>
      <c r="BZ240" s="192">
        <f t="shared" si="274"/>
        <v>22.645921078535768</v>
      </c>
      <c r="CA240" s="192">
        <f t="shared" si="253"/>
        <v>70</v>
      </c>
      <c r="CB240" s="55">
        <f t="shared" si="275"/>
        <v>1.4000000000000001</v>
      </c>
      <c r="CC240" s="197">
        <f t="shared" si="326"/>
        <v>146.21963231675855</v>
      </c>
      <c r="CD240" s="198">
        <f t="shared" si="327"/>
        <v>45.268982795191498</v>
      </c>
      <c r="CE240" s="58">
        <f t="shared" si="328"/>
        <v>0.67903474192787239</v>
      </c>
      <c r="CF240" s="245" t="s">
        <v>2326</v>
      </c>
      <c r="CG240" s="245" t="s">
        <v>2326</v>
      </c>
      <c r="CH240" s="245" t="s">
        <v>2326</v>
      </c>
      <c r="CI240" s="245" t="s">
        <v>2326</v>
      </c>
      <c r="CJ240" s="235"/>
      <c r="CK240" s="173" t="s">
        <v>2491</v>
      </c>
      <c r="CL240" s="173" t="s">
        <v>2478</v>
      </c>
      <c r="CM240" s="199">
        <f t="shared" si="276"/>
        <v>25</v>
      </c>
      <c r="CN240" s="58">
        <f t="shared" si="329"/>
        <v>0.375</v>
      </c>
      <c r="CO240" s="54">
        <v>44413324</v>
      </c>
      <c r="CP240" s="186">
        <f t="shared" si="254"/>
        <v>21.80514564592497</v>
      </c>
      <c r="CQ240" s="179">
        <f t="shared" si="277"/>
        <v>60</v>
      </c>
      <c r="CR240" s="30">
        <f t="shared" si="330"/>
        <v>1.7999999999999998</v>
      </c>
      <c r="CS240" s="200">
        <f>_xlfn.XLOOKUP(C240, '1-1. 관계사체무보증금액 (환율 등)'!$3:$3, '1-1. 관계사체무보증금액 (환율 등)'!$33:$33)</f>
        <v>0</v>
      </c>
      <c r="CT240" s="178">
        <f t="shared" si="255"/>
        <v>0</v>
      </c>
      <c r="CU240" s="179">
        <f t="shared" si="278"/>
        <v>100</v>
      </c>
      <c r="CV240" s="30">
        <f t="shared" si="331"/>
        <v>2</v>
      </c>
      <c r="CW240" s="72">
        <f t="shared" si="295"/>
        <v>17.77098468439047</v>
      </c>
    </row>
    <row r="241" spans="1:101" x14ac:dyDescent="0.6">
      <c r="A241" s="214" t="s">
        <v>1842</v>
      </c>
      <c r="B241" s="13" t="s">
        <v>2221</v>
      </c>
      <c r="C241" s="219" t="s">
        <v>1843</v>
      </c>
      <c r="D241" s="14" t="s">
        <v>285</v>
      </c>
      <c r="E241" s="217" t="s">
        <v>1756</v>
      </c>
      <c r="F241" s="217" t="s">
        <v>1844</v>
      </c>
      <c r="G241" s="218">
        <v>44482</v>
      </c>
      <c r="H241" s="217" t="s">
        <v>830</v>
      </c>
      <c r="I241" s="217" t="s">
        <v>1845</v>
      </c>
      <c r="J241" s="217" t="s">
        <v>1846</v>
      </c>
      <c r="K241" s="217" t="s">
        <v>91</v>
      </c>
      <c r="L241" s="220">
        <v>534356691</v>
      </c>
      <c r="M241" s="206">
        <v>288535624</v>
      </c>
      <c r="N241" s="206">
        <v>245821067</v>
      </c>
      <c r="O241" s="206">
        <v>2177261974</v>
      </c>
      <c r="P241" s="206">
        <v>50047663</v>
      </c>
      <c r="Q241" s="206">
        <v>39570210</v>
      </c>
      <c r="R241" s="206">
        <v>30363689</v>
      </c>
      <c r="S241" s="207">
        <v>48086533</v>
      </c>
      <c r="T241" s="207">
        <v>0</v>
      </c>
      <c r="U241" s="207">
        <v>34622302</v>
      </c>
      <c r="V241" s="207">
        <v>0</v>
      </c>
      <c r="W241" s="207">
        <f>10000+138+2000</f>
        <v>12138</v>
      </c>
      <c r="X241" s="207">
        <v>0</v>
      </c>
      <c r="Z241" s="207">
        <v>0</v>
      </c>
      <c r="AA241" s="207">
        <v>0</v>
      </c>
      <c r="AB241" s="176">
        <f t="shared" si="279"/>
        <v>34634440</v>
      </c>
      <c r="AC241" s="177">
        <f t="shared" si="256"/>
        <v>72.0252383344002</v>
      </c>
      <c r="AD241" s="177">
        <f t="shared" si="280"/>
        <v>37.92413262278464</v>
      </c>
      <c r="AE241" s="26">
        <f t="shared" si="320"/>
        <v>1.1377239786835391</v>
      </c>
      <c r="AF241" s="178">
        <f t="shared" si="257"/>
        <v>71.999996339931599</v>
      </c>
      <c r="AG241" s="178">
        <f t="shared" si="258"/>
        <v>72.0252383344002</v>
      </c>
      <c r="AH241" s="178">
        <f t="shared" si="282"/>
        <v>2.5241994468601092E-2</v>
      </c>
      <c r="AI241" s="179">
        <f t="shared" si="283"/>
        <v>100</v>
      </c>
      <c r="AJ241" s="30">
        <f t="shared" si="321"/>
        <v>4</v>
      </c>
      <c r="AK241" s="204">
        <v>8</v>
      </c>
      <c r="AL241" s="204">
        <v>10</v>
      </c>
      <c r="AM241" s="204">
        <v>0</v>
      </c>
      <c r="AN241" s="181">
        <f t="shared" si="243"/>
        <v>18</v>
      </c>
      <c r="AO241" s="182">
        <f t="shared" si="244"/>
        <v>0</v>
      </c>
      <c r="AP241" s="183">
        <f t="shared" si="259"/>
        <v>100</v>
      </c>
      <c r="AQ241" s="38">
        <f t="shared" si="322"/>
        <v>2</v>
      </c>
      <c r="AR241" s="212">
        <v>3</v>
      </c>
      <c r="AS241" s="292">
        <f t="shared" si="245"/>
        <v>0.25</v>
      </c>
      <c r="AT241" s="185">
        <f t="shared" si="246"/>
        <v>2</v>
      </c>
      <c r="AU241" s="185">
        <f t="shared" si="260"/>
        <v>2</v>
      </c>
      <c r="AV241" s="186">
        <f t="shared" si="247"/>
        <v>12.5</v>
      </c>
      <c r="AW241" s="179">
        <f t="shared" si="261"/>
        <v>60</v>
      </c>
      <c r="AX241" s="239">
        <f t="shared" si="323"/>
        <v>0.6</v>
      </c>
      <c r="AY241" s="54">
        <v>11</v>
      </c>
      <c r="AZ241" s="54">
        <v>33</v>
      </c>
      <c r="BA241" s="189">
        <f t="shared" si="248"/>
        <v>33</v>
      </c>
      <c r="BB241" s="178">
        <f t="shared" si="262"/>
        <v>100</v>
      </c>
      <c r="BC241" s="179">
        <f t="shared" si="263"/>
        <v>100</v>
      </c>
      <c r="BD241" s="30">
        <f t="shared" si="324"/>
        <v>1</v>
      </c>
      <c r="BE241" s="190">
        <v>63365779</v>
      </c>
      <c r="BF241" s="190">
        <v>4742777</v>
      </c>
      <c r="BG241" s="54">
        <v>1809531</v>
      </c>
      <c r="BH241" s="191">
        <f t="shared" si="249"/>
        <v>68108556</v>
      </c>
      <c r="BI241" s="178">
        <f t="shared" si="250"/>
        <v>2.6568335995847567</v>
      </c>
      <c r="BJ241" s="294" t="str">
        <f t="shared" si="264"/>
        <v>비제조/서비스업</v>
      </c>
      <c r="BK241" s="192">
        <f t="shared" si="265"/>
        <v>1.7464434573900924</v>
      </c>
      <c r="BL241" s="193">
        <f t="shared" si="266"/>
        <v>0.9103901421946643</v>
      </c>
      <c r="BM241" s="241">
        <f t="shared" si="267"/>
        <v>60</v>
      </c>
      <c r="BN241" s="47">
        <f t="shared" si="268"/>
        <v>1.2</v>
      </c>
      <c r="BO241" s="54">
        <v>0</v>
      </c>
      <c r="BP241" s="194">
        <f t="shared" si="251"/>
        <v>0</v>
      </c>
      <c r="BQ241" s="179">
        <f t="shared" si="269"/>
        <v>25</v>
      </c>
      <c r="BR241" s="30">
        <f t="shared" si="325"/>
        <v>0.5</v>
      </c>
      <c r="BS241" s="195">
        <v>4318691.665</v>
      </c>
      <c r="BT241" s="195">
        <v>20823.182000000001</v>
      </c>
      <c r="BU241" s="196">
        <f t="shared" si="270"/>
        <v>4297868.483</v>
      </c>
      <c r="BV241" s="178">
        <f t="shared" si="252"/>
        <v>0.19739785723185557</v>
      </c>
      <c r="BW241" s="192">
        <f t="shared" si="271"/>
        <v>2.8482825397737606</v>
      </c>
      <c r="BX241" s="192">
        <f t="shared" si="272"/>
        <v>7.0271896001352951</v>
      </c>
      <c r="BY241" s="192">
        <f t="shared" si="273"/>
        <v>5.5697595856656799</v>
      </c>
      <c r="BZ241" s="192">
        <f t="shared" si="274"/>
        <v>68.294228893027736</v>
      </c>
      <c r="CA241" s="192">
        <f t="shared" si="253"/>
        <v>40</v>
      </c>
      <c r="CB241" s="55">
        <f t="shared" si="275"/>
        <v>0.8</v>
      </c>
      <c r="CC241" s="197">
        <f t="shared" si="326"/>
        <v>117.37628004031077</v>
      </c>
      <c r="CD241" s="198">
        <f t="shared" si="327"/>
        <v>56.13959294963162</v>
      </c>
      <c r="CE241" s="58">
        <f t="shared" si="328"/>
        <v>0.84209389424447423</v>
      </c>
      <c r="CF241" s="245" t="s">
        <v>2326</v>
      </c>
      <c r="CG241" s="245" t="s">
        <v>2326</v>
      </c>
      <c r="CH241" s="245" t="s">
        <v>2326</v>
      </c>
      <c r="CI241" s="245" t="s">
        <v>2326</v>
      </c>
      <c r="CJ241" s="235"/>
      <c r="CK241" s="173" t="s">
        <v>2491</v>
      </c>
      <c r="CL241" s="173" t="s">
        <v>2478</v>
      </c>
      <c r="CM241" s="199">
        <f t="shared" si="276"/>
        <v>25</v>
      </c>
      <c r="CN241" s="58">
        <f t="shared" si="329"/>
        <v>0.375</v>
      </c>
      <c r="CO241" s="54">
        <v>0</v>
      </c>
      <c r="CP241" s="186">
        <f t="shared" si="254"/>
        <v>0</v>
      </c>
      <c r="CQ241" s="179">
        <f t="shared" si="277"/>
        <v>100</v>
      </c>
      <c r="CR241" s="30">
        <f t="shared" si="330"/>
        <v>3</v>
      </c>
      <c r="CS241" s="200">
        <f>_xlfn.XLOOKUP(C241, '1-1. 관계사체무보증금액 (환율 등)'!$3:$3, '1-1. 관계사체무보증금액 (환율 등)'!$33:$33)</f>
        <v>0</v>
      </c>
      <c r="CT241" s="178">
        <f t="shared" si="255"/>
        <v>0</v>
      </c>
      <c r="CU241" s="179">
        <f t="shared" si="278"/>
        <v>100</v>
      </c>
      <c r="CV241" s="30">
        <f t="shared" si="331"/>
        <v>2</v>
      </c>
      <c r="CW241" s="72">
        <f t="shared" si="295"/>
        <v>17.454817872928011</v>
      </c>
    </row>
    <row r="242" spans="1:101" x14ac:dyDescent="0.6">
      <c r="A242" s="214" t="s">
        <v>1847</v>
      </c>
      <c r="B242" s="13" t="s">
        <v>2222</v>
      </c>
      <c r="C242" s="219" t="s">
        <v>1848</v>
      </c>
      <c r="D242" s="14" t="s">
        <v>202</v>
      </c>
      <c r="E242" s="217" t="s">
        <v>56</v>
      </c>
      <c r="F242" s="217" t="s">
        <v>1849</v>
      </c>
      <c r="G242" s="218">
        <v>36152</v>
      </c>
      <c r="H242" s="217" t="s">
        <v>830</v>
      </c>
      <c r="I242" s="217" t="s">
        <v>1850</v>
      </c>
      <c r="J242" s="217" t="s">
        <v>1851</v>
      </c>
      <c r="K242" s="217" t="s">
        <v>690</v>
      </c>
      <c r="L242" s="220">
        <v>30417774000</v>
      </c>
      <c r="M242" s="206">
        <v>15559694000</v>
      </c>
      <c r="N242" s="206">
        <v>14858080000</v>
      </c>
      <c r="O242" s="206">
        <v>18289243000</v>
      </c>
      <c r="P242" s="206">
        <v>1168103000</v>
      </c>
      <c r="Q242" s="206">
        <v>1270743000</v>
      </c>
      <c r="R242" s="206">
        <v>763750000</v>
      </c>
      <c r="S242" s="207">
        <v>261111808</v>
      </c>
      <c r="T242" s="207">
        <v>5069130</v>
      </c>
      <c r="U242" s="207">
        <v>0</v>
      </c>
      <c r="V242" s="207">
        <v>0</v>
      </c>
      <c r="W242" s="207">
        <f>36571+1100+1892+1979+1421+11633+949*2+15348+17957+12618+13914+11461+12607+13320+4418+7599+5990+10326+7539+7574+5201+6996+11102+7030+7930+1905+5502+7307+10062+8677+10381+8072+2500+10127+10334+81+3991+95+36+2145+127+875+3426+4720+6182+4387+1887+81+16+4813+6734+3594+1446+450+10035+102+4104+5575+6396+46+6178+4549+234+4238+6408+5516+2856+81+6999+194+81+2345+3813+4003+8045+5934+6434+6552+55+94+5265+5511+66+1999+81*2+4948+4691+4384+1973+3807+91+8035+3614+2048+4205+3403+3391+3038+2263+2843+81+2440</f>
        <v>524502</v>
      </c>
      <c r="X242" s="207">
        <v>0</v>
      </c>
      <c r="Z242" s="207">
        <v>0</v>
      </c>
      <c r="AA242" s="207">
        <v>0</v>
      </c>
      <c r="AB242" s="176">
        <f t="shared" si="279"/>
        <v>524502</v>
      </c>
      <c r="AC242" s="177">
        <f t="shared" si="256"/>
        <v>0.20087257026691033</v>
      </c>
      <c r="AD242" s="177">
        <f t="shared" si="280"/>
        <v>99.912940819677587</v>
      </c>
      <c r="AE242" s="26">
        <f t="shared" si="320"/>
        <v>2.9973882245903276</v>
      </c>
      <c r="AF242" s="178">
        <f t="shared" si="257"/>
        <v>0</v>
      </c>
      <c r="AG242" s="178">
        <f t="shared" si="258"/>
        <v>0.20484944310729322</v>
      </c>
      <c r="AH242" s="178">
        <f t="shared" si="282"/>
        <v>0.20484944310729322</v>
      </c>
      <c r="AI242" s="179">
        <f t="shared" si="283"/>
        <v>100</v>
      </c>
      <c r="AJ242" s="30">
        <f t="shared" si="321"/>
        <v>4</v>
      </c>
      <c r="AK242" s="204">
        <v>10</v>
      </c>
      <c r="AL242" s="204">
        <v>97</v>
      </c>
      <c r="AM242" s="204">
        <v>0</v>
      </c>
      <c r="AN242" s="181">
        <f t="shared" si="243"/>
        <v>107</v>
      </c>
      <c r="AO242" s="182">
        <f t="shared" si="244"/>
        <v>0</v>
      </c>
      <c r="AP242" s="183">
        <f t="shared" si="259"/>
        <v>100</v>
      </c>
      <c r="AQ242" s="38">
        <f t="shared" si="322"/>
        <v>2</v>
      </c>
      <c r="AR242" s="212">
        <v>4</v>
      </c>
      <c r="AS242" s="292">
        <f t="shared" si="245"/>
        <v>0.5</v>
      </c>
      <c r="AT242" s="185">
        <f t="shared" si="246"/>
        <v>5</v>
      </c>
      <c r="AU242" s="185">
        <f t="shared" si="260"/>
        <v>5</v>
      </c>
      <c r="AV242" s="186">
        <f t="shared" si="247"/>
        <v>-10</v>
      </c>
      <c r="AW242" s="179">
        <f t="shared" si="261"/>
        <v>20</v>
      </c>
      <c r="AX242" s="239">
        <f t="shared" si="323"/>
        <v>0.2</v>
      </c>
      <c r="AY242" s="54">
        <v>23</v>
      </c>
      <c r="AZ242" s="54">
        <f>23*4-1</f>
        <v>91</v>
      </c>
      <c r="BA242" s="189">
        <f t="shared" si="248"/>
        <v>92</v>
      </c>
      <c r="BB242" s="178">
        <f t="shared" si="262"/>
        <v>98.91304347826086</v>
      </c>
      <c r="BC242" s="179">
        <f t="shared" si="263"/>
        <v>100</v>
      </c>
      <c r="BD242" s="30">
        <f t="shared" si="324"/>
        <v>1</v>
      </c>
      <c r="BE242" s="190">
        <v>2380672000</v>
      </c>
      <c r="BF242" s="190">
        <f>(115736+45227)*1000</f>
        <v>160963000</v>
      </c>
      <c r="BG242" s="301">
        <v>0</v>
      </c>
      <c r="BH242" s="191">
        <f t="shared" si="249"/>
        <v>2541635000</v>
      </c>
      <c r="BI242" s="178">
        <f t="shared" si="250"/>
        <v>0</v>
      </c>
      <c r="BJ242" s="294" t="str">
        <f t="shared" si="264"/>
        <v>전기전자/기계업</v>
      </c>
      <c r="BK242" s="192">
        <f t="shared" si="265"/>
        <v>2.4096449716116455</v>
      </c>
      <c r="BL242" s="193">
        <f t="shared" si="266"/>
        <v>-2.4096449716116455</v>
      </c>
      <c r="BM242" s="241">
        <f t="shared" si="267"/>
        <v>100</v>
      </c>
      <c r="BN242" s="47">
        <f t="shared" si="268"/>
        <v>2</v>
      </c>
      <c r="BO242" s="54">
        <f>(230621-8)*1000</f>
        <v>230613000</v>
      </c>
      <c r="BP242" s="194">
        <f t="shared" si="251"/>
        <v>1.2609215154503661</v>
      </c>
      <c r="BQ242" s="179">
        <f t="shared" si="269"/>
        <v>70</v>
      </c>
      <c r="BR242" s="30">
        <f t="shared" si="325"/>
        <v>1.4000000000000001</v>
      </c>
      <c r="BS242" s="195">
        <v>2980008000</v>
      </c>
      <c r="BT242" s="195">
        <v>60619000</v>
      </c>
      <c r="BU242" s="196">
        <f t="shared" si="270"/>
        <v>2919389000</v>
      </c>
      <c r="BV242" s="178">
        <f t="shared" si="252"/>
        <v>15.962328238517035</v>
      </c>
      <c r="BW242" s="192">
        <f t="shared" si="271"/>
        <v>5.2309968128308268</v>
      </c>
      <c r="BX242" s="192">
        <f t="shared" si="272"/>
        <v>115.16147416792036</v>
      </c>
      <c r="BY242" s="192">
        <f t="shared" si="273"/>
        <v>7.0695458012309622</v>
      </c>
      <c r="BZ242" s="192">
        <f t="shared" si="274"/>
        <v>6.4511462503325063</v>
      </c>
      <c r="CA242" s="192">
        <f t="shared" si="253"/>
        <v>85</v>
      </c>
      <c r="CB242" s="55">
        <f t="shared" si="275"/>
        <v>1.7</v>
      </c>
      <c r="CC242" s="197">
        <f t="shared" si="326"/>
        <v>104.7221040672819</v>
      </c>
      <c r="CD242" s="198">
        <f t="shared" si="327"/>
        <v>60.908754748511846</v>
      </c>
      <c r="CE242" s="58">
        <f t="shared" si="328"/>
        <v>0.91363132122767765</v>
      </c>
      <c r="CF242" s="245" t="s">
        <v>2326</v>
      </c>
      <c r="CG242" s="245" t="s">
        <v>2326</v>
      </c>
      <c r="CH242" s="245" t="s">
        <v>2326</v>
      </c>
      <c r="CI242" s="245" t="s">
        <v>2326</v>
      </c>
      <c r="CJ242" s="235"/>
      <c r="CK242" s="173" t="s">
        <v>2518</v>
      </c>
      <c r="CL242" s="173" t="s">
        <v>2482</v>
      </c>
      <c r="CM242" s="199">
        <f t="shared" si="276"/>
        <v>55</v>
      </c>
      <c r="CN242" s="58">
        <f t="shared" si="329"/>
        <v>0.82499999999999996</v>
      </c>
      <c r="CO242" s="54">
        <v>4381877000</v>
      </c>
      <c r="CP242" s="186">
        <f t="shared" si="254"/>
        <v>29.491542648848302</v>
      </c>
      <c r="CQ242" s="179">
        <f t="shared" si="277"/>
        <v>60</v>
      </c>
      <c r="CR242" s="30">
        <f t="shared" si="330"/>
        <v>1.7999999999999998</v>
      </c>
      <c r="CS242" s="200">
        <f>_xlfn.XLOOKUP(C242, '1-1. 관계사체무보증금액 (환율 등)'!$3:$3, '1-1. 관계사체무보증금액 (환율 등)'!$33:$33)</f>
        <v>0</v>
      </c>
      <c r="CT242" s="178">
        <f t="shared" si="255"/>
        <v>0</v>
      </c>
      <c r="CU242" s="179">
        <f t="shared" si="278"/>
        <v>100</v>
      </c>
      <c r="CV242" s="30">
        <f t="shared" si="331"/>
        <v>2</v>
      </c>
      <c r="CW242" s="72">
        <f t="shared" si="295"/>
        <v>20.836019545818004</v>
      </c>
    </row>
    <row r="243" spans="1:101" x14ac:dyDescent="0.6">
      <c r="A243" s="214" t="s">
        <v>1852</v>
      </c>
      <c r="B243" s="13" t="s">
        <v>2223</v>
      </c>
      <c r="C243" s="219" t="s">
        <v>1853</v>
      </c>
      <c r="D243" s="14" t="s">
        <v>285</v>
      </c>
      <c r="E243" s="217" t="s">
        <v>1854</v>
      </c>
      <c r="F243" s="217" t="s">
        <v>1855</v>
      </c>
      <c r="G243" s="218">
        <v>40697</v>
      </c>
      <c r="H243" s="217" t="s">
        <v>830</v>
      </c>
      <c r="I243" s="217" t="s">
        <v>1856</v>
      </c>
      <c r="J243" s="217" t="s">
        <v>1857</v>
      </c>
      <c r="K243" s="217" t="s">
        <v>91</v>
      </c>
      <c r="L243" s="220">
        <v>1160021099</v>
      </c>
      <c r="M243" s="206">
        <v>357640642</v>
      </c>
      <c r="N243" s="206">
        <v>802380457</v>
      </c>
      <c r="O243" s="206">
        <v>704927362</v>
      </c>
      <c r="P243" s="206">
        <v>50599970</v>
      </c>
      <c r="Q243" s="206">
        <v>45652874</v>
      </c>
      <c r="R243" s="206">
        <v>34327224</v>
      </c>
      <c r="S243" s="207">
        <v>47821966</v>
      </c>
      <c r="T243" s="207">
        <v>238149</v>
      </c>
      <c r="U243" s="207">
        <v>23908000</v>
      </c>
      <c r="V243" s="207">
        <v>0</v>
      </c>
      <c r="W243" s="207">
        <f>1700+5000+3000+5000+5162+3000+3000+10234+5144+5000</f>
        <v>46240</v>
      </c>
      <c r="X243" s="207">
        <v>0</v>
      </c>
      <c r="Z243" s="207">
        <v>0</v>
      </c>
      <c r="AA243" s="207">
        <v>0</v>
      </c>
      <c r="AB243" s="176">
        <f t="shared" si="279"/>
        <v>23954240</v>
      </c>
      <c r="AC243" s="177">
        <f t="shared" si="256"/>
        <v>50.090454248576897</v>
      </c>
      <c r="AD243" s="177">
        <f t="shared" si="280"/>
        <v>56.855189083506708</v>
      </c>
      <c r="AE243" s="26">
        <f t="shared" si="320"/>
        <v>1.7056556725052012</v>
      </c>
      <c r="AF243" s="178">
        <f t="shared" si="257"/>
        <v>50.243972651458371</v>
      </c>
      <c r="AG243" s="178">
        <f t="shared" si="258"/>
        <v>50.341148546363989</v>
      </c>
      <c r="AH243" s="178">
        <f t="shared" si="282"/>
        <v>9.7175894905618065E-2</v>
      </c>
      <c r="AI243" s="179">
        <f t="shared" si="283"/>
        <v>100</v>
      </c>
      <c r="AJ243" s="30">
        <f t="shared" si="321"/>
        <v>4</v>
      </c>
      <c r="AK243" s="204">
        <v>9</v>
      </c>
      <c r="AL243" s="204">
        <v>8</v>
      </c>
      <c r="AM243" s="204">
        <v>0</v>
      </c>
      <c r="AN243" s="181">
        <f t="shared" si="243"/>
        <v>17</v>
      </c>
      <c r="AO243" s="182">
        <f t="shared" si="244"/>
        <v>0</v>
      </c>
      <c r="AP243" s="183">
        <f t="shared" si="259"/>
        <v>100</v>
      </c>
      <c r="AQ243" s="38">
        <f t="shared" si="322"/>
        <v>2</v>
      </c>
      <c r="AR243" s="212">
        <v>5</v>
      </c>
      <c r="AS243" s="292">
        <f t="shared" si="245"/>
        <v>0.25</v>
      </c>
      <c r="AT243" s="185">
        <f t="shared" si="246"/>
        <v>2.25</v>
      </c>
      <c r="AU243" s="185">
        <f t="shared" si="260"/>
        <v>2</v>
      </c>
      <c r="AV243" s="186">
        <f t="shared" si="247"/>
        <v>33.333333333333329</v>
      </c>
      <c r="AW243" s="179">
        <f t="shared" si="261"/>
        <v>80</v>
      </c>
      <c r="AX243" s="239">
        <f t="shared" si="323"/>
        <v>0.8</v>
      </c>
      <c r="AY243" s="54">
        <v>9</v>
      </c>
      <c r="AZ243" s="54">
        <v>45</v>
      </c>
      <c r="BA243" s="189">
        <f t="shared" si="248"/>
        <v>45</v>
      </c>
      <c r="BB243" s="178">
        <f t="shared" si="262"/>
        <v>100</v>
      </c>
      <c r="BC243" s="179">
        <f t="shared" si="263"/>
        <v>100</v>
      </c>
      <c r="BD243" s="30">
        <f t="shared" si="324"/>
        <v>1</v>
      </c>
      <c r="BE243" s="190">
        <v>30951410</v>
      </c>
      <c r="BF243" s="190">
        <v>4442635</v>
      </c>
      <c r="BG243" s="301">
        <v>0</v>
      </c>
      <c r="BH243" s="191">
        <f t="shared" si="249"/>
        <v>35394045</v>
      </c>
      <c r="BI243" s="178">
        <f t="shared" si="250"/>
        <v>0</v>
      </c>
      <c r="BJ243" s="294" t="str">
        <f t="shared" si="264"/>
        <v>비제조/서비스업</v>
      </c>
      <c r="BK243" s="192">
        <f t="shared" si="265"/>
        <v>1.7464434573900924</v>
      </c>
      <c r="BL243" s="193">
        <f t="shared" si="266"/>
        <v>-1.7464434573900924</v>
      </c>
      <c r="BM243" s="241">
        <f t="shared" si="267"/>
        <v>80</v>
      </c>
      <c r="BN243" s="47">
        <f t="shared" si="268"/>
        <v>1.6</v>
      </c>
      <c r="BO243" s="54">
        <v>0</v>
      </c>
      <c r="BP243" s="194">
        <f t="shared" si="251"/>
        <v>0</v>
      </c>
      <c r="BQ243" s="179">
        <f t="shared" si="269"/>
        <v>25</v>
      </c>
      <c r="BR243" s="30">
        <f t="shared" si="325"/>
        <v>0.5</v>
      </c>
      <c r="BS243" s="195">
        <v>43885542</v>
      </c>
      <c r="BT243" s="195">
        <v>51691177</v>
      </c>
      <c r="BU243" s="196">
        <f t="shared" si="270"/>
        <v>-7805635</v>
      </c>
      <c r="BV243" s="178">
        <f t="shared" si="252"/>
        <v>-1.1072963571528949</v>
      </c>
      <c r="BW243" s="192">
        <f t="shared" si="271"/>
        <v>2.8482825397737606</v>
      </c>
      <c r="BX243" s="192">
        <f t="shared" si="272"/>
        <v>15.646604409811498</v>
      </c>
      <c r="BY243" s="192">
        <f t="shared" si="273"/>
        <v>5.5697595856656799</v>
      </c>
      <c r="BZ243" s="192">
        <f t="shared" si="274"/>
        <v>76.120635718667273</v>
      </c>
      <c r="CA243" s="192">
        <f t="shared" si="253"/>
        <v>40</v>
      </c>
      <c r="CB243" s="55">
        <f t="shared" si="275"/>
        <v>0.8</v>
      </c>
      <c r="CC243" s="197">
        <f t="shared" si="326"/>
        <v>44.572451744048394</v>
      </c>
      <c r="CD243" s="198">
        <f t="shared" si="327"/>
        <v>83.578221704504372</v>
      </c>
      <c r="CE243" s="58">
        <f t="shared" si="328"/>
        <v>1.2536733255675656</v>
      </c>
      <c r="CF243" s="245" t="s">
        <v>2326</v>
      </c>
      <c r="CG243" s="245" t="s">
        <v>2326</v>
      </c>
      <c r="CH243" s="245" t="s">
        <v>2326</v>
      </c>
      <c r="CI243" s="245" t="s">
        <v>2326</v>
      </c>
      <c r="CJ243" s="235"/>
      <c r="CK243" s="173" t="s">
        <v>2486</v>
      </c>
      <c r="CL243" s="173" t="s">
        <v>2487</v>
      </c>
      <c r="CM243" s="199">
        <f t="shared" si="276"/>
        <v>70</v>
      </c>
      <c r="CN243" s="58">
        <f t="shared" si="329"/>
        <v>1.05</v>
      </c>
      <c r="CO243" s="54">
        <v>524260147</v>
      </c>
      <c r="CP243" s="186">
        <f t="shared" si="254"/>
        <v>65.338100202507803</v>
      </c>
      <c r="CQ243" s="179">
        <f t="shared" si="277"/>
        <v>40</v>
      </c>
      <c r="CR243" s="30">
        <f t="shared" si="330"/>
        <v>1.2</v>
      </c>
      <c r="CS243" s="200">
        <f>_xlfn.XLOOKUP(C243, '1-1. 관계사체무보증금액 (환율 등)'!$3:$3, '1-1. 관계사체무보증금액 (환율 등)'!$33:$33)</f>
        <v>0</v>
      </c>
      <c r="CT243" s="178">
        <f t="shared" si="255"/>
        <v>0</v>
      </c>
      <c r="CU243" s="179">
        <f t="shared" si="278"/>
        <v>100</v>
      </c>
      <c r="CV243" s="30">
        <f t="shared" si="331"/>
        <v>2</v>
      </c>
      <c r="CW243" s="72">
        <f t="shared" si="295"/>
        <v>17.909328998072766</v>
      </c>
    </row>
    <row r="244" spans="1:101" x14ac:dyDescent="0.6">
      <c r="A244" s="214" t="s">
        <v>349</v>
      </c>
      <c r="B244" s="13" t="s">
        <v>2224</v>
      </c>
      <c r="C244" s="219" t="s">
        <v>60</v>
      </c>
      <c r="D244" s="216" t="s">
        <v>191</v>
      </c>
      <c r="E244" s="217" t="s">
        <v>417</v>
      </c>
      <c r="F244" s="217" t="s">
        <v>1135</v>
      </c>
      <c r="G244" s="218">
        <v>36441</v>
      </c>
      <c r="H244" s="217" t="s">
        <v>830</v>
      </c>
      <c r="I244" s="217" t="s">
        <v>612</v>
      </c>
      <c r="J244" s="217" t="s">
        <v>1011</v>
      </c>
      <c r="K244" s="217" t="s">
        <v>934</v>
      </c>
      <c r="L244" s="220">
        <v>10156905259</v>
      </c>
      <c r="M244" s="206">
        <v>2103300926</v>
      </c>
      <c r="N244" s="206">
        <v>8053604333</v>
      </c>
      <c r="O244" s="206">
        <v>3694358039</v>
      </c>
      <c r="P244" s="206">
        <v>1120293986</v>
      </c>
      <c r="Q244" s="206">
        <v>1315961612</v>
      </c>
      <c r="R244" s="206">
        <v>958039985</v>
      </c>
      <c r="S244" s="207">
        <v>137292497</v>
      </c>
      <c r="T244" s="207">
        <v>21012574</v>
      </c>
      <c r="U244" s="207">
        <v>0</v>
      </c>
      <c r="V244" s="207">
        <v>0</v>
      </c>
      <c r="W244" s="207">
        <f>3893+3371+250+3245+4270+5268+4008+710+2589+2689+3473+2687+2513+3378+4768+2917+3257+3606+2683+2524+2058+3536+2627+3213+2146+1392+2554+3596+3536+2256+1156+1667+3521+3381+2126+3304+3490+2617+3050+1293+1716+2208+3150+2037+1036+2518</f>
        <v>127283</v>
      </c>
      <c r="X244" s="207">
        <v>0</v>
      </c>
      <c r="Z244" s="207">
        <v>0</v>
      </c>
      <c r="AA244" s="207">
        <v>0</v>
      </c>
      <c r="AB244" s="176">
        <f t="shared" si="279"/>
        <v>127283</v>
      </c>
      <c r="AC244" s="177">
        <f t="shared" si="256"/>
        <v>9.2709363425737684E-2</v>
      </c>
      <c r="AD244" s="177">
        <f t="shared" si="280"/>
        <v>100.00629226401691</v>
      </c>
      <c r="AE244" s="26">
        <f t="shared" si="320"/>
        <v>3.0001887679205073</v>
      </c>
      <c r="AF244" s="178">
        <f t="shared" si="257"/>
        <v>0</v>
      </c>
      <c r="AG244" s="178">
        <f t="shared" si="258"/>
        <v>0.10946257678550407</v>
      </c>
      <c r="AH244" s="178">
        <f t="shared" si="282"/>
        <v>0.10946257678550407</v>
      </c>
      <c r="AI244" s="179">
        <f t="shared" si="283"/>
        <v>100</v>
      </c>
      <c r="AJ244" s="30">
        <f t="shared" si="321"/>
        <v>4</v>
      </c>
      <c r="AK244" s="204">
        <v>8</v>
      </c>
      <c r="AL244" s="204">
        <v>43</v>
      </c>
      <c r="AM244" s="204">
        <v>0</v>
      </c>
      <c r="AN244" s="181">
        <f t="shared" si="243"/>
        <v>51</v>
      </c>
      <c r="AO244" s="182">
        <f t="shared" si="244"/>
        <v>0</v>
      </c>
      <c r="AP244" s="183">
        <f t="shared" si="259"/>
        <v>100</v>
      </c>
      <c r="AQ244" s="38">
        <f t="shared" si="322"/>
        <v>2</v>
      </c>
      <c r="AR244" s="212">
        <v>6</v>
      </c>
      <c r="AS244" s="292">
        <f t="shared" si="245"/>
        <v>0.5</v>
      </c>
      <c r="AT244" s="185">
        <f t="shared" si="246"/>
        <v>4</v>
      </c>
      <c r="AU244" s="185">
        <f t="shared" si="260"/>
        <v>4</v>
      </c>
      <c r="AV244" s="186">
        <f t="shared" si="247"/>
        <v>25</v>
      </c>
      <c r="AW244" s="179">
        <f t="shared" si="261"/>
        <v>80</v>
      </c>
      <c r="AX244" s="239">
        <f t="shared" si="323"/>
        <v>0.8</v>
      </c>
      <c r="AY244" s="54">
        <v>12</v>
      </c>
      <c r="AZ244" s="54">
        <f>12*6</f>
        <v>72</v>
      </c>
      <c r="BA244" s="189">
        <f t="shared" si="248"/>
        <v>72</v>
      </c>
      <c r="BB244" s="178">
        <f t="shared" si="262"/>
        <v>100</v>
      </c>
      <c r="BC244" s="179">
        <f t="shared" si="263"/>
        <v>100</v>
      </c>
      <c r="BD244" s="30">
        <f t="shared" si="324"/>
        <v>1</v>
      </c>
      <c r="BE244" s="190">
        <v>295739000</v>
      </c>
      <c r="BF244" s="190">
        <v>37805000</v>
      </c>
      <c r="BG244" s="301">
        <v>0</v>
      </c>
      <c r="BH244" s="191">
        <f t="shared" si="249"/>
        <v>333544000</v>
      </c>
      <c r="BI244" s="178">
        <f t="shared" si="250"/>
        <v>0</v>
      </c>
      <c r="BJ244" s="294" t="str">
        <f t="shared" si="264"/>
        <v>식약/섬유/종이업</v>
      </c>
      <c r="BK244" s="192">
        <f t="shared" si="265"/>
        <v>2.1999360555264444</v>
      </c>
      <c r="BL244" s="193">
        <f t="shared" si="266"/>
        <v>-2.1999360555264444</v>
      </c>
      <c r="BM244" s="241">
        <f t="shared" si="267"/>
        <v>100</v>
      </c>
      <c r="BN244" s="47">
        <f t="shared" si="268"/>
        <v>2</v>
      </c>
      <c r="BO244" s="54">
        <v>56023000</v>
      </c>
      <c r="BP244" s="194">
        <f t="shared" si="251"/>
        <v>1.5164474966580248</v>
      </c>
      <c r="BQ244" s="179">
        <f t="shared" si="269"/>
        <v>70</v>
      </c>
      <c r="BR244" s="30">
        <f t="shared" si="325"/>
        <v>1.4000000000000001</v>
      </c>
      <c r="BS244" s="195">
        <v>128933637.44400001</v>
      </c>
      <c r="BT244" s="195">
        <v>3785319.9169999999</v>
      </c>
      <c r="BU244" s="196">
        <f t="shared" si="270"/>
        <v>125148317.52700001</v>
      </c>
      <c r="BV244" s="178">
        <f t="shared" si="252"/>
        <v>3.3875524842436637</v>
      </c>
      <c r="BW244" s="192">
        <f t="shared" si="271"/>
        <v>5.0508176117342281</v>
      </c>
      <c r="BX244" s="192">
        <f t="shared" si="272"/>
        <v>2.7664508843262032</v>
      </c>
      <c r="BY244" s="192">
        <f t="shared" si="273"/>
        <v>6.9871618081220941</v>
      </c>
      <c r="BZ244" s="192">
        <f t="shared" si="274"/>
        <v>59.407724771738387</v>
      </c>
      <c r="CA244" s="192">
        <f t="shared" si="253"/>
        <v>55</v>
      </c>
      <c r="CB244" s="55">
        <f t="shared" si="275"/>
        <v>1.1000000000000001</v>
      </c>
      <c r="CC244" s="197">
        <f t="shared" si="326"/>
        <v>26.116268431286493</v>
      </c>
      <c r="CD244" s="198">
        <f t="shared" si="327"/>
        <v>90.534069686701073</v>
      </c>
      <c r="CE244" s="58">
        <f t="shared" si="328"/>
        <v>1.3580110453005161</v>
      </c>
      <c r="CF244" s="245" t="s">
        <v>2326</v>
      </c>
      <c r="CG244" s="245" t="s">
        <v>2326</v>
      </c>
      <c r="CH244" s="245" t="s">
        <v>2326</v>
      </c>
      <c r="CI244" s="245" t="s">
        <v>2326</v>
      </c>
      <c r="CJ244" s="235"/>
      <c r="CK244" s="173" t="s">
        <v>2479</v>
      </c>
      <c r="CL244" s="173" t="s">
        <v>2478</v>
      </c>
      <c r="CM244" s="199">
        <f t="shared" si="276"/>
        <v>25</v>
      </c>
      <c r="CN244" s="58">
        <f t="shared" si="329"/>
        <v>0.375</v>
      </c>
      <c r="CO244" s="54">
        <v>1410082000</v>
      </c>
      <c r="CP244" s="186">
        <f t="shared" si="254"/>
        <v>17.508707178748857</v>
      </c>
      <c r="CQ244" s="179">
        <f t="shared" si="277"/>
        <v>60</v>
      </c>
      <c r="CR244" s="30">
        <f t="shared" si="330"/>
        <v>1.7999999999999998</v>
      </c>
      <c r="CS244" s="200">
        <f>_xlfn.XLOOKUP(C244, '1-1. 관계사체무보증금액 (환율 등)'!$3:$3, '1-1. 관계사체무보증금액 (환율 등)'!$33:$33)</f>
        <v>0</v>
      </c>
      <c r="CT244" s="178">
        <f t="shared" si="255"/>
        <v>0</v>
      </c>
      <c r="CU244" s="179">
        <f t="shared" si="278"/>
        <v>100</v>
      </c>
      <c r="CV244" s="30">
        <f t="shared" si="331"/>
        <v>2</v>
      </c>
      <c r="CW244" s="72">
        <f t="shared" si="295"/>
        <v>20.833199813221025</v>
      </c>
    </row>
    <row r="245" spans="1:101" x14ac:dyDescent="0.6">
      <c r="A245" s="214" t="s">
        <v>90</v>
      </c>
      <c r="B245" s="13" t="s">
        <v>2225</v>
      </c>
      <c r="C245" s="219" t="s">
        <v>109</v>
      </c>
      <c r="D245" s="216" t="s">
        <v>202</v>
      </c>
      <c r="E245" s="217" t="s">
        <v>205</v>
      </c>
      <c r="F245" s="217" t="s">
        <v>1152</v>
      </c>
      <c r="G245" s="218">
        <v>31299</v>
      </c>
      <c r="H245" s="217" t="s">
        <v>830</v>
      </c>
      <c r="I245" s="217" t="s">
        <v>847</v>
      </c>
      <c r="J245" s="217" t="s">
        <v>1096</v>
      </c>
      <c r="K245" s="217" t="s">
        <v>690</v>
      </c>
      <c r="L245" s="220">
        <v>862006786</v>
      </c>
      <c r="M245" s="206">
        <v>408796042</v>
      </c>
      <c r="N245" s="206">
        <v>453210744</v>
      </c>
      <c r="O245" s="206">
        <v>804572920</v>
      </c>
      <c r="P245" s="206">
        <v>60293639</v>
      </c>
      <c r="Q245" s="206">
        <v>64653383</v>
      </c>
      <c r="R245" s="206">
        <v>54734419</v>
      </c>
      <c r="S245" s="207">
        <v>23620751</v>
      </c>
      <c r="T245" s="207">
        <v>0</v>
      </c>
      <c r="U245" s="207">
        <f>9388614+1602272</f>
        <v>10990886</v>
      </c>
      <c r="V245" s="207">
        <f>28240+752462+387266</f>
        <v>1167968</v>
      </c>
      <c r="W245" s="207">
        <f>1859</f>
        <v>1859</v>
      </c>
      <c r="X245" s="207">
        <v>0</v>
      </c>
      <c r="Z245" s="207">
        <v>310187</v>
      </c>
      <c r="AA245" s="207">
        <v>0</v>
      </c>
      <c r="AB245" s="176">
        <f t="shared" si="279"/>
        <v>12470900</v>
      </c>
      <c r="AC245" s="177">
        <f t="shared" si="256"/>
        <v>52.796373832483148</v>
      </c>
      <c r="AD245" s="177">
        <f t="shared" si="280"/>
        <v>54.519815449525481</v>
      </c>
      <c r="AE245" s="26">
        <f t="shared" si="320"/>
        <v>1.6355944634857644</v>
      </c>
      <c r="AF245" s="178">
        <f t="shared" si="257"/>
        <v>51.475306606466489</v>
      </c>
      <c r="AG245" s="178">
        <f t="shared" si="258"/>
        <v>52.796373832483148</v>
      </c>
      <c r="AH245" s="178">
        <f t="shared" si="282"/>
        <v>1.3210672260166589</v>
      </c>
      <c r="AI245" s="179">
        <f t="shared" si="283"/>
        <v>100</v>
      </c>
      <c r="AJ245" s="30">
        <f t="shared" si="321"/>
        <v>4</v>
      </c>
      <c r="AK245" s="204">
        <v>5</v>
      </c>
      <c r="AL245" s="204">
        <v>29</v>
      </c>
      <c r="AM245" s="204">
        <v>1</v>
      </c>
      <c r="AN245" s="181">
        <f t="shared" si="243"/>
        <v>34</v>
      </c>
      <c r="AO245" s="182">
        <f t="shared" si="244"/>
        <v>2.9411764705882351</v>
      </c>
      <c r="AP245" s="183">
        <f t="shared" si="259"/>
        <v>100</v>
      </c>
      <c r="AQ245" s="38">
        <f t="shared" si="322"/>
        <v>2</v>
      </c>
      <c r="AR245" s="212">
        <v>1</v>
      </c>
      <c r="AS245" s="292">
        <f t="shared" si="245"/>
        <v>0.25</v>
      </c>
      <c r="AT245" s="185">
        <f t="shared" si="246"/>
        <v>1.25</v>
      </c>
      <c r="AU245" s="185">
        <f t="shared" si="260"/>
        <v>1</v>
      </c>
      <c r="AV245" s="186">
        <f t="shared" si="247"/>
        <v>0</v>
      </c>
      <c r="AW245" s="179">
        <f t="shared" si="261"/>
        <v>40</v>
      </c>
      <c r="AX245" s="239">
        <f t="shared" si="323"/>
        <v>0.4</v>
      </c>
      <c r="AY245" s="54">
        <v>11</v>
      </c>
      <c r="AZ245" s="54">
        <v>11</v>
      </c>
      <c r="BA245" s="189">
        <f t="shared" si="248"/>
        <v>11</v>
      </c>
      <c r="BB245" s="178">
        <f t="shared" si="262"/>
        <v>100</v>
      </c>
      <c r="BC245" s="179">
        <f t="shared" si="263"/>
        <v>100</v>
      </c>
      <c r="BD245" s="30">
        <f t="shared" si="324"/>
        <v>1</v>
      </c>
      <c r="BE245" s="190">
        <v>8942257</v>
      </c>
      <c r="BF245" s="190">
        <v>861046</v>
      </c>
      <c r="BG245" s="54">
        <v>325716</v>
      </c>
      <c r="BH245" s="191">
        <f t="shared" si="249"/>
        <v>9803303</v>
      </c>
      <c r="BI245" s="178">
        <f t="shared" si="250"/>
        <v>3.3225128306245355</v>
      </c>
      <c r="BJ245" s="294" t="str">
        <f t="shared" si="264"/>
        <v>전기전자/기계업</v>
      </c>
      <c r="BK245" s="192">
        <f t="shared" si="265"/>
        <v>2.4096449716116455</v>
      </c>
      <c r="BL245" s="193">
        <f t="shared" si="266"/>
        <v>0.91286785901289003</v>
      </c>
      <c r="BM245" s="241">
        <f t="shared" si="267"/>
        <v>60</v>
      </c>
      <c r="BN245" s="47">
        <f t="shared" si="268"/>
        <v>1.2</v>
      </c>
      <c r="BO245" s="54">
        <v>9077359</v>
      </c>
      <c r="BP245" s="194">
        <f t="shared" si="251"/>
        <v>1.1282207956986672</v>
      </c>
      <c r="BQ245" s="179">
        <f t="shared" si="269"/>
        <v>70</v>
      </c>
      <c r="BR245" s="30">
        <f t="shared" si="325"/>
        <v>1.4000000000000001</v>
      </c>
      <c r="BS245" s="195">
        <v>215863376.882</v>
      </c>
      <c r="BT245" s="195">
        <v>242059.16</v>
      </c>
      <c r="BU245" s="196">
        <f t="shared" si="270"/>
        <v>215621317.722</v>
      </c>
      <c r="BV245" s="178">
        <f t="shared" si="252"/>
        <v>26.799474896818552</v>
      </c>
      <c r="BW245" s="192">
        <f t="shared" si="271"/>
        <v>5.2309968128308268</v>
      </c>
      <c r="BX245" s="192">
        <f t="shared" si="272"/>
        <v>465.19924685945875</v>
      </c>
      <c r="BY245" s="192">
        <f t="shared" si="273"/>
        <v>7.0695458012309622</v>
      </c>
      <c r="BZ245" s="192">
        <f t="shared" si="274"/>
        <v>0.11407823178966048</v>
      </c>
      <c r="CA245" s="192">
        <f t="shared" si="253"/>
        <v>100</v>
      </c>
      <c r="CB245" s="55">
        <f t="shared" si="275"/>
        <v>2</v>
      </c>
      <c r="CC245" s="197">
        <f t="shared" si="326"/>
        <v>90.199989168835771</v>
      </c>
      <c r="CD245" s="198">
        <f t="shared" si="327"/>
        <v>66.381913629835765</v>
      </c>
      <c r="CE245" s="58">
        <f t="shared" si="328"/>
        <v>0.99572870444753647</v>
      </c>
      <c r="CF245" s="245" t="s">
        <v>2326</v>
      </c>
      <c r="CG245" s="245" t="s">
        <v>2326</v>
      </c>
      <c r="CH245" s="245" t="s">
        <v>2326</v>
      </c>
      <c r="CI245" s="245" t="s">
        <v>2326</v>
      </c>
      <c r="CJ245" s="235"/>
      <c r="CK245" s="173" t="s">
        <v>2490</v>
      </c>
      <c r="CL245" s="173" t="s">
        <v>2487</v>
      </c>
      <c r="CM245" s="199">
        <f t="shared" si="276"/>
        <v>70</v>
      </c>
      <c r="CN245" s="58">
        <f t="shared" si="329"/>
        <v>1.05</v>
      </c>
      <c r="CO245" s="54">
        <v>162396000</v>
      </c>
      <c r="CP245" s="186">
        <f t="shared" si="254"/>
        <v>35.832336755017444</v>
      </c>
      <c r="CQ245" s="179">
        <f t="shared" si="277"/>
        <v>40</v>
      </c>
      <c r="CR245" s="30">
        <f t="shared" si="330"/>
        <v>1.2</v>
      </c>
      <c r="CS245" s="200">
        <f>_xlfn.XLOOKUP(C245, '1-1. 관계사체무보증금액 (환율 등)'!$3:$3, '1-1. 관계사체무보증금액 (환율 등)'!$33:$33)</f>
        <v>0</v>
      </c>
      <c r="CT245" s="178">
        <f t="shared" si="255"/>
        <v>0</v>
      </c>
      <c r="CU245" s="179">
        <f t="shared" si="278"/>
        <v>100</v>
      </c>
      <c r="CV245" s="30">
        <f t="shared" si="331"/>
        <v>2</v>
      </c>
      <c r="CW245" s="72">
        <f t="shared" si="295"/>
        <v>18.881323167933303</v>
      </c>
    </row>
    <row r="246" spans="1:101" x14ac:dyDescent="0.6">
      <c r="A246" s="214" t="s">
        <v>1858</v>
      </c>
      <c r="B246" s="13" t="s">
        <v>2226</v>
      </c>
      <c r="C246" s="219" t="s">
        <v>340</v>
      </c>
      <c r="D246" s="221" t="s">
        <v>481</v>
      </c>
      <c r="E246" s="217" t="s">
        <v>434</v>
      </c>
      <c r="F246" s="217" t="s">
        <v>226</v>
      </c>
      <c r="G246" s="218">
        <v>25559</v>
      </c>
      <c r="H246" s="217" t="s">
        <v>830</v>
      </c>
      <c r="I246" s="217" t="s">
        <v>769</v>
      </c>
      <c r="J246" s="217" t="s">
        <v>1203</v>
      </c>
      <c r="K246" s="217" t="s">
        <v>91</v>
      </c>
      <c r="L246" s="220">
        <v>14636016261</v>
      </c>
      <c r="M246" s="206">
        <v>11750407058</v>
      </c>
      <c r="N246" s="206">
        <v>2885609203</v>
      </c>
      <c r="O246" s="206">
        <v>7176643744</v>
      </c>
      <c r="P246" s="206">
        <v>212022730</v>
      </c>
      <c r="Q246" s="206">
        <v>211256816</v>
      </c>
      <c r="R246" s="206">
        <v>175248934</v>
      </c>
      <c r="S246" s="207">
        <v>140822939</v>
      </c>
      <c r="T246" s="207">
        <v>18107901</v>
      </c>
      <c r="U246" s="207">
        <v>8265872</v>
      </c>
      <c r="V246" s="207">
        <f>27510277-8265872-3249159</f>
        <v>15995246</v>
      </c>
      <c r="W246" s="207">
        <v>3249159</v>
      </c>
      <c r="X246" s="207">
        <v>0</v>
      </c>
      <c r="Z246" s="207">
        <v>0</v>
      </c>
      <c r="AA246" s="207">
        <v>0</v>
      </c>
      <c r="AB246" s="176">
        <f t="shared" si="279"/>
        <v>27510277</v>
      </c>
      <c r="AC246" s="177">
        <f t="shared" si="256"/>
        <v>19.535366322669915</v>
      </c>
      <c r="AD246" s="177">
        <f t="shared" si="280"/>
        <v>83.22609350747706</v>
      </c>
      <c r="AE246" s="60">
        <f>AD246*0.04</f>
        <v>3.3290437402990825</v>
      </c>
      <c r="AF246" s="178">
        <f t="shared" si="257"/>
        <v>19.770289277830809</v>
      </c>
      <c r="AG246" s="178">
        <f t="shared" si="258"/>
        <v>22.41801611958919</v>
      </c>
      <c r="AH246" s="178">
        <f t="shared" si="282"/>
        <v>2.6477268417583808</v>
      </c>
      <c r="AI246" s="179">
        <f t="shared" si="283"/>
        <v>100</v>
      </c>
      <c r="AJ246" s="61">
        <f>AI246*0.05</f>
        <v>5</v>
      </c>
      <c r="AK246" s="204">
        <v>7</v>
      </c>
      <c r="AL246" s="204">
        <v>9</v>
      </c>
      <c r="AM246" s="204">
        <v>3</v>
      </c>
      <c r="AN246" s="181">
        <f t="shared" si="243"/>
        <v>16</v>
      </c>
      <c r="AO246" s="182">
        <f t="shared" si="244"/>
        <v>18.75</v>
      </c>
      <c r="AP246" s="183">
        <f t="shared" si="259"/>
        <v>80</v>
      </c>
      <c r="AQ246" s="62">
        <f>AP246*0.03</f>
        <v>2.4</v>
      </c>
      <c r="AR246" s="212">
        <v>4</v>
      </c>
      <c r="AS246" s="292">
        <f t="shared" si="245"/>
        <v>0.5</v>
      </c>
      <c r="AT246" s="185">
        <f t="shared" si="246"/>
        <v>3.5</v>
      </c>
      <c r="AU246" s="185">
        <f t="shared" si="260"/>
        <v>3</v>
      </c>
      <c r="AV246" s="186">
        <f t="shared" si="247"/>
        <v>14.285714285714285</v>
      </c>
      <c r="AW246" s="179">
        <f t="shared" si="261"/>
        <v>60</v>
      </c>
      <c r="AX246" s="240">
        <f>AW246*0.02</f>
        <v>1.2</v>
      </c>
      <c r="AY246" s="54">
        <v>7</v>
      </c>
      <c r="AZ246" s="54">
        <v>28</v>
      </c>
      <c r="BA246" s="189">
        <f t="shared" si="248"/>
        <v>28</v>
      </c>
      <c r="BB246" s="178">
        <f t="shared" si="262"/>
        <v>100</v>
      </c>
      <c r="BC246" s="179">
        <f t="shared" si="263"/>
        <v>100</v>
      </c>
      <c r="BD246" s="61">
        <f>BC246*0.02</f>
        <v>2</v>
      </c>
      <c r="BE246" s="190">
        <v>87502000</v>
      </c>
      <c r="BF246" s="190">
        <v>9489000</v>
      </c>
      <c r="BG246" s="301">
        <v>0</v>
      </c>
      <c r="BH246" s="191">
        <f t="shared" si="249"/>
        <v>96991000</v>
      </c>
      <c r="BI246" s="178">
        <f t="shared" si="250"/>
        <v>0</v>
      </c>
      <c r="BJ246" s="294" t="str">
        <f t="shared" si="264"/>
        <v>금융업</v>
      </c>
      <c r="BK246" s="192">
        <f t="shared" si="265"/>
        <v>2.7106886075318837</v>
      </c>
      <c r="BL246" s="193">
        <f t="shared" si="266"/>
        <v>-2.7106886075318837</v>
      </c>
      <c r="BM246" s="241">
        <f t="shared" si="267"/>
        <v>100</v>
      </c>
      <c r="BN246" s="47">
        <f t="shared" si="268"/>
        <v>2</v>
      </c>
      <c r="BO246" s="54">
        <v>0</v>
      </c>
      <c r="BP246" s="194">
        <f t="shared" si="251"/>
        <v>0</v>
      </c>
      <c r="BQ246" s="179">
        <f t="shared" si="269"/>
        <v>25</v>
      </c>
      <c r="BR246" s="61">
        <f>BQ246*0.01</f>
        <v>0.25</v>
      </c>
      <c r="BS246" s="195">
        <v>1448710.547</v>
      </c>
      <c r="BT246" s="195">
        <v>1181639.287</v>
      </c>
      <c r="BU246" s="196">
        <f t="shared" si="270"/>
        <v>267071.26</v>
      </c>
      <c r="BV246" s="178">
        <f t="shared" si="252"/>
        <v>3.7213949796976297E-3</v>
      </c>
      <c r="BW246" s="192">
        <f t="shared" si="271"/>
        <v>0.39407896396795111</v>
      </c>
      <c r="BX246" s="192">
        <f t="shared" si="272"/>
        <v>0.15237903166641906</v>
      </c>
      <c r="BY246" s="192">
        <f t="shared" si="273"/>
        <v>1.5698937849002934</v>
      </c>
      <c r="BZ246" s="192">
        <f t="shared" si="274"/>
        <v>59.818509305114176</v>
      </c>
      <c r="CA246" s="192">
        <f t="shared" si="253"/>
        <v>55</v>
      </c>
      <c r="CB246" s="55">
        <f t="shared" si="275"/>
        <v>1.1000000000000001</v>
      </c>
      <c r="CC246" s="242" t="s">
        <v>1273</v>
      </c>
      <c r="CD246" s="243" t="s">
        <v>1273</v>
      </c>
      <c r="CE246" s="244"/>
      <c r="CF246" s="295" t="s">
        <v>2379</v>
      </c>
      <c r="CG246" s="295" t="s">
        <v>2379</v>
      </c>
      <c r="CH246" s="210">
        <v>0.46</v>
      </c>
      <c r="CI246" s="188">
        <f>IF((100-(75*(CH246-10)/40))&gt;100, 100, IF((100-(75*(CH246-10)/40))&lt;25, 25, (100-(75*(CH246-10)/40))))</f>
        <v>100</v>
      </c>
      <c r="CJ246" s="63">
        <f>CI246*0.04</f>
        <v>4</v>
      </c>
      <c r="CK246" s="173" t="s">
        <v>2485</v>
      </c>
      <c r="CL246" s="173" t="s">
        <v>2482</v>
      </c>
      <c r="CM246" s="199">
        <f t="shared" si="276"/>
        <v>55</v>
      </c>
      <c r="CN246" s="65">
        <f>CM246*0.03</f>
        <v>1.65</v>
      </c>
      <c r="CO246" s="54">
        <v>230967618</v>
      </c>
      <c r="CP246" s="186">
        <f t="shared" si="254"/>
        <v>8.0041198149727411</v>
      </c>
      <c r="CQ246" s="179">
        <f t="shared" si="277"/>
        <v>80</v>
      </c>
      <c r="CR246" s="61">
        <f>CQ246*0.04</f>
        <v>3.2</v>
      </c>
      <c r="CS246" s="200">
        <f>_xlfn.XLOOKUP(C246, '1-1. 관계사체무보증금액 (환율 등)'!$3:$3, '1-1. 관계사체무보증금액 (환율 등)'!$33:$33)</f>
        <v>0</v>
      </c>
      <c r="CT246" s="178">
        <f t="shared" si="255"/>
        <v>0</v>
      </c>
      <c r="CU246" s="179">
        <f t="shared" si="278"/>
        <v>100</v>
      </c>
      <c r="CV246" s="70">
        <f>CU246*0.03</f>
        <v>3</v>
      </c>
      <c r="CW246" s="72">
        <f t="shared" si="295"/>
        <v>29.129043740299082</v>
      </c>
    </row>
    <row r="247" spans="1:101" x14ac:dyDescent="0.6">
      <c r="A247" s="214" t="s">
        <v>1859</v>
      </c>
      <c r="B247" s="13" t="s">
        <v>2227</v>
      </c>
      <c r="C247" s="219" t="s">
        <v>1860</v>
      </c>
      <c r="D247" s="14" t="s">
        <v>203</v>
      </c>
      <c r="E247" s="217" t="s">
        <v>188</v>
      </c>
      <c r="F247" s="217" t="s">
        <v>1861</v>
      </c>
      <c r="G247" s="218">
        <v>32048</v>
      </c>
      <c r="H247" s="217" t="s">
        <v>830</v>
      </c>
      <c r="I247" s="217" t="s">
        <v>1862</v>
      </c>
      <c r="J247" s="217" t="s">
        <v>1863</v>
      </c>
      <c r="K247" s="217" t="s">
        <v>317</v>
      </c>
      <c r="L247" s="220">
        <v>451321117</v>
      </c>
      <c r="M247" s="206">
        <v>200117020</v>
      </c>
      <c r="N247" s="206">
        <v>251204097</v>
      </c>
      <c r="O247" s="206">
        <v>485605244</v>
      </c>
      <c r="P247" s="206">
        <v>32475176</v>
      </c>
      <c r="Q247" s="206">
        <v>35572342</v>
      </c>
      <c r="R247" s="206">
        <v>27697028</v>
      </c>
      <c r="S247" s="207">
        <v>30650756</v>
      </c>
      <c r="T247" s="207">
        <v>11760</v>
      </c>
      <c r="U247" s="207">
        <v>8317153</v>
      </c>
      <c r="V247" s="207">
        <v>0</v>
      </c>
      <c r="W247" s="207">
        <f>29621+196689+11105+10000</f>
        <v>247415</v>
      </c>
      <c r="X247" s="207">
        <v>0</v>
      </c>
      <c r="Z247" s="207">
        <v>338570</v>
      </c>
      <c r="AA247" s="207">
        <v>0</v>
      </c>
      <c r="AB247" s="176">
        <f t="shared" si="279"/>
        <v>8903138</v>
      </c>
      <c r="AC247" s="177">
        <f t="shared" si="256"/>
        <v>29.047042102322045</v>
      </c>
      <c r="AD247" s="177">
        <f t="shared" si="280"/>
        <v>75.016937195924584</v>
      </c>
      <c r="AE247" s="26">
        <f>AD247*0.03</f>
        <v>2.2505081158777376</v>
      </c>
      <c r="AF247" s="178">
        <f t="shared" si="257"/>
        <v>27.145644720212108</v>
      </c>
      <c r="AG247" s="178">
        <f t="shared" si="258"/>
        <v>29.05819107127401</v>
      </c>
      <c r="AH247" s="178">
        <f t="shared" si="282"/>
        <v>1.9125463510619021</v>
      </c>
      <c r="AI247" s="179">
        <f t="shared" si="283"/>
        <v>100</v>
      </c>
      <c r="AJ247" s="30">
        <f>AI247*0.04</f>
        <v>4</v>
      </c>
      <c r="AK247" s="204">
        <v>9</v>
      </c>
      <c r="AL247" s="204">
        <v>8</v>
      </c>
      <c r="AM247" s="204">
        <v>1</v>
      </c>
      <c r="AN247" s="181">
        <f t="shared" si="243"/>
        <v>17</v>
      </c>
      <c r="AO247" s="182">
        <f t="shared" si="244"/>
        <v>5.8823529411764701</v>
      </c>
      <c r="AP247" s="183">
        <f t="shared" si="259"/>
        <v>100</v>
      </c>
      <c r="AQ247" s="38">
        <f>AP247*0.02</f>
        <v>2</v>
      </c>
      <c r="AR247" s="212">
        <v>3</v>
      </c>
      <c r="AS247" s="292">
        <f t="shared" si="245"/>
        <v>0.25</v>
      </c>
      <c r="AT247" s="185">
        <f t="shared" si="246"/>
        <v>2.25</v>
      </c>
      <c r="AU247" s="185">
        <f t="shared" si="260"/>
        <v>2</v>
      </c>
      <c r="AV247" s="186">
        <f t="shared" si="247"/>
        <v>11.111111111111111</v>
      </c>
      <c r="AW247" s="179">
        <f t="shared" si="261"/>
        <v>60</v>
      </c>
      <c r="AX247" s="239">
        <f>AW247*0.01</f>
        <v>0.6</v>
      </c>
      <c r="AY247" s="54">
        <v>12</v>
      </c>
      <c r="AZ247" s="54">
        <f>36-9</f>
        <v>27</v>
      </c>
      <c r="BA247" s="189">
        <f t="shared" si="248"/>
        <v>36</v>
      </c>
      <c r="BB247" s="178">
        <f t="shared" si="262"/>
        <v>75</v>
      </c>
      <c r="BC247" s="179">
        <f t="shared" si="263"/>
        <v>50</v>
      </c>
      <c r="BD247" s="30">
        <f>BC247*0.01</f>
        <v>0.5</v>
      </c>
      <c r="BE247" s="190">
        <f>4594955.667+1633955.431</f>
        <v>6228911.0980000002</v>
      </c>
      <c r="BF247" s="190">
        <v>583164.41399999999</v>
      </c>
      <c r="BG247" s="54">
        <v>773462.55099999998</v>
      </c>
      <c r="BH247" s="191">
        <f t="shared" si="249"/>
        <v>6812075.5120000001</v>
      </c>
      <c r="BI247" s="178">
        <f t="shared" si="250"/>
        <v>11.354286217724475</v>
      </c>
      <c r="BJ247" s="294" t="str">
        <f t="shared" si="264"/>
        <v>금속/비금속/화학업</v>
      </c>
      <c r="BK247" s="192">
        <f t="shared" si="265"/>
        <v>3.9534118626990464</v>
      </c>
      <c r="BL247" s="193">
        <f t="shared" si="266"/>
        <v>7.4008743550254286</v>
      </c>
      <c r="BM247" s="241">
        <f t="shared" si="267"/>
        <v>40</v>
      </c>
      <c r="BN247" s="47">
        <f t="shared" si="268"/>
        <v>0.8</v>
      </c>
      <c r="BO247" s="54">
        <v>3038000</v>
      </c>
      <c r="BP247" s="194">
        <f t="shared" si="251"/>
        <v>0.62561103644094918</v>
      </c>
      <c r="BQ247" s="179">
        <f t="shared" si="269"/>
        <v>70</v>
      </c>
      <c r="BR247" s="30">
        <f>BQ247*0.02</f>
        <v>1.4000000000000001</v>
      </c>
      <c r="BS247" s="195">
        <v>20217424.874000002</v>
      </c>
      <c r="BT247" s="195">
        <v>18616.29</v>
      </c>
      <c r="BU247" s="196">
        <f t="shared" si="270"/>
        <v>20198808.584000003</v>
      </c>
      <c r="BV247" s="178">
        <f t="shared" si="252"/>
        <v>4.1595120385479207</v>
      </c>
      <c r="BW247" s="192">
        <f t="shared" si="271"/>
        <v>5.1474158565187729</v>
      </c>
      <c r="BX247" s="192">
        <f t="shared" si="272"/>
        <v>0.97595395356138659</v>
      </c>
      <c r="BY247" s="192">
        <f t="shared" si="273"/>
        <v>6.6930498535228526</v>
      </c>
      <c r="BZ247" s="192">
        <f t="shared" si="274"/>
        <v>55.867134197621617</v>
      </c>
      <c r="CA247" s="192">
        <f t="shared" si="253"/>
        <v>55</v>
      </c>
      <c r="CB247" s="55">
        <f t="shared" si="275"/>
        <v>1.1000000000000001</v>
      </c>
      <c r="CC247" s="197">
        <f>(M247/N247)*100</f>
        <v>79.663119507163145</v>
      </c>
      <c r="CD247" s="198">
        <f>IF((100-(75*(CC247-1)/(200-1)))&gt;100, 100, IF((100-(75*(CC247-1)/(200-1)))&lt;25, 25, (100-(75*(CC247-1)/(200-1)))))</f>
        <v>70.353095663129466</v>
      </c>
      <c r="CE247" s="58">
        <f>CD247*0.015</f>
        <v>1.055296434946942</v>
      </c>
      <c r="CF247" s="245" t="s">
        <v>2326</v>
      </c>
      <c r="CG247" s="245" t="s">
        <v>2326</v>
      </c>
      <c r="CH247" s="245" t="s">
        <v>2326</v>
      </c>
      <c r="CI247" s="245" t="s">
        <v>2326</v>
      </c>
      <c r="CJ247" s="235"/>
      <c r="CK247" s="173" t="s">
        <v>2479</v>
      </c>
      <c r="CL247" s="173" t="s">
        <v>2478</v>
      </c>
      <c r="CM247" s="199">
        <f t="shared" si="276"/>
        <v>25</v>
      </c>
      <c r="CN247" s="58">
        <f>CM247*0.015</f>
        <v>0.375</v>
      </c>
      <c r="CO247" s="54">
        <v>0</v>
      </c>
      <c r="CP247" s="186">
        <f t="shared" si="254"/>
        <v>0</v>
      </c>
      <c r="CQ247" s="179">
        <f t="shared" si="277"/>
        <v>100</v>
      </c>
      <c r="CR247" s="30">
        <f>CQ247*0.03</f>
        <v>3</v>
      </c>
      <c r="CS247" s="200">
        <f>_xlfn.XLOOKUP(C247, '1-1. 관계사체무보증금액 (환율 등)'!$3:$3, '1-1. 관계사체무보증금액 (환율 등)'!$33:$33)</f>
        <v>0</v>
      </c>
      <c r="CT247" s="178">
        <f t="shared" si="255"/>
        <v>0</v>
      </c>
      <c r="CU247" s="179">
        <f t="shared" si="278"/>
        <v>100</v>
      </c>
      <c r="CV247" s="30">
        <f>CU247*0.02</f>
        <v>2</v>
      </c>
      <c r="CW247" s="72">
        <f t="shared" si="295"/>
        <v>19.080804550824681</v>
      </c>
    </row>
    <row r="248" spans="1:101" x14ac:dyDescent="0.6">
      <c r="A248" s="214" t="s">
        <v>685</v>
      </c>
      <c r="B248" s="13" t="s">
        <v>2228</v>
      </c>
      <c r="C248" s="219" t="s">
        <v>491</v>
      </c>
      <c r="D248" s="216" t="s">
        <v>285</v>
      </c>
      <c r="E248" s="217" t="s">
        <v>592</v>
      </c>
      <c r="F248" s="217" t="s">
        <v>637</v>
      </c>
      <c r="G248" s="218">
        <v>37110</v>
      </c>
      <c r="H248" s="217" t="s">
        <v>830</v>
      </c>
      <c r="I248" s="217" t="s">
        <v>1864</v>
      </c>
      <c r="J248" s="217" t="s">
        <v>1210</v>
      </c>
      <c r="K248" s="217" t="s">
        <v>425</v>
      </c>
      <c r="L248" s="220">
        <v>3441901071</v>
      </c>
      <c r="M248" s="206">
        <v>1466204520</v>
      </c>
      <c r="N248" s="206">
        <v>1975696551</v>
      </c>
      <c r="O248" s="206">
        <v>2813488928</v>
      </c>
      <c r="P248" s="206">
        <v>514746074</v>
      </c>
      <c r="Q248" s="206">
        <v>540938422</v>
      </c>
      <c r="R248" s="206">
        <v>371317773</v>
      </c>
      <c r="S248" s="207">
        <v>73799619</v>
      </c>
      <c r="T248" s="207">
        <v>1235874</v>
      </c>
      <c r="U248" s="207">
        <v>18511446</v>
      </c>
      <c r="V248" s="207">
        <v>0</v>
      </c>
      <c r="W248" s="207">
        <f>18529782-18511446</f>
        <v>18336</v>
      </c>
      <c r="X248" s="207">
        <v>0</v>
      </c>
      <c r="Z248" s="207">
        <v>0</v>
      </c>
      <c r="AA248" s="207">
        <v>0</v>
      </c>
      <c r="AB248" s="176">
        <f t="shared" si="279"/>
        <v>18529782</v>
      </c>
      <c r="AC248" s="177">
        <f t="shared" si="256"/>
        <v>25.108235314873372</v>
      </c>
      <c r="AD248" s="177">
        <f t="shared" si="280"/>
        <v>78.416367679913662</v>
      </c>
      <c r="AE248" s="26">
        <f>AD248*0.03</f>
        <v>2.3524910303974096</v>
      </c>
      <c r="AF248" s="178">
        <f t="shared" si="257"/>
        <v>25.51059899127312</v>
      </c>
      <c r="AG248" s="178">
        <f t="shared" si="258"/>
        <v>25.535867808366287</v>
      </c>
      <c r="AH248" s="178">
        <f t="shared" si="282"/>
        <v>2.5268817093166973E-2</v>
      </c>
      <c r="AI248" s="179">
        <f t="shared" si="283"/>
        <v>100</v>
      </c>
      <c r="AJ248" s="30">
        <f>AI248*0.04</f>
        <v>4</v>
      </c>
      <c r="AK248" s="204">
        <v>8</v>
      </c>
      <c r="AL248" s="204">
        <v>34</v>
      </c>
      <c r="AM248" s="204">
        <v>1</v>
      </c>
      <c r="AN248" s="181">
        <f t="shared" si="243"/>
        <v>42</v>
      </c>
      <c r="AO248" s="182">
        <f t="shared" si="244"/>
        <v>2.3809523809523809</v>
      </c>
      <c r="AP248" s="183">
        <f t="shared" si="259"/>
        <v>100</v>
      </c>
      <c r="AQ248" s="38">
        <f>AP248*0.02</f>
        <v>2</v>
      </c>
      <c r="AR248" s="212">
        <v>5</v>
      </c>
      <c r="AS248" s="292">
        <f t="shared" si="245"/>
        <v>0.5</v>
      </c>
      <c r="AT248" s="185">
        <f t="shared" si="246"/>
        <v>4</v>
      </c>
      <c r="AU248" s="185">
        <f t="shared" si="260"/>
        <v>4</v>
      </c>
      <c r="AV248" s="186">
        <f t="shared" si="247"/>
        <v>12.5</v>
      </c>
      <c r="AW248" s="179">
        <f t="shared" si="261"/>
        <v>60</v>
      </c>
      <c r="AX248" s="239">
        <f>AW248*0.01</f>
        <v>0.6</v>
      </c>
      <c r="AY248" s="54">
        <v>6</v>
      </c>
      <c r="AZ248" s="54">
        <f>30-1</f>
        <v>29</v>
      </c>
      <c r="BA248" s="189">
        <f t="shared" si="248"/>
        <v>30</v>
      </c>
      <c r="BB248" s="178">
        <f t="shared" si="262"/>
        <v>96.666666666666671</v>
      </c>
      <c r="BC248" s="179">
        <f t="shared" si="263"/>
        <v>100</v>
      </c>
      <c r="BD248" s="30">
        <f>BC248*0.01</f>
        <v>1</v>
      </c>
      <c r="BE248" s="190">
        <v>358364842</v>
      </c>
      <c r="BF248" s="190">
        <v>48118936</v>
      </c>
      <c r="BG248" s="301">
        <v>0</v>
      </c>
      <c r="BH248" s="191">
        <f t="shared" si="249"/>
        <v>406483778</v>
      </c>
      <c r="BI248" s="178">
        <f t="shared" si="250"/>
        <v>0</v>
      </c>
      <c r="BJ248" s="294" t="str">
        <f t="shared" si="264"/>
        <v>비제조/서비스업</v>
      </c>
      <c r="BK248" s="192">
        <f t="shared" si="265"/>
        <v>1.7464434573900924</v>
      </c>
      <c r="BL248" s="193">
        <f t="shared" si="266"/>
        <v>-1.7464434573900924</v>
      </c>
      <c r="BM248" s="241">
        <f t="shared" si="267"/>
        <v>80</v>
      </c>
      <c r="BN248" s="47">
        <f t="shared" si="268"/>
        <v>1.6</v>
      </c>
      <c r="BO248" s="54">
        <v>53547000</v>
      </c>
      <c r="BP248" s="194">
        <f t="shared" si="251"/>
        <v>1.9032241238661807</v>
      </c>
      <c r="BQ248" s="179">
        <f t="shared" si="269"/>
        <v>70</v>
      </c>
      <c r="BR248" s="30">
        <f>BQ248*0.02</f>
        <v>1.4000000000000001</v>
      </c>
      <c r="BS248" s="195">
        <v>225947993.18799999</v>
      </c>
      <c r="BT248" s="195">
        <v>949867.80299999996</v>
      </c>
      <c r="BU248" s="196">
        <f t="shared" si="270"/>
        <v>224998125.38499999</v>
      </c>
      <c r="BV248" s="178">
        <f t="shared" si="252"/>
        <v>7.9971214084337063</v>
      </c>
      <c r="BW248" s="192">
        <f t="shared" si="271"/>
        <v>2.8482825397737606</v>
      </c>
      <c r="BX248" s="192">
        <f t="shared" si="272"/>
        <v>26.510541695423427</v>
      </c>
      <c r="BY248" s="192">
        <f t="shared" si="273"/>
        <v>5.5697595856656799</v>
      </c>
      <c r="BZ248" s="192">
        <f t="shared" si="274"/>
        <v>17.763189401318868</v>
      </c>
      <c r="CA248" s="192">
        <f t="shared" si="253"/>
        <v>70</v>
      </c>
      <c r="CB248" s="55">
        <f t="shared" si="275"/>
        <v>1.4000000000000001</v>
      </c>
      <c r="CC248" s="197">
        <f>(M248/N248)*100</f>
        <v>74.212030144906606</v>
      </c>
      <c r="CD248" s="198">
        <f>IF((100-(75*(CC248-1)/(200-1)))&gt;100, 100, IF((100-(75*(CC248-1)/(200-1)))&lt;25, 25, (100-(75*(CC248-1)/(200-1)))))</f>
        <v>72.407526327296509</v>
      </c>
      <c r="CE248" s="58">
        <f>CD248*0.015</f>
        <v>1.0861128949094476</v>
      </c>
      <c r="CF248" s="245" t="s">
        <v>2326</v>
      </c>
      <c r="CG248" s="245" t="s">
        <v>2326</v>
      </c>
      <c r="CH248" s="245" t="s">
        <v>2326</v>
      </c>
      <c r="CI248" s="245" t="s">
        <v>2326</v>
      </c>
      <c r="CJ248" s="235"/>
      <c r="CK248" s="173" t="s">
        <v>2486</v>
      </c>
      <c r="CL248" s="173" t="s">
        <v>2487</v>
      </c>
      <c r="CM248" s="199">
        <f t="shared" si="276"/>
        <v>70</v>
      </c>
      <c r="CN248" s="58">
        <f>CM248*0.015</f>
        <v>1.05</v>
      </c>
      <c r="CO248" s="54">
        <v>1109000</v>
      </c>
      <c r="CP248" s="186">
        <f t="shared" si="254"/>
        <v>5.6132101837130757E-2</v>
      </c>
      <c r="CQ248" s="179">
        <f t="shared" si="277"/>
        <v>100</v>
      </c>
      <c r="CR248" s="30">
        <f>CQ248*0.03</f>
        <v>3</v>
      </c>
      <c r="CS248" s="200">
        <f>_xlfn.XLOOKUP(C248, '1-1. 관계사체무보증금액 (환율 등)'!$3:$3, '1-1. 관계사체무보증금액 (환율 등)'!$33:$33)</f>
        <v>319299318</v>
      </c>
      <c r="CT248" s="178">
        <f t="shared" si="255"/>
        <v>16.161354224077908</v>
      </c>
      <c r="CU248" s="179">
        <f t="shared" si="278"/>
        <v>60</v>
      </c>
      <c r="CV248" s="30">
        <f>CU248*0.02</f>
        <v>1.2</v>
      </c>
      <c r="CW248" s="72">
        <f t="shared" si="295"/>
        <v>20.688603925306857</v>
      </c>
    </row>
    <row r="249" spans="1:101" x14ac:dyDescent="0.6">
      <c r="A249" s="214" t="s">
        <v>37</v>
      </c>
      <c r="B249" s="13" t="s">
        <v>2229</v>
      </c>
      <c r="C249" s="219" t="s">
        <v>69</v>
      </c>
      <c r="D249" s="216" t="s">
        <v>285</v>
      </c>
      <c r="E249" s="217" t="s">
        <v>629</v>
      </c>
      <c r="F249" s="217" t="s">
        <v>577</v>
      </c>
      <c r="G249" s="218">
        <v>43111</v>
      </c>
      <c r="H249" s="217" t="s">
        <v>830</v>
      </c>
      <c r="I249" s="217" t="s">
        <v>846</v>
      </c>
      <c r="J249" s="217" t="s">
        <v>1138</v>
      </c>
      <c r="K249" s="217" t="s">
        <v>690</v>
      </c>
      <c r="L249" s="220">
        <v>761133055</v>
      </c>
      <c r="M249" s="206">
        <v>116041955</v>
      </c>
      <c r="N249" s="206">
        <v>645091100</v>
      </c>
      <c r="O249" s="206">
        <v>691580207</v>
      </c>
      <c r="P249" s="206">
        <v>99955621</v>
      </c>
      <c r="Q249" s="206">
        <v>124537136</v>
      </c>
      <c r="R249" s="206">
        <v>116344338</v>
      </c>
      <c r="S249" s="207">
        <v>22437330</v>
      </c>
      <c r="T249" s="207">
        <v>14950</v>
      </c>
      <c r="U249" s="207">
        <f>9097905+4606180</f>
        <v>13704085</v>
      </c>
      <c r="V249" s="207">
        <f>665760+944910</f>
        <v>1610670</v>
      </c>
      <c r="W249" s="207">
        <v>85</v>
      </c>
      <c r="X249" s="207">
        <v>411970</v>
      </c>
      <c r="Y249" s="208" t="s">
        <v>2456</v>
      </c>
      <c r="Z249" s="207">
        <v>0</v>
      </c>
      <c r="AA249" s="207">
        <v>0</v>
      </c>
      <c r="AB249" s="176">
        <f t="shared" si="279"/>
        <v>15726810</v>
      </c>
      <c r="AC249" s="177">
        <f t="shared" si="256"/>
        <v>70.092163372379872</v>
      </c>
      <c r="AD249" s="177">
        <f t="shared" si="280"/>
        <v>39.592494212560524</v>
      </c>
      <c r="AE249" s="26">
        <f>AD249*0.03</f>
        <v>1.1877748263768158</v>
      </c>
      <c r="AF249" s="178">
        <f t="shared" si="257"/>
        <v>68.301201745755804</v>
      </c>
      <c r="AG249" s="178">
        <f t="shared" si="258"/>
        <v>70.138896941359491</v>
      </c>
      <c r="AH249" s="178">
        <f t="shared" si="282"/>
        <v>1.8376951956036862</v>
      </c>
      <c r="AI249" s="179">
        <f t="shared" si="283"/>
        <v>100</v>
      </c>
      <c r="AJ249" s="30">
        <f>AI249*0.04</f>
        <v>4</v>
      </c>
      <c r="AK249" s="204">
        <v>5</v>
      </c>
      <c r="AL249" s="204">
        <v>3</v>
      </c>
      <c r="AM249" s="204">
        <v>1</v>
      </c>
      <c r="AN249" s="181">
        <f t="shared" si="243"/>
        <v>8</v>
      </c>
      <c r="AO249" s="182">
        <f t="shared" si="244"/>
        <v>12.5</v>
      </c>
      <c r="AP249" s="183">
        <f t="shared" si="259"/>
        <v>80</v>
      </c>
      <c r="AQ249" s="38">
        <f>AP249*0.02</f>
        <v>1.6</v>
      </c>
      <c r="AR249" s="212">
        <v>3</v>
      </c>
      <c r="AS249" s="292">
        <f t="shared" si="245"/>
        <v>0.25</v>
      </c>
      <c r="AT249" s="185">
        <f t="shared" si="246"/>
        <v>1.25</v>
      </c>
      <c r="AU249" s="185">
        <f t="shared" si="260"/>
        <v>1</v>
      </c>
      <c r="AV249" s="186">
        <f t="shared" si="247"/>
        <v>40</v>
      </c>
      <c r="AW249" s="179">
        <f t="shared" si="261"/>
        <v>100</v>
      </c>
      <c r="AX249" s="239">
        <f>AW249*0.01</f>
        <v>1</v>
      </c>
      <c r="AY249" s="54">
        <v>22</v>
      </c>
      <c r="AZ249" s="54">
        <f>22*3-16</f>
        <v>50</v>
      </c>
      <c r="BA249" s="189">
        <f t="shared" si="248"/>
        <v>66</v>
      </c>
      <c r="BB249" s="178">
        <f t="shared" si="262"/>
        <v>75.757575757575751</v>
      </c>
      <c r="BC249" s="179">
        <f t="shared" si="263"/>
        <v>50</v>
      </c>
      <c r="BD249" s="30">
        <f>BC249*0.01</f>
        <v>0.5</v>
      </c>
      <c r="BE249" s="190">
        <v>6792403</v>
      </c>
      <c r="BF249" s="190">
        <v>2946025</v>
      </c>
      <c r="BG249" s="301">
        <v>0</v>
      </c>
      <c r="BH249" s="191">
        <f t="shared" si="249"/>
        <v>9738428</v>
      </c>
      <c r="BI249" s="178">
        <f t="shared" si="250"/>
        <v>0</v>
      </c>
      <c r="BJ249" s="294" t="str">
        <f t="shared" si="264"/>
        <v>비제조/서비스업</v>
      </c>
      <c r="BK249" s="192">
        <f t="shared" si="265"/>
        <v>1.7464434573900924</v>
      </c>
      <c r="BL249" s="193">
        <f t="shared" si="266"/>
        <v>-1.7464434573900924</v>
      </c>
      <c r="BM249" s="241">
        <f t="shared" si="267"/>
        <v>80</v>
      </c>
      <c r="BN249" s="47">
        <f t="shared" si="268"/>
        <v>1.6</v>
      </c>
      <c r="BO249" s="54">
        <v>5619000</v>
      </c>
      <c r="BP249" s="194">
        <f t="shared" si="251"/>
        <v>0.8124871046229929</v>
      </c>
      <c r="BQ249" s="179">
        <f t="shared" si="269"/>
        <v>70</v>
      </c>
      <c r="BR249" s="30">
        <f>BQ249*0.02</f>
        <v>1.4000000000000001</v>
      </c>
      <c r="BS249" s="195">
        <v>313587.098</v>
      </c>
      <c r="BT249" s="195">
        <v>26157.644</v>
      </c>
      <c r="BU249" s="196">
        <f t="shared" si="270"/>
        <v>287429.45400000003</v>
      </c>
      <c r="BV249" s="178">
        <f t="shared" si="252"/>
        <v>4.1561260876281848E-2</v>
      </c>
      <c r="BW249" s="192">
        <f t="shared" si="271"/>
        <v>2.8482825397737606</v>
      </c>
      <c r="BX249" s="192">
        <f t="shared" si="272"/>
        <v>7.8776843374159</v>
      </c>
      <c r="BY249" s="192">
        <f t="shared" si="273"/>
        <v>5.5697595856656799</v>
      </c>
      <c r="BZ249" s="192">
        <f t="shared" si="274"/>
        <v>69.284170869884804</v>
      </c>
      <c r="CA249" s="192">
        <f t="shared" si="253"/>
        <v>40</v>
      </c>
      <c r="CB249" s="55">
        <f t="shared" si="275"/>
        <v>0.8</v>
      </c>
      <c r="CC249" s="197">
        <f>(M249/N249)*100</f>
        <v>17.988460079514351</v>
      </c>
      <c r="CD249" s="198">
        <f>IF((100-(75*(CC249-1)/(200-1)))&gt;100, 100, IF((100-(75*(CC249-1)/(200-1)))&lt;25, 25, (100-(75*(CC249-1)/(200-1)))))</f>
        <v>93.597314040384035</v>
      </c>
      <c r="CE249" s="58">
        <f>CD249*0.015</f>
        <v>1.4039597106057604</v>
      </c>
      <c r="CF249" s="245" t="s">
        <v>2326</v>
      </c>
      <c r="CG249" s="245" t="s">
        <v>2326</v>
      </c>
      <c r="CH249" s="245" t="s">
        <v>2326</v>
      </c>
      <c r="CI249" s="245" t="s">
        <v>2326</v>
      </c>
      <c r="CJ249" s="235"/>
      <c r="CK249" s="173" t="s">
        <v>2491</v>
      </c>
      <c r="CL249" s="173" t="s">
        <v>2478</v>
      </c>
      <c r="CM249" s="199">
        <f t="shared" si="276"/>
        <v>25</v>
      </c>
      <c r="CN249" s="58">
        <f>CM249*0.015</f>
        <v>0.375</v>
      </c>
      <c r="CO249" s="54">
        <v>10681000</v>
      </c>
      <c r="CP249" s="186">
        <f t="shared" si="254"/>
        <v>1.6557351357040888</v>
      </c>
      <c r="CQ249" s="179">
        <f t="shared" si="277"/>
        <v>100</v>
      </c>
      <c r="CR249" s="30">
        <f>CQ249*0.03</f>
        <v>3</v>
      </c>
      <c r="CS249" s="200">
        <f>_xlfn.XLOOKUP(C249, '1-1. 관계사체무보증금액 (환율 등)'!$3:$3, '1-1. 관계사체무보증금액 (환율 등)'!$33:$33)</f>
        <v>0</v>
      </c>
      <c r="CT249" s="178">
        <f t="shared" si="255"/>
        <v>0</v>
      </c>
      <c r="CU249" s="179">
        <f t="shared" si="278"/>
        <v>100</v>
      </c>
      <c r="CV249" s="30">
        <f>CU249*0.02</f>
        <v>2</v>
      </c>
      <c r="CW249" s="72">
        <f t="shared" si="295"/>
        <v>18.866734536982577</v>
      </c>
    </row>
    <row r="250" spans="1:101" x14ac:dyDescent="0.6">
      <c r="A250" s="214" t="s">
        <v>352</v>
      </c>
      <c r="B250" s="13" t="s">
        <v>2230</v>
      </c>
      <c r="C250" s="219" t="s">
        <v>304</v>
      </c>
      <c r="D250" s="216" t="s">
        <v>191</v>
      </c>
      <c r="E250" s="217" t="s">
        <v>178</v>
      </c>
      <c r="F250" s="217" t="s">
        <v>273</v>
      </c>
      <c r="G250" s="218">
        <v>42836</v>
      </c>
      <c r="H250" s="217" t="s">
        <v>830</v>
      </c>
      <c r="I250" s="217" t="s">
        <v>811</v>
      </c>
      <c r="J250" s="217" t="s">
        <v>1132</v>
      </c>
      <c r="K250" s="217" t="s">
        <v>91</v>
      </c>
      <c r="L250" s="220">
        <v>330163311</v>
      </c>
      <c r="M250" s="206">
        <v>137897080</v>
      </c>
      <c r="N250" s="206">
        <v>192266231</v>
      </c>
      <c r="O250" s="206">
        <v>413638465</v>
      </c>
      <c r="P250" s="206">
        <v>17588318</v>
      </c>
      <c r="Q250" s="206">
        <v>36589302</v>
      </c>
      <c r="R250" s="206">
        <v>27057204</v>
      </c>
      <c r="S250" s="207">
        <v>12523850</v>
      </c>
      <c r="T250" s="207">
        <v>507681</v>
      </c>
      <c r="U250" s="207">
        <f>4947385+39446</f>
        <v>4986831</v>
      </c>
      <c r="V250" s="207">
        <f>2536915+4674+195890</f>
        <v>2737479</v>
      </c>
      <c r="W250" s="207">
        <v>5235</v>
      </c>
      <c r="X250" s="207">
        <v>0</v>
      </c>
      <c r="Z250" s="207">
        <v>8924</v>
      </c>
      <c r="AA250" s="207">
        <v>0</v>
      </c>
      <c r="AB250" s="176">
        <f t="shared" si="279"/>
        <v>7738469</v>
      </c>
      <c r="AC250" s="177">
        <f t="shared" si="256"/>
        <v>61.789856952933796</v>
      </c>
      <c r="AD250" s="177">
        <f t="shared" si="280"/>
        <v>46.75789100724932</v>
      </c>
      <c r="AE250" s="26">
        <f>AD250*0.03</f>
        <v>1.4027367302174796</v>
      </c>
      <c r="AF250" s="178">
        <f t="shared" si="257"/>
        <v>64.282634506888186</v>
      </c>
      <c r="AG250" s="178">
        <f t="shared" si="258"/>
        <v>64.400467403546003</v>
      </c>
      <c r="AH250" s="178">
        <f t="shared" si="282"/>
        <v>0.11783289665781638</v>
      </c>
      <c r="AI250" s="179">
        <f t="shared" si="283"/>
        <v>100</v>
      </c>
      <c r="AJ250" s="30">
        <f>AI250*0.04</f>
        <v>4</v>
      </c>
      <c r="AK250" s="204">
        <v>5</v>
      </c>
      <c r="AL250" s="204">
        <v>2</v>
      </c>
      <c r="AM250" s="204">
        <v>1</v>
      </c>
      <c r="AN250" s="181">
        <f t="shared" si="243"/>
        <v>7</v>
      </c>
      <c r="AO250" s="182">
        <f t="shared" si="244"/>
        <v>14.285714285714285</v>
      </c>
      <c r="AP250" s="183">
        <f t="shared" si="259"/>
        <v>80</v>
      </c>
      <c r="AQ250" s="38">
        <f>AP250*0.02</f>
        <v>1.6</v>
      </c>
      <c r="AR250" s="212">
        <v>1</v>
      </c>
      <c r="AS250" s="292">
        <f t="shared" si="245"/>
        <v>0.25</v>
      </c>
      <c r="AT250" s="185">
        <f t="shared" si="246"/>
        <v>1.25</v>
      </c>
      <c r="AU250" s="185">
        <f t="shared" si="260"/>
        <v>1</v>
      </c>
      <c r="AV250" s="186">
        <f t="shared" si="247"/>
        <v>0</v>
      </c>
      <c r="AW250" s="179">
        <f t="shared" si="261"/>
        <v>40</v>
      </c>
      <c r="AX250" s="239">
        <f>AW250*0.01</f>
        <v>0.4</v>
      </c>
      <c r="AY250" s="54">
        <v>8</v>
      </c>
      <c r="AZ250" s="54">
        <v>8</v>
      </c>
      <c r="BA250" s="189">
        <f t="shared" si="248"/>
        <v>8</v>
      </c>
      <c r="BB250" s="178">
        <f t="shared" si="262"/>
        <v>100</v>
      </c>
      <c r="BC250" s="179">
        <f t="shared" si="263"/>
        <v>100</v>
      </c>
      <c r="BD250" s="30">
        <f>BC250*0.01</f>
        <v>1</v>
      </c>
      <c r="BE250" s="190">
        <v>27536184</v>
      </c>
      <c r="BF250" s="190">
        <v>2967982</v>
      </c>
      <c r="BG250" s="301">
        <v>0</v>
      </c>
      <c r="BH250" s="191">
        <f t="shared" si="249"/>
        <v>30504166</v>
      </c>
      <c r="BI250" s="178">
        <f t="shared" si="250"/>
        <v>0</v>
      </c>
      <c r="BJ250" s="294" t="str">
        <f t="shared" si="264"/>
        <v>식약/섬유/종이업</v>
      </c>
      <c r="BK250" s="192">
        <f t="shared" si="265"/>
        <v>2.1999360555264444</v>
      </c>
      <c r="BL250" s="193">
        <f t="shared" si="266"/>
        <v>-2.1999360555264444</v>
      </c>
      <c r="BM250" s="241">
        <f t="shared" si="267"/>
        <v>100</v>
      </c>
      <c r="BN250" s="47">
        <f t="shared" si="268"/>
        <v>2</v>
      </c>
      <c r="BO250" s="54">
        <v>2433547</v>
      </c>
      <c r="BP250" s="194">
        <f t="shared" si="251"/>
        <v>0.58832705512530126</v>
      </c>
      <c r="BQ250" s="179">
        <f t="shared" si="269"/>
        <v>70</v>
      </c>
      <c r="BR250" s="30">
        <f>BQ250*0.02</f>
        <v>1.4000000000000001</v>
      </c>
      <c r="BS250" s="195">
        <v>7069101.6919999998</v>
      </c>
      <c r="BT250" s="195">
        <v>76872.501000000004</v>
      </c>
      <c r="BU250" s="196">
        <f t="shared" si="270"/>
        <v>6992229.1909999996</v>
      </c>
      <c r="BV250" s="178">
        <f t="shared" si="252"/>
        <v>1.6904204474794189</v>
      </c>
      <c r="BW250" s="192">
        <f t="shared" si="271"/>
        <v>5.0508176117342281</v>
      </c>
      <c r="BX250" s="192">
        <f t="shared" si="272"/>
        <v>11.292269101531764</v>
      </c>
      <c r="BY250" s="192">
        <f t="shared" si="273"/>
        <v>6.9871618081220941</v>
      </c>
      <c r="BZ250" s="192">
        <f t="shared" si="274"/>
        <v>68.471999957905936</v>
      </c>
      <c r="CA250" s="192">
        <f t="shared" si="253"/>
        <v>40</v>
      </c>
      <c r="CB250" s="55">
        <f t="shared" si="275"/>
        <v>0.8</v>
      </c>
      <c r="CC250" s="197">
        <f>(M250/N250)*100</f>
        <v>71.721944765225061</v>
      </c>
      <c r="CD250" s="198">
        <f>IF((100-(75*(CC250-1)/(200-1)))&gt;100, 100, IF((100-(75*(CC250-1)/(200-1)))&lt;25, 25, (100-(75*(CC250-1)/(200-1)))))</f>
        <v>73.34600071662372</v>
      </c>
      <c r="CE250" s="58">
        <f>CD250*0.015</f>
        <v>1.1001900107493559</v>
      </c>
      <c r="CF250" s="245" t="s">
        <v>2326</v>
      </c>
      <c r="CG250" s="245" t="s">
        <v>2326</v>
      </c>
      <c r="CH250" s="245" t="s">
        <v>2326</v>
      </c>
      <c r="CI250" s="245" t="s">
        <v>2326</v>
      </c>
      <c r="CJ250" s="235"/>
      <c r="CK250" s="173" t="s">
        <v>2485</v>
      </c>
      <c r="CL250" s="173" t="s">
        <v>2482</v>
      </c>
      <c r="CM250" s="199">
        <f t="shared" si="276"/>
        <v>55</v>
      </c>
      <c r="CN250" s="58">
        <f>CM250*0.015</f>
        <v>0.82499999999999996</v>
      </c>
      <c r="CO250" s="54">
        <v>0</v>
      </c>
      <c r="CP250" s="186">
        <f t="shared" si="254"/>
        <v>0</v>
      </c>
      <c r="CQ250" s="179">
        <f t="shared" si="277"/>
        <v>100</v>
      </c>
      <c r="CR250" s="30">
        <f>CQ250*0.03</f>
        <v>3</v>
      </c>
      <c r="CS250" s="200">
        <f>_xlfn.XLOOKUP(C250, '1-1. 관계사체무보증금액 (환율 등)'!$3:$3, '1-1. 관계사체무보증금액 (환율 등)'!$33:$33)</f>
        <v>0</v>
      </c>
      <c r="CT250" s="178">
        <f t="shared" si="255"/>
        <v>0</v>
      </c>
      <c r="CU250" s="179">
        <f t="shared" si="278"/>
        <v>100</v>
      </c>
      <c r="CV250" s="30">
        <f>CU250*0.02</f>
        <v>2</v>
      </c>
      <c r="CW250" s="72">
        <f t="shared" si="295"/>
        <v>19.527926740966837</v>
      </c>
    </row>
    <row r="251" spans="1:101" x14ac:dyDescent="0.6">
      <c r="A251" s="214" t="s">
        <v>1865</v>
      </c>
      <c r="B251" s="13" t="s">
        <v>2231</v>
      </c>
      <c r="C251" s="219" t="s">
        <v>1866</v>
      </c>
      <c r="D251" s="14" t="s">
        <v>202</v>
      </c>
      <c r="E251" s="217" t="s">
        <v>605</v>
      </c>
      <c r="F251" s="217" t="s">
        <v>1867</v>
      </c>
      <c r="G251" s="218">
        <v>44418</v>
      </c>
      <c r="H251" s="217" t="s">
        <v>830</v>
      </c>
      <c r="I251" s="217" t="s">
        <v>1868</v>
      </c>
      <c r="J251" s="217" t="s">
        <v>1869</v>
      </c>
      <c r="K251" s="217" t="s">
        <v>91</v>
      </c>
      <c r="L251" s="220">
        <v>5774465580</v>
      </c>
      <c r="M251" s="206">
        <v>732161313</v>
      </c>
      <c r="N251" s="206">
        <v>5042304267</v>
      </c>
      <c r="O251" s="206">
        <v>1767775811</v>
      </c>
      <c r="P251" s="206">
        <v>737821913</v>
      </c>
      <c r="Q251" s="206">
        <v>666253605</v>
      </c>
      <c r="R251" s="206">
        <v>487142608</v>
      </c>
      <c r="S251" s="207">
        <v>49081545</v>
      </c>
      <c r="T251" s="207">
        <v>2167418</v>
      </c>
      <c r="U251" s="207">
        <v>7133651</v>
      </c>
      <c r="V251" s="207">
        <f>291517+259+300</f>
        <v>292076</v>
      </c>
      <c r="W251" s="207">
        <f>10888202-U251-V251-Z251</f>
        <v>2520100</v>
      </c>
      <c r="X251" s="207">
        <v>0</v>
      </c>
      <c r="Z251" s="207">
        <v>942375</v>
      </c>
      <c r="AA251" s="207">
        <v>0</v>
      </c>
      <c r="AB251" s="176">
        <f t="shared" si="279"/>
        <v>10888202</v>
      </c>
      <c r="AC251" s="177">
        <f t="shared" si="256"/>
        <v>22.183902320108302</v>
      </c>
      <c r="AD251" s="177">
        <f t="shared" si="280"/>
        <v>80.940245408422072</v>
      </c>
      <c r="AE251" s="26">
        <f>AD251*0.03</f>
        <v>2.4282073622526621</v>
      </c>
      <c r="AF251" s="178">
        <f t="shared" si="257"/>
        <v>15.828338871146425</v>
      </c>
      <c r="AG251" s="178">
        <f t="shared" si="258"/>
        <v>23.208791671642956</v>
      </c>
      <c r="AH251" s="178">
        <f t="shared" si="282"/>
        <v>7.3804528004965313</v>
      </c>
      <c r="AI251" s="179">
        <f t="shared" si="283"/>
        <v>100</v>
      </c>
      <c r="AJ251" s="30">
        <f>AI251*0.04</f>
        <v>4</v>
      </c>
      <c r="AK251" s="204">
        <v>5</v>
      </c>
      <c r="AL251" s="204">
        <v>2</v>
      </c>
      <c r="AM251" s="204">
        <v>2</v>
      </c>
      <c r="AN251" s="181">
        <f t="shared" si="243"/>
        <v>7</v>
      </c>
      <c r="AO251" s="182">
        <f t="shared" si="244"/>
        <v>28.571428571428569</v>
      </c>
      <c r="AP251" s="183">
        <f t="shared" si="259"/>
        <v>60</v>
      </c>
      <c r="AQ251" s="38">
        <f>AP251*0.02</f>
        <v>1.2</v>
      </c>
      <c r="AR251" s="212">
        <v>3</v>
      </c>
      <c r="AS251" s="292">
        <f t="shared" si="245"/>
        <v>0.5</v>
      </c>
      <c r="AT251" s="185">
        <f t="shared" si="246"/>
        <v>2.5</v>
      </c>
      <c r="AU251" s="185">
        <f t="shared" si="260"/>
        <v>2</v>
      </c>
      <c r="AV251" s="186">
        <f t="shared" si="247"/>
        <v>20</v>
      </c>
      <c r="AW251" s="179">
        <f t="shared" si="261"/>
        <v>80</v>
      </c>
      <c r="AX251" s="239">
        <f>AW251*0.01</f>
        <v>0.8</v>
      </c>
      <c r="AY251" s="54">
        <v>10</v>
      </c>
      <c r="AZ251" s="54">
        <v>30</v>
      </c>
      <c r="BA251" s="189">
        <f t="shared" si="248"/>
        <v>30</v>
      </c>
      <c r="BB251" s="178">
        <f t="shared" si="262"/>
        <v>100</v>
      </c>
      <c r="BC251" s="179">
        <f t="shared" si="263"/>
        <v>100</v>
      </c>
      <c r="BD251" s="30">
        <f>BC251*0.01</f>
        <v>1</v>
      </c>
      <c r="BE251" s="190">
        <v>138144705</v>
      </c>
      <c r="BF251" s="190">
        <v>14689197</v>
      </c>
      <c r="BG251" s="301">
        <v>0</v>
      </c>
      <c r="BH251" s="191">
        <f t="shared" si="249"/>
        <v>152833902</v>
      </c>
      <c r="BI251" s="178">
        <f t="shared" si="250"/>
        <v>0</v>
      </c>
      <c r="BJ251" s="294" t="str">
        <f t="shared" si="264"/>
        <v>전기전자/기계업</v>
      </c>
      <c r="BK251" s="192">
        <f t="shared" si="265"/>
        <v>2.4096449716116455</v>
      </c>
      <c r="BL251" s="193">
        <f t="shared" si="266"/>
        <v>-2.4096449716116455</v>
      </c>
      <c r="BM251" s="241">
        <f t="shared" si="267"/>
        <v>100</v>
      </c>
      <c r="BN251" s="47">
        <f t="shared" si="268"/>
        <v>2</v>
      </c>
      <c r="BO251" s="54">
        <v>404079000</v>
      </c>
      <c r="BP251" s="194">
        <f t="shared" si="251"/>
        <v>22.858045544328359</v>
      </c>
      <c r="BQ251" s="179">
        <f t="shared" si="269"/>
        <v>100</v>
      </c>
      <c r="BR251" s="30">
        <f>BQ251*0.02</f>
        <v>2</v>
      </c>
      <c r="BS251" s="195">
        <v>15629671.346999999</v>
      </c>
      <c r="BT251" s="195">
        <v>137264.06299999999</v>
      </c>
      <c r="BU251" s="196">
        <f t="shared" si="270"/>
        <v>15492407.284</v>
      </c>
      <c r="BV251" s="178">
        <f t="shared" si="252"/>
        <v>0.8763785083831539</v>
      </c>
      <c r="BW251" s="192">
        <f t="shared" si="271"/>
        <v>5.2309968128308268</v>
      </c>
      <c r="BX251" s="192">
        <f t="shared" si="272"/>
        <v>18.962700577430724</v>
      </c>
      <c r="BY251" s="192">
        <f t="shared" si="273"/>
        <v>7.0695458012309622</v>
      </c>
      <c r="BZ251" s="192">
        <f t="shared" si="274"/>
        <v>73.104238152662475</v>
      </c>
      <c r="CA251" s="192">
        <f t="shared" si="253"/>
        <v>40</v>
      </c>
      <c r="CB251" s="55">
        <f t="shared" si="275"/>
        <v>0.8</v>
      </c>
      <c r="CC251" s="197">
        <f>(M251/N251)*100</f>
        <v>14.520371525211651</v>
      </c>
      <c r="CD251" s="198">
        <f>IF((100-(75*(CC251-1)/(200-1)))&gt;100, 100, IF((100-(75*(CC251-1)/(200-1)))&lt;25, 25, (100-(75*(CC251-1)/(200-1)))))</f>
        <v>94.90438259100064</v>
      </c>
      <c r="CE251" s="58">
        <f>CD251*0.015</f>
        <v>1.4235657388650096</v>
      </c>
      <c r="CF251" s="245" t="s">
        <v>2326</v>
      </c>
      <c r="CG251" s="245" t="s">
        <v>2326</v>
      </c>
      <c r="CH251" s="245" t="s">
        <v>2326</v>
      </c>
      <c r="CI251" s="245" t="s">
        <v>2326</v>
      </c>
      <c r="CJ251" s="235"/>
      <c r="CK251" s="173" t="s">
        <v>2479</v>
      </c>
      <c r="CL251" s="173" t="s">
        <v>2478</v>
      </c>
      <c r="CM251" s="199">
        <f t="shared" si="276"/>
        <v>25</v>
      </c>
      <c r="CN251" s="58">
        <f>CM251*0.015</f>
        <v>0.375</v>
      </c>
      <c r="CO251" s="54">
        <v>893260000</v>
      </c>
      <c r="CP251" s="186">
        <f t="shared" si="254"/>
        <v>17.715313330971583</v>
      </c>
      <c r="CQ251" s="179">
        <f t="shared" si="277"/>
        <v>60</v>
      </c>
      <c r="CR251" s="30">
        <f>CQ251*0.03</f>
        <v>1.7999999999999998</v>
      </c>
      <c r="CS251" s="200">
        <f>_xlfn.XLOOKUP(C251, '1-1. 관계사체무보증금액 (환율 등)'!$3:$3, '1-1. 관계사체무보증금액 (환율 등)'!$33:$33)</f>
        <v>6963291.1392405052</v>
      </c>
      <c r="CT251" s="178">
        <f t="shared" si="255"/>
        <v>0.13809740092069905</v>
      </c>
      <c r="CU251" s="179">
        <f t="shared" si="278"/>
        <v>100</v>
      </c>
      <c r="CV251" s="30">
        <f>CU251*0.02</f>
        <v>2</v>
      </c>
      <c r="CW251" s="72">
        <f t="shared" si="295"/>
        <v>19.826773101117674</v>
      </c>
    </row>
    <row r="252" spans="1:101" x14ac:dyDescent="0.6">
      <c r="A252" s="214" t="s">
        <v>438</v>
      </c>
      <c r="B252" s="1" t="s">
        <v>2232</v>
      </c>
      <c r="C252" s="219" t="s">
        <v>36</v>
      </c>
      <c r="D252" s="221" t="s">
        <v>350</v>
      </c>
      <c r="E252" s="217" t="s">
        <v>179</v>
      </c>
      <c r="F252" s="217" t="s">
        <v>1111</v>
      </c>
      <c r="G252" s="218">
        <v>40028</v>
      </c>
      <c r="H252" s="217" t="s">
        <v>830</v>
      </c>
      <c r="I252" s="217" t="s">
        <v>810</v>
      </c>
      <c r="J252" s="217" t="s">
        <v>1139</v>
      </c>
      <c r="K252" s="217" t="s">
        <v>91</v>
      </c>
      <c r="L252" s="220">
        <v>39369287420</v>
      </c>
      <c r="M252" s="206">
        <v>35300144133</v>
      </c>
      <c r="N252" s="206">
        <v>4069143286</v>
      </c>
      <c r="O252" s="206">
        <v>8031651241</v>
      </c>
      <c r="P252" s="206">
        <v>645745222</v>
      </c>
      <c r="Q252" s="206">
        <v>663311108</v>
      </c>
      <c r="R252" s="206">
        <v>493104212</v>
      </c>
      <c r="S252" s="207">
        <v>26219513</v>
      </c>
      <c r="T252" s="207">
        <v>1400000</v>
      </c>
      <c r="U252" s="207">
        <v>10801594</v>
      </c>
      <c r="V252" s="207">
        <v>0</v>
      </c>
      <c r="W252" s="207">
        <f>5677+400+875+1250+305+1000+1818+20+1140+30+1+1000</f>
        <v>13516</v>
      </c>
      <c r="X252" s="207">
        <v>0</v>
      </c>
      <c r="Z252" s="207">
        <v>39590</v>
      </c>
      <c r="AA252" s="207">
        <v>0</v>
      </c>
      <c r="AB252" s="176">
        <f t="shared" si="279"/>
        <v>10854700</v>
      </c>
      <c r="AC252" s="177">
        <f t="shared" si="256"/>
        <v>41.399319659369723</v>
      </c>
      <c r="AD252" s="177">
        <f t="shared" si="280"/>
        <v>64.356168303190685</v>
      </c>
      <c r="AE252" s="60">
        <f>AD252*0.04</f>
        <v>2.5742467321276274</v>
      </c>
      <c r="AF252" s="178">
        <f t="shared" si="257"/>
        <v>43.520571898409131</v>
      </c>
      <c r="AG252" s="178">
        <f t="shared" si="258"/>
        <v>43.734540641470282</v>
      </c>
      <c r="AH252" s="178">
        <f t="shared" si="282"/>
        <v>0.21396874306115166</v>
      </c>
      <c r="AI252" s="179">
        <f t="shared" si="283"/>
        <v>100</v>
      </c>
      <c r="AJ252" s="61">
        <f>AI252*0.05</f>
        <v>5</v>
      </c>
      <c r="AK252" s="204">
        <v>8</v>
      </c>
      <c r="AL252" s="204">
        <v>37</v>
      </c>
      <c r="AM252" s="204">
        <v>1</v>
      </c>
      <c r="AN252" s="181">
        <f t="shared" si="243"/>
        <v>45</v>
      </c>
      <c r="AO252" s="182">
        <f t="shared" si="244"/>
        <v>2.2222222222222223</v>
      </c>
      <c r="AP252" s="183">
        <f t="shared" si="259"/>
        <v>100</v>
      </c>
      <c r="AQ252" s="62">
        <f>AP252*0.03</f>
        <v>3</v>
      </c>
      <c r="AR252" s="212">
        <v>5</v>
      </c>
      <c r="AS252" s="292">
        <f t="shared" si="245"/>
        <v>0.5</v>
      </c>
      <c r="AT252" s="185">
        <f t="shared" si="246"/>
        <v>4</v>
      </c>
      <c r="AU252" s="185">
        <f t="shared" si="260"/>
        <v>4</v>
      </c>
      <c r="AV252" s="186">
        <f t="shared" si="247"/>
        <v>12.5</v>
      </c>
      <c r="AW252" s="179">
        <f t="shared" si="261"/>
        <v>60</v>
      </c>
      <c r="AX252" s="240">
        <f>AW252*0.02</f>
        <v>1.2</v>
      </c>
      <c r="AY252" s="54">
        <v>12</v>
      </c>
      <c r="AZ252" s="54">
        <f>12*5-2</f>
        <v>58</v>
      </c>
      <c r="BA252" s="189">
        <f t="shared" si="248"/>
        <v>60</v>
      </c>
      <c r="BB252" s="178">
        <f t="shared" si="262"/>
        <v>96.666666666666671</v>
      </c>
      <c r="BC252" s="179">
        <f t="shared" si="263"/>
        <v>100</v>
      </c>
      <c r="BD252" s="61">
        <f>BC252*0.02</f>
        <v>2</v>
      </c>
      <c r="BE252" s="190">
        <v>119688347</v>
      </c>
      <c r="BF252" s="190">
        <v>6368183</v>
      </c>
      <c r="BG252" s="54">
        <v>7924370</v>
      </c>
      <c r="BH252" s="191">
        <f t="shared" si="249"/>
        <v>126056530</v>
      </c>
      <c r="BI252" s="178">
        <f t="shared" si="250"/>
        <v>6.2863621583110376</v>
      </c>
      <c r="BJ252" s="294" t="str">
        <f t="shared" si="264"/>
        <v>금융업</v>
      </c>
      <c r="BK252" s="192">
        <f t="shared" si="265"/>
        <v>2.7106886075318837</v>
      </c>
      <c r="BL252" s="193">
        <f t="shared" si="266"/>
        <v>3.5756735507791539</v>
      </c>
      <c r="BM252" s="241">
        <f t="shared" si="267"/>
        <v>40</v>
      </c>
      <c r="BN252" s="47">
        <f t="shared" si="268"/>
        <v>0.8</v>
      </c>
      <c r="BO252" s="54">
        <v>0</v>
      </c>
      <c r="BP252" s="194">
        <f t="shared" si="251"/>
        <v>0</v>
      </c>
      <c r="BQ252" s="179">
        <f t="shared" si="269"/>
        <v>25</v>
      </c>
      <c r="BR252" s="61">
        <f>BQ252*0.01</f>
        <v>0.25</v>
      </c>
      <c r="BS252" s="195">
        <v>8180038.6799999997</v>
      </c>
      <c r="BT252" s="195">
        <v>7722000</v>
      </c>
      <c r="BU252" s="196">
        <f t="shared" si="270"/>
        <v>458038.6799999997</v>
      </c>
      <c r="BV252" s="178">
        <f t="shared" si="252"/>
        <v>5.7029204363581217E-3</v>
      </c>
      <c r="BW252" s="192">
        <f t="shared" si="271"/>
        <v>0.39407896396795111</v>
      </c>
      <c r="BX252" s="192">
        <f t="shared" si="272"/>
        <v>0.15083595118925383</v>
      </c>
      <c r="BY252" s="192">
        <f t="shared" si="273"/>
        <v>1.5698937849002934</v>
      </c>
      <c r="BZ252" s="192">
        <f t="shared" si="274"/>
        <v>59.769679867028501</v>
      </c>
      <c r="CA252" s="192">
        <f t="shared" si="253"/>
        <v>55</v>
      </c>
      <c r="CB252" s="55">
        <f t="shared" si="275"/>
        <v>1.1000000000000001</v>
      </c>
      <c r="CC252" s="242" t="s">
        <v>1273</v>
      </c>
      <c r="CD252" s="243" t="s">
        <v>1273</v>
      </c>
      <c r="CE252" s="244"/>
      <c r="CF252" s="295" t="s">
        <v>2379</v>
      </c>
      <c r="CG252" s="210">
        <v>0.39</v>
      </c>
      <c r="CH252" s="295" t="s">
        <v>2379</v>
      </c>
      <c r="CI252" s="188">
        <f>IF((100-(75*(CG252-1)/9))&gt;100,100,IF((100-(75*(CG252-1)/9))&lt;25,25,(100-(75*(CG252-1)/9))))</f>
        <v>100</v>
      </c>
      <c r="CJ252" s="63">
        <f>CI252*0.04</f>
        <v>4</v>
      </c>
      <c r="CK252" s="173" t="s">
        <v>2486</v>
      </c>
      <c r="CL252" s="173" t="s">
        <v>2487</v>
      </c>
      <c r="CM252" s="199">
        <f t="shared" si="276"/>
        <v>70</v>
      </c>
      <c r="CN252" s="65">
        <f>CM252*0.03</f>
        <v>2.1</v>
      </c>
      <c r="CO252" s="54">
        <v>892538000</v>
      </c>
      <c r="CP252" s="186">
        <f t="shared" si="254"/>
        <v>21.934297646160598</v>
      </c>
      <c r="CQ252" s="179">
        <f t="shared" si="277"/>
        <v>60</v>
      </c>
      <c r="CR252" s="61">
        <f>CQ252*0.04</f>
        <v>2.4</v>
      </c>
      <c r="CS252" s="200">
        <f>_xlfn.XLOOKUP(C252, '1-1. 관계사체무보증금액 (환율 등)'!$3:$3, '1-1. 관계사체무보증금액 (환율 등)'!$33:$33)</f>
        <v>0</v>
      </c>
      <c r="CT252" s="178">
        <f t="shared" si="255"/>
        <v>0</v>
      </c>
      <c r="CU252" s="179">
        <f t="shared" si="278"/>
        <v>100</v>
      </c>
      <c r="CV252" s="70">
        <f>CU252*0.03</f>
        <v>3</v>
      </c>
      <c r="CW252" s="72">
        <f t="shared" si="295"/>
        <v>27.424246732127628</v>
      </c>
    </row>
    <row r="253" spans="1:101" x14ac:dyDescent="0.6">
      <c r="A253" s="214" t="s">
        <v>535</v>
      </c>
      <c r="B253" s="13" t="s">
        <v>2233</v>
      </c>
      <c r="C253" s="219" t="s">
        <v>890</v>
      </c>
      <c r="D253" s="216" t="s">
        <v>203</v>
      </c>
      <c r="E253" s="217" t="s">
        <v>1179</v>
      </c>
      <c r="F253" s="217" t="s">
        <v>132</v>
      </c>
      <c r="G253" s="218">
        <v>33304</v>
      </c>
      <c r="H253" s="217" t="s">
        <v>830</v>
      </c>
      <c r="I253" s="217" t="s">
        <v>984</v>
      </c>
      <c r="J253" s="217" t="s">
        <v>1110</v>
      </c>
      <c r="K253" s="217" t="s">
        <v>91</v>
      </c>
      <c r="L253" s="220">
        <v>231015509</v>
      </c>
      <c r="M253" s="206">
        <v>75905969</v>
      </c>
      <c r="N253" s="206">
        <v>155109540</v>
      </c>
      <c r="O253" s="206">
        <v>285439614</v>
      </c>
      <c r="P253" s="206">
        <v>21520066</v>
      </c>
      <c r="Q253" s="206">
        <v>18501491</v>
      </c>
      <c r="R253" s="206">
        <v>19107420</v>
      </c>
      <c r="S253" s="207">
        <v>27583100</v>
      </c>
      <c r="T253" s="207">
        <v>0</v>
      </c>
      <c r="U253" s="207">
        <v>12021820</v>
      </c>
      <c r="V253" s="207">
        <v>90000</v>
      </c>
      <c r="W253" s="207">
        <v>0</v>
      </c>
      <c r="X253" s="207">
        <v>900000</v>
      </c>
      <c r="Y253" s="208" t="s">
        <v>2457</v>
      </c>
      <c r="Z253" s="207">
        <v>0</v>
      </c>
      <c r="AA253" s="207">
        <v>1010000</v>
      </c>
      <c r="AB253" s="176">
        <f t="shared" si="279"/>
        <v>13011820</v>
      </c>
      <c r="AC253" s="177">
        <f t="shared" si="256"/>
        <v>47.173160377187479</v>
      </c>
      <c r="AD253" s="177">
        <f t="shared" si="280"/>
        <v>59.372991619228301</v>
      </c>
      <c r="AE253" s="26">
        <f t="shared" ref="AE253:AE289" si="332">AD253*0.03</f>
        <v>1.7811897485768491</v>
      </c>
      <c r="AF253" s="178">
        <f t="shared" si="257"/>
        <v>45.579251197639721</v>
      </c>
      <c r="AG253" s="178">
        <f t="shared" si="258"/>
        <v>45.165298741960861</v>
      </c>
      <c r="AH253" s="178">
        <f t="shared" si="282"/>
        <v>-0.41395245567886008</v>
      </c>
      <c r="AI253" s="179">
        <f t="shared" si="283"/>
        <v>100</v>
      </c>
      <c r="AJ253" s="30">
        <f t="shared" ref="AJ253:AJ289" si="333">AI253*0.04</f>
        <v>4</v>
      </c>
      <c r="AK253" s="204">
        <v>5</v>
      </c>
      <c r="AL253" s="204">
        <v>4</v>
      </c>
      <c r="AM253" s="204">
        <v>0</v>
      </c>
      <c r="AN253" s="181">
        <f t="shared" si="243"/>
        <v>9</v>
      </c>
      <c r="AO253" s="182">
        <f t="shared" si="244"/>
        <v>0</v>
      </c>
      <c r="AP253" s="183">
        <f t="shared" si="259"/>
        <v>100</v>
      </c>
      <c r="AQ253" s="38">
        <f t="shared" ref="AQ253:AQ289" si="334">AP253*0.02</f>
        <v>2</v>
      </c>
      <c r="AR253" s="212">
        <v>1</v>
      </c>
      <c r="AS253" s="292">
        <f t="shared" si="245"/>
        <v>0.25</v>
      </c>
      <c r="AT253" s="185">
        <f t="shared" si="246"/>
        <v>1.25</v>
      </c>
      <c r="AU253" s="185">
        <f t="shared" si="260"/>
        <v>1</v>
      </c>
      <c r="AV253" s="186">
        <f t="shared" si="247"/>
        <v>0</v>
      </c>
      <c r="AW253" s="179">
        <f t="shared" si="261"/>
        <v>40</v>
      </c>
      <c r="AX253" s="239">
        <f t="shared" ref="AX253:AX289" si="335">AW253*0.01</f>
        <v>0.4</v>
      </c>
      <c r="AY253" s="54">
        <v>20</v>
      </c>
      <c r="AZ253" s="54">
        <v>19</v>
      </c>
      <c r="BA253" s="189">
        <f t="shared" si="248"/>
        <v>20</v>
      </c>
      <c r="BB253" s="178">
        <f t="shared" si="262"/>
        <v>95</v>
      </c>
      <c r="BC253" s="179">
        <f t="shared" si="263"/>
        <v>100</v>
      </c>
      <c r="BD253" s="30">
        <f t="shared" ref="BD253:BD289" si="336">BC253*0.01</f>
        <v>1</v>
      </c>
      <c r="BE253" s="190">
        <v>4175499</v>
      </c>
      <c r="BF253" s="190">
        <v>250273</v>
      </c>
      <c r="BG253" s="54">
        <v>127349</v>
      </c>
      <c r="BH253" s="191">
        <f t="shared" si="249"/>
        <v>4425772</v>
      </c>
      <c r="BI253" s="178">
        <f t="shared" si="250"/>
        <v>2.8774414949527451</v>
      </c>
      <c r="BJ253" s="294" t="str">
        <f t="shared" si="264"/>
        <v>금속/비금속/화학업</v>
      </c>
      <c r="BK253" s="192">
        <f t="shared" si="265"/>
        <v>3.9534118626990464</v>
      </c>
      <c r="BL253" s="193">
        <f t="shared" si="266"/>
        <v>-1.0759703677463013</v>
      </c>
      <c r="BM253" s="241">
        <f t="shared" si="267"/>
        <v>80</v>
      </c>
      <c r="BN253" s="47">
        <f t="shared" si="268"/>
        <v>1.6</v>
      </c>
      <c r="BO253" s="54">
        <v>753410</v>
      </c>
      <c r="BP253" s="194">
        <f t="shared" si="251"/>
        <v>0.26394724594884017</v>
      </c>
      <c r="BQ253" s="179">
        <f t="shared" si="269"/>
        <v>55</v>
      </c>
      <c r="BR253" s="30">
        <f t="shared" ref="BR253:BR289" si="337">BQ253*0.02</f>
        <v>1.1000000000000001</v>
      </c>
      <c r="BS253" s="195">
        <v>6428265.8880000003</v>
      </c>
      <c r="BT253" s="195">
        <v>38973.273000000001</v>
      </c>
      <c r="BU253" s="196">
        <f t="shared" si="270"/>
        <v>6389292.6150000002</v>
      </c>
      <c r="BV253" s="178">
        <f t="shared" si="252"/>
        <v>2.23840430746939</v>
      </c>
      <c r="BW253" s="192">
        <f t="shared" si="271"/>
        <v>5.1474158565187729</v>
      </c>
      <c r="BX253" s="192">
        <f t="shared" si="272"/>
        <v>8.4623481925026898</v>
      </c>
      <c r="BY253" s="192">
        <f t="shared" si="273"/>
        <v>6.6930498535228526</v>
      </c>
      <c r="BZ253" s="192">
        <f t="shared" si="274"/>
        <v>66.808510450651241</v>
      </c>
      <c r="CA253" s="192">
        <f t="shared" si="253"/>
        <v>40</v>
      </c>
      <c r="CB253" s="55">
        <f t="shared" si="275"/>
        <v>0.8</v>
      </c>
      <c r="CC253" s="197">
        <f t="shared" ref="CC253:CC289" si="338">(M253/N253)*100</f>
        <v>48.937008645631984</v>
      </c>
      <c r="CD253" s="198">
        <f t="shared" ref="CD253:CD289" si="339">IF((100-(75*(CC253-1)/(200-1)))&gt;100, 100, IF((100-(75*(CC253-1)/(200-1)))&lt;25, 25, (100-(75*(CC253-1)/(200-1)))))</f>
        <v>81.933288198882423</v>
      </c>
      <c r="CE253" s="58">
        <f t="shared" ref="CE253:CE289" si="340">CD253*0.015</f>
        <v>1.2289993229832363</v>
      </c>
      <c r="CF253" s="245" t="s">
        <v>2326</v>
      </c>
      <c r="CG253" s="245" t="s">
        <v>2326</v>
      </c>
      <c r="CH253" s="245" t="s">
        <v>2326</v>
      </c>
      <c r="CI253" s="245" t="s">
        <v>2326</v>
      </c>
      <c r="CJ253" s="235"/>
      <c r="CK253" s="173" t="s">
        <v>2485</v>
      </c>
      <c r="CL253" s="173" t="s">
        <v>2482</v>
      </c>
      <c r="CM253" s="199">
        <f t="shared" si="276"/>
        <v>55</v>
      </c>
      <c r="CN253" s="58">
        <f t="shared" ref="CN253:CN289" si="341">CM253*0.015</f>
        <v>0.82499999999999996</v>
      </c>
      <c r="CO253" s="54">
        <f>65157000-159000</f>
        <v>64998000</v>
      </c>
      <c r="CP253" s="186">
        <f t="shared" si="254"/>
        <v>41.904579176754694</v>
      </c>
      <c r="CQ253" s="179">
        <f t="shared" si="277"/>
        <v>40</v>
      </c>
      <c r="CR253" s="30">
        <f t="shared" ref="CR253:CR289" si="342">CQ253*0.03</f>
        <v>1.2</v>
      </c>
      <c r="CS253" s="200">
        <f>_xlfn.XLOOKUP(C253, '1-1. 관계사체무보증금액 (환율 등)'!$3:$3, '1-1. 관계사체무보증금액 (환율 등)'!$33:$33)</f>
        <v>0</v>
      </c>
      <c r="CT253" s="178">
        <f t="shared" si="255"/>
        <v>0</v>
      </c>
      <c r="CU253" s="179">
        <f t="shared" si="278"/>
        <v>100</v>
      </c>
      <c r="CV253" s="30">
        <f t="shared" ref="CV253:CV289" si="343">CU253*0.02</f>
        <v>2</v>
      </c>
      <c r="CW253" s="72">
        <f t="shared" si="295"/>
        <v>17.935189071560082</v>
      </c>
    </row>
    <row r="254" spans="1:101" x14ac:dyDescent="0.6">
      <c r="A254" s="214" t="s">
        <v>1870</v>
      </c>
      <c r="B254" s="13" t="s">
        <v>2234</v>
      </c>
      <c r="C254" s="219" t="s">
        <v>529</v>
      </c>
      <c r="D254" s="216" t="s">
        <v>203</v>
      </c>
      <c r="E254" s="217" t="s">
        <v>180</v>
      </c>
      <c r="F254" s="217" t="s">
        <v>561</v>
      </c>
      <c r="G254" s="218">
        <v>35094</v>
      </c>
      <c r="H254" s="217" t="s">
        <v>830</v>
      </c>
      <c r="I254" s="217" t="s">
        <v>1871</v>
      </c>
      <c r="J254" s="217" t="s">
        <v>1230</v>
      </c>
      <c r="K254" s="217" t="s">
        <v>91</v>
      </c>
      <c r="L254" s="220">
        <v>221214840</v>
      </c>
      <c r="M254" s="206">
        <v>49139610</v>
      </c>
      <c r="N254" s="206">
        <v>172075230</v>
      </c>
      <c r="O254" s="206">
        <v>157798814</v>
      </c>
      <c r="P254" s="206">
        <v>10746927</v>
      </c>
      <c r="Q254" s="206">
        <v>5946963</v>
      </c>
      <c r="R254" s="206">
        <v>5654728</v>
      </c>
      <c r="S254" s="300">
        <v>29228750</v>
      </c>
      <c r="T254" s="207">
        <v>985728</v>
      </c>
      <c r="U254" s="207">
        <v>6804620</v>
      </c>
      <c r="V254" s="207">
        <f>88030+15472</f>
        <v>103502</v>
      </c>
      <c r="W254" s="207">
        <v>0</v>
      </c>
      <c r="X254" s="207">
        <v>2922000</v>
      </c>
      <c r="Y254" s="208" t="s">
        <v>2457</v>
      </c>
      <c r="Z254" s="207">
        <f>6256859+865480+1010000+150000</f>
        <v>8282339</v>
      </c>
      <c r="AA254" s="207">
        <f>1010000+150000+1896720+865480</f>
        <v>3922200</v>
      </c>
      <c r="AB254" s="176">
        <f t="shared" si="279"/>
        <v>18112461</v>
      </c>
      <c r="AC254" s="177">
        <f t="shared" si="256"/>
        <v>61.967963050079121</v>
      </c>
      <c r="AD254" s="177">
        <f t="shared" si="280"/>
        <v>46.604174582785568</v>
      </c>
      <c r="AE254" s="26">
        <f t="shared" si="332"/>
        <v>1.3981252374835669</v>
      </c>
      <c r="AF254" s="178">
        <f t="shared" si="257"/>
        <v>28.404146866417591</v>
      </c>
      <c r="AG254" s="178">
        <f t="shared" si="258"/>
        <v>58.346140603306907</v>
      </c>
      <c r="AH254" s="178">
        <f t="shared" si="282"/>
        <v>29.941993736889316</v>
      </c>
      <c r="AI254" s="179">
        <f t="shared" si="283"/>
        <v>80</v>
      </c>
      <c r="AJ254" s="30">
        <f t="shared" si="333"/>
        <v>3.2</v>
      </c>
      <c r="AK254" s="204">
        <v>5</v>
      </c>
      <c r="AL254" s="204">
        <v>5</v>
      </c>
      <c r="AM254" s="204">
        <v>1</v>
      </c>
      <c r="AN254" s="181">
        <f t="shared" si="243"/>
        <v>10</v>
      </c>
      <c r="AO254" s="182">
        <f t="shared" si="244"/>
        <v>10</v>
      </c>
      <c r="AP254" s="183">
        <f t="shared" si="259"/>
        <v>80</v>
      </c>
      <c r="AQ254" s="38">
        <f t="shared" si="334"/>
        <v>1.6</v>
      </c>
      <c r="AR254" s="212">
        <v>1</v>
      </c>
      <c r="AS254" s="292">
        <f t="shared" si="245"/>
        <v>0.25</v>
      </c>
      <c r="AT254" s="185">
        <f t="shared" si="246"/>
        <v>1.25</v>
      </c>
      <c r="AU254" s="185">
        <f t="shared" si="260"/>
        <v>1</v>
      </c>
      <c r="AV254" s="186">
        <f t="shared" si="247"/>
        <v>0</v>
      </c>
      <c r="AW254" s="179">
        <f t="shared" si="261"/>
        <v>40</v>
      </c>
      <c r="AX254" s="239">
        <f t="shared" si="335"/>
        <v>0.4</v>
      </c>
      <c r="AY254" s="54">
        <v>14</v>
      </c>
      <c r="AZ254" s="54">
        <v>11</v>
      </c>
      <c r="BA254" s="189">
        <f t="shared" si="248"/>
        <v>14</v>
      </c>
      <c r="BB254" s="178">
        <f t="shared" si="262"/>
        <v>78.571428571428569</v>
      </c>
      <c r="BC254" s="179">
        <f t="shared" si="263"/>
        <v>50</v>
      </c>
      <c r="BD254" s="30">
        <f t="shared" si="336"/>
        <v>0.5</v>
      </c>
      <c r="BE254" s="190">
        <v>7174985</v>
      </c>
      <c r="BF254" s="190">
        <v>538789</v>
      </c>
      <c r="BG254" s="54">
        <v>257815</v>
      </c>
      <c r="BH254" s="191">
        <f t="shared" si="249"/>
        <v>7713774</v>
      </c>
      <c r="BI254" s="178">
        <f t="shared" si="250"/>
        <v>3.3422680000736347</v>
      </c>
      <c r="BJ254" s="294" t="str">
        <f t="shared" si="264"/>
        <v>금속/비금속/화학업</v>
      </c>
      <c r="BK254" s="192">
        <f t="shared" si="265"/>
        <v>3.9534118626990464</v>
      </c>
      <c r="BL254" s="193">
        <f t="shared" si="266"/>
        <v>-0.61114386262541176</v>
      </c>
      <c r="BM254" s="241">
        <f t="shared" si="267"/>
        <v>80</v>
      </c>
      <c r="BN254" s="47">
        <f t="shared" si="268"/>
        <v>1.6</v>
      </c>
      <c r="BO254" s="54">
        <v>1792438</v>
      </c>
      <c r="BP254" s="194">
        <f t="shared" si="251"/>
        <v>1.1359008059464883</v>
      </c>
      <c r="BQ254" s="179">
        <f t="shared" si="269"/>
        <v>70</v>
      </c>
      <c r="BR254" s="30">
        <f t="shared" si="337"/>
        <v>1.4000000000000001</v>
      </c>
      <c r="BS254" s="195">
        <v>2967333.4929999998</v>
      </c>
      <c r="BT254" s="195">
        <v>42713.637999999999</v>
      </c>
      <c r="BU254" s="196">
        <f t="shared" si="270"/>
        <v>2924619.855</v>
      </c>
      <c r="BV254" s="178">
        <f t="shared" si="252"/>
        <v>1.8533851940103936</v>
      </c>
      <c r="BW254" s="192">
        <f t="shared" si="271"/>
        <v>5.1474158565187729</v>
      </c>
      <c r="BX254" s="192">
        <f t="shared" si="272"/>
        <v>10.85063800554539</v>
      </c>
      <c r="BY254" s="192">
        <f t="shared" si="273"/>
        <v>6.6930498535228526</v>
      </c>
      <c r="BZ254" s="192">
        <f t="shared" si="274"/>
        <v>68.869578450112144</v>
      </c>
      <c r="CA254" s="192">
        <f t="shared" si="253"/>
        <v>40</v>
      </c>
      <c r="CB254" s="55">
        <f t="shared" si="275"/>
        <v>0.8</v>
      </c>
      <c r="CC254" s="197">
        <f t="shared" si="338"/>
        <v>28.557050308751585</v>
      </c>
      <c r="CD254" s="198">
        <f t="shared" si="339"/>
        <v>89.614177019314724</v>
      </c>
      <c r="CE254" s="58">
        <f t="shared" si="340"/>
        <v>1.3442126552897209</v>
      </c>
      <c r="CF254" s="245" t="s">
        <v>2326</v>
      </c>
      <c r="CG254" s="245" t="s">
        <v>2326</v>
      </c>
      <c r="CH254" s="245" t="s">
        <v>2326</v>
      </c>
      <c r="CI254" s="245" t="s">
        <v>2326</v>
      </c>
      <c r="CJ254" s="235"/>
      <c r="CK254" s="173" t="s">
        <v>2490</v>
      </c>
      <c r="CL254" s="173" t="s">
        <v>2487</v>
      </c>
      <c r="CM254" s="199">
        <f t="shared" si="276"/>
        <v>70</v>
      </c>
      <c r="CN254" s="58">
        <f t="shared" si="341"/>
        <v>1.05</v>
      </c>
      <c r="CO254" s="54">
        <f>108154000-9000000-2015000</f>
        <v>97139000</v>
      </c>
      <c r="CP254" s="186">
        <f t="shared" si="254"/>
        <v>56.451471835894104</v>
      </c>
      <c r="CQ254" s="179">
        <f t="shared" si="277"/>
        <v>40</v>
      </c>
      <c r="CR254" s="30">
        <f t="shared" si="342"/>
        <v>1.2</v>
      </c>
      <c r="CS254" s="200">
        <f>_xlfn.XLOOKUP(C254, '1-1. 관계사체무보증금액 (환율 등)'!$3:$3, '1-1. 관계사체무보증금액 (환율 등)'!$33:$33)</f>
        <v>0</v>
      </c>
      <c r="CT254" s="178">
        <f t="shared" si="255"/>
        <v>0</v>
      </c>
      <c r="CU254" s="179">
        <f t="shared" si="278"/>
        <v>100</v>
      </c>
      <c r="CV254" s="30">
        <f t="shared" si="343"/>
        <v>2</v>
      </c>
      <c r="CW254" s="72">
        <f t="shared" si="295"/>
        <v>16.492337892773289</v>
      </c>
    </row>
    <row r="255" spans="1:101" x14ac:dyDescent="0.6">
      <c r="A255" s="214" t="s">
        <v>366</v>
      </c>
      <c r="B255" s="13" t="s">
        <v>2235</v>
      </c>
      <c r="C255" s="219" t="s">
        <v>447</v>
      </c>
      <c r="D255" s="216" t="s">
        <v>203</v>
      </c>
      <c r="E255" s="217" t="s">
        <v>180</v>
      </c>
      <c r="F255" s="217" t="s">
        <v>990</v>
      </c>
      <c r="G255" s="218">
        <v>37649</v>
      </c>
      <c r="H255" s="217" t="s">
        <v>830</v>
      </c>
      <c r="I255" s="217" t="s">
        <v>814</v>
      </c>
      <c r="J255" s="217" t="s">
        <v>663</v>
      </c>
      <c r="K255" s="217" t="s">
        <v>91</v>
      </c>
      <c r="L255" s="220">
        <v>162863274</v>
      </c>
      <c r="M255" s="206">
        <v>17371202</v>
      </c>
      <c r="N255" s="206">
        <v>145492071</v>
      </c>
      <c r="O255" s="206">
        <v>56651970</v>
      </c>
      <c r="P255" s="206">
        <v>10708324</v>
      </c>
      <c r="Q255" s="206">
        <v>12207215</v>
      </c>
      <c r="R255" s="206">
        <v>9200816</v>
      </c>
      <c r="S255" s="207">
        <v>11600000</v>
      </c>
      <c r="T255" s="207">
        <v>266101</v>
      </c>
      <c r="U255" s="207">
        <v>4641480</v>
      </c>
      <c r="V255" s="207">
        <v>0</v>
      </c>
      <c r="W255" s="207">
        <v>0</v>
      </c>
      <c r="X255" s="207">
        <v>0</v>
      </c>
      <c r="Z255" s="207">
        <v>1896720</v>
      </c>
      <c r="AA255" s="207">
        <v>1896720</v>
      </c>
      <c r="AB255" s="176">
        <f t="shared" si="279"/>
        <v>6538200</v>
      </c>
      <c r="AC255" s="177">
        <f t="shared" si="256"/>
        <v>56.36379310344828</v>
      </c>
      <c r="AD255" s="177">
        <f t="shared" si="280"/>
        <v>51.440915043053842</v>
      </c>
      <c r="AE255" s="26">
        <f t="shared" si="332"/>
        <v>1.5432274512916151</v>
      </c>
      <c r="AF255" s="178">
        <f t="shared" si="257"/>
        <v>49.182917903750692</v>
      </c>
      <c r="AG255" s="178">
        <f t="shared" si="258"/>
        <v>49.182917903750692</v>
      </c>
      <c r="AH255" s="178">
        <f t="shared" si="282"/>
        <v>0</v>
      </c>
      <c r="AI255" s="179">
        <f t="shared" si="283"/>
        <v>100</v>
      </c>
      <c r="AJ255" s="30">
        <f t="shared" si="333"/>
        <v>4</v>
      </c>
      <c r="AK255" s="204">
        <v>6</v>
      </c>
      <c r="AL255" s="204">
        <v>3</v>
      </c>
      <c r="AM255" s="204">
        <v>1</v>
      </c>
      <c r="AN255" s="181">
        <f t="shared" si="243"/>
        <v>9</v>
      </c>
      <c r="AO255" s="182">
        <f t="shared" si="244"/>
        <v>11.111111111111111</v>
      </c>
      <c r="AP255" s="183">
        <f t="shared" si="259"/>
        <v>80</v>
      </c>
      <c r="AQ255" s="38">
        <f t="shared" si="334"/>
        <v>1.6</v>
      </c>
      <c r="AR255" s="212">
        <v>1</v>
      </c>
      <c r="AS255" s="292">
        <f t="shared" si="245"/>
        <v>0.25</v>
      </c>
      <c r="AT255" s="185">
        <f t="shared" si="246"/>
        <v>1.5</v>
      </c>
      <c r="AU255" s="185">
        <f t="shared" si="260"/>
        <v>1</v>
      </c>
      <c r="AV255" s="186">
        <f t="shared" si="247"/>
        <v>0</v>
      </c>
      <c r="AW255" s="179">
        <f t="shared" si="261"/>
        <v>40</v>
      </c>
      <c r="AX255" s="239">
        <f t="shared" si="335"/>
        <v>0.4</v>
      </c>
      <c r="AY255" s="54">
        <v>9</v>
      </c>
      <c r="AZ255" s="54">
        <v>6</v>
      </c>
      <c r="BA255" s="189">
        <f t="shared" si="248"/>
        <v>9</v>
      </c>
      <c r="BB255" s="178">
        <f t="shared" si="262"/>
        <v>66.666666666666657</v>
      </c>
      <c r="BC255" s="179">
        <f t="shared" si="263"/>
        <v>25</v>
      </c>
      <c r="BD255" s="30">
        <f t="shared" si="336"/>
        <v>0.25</v>
      </c>
      <c r="BE255" s="190">
        <v>2860944</v>
      </c>
      <c r="BF255" s="190">
        <v>231000</v>
      </c>
      <c r="BG255" s="54">
        <v>231000</v>
      </c>
      <c r="BH255" s="191">
        <f t="shared" si="249"/>
        <v>3091944</v>
      </c>
      <c r="BI255" s="178">
        <f t="shared" si="250"/>
        <v>7.4710279358228995</v>
      </c>
      <c r="BJ255" s="294" t="str">
        <f t="shared" si="264"/>
        <v>금속/비금속/화학업</v>
      </c>
      <c r="BK255" s="192">
        <f t="shared" si="265"/>
        <v>3.9534118626990464</v>
      </c>
      <c r="BL255" s="193">
        <f t="shared" si="266"/>
        <v>3.517616073123853</v>
      </c>
      <c r="BM255" s="241">
        <f t="shared" si="267"/>
        <v>40</v>
      </c>
      <c r="BN255" s="47">
        <f t="shared" si="268"/>
        <v>0.8</v>
      </c>
      <c r="BO255" s="54">
        <v>0</v>
      </c>
      <c r="BP255" s="194">
        <f t="shared" si="251"/>
        <v>0</v>
      </c>
      <c r="BQ255" s="179">
        <f t="shared" si="269"/>
        <v>25</v>
      </c>
      <c r="BR255" s="30">
        <f t="shared" si="337"/>
        <v>0.5</v>
      </c>
      <c r="BS255" s="195">
        <v>4386443.4119999995</v>
      </c>
      <c r="BT255" s="195">
        <v>68545.455000000002</v>
      </c>
      <c r="BU255" s="196">
        <f t="shared" si="270"/>
        <v>4317897.9569999995</v>
      </c>
      <c r="BV255" s="178">
        <f t="shared" si="252"/>
        <v>7.6217966594983366</v>
      </c>
      <c r="BW255" s="192">
        <f t="shared" si="271"/>
        <v>5.1474158565187729</v>
      </c>
      <c r="BX255" s="192">
        <f t="shared" si="272"/>
        <v>6.1225603581537911</v>
      </c>
      <c r="BY255" s="192">
        <f t="shared" si="273"/>
        <v>6.6930498535228526</v>
      </c>
      <c r="BZ255" s="192">
        <f t="shared" si="274"/>
        <v>35.580522747580254</v>
      </c>
      <c r="CA255" s="192">
        <f t="shared" si="253"/>
        <v>55</v>
      </c>
      <c r="CB255" s="55">
        <f t="shared" si="275"/>
        <v>1.1000000000000001</v>
      </c>
      <c r="CC255" s="197">
        <f t="shared" si="338"/>
        <v>11.939621094540609</v>
      </c>
      <c r="CD255" s="198">
        <f t="shared" si="339"/>
        <v>95.877027225675647</v>
      </c>
      <c r="CE255" s="58">
        <f t="shared" si="340"/>
        <v>1.4381554083851347</v>
      </c>
      <c r="CF255" s="245" t="s">
        <v>2326</v>
      </c>
      <c r="CG255" s="245" t="s">
        <v>2326</v>
      </c>
      <c r="CH255" s="245" t="s">
        <v>2326</v>
      </c>
      <c r="CI255" s="245" t="s">
        <v>2326</v>
      </c>
      <c r="CJ255" s="235"/>
      <c r="CK255" s="173" t="s">
        <v>2479</v>
      </c>
      <c r="CL255" s="173" t="s">
        <v>2478</v>
      </c>
      <c r="CM255" s="199">
        <f t="shared" si="276"/>
        <v>25</v>
      </c>
      <c r="CN255" s="58">
        <f t="shared" si="341"/>
        <v>0.375</v>
      </c>
      <c r="CO255" s="54">
        <v>69263000</v>
      </c>
      <c r="CP255" s="186">
        <f t="shared" si="254"/>
        <v>47.606030709398588</v>
      </c>
      <c r="CQ255" s="179">
        <f t="shared" si="277"/>
        <v>40</v>
      </c>
      <c r="CR255" s="30">
        <f t="shared" si="342"/>
        <v>1.2</v>
      </c>
      <c r="CS255" s="200">
        <f>_xlfn.XLOOKUP(C255, '1-1. 관계사체무보증금액 (환율 등)'!$3:$3, '1-1. 관계사체무보증금액 (환율 등)'!$33:$33)</f>
        <v>0</v>
      </c>
      <c r="CT255" s="178">
        <f t="shared" si="255"/>
        <v>0</v>
      </c>
      <c r="CU255" s="179">
        <f t="shared" si="278"/>
        <v>100</v>
      </c>
      <c r="CV255" s="30">
        <f t="shared" si="343"/>
        <v>2</v>
      </c>
      <c r="CW255" s="72">
        <f t="shared" si="295"/>
        <v>15.206382859676751</v>
      </c>
    </row>
    <row r="256" spans="1:101" x14ac:dyDescent="0.6">
      <c r="A256" s="214" t="s">
        <v>1872</v>
      </c>
      <c r="B256" s="13" t="s">
        <v>2236</v>
      </c>
      <c r="C256" s="219" t="s">
        <v>38</v>
      </c>
      <c r="D256" s="216" t="s">
        <v>285</v>
      </c>
      <c r="E256" s="217" t="s">
        <v>867</v>
      </c>
      <c r="F256" s="217" t="s">
        <v>589</v>
      </c>
      <c r="G256" s="218">
        <v>32825</v>
      </c>
      <c r="H256" s="217" t="s">
        <v>830</v>
      </c>
      <c r="I256" s="217" t="s">
        <v>744</v>
      </c>
      <c r="J256" s="217" t="s">
        <v>1100</v>
      </c>
      <c r="K256" s="217" t="s">
        <v>690</v>
      </c>
      <c r="L256" s="220">
        <v>2966326502</v>
      </c>
      <c r="M256" s="206">
        <v>2073747455</v>
      </c>
      <c r="N256" s="206">
        <v>892579047</v>
      </c>
      <c r="O256" s="206">
        <v>2518358924</v>
      </c>
      <c r="P256" s="206">
        <v>126264508</v>
      </c>
      <c r="Q256" s="206">
        <v>98571424</v>
      </c>
      <c r="R256" s="206">
        <v>79048061</v>
      </c>
      <c r="S256" s="207">
        <v>38899098</v>
      </c>
      <c r="T256" s="207">
        <v>7780</v>
      </c>
      <c r="U256" s="207">
        <f>10805759+3889909</f>
        <v>14695668</v>
      </c>
      <c r="V256" s="207">
        <f>1171046+402012+30347</f>
        <v>1603405</v>
      </c>
      <c r="W256" s="207">
        <f>113355+1288+4401+2210+850+7770+105+45+9042+4778</f>
        <v>143844</v>
      </c>
      <c r="X256" s="207">
        <v>2746445</v>
      </c>
      <c r="Y256" s="208" t="s">
        <v>2458</v>
      </c>
      <c r="Z256" s="207">
        <v>0</v>
      </c>
      <c r="AA256" s="207">
        <v>0</v>
      </c>
      <c r="AB256" s="176">
        <f t="shared" si="279"/>
        <v>19189362</v>
      </c>
      <c r="AC256" s="177">
        <f t="shared" si="256"/>
        <v>49.331123307794947</v>
      </c>
      <c r="AD256" s="177">
        <f t="shared" si="280"/>
        <v>57.510537996724736</v>
      </c>
      <c r="AE256" s="26">
        <f t="shared" si="332"/>
        <v>1.725316139901742</v>
      </c>
      <c r="AF256" s="178">
        <f t="shared" si="257"/>
        <v>41.90928422636641</v>
      </c>
      <c r="AG256" s="178">
        <f t="shared" si="258"/>
        <v>49.340991734967687</v>
      </c>
      <c r="AH256" s="178">
        <f t="shared" si="282"/>
        <v>7.4317075086012778</v>
      </c>
      <c r="AI256" s="179">
        <f t="shared" si="283"/>
        <v>100</v>
      </c>
      <c r="AJ256" s="30">
        <f t="shared" si="333"/>
        <v>4</v>
      </c>
      <c r="AK256" s="204">
        <v>6</v>
      </c>
      <c r="AL256" s="204">
        <v>40</v>
      </c>
      <c r="AM256" s="204">
        <v>2</v>
      </c>
      <c r="AN256" s="181">
        <f t="shared" si="243"/>
        <v>46</v>
      </c>
      <c r="AO256" s="182">
        <f t="shared" si="244"/>
        <v>4.3478260869565215</v>
      </c>
      <c r="AP256" s="183">
        <f t="shared" si="259"/>
        <v>100</v>
      </c>
      <c r="AQ256" s="38">
        <f t="shared" si="334"/>
        <v>2</v>
      </c>
      <c r="AR256" s="212">
        <v>4</v>
      </c>
      <c r="AS256" s="292">
        <f t="shared" si="245"/>
        <v>0.5</v>
      </c>
      <c r="AT256" s="185">
        <f t="shared" si="246"/>
        <v>3</v>
      </c>
      <c r="AU256" s="185">
        <f t="shared" si="260"/>
        <v>3</v>
      </c>
      <c r="AV256" s="186">
        <f t="shared" si="247"/>
        <v>16.666666666666664</v>
      </c>
      <c r="AW256" s="179">
        <f t="shared" si="261"/>
        <v>60</v>
      </c>
      <c r="AX256" s="239">
        <f t="shared" si="335"/>
        <v>0.6</v>
      </c>
      <c r="AY256" s="54">
        <v>18</v>
      </c>
      <c r="AZ256" s="54">
        <f>18*4-2</f>
        <v>70</v>
      </c>
      <c r="BA256" s="189">
        <f t="shared" si="248"/>
        <v>72</v>
      </c>
      <c r="BB256" s="178">
        <f t="shared" si="262"/>
        <v>97.222222222222214</v>
      </c>
      <c r="BC256" s="179">
        <f t="shared" si="263"/>
        <v>100</v>
      </c>
      <c r="BD256" s="30">
        <f t="shared" si="336"/>
        <v>1</v>
      </c>
      <c r="BE256" s="190">
        <v>48013631</v>
      </c>
      <c r="BF256" s="190">
        <v>9960396</v>
      </c>
      <c r="BG256" s="301">
        <v>0</v>
      </c>
      <c r="BH256" s="191">
        <f t="shared" si="249"/>
        <v>57974027</v>
      </c>
      <c r="BI256" s="178">
        <f t="shared" si="250"/>
        <v>0</v>
      </c>
      <c r="BJ256" s="294" t="str">
        <f t="shared" si="264"/>
        <v>비제조/서비스업</v>
      </c>
      <c r="BK256" s="192">
        <f t="shared" si="265"/>
        <v>1.7464434573900924</v>
      </c>
      <c r="BL256" s="193">
        <f t="shared" si="266"/>
        <v>-1.7464434573900924</v>
      </c>
      <c r="BM256" s="241">
        <f t="shared" si="267"/>
        <v>80</v>
      </c>
      <c r="BN256" s="47">
        <f t="shared" si="268"/>
        <v>1.6</v>
      </c>
      <c r="BO256" s="54">
        <v>53457000</v>
      </c>
      <c r="BP256" s="194">
        <f t="shared" si="251"/>
        <v>2.1226918645532988</v>
      </c>
      <c r="BQ256" s="179">
        <f t="shared" si="269"/>
        <v>85</v>
      </c>
      <c r="BR256" s="30">
        <f t="shared" si="337"/>
        <v>1.7</v>
      </c>
      <c r="BS256" s="195">
        <v>681346.23100000003</v>
      </c>
      <c r="BT256" s="195">
        <v>73531.448999999993</v>
      </c>
      <c r="BU256" s="196">
        <f t="shared" si="270"/>
        <v>607814.78200000001</v>
      </c>
      <c r="BV256" s="178">
        <f t="shared" si="252"/>
        <v>2.4135351645371738E-2</v>
      </c>
      <c r="BW256" s="192">
        <f t="shared" si="271"/>
        <v>2.8482825397737606</v>
      </c>
      <c r="BX256" s="192">
        <f t="shared" si="272"/>
        <v>7.9758073402134855</v>
      </c>
      <c r="BY256" s="192">
        <f t="shared" si="273"/>
        <v>5.5697595856656799</v>
      </c>
      <c r="BZ256" s="192">
        <f t="shared" si="274"/>
        <v>69.394016900078199</v>
      </c>
      <c r="CA256" s="192">
        <f t="shared" si="253"/>
        <v>40</v>
      </c>
      <c r="CB256" s="55">
        <f t="shared" si="275"/>
        <v>0.8</v>
      </c>
      <c r="CC256" s="197">
        <f t="shared" si="338"/>
        <v>232.33207881923312</v>
      </c>
      <c r="CD256" s="198">
        <f t="shared" si="339"/>
        <v>25</v>
      </c>
      <c r="CE256" s="58">
        <f t="shared" si="340"/>
        <v>0.375</v>
      </c>
      <c r="CF256" s="245" t="s">
        <v>2326</v>
      </c>
      <c r="CG256" s="245" t="s">
        <v>2326</v>
      </c>
      <c r="CH256" s="245" t="s">
        <v>2326</v>
      </c>
      <c r="CI256" s="245" t="s">
        <v>2326</v>
      </c>
      <c r="CJ256" s="235"/>
      <c r="CK256" s="173" t="s">
        <v>2485</v>
      </c>
      <c r="CL256" s="173" t="s">
        <v>2482</v>
      </c>
      <c r="CM256" s="199">
        <f t="shared" si="276"/>
        <v>55</v>
      </c>
      <c r="CN256" s="58">
        <f t="shared" si="341"/>
        <v>0.82499999999999996</v>
      </c>
      <c r="CO256" s="54">
        <v>333577000</v>
      </c>
      <c r="CP256" s="186">
        <f t="shared" si="254"/>
        <v>37.372264240480206</v>
      </c>
      <c r="CQ256" s="179">
        <f t="shared" si="277"/>
        <v>40</v>
      </c>
      <c r="CR256" s="30">
        <f t="shared" si="342"/>
        <v>1.2</v>
      </c>
      <c r="CS256" s="200">
        <f>_xlfn.XLOOKUP(C256, '1-1. 관계사체무보증금액 (환율 등)'!$3:$3, '1-1. 관계사체무보증금액 (환율 등)'!$33:$33)</f>
        <v>3194809539</v>
      </c>
      <c r="CT256" s="178">
        <f t="shared" si="255"/>
        <v>357.93015192748527</v>
      </c>
      <c r="CU256" s="179">
        <f t="shared" si="278"/>
        <v>20</v>
      </c>
      <c r="CV256" s="30">
        <f t="shared" si="343"/>
        <v>0.4</v>
      </c>
      <c r="CW256" s="72">
        <f t="shared" si="295"/>
        <v>16.225316139901739</v>
      </c>
    </row>
    <row r="257" spans="1:101" x14ac:dyDescent="0.6">
      <c r="A257" s="214" t="s">
        <v>1873</v>
      </c>
      <c r="B257" s="13" t="s">
        <v>2237</v>
      </c>
      <c r="C257" s="219" t="s">
        <v>1874</v>
      </c>
      <c r="D257" s="14" t="s">
        <v>191</v>
      </c>
      <c r="E257" s="217" t="s">
        <v>190</v>
      </c>
      <c r="F257" s="217" t="s">
        <v>1875</v>
      </c>
      <c r="G257" s="218">
        <v>34695</v>
      </c>
      <c r="H257" s="217" t="s">
        <v>830</v>
      </c>
      <c r="I257" s="217" t="s">
        <v>1876</v>
      </c>
      <c r="J257" s="217" t="s">
        <v>1877</v>
      </c>
      <c r="K257" s="217" t="s">
        <v>91</v>
      </c>
      <c r="L257" s="220">
        <v>638916718</v>
      </c>
      <c r="M257" s="206">
        <v>398803947</v>
      </c>
      <c r="N257" s="206">
        <v>240112771</v>
      </c>
      <c r="O257" s="206">
        <v>765025412</v>
      </c>
      <c r="P257" s="206">
        <v>47784093</v>
      </c>
      <c r="Q257" s="206">
        <v>26595933</v>
      </c>
      <c r="R257" s="206">
        <v>20153900</v>
      </c>
      <c r="S257" s="207">
        <v>48636071</v>
      </c>
      <c r="T257" s="207">
        <v>2642635</v>
      </c>
      <c r="U257" s="207">
        <v>10897547</v>
      </c>
      <c r="V257" s="207">
        <f>15623298-10897547</f>
        <v>4725751</v>
      </c>
      <c r="W257" s="207">
        <f>35000+16858+1640+22000</f>
        <v>75498</v>
      </c>
      <c r="X257" s="207">
        <v>0</v>
      </c>
      <c r="Z257" s="207">
        <v>0</v>
      </c>
      <c r="AA257" s="207">
        <v>0</v>
      </c>
      <c r="AB257" s="176">
        <f t="shared" si="279"/>
        <v>15698796</v>
      </c>
      <c r="AC257" s="177">
        <f t="shared" si="256"/>
        <v>32.278092529308132</v>
      </c>
      <c r="AD257" s="177">
        <f t="shared" si="280"/>
        <v>72.22834361682267</v>
      </c>
      <c r="AE257" s="26">
        <f t="shared" si="332"/>
        <v>2.1668503085046802</v>
      </c>
      <c r="AF257" s="178">
        <f t="shared" si="257"/>
        <v>33.96853846709778</v>
      </c>
      <c r="AG257" s="178">
        <f t="shared" si="258"/>
        <v>34.13268797747574</v>
      </c>
      <c r="AH257" s="178">
        <f t="shared" si="282"/>
        <v>0.16414951037796044</v>
      </c>
      <c r="AI257" s="179">
        <f t="shared" si="283"/>
        <v>100</v>
      </c>
      <c r="AJ257" s="30">
        <f t="shared" si="333"/>
        <v>4</v>
      </c>
      <c r="AK257" s="204">
        <v>4</v>
      </c>
      <c r="AL257" s="204">
        <v>4</v>
      </c>
      <c r="AM257" s="204">
        <v>1</v>
      </c>
      <c r="AN257" s="181">
        <f t="shared" ref="AN257:AN322" si="344">SUM(AK257:AL257)</f>
        <v>8</v>
      </c>
      <c r="AO257" s="182">
        <f t="shared" ref="AO257:AO320" si="345">(AM257/AN257)*100</f>
        <v>12.5</v>
      </c>
      <c r="AP257" s="183">
        <f t="shared" si="259"/>
        <v>80</v>
      </c>
      <c r="AQ257" s="38">
        <f t="shared" si="334"/>
        <v>1.6</v>
      </c>
      <c r="AR257" s="212">
        <v>1</v>
      </c>
      <c r="AS257" s="292">
        <f t="shared" ref="AS257:AS322" si="346">IF(L257&gt;=2000000000, 0.5, IF(L257&lt;2000000000, 0.25))</f>
        <v>0.25</v>
      </c>
      <c r="AT257" s="185">
        <f t="shared" ref="AT257:AT320" si="347">AK257*AS257</f>
        <v>1</v>
      </c>
      <c r="AU257" s="185">
        <f t="shared" si="260"/>
        <v>1</v>
      </c>
      <c r="AV257" s="186">
        <f t="shared" ref="AV257:AV320" si="348">(AR257-AU257)/AK257*100</f>
        <v>0</v>
      </c>
      <c r="AW257" s="179">
        <f t="shared" si="261"/>
        <v>40</v>
      </c>
      <c r="AX257" s="239">
        <f t="shared" si="335"/>
        <v>0.4</v>
      </c>
      <c r="AY257" s="54">
        <v>10</v>
      </c>
      <c r="AZ257" s="54">
        <v>10</v>
      </c>
      <c r="BA257" s="189">
        <f t="shared" ref="BA257:BA322" si="349">AR257*AY257</f>
        <v>10</v>
      </c>
      <c r="BB257" s="178">
        <f t="shared" si="262"/>
        <v>100</v>
      </c>
      <c r="BC257" s="179">
        <f t="shared" si="263"/>
        <v>100</v>
      </c>
      <c r="BD257" s="30">
        <f t="shared" si="336"/>
        <v>1</v>
      </c>
      <c r="BE257" s="190">
        <v>1810646</v>
      </c>
      <c r="BF257" s="190">
        <v>399709</v>
      </c>
      <c r="BG257" s="54">
        <v>227694</v>
      </c>
      <c r="BH257" s="191">
        <f t="shared" ref="BH257:BH322" si="350">SUM(BE257:BF257)</f>
        <v>2210355</v>
      </c>
      <c r="BI257" s="178">
        <f t="shared" ref="BI257:BI320" si="351">(BG257/BH257)*100</f>
        <v>10.301241203336115</v>
      </c>
      <c r="BJ257" s="294" t="str">
        <f t="shared" si="264"/>
        <v>식약/섬유/종이업</v>
      </c>
      <c r="BK257" s="192">
        <f t="shared" si="265"/>
        <v>2.1999360555264444</v>
      </c>
      <c r="BL257" s="193">
        <f t="shared" si="266"/>
        <v>8.1013051478096703</v>
      </c>
      <c r="BM257" s="241">
        <f t="shared" si="267"/>
        <v>40</v>
      </c>
      <c r="BN257" s="47">
        <f t="shared" si="268"/>
        <v>0.8</v>
      </c>
      <c r="BO257" s="54">
        <v>2632341</v>
      </c>
      <c r="BP257" s="194">
        <f t="shared" ref="BP257:BP320" si="352">(BO257/O257)*100</f>
        <v>0.34408543281174037</v>
      </c>
      <c r="BQ257" s="179">
        <f t="shared" si="269"/>
        <v>55</v>
      </c>
      <c r="BR257" s="30">
        <f t="shared" si="337"/>
        <v>1.1000000000000001</v>
      </c>
      <c r="BS257" s="195">
        <v>987212.89800000004</v>
      </c>
      <c r="BT257" s="195">
        <v>1659.0909999999999</v>
      </c>
      <c r="BU257" s="196">
        <f t="shared" si="270"/>
        <v>985553.80700000003</v>
      </c>
      <c r="BV257" s="178">
        <f t="shared" ref="BV257:BV320" si="353">BU257/O257*100</f>
        <v>0.12882628361631471</v>
      </c>
      <c r="BW257" s="192">
        <f t="shared" si="271"/>
        <v>5.0508176117342281</v>
      </c>
      <c r="BX257" s="192">
        <f t="shared" si="272"/>
        <v>24.225998634067942</v>
      </c>
      <c r="BY257" s="192">
        <f t="shared" si="273"/>
        <v>6.9871618081220941</v>
      </c>
      <c r="BZ257" s="192">
        <f t="shared" si="274"/>
        <v>75.941859652186182</v>
      </c>
      <c r="CA257" s="192">
        <f t="shared" ref="CA257:CA320" si="354">IF(BZ257&lt;=5, 100, IF(BZ257&lt;=15, 85, IF(BZ257&lt;=35, 70, IF(BZ257&lt;=60, 55, IF(BZ257&lt;=90, 40, 25)))))</f>
        <v>40</v>
      </c>
      <c r="CB257" s="55">
        <f t="shared" si="275"/>
        <v>0.8</v>
      </c>
      <c r="CC257" s="197">
        <f t="shared" si="338"/>
        <v>166.09026889286119</v>
      </c>
      <c r="CD257" s="198">
        <f t="shared" si="339"/>
        <v>37.780049412238249</v>
      </c>
      <c r="CE257" s="58">
        <f t="shared" si="340"/>
        <v>0.56670074118357372</v>
      </c>
      <c r="CF257" s="245" t="s">
        <v>2326</v>
      </c>
      <c r="CG257" s="245" t="s">
        <v>2326</v>
      </c>
      <c r="CH257" s="245" t="s">
        <v>2326</v>
      </c>
      <c r="CI257" s="245" t="s">
        <v>2326</v>
      </c>
      <c r="CJ257" s="235"/>
      <c r="CK257" s="173" t="s">
        <v>2515</v>
      </c>
      <c r="CL257" s="173" t="s">
        <v>2493</v>
      </c>
      <c r="CM257" s="199">
        <f t="shared" si="276"/>
        <v>40</v>
      </c>
      <c r="CN257" s="58">
        <f t="shared" si="341"/>
        <v>0.6</v>
      </c>
      <c r="CO257" s="54">
        <v>152908028</v>
      </c>
      <c r="CP257" s="186">
        <f t="shared" ref="CP257:CP320" si="355">(CO257/N257)*100</f>
        <v>63.681755603078692</v>
      </c>
      <c r="CQ257" s="179">
        <f t="shared" si="277"/>
        <v>40</v>
      </c>
      <c r="CR257" s="30">
        <f t="shared" si="342"/>
        <v>1.2</v>
      </c>
      <c r="CS257" s="200">
        <f>_xlfn.XLOOKUP(C257, '1-1. 관계사체무보증금액 (환율 등)'!$3:$3, '1-1. 관계사체무보증금액 (환율 등)'!$33:$33)</f>
        <v>0</v>
      </c>
      <c r="CT257" s="178">
        <f t="shared" ref="CT257:CT320" si="356">(CS257/N257)*100</f>
        <v>0</v>
      </c>
      <c r="CU257" s="179">
        <f t="shared" si="278"/>
        <v>100</v>
      </c>
      <c r="CV257" s="30">
        <f t="shared" si="343"/>
        <v>2</v>
      </c>
      <c r="CW257" s="72">
        <f t="shared" si="295"/>
        <v>16.233551049688252</v>
      </c>
    </row>
    <row r="258" spans="1:101" x14ac:dyDescent="0.6">
      <c r="A258" s="214" t="s">
        <v>1878</v>
      </c>
      <c r="B258" s="13" t="s">
        <v>2238</v>
      </c>
      <c r="C258" s="219" t="s">
        <v>1879</v>
      </c>
      <c r="D258" s="14" t="s">
        <v>203</v>
      </c>
      <c r="E258" s="217" t="s">
        <v>246</v>
      </c>
      <c r="F258" s="217" t="s">
        <v>1880</v>
      </c>
      <c r="G258" s="218">
        <v>43039</v>
      </c>
      <c r="H258" s="217" t="s">
        <v>830</v>
      </c>
      <c r="I258" s="217" t="s">
        <v>1881</v>
      </c>
      <c r="J258" s="217" t="s">
        <v>1882</v>
      </c>
      <c r="K258" s="217" t="s">
        <v>690</v>
      </c>
      <c r="L258" s="220">
        <v>136133552</v>
      </c>
      <c r="M258" s="206">
        <v>44833578</v>
      </c>
      <c r="N258" s="206">
        <v>91299975</v>
      </c>
      <c r="O258" s="206">
        <v>179753809</v>
      </c>
      <c r="P258" s="206">
        <v>24450342</v>
      </c>
      <c r="Q258" s="206">
        <v>25307795</v>
      </c>
      <c r="R258" s="206">
        <v>20467189</v>
      </c>
      <c r="S258" s="207">
        <v>4717650</v>
      </c>
      <c r="T258" s="207">
        <v>0</v>
      </c>
      <c r="U258" s="207">
        <v>2141300</v>
      </c>
      <c r="V258" s="207">
        <v>10726</v>
      </c>
      <c r="W258" s="207">
        <f>4040+4000</f>
        <v>8040</v>
      </c>
      <c r="X258" s="207">
        <v>0</v>
      </c>
      <c r="Z258" s="207">
        <v>0</v>
      </c>
      <c r="AA258" s="207">
        <v>0</v>
      </c>
      <c r="AB258" s="176">
        <f t="shared" si="279"/>
        <v>2160066</v>
      </c>
      <c r="AC258" s="177">
        <f t="shared" ref="AC258:AC321" si="357">(AB258/S258)*100</f>
        <v>45.786906616641758</v>
      </c>
      <c r="AD258" s="177">
        <f t="shared" si="280"/>
        <v>60.569413161701597</v>
      </c>
      <c r="AE258" s="26">
        <f t="shared" si="332"/>
        <v>1.8170823948510479</v>
      </c>
      <c r="AF258" s="178">
        <f t="shared" ref="AF258:AF321" si="358">(U258+V258)/(S258-T258-AA258)*100</f>
        <v>45.616482782741407</v>
      </c>
      <c r="AG258" s="178">
        <f t="shared" ref="AG258:AG321" si="359">(U258+V258+Z258+W258+X258-AA258)/(S258-T258-AA258)*100</f>
        <v>45.786906616641758</v>
      </c>
      <c r="AH258" s="178">
        <f t="shared" si="282"/>
        <v>0.17042383390035099</v>
      </c>
      <c r="AI258" s="179">
        <f t="shared" si="283"/>
        <v>100</v>
      </c>
      <c r="AJ258" s="30">
        <f t="shared" si="333"/>
        <v>4</v>
      </c>
      <c r="AK258" s="204">
        <v>6</v>
      </c>
      <c r="AL258" s="204">
        <v>2</v>
      </c>
      <c r="AM258" s="204">
        <v>0</v>
      </c>
      <c r="AN258" s="181">
        <f t="shared" si="344"/>
        <v>8</v>
      </c>
      <c r="AO258" s="182">
        <f t="shared" si="345"/>
        <v>0</v>
      </c>
      <c r="AP258" s="183">
        <f t="shared" ref="AP258:AP321" si="360">IF(AO258&lt;10, 100, IF(AO258&lt;20, 80, IF(AO258&lt;30, 60, IF(AO258&lt;50, 40, IF(AO258&gt;=50, 20)))))</f>
        <v>100</v>
      </c>
      <c r="AQ258" s="38">
        <f t="shared" si="334"/>
        <v>2</v>
      </c>
      <c r="AR258" s="212">
        <v>3</v>
      </c>
      <c r="AS258" s="292">
        <f t="shared" si="346"/>
        <v>0.25</v>
      </c>
      <c r="AT258" s="185">
        <f t="shared" si="347"/>
        <v>1.5</v>
      </c>
      <c r="AU258" s="185">
        <f t="shared" ref="AU258:AU321" si="361">ROUNDDOWN(AT258,0)</f>
        <v>1</v>
      </c>
      <c r="AV258" s="186">
        <f t="shared" si="348"/>
        <v>33.333333333333329</v>
      </c>
      <c r="AW258" s="179">
        <f t="shared" ref="AW258:AW321" si="362">IF(AV258&lt;0, 20, IF(AV258=0, 40, IF(AV258&lt;20, 60, IF(AV258&lt;40, 80, IF(AV258&gt;=40, 100)))))</f>
        <v>80</v>
      </c>
      <c r="AX258" s="239">
        <f t="shared" si="335"/>
        <v>0.8</v>
      </c>
      <c r="AY258" s="54">
        <v>8</v>
      </c>
      <c r="AZ258" s="54">
        <f>24-3</f>
        <v>21</v>
      </c>
      <c r="BA258" s="189">
        <f t="shared" si="349"/>
        <v>24</v>
      </c>
      <c r="BB258" s="178">
        <f t="shared" ref="BB258:BB321" si="363">(AZ258/BA258)*100</f>
        <v>87.5</v>
      </c>
      <c r="BC258" s="179">
        <f t="shared" ref="BC258:BC321" si="364">IF(BB258&lt;70, 25, IF(BB258&lt;80, 50, IF(BB258&lt;90, 75, IF(BB258&gt;=90, 100))))</f>
        <v>75</v>
      </c>
      <c r="BD258" s="30">
        <f t="shared" si="336"/>
        <v>0.75</v>
      </c>
      <c r="BE258" s="190">
        <v>5192911</v>
      </c>
      <c r="BF258" s="190">
        <v>433805</v>
      </c>
      <c r="BG258" s="54">
        <v>253313</v>
      </c>
      <c r="BH258" s="191">
        <f t="shared" si="350"/>
        <v>5626716</v>
      </c>
      <c r="BI258" s="178">
        <f t="shared" si="351"/>
        <v>4.5019688216003795</v>
      </c>
      <c r="BJ258" s="294" t="str">
        <f t="shared" ref="BJ258:BJ321" si="365">IF(D258="금융업(보험)", "금융업", IF(D258="금융업(증권)", "금융업", IF(D258="금융업(종금)", "금융업", D258)))</f>
        <v>금속/비금속/화학업</v>
      </c>
      <c r="BK258" s="192">
        <f t="shared" ref="BK258:BK321" si="366">AVERAGEIF(BJ:BJ, BJ258, BI:BI)</f>
        <v>3.9534118626990464</v>
      </c>
      <c r="BL258" s="193">
        <f t="shared" ref="BL258:BL321" si="367">BI258-BK258</f>
        <v>0.54855695890133305</v>
      </c>
      <c r="BM258" s="241">
        <f t="shared" ref="BM258:BM321" si="368">IF(BL258&lt;-2, 100, IF(BL258&lt;0, 80, IF(BL258&lt;2, 60, IF(BL258&lt;10, 40, 20))))</f>
        <v>60</v>
      </c>
      <c r="BN258" s="47">
        <f t="shared" ref="BN258:BN321" si="369">BM258*0.02</f>
        <v>1.2</v>
      </c>
      <c r="BO258" s="54">
        <v>3973000</v>
      </c>
      <c r="BP258" s="194">
        <f t="shared" si="352"/>
        <v>2.2102452360272378</v>
      </c>
      <c r="BQ258" s="179">
        <f t="shared" ref="BQ258:BQ321" si="370">IF(BP258=0, 25, IF(BP258&lt;0.1, 40, IF(BP258&lt;0.5, 55, IF(BP258&lt;2, 70, IF(BP258&lt;4, 85, IF(BP258&gt;=4, 100))))))</f>
        <v>85</v>
      </c>
      <c r="BR258" s="30">
        <f t="shared" si="337"/>
        <v>1.7</v>
      </c>
      <c r="BS258" s="195">
        <v>7300870.6859999998</v>
      </c>
      <c r="BT258" s="195">
        <v>22594.3</v>
      </c>
      <c r="BU258" s="196">
        <f t="shared" ref="BU258:BU321" si="371">BS258-BT258</f>
        <v>7278276.3859999999</v>
      </c>
      <c r="BV258" s="178">
        <f t="shared" si="353"/>
        <v>4.049024844864344</v>
      </c>
      <c r="BW258" s="192">
        <f t="shared" ref="BW258:BW321" si="372">AVERAGEIF(BJ:BJ, BJ258, BV:BV)</f>
        <v>5.1474158565187729</v>
      </c>
      <c r="BX258" s="192">
        <f t="shared" ref="BX258:BX321" si="373">(BV258-BW258)^2</f>
        <v>1.2064628144832397</v>
      </c>
      <c r="BY258" s="192">
        <f t="shared" ref="BY258:BY321" si="374">SQRT(SUMIF(BJ:BJ, BJ258, BX:BX)/COUNTIF(BJ:BJ, BJ258))</f>
        <v>6.6930498535228526</v>
      </c>
      <c r="BZ258" s="192">
        <f t="shared" ref="BZ258:BZ321" si="375">(1-_xlfn.NORM.DIST(BV258, BW258, BY258, TRUE))*100</f>
        <v>56.517740760492252</v>
      </c>
      <c r="CA258" s="192">
        <f t="shared" si="354"/>
        <v>55</v>
      </c>
      <c r="CB258" s="55">
        <f t="shared" ref="CB258:CB321" si="376">CA258*0.02</f>
        <v>1.1000000000000001</v>
      </c>
      <c r="CC258" s="197">
        <f t="shared" si="338"/>
        <v>49.105794388224098</v>
      </c>
      <c r="CD258" s="198">
        <f t="shared" si="339"/>
        <v>81.869675481825084</v>
      </c>
      <c r="CE258" s="58">
        <f t="shared" si="340"/>
        <v>1.2280451322273762</v>
      </c>
      <c r="CF258" s="245" t="s">
        <v>2326</v>
      </c>
      <c r="CG258" s="245" t="s">
        <v>2326</v>
      </c>
      <c r="CH258" s="245" t="s">
        <v>2326</v>
      </c>
      <c r="CI258" s="245" t="s">
        <v>2326</v>
      </c>
      <c r="CJ258" s="235"/>
      <c r="CK258" s="173" t="s">
        <v>2492</v>
      </c>
      <c r="CL258" s="173" t="s">
        <v>2493</v>
      </c>
      <c r="CM258" s="199">
        <f t="shared" ref="CM258:CM321" si="377">IF(CL258="A", 100, IF(CL258="B", 85, IF(CL258="C", 70, IF(CL258="D", 55, IF(CL258="E", 40, 25)))))</f>
        <v>40</v>
      </c>
      <c r="CN258" s="58">
        <f t="shared" si="341"/>
        <v>0.6</v>
      </c>
      <c r="CO258" s="54">
        <v>903000</v>
      </c>
      <c r="CP258" s="186">
        <f t="shared" si="355"/>
        <v>0.98904736830431783</v>
      </c>
      <c r="CQ258" s="179">
        <f t="shared" ref="CQ258:CQ321" si="378">IF(CP258&lt;3, 100, IF(CP258&lt;10, 80, IF(CP258&lt;35, 60, IF(CP258&lt;100, 40, IF(CP258&gt;=100, 20)))))</f>
        <v>100</v>
      </c>
      <c r="CR258" s="30">
        <f t="shared" si="342"/>
        <v>3</v>
      </c>
      <c r="CS258" s="200">
        <f>_xlfn.XLOOKUP(C258, '1-1. 관계사체무보증금액 (환율 등)'!$3:$3, '1-1. 관계사체무보증금액 (환율 등)'!$33:$33)</f>
        <v>0</v>
      </c>
      <c r="CT258" s="178">
        <f t="shared" si="356"/>
        <v>0</v>
      </c>
      <c r="CU258" s="179">
        <f t="shared" ref="CU258:CU321" si="379">IF(CT258&lt;3, 100, IF(CT258&lt;10, 80, IF(CT258&lt;35, 60, IF(CT258&lt;100, 40, 20))))</f>
        <v>100</v>
      </c>
      <c r="CV258" s="30">
        <f t="shared" si="343"/>
        <v>2</v>
      </c>
      <c r="CW258" s="72">
        <f t="shared" si="295"/>
        <v>20.195127527078419</v>
      </c>
    </row>
    <row r="259" spans="1:101" x14ac:dyDescent="0.6">
      <c r="A259" s="214" t="s">
        <v>469</v>
      </c>
      <c r="B259" s="13" t="s">
        <v>2239</v>
      </c>
      <c r="C259" s="219" t="s">
        <v>889</v>
      </c>
      <c r="D259" s="216" t="s">
        <v>285</v>
      </c>
      <c r="E259" s="217" t="s">
        <v>112</v>
      </c>
      <c r="F259" s="217" t="s">
        <v>167</v>
      </c>
      <c r="G259" s="218">
        <v>38188</v>
      </c>
      <c r="H259" s="217" t="s">
        <v>830</v>
      </c>
      <c r="I259" s="217" t="s">
        <v>747</v>
      </c>
      <c r="J259" s="217" t="s">
        <v>1221</v>
      </c>
      <c r="K259" s="217" t="s">
        <v>91</v>
      </c>
      <c r="L259" s="220">
        <v>132073637</v>
      </c>
      <c r="M259" s="206">
        <v>20552807</v>
      </c>
      <c r="N259" s="206">
        <v>111520830</v>
      </c>
      <c r="O259" s="206">
        <v>42568935</v>
      </c>
      <c r="P259" s="206">
        <v>2855339</v>
      </c>
      <c r="Q259" s="206">
        <v>4551046</v>
      </c>
      <c r="R259" s="206">
        <v>3850592</v>
      </c>
      <c r="S259" s="207">
        <v>9702706</v>
      </c>
      <c r="T259" s="207">
        <v>4076074</v>
      </c>
      <c r="U259" s="207">
        <v>2072161</v>
      </c>
      <c r="V259" s="207">
        <v>0</v>
      </c>
      <c r="W259" s="207">
        <v>163680</v>
      </c>
      <c r="X259" s="207">
        <v>0</v>
      </c>
      <c r="Z259" s="207">
        <v>595724</v>
      </c>
      <c r="AA259" s="207">
        <v>19845</v>
      </c>
      <c r="AB259" s="176">
        <f t="shared" ref="AB259:AB322" si="380">SUM(U259,V259,Z259,W259,X259)</f>
        <v>2831565</v>
      </c>
      <c r="AC259" s="177">
        <f t="shared" si="357"/>
        <v>29.183250528254696</v>
      </c>
      <c r="AD259" s="177">
        <f t="shared" ref="AD259:AD322" si="381">100-(75*(AC259-0.1))/(87-0.1)</f>
        <v>74.899381017041406</v>
      </c>
      <c r="AE259" s="26">
        <f t="shared" si="332"/>
        <v>2.2469814305112421</v>
      </c>
      <c r="AF259" s="178">
        <f t="shared" si="358"/>
        <v>36.958083123186235</v>
      </c>
      <c r="AG259" s="178">
        <f t="shared" si="359"/>
        <v>50.148507514196638</v>
      </c>
      <c r="AH259" s="178">
        <f t="shared" ref="AH259:AH322" si="382">AG259-AF259</f>
        <v>13.190424391010403</v>
      </c>
      <c r="AI259" s="179">
        <f t="shared" ref="AI259:AI322" si="383">IF(AH259&lt;10, 100, IF(AH259&lt;30, 80, IF(AH259&lt;50, 60, IF(AH259&lt;80, 40, IF(AH259&lt;=100, 20)))))</f>
        <v>80</v>
      </c>
      <c r="AJ259" s="30">
        <f t="shared" si="333"/>
        <v>3.2</v>
      </c>
      <c r="AK259" s="204">
        <v>4</v>
      </c>
      <c r="AL259" s="204">
        <v>15</v>
      </c>
      <c r="AM259" s="204">
        <v>2</v>
      </c>
      <c r="AN259" s="181">
        <f t="shared" si="344"/>
        <v>19</v>
      </c>
      <c r="AO259" s="182">
        <f t="shared" si="345"/>
        <v>10.526315789473683</v>
      </c>
      <c r="AP259" s="183">
        <f t="shared" si="360"/>
        <v>80</v>
      </c>
      <c r="AQ259" s="38">
        <f t="shared" si="334"/>
        <v>1.6</v>
      </c>
      <c r="AR259" s="212">
        <v>1</v>
      </c>
      <c r="AS259" s="292">
        <f t="shared" si="346"/>
        <v>0.25</v>
      </c>
      <c r="AT259" s="185">
        <f t="shared" si="347"/>
        <v>1</v>
      </c>
      <c r="AU259" s="185">
        <f t="shared" si="361"/>
        <v>1</v>
      </c>
      <c r="AV259" s="186">
        <f t="shared" si="348"/>
        <v>0</v>
      </c>
      <c r="AW259" s="179">
        <f t="shared" si="362"/>
        <v>40</v>
      </c>
      <c r="AX259" s="239">
        <f t="shared" si="335"/>
        <v>0.4</v>
      </c>
      <c r="AY259" s="54">
        <v>7</v>
      </c>
      <c r="AZ259" s="54">
        <v>7</v>
      </c>
      <c r="BA259" s="189">
        <f t="shared" si="349"/>
        <v>7</v>
      </c>
      <c r="BB259" s="178">
        <f t="shared" si="363"/>
        <v>100</v>
      </c>
      <c r="BC259" s="179">
        <f t="shared" si="364"/>
        <v>100</v>
      </c>
      <c r="BD259" s="30">
        <f t="shared" si="336"/>
        <v>1</v>
      </c>
      <c r="BE259" s="190">
        <v>4344825</v>
      </c>
      <c r="BF259" s="190">
        <v>345333</v>
      </c>
      <c r="BG259" s="54">
        <v>488785</v>
      </c>
      <c r="BH259" s="191">
        <f t="shared" si="350"/>
        <v>4690158</v>
      </c>
      <c r="BI259" s="178">
        <f t="shared" si="351"/>
        <v>10.421503923748411</v>
      </c>
      <c r="BJ259" s="294" t="str">
        <f t="shared" si="365"/>
        <v>비제조/서비스업</v>
      </c>
      <c r="BK259" s="192">
        <f t="shared" si="366"/>
        <v>1.7464434573900924</v>
      </c>
      <c r="BL259" s="193">
        <f t="shared" si="367"/>
        <v>8.6750604663583175</v>
      </c>
      <c r="BM259" s="241">
        <f t="shared" si="368"/>
        <v>40</v>
      </c>
      <c r="BN259" s="47">
        <f t="shared" si="369"/>
        <v>0.8</v>
      </c>
      <c r="BO259" s="54">
        <v>6753785</v>
      </c>
      <c r="BP259" s="194">
        <f t="shared" si="352"/>
        <v>15.865524942073369</v>
      </c>
      <c r="BQ259" s="179">
        <f t="shared" si="370"/>
        <v>100</v>
      </c>
      <c r="BR259" s="30">
        <f t="shared" si="337"/>
        <v>2</v>
      </c>
      <c r="BS259" s="195">
        <v>555980.71900000004</v>
      </c>
      <c r="BT259" s="195">
        <v>74454.369000000006</v>
      </c>
      <c r="BU259" s="196">
        <f t="shared" si="371"/>
        <v>481526.35000000003</v>
      </c>
      <c r="BV259" s="178">
        <f t="shared" si="353"/>
        <v>1.1311684212912538</v>
      </c>
      <c r="BW259" s="192">
        <f t="shared" si="372"/>
        <v>2.8482825397737606</v>
      </c>
      <c r="BX259" s="192">
        <f t="shared" si="373"/>
        <v>2.9484808958919562</v>
      </c>
      <c r="BY259" s="192">
        <f t="shared" si="374"/>
        <v>5.5697595856656799</v>
      </c>
      <c r="BZ259" s="192">
        <f t="shared" si="375"/>
        <v>62.107004625567839</v>
      </c>
      <c r="CA259" s="192">
        <f t="shared" si="354"/>
        <v>40</v>
      </c>
      <c r="CB259" s="55">
        <f t="shared" si="376"/>
        <v>0.8</v>
      </c>
      <c r="CC259" s="197">
        <f t="shared" si="338"/>
        <v>18.429567821545088</v>
      </c>
      <c r="CD259" s="198">
        <f t="shared" si="339"/>
        <v>93.43106740394029</v>
      </c>
      <c r="CE259" s="58">
        <f t="shared" si="340"/>
        <v>1.4014660110591044</v>
      </c>
      <c r="CF259" s="245" t="s">
        <v>2326</v>
      </c>
      <c r="CG259" s="245" t="s">
        <v>2326</v>
      </c>
      <c r="CH259" s="245" t="s">
        <v>2326</v>
      </c>
      <c r="CI259" s="245" t="s">
        <v>2326</v>
      </c>
      <c r="CJ259" s="235"/>
      <c r="CK259" s="173" t="s">
        <v>2491</v>
      </c>
      <c r="CL259" s="173" t="s">
        <v>2478</v>
      </c>
      <c r="CM259" s="199">
        <f t="shared" si="377"/>
        <v>25</v>
      </c>
      <c r="CN259" s="58">
        <f t="shared" si="341"/>
        <v>0.375</v>
      </c>
      <c r="CO259" s="54">
        <f>817026-112738</f>
        <v>704288</v>
      </c>
      <c r="CP259" s="186">
        <f t="shared" si="355"/>
        <v>0.63153045041002653</v>
      </c>
      <c r="CQ259" s="179">
        <f t="shared" si="378"/>
        <v>100</v>
      </c>
      <c r="CR259" s="30">
        <f t="shared" si="342"/>
        <v>3</v>
      </c>
      <c r="CS259" s="200">
        <f>_xlfn.XLOOKUP(C259, '1-1. 관계사체무보증금액 (환율 등)'!$3:$3, '1-1. 관계사체무보증금액 (환율 등)'!$33:$33)</f>
        <v>0</v>
      </c>
      <c r="CT259" s="178">
        <f t="shared" si="356"/>
        <v>0</v>
      </c>
      <c r="CU259" s="179">
        <f t="shared" si="379"/>
        <v>100</v>
      </c>
      <c r="CV259" s="30">
        <f t="shared" si="343"/>
        <v>2</v>
      </c>
      <c r="CW259" s="72">
        <f t="shared" ref="CW259:CW322" si="384">AE259+AJ259+AQ259+AX259+BD259+BN259+BR259+CB259+CE259+CJ259+CN259+CR259+CV259</f>
        <v>18.823447441570348</v>
      </c>
    </row>
    <row r="260" spans="1:101" x14ac:dyDescent="0.6">
      <c r="A260" s="214" t="s">
        <v>85</v>
      </c>
      <c r="B260" s="13" t="s">
        <v>2240</v>
      </c>
      <c r="C260" s="219" t="s">
        <v>901</v>
      </c>
      <c r="D260" s="216" t="s">
        <v>203</v>
      </c>
      <c r="E260" s="217" t="s">
        <v>188</v>
      </c>
      <c r="F260" s="217" t="s">
        <v>243</v>
      </c>
      <c r="G260" s="218">
        <v>37536</v>
      </c>
      <c r="H260" s="217" t="s">
        <v>830</v>
      </c>
      <c r="I260" s="217" t="s">
        <v>1883</v>
      </c>
      <c r="J260" s="217" t="s">
        <v>1136</v>
      </c>
      <c r="K260" s="217" t="s">
        <v>91</v>
      </c>
      <c r="L260" s="220">
        <v>941352875</v>
      </c>
      <c r="M260" s="206">
        <v>201162049</v>
      </c>
      <c r="N260" s="206">
        <v>740190827</v>
      </c>
      <c r="O260" s="206">
        <v>1235837871</v>
      </c>
      <c r="P260" s="206">
        <v>117135007</v>
      </c>
      <c r="Q260" s="206">
        <v>105510103</v>
      </c>
      <c r="R260" s="206">
        <v>81809433</v>
      </c>
      <c r="S260" s="207">
        <v>40878588</v>
      </c>
      <c r="T260" s="207">
        <v>2507711</v>
      </c>
      <c r="U260" s="207">
        <f>16332950+1074696</f>
        <v>17407646</v>
      </c>
      <c r="V260" s="207">
        <f>340556</f>
        <v>340556</v>
      </c>
      <c r="W260" s="207">
        <v>5000</v>
      </c>
      <c r="X260" s="207">
        <v>0</v>
      </c>
      <c r="Z260" s="207">
        <v>0</v>
      </c>
      <c r="AA260" s="207">
        <v>0</v>
      </c>
      <c r="AB260" s="176">
        <f t="shared" si="380"/>
        <v>17753202</v>
      </c>
      <c r="AC260" s="177">
        <f t="shared" si="357"/>
        <v>43.429097893498671</v>
      </c>
      <c r="AD260" s="177">
        <f t="shared" si="381"/>
        <v>62.604345891686997</v>
      </c>
      <c r="AE260" s="26">
        <f t="shared" si="332"/>
        <v>1.8781303767506099</v>
      </c>
      <c r="AF260" s="178">
        <f t="shared" si="358"/>
        <v>46.254355875160215</v>
      </c>
      <c r="AG260" s="178">
        <f t="shared" si="359"/>
        <v>46.267386591137857</v>
      </c>
      <c r="AH260" s="178">
        <f t="shared" si="382"/>
        <v>1.303071597764216E-2</v>
      </c>
      <c r="AI260" s="179">
        <f t="shared" si="383"/>
        <v>100</v>
      </c>
      <c r="AJ260" s="30">
        <f t="shared" si="333"/>
        <v>4</v>
      </c>
      <c r="AK260" s="204">
        <v>8</v>
      </c>
      <c r="AL260" s="204">
        <v>4</v>
      </c>
      <c r="AM260" s="204">
        <v>1</v>
      </c>
      <c r="AN260" s="181">
        <f t="shared" si="344"/>
        <v>12</v>
      </c>
      <c r="AO260" s="182">
        <f t="shared" si="345"/>
        <v>8.3333333333333321</v>
      </c>
      <c r="AP260" s="183">
        <f t="shared" si="360"/>
        <v>100</v>
      </c>
      <c r="AQ260" s="38">
        <f t="shared" si="334"/>
        <v>2</v>
      </c>
      <c r="AR260" s="212">
        <v>2</v>
      </c>
      <c r="AS260" s="292">
        <f t="shared" si="346"/>
        <v>0.25</v>
      </c>
      <c r="AT260" s="185">
        <f t="shared" si="347"/>
        <v>2</v>
      </c>
      <c r="AU260" s="185">
        <f t="shared" si="361"/>
        <v>2</v>
      </c>
      <c r="AV260" s="186">
        <f t="shared" si="348"/>
        <v>0</v>
      </c>
      <c r="AW260" s="179">
        <f t="shared" si="362"/>
        <v>40</v>
      </c>
      <c r="AX260" s="239">
        <f t="shared" si="335"/>
        <v>0.4</v>
      </c>
      <c r="AY260" s="54">
        <v>6</v>
      </c>
      <c r="AZ260" s="54">
        <v>12</v>
      </c>
      <c r="BA260" s="189">
        <f t="shared" si="349"/>
        <v>12</v>
      </c>
      <c r="BB260" s="178">
        <f t="shared" si="363"/>
        <v>100</v>
      </c>
      <c r="BC260" s="179">
        <f t="shared" si="364"/>
        <v>100</v>
      </c>
      <c r="BD260" s="30">
        <f t="shared" si="336"/>
        <v>1</v>
      </c>
      <c r="BE260" s="190">
        <v>14363765</v>
      </c>
      <c r="BF260" s="190">
        <v>2223807</v>
      </c>
      <c r="BG260" s="301">
        <v>0</v>
      </c>
      <c r="BH260" s="191">
        <f t="shared" si="350"/>
        <v>16587572</v>
      </c>
      <c r="BI260" s="178">
        <f t="shared" si="351"/>
        <v>0</v>
      </c>
      <c r="BJ260" s="294" t="str">
        <f t="shared" si="365"/>
        <v>금속/비금속/화학업</v>
      </c>
      <c r="BK260" s="192">
        <f t="shared" si="366"/>
        <v>3.9534118626990464</v>
      </c>
      <c r="BL260" s="193">
        <f t="shared" si="367"/>
        <v>-3.9534118626990464</v>
      </c>
      <c r="BM260" s="241">
        <f t="shared" si="368"/>
        <v>100</v>
      </c>
      <c r="BN260" s="47">
        <f t="shared" si="369"/>
        <v>2</v>
      </c>
      <c r="BO260" s="54">
        <v>2303000</v>
      </c>
      <c r="BP260" s="194">
        <f t="shared" si="352"/>
        <v>0.18635130497631433</v>
      </c>
      <c r="BQ260" s="179">
        <f t="shared" si="370"/>
        <v>55</v>
      </c>
      <c r="BR260" s="30">
        <f t="shared" si="337"/>
        <v>1.1000000000000001</v>
      </c>
      <c r="BS260" s="195">
        <v>91506313.194000006</v>
      </c>
      <c r="BT260" s="195">
        <v>23063.579000000002</v>
      </c>
      <c r="BU260" s="196">
        <f t="shared" si="371"/>
        <v>91483249.61500001</v>
      </c>
      <c r="BV260" s="178">
        <f t="shared" si="353"/>
        <v>7.4025284191181751</v>
      </c>
      <c r="BW260" s="192">
        <f t="shared" si="372"/>
        <v>5.1474158565187729</v>
      </c>
      <c r="BX260" s="192">
        <f t="shared" si="373"/>
        <v>5.0855326699936425</v>
      </c>
      <c r="BY260" s="192">
        <f t="shared" si="374"/>
        <v>6.6930498535228526</v>
      </c>
      <c r="BZ260" s="192">
        <f t="shared" si="375"/>
        <v>36.808352395438746</v>
      </c>
      <c r="CA260" s="192">
        <f t="shared" si="354"/>
        <v>55</v>
      </c>
      <c r="CB260" s="55">
        <f t="shared" si="376"/>
        <v>1.1000000000000001</v>
      </c>
      <c r="CC260" s="197">
        <f t="shared" si="338"/>
        <v>27.177052411647896</v>
      </c>
      <c r="CD260" s="198">
        <f t="shared" si="339"/>
        <v>90.134276729278426</v>
      </c>
      <c r="CE260" s="58">
        <f t="shared" si="340"/>
        <v>1.3520141509391763</v>
      </c>
      <c r="CF260" s="245" t="s">
        <v>2326</v>
      </c>
      <c r="CG260" s="245" t="s">
        <v>2326</v>
      </c>
      <c r="CH260" s="245" t="s">
        <v>2326</v>
      </c>
      <c r="CI260" s="245" t="s">
        <v>2326</v>
      </c>
      <c r="CJ260" s="235"/>
      <c r="CK260" s="173" t="s">
        <v>2490</v>
      </c>
      <c r="CL260" s="173" t="s">
        <v>2487</v>
      </c>
      <c r="CM260" s="199">
        <f t="shared" si="377"/>
        <v>70</v>
      </c>
      <c r="CN260" s="58">
        <f t="shared" si="341"/>
        <v>1.05</v>
      </c>
      <c r="CO260" s="54">
        <f>37064000-12600000-10898000</f>
        <v>13566000</v>
      </c>
      <c r="CP260" s="186">
        <f t="shared" si="355"/>
        <v>1.8327706187582897</v>
      </c>
      <c r="CQ260" s="179">
        <f t="shared" si="378"/>
        <v>100</v>
      </c>
      <c r="CR260" s="30">
        <f t="shared" si="342"/>
        <v>3</v>
      </c>
      <c r="CS260" s="200">
        <f>_xlfn.XLOOKUP(C260, '1-1. 관계사체무보증금액 (환율 등)'!$3:$3, '1-1. 관계사체무보증금액 (환율 등)'!$33:$33)</f>
        <v>10800000</v>
      </c>
      <c r="CT260" s="178">
        <f t="shared" si="356"/>
        <v>1.4590831993652902</v>
      </c>
      <c r="CU260" s="179">
        <f t="shared" si="379"/>
        <v>100</v>
      </c>
      <c r="CV260" s="30">
        <f t="shared" si="343"/>
        <v>2</v>
      </c>
      <c r="CW260" s="72">
        <f t="shared" si="384"/>
        <v>20.880144527689787</v>
      </c>
    </row>
    <row r="261" spans="1:101" x14ac:dyDescent="0.6">
      <c r="A261" s="214" t="s">
        <v>797</v>
      </c>
      <c r="B261" s="13" t="s">
        <v>2241</v>
      </c>
      <c r="C261" s="219" t="s">
        <v>939</v>
      </c>
      <c r="D261" s="216" t="s">
        <v>191</v>
      </c>
      <c r="E261" s="217" t="s">
        <v>1091</v>
      </c>
      <c r="F261" s="217" t="s">
        <v>216</v>
      </c>
      <c r="G261" s="218">
        <v>32283</v>
      </c>
      <c r="H261" s="217" t="s">
        <v>830</v>
      </c>
      <c r="I261" s="217" t="s">
        <v>722</v>
      </c>
      <c r="J261" s="217" t="s">
        <v>1219</v>
      </c>
      <c r="K261" s="217" t="s">
        <v>91</v>
      </c>
      <c r="L261" s="220">
        <v>112694189</v>
      </c>
      <c r="M261" s="206">
        <v>32982274</v>
      </c>
      <c r="N261" s="206">
        <v>79711915</v>
      </c>
      <c r="O261" s="206">
        <v>60181807</v>
      </c>
      <c r="P261" s="206">
        <v>8873367</v>
      </c>
      <c r="Q261" s="206">
        <v>5968958</v>
      </c>
      <c r="R261" s="206">
        <v>10884761</v>
      </c>
      <c r="S261" s="207">
        <v>60016964</v>
      </c>
      <c r="T261" s="207">
        <v>12950</v>
      </c>
      <c r="U261" s="207">
        <v>5328105</v>
      </c>
      <c r="V261" s="207">
        <f>226539+9930+17000</f>
        <v>253469</v>
      </c>
      <c r="W261" s="207">
        <f>50000+2000</f>
        <v>52000</v>
      </c>
      <c r="X261" s="207">
        <v>0</v>
      </c>
      <c r="Z261" s="207">
        <v>0</v>
      </c>
      <c r="AA261" s="207">
        <v>0</v>
      </c>
      <c r="AB261" s="176">
        <f t="shared" si="380"/>
        <v>5633574</v>
      </c>
      <c r="AC261" s="177">
        <f t="shared" si="357"/>
        <v>9.3866360850908759</v>
      </c>
      <c r="AD261" s="177">
        <f t="shared" si="381"/>
        <v>91.985066669944587</v>
      </c>
      <c r="AE261" s="26">
        <f t="shared" si="332"/>
        <v>2.7595520000983376</v>
      </c>
      <c r="AF261" s="178">
        <f t="shared" si="358"/>
        <v>9.3020010294644635</v>
      </c>
      <c r="AG261" s="178">
        <f t="shared" si="359"/>
        <v>9.3886618985189898</v>
      </c>
      <c r="AH261" s="178">
        <f t="shared" si="382"/>
        <v>8.6660869054526302E-2</v>
      </c>
      <c r="AI261" s="179">
        <f t="shared" si="383"/>
        <v>100</v>
      </c>
      <c r="AJ261" s="30">
        <f t="shared" si="333"/>
        <v>4</v>
      </c>
      <c r="AK261" s="204">
        <v>6</v>
      </c>
      <c r="AL261" s="204">
        <v>3</v>
      </c>
      <c r="AM261" s="204">
        <v>1</v>
      </c>
      <c r="AN261" s="181">
        <f t="shared" si="344"/>
        <v>9</v>
      </c>
      <c r="AO261" s="182">
        <f t="shared" si="345"/>
        <v>11.111111111111111</v>
      </c>
      <c r="AP261" s="183">
        <f t="shared" si="360"/>
        <v>80</v>
      </c>
      <c r="AQ261" s="38">
        <f t="shared" si="334"/>
        <v>1.6</v>
      </c>
      <c r="AR261" s="212">
        <v>2</v>
      </c>
      <c r="AS261" s="292">
        <f t="shared" si="346"/>
        <v>0.25</v>
      </c>
      <c r="AT261" s="185">
        <f t="shared" si="347"/>
        <v>1.5</v>
      </c>
      <c r="AU261" s="185">
        <f t="shared" si="361"/>
        <v>1</v>
      </c>
      <c r="AV261" s="186">
        <f t="shared" si="348"/>
        <v>16.666666666666664</v>
      </c>
      <c r="AW261" s="179">
        <f t="shared" si="362"/>
        <v>60</v>
      </c>
      <c r="AX261" s="239">
        <f t="shared" si="335"/>
        <v>0.6</v>
      </c>
      <c r="AY261" s="54">
        <v>7</v>
      </c>
      <c r="AZ261" s="54">
        <v>13</v>
      </c>
      <c r="BA261" s="189">
        <f t="shared" si="349"/>
        <v>14</v>
      </c>
      <c r="BB261" s="178">
        <f t="shared" si="363"/>
        <v>92.857142857142861</v>
      </c>
      <c r="BC261" s="179">
        <f t="shared" si="364"/>
        <v>100</v>
      </c>
      <c r="BD261" s="30">
        <f t="shared" si="336"/>
        <v>1</v>
      </c>
      <c r="BE261" s="190">
        <v>3510165</v>
      </c>
      <c r="BF261" s="190">
        <v>360527</v>
      </c>
      <c r="BG261" s="301">
        <v>0</v>
      </c>
      <c r="BH261" s="191">
        <f t="shared" si="350"/>
        <v>3870692</v>
      </c>
      <c r="BI261" s="178">
        <f t="shared" si="351"/>
        <v>0</v>
      </c>
      <c r="BJ261" s="294" t="str">
        <f t="shared" si="365"/>
        <v>식약/섬유/종이업</v>
      </c>
      <c r="BK261" s="192">
        <f t="shared" si="366"/>
        <v>2.1999360555264444</v>
      </c>
      <c r="BL261" s="193">
        <f t="shared" si="367"/>
        <v>-2.1999360555264444</v>
      </c>
      <c r="BM261" s="241">
        <f t="shared" si="368"/>
        <v>100</v>
      </c>
      <c r="BN261" s="47">
        <f t="shared" si="369"/>
        <v>2</v>
      </c>
      <c r="BO261" s="54">
        <v>6884000</v>
      </c>
      <c r="BP261" s="194">
        <f t="shared" si="352"/>
        <v>11.43867282017637</v>
      </c>
      <c r="BQ261" s="179">
        <f t="shared" si="370"/>
        <v>100</v>
      </c>
      <c r="BR261" s="30">
        <f t="shared" si="337"/>
        <v>2</v>
      </c>
      <c r="BS261" s="195">
        <v>18948532.175999999</v>
      </c>
      <c r="BT261" s="195">
        <v>3700</v>
      </c>
      <c r="BU261" s="196">
        <f t="shared" si="371"/>
        <v>18944832.175999999</v>
      </c>
      <c r="BV261" s="178">
        <f t="shared" si="353"/>
        <v>31.479334238003187</v>
      </c>
      <c r="BW261" s="192">
        <f t="shared" si="372"/>
        <v>5.0508176117342281</v>
      </c>
      <c r="BX261" s="192">
        <f t="shared" si="373"/>
        <v>698.46649106497478</v>
      </c>
      <c r="BY261" s="192">
        <f t="shared" si="374"/>
        <v>6.9871618081220941</v>
      </c>
      <c r="BZ261" s="192">
        <f t="shared" si="375"/>
        <v>7.7649431704962524E-3</v>
      </c>
      <c r="CA261" s="192">
        <f t="shared" si="354"/>
        <v>100</v>
      </c>
      <c r="CB261" s="55">
        <f t="shared" si="376"/>
        <v>2</v>
      </c>
      <c r="CC261" s="197">
        <f t="shared" si="338"/>
        <v>41.376843098048766</v>
      </c>
      <c r="CD261" s="198">
        <f t="shared" si="339"/>
        <v>84.782596822343436</v>
      </c>
      <c r="CE261" s="58">
        <f t="shared" si="340"/>
        <v>1.2717389523351514</v>
      </c>
      <c r="CF261" s="245" t="s">
        <v>2326</v>
      </c>
      <c r="CG261" s="245" t="s">
        <v>2326</v>
      </c>
      <c r="CH261" s="245" t="s">
        <v>2326</v>
      </c>
      <c r="CI261" s="245" t="s">
        <v>2326</v>
      </c>
      <c r="CJ261" s="235"/>
      <c r="CK261" s="173" t="s">
        <v>2479</v>
      </c>
      <c r="CL261" s="173" t="s">
        <v>2478</v>
      </c>
      <c r="CM261" s="199">
        <f t="shared" si="377"/>
        <v>25</v>
      </c>
      <c r="CN261" s="58">
        <f t="shared" si="341"/>
        <v>0.375</v>
      </c>
      <c r="CO261" s="54">
        <v>0</v>
      </c>
      <c r="CP261" s="186">
        <f t="shared" si="355"/>
        <v>0</v>
      </c>
      <c r="CQ261" s="179">
        <f t="shared" si="378"/>
        <v>100</v>
      </c>
      <c r="CR261" s="30">
        <f t="shared" si="342"/>
        <v>3</v>
      </c>
      <c r="CS261" s="200">
        <f>_xlfn.XLOOKUP(C261, '1-1. 관계사체무보증금액 (환율 등)'!$3:$3, '1-1. 관계사체무보증금액 (환율 등)'!$33:$33)</f>
        <v>0</v>
      </c>
      <c r="CT261" s="178">
        <f t="shared" si="356"/>
        <v>0</v>
      </c>
      <c r="CU261" s="179">
        <f t="shared" si="379"/>
        <v>100</v>
      </c>
      <c r="CV261" s="30">
        <f t="shared" si="343"/>
        <v>2</v>
      </c>
      <c r="CW261" s="72">
        <f t="shared" si="384"/>
        <v>22.60629095243349</v>
      </c>
    </row>
    <row r="262" spans="1:101" x14ac:dyDescent="0.6">
      <c r="A262" s="214" t="s">
        <v>1884</v>
      </c>
      <c r="B262" s="13" t="s">
        <v>2242</v>
      </c>
      <c r="C262" s="219" t="s">
        <v>1885</v>
      </c>
      <c r="D262" s="14" t="s">
        <v>285</v>
      </c>
      <c r="E262" s="217" t="s">
        <v>534</v>
      </c>
      <c r="F262" s="217" t="s">
        <v>1886</v>
      </c>
      <c r="G262" s="218">
        <v>39346</v>
      </c>
      <c r="H262" s="217" t="s">
        <v>830</v>
      </c>
      <c r="I262" s="217" t="s">
        <v>1887</v>
      </c>
      <c r="J262" s="217" t="s">
        <v>1888</v>
      </c>
      <c r="K262" s="217" t="s">
        <v>91</v>
      </c>
      <c r="L262" s="220">
        <v>7391490000</v>
      </c>
      <c r="M262" s="206">
        <v>2951621000</v>
      </c>
      <c r="N262" s="206">
        <v>4439869000</v>
      </c>
      <c r="O262" s="206">
        <v>5700446000</v>
      </c>
      <c r="P262" s="206">
        <v>784634000</v>
      </c>
      <c r="Q262" s="206">
        <v>676532000</v>
      </c>
      <c r="R262" s="206">
        <v>676532000</v>
      </c>
      <c r="S262" s="207">
        <v>534569512</v>
      </c>
      <c r="T262" s="207">
        <v>0</v>
      </c>
      <c r="U262" s="207">
        <v>292533115</v>
      </c>
      <c r="V262" s="207">
        <f>75008+3030</f>
        <v>78038</v>
      </c>
      <c r="W262" s="207">
        <f>30000+64541+27712+5749+1288+8120+2355+15150+5000+1500+3100+2000</f>
        <v>166515</v>
      </c>
      <c r="X262" s="207">
        <v>0</v>
      </c>
      <c r="Z262" s="207">
        <v>0</v>
      </c>
      <c r="AA262" s="207">
        <v>0</v>
      </c>
      <c r="AB262" s="176">
        <f t="shared" si="380"/>
        <v>292777668</v>
      </c>
      <c r="AC262" s="177">
        <f t="shared" si="357"/>
        <v>54.768867551877896</v>
      </c>
      <c r="AD262" s="177">
        <f t="shared" si="381"/>
        <v>52.817433067999517</v>
      </c>
      <c r="AE262" s="26">
        <f t="shared" si="332"/>
        <v>1.5845229920399855</v>
      </c>
      <c r="AF262" s="178">
        <f t="shared" si="358"/>
        <v>54.737718188462651</v>
      </c>
      <c r="AG262" s="178">
        <f t="shared" si="359"/>
        <v>54.768867551877896</v>
      </c>
      <c r="AH262" s="178">
        <f t="shared" si="382"/>
        <v>3.1149363415245546E-2</v>
      </c>
      <c r="AI262" s="179">
        <f t="shared" si="383"/>
        <v>100</v>
      </c>
      <c r="AJ262" s="30">
        <f t="shared" si="333"/>
        <v>4</v>
      </c>
      <c r="AK262" s="204">
        <v>6</v>
      </c>
      <c r="AL262" s="204">
        <v>12</v>
      </c>
      <c r="AM262" s="204">
        <v>1</v>
      </c>
      <c r="AN262" s="181">
        <f t="shared" si="344"/>
        <v>18</v>
      </c>
      <c r="AO262" s="182">
        <f t="shared" si="345"/>
        <v>5.5555555555555554</v>
      </c>
      <c r="AP262" s="183">
        <f t="shared" si="360"/>
        <v>100</v>
      </c>
      <c r="AQ262" s="38">
        <f t="shared" si="334"/>
        <v>2</v>
      </c>
      <c r="AR262" s="212">
        <v>3</v>
      </c>
      <c r="AS262" s="292">
        <f t="shared" si="346"/>
        <v>0.5</v>
      </c>
      <c r="AT262" s="185">
        <f t="shared" si="347"/>
        <v>3</v>
      </c>
      <c r="AU262" s="185">
        <f t="shared" si="361"/>
        <v>3</v>
      </c>
      <c r="AV262" s="186">
        <f t="shared" si="348"/>
        <v>0</v>
      </c>
      <c r="AW262" s="179">
        <f t="shared" si="362"/>
        <v>40</v>
      </c>
      <c r="AX262" s="239">
        <f t="shared" si="335"/>
        <v>0.4</v>
      </c>
      <c r="AY262" s="54">
        <v>12</v>
      </c>
      <c r="AZ262" s="54">
        <f>12*3-2</f>
        <v>34</v>
      </c>
      <c r="BA262" s="189">
        <f t="shared" si="349"/>
        <v>36</v>
      </c>
      <c r="BB262" s="178">
        <f t="shared" si="363"/>
        <v>94.444444444444443</v>
      </c>
      <c r="BC262" s="179">
        <f t="shared" si="364"/>
        <v>100</v>
      </c>
      <c r="BD262" s="30">
        <f t="shared" si="336"/>
        <v>1</v>
      </c>
      <c r="BE262" s="190">
        <v>190494000</v>
      </c>
      <c r="BF262" s="190">
        <v>9456000</v>
      </c>
      <c r="BG262" s="301">
        <v>0</v>
      </c>
      <c r="BH262" s="191">
        <f t="shared" si="350"/>
        <v>199950000</v>
      </c>
      <c r="BI262" s="178">
        <f t="shared" si="351"/>
        <v>0</v>
      </c>
      <c r="BJ262" s="294" t="str">
        <f t="shared" si="365"/>
        <v>비제조/서비스업</v>
      </c>
      <c r="BK262" s="192">
        <f t="shared" si="366"/>
        <v>1.7464434573900924</v>
      </c>
      <c r="BL262" s="193">
        <f t="shared" si="367"/>
        <v>-1.7464434573900924</v>
      </c>
      <c r="BM262" s="241">
        <f t="shared" si="368"/>
        <v>80</v>
      </c>
      <c r="BN262" s="47">
        <f t="shared" si="369"/>
        <v>1.6</v>
      </c>
      <c r="BO262" s="54">
        <v>0</v>
      </c>
      <c r="BP262" s="194">
        <f t="shared" si="352"/>
        <v>0</v>
      </c>
      <c r="BQ262" s="179">
        <f t="shared" si="370"/>
        <v>25</v>
      </c>
      <c r="BR262" s="30">
        <f t="shared" si="337"/>
        <v>0.5</v>
      </c>
      <c r="BS262" s="195">
        <v>340197000</v>
      </c>
      <c r="BT262" s="195">
        <v>16640000</v>
      </c>
      <c r="BU262" s="196">
        <f t="shared" si="371"/>
        <v>323557000</v>
      </c>
      <c r="BV262" s="178">
        <f t="shared" si="353"/>
        <v>5.6759944748182862</v>
      </c>
      <c r="BW262" s="192">
        <f t="shared" si="372"/>
        <v>2.8482825397737606</v>
      </c>
      <c r="BX262" s="192">
        <f t="shared" si="373"/>
        <v>7.9959547875932557</v>
      </c>
      <c r="BY262" s="192">
        <f t="shared" si="374"/>
        <v>5.5697595856656799</v>
      </c>
      <c r="BZ262" s="192">
        <f t="shared" si="375"/>
        <v>30.583533773893322</v>
      </c>
      <c r="CA262" s="192">
        <f t="shared" si="354"/>
        <v>70</v>
      </c>
      <c r="CB262" s="55">
        <f t="shared" si="376"/>
        <v>1.4000000000000001</v>
      </c>
      <c r="CC262" s="197">
        <f t="shared" si="338"/>
        <v>66.479911907310779</v>
      </c>
      <c r="CD262" s="198">
        <f t="shared" si="339"/>
        <v>75.321641240963274</v>
      </c>
      <c r="CE262" s="58">
        <f t="shared" si="340"/>
        <v>1.1298246186144492</v>
      </c>
      <c r="CF262" s="245" t="s">
        <v>2326</v>
      </c>
      <c r="CG262" s="245" t="s">
        <v>2326</v>
      </c>
      <c r="CH262" s="245" t="s">
        <v>2326</v>
      </c>
      <c r="CI262" s="245" t="s">
        <v>2326</v>
      </c>
      <c r="CJ262" s="235"/>
      <c r="CK262" s="173" t="s">
        <v>2485</v>
      </c>
      <c r="CL262" s="173" t="s">
        <v>2482</v>
      </c>
      <c r="CM262" s="199">
        <f t="shared" si="377"/>
        <v>55</v>
      </c>
      <c r="CN262" s="58">
        <f t="shared" si="341"/>
        <v>0.82499999999999996</v>
      </c>
      <c r="CO262" s="54">
        <v>213780000</v>
      </c>
      <c r="CP262" s="186">
        <f t="shared" si="355"/>
        <v>4.815006929258498</v>
      </c>
      <c r="CQ262" s="179">
        <f t="shared" si="378"/>
        <v>80</v>
      </c>
      <c r="CR262" s="30">
        <f t="shared" si="342"/>
        <v>2.4</v>
      </c>
      <c r="CS262" s="200">
        <f>_xlfn.XLOOKUP(C262, '1-1. 관계사체무보증금액 (환율 등)'!$3:$3, '1-1. 관계사체무보증금액 (환율 등)'!$33:$33)</f>
        <v>210063291.03797463</v>
      </c>
      <c r="CT262" s="178">
        <f t="shared" si="356"/>
        <v>4.7312947980666689</v>
      </c>
      <c r="CU262" s="179">
        <f t="shared" si="379"/>
        <v>80</v>
      </c>
      <c r="CV262" s="30">
        <f t="shared" si="343"/>
        <v>1.6</v>
      </c>
      <c r="CW262" s="72">
        <f t="shared" si="384"/>
        <v>18.439347610654437</v>
      </c>
    </row>
    <row r="263" spans="1:101" x14ac:dyDescent="0.6">
      <c r="A263" s="214" t="s">
        <v>1889</v>
      </c>
      <c r="B263" s="13" t="s">
        <v>2243</v>
      </c>
      <c r="C263" s="219" t="s">
        <v>1890</v>
      </c>
      <c r="D263" s="14" t="s">
        <v>202</v>
      </c>
      <c r="E263" s="217" t="s">
        <v>606</v>
      </c>
      <c r="F263" s="217" t="s">
        <v>1891</v>
      </c>
      <c r="G263" s="218">
        <v>32638</v>
      </c>
      <c r="H263" s="217" t="s">
        <v>830</v>
      </c>
      <c r="I263" s="217" t="s">
        <v>1892</v>
      </c>
      <c r="J263" s="217" t="s">
        <v>1893</v>
      </c>
      <c r="K263" s="217" t="s">
        <v>50</v>
      </c>
      <c r="L263" s="220">
        <v>211309948</v>
      </c>
      <c r="M263" s="206">
        <v>154647755</v>
      </c>
      <c r="N263" s="206">
        <v>56662193</v>
      </c>
      <c r="O263" s="206">
        <v>160154490</v>
      </c>
      <c r="P263" s="206">
        <v>3112928</v>
      </c>
      <c r="Q263" s="206">
        <v>4592986</v>
      </c>
      <c r="R263" s="206">
        <v>1794177</v>
      </c>
      <c r="S263" s="207">
        <v>48061460</v>
      </c>
      <c r="T263" s="207">
        <v>177101</v>
      </c>
      <c r="U263" s="207">
        <v>12760939</v>
      </c>
      <c r="V263" s="207">
        <f>8571263+78900+250016+197137+35000</f>
        <v>9132316</v>
      </c>
      <c r="W263" s="207">
        <v>30000</v>
      </c>
      <c r="X263" s="207">
        <v>0</v>
      </c>
      <c r="Z263" s="207">
        <v>0</v>
      </c>
      <c r="AA263" s="207">
        <v>0</v>
      </c>
      <c r="AB263" s="176">
        <f t="shared" si="380"/>
        <v>21923255</v>
      </c>
      <c r="AC263" s="177">
        <f t="shared" si="357"/>
        <v>45.615041657078251</v>
      </c>
      <c r="AD263" s="177">
        <f t="shared" si="381"/>
        <v>60.717743103787477</v>
      </c>
      <c r="AE263" s="26">
        <f t="shared" si="332"/>
        <v>1.8215322931136242</v>
      </c>
      <c r="AF263" s="178">
        <f t="shared" si="358"/>
        <v>45.721098615938452</v>
      </c>
      <c r="AG263" s="178">
        <f t="shared" si="359"/>
        <v>45.783749553794799</v>
      </c>
      <c r="AH263" s="178">
        <f t="shared" si="382"/>
        <v>6.26509378563469E-2</v>
      </c>
      <c r="AI263" s="179">
        <f t="shared" si="383"/>
        <v>100</v>
      </c>
      <c r="AJ263" s="30">
        <f t="shared" si="333"/>
        <v>4</v>
      </c>
      <c r="AK263" s="204">
        <v>5</v>
      </c>
      <c r="AL263" s="204">
        <v>9</v>
      </c>
      <c r="AM263" s="204">
        <v>2</v>
      </c>
      <c r="AN263" s="181">
        <f t="shared" si="344"/>
        <v>14</v>
      </c>
      <c r="AO263" s="182">
        <f t="shared" si="345"/>
        <v>14.285714285714285</v>
      </c>
      <c r="AP263" s="183">
        <f t="shared" si="360"/>
        <v>80</v>
      </c>
      <c r="AQ263" s="38">
        <f t="shared" si="334"/>
        <v>1.6</v>
      </c>
      <c r="AR263" s="212">
        <v>1</v>
      </c>
      <c r="AS263" s="292">
        <f t="shared" si="346"/>
        <v>0.25</v>
      </c>
      <c r="AT263" s="185">
        <f t="shared" si="347"/>
        <v>1.25</v>
      </c>
      <c r="AU263" s="185">
        <f t="shared" si="361"/>
        <v>1</v>
      </c>
      <c r="AV263" s="186">
        <f t="shared" si="348"/>
        <v>0</v>
      </c>
      <c r="AW263" s="179">
        <f t="shared" si="362"/>
        <v>40</v>
      </c>
      <c r="AX263" s="239">
        <f t="shared" si="335"/>
        <v>0.4</v>
      </c>
      <c r="AY263" s="54">
        <v>5</v>
      </c>
      <c r="AZ263" s="54">
        <v>5</v>
      </c>
      <c r="BA263" s="189">
        <f t="shared" si="349"/>
        <v>5</v>
      </c>
      <c r="BB263" s="178">
        <f t="shared" si="363"/>
        <v>100</v>
      </c>
      <c r="BC263" s="179">
        <f t="shared" si="364"/>
        <v>100</v>
      </c>
      <c r="BD263" s="30">
        <f t="shared" si="336"/>
        <v>1</v>
      </c>
      <c r="BE263" s="190">
        <v>3307155</v>
      </c>
      <c r="BF263" s="190">
        <v>265920</v>
      </c>
      <c r="BG263" s="54">
        <v>44700</v>
      </c>
      <c r="BH263" s="191">
        <f t="shared" si="350"/>
        <v>3573075</v>
      </c>
      <c r="BI263" s="178">
        <f t="shared" si="351"/>
        <v>1.2510232782687183</v>
      </c>
      <c r="BJ263" s="294" t="str">
        <f t="shared" si="365"/>
        <v>전기전자/기계업</v>
      </c>
      <c r="BK263" s="192">
        <f t="shared" si="366"/>
        <v>2.4096449716116455</v>
      </c>
      <c r="BL263" s="193">
        <f t="shared" si="367"/>
        <v>-1.1586216933429272</v>
      </c>
      <c r="BM263" s="241">
        <f t="shared" si="368"/>
        <v>80</v>
      </c>
      <c r="BN263" s="47">
        <f t="shared" si="369"/>
        <v>1.6</v>
      </c>
      <c r="BO263" s="54">
        <v>252607</v>
      </c>
      <c r="BP263" s="194">
        <f t="shared" si="352"/>
        <v>0.15772707964665866</v>
      </c>
      <c r="BQ263" s="179">
        <f t="shared" si="370"/>
        <v>55</v>
      </c>
      <c r="BR263" s="30">
        <f t="shared" si="337"/>
        <v>1.1000000000000001</v>
      </c>
      <c r="BS263" s="195">
        <v>15039416.93</v>
      </c>
      <c r="BT263" s="195">
        <v>2872.7269999999999</v>
      </c>
      <c r="BU263" s="196">
        <f t="shared" si="371"/>
        <v>15036544.203</v>
      </c>
      <c r="BV263" s="178">
        <f t="shared" si="353"/>
        <v>9.3887746781248538</v>
      </c>
      <c r="BW263" s="192">
        <f t="shared" si="372"/>
        <v>5.2309968128308268</v>
      </c>
      <c r="BX263" s="192">
        <f t="shared" si="373"/>
        <v>17.287116777128954</v>
      </c>
      <c r="BY263" s="192">
        <f t="shared" si="374"/>
        <v>7.0695458012309622</v>
      </c>
      <c r="BZ263" s="192">
        <f t="shared" si="375"/>
        <v>27.822413800859714</v>
      </c>
      <c r="CA263" s="192">
        <f t="shared" si="354"/>
        <v>70</v>
      </c>
      <c r="CB263" s="55">
        <f t="shared" si="376"/>
        <v>1.4000000000000001</v>
      </c>
      <c r="CC263" s="197">
        <f t="shared" si="338"/>
        <v>272.92934991061855</v>
      </c>
      <c r="CD263" s="198">
        <f t="shared" si="339"/>
        <v>25</v>
      </c>
      <c r="CE263" s="58">
        <f t="shared" si="340"/>
        <v>0.375</v>
      </c>
      <c r="CF263" s="245" t="s">
        <v>2326</v>
      </c>
      <c r="CG263" s="245" t="s">
        <v>2326</v>
      </c>
      <c r="CH263" s="245" t="s">
        <v>2326</v>
      </c>
      <c r="CI263" s="245" t="s">
        <v>2326</v>
      </c>
      <c r="CJ263" s="235"/>
      <c r="CK263" s="173" t="s">
        <v>2519</v>
      </c>
      <c r="CL263" s="173" t="s">
        <v>2493</v>
      </c>
      <c r="CM263" s="199">
        <f t="shared" si="377"/>
        <v>40</v>
      </c>
      <c r="CN263" s="58">
        <f t="shared" si="341"/>
        <v>0.6</v>
      </c>
      <c r="CO263" s="54">
        <f>27224035-500000-2750000-1872</f>
        <v>23972163</v>
      </c>
      <c r="CP263" s="186">
        <f t="shared" si="355"/>
        <v>42.30715708444253</v>
      </c>
      <c r="CQ263" s="179">
        <f t="shared" si="378"/>
        <v>40</v>
      </c>
      <c r="CR263" s="30">
        <f t="shared" si="342"/>
        <v>1.2</v>
      </c>
      <c r="CS263" s="200">
        <f>_xlfn.XLOOKUP(C263, '1-1. 관계사체무보증금액 (환율 등)'!$3:$3, '1-1. 관계사체무보증금액 (환율 등)'!$33:$33)</f>
        <v>0</v>
      </c>
      <c r="CT263" s="178">
        <f t="shared" si="356"/>
        <v>0</v>
      </c>
      <c r="CU263" s="179">
        <f t="shared" si="379"/>
        <v>100</v>
      </c>
      <c r="CV263" s="30">
        <f t="shared" si="343"/>
        <v>2</v>
      </c>
      <c r="CW263" s="72">
        <f t="shared" si="384"/>
        <v>17.096532293113626</v>
      </c>
    </row>
    <row r="264" spans="1:101" x14ac:dyDescent="0.6">
      <c r="A264" s="214" t="s">
        <v>740</v>
      </c>
      <c r="B264" s="13" t="s">
        <v>2244</v>
      </c>
      <c r="C264" s="219" t="s">
        <v>455</v>
      </c>
      <c r="D264" s="216" t="s">
        <v>191</v>
      </c>
      <c r="E264" s="217" t="s">
        <v>554</v>
      </c>
      <c r="F264" s="217" t="s">
        <v>1010</v>
      </c>
      <c r="G264" s="218">
        <v>35423</v>
      </c>
      <c r="H264" s="217" t="s">
        <v>830</v>
      </c>
      <c r="I264" s="217" t="s">
        <v>399</v>
      </c>
      <c r="J264" s="217" t="s">
        <v>1126</v>
      </c>
      <c r="K264" s="217" t="s">
        <v>91</v>
      </c>
      <c r="L264" s="220">
        <v>557374543</v>
      </c>
      <c r="M264" s="206">
        <v>67942165</v>
      </c>
      <c r="N264" s="206">
        <v>489432378</v>
      </c>
      <c r="O264" s="206">
        <v>373267542</v>
      </c>
      <c r="P264" s="206">
        <v>36440646</v>
      </c>
      <c r="Q264" s="206">
        <v>14928841</v>
      </c>
      <c r="R264" s="206">
        <v>9950190</v>
      </c>
      <c r="S264" s="207">
        <v>11500000</v>
      </c>
      <c r="T264" s="207">
        <v>2539761</v>
      </c>
      <c r="U264" s="207">
        <f>3860956+1920056</f>
        <v>5781012</v>
      </c>
      <c r="V264" s="207">
        <f>73600+64400+64400</f>
        <v>202400</v>
      </c>
      <c r="W264" s="207">
        <f>16317+150*2+184</f>
        <v>16801</v>
      </c>
      <c r="X264" s="207">
        <v>177000</v>
      </c>
      <c r="Y264" s="208" t="s">
        <v>2459</v>
      </c>
      <c r="Z264" s="207">
        <v>115000</v>
      </c>
      <c r="AA264" s="207">
        <v>0</v>
      </c>
      <c r="AB264" s="176">
        <f t="shared" si="380"/>
        <v>6292213</v>
      </c>
      <c r="AC264" s="177">
        <f t="shared" si="357"/>
        <v>54.714895652173908</v>
      </c>
      <c r="AD264" s="177">
        <f t="shared" si="381"/>
        <v>52.864014109170967</v>
      </c>
      <c r="AE264" s="26">
        <f t="shared" si="332"/>
        <v>1.5859204232751289</v>
      </c>
      <c r="AF264" s="178">
        <f t="shared" si="358"/>
        <v>66.777370558977282</v>
      </c>
      <c r="AG264" s="178">
        <f t="shared" si="359"/>
        <v>70.223718362869562</v>
      </c>
      <c r="AH264" s="178">
        <f t="shared" si="382"/>
        <v>3.4463478038922801</v>
      </c>
      <c r="AI264" s="179">
        <f t="shared" si="383"/>
        <v>100</v>
      </c>
      <c r="AJ264" s="30">
        <f t="shared" si="333"/>
        <v>4</v>
      </c>
      <c r="AK264" s="204">
        <v>5</v>
      </c>
      <c r="AL264" s="204">
        <v>5</v>
      </c>
      <c r="AM264" s="204">
        <v>1</v>
      </c>
      <c r="AN264" s="181">
        <f t="shared" si="344"/>
        <v>10</v>
      </c>
      <c r="AO264" s="182">
        <f t="shared" si="345"/>
        <v>10</v>
      </c>
      <c r="AP264" s="183">
        <f t="shared" si="360"/>
        <v>80</v>
      </c>
      <c r="AQ264" s="38">
        <f t="shared" si="334"/>
        <v>1.6</v>
      </c>
      <c r="AR264" s="212">
        <v>2</v>
      </c>
      <c r="AS264" s="292">
        <f t="shared" si="346"/>
        <v>0.25</v>
      </c>
      <c r="AT264" s="185">
        <f t="shared" si="347"/>
        <v>1.25</v>
      </c>
      <c r="AU264" s="185">
        <f t="shared" si="361"/>
        <v>1</v>
      </c>
      <c r="AV264" s="186">
        <f t="shared" si="348"/>
        <v>20</v>
      </c>
      <c r="AW264" s="179">
        <f t="shared" si="362"/>
        <v>80</v>
      </c>
      <c r="AX264" s="239">
        <f t="shared" si="335"/>
        <v>0.8</v>
      </c>
      <c r="AY264" s="54">
        <v>6</v>
      </c>
      <c r="AZ264" s="54">
        <f>12-4</f>
        <v>8</v>
      </c>
      <c r="BA264" s="189">
        <f t="shared" si="349"/>
        <v>12</v>
      </c>
      <c r="BB264" s="178">
        <f t="shared" si="363"/>
        <v>66.666666666666657</v>
      </c>
      <c r="BC264" s="179">
        <f t="shared" si="364"/>
        <v>25</v>
      </c>
      <c r="BD264" s="30">
        <f t="shared" si="336"/>
        <v>0.25</v>
      </c>
      <c r="BE264" s="190">
        <v>8233382.79</v>
      </c>
      <c r="BF264" s="190">
        <v>645393.45600000001</v>
      </c>
      <c r="BG264" s="54">
        <v>120275.976</v>
      </c>
      <c r="BH264" s="191">
        <f t="shared" si="350"/>
        <v>8878776.2459999993</v>
      </c>
      <c r="BI264" s="178">
        <f t="shared" si="351"/>
        <v>1.3546458731200242</v>
      </c>
      <c r="BJ264" s="294" t="str">
        <f t="shared" si="365"/>
        <v>식약/섬유/종이업</v>
      </c>
      <c r="BK264" s="192">
        <f t="shared" si="366"/>
        <v>2.1999360555264444</v>
      </c>
      <c r="BL264" s="193">
        <f t="shared" si="367"/>
        <v>-0.84529018240642029</v>
      </c>
      <c r="BM264" s="241">
        <f t="shared" si="368"/>
        <v>80</v>
      </c>
      <c r="BN264" s="47">
        <f t="shared" si="369"/>
        <v>1.6</v>
      </c>
      <c r="BO264" s="54">
        <v>1702098.9669999999</v>
      </c>
      <c r="BP264" s="194">
        <f t="shared" si="352"/>
        <v>0.45599972552663043</v>
      </c>
      <c r="BQ264" s="179">
        <f t="shared" si="370"/>
        <v>55</v>
      </c>
      <c r="BR264" s="30">
        <f t="shared" si="337"/>
        <v>1.1000000000000001</v>
      </c>
      <c r="BS264" s="195">
        <v>7652387.2800000003</v>
      </c>
      <c r="BT264" s="195">
        <v>12188300.744000001</v>
      </c>
      <c r="BU264" s="196">
        <f t="shared" si="371"/>
        <v>-4535913.4640000006</v>
      </c>
      <c r="BV264" s="178">
        <f t="shared" si="353"/>
        <v>-1.2151909699129426</v>
      </c>
      <c r="BW264" s="192">
        <f t="shared" si="372"/>
        <v>5.0508176117342281</v>
      </c>
      <c r="BX264" s="192">
        <f t="shared" si="373"/>
        <v>39.262863545275991</v>
      </c>
      <c r="BY264" s="192">
        <f t="shared" si="374"/>
        <v>6.9871618081220941</v>
      </c>
      <c r="BZ264" s="192">
        <f t="shared" si="375"/>
        <v>81.508419216280245</v>
      </c>
      <c r="CA264" s="192">
        <f t="shared" si="354"/>
        <v>40</v>
      </c>
      <c r="CB264" s="55">
        <f t="shared" si="376"/>
        <v>0.8</v>
      </c>
      <c r="CC264" s="197">
        <f t="shared" si="338"/>
        <v>13.881828839693153</v>
      </c>
      <c r="CD264" s="198">
        <f t="shared" si="339"/>
        <v>95.145039382025189</v>
      </c>
      <c r="CE264" s="58">
        <f t="shared" si="340"/>
        <v>1.4271755907303778</v>
      </c>
      <c r="CF264" s="245" t="s">
        <v>2326</v>
      </c>
      <c r="CG264" s="245" t="s">
        <v>2326</v>
      </c>
      <c r="CH264" s="245" t="s">
        <v>2326</v>
      </c>
      <c r="CI264" s="245" t="s">
        <v>2326</v>
      </c>
      <c r="CJ264" s="235"/>
      <c r="CK264" s="173" t="s">
        <v>2490</v>
      </c>
      <c r="CL264" s="173" t="s">
        <v>2487</v>
      </c>
      <c r="CM264" s="199">
        <f t="shared" si="377"/>
        <v>70</v>
      </c>
      <c r="CN264" s="58">
        <f t="shared" si="341"/>
        <v>1.05</v>
      </c>
      <c r="CO264" s="54">
        <f>54325637.532</f>
        <v>54325637.531999998</v>
      </c>
      <c r="CP264" s="186">
        <f t="shared" si="355"/>
        <v>11.099722857321874</v>
      </c>
      <c r="CQ264" s="179">
        <f t="shared" si="378"/>
        <v>60</v>
      </c>
      <c r="CR264" s="30">
        <f t="shared" si="342"/>
        <v>1.7999999999999998</v>
      </c>
      <c r="CS264" s="200">
        <f>_xlfn.XLOOKUP(C264, '1-1. 관계사체무보증금액 (환율 등)'!$3:$3, '1-1. 관계사체무보증금액 (환율 등)'!$33:$33)</f>
        <v>0</v>
      </c>
      <c r="CT264" s="178">
        <f t="shared" si="356"/>
        <v>0</v>
      </c>
      <c r="CU264" s="179">
        <f t="shared" si="379"/>
        <v>100</v>
      </c>
      <c r="CV264" s="30">
        <f t="shared" si="343"/>
        <v>2</v>
      </c>
      <c r="CW264" s="72">
        <f t="shared" si="384"/>
        <v>18.013096014005509</v>
      </c>
    </row>
    <row r="265" spans="1:101" x14ac:dyDescent="0.6">
      <c r="A265" s="214" t="s">
        <v>16</v>
      </c>
      <c r="B265" s="13" t="s">
        <v>2245</v>
      </c>
      <c r="C265" s="219" t="s">
        <v>334</v>
      </c>
      <c r="D265" s="216" t="s">
        <v>203</v>
      </c>
      <c r="E265" s="217" t="s">
        <v>195</v>
      </c>
      <c r="F265" s="217" t="s">
        <v>562</v>
      </c>
      <c r="G265" s="218">
        <v>37484</v>
      </c>
      <c r="H265" s="217" t="s">
        <v>830</v>
      </c>
      <c r="I265" s="217" t="s">
        <v>827</v>
      </c>
      <c r="J265" s="217" t="s">
        <v>1102</v>
      </c>
      <c r="K265" s="217" t="s">
        <v>31</v>
      </c>
      <c r="L265" s="220">
        <v>531890343</v>
      </c>
      <c r="M265" s="206">
        <v>201052570</v>
      </c>
      <c r="N265" s="206">
        <v>330837773</v>
      </c>
      <c r="O265" s="206">
        <v>1181624867</v>
      </c>
      <c r="P265" s="206">
        <v>33106219</v>
      </c>
      <c r="Q265" s="206">
        <v>25624309</v>
      </c>
      <c r="R265" s="206">
        <v>17479918</v>
      </c>
      <c r="S265" s="207">
        <v>6000000</v>
      </c>
      <c r="T265" s="207">
        <v>0</v>
      </c>
      <c r="U265" s="207">
        <v>3412000</v>
      </c>
      <c r="V265" s="207">
        <v>0</v>
      </c>
      <c r="W265" s="207">
        <f>21000+2100+5000+300</f>
        <v>28400</v>
      </c>
      <c r="X265" s="207">
        <v>0</v>
      </c>
      <c r="Z265" s="207">
        <v>0</v>
      </c>
      <c r="AA265" s="207">
        <v>0</v>
      </c>
      <c r="AB265" s="176">
        <f t="shared" si="380"/>
        <v>3440400</v>
      </c>
      <c r="AC265" s="177">
        <f t="shared" si="357"/>
        <v>57.34</v>
      </c>
      <c r="AD265" s="177">
        <f t="shared" si="381"/>
        <v>50.598388952819334</v>
      </c>
      <c r="AE265" s="26">
        <f t="shared" si="332"/>
        <v>1.51795166858458</v>
      </c>
      <c r="AF265" s="178">
        <f t="shared" si="358"/>
        <v>56.866666666666667</v>
      </c>
      <c r="AG265" s="178">
        <f t="shared" si="359"/>
        <v>57.34</v>
      </c>
      <c r="AH265" s="178">
        <f t="shared" si="382"/>
        <v>0.47333333333333627</v>
      </c>
      <c r="AI265" s="179">
        <f t="shared" si="383"/>
        <v>100</v>
      </c>
      <c r="AJ265" s="30">
        <f t="shared" si="333"/>
        <v>4</v>
      </c>
      <c r="AK265" s="204">
        <v>5</v>
      </c>
      <c r="AL265" s="204">
        <v>5</v>
      </c>
      <c r="AM265" s="204">
        <v>0</v>
      </c>
      <c r="AN265" s="181">
        <f t="shared" si="344"/>
        <v>10</v>
      </c>
      <c r="AO265" s="182">
        <f t="shared" si="345"/>
        <v>0</v>
      </c>
      <c r="AP265" s="183">
        <f t="shared" si="360"/>
        <v>100</v>
      </c>
      <c r="AQ265" s="38">
        <f t="shared" si="334"/>
        <v>2</v>
      </c>
      <c r="AR265" s="212">
        <v>1</v>
      </c>
      <c r="AS265" s="292">
        <f t="shared" si="346"/>
        <v>0.25</v>
      </c>
      <c r="AT265" s="185">
        <f t="shared" si="347"/>
        <v>1.25</v>
      </c>
      <c r="AU265" s="185">
        <f t="shared" si="361"/>
        <v>1</v>
      </c>
      <c r="AV265" s="186">
        <f t="shared" si="348"/>
        <v>0</v>
      </c>
      <c r="AW265" s="179">
        <f t="shared" si="362"/>
        <v>40</v>
      </c>
      <c r="AX265" s="239">
        <f t="shared" si="335"/>
        <v>0.4</v>
      </c>
      <c r="AY265" s="54">
        <v>5</v>
      </c>
      <c r="AZ265" s="54">
        <v>5</v>
      </c>
      <c r="BA265" s="189">
        <f t="shared" si="349"/>
        <v>5</v>
      </c>
      <c r="BB265" s="178">
        <f t="shared" si="363"/>
        <v>100</v>
      </c>
      <c r="BC265" s="179">
        <f t="shared" si="364"/>
        <v>100</v>
      </c>
      <c r="BD265" s="30">
        <f t="shared" si="336"/>
        <v>1</v>
      </c>
      <c r="BE265" s="190">
        <v>15409374</v>
      </c>
      <c r="BF265" s="190">
        <v>1296182</v>
      </c>
      <c r="BG265" s="54">
        <v>158983</v>
      </c>
      <c r="BH265" s="191">
        <f t="shared" si="350"/>
        <v>16705556</v>
      </c>
      <c r="BI265" s="178">
        <f t="shared" si="351"/>
        <v>0.9516773940358525</v>
      </c>
      <c r="BJ265" s="294" t="str">
        <f t="shared" si="365"/>
        <v>금속/비금속/화학업</v>
      </c>
      <c r="BK265" s="192">
        <f t="shared" si="366"/>
        <v>3.9534118626990464</v>
      </c>
      <c r="BL265" s="193">
        <f t="shared" si="367"/>
        <v>-3.0017344686631939</v>
      </c>
      <c r="BM265" s="241">
        <f t="shared" si="368"/>
        <v>100</v>
      </c>
      <c r="BN265" s="47">
        <f t="shared" si="369"/>
        <v>2</v>
      </c>
      <c r="BO265" s="54">
        <v>2267000</v>
      </c>
      <c r="BP265" s="194">
        <f t="shared" si="352"/>
        <v>0.19185445933916689</v>
      </c>
      <c r="BQ265" s="179">
        <f t="shared" si="370"/>
        <v>55</v>
      </c>
      <c r="BR265" s="30">
        <f t="shared" si="337"/>
        <v>1.1000000000000001</v>
      </c>
      <c r="BS265" s="195">
        <v>8244100.3650000002</v>
      </c>
      <c r="BT265" s="195">
        <v>11681.817999999999</v>
      </c>
      <c r="BU265" s="196">
        <f t="shared" si="371"/>
        <v>8232418.5470000003</v>
      </c>
      <c r="BV265" s="178">
        <f t="shared" si="353"/>
        <v>0.69670322425602782</v>
      </c>
      <c r="BW265" s="192">
        <f t="shared" si="372"/>
        <v>5.1474158565187729</v>
      </c>
      <c r="BX265" s="192">
        <f t="shared" si="373"/>
        <v>19.808842934983169</v>
      </c>
      <c r="BY265" s="192">
        <f t="shared" si="374"/>
        <v>6.6930498535228526</v>
      </c>
      <c r="BZ265" s="192">
        <f t="shared" si="375"/>
        <v>74.696684461896282</v>
      </c>
      <c r="CA265" s="192">
        <f t="shared" si="354"/>
        <v>40</v>
      </c>
      <c r="CB265" s="55">
        <f t="shared" si="376"/>
        <v>0.8</v>
      </c>
      <c r="CC265" s="197">
        <f t="shared" si="338"/>
        <v>60.77074216069034</v>
      </c>
      <c r="CD265" s="198">
        <f t="shared" si="339"/>
        <v>77.47333838164937</v>
      </c>
      <c r="CE265" s="58">
        <f t="shared" si="340"/>
        <v>1.1621000757247406</v>
      </c>
      <c r="CF265" s="245" t="s">
        <v>2326</v>
      </c>
      <c r="CG265" s="245" t="s">
        <v>2326</v>
      </c>
      <c r="CH265" s="245" t="s">
        <v>2326</v>
      </c>
      <c r="CI265" s="245" t="s">
        <v>2326</v>
      </c>
      <c r="CJ265" s="235"/>
      <c r="CK265" s="173" t="s">
        <v>2479</v>
      </c>
      <c r="CL265" s="173" t="s">
        <v>2478</v>
      </c>
      <c r="CM265" s="199">
        <f t="shared" si="377"/>
        <v>25</v>
      </c>
      <c r="CN265" s="58">
        <f t="shared" si="341"/>
        <v>0.375</v>
      </c>
      <c r="CO265" s="54">
        <v>13387319</v>
      </c>
      <c r="CP265" s="186">
        <f t="shared" si="355"/>
        <v>4.0464904834188928</v>
      </c>
      <c r="CQ265" s="179">
        <f t="shared" si="378"/>
        <v>80</v>
      </c>
      <c r="CR265" s="30">
        <f t="shared" si="342"/>
        <v>2.4</v>
      </c>
      <c r="CS265" s="200">
        <f>_xlfn.XLOOKUP(C265, '1-1. 관계사체무보증금액 (환율 등)'!$3:$3, '1-1. 관계사체무보증금액 (환율 등)'!$33:$33)</f>
        <v>0</v>
      </c>
      <c r="CT265" s="178">
        <f t="shared" si="356"/>
        <v>0</v>
      </c>
      <c r="CU265" s="179">
        <f t="shared" si="379"/>
        <v>100</v>
      </c>
      <c r="CV265" s="30">
        <f t="shared" si="343"/>
        <v>2</v>
      </c>
      <c r="CW265" s="72">
        <f t="shared" si="384"/>
        <v>18.75505174430932</v>
      </c>
    </row>
    <row r="266" spans="1:101" x14ac:dyDescent="0.6">
      <c r="A266" s="214" t="s">
        <v>1894</v>
      </c>
      <c r="B266" s="13" t="s">
        <v>2246</v>
      </c>
      <c r="C266" s="219" t="s">
        <v>63</v>
      </c>
      <c r="D266" s="216" t="s">
        <v>203</v>
      </c>
      <c r="E266" s="217" t="s">
        <v>617</v>
      </c>
      <c r="F266" s="217" t="s">
        <v>983</v>
      </c>
      <c r="G266" s="218">
        <v>43614</v>
      </c>
      <c r="H266" s="217" t="s">
        <v>830</v>
      </c>
      <c r="I266" s="217" t="s">
        <v>1895</v>
      </c>
      <c r="J266" s="217" t="s">
        <v>1896</v>
      </c>
      <c r="K266" s="217" t="s">
        <v>31</v>
      </c>
      <c r="L266" s="220">
        <v>4276625735</v>
      </c>
      <c r="M266" s="206">
        <v>1849501419</v>
      </c>
      <c r="N266" s="206">
        <v>2427124316</v>
      </c>
      <c r="O266" s="206">
        <v>3041287029</v>
      </c>
      <c r="P266" s="206">
        <v>153190221</v>
      </c>
      <c r="Q266" s="206">
        <v>125561645</v>
      </c>
      <c r="R266" s="206">
        <v>114853461</v>
      </c>
      <c r="S266" s="207">
        <v>77463220</v>
      </c>
      <c r="T266" s="207">
        <v>56035</v>
      </c>
      <c r="U266" s="207">
        <v>46261601</v>
      </c>
      <c r="V266" s="207">
        <v>0</v>
      </c>
      <c r="W266" s="207">
        <f>48452188-46261601-2174587+7615+1100+249+831+624+726+800+110+374+2491+3997+2498+150+500+3123+990+1100</f>
        <v>43278</v>
      </c>
      <c r="X266" s="207">
        <v>2174587</v>
      </c>
      <c r="Y266" s="208" t="s">
        <v>2460</v>
      </c>
      <c r="Z266" s="207">
        <v>0</v>
      </c>
      <c r="AA266" s="207">
        <v>0</v>
      </c>
      <c r="AB266" s="176">
        <f t="shared" si="380"/>
        <v>48479466</v>
      </c>
      <c r="AC266" s="177">
        <f t="shared" si="357"/>
        <v>62.58385076169052</v>
      </c>
      <c r="AD266" s="177">
        <f t="shared" si="381"/>
        <v>46.07262592489311</v>
      </c>
      <c r="AE266" s="26">
        <f t="shared" si="332"/>
        <v>1.3821787777467933</v>
      </c>
      <c r="AF266" s="178">
        <f t="shared" si="358"/>
        <v>59.763962479710372</v>
      </c>
      <c r="AG266" s="178">
        <f t="shared" si="359"/>
        <v>62.629155161759208</v>
      </c>
      <c r="AH266" s="178">
        <f t="shared" si="382"/>
        <v>2.8651926820488356</v>
      </c>
      <c r="AI266" s="179">
        <f t="shared" si="383"/>
        <v>100</v>
      </c>
      <c r="AJ266" s="30">
        <f t="shared" si="333"/>
        <v>4</v>
      </c>
      <c r="AK266" s="204">
        <v>9</v>
      </c>
      <c r="AL266" s="204">
        <v>19</v>
      </c>
      <c r="AM266" s="204">
        <v>0</v>
      </c>
      <c r="AN266" s="181">
        <f t="shared" si="344"/>
        <v>28</v>
      </c>
      <c r="AO266" s="182">
        <f t="shared" si="345"/>
        <v>0</v>
      </c>
      <c r="AP266" s="183">
        <f t="shared" si="360"/>
        <v>100</v>
      </c>
      <c r="AQ266" s="38">
        <f t="shared" si="334"/>
        <v>2</v>
      </c>
      <c r="AR266" s="212">
        <v>5</v>
      </c>
      <c r="AS266" s="292">
        <f t="shared" si="346"/>
        <v>0.5</v>
      </c>
      <c r="AT266" s="185">
        <f t="shared" si="347"/>
        <v>4.5</v>
      </c>
      <c r="AU266" s="185">
        <f t="shared" si="361"/>
        <v>4</v>
      </c>
      <c r="AV266" s="186">
        <f t="shared" si="348"/>
        <v>11.111111111111111</v>
      </c>
      <c r="AW266" s="179">
        <f t="shared" si="362"/>
        <v>60</v>
      </c>
      <c r="AX266" s="239">
        <f t="shared" si="335"/>
        <v>0.6</v>
      </c>
      <c r="AY266" s="54">
        <v>11</v>
      </c>
      <c r="AZ266" s="54">
        <f>55-4</f>
        <v>51</v>
      </c>
      <c r="BA266" s="189">
        <f t="shared" si="349"/>
        <v>55</v>
      </c>
      <c r="BB266" s="178">
        <f t="shared" si="363"/>
        <v>92.72727272727272</v>
      </c>
      <c r="BC266" s="179">
        <f t="shared" si="364"/>
        <v>100</v>
      </c>
      <c r="BD266" s="30">
        <f t="shared" si="336"/>
        <v>1</v>
      </c>
      <c r="BE266" s="190">
        <v>41939722</v>
      </c>
      <c r="BF266" s="190">
        <v>2865170</v>
      </c>
      <c r="BG266" s="301">
        <v>0</v>
      </c>
      <c r="BH266" s="191">
        <f t="shared" si="350"/>
        <v>44804892</v>
      </c>
      <c r="BI266" s="178">
        <f t="shared" si="351"/>
        <v>0</v>
      </c>
      <c r="BJ266" s="294" t="str">
        <f t="shared" si="365"/>
        <v>금속/비금속/화학업</v>
      </c>
      <c r="BK266" s="192">
        <f t="shared" si="366"/>
        <v>3.9534118626990464</v>
      </c>
      <c r="BL266" s="193">
        <f t="shared" si="367"/>
        <v>-3.9534118626990464</v>
      </c>
      <c r="BM266" s="241">
        <f t="shared" si="368"/>
        <v>100</v>
      </c>
      <c r="BN266" s="47">
        <f t="shared" si="369"/>
        <v>2</v>
      </c>
      <c r="BO266" s="54">
        <f>(40440-556)*1000</f>
        <v>39884000</v>
      </c>
      <c r="BP266" s="194">
        <f t="shared" si="352"/>
        <v>1.3114184757863576</v>
      </c>
      <c r="BQ266" s="179">
        <f t="shared" si="370"/>
        <v>70</v>
      </c>
      <c r="BR266" s="30">
        <f t="shared" si="337"/>
        <v>1.4000000000000001</v>
      </c>
      <c r="BS266" s="195">
        <v>493735439.37</v>
      </c>
      <c r="BT266" s="195">
        <v>78426</v>
      </c>
      <c r="BU266" s="196">
        <f t="shared" si="371"/>
        <v>493657013.37</v>
      </c>
      <c r="BV266" s="178">
        <f t="shared" si="353"/>
        <v>16.231845552976907</v>
      </c>
      <c r="BW266" s="192">
        <f t="shared" si="372"/>
        <v>5.1474158565187729</v>
      </c>
      <c r="BX266" s="192">
        <f t="shared" si="373"/>
        <v>122.86458169572296</v>
      </c>
      <c r="BY266" s="192">
        <f t="shared" si="374"/>
        <v>6.6930498535228526</v>
      </c>
      <c r="BZ266" s="192">
        <f t="shared" si="375"/>
        <v>4.8849728382709623</v>
      </c>
      <c r="CA266" s="192">
        <f t="shared" si="354"/>
        <v>100</v>
      </c>
      <c r="CB266" s="55">
        <f t="shared" si="376"/>
        <v>2</v>
      </c>
      <c r="CC266" s="197">
        <f t="shared" si="338"/>
        <v>76.201346869947471</v>
      </c>
      <c r="CD266" s="198">
        <f t="shared" si="339"/>
        <v>71.657783842984628</v>
      </c>
      <c r="CE266" s="58">
        <f t="shared" si="340"/>
        <v>1.0748667576447695</v>
      </c>
      <c r="CF266" s="245" t="s">
        <v>2326</v>
      </c>
      <c r="CG266" s="245" t="s">
        <v>2326</v>
      </c>
      <c r="CH266" s="245" t="s">
        <v>2326</v>
      </c>
      <c r="CI266" s="245" t="s">
        <v>2326</v>
      </c>
      <c r="CJ266" s="235"/>
      <c r="CK266" s="173" t="s">
        <v>2486</v>
      </c>
      <c r="CL266" s="173" t="s">
        <v>2487</v>
      </c>
      <c r="CM266" s="199">
        <f t="shared" si="377"/>
        <v>70</v>
      </c>
      <c r="CN266" s="58">
        <f t="shared" si="341"/>
        <v>1.05</v>
      </c>
      <c r="CO266" s="54">
        <v>275268255</v>
      </c>
      <c r="CP266" s="186">
        <f t="shared" si="355"/>
        <v>11.341333164740952</v>
      </c>
      <c r="CQ266" s="179">
        <f t="shared" si="378"/>
        <v>60</v>
      </c>
      <c r="CR266" s="30">
        <f t="shared" si="342"/>
        <v>1.7999999999999998</v>
      </c>
      <c r="CS266" s="200">
        <f>_xlfn.XLOOKUP(C266, '1-1. 관계사체무보증금액 (환율 등)'!$3:$3, '1-1. 관계사체무보증금액 (환율 등)'!$33:$33)</f>
        <v>0</v>
      </c>
      <c r="CT266" s="178">
        <f t="shared" si="356"/>
        <v>0</v>
      </c>
      <c r="CU266" s="179">
        <f t="shared" si="379"/>
        <v>100</v>
      </c>
      <c r="CV266" s="30">
        <f t="shared" si="343"/>
        <v>2</v>
      </c>
      <c r="CW266" s="72">
        <f t="shared" si="384"/>
        <v>20.307045535391563</v>
      </c>
    </row>
    <row r="267" spans="1:101" x14ac:dyDescent="0.6">
      <c r="A267" s="214" t="s">
        <v>770</v>
      </c>
      <c r="B267" s="1" t="s">
        <v>2247</v>
      </c>
      <c r="C267" s="219" t="s">
        <v>54</v>
      </c>
      <c r="D267" s="216" t="s">
        <v>191</v>
      </c>
      <c r="E267" s="217" t="s">
        <v>178</v>
      </c>
      <c r="F267" s="217" t="s">
        <v>138</v>
      </c>
      <c r="G267" s="218">
        <v>34977</v>
      </c>
      <c r="H267" s="217" t="s">
        <v>830</v>
      </c>
      <c r="I267" s="217" t="s">
        <v>823</v>
      </c>
      <c r="J267" s="217" t="s">
        <v>1204</v>
      </c>
      <c r="K267" s="217" t="s">
        <v>317</v>
      </c>
      <c r="L267" s="220">
        <v>661278860</v>
      </c>
      <c r="M267" s="206">
        <v>160390048</v>
      </c>
      <c r="N267" s="206">
        <v>500888812</v>
      </c>
      <c r="O267" s="206">
        <v>123375352</v>
      </c>
      <c r="P267" s="206">
        <v>27450398</v>
      </c>
      <c r="Q267" s="206">
        <v>12038623</v>
      </c>
      <c r="R267" s="206">
        <v>8192124</v>
      </c>
      <c r="S267" s="207">
        <v>38120542</v>
      </c>
      <c r="T267" s="207">
        <v>1349700</v>
      </c>
      <c r="U267" s="207">
        <v>21735780</v>
      </c>
      <c r="V267" s="207">
        <f>236040+82990</f>
        <v>319030</v>
      </c>
      <c r="W267" s="207">
        <f>85750+2000+100+300+2000</f>
        <v>90150</v>
      </c>
      <c r="X267" s="207">
        <v>0</v>
      </c>
      <c r="Z267" s="207">
        <v>747000</v>
      </c>
      <c r="AA267" s="207">
        <v>0</v>
      </c>
      <c r="AB267" s="176">
        <f t="shared" si="380"/>
        <v>22891960</v>
      </c>
      <c r="AC267" s="177">
        <f t="shared" si="357"/>
        <v>60.051507137542806</v>
      </c>
      <c r="AD267" s="177">
        <f t="shared" si="381"/>
        <v>48.258192919266854</v>
      </c>
      <c r="AE267" s="26">
        <f t="shared" si="332"/>
        <v>1.4477457875780055</v>
      </c>
      <c r="AF267" s="178">
        <f t="shared" si="358"/>
        <v>59.979072548841827</v>
      </c>
      <c r="AG267" s="178">
        <f t="shared" si="359"/>
        <v>62.255740567485503</v>
      </c>
      <c r="AH267" s="178">
        <f t="shared" si="382"/>
        <v>2.2766680186436759</v>
      </c>
      <c r="AI267" s="179">
        <f t="shared" si="383"/>
        <v>100</v>
      </c>
      <c r="AJ267" s="30">
        <f t="shared" si="333"/>
        <v>4</v>
      </c>
      <c r="AK267" s="204">
        <v>11</v>
      </c>
      <c r="AL267" s="204">
        <v>16</v>
      </c>
      <c r="AM267" s="204">
        <v>1</v>
      </c>
      <c r="AN267" s="181">
        <f t="shared" si="344"/>
        <v>27</v>
      </c>
      <c r="AO267" s="182">
        <f t="shared" si="345"/>
        <v>3.7037037037037033</v>
      </c>
      <c r="AP267" s="183">
        <f t="shared" si="360"/>
        <v>100</v>
      </c>
      <c r="AQ267" s="38">
        <f t="shared" si="334"/>
        <v>2</v>
      </c>
      <c r="AR267" s="212">
        <v>8</v>
      </c>
      <c r="AS267" s="292">
        <f t="shared" si="346"/>
        <v>0.25</v>
      </c>
      <c r="AT267" s="185">
        <f t="shared" si="347"/>
        <v>2.75</v>
      </c>
      <c r="AU267" s="185">
        <f t="shared" si="361"/>
        <v>2</v>
      </c>
      <c r="AV267" s="186">
        <f t="shared" si="348"/>
        <v>54.54545454545454</v>
      </c>
      <c r="AW267" s="179">
        <f t="shared" si="362"/>
        <v>100</v>
      </c>
      <c r="AX267" s="239">
        <f t="shared" si="335"/>
        <v>1</v>
      </c>
      <c r="AY267" s="54">
        <v>7</v>
      </c>
      <c r="AZ267" s="54">
        <f>56-7</f>
        <v>49</v>
      </c>
      <c r="BA267" s="189">
        <f t="shared" si="349"/>
        <v>56</v>
      </c>
      <c r="BB267" s="178">
        <f t="shared" si="363"/>
        <v>87.5</v>
      </c>
      <c r="BC267" s="179">
        <f t="shared" si="364"/>
        <v>75</v>
      </c>
      <c r="BD267" s="30">
        <f t="shared" si="336"/>
        <v>0.75</v>
      </c>
      <c r="BE267" s="190">
        <v>22468662</v>
      </c>
      <c r="BF267" s="190">
        <v>2687960</v>
      </c>
      <c r="BG267" s="301">
        <v>0</v>
      </c>
      <c r="BH267" s="191">
        <f t="shared" si="350"/>
        <v>25156622</v>
      </c>
      <c r="BI267" s="178">
        <f t="shared" si="351"/>
        <v>0</v>
      </c>
      <c r="BJ267" s="294" t="str">
        <f t="shared" si="365"/>
        <v>식약/섬유/종이업</v>
      </c>
      <c r="BK267" s="192">
        <f t="shared" si="366"/>
        <v>2.1999360555264444</v>
      </c>
      <c r="BL267" s="193">
        <f t="shared" si="367"/>
        <v>-2.1999360555264444</v>
      </c>
      <c r="BM267" s="241">
        <f t="shared" si="368"/>
        <v>100</v>
      </c>
      <c r="BN267" s="47">
        <f t="shared" si="369"/>
        <v>2</v>
      </c>
      <c r="BO267" s="54">
        <f>27654852-25068000</f>
        <v>2586852</v>
      </c>
      <c r="BP267" s="194">
        <f t="shared" si="352"/>
        <v>2.0967332275574782</v>
      </c>
      <c r="BQ267" s="179">
        <f t="shared" si="370"/>
        <v>85</v>
      </c>
      <c r="BR267" s="30">
        <f t="shared" si="337"/>
        <v>1.7</v>
      </c>
      <c r="BS267" s="195">
        <v>3355507.5180000002</v>
      </c>
      <c r="BT267" s="195">
        <v>17153.32</v>
      </c>
      <c r="BU267" s="196">
        <f t="shared" si="371"/>
        <v>3338354.1980000003</v>
      </c>
      <c r="BV267" s="178">
        <f t="shared" si="353"/>
        <v>2.7058518122809492</v>
      </c>
      <c r="BW267" s="192">
        <f t="shared" si="372"/>
        <v>5.0508176117342281</v>
      </c>
      <c r="BX267" s="192">
        <f t="shared" si="373"/>
        <v>5.4988646006055557</v>
      </c>
      <c r="BY267" s="192">
        <f t="shared" si="374"/>
        <v>6.9871618081220941</v>
      </c>
      <c r="BZ267" s="192">
        <f t="shared" si="375"/>
        <v>63.141774778253556</v>
      </c>
      <c r="CA267" s="192">
        <f t="shared" si="354"/>
        <v>40</v>
      </c>
      <c r="CB267" s="55">
        <f t="shared" si="376"/>
        <v>0.8</v>
      </c>
      <c r="CC267" s="197">
        <f t="shared" si="338"/>
        <v>32.021088145206967</v>
      </c>
      <c r="CD267" s="198">
        <f t="shared" si="339"/>
        <v>88.308635121153159</v>
      </c>
      <c r="CE267" s="58">
        <f t="shared" si="340"/>
        <v>1.3246295268172974</v>
      </c>
      <c r="CF267" s="245" t="s">
        <v>2326</v>
      </c>
      <c r="CG267" s="245" t="s">
        <v>2326</v>
      </c>
      <c r="CH267" s="245" t="s">
        <v>2326</v>
      </c>
      <c r="CI267" s="245" t="s">
        <v>2326</v>
      </c>
      <c r="CJ267" s="235"/>
      <c r="CK267" s="173" t="s">
        <v>2492</v>
      </c>
      <c r="CL267" s="173" t="s">
        <v>2493</v>
      </c>
      <c r="CM267" s="199">
        <f t="shared" si="377"/>
        <v>40</v>
      </c>
      <c r="CN267" s="58">
        <f t="shared" si="341"/>
        <v>0.6</v>
      </c>
      <c r="CO267" s="54">
        <f>480133019-2192703</f>
        <v>477940316</v>
      </c>
      <c r="CP267" s="186">
        <f t="shared" si="355"/>
        <v>95.418445081979584</v>
      </c>
      <c r="CQ267" s="179">
        <f t="shared" si="378"/>
        <v>40</v>
      </c>
      <c r="CR267" s="30">
        <f t="shared" si="342"/>
        <v>1.2</v>
      </c>
      <c r="CS267" s="200">
        <f>_xlfn.XLOOKUP(C267, '1-1. 관계사체무보증금액 (환율 등)'!$3:$3, '1-1. 관계사체무보증금액 (환율 등)'!$33:$33)</f>
        <v>61364316.521480076</v>
      </c>
      <c r="CT267" s="178">
        <f t="shared" si="356"/>
        <v>12.251085480719437</v>
      </c>
      <c r="CU267" s="179">
        <f t="shared" si="379"/>
        <v>60</v>
      </c>
      <c r="CV267" s="30">
        <f t="shared" si="343"/>
        <v>1.2</v>
      </c>
      <c r="CW267" s="72">
        <f t="shared" si="384"/>
        <v>18.022375314395301</v>
      </c>
    </row>
    <row r="268" spans="1:101" x14ac:dyDescent="0.6">
      <c r="A268" s="214" t="s">
        <v>805</v>
      </c>
      <c r="B268" s="13" t="s">
        <v>2248</v>
      </c>
      <c r="C268" s="219" t="s">
        <v>315</v>
      </c>
      <c r="D268" s="216" t="s">
        <v>203</v>
      </c>
      <c r="E268" s="217" t="s">
        <v>200</v>
      </c>
      <c r="F268" s="217">
        <v>0</v>
      </c>
      <c r="G268" s="218">
        <v>39659</v>
      </c>
      <c r="H268" s="217" t="s">
        <v>830</v>
      </c>
      <c r="I268" s="217" t="s">
        <v>337</v>
      </c>
      <c r="J268" s="217" t="s">
        <v>1217</v>
      </c>
      <c r="K268" s="217" t="s">
        <v>690</v>
      </c>
      <c r="L268" s="220">
        <v>3060678472</v>
      </c>
      <c r="M268" s="206">
        <v>1220679297</v>
      </c>
      <c r="N268" s="206">
        <v>1839999175</v>
      </c>
      <c r="O268" s="206">
        <v>3257164379</v>
      </c>
      <c r="P268" s="206">
        <v>203168169</v>
      </c>
      <c r="Q268" s="206">
        <v>220419231</v>
      </c>
      <c r="R268" s="206">
        <v>175385732</v>
      </c>
      <c r="S268" s="207">
        <v>28024278</v>
      </c>
      <c r="T268" s="207">
        <v>710000</v>
      </c>
      <c r="U268" s="207">
        <f>10650000</f>
        <v>10650000</v>
      </c>
      <c r="V268" s="207">
        <v>0</v>
      </c>
      <c r="W268" s="207">
        <f>388+910+1338+495+307+60+500+57+11*2+3</f>
        <v>4080</v>
      </c>
      <c r="X268" s="207">
        <v>0</v>
      </c>
      <c r="Z268" s="207">
        <v>0</v>
      </c>
      <c r="AA268" s="207">
        <v>0</v>
      </c>
      <c r="AB268" s="176">
        <f t="shared" si="380"/>
        <v>10654080</v>
      </c>
      <c r="AC268" s="177">
        <f t="shared" si="357"/>
        <v>38.01732198060553</v>
      </c>
      <c r="AD268" s="177">
        <f t="shared" si="381"/>
        <v>67.275038566796155</v>
      </c>
      <c r="AE268" s="26">
        <f t="shared" si="332"/>
        <v>2.0182511570038848</v>
      </c>
      <c r="AF268" s="178">
        <f t="shared" si="358"/>
        <v>38.990596786047213</v>
      </c>
      <c r="AG268" s="178">
        <f t="shared" si="359"/>
        <v>39.005534028759605</v>
      </c>
      <c r="AH268" s="178">
        <f t="shared" si="382"/>
        <v>1.4937242712392163E-2</v>
      </c>
      <c r="AI268" s="179">
        <f t="shared" si="383"/>
        <v>100</v>
      </c>
      <c r="AJ268" s="30">
        <f t="shared" si="333"/>
        <v>4</v>
      </c>
      <c r="AK268" s="204">
        <v>7</v>
      </c>
      <c r="AL268" s="204">
        <v>27</v>
      </c>
      <c r="AM268" s="204">
        <v>1</v>
      </c>
      <c r="AN268" s="181">
        <f t="shared" si="344"/>
        <v>34</v>
      </c>
      <c r="AO268" s="182">
        <f t="shared" si="345"/>
        <v>2.9411764705882351</v>
      </c>
      <c r="AP268" s="183">
        <f t="shared" si="360"/>
        <v>100</v>
      </c>
      <c r="AQ268" s="38">
        <f t="shared" si="334"/>
        <v>2</v>
      </c>
      <c r="AR268" s="212">
        <v>4</v>
      </c>
      <c r="AS268" s="292">
        <f t="shared" si="346"/>
        <v>0.5</v>
      </c>
      <c r="AT268" s="185">
        <f t="shared" si="347"/>
        <v>3.5</v>
      </c>
      <c r="AU268" s="185">
        <f t="shared" si="361"/>
        <v>3</v>
      </c>
      <c r="AV268" s="186">
        <f t="shared" si="348"/>
        <v>14.285714285714285</v>
      </c>
      <c r="AW268" s="179">
        <f t="shared" si="362"/>
        <v>60</v>
      </c>
      <c r="AX268" s="239">
        <f t="shared" si="335"/>
        <v>0.6</v>
      </c>
      <c r="AY268" s="54">
        <v>8</v>
      </c>
      <c r="AZ268" s="54">
        <f>32-1</f>
        <v>31</v>
      </c>
      <c r="BA268" s="189">
        <f t="shared" si="349"/>
        <v>32</v>
      </c>
      <c r="BB268" s="178">
        <f t="shared" si="363"/>
        <v>96.875</v>
      </c>
      <c r="BC268" s="179">
        <f t="shared" si="364"/>
        <v>100</v>
      </c>
      <c r="BD268" s="30">
        <f t="shared" si="336"/>
        <v>1</v>
      </c>
      <c r="BE268" s="190">
        <v>27571000</v>
      </c>
      <c r="BF268" s="190">
        <v>3098000</v>
      </c>
      <c r="BG268" s="54">
        <v>1651000</v>
      </c>
      <c r="BH268" s="191">
        <f t="shared" si="350"/>
        <v>30669000</v>
      </c>
      <c r="BI268" s="178">
        <f t="shared" si="351"/>
        <v>5.3832860543219532</v>
      </c>
      <c r="BJ268" s="294" t="str">
        <f t="shared" si="365"/>
        <v>금속/비금속/화학업</v>
      </c>
      <c r="BK268" s="192">
        <f t="shared" si="366"/>
        <v>3.9534118626990464</v>
      </c>
      <c r="BL268" s="193">
        <f t="shared" si="367"/>
        <v>1.4298741916229067</v>
      </c>
      <c r="BM268" s="241">
        <f t="shared" si="368"/>
        <v>60</v>
      </c>
      <c r="BN268" s="47">
        <f t="shared" si="369"/>
        <v>1.2</v>
      </c>
      <c r="BO268" s="54">
        <f>27037000-79000</f>
        <v>26958000</v>
      </c>
      <c r="BP268" s="194">
        <f t="shared" si="352"/>
        <v>0.82765242595083643</v>
      </c>
      <c r="BQ268" s="179">
        <f t="shared" si="370"/>
        <v>70</v>
      </c>
      <c r="BR268" s="30">
        <f t="shared" si="337"/>
        <v>1.4000000000000001</v>
      </c>
      <c r="BS268" s="195">
        <v>99019044.662</v>
      </c>
      <c r="BT268" s="195">
        <v>249498.52</v>
      </c>
      <c r="BU268" s="196">
        <f t="shared" si="371"/>
        <v>98769546.142000005</v>
      </c>
      <c r="BV268" s="178">
        <f t="shared" si="353"/>
        <v>3.0323783097592325</v>
      </c>
      <c r="BW268" s="192">
        <f t="shared" si="372"/>
        <v>5.1474158565187729</v>
      </c>
      <c r="BX268" s="192">
        <f t="shared" si="373"/>
        <v>4.4733838242026147</v>
      </c>
      <c r="BY268" s="192">
        <f t="shared" si="374"/>
        <v>6.6930498535228526</v>
      </c>
      <c r="BZ268" s="192">
        <f t="shared" si="375"/>
        <v>62.400066208349038</v>
      </c>
      <c r="CA268" s="192">
        <f t="shared" si="354"/>
        <v>40</v>
      </c>
      <c r="CB268" s="55">
        <f t="shared" si="376"/>
        <v>0.8</v>
      </c>
      <c r="CC268" s="197">
        <f t="shared" si="338"/>
        <v>66.341295886722335</v>
      </c>
      <c r="CD268" s="198">
        <f t="shared" si="339"/>
        <v>75.373883459778014</v>
      </c>
      <c r="CE268" s="58">
        <f t="shared" si="340"/>
        <v>1.1306082518966702</v>
      </c>
      <c r="CF268" s="245" t="s">
        <v>2326</v>
      </c>
      <c r="CG268" s="245" t="s">
        <v>2326</v>
      </c>
      <c r="CH268" s="245" t="s">
        <v>2326</v>
      </c>
      <c r="CI268" s="245" t="s">
        <v>2326</v>
      </c>
      <c r="CJ268" s="235"/>
      <c r="CK268" s="173" t="s">
        <v>2505</v>
      </c>
      <c r="CL268" s="173" t="s">
        <v>2477</v>
      </c>
      <c r="CM268" s="199">
        <f t="shared" si="377"/>
        <v>85</v>
      </c>
      <c r="CN268" s="58">
        <f t="shared" si="341"/>
        <v>1.2749999999999999</v>
      </c>
      <c r="CO268" s="54">
        <v>409739000</v>
      </c>
      <c r="CP268" s="186">
        <f t="shared" si="355"/>
        <v>22.268433897531501</v>
      </c>
      <c r="CQ268" s="179">
        <f t="shared" si="378"/>
        <v>60</v>
      </c>
      <c r="CR268" s="30">
        <f t="shared" si="342"/>
        <v>1.7999999999999998</v>
      </c>
      <c r="CS268" s="200">
        <f>_xlfn.XLOOKUP(C268, '1-1. 관계사체무보증금액 (환율 등)'!$3:$3, '1-1. 관계사체무보증금액 (환율 등)'!$33:$33)</f>
        <v>199638947.67910379</v>
      </c>
      <c r="CT268" s="178">
        <f t="shared" si="356"/>
        <v>10.849947673433267</v>
      </c>
      <c r="CU268" s="179">
        <f t="shared" si="379"/>
        <v>60</v>
      </c>
      <c r="CV268" s="30">
        <f t="shared" si="343"/>
        <v>1.2</v>
      </c>
      <c r="CW268" s="72">
        <f t="shared" si="384"/>
        <v>18.423859408900555</v>
      </c>
    </row>
    <row r="269" spans="1:101" x14ac:dyDescent="0.6">
      <c r="A269" s="214" t="s">
        <v>30</v>
      </c>
      <c r="B269" s="13" t="s">
        <v>2249</v>
      </c>
      <c r="C269" s="219" t="s">
        <v>861</v>
      </c>
      <c r="D269" s="216" t="s">
        <v>191</v>
      </c>
      <c r="E269" s="217" t="s">
        <v>34</v>
      </c>
      <c r="F269" s="217" t="s">
        <v>433</v>
      </c>
      <c r="G269" s="218">
        <v>43375</v>
      </c>
      <c r="H269" s="217" t="s">
        <v>830</v>
      </c>
      <c r="I269" s="217" t="s">
        <v>1897</v>
      </c>
      <c r="J269" s="217" t="s">
        <v>1142</v>
      </c>
      <c r="K269" s="217" t="s">
        <v>690</v>
      </c>
      <c r="L269" s="220">
        <v>345964556</v>
      </c>
      <c r="M269" s="206">
        <v>77567636</v>
      </c>
      <c r="N269" s="206">
        <v>268396921</v>
      </c>
      <c r="O269" s="206">
        <v>210844992</v>
      </c>
      <c r="P269" s="206">
        <v>31170755</v>
      </c>
      <c r="Q269" s="206">
        <v>30718351</v>
      </c>
      <c r="R269" s="206">
        <v>24307179</v>
      </c>
      <c r="S269" s="207">
        <v>17772946</v>
      </c>
      <c r="T269" s="207">
        <v>473460</v>
      </c>
      <c r="U269" s="207">
        <v>4495508</v>
      </c>
      <c r="V269" s="207">
        <f>10258553-4495508-11033</f>
        <v>5752012</v>
      </c>
      <c r="W269" s="207">
        <f>11033+7936+1155+6395</f>
        <v>26519</v>
      </c>
      <c r="X269" s="207">
        <v>0</v>
      </c>
      <c r="Z269" s="207">
        <v>0</v>
      </c>
      <c r="AA269" s="207">
        <v>0</v>
      </c>
      <c r="AB269" s="176">
        <f t="shared" si="380"/>
        <v>10274039</v>
      </c>
      <c r="AC269" s="177">
        <f t="shared" si="357"/>
        <v>57.807180644109316</v>
      </c>
      <c r="AD269" s="177">
        <f t="shared" si="381"/>
        <v>50.195183563772176</v>
      </c>
      <c r="AE269" s="26">
        <f t="shared" si="332"/>
        <v>1.5058555069131652</v>
      </c>
      <c r="AF269" s="178">
        <f t="shared" si="358"/>
        <v>59.235979612342234</v>
      </c>
      <c r="AG269" s="178">
        <f t="shared" si="359"/>
        <v>59.389273184185932</v>
      </c>
      <c r="AH269" s="178">
        <f t="shared" si="382"/>
        <v>0.15329357184369741</v>
      </c>
      <c r="AI269" s="179">
        <f t="shared" si="383"/>
        <v>100</v>
      </c>
      <c r="AJ269" s="30">
        <f t="shared" si="333"/>
        <v>4</v>
      </c>
      <c r="AK269" s="204">
        <v>7</v>
      </c>
      <c r="AL269" s="204">
        <v>20</v>
      </c>
      <c r="AM269" s="204">
        <v>3</v>
      </c>
      <c r="AN269" s="181">
        <f t="shared" si="344"/>
        <v>27</v>
      </c>
      <c r="AO269" s="182">
        <f t="shared" si="345"/>
        <v>11.111111111111111</v>
      </c>
      <c r="AP269" s="183">
        <f t="shared" si="360"/>
        <v>80</v>
      </c>
      <c r="AQ269" s="38">
        <f t="shared" si="334"/>
        <v>1.6</v>
      </c>
      <c r="AR269" s="212">
        <v>2</v>
      </c>
      <c r="AS269" s="292">
        <f t="shared" si="346"/>
        <v>0.25</v>
      </c>
      <c r="AT269" s="185">
        <f t="shared" si="347"/>
        <v>1.75</v>
      </c>
      <c r="AU269" s="185">
        <f t="shared" si="361"/>
        <v>1</v>
      </c>
      <c r="AV269" s="186">
        <f t="shared" si="348"/>
        <v>14.285714285714285</v>
      </c>
      <c r="AW269" s="179">
        <f t="shared" si="362"/>
        <v>60</v>
      </c>
      <c r="AX269" s="239">
        <f t="shared" si="335"/>
        <v>0.6</v>
      </c>
      <c r="AY269" s="54">
        <v>11</v>
      </c>
      <c r="AZ269" s="54">
        <v>22</v>
      </c>
      <c r="BA269" s="189">
        <f t="shared" si="349"/>
        <v>22</v>
      </c>
      <c r="BB269" s="178">
        <f t="shared" si="363"/>
        <v>100</v>
      </c>
      <c r="BC269" s="179">
        <f t="shared" si="364"/>
        <v>100</v>
      </c>
      <c r="BD269" s="30">
        <f t="shared" si="336"/>
        <v>1</v>
      </c>
      <c r="BE269" s="190">
        <v>33156681</v>
      </c>
      <c r="BF269" s="190">
        <v>714257</v>
      </c>
      <c r="BG269" s="54">
        <v>2334089</v>
      </c>
      <c r="BH269" s="191">
        <f t="shared" si="350"/>
        <v>33870938</v>
      </c>
      <c r="BI269" s="178">
        <f t="shared" si="351"/>
        <v>6.8911259558267917</v>
      </c>
      <c r="BJ269" s="294" t="str">
        <f t="shared" si="365"/>
        <v>식약/섬유/종이업</v>
      </c>
      <c r="BK269" s="192">
        <f t="shared" si="366"/>
        <v>2.1999360555264444</v>
      </c>
      <c r="BL269" s="193">
        <f t="shared" si="367"/>
        <v>4.6911899003003477</v>
      </c>
      <c r="BM269" s="241">
        <f t="shared" si="368"/>
        <v>40</v>
      </c>
      <c r="BN269" s="47">
        <f t="shared" si="369"/>
        <v>0.8</v>
      </c>
      <c r="BO269" s="54">
        <v>10438581</v>
      </c>
      <c r="BP269" s="194">
        <f t="shared" si="352"/>
        <v>4.9508318414316435</v>
      </c>
      <c r="BQ269" s="179">
        <f t="shared" si="370"/>
        <v>100</v>
      </c>
      <c r="BR269" s="30">
        <f t="shared" si="337"/>
        <v>2</v>
      </c>
      <c r="BS269" s="195">
        <v>35649577</v>
      </c>
      <c r="BT269" s="195">
        <v>3271587</v>
      </c>
      <c r="BU269" s="196">
        <f t="shared" si="371"/>
        <v>32377990</v>
      </c>
      <c r="BV269" s="178">
        <f t="shared" si="353"/>
        <v>15.3563002340601</v>
      </c>
      <c r="BW269" s="192">
        <f t="shared" si="372"/>
        <v>5.0508176117342281</v>
      </c>
      <c r="BX269" s="192">
        <f t="shared" si="373"/>
        <v>106.20297207906053</v>
      </c>
      <c r="BY269" s="192">
        <f t="shared" si="374"/>
        <v>6.9871618081220941</v>
      </c>
      <c r="BZ269" s="192">
        <f t="shared" si="375"/>
        <v>7.0117451006926457</v>
      </c>
      <c r="CA269" s="192">
        <f t="shared" si="354"/>
        <v>85</v>
      </c>
      <c r="CB269" s="55">
        <f t="shared" si="376"/>
        <v>1.7</v>
      </c>
      <c r="CC269" s="197">
        <f t="shared" si="338"/>
        <v>28.900344948442978</v>
      </c>
      <c r="CD269" s="198">
        <f t="shared" si="339"/>
        <v>89.484794617420988</v>
      </c>
      <c r="CE269" s="58">
        <f t="shared" si="340"/>
        <v>1.3422719192613148</v>
      </c>
      <c r="CF269" s="245" t="s">
        <v>2326</v>
      </c>
      <c r="CG269" s="245" t="s">
        <v>2326</v>
      </c>
      <c r="CH269" s="245" t="s">
        <v>2326</v>
      </c>
      <c r="CI269" s="245" t="s">
        <v>2326</v>
      </c>
      <c r="CJ269" s="235"/>
      <c r="CK269" s="173" t="s">
        <v>2491</v>
      </c>
      <c r="CL269" s="173" t="s">
        <v>2478</v>
      </c>
      <c r="CM269" s="199">
        <f t="shared" si="377"/>
        <v>25</v>
      </c>
      <c r="CN269" s="58">
        <f t="shared" si="341"/>
        <v>0.375</v>
      </c>
      <c r="CO269" s="54">
        <v>0</v>
      </c>
      <c r="CP269" s="186">
        <f t="shared" si="355"/>
        <v>0</v>
      </c>
      <c r="CQ269" s="179">
        <f t="shared" si="378"/>
        <v>100</v>
      </c>
      <c r="CR269" s="30">
        <f t="shared" si="342"/>
        <v>3</v>
      </c>
      <c r="CS269" s="200">
        <f>_xlfn.XLOOKUP(C269, '1-1. 관계사체무보증금액 (환율 등)'!$3:$3, '1-1. 관계사체무보증금액 (환율 등)'!$33:$33)</f>
        <v>0</v>
      </c>
      <c r="CT269" s="178">
        <f t="shared" si="356"/>
        <v>0</v>
      </c>
      <c r="CU269" s="179">
        <f t="shared" si="379"/>
        <v>100</v>
      </c>
      <c r="CV269" s="30">
        <f t="shared" si="343"/>
        <v>2</v>
      </c>
      <c r="CW269" s="72">
        <f t="shared" si="384"/>
        <v>19.923127426174482</v>
      </c>
    </row>
    <row r="270" spans="1:101" x14ac:dyDescent="0.6">
      <c r="A270" s="214" t="s">
        <v>1898</v>
      </c>
      <c r="B270" s="13" t="s">
        <v>2250</v>
      </c>
      <c r="C270" s="219" t="s">
        <v>1899</v>
      </c>
      <c r="D270" s="14" t="s">
        <v>191</v>
      </c>
      <c r="E270" s="217" t="s">
        <v>1900</v>
      </c>
      <c r="F270" s="217" t="s">
        <v>1901</v>
      </c>
      <c r="G270" s="218">
        <v>40105</v>
      </c>
      <c r="H270" s="217" t="s">
        <v>830</v>
      </c>
      <c r="I270" s="217" t="s">
        <v>1902</v>
      </c>
      <c r="J270" s="217" t="s">
        <v>1903</v>
      </c>
      <c r="K270" s="217" t="s">
        <v>91</v>
      </c>
      <c r="L270" s="220">
        <v>3107792300</v>
      </c>
      <c r="M270" s="206">
        <v>1945483554</v>
      </c>
      <c r="N270" s="206">
        <v>1162308746</v>
      </c>
      <c r="O270" s="206">
        <v>2222161984</v>
      </c>
      <c r="P270" s="206">
        <v>165474689</v>
      </c>
      <c r="Q270" s="206">
        <v>92802035</v>
      </c>
      <c r="R270" s="206">
        <v>66847561</v>
      </c>
      <c r="S270" s="207">
        <v>70133611</v>
      </c>
      <c r="T270" s="207">
        <v>1484184</v>
      </c>
      <c r="U270" s="207">
        <f>35672250+1814314</f>
        <v>37486564</v>
      </c>
      <c r="V270" s="207">
        <f>1814314+2392+2127+12+33</f>
        <v>1818878</v>
      </c>
      <c r="W270" s="207">
        <f>1001+351+50+151+200+7+250+264+1700+525+1850+150+453+500*2+10+1030+50+500+5633+65</f>
        <v>15240</v>
      </c>
      <c r="X270" s="207">
        <v>24106</v>
      </c>
      <c r="Y270" s="208" t="s">
        <v>2461</v>
      </c>
      <c r="Z270" s="207">
        <f>29345+248082</f>
        <v>277427</v>
      </c>
      <c r="AA270" s="207">
        <f>4000</f>
        <v>4000</v>
      </c>
      <c r="AB270" s="176">
        <f t="shared" si="380"/>
        <v>39622215</v>
      </c>
      <c r="AC270" s="177">
        <f t="shared" si="357"/>
        <v>56.495330035123956</v>
      </c>
      <c r="AD270" s="177">
        <f t="shared" si="381"/>
        <v>51.327390648627201</v>
      </c>
      <c r="AE270" s="26">
        <f t="shared" si="332"/>
        <v>1.539821719458816</v>
      </c>
      <c r="AF270" s="178">
        <f t="shared" si="358"/>
        <v>57.25864594010028</v>
      </c>
      <c r="AG270" s="178">
        <f t="shared" si="359"/>
        <v>57.714281535461929</v>
      </c>
      <c r="AH270" s="178">
        <f t="shared" si="382"/>
        <v>0.45563559536164888</v>
      </c>
      <c r="AI270" s="179">
        <f t="shared" si="383"/>
        <v>100</v>
      </c>
      <c r="AJ270" s="30">
        <f t="shared" si="333"/>
        <v>4</v>
      </c>
      <c r="AK270" s="204">
        <v>5</v>
      </c>
      <c r="AL270" s="204">
        <v>36</v>
      </c>
      <c r="AM270" s="204">
        <v>1</v>
      </c>
      <c r="AN270" s="181">
        <f t="shared" si="344"/>
        <v>41</v>
      </c>
      <c r="AO270" s="182">
        <f t="shared" si="345"/>
        <v>2.4390243902439024</v>
      </c>
      <c r="AP270" s="183">
        <f t="shared" si="360"/>
        <v>100</v>
      </c>
      <c r="AQ270" s="38">
        <f t="shared" si="334"/>
        <v>2</v>
      </c>
      <c r="AR270" s="212">
        <v>3</v>
      </c>
      <c r="AS270" s="292">
        <f t="shared" si="346"/>
        <v>0.5</v>
      </c>
      <c r="AT270" s="185">
        <f t="shared" si="347"/>
        <v>2.5</v>
      </c>
      <c r="AU270" s="185">
        <f t="shared" si="361"/>
        <v>2</v>
      </c>
      <c r="AV270" s="186">
        <f t="shared" si="348"/>
        <v>20</v>
      </c>
      <c r="AW270" s="179">
        <f t="shared" si="362"/>
        <v>80</v>
      </c>
      <c r="AX270" s="239">
        <f t="shared" si="335"/>
        <v>0.8</v>
      </c>
      <c r="AY270" s="54">
        <v>17</v>
      </c>
      <c r="AZ270" s="54">
        <f>17*3</f>
        <v>51</v>
      </c>
      <c r="BA270" s="189">
        <f t="shared" si="349"/>
        <v>51</v>
      </c>
      <c r="BB270" s="178">
        <f t="shared" si="363"/>
        <v>100</v>
      </c>
      <c r="BC270" s="179">
        <f t="shared" si="364"/>
        <v>100</v>
      </c>
      <c r="BD270" s="30">
        <f t="shared" si="336"/>
        <v>1</v>
      </c>
      <c r="BE270" s="190">
        <v>152104463.463</v>
      </c>
      <c r="BF270" s="190">
        <v>55640103.568000004</v>
      </c>
      <c r="BG270" s="301">
        <v>0</v>
      </c>
      <c r="BH270" s="191">
        <f t="shared" si="350"/>
        <v>207744567.03100002</v>
      </c>
      <c r="BI270" s="178">
        <f t="shared" si="351"/>
        <v>0</v>
      </c>
      <c r="BJ270" s="294" t="str">
        <f t="shared" si="365"/>
        <v>식약/섬유/종이업</v>
      </c>
      <c r="BK270" s="192">
        <f t="shared" si="366"/>
        <v>2.1999360555264444</v>
      </c>
      <c r="BL270" s="193">
        <f t="shared" si="367"/>
        <v>-2.1999360555264444</v>
      </c>
      <c r="BM270" s="241">
        <f t="shared" si="368"/>
        <v>100</v>
      </c>
      <c r="BN270" s="47">
        <f t="shared" si="369"/>
        <v>2</v>
      </c>
      <c r="BO270" s="54">
        <v>4589782</v>
      </c>
      <c r="BP270" s="194">
        <f t="shared" si="352"/>
        <v>0.20654578887800826</v>
      </c>
      <c r="BQ270" s="179">
        <f t="shared" si="370"/>
        <v>55</v>
      </c>
      <c r="BR270" s="30">
        <f t="shared" si="337"/>
        <v>1.1000000000000001</v>
      </c>
      <c r="BS270" s="195">
        <v>164008903.59</v>
      </c>
      <c r="BT270" s="195">
        <v>9548318.2970000003</v>
      </c>
      <c r="BU270" s="196">
        <f t="shared" si="371"/>
        <v>154460585.29300001</v>
      </c>
      <c r="BV270" s="178">
        <f t="shared" si="353"/>
        <v>6.9509147580215283</v>
      </c>
      <c r="BW270" s="192">
        <f t="shared" si="372"/>
        <v>5.0508176117342281</v>
      </c>
      <c r="BX270" s="192">
        <f t="shared" si="373"/>
        <v>3.6103691653291419</v>
      </c>
      <c r="BY270" s="192">
        <f t="shared" si="374"/>
        <v>6.9871618081220941</v>
      </c>
      <c r="BZ270" s="192">
        <f t="shared" si="375"/>
        <v>39.283361688491894</v>
      </c>
      <c r="CA270" s="192">
        <f t="shared" si="354"/>
        <v>55</v>
      </c>
      <c r="CB270" s="55">
        <f t="shared" si="376"/>
        <v>1.1000000000000001</v>
      </c>
      <c r="CC270" s="197">
        <f t="shared" si="338"/>
        <v>167.38096144378491</v>
      </c>
      <c r="CD270" s="198">
        <f t="shared" si="339"/>
        <v>37.293607496060964</v>
      </c>
      <c r="CE270" s="58">
        <f t="shared" si="340"/>
        <v>0.55940411244091448</v>
      </c>
      <c r="CF270" s="245" t="s">
        <v>2326</v>
      </c>
      <c r="CG270" s="245" t="s">
        <v>2326</v>
      </c>
      <c r="CH270" s="245" t="s">
        <v>2326</v>
      </c>
      <c r="CI270" s="245" t="s">
        <v>2326</v>
      </c>
      <c r="CJ270" s="235"/>
      <c r="CK270" s="173" t="s">
        <v>2505</v>
      </c>
      <c r="CL270" s="173" t="s">
        <v>2477</v>
      </c>
      <c r="CM270" s="199">
        <f t="shared" si="377"/>
        <v>85</v>
      </c>
      <c r="CN270" s="58">
        <f t="shared" si="341"/>
        <v>1.2749999999999999</v>
      </c>
      <c r="CO270" s="54">
        <v>272676000</v>
      </c>
      <c r="CP270" s="186">
        <f t="shared" si="355"/>
        <v>23.459859606012117</v>
      </c>
      <c r="CQ270" s="179">
        <f t="shared" si="378"/>
        <v>60</v>
      </c>
      <c r="CR270" s="30">
        <f t="shared" si="342"/>
        <v>1.7999999999999998</v>
      </c>
      <c r="CS270" s="200">
        <f>_xlfn.XLOOKUP(C270, '1-1. 관계사체무보증금액 (환율 등)'!$3:$3, '1-1. 관계사체무보증금액 (환율 등)'!$33:$33)</f>
        <v>3047945.2054794519</v>
      </c>
      <c r="CT270" s="178">
        <f t="shared" si="356"/>
        <v>0.26223197717204921</v>
      </c>
      <c r="CU270" s="179">
        <f t="shared" si="379"/>
        <v>100</v>
      </c>
      <c r="CV270" s="30">
        <f t="shared" si="343"/>
        <v>2</v>
      </c>
      <c r="CW270" s="72">
        <f t="shared" si="384"/>
        <v>19.174225831899729</v>
      </c>
    </row>
    <row r="271" spans="1:101" x14ac:dyDescent="0.6">
      <c r="A271" s="214" t="s">
        <v>1904</v>
      </c>
      <c r="B271" s="13" t="s">
        <v>2251</v>
      </c>
      <c r="C271" s="219" t="s">
        <v>1905</v>
      </c>
      <c r="D271" s="14" t="s">
        <v>203</v>
      </c>
      <c r="E271" s="217" t="s">
        <v>998</v>
      </c>
      <c r="F271" s="217" t="s">
        <v>1906</v>
      </c>
      <c r="G271" s="218">
        <v>36815</v>
      </c>
      <c r="H271" s="217" t="s">
        <v>830</v>
      </c>
      <c r="I271" s="217" t="s">
        <v>1907</v>
      </c>
      <c r="J271" s="13" t="s">
        <v>2252</v>
      </c>
      <c r="K271" s="217" t="s">
        <v>425</v>
      </c>
      <c r="L271" s="220">
        <v>291713102</v>
      </c>
      <c r="M271" s="206">
        <v>71415596</v>
      </c>
      <c r="N271" s="206">
        <v>220297507</v>
      </c>
      <c r="O271" s="206">
        <v>256067814</v>
      </c>
      <c r="P271" s="206">
        <v>8760193</v>
      </c>
      <c r="Q271" s="206">
        <v>3858993</v>
      </c>
      <c r="R271" s="206">
        <v>3132350</v>
      </c>
      <c r="S271" s="207">
        <v>41067062</v>
      </c>
      <c r="T271" s="207">
        <v>5629960</v>
      </c>
      <c r="U271" s="207">
        <v>6930732</v>
      </c>
      <c r="V271" s="207">
        <f>3519720+6200+287732+247017+175000+9746</f>
        <v>4245415</v>
      </c>
      <c r="W271" s="207">
        <v>4000</v>
      </c>
      <c r="X271" s="207">
        <v>0</v>
      </c>
      <c r="Z271" s="207">
        <f>1066059+6546334+6642303</f>
        <v>14254696</v>
      </c>
      <c r="AA271" s="207">
        <v>368873</v>
      </c>
      <c r="AB271" s="176">
        <f t="shared" si="380"/>
        <v>25434843</v>
      </c>
      <c r="AC271" s="177">
        <f t="shared" si="357"/>
        <v>61.934898094243998</v>
      </c>
      <c r="AD271" s="177">
        <f t="shared" si="381"/>
        <v>46.63271165629115</v>
      </c>
      <c r="AE271" s="26">
        <f t="shared" si="332"/>
        <v>1.3989813496887344</v>
      </c>
      <c r="AF271" s="178">
        <f t="shared" si="358"/>
        <v>31.869721735876656</v>
      </c>
      <c r="AG271" s="178">
        <f t="shared" si="359"/>
        <v>71.477718478455245</v>
      </c>
      <c r="AH271" s="178">
        <f t="shared" si="382"/>
        <v>39.607996742578592</v>
      </c>
      <c r="AI271" s="179">
        <f t="shared" si="383"/>
        <v>60</v>
      </c>
      <c r="AJ271" s="30">
        <f t="shared" si="333"/>
        <v>2.4</v>
      </c>
      <c r="AK271" s="204">
        <v>4</v>
      </c>
      <c r="AL271" s="204">
        <v>9</v>
      </c>
      <c r="AM271" s="204">
        <v>2</v>
      </c>
      <c r="AN271" s="181">
        <f t="shared" si="344"/>
        <v>13</v>
      </c>
      <c r="AO271" s="182">
        <f t="shared" si="345"/>
        <v>15.384615384615385</v>
      </c>
      <c r="AP271" s="183">
        <f t="shared" si="360"/>
        <v>80</v>
      </c>
      <c r="AQ271" s="38">
        <f t="shared" si="334"/>
        <v>1.6</v>
      </c>
      <c r="AR271" s="212">
        <v>1</v>
      </c>
      <c r="AS271" s="292">
        <f t="shared" si="346"/>
        <v>0.25</v>
      </c>
      <c r="AT271" s="185">
        <f t="shared" si="347"/>
        <v>1</v>
      </c>
      <c r="AU271" s="185">
        <f t="shared" si="361"/>
        <v>1</v>
      </c>
      <c r="AV271" s="186">
        <f t="shared" si="348"/>
        <v>0</v>
      </c>
      <c r="AW271" s="179">
        <f t="shared" si="362"/>
        <v>40</v>
      </c>
      <c r="AX271" s="239">
        <f t="shared" si="335"/>
        <v>0.4</v>
      </c>
      <c r="AY271" s="54">
        <v>19</v>
      </c>
      <c r="AZ271" s="54">
        <v>18</v>
      </c>
      <c r="BA271" s="189">
        <f t="shared" si="349"/>
        <v>19</v>
      </c>
      <c r="BB271" s="178">
        <f t="shared" si="363"/>
        <v>94.73684210526315</v>
      </c>
      <c r="BC271" s="179">
        <f t="shared" si="364"/>
        <v>100</v>
      </c>
      <c r="BD271" s="30">
        <f t="shared" si="336"/>
        <v>1</v>
      </c>
      <c r="BE271" s="190">
        <v>6942653</v>
      </c>
      <c r="BF271" s="190">
        <v>126382</v>
      </c>
      <c r="BG271" s="54">
        <v>190258</v>
      </c>
      <c r="BH271" s="191">
        <f t="shared" si="350"/>
        <v>7069035</v>
      </c>
      <c r="BI271" s="178">
        <f t="shared" si="351"/>
        <v>2.6914281793766759</v>
      </c>
      <c r="BJ271" s="294" t="str">
        <f t="shared" si="365"/>
        <v>금속/비금속/화학업</v>
      </c>
      <c r="BK271" s="192">
        <f t="shared" si="366"/>
        <v>3.9534118626990464</v>
      </c>
      <c r="BL271" s="193">
        <f t="shared" si="367"/>
        <v>-1.2619836833223705</v>
      </c>
      <c r="BM271" s="241">
        <f t="shared" si="368"/>
        <v>80</v>
      </c>
      <c r="BN271" s="47">
        <f t="shared" si="369"/>
        <v>1.6</v>
      </c>
      <c r="BO271" s="54">
        <v>4830000</v>
      </c>
      <c r="BP271" s="194">
        <f t="shared" si="352"/>
        <v>1.8862190935093466</v>
      </c>
      <c r="BQ271" s="179">
        <f t="shared" si="370"/>
        <v>70</v>
      </c>
      <c r="BR271" s="30">
        <f t="shared" si="337"/>
        <v>1.4000000000000001</v>
      </c>
      <c r="BS271" s="195">
        <v>14103966</v>
      </c>
      <c r="BT271" s="195">
        <v>5012185</v>
      </c>
      <c r="BU271" s="196">
        <f t="shared" si="371"/>
        <v>9091781</v>
      </c>
      <c r="BV271" s="178">
        <f t="shared" si="353"/>
        <v>3.5505364215746384</v>
      </c>
      <c r="BW271" s="192">
        <f t="shared" si="372"/>
        <v>5.1474158565187729</v>
      </c>
      <c r="BX271" s="192">
        <f t="shared" si="373"/>
        <v>2.550023929747498</v>
      </c>
      <c r="BY271" s="192">
        <f t="shared" si="374"/>
        <v>6.6930498535228526</v>
      </c>
      <c r="BZ271" s="192">
        <f t="shared" si="375"/>
        <v>59.428735187866458</v>
      </c>
      <c r="CA271" s="192">
        <f t="shared" si="354"/>
        <v>55</v>
      </c>
      <c r="CB271" s="55">
        <f t="shared" si="376"/>
        <v>1.1000000000000001</v>
      </c>
      <c r="CC271" s="197">
        <f t="shared" si="338"/>
        <v>32.417795812823243</v>
      </c>
      <c r="CD271" s="198">
        <f t="shared" si="339"/>
        <v>88.159122181096762</v>
      </c>
      <c r="CE271" s="58">
        <f t="shared" si="340"/>
        <v>1.3223868327164514</v>
      </c>
      <c r="CF271" s="245" t="s">
        <v>2326</v>
      </c>
      <c r="CG271" s="245" t="s">
        <v>2326</v>
      </c>
      <c r="CH271" s="245" t="s">
        <v>2326</v>
      </c>
      <c r="CI271" s="245" t="s">
        <v>2326</v>
      </c>
      <c r="CJ271" s="235"/>
      <c r="CK271" s="173" t="s">
        <v>2481</v>
      </c>
      <c r="CL271" s="173" t="s">
        <v>2482</v>
      </c>
      <c r="CM271" s="199">
        <f t="shared" si="377"/>
        <v>55</v>
      </c>
      <c r="CN271" s="58">
        <f t="shared" si="341"/>
        <v>0.82499999999999996</v>
      </c>
      <c r="CO271" s="54">
        <v>3946941</v>
      </c>
      <c r="CP271" s="186">
        <f t="shared" si="355"/>
        <v>1.791641246307885</v>
      </c>
      <c r="CQ271" s="179">
        <f t="shared" si="378"/>
        <v>100</v>
      </c>
      <c r="CR271" s="30">
        <f t="shared" si="342"/>
        <v>3</v>
      </c>
      <c r="CS271" s="200">
        <f>_xlfn.XLOOKUP(C271, '1-1. 관계사체무보증금액 (환율 등)'!$3:$3, '1-1. 관계사체무보증금액 (환율 등)'!$33:$33)</f>
        <v>0</v>
      </c>
      <c r="CT271" s="178">
        <f t="shared" si="356"/>
        <v>0</v>
      </c>
      <c r="CU271" s="179">
        <f t="shared" si="379"/>
        <v>100</v>
      </c>
      <c r="CV271" s="30">
        <f t="shared" si="343"/>
        <v>2</v>
      </c>
      <c r="CW271" s="72">
        <f t="shared" si="384"/>
        <v>18.046368182405185</v>
      </c>
    </row>
    <row r="272" spans="1:101" x14ac:dyDescent="0.6">
      <c r="A272" s="214" t="s">
        <v>483</v>
      </c>
      <c r="B272" s="13" t="s">
        <v>2253</v>
      </c>
      <c r="C272" s="219" t="s">
        <v>897</v>
      </c>
      <c r="D272" s="216" t="s">
        <v>202</v>
      </c>
      <c r="E272" s="217" t="s">
        <v>382</v>
      </c>
      <c r="F272" s="217" t="s">
        <v>163</v>
      </c>
      <c r="G272" s="218">
        <v>35354</v>
      </c>
      <c r="H272" s="217" t="s">
        <v>830</v>
      </c>
      <c r="I272" s="217" t="s">
        <v>528</v>
      </c>
      <c r="J272" s="217" t="s">
        <v>1018</v>
      </c>
      <c r="K272" s="217" t="s">
        <v>346</v>
      </c>
      <c r="L272" s="220">
        <v>1115216321</v>
      </c>
      <c r="M272" s="206">
        <v>343407952</v>
      </c>
      <c r="N272" s="206">
        <v>771808369</v>
      </c>
      <c r="O272" s="206">
        <v>1105239370</v>
      </c>
      <c r="P272" s="206">
        <v>45133384</v>
      </c>
      <c r="Q272" s="206">
        <v>54914570</v>
      </c>
      <c r="R272" s="206">
        <v>41039812</v>
      </c>
      <c r="S272" s="207">
        <v>10415000</v>
      </c>
      <c r="T272" s="207">
        <v>100000</v>
      </c>
      <c r="U272" s="207">
        <v>744550</v>
      </c>
      <c r="V272" s="207">
        <f>3457117-744550-1000400-312450</f>
        <v>1399717</v>
      </c>
      <c r="W272" s="207">
        <v>0</v>
      </c>
      <c r="X272" s="207">
        <v>312450</v>
      </c>
      <c r="Y272" s="208" t="s">
        <v>2462</v>
      </c>
      <c r="Z272" s="207">
        <v>1000400</v>
      </c>
      <c r="AA272" s="207">
        <v>6834</v>
      </c>
      <c r="AB272" s="176">
        <f t="shared" si="380"/>
        <v>3457117</v>
      </c>
      <c r="AC272" s="177">
        <f t="shared" si="357"/>
        <v>33.193634181469037</v>
      </c>
      <c r="AD272" s="177">
        <f t="shared" si="381"/>
        <v>71.438175332449049</v>
      </c>
      <c r="AE272" s="26">
        <f t="shared" si="332"/>
        <v>2.1431452599734713</v>
      </c>
      <c r="AF272" s="178">
        <f t="shared" si="358"/>
        <v>20.801634354743609</v>
      </c>
      <c r="AG272" s="178">
        <f t="shared" si="359"/>
        <v>33.471356592433608</v>
      </c>
      <c r="AH272" s="178">
        <f t="shared" si="382"/>
        <v>12.669722237689999</v>
      </c>
      <c r="AI272" s="179">
        <f t="shared" si="383"/>
        <v>80</v>
      </c>
      <c r="AJ272" s="30">
        <f t="shared" si="333"/>
        <v>3.2</v>
      </c>
      <c r="AK272" s="204">
        <v>5</v>
      </c>
      <c r="AL272" s="204">
        <v>20</v>
      </c>
      <c r="AM272" s="204">
        <v>2</v>
      </c>
      <c r="AN272" s="181">
        <f t="shared" si="344"/>
        <v>25</v>
      </c>
      <c r="AO272" s="182">
        <f t="shared" si="345"/>
        <v>8</v>
      </c>
      <c r="AP272" s="183">
        <f t="shared" si="360"/>
        <v>100</v>
      </c>
      <c r="AQ272" s="38">
        <f t="shared" si="334"/>
        <v>2</v>
      </c>
      <c r="AR272" s="212">
        <v>1</v>
      </c>
      <c r="AS272" s="292">
        <f t="shared" si="346"/>
        <v>0.25</v>
      </c>
      <c r="AT272" s="185">
        <f t="shared" si="347"/>
        <v>1.25</v>
      </c>
      <c r="AU272" s="185">
        <f t="shared" si="361"/>
        <v>1</v>
      </c>
      <c r="AV272" s="186">
        <f t="shared" si="348"/>
        <v>0</v>
      </c>
      <c r="AW272" s="179">
        <f t="shared" si="362"/>
        <v>40</v>
      </c>
      <c r="AX272" s="239">
        <f t="shared" si="335"/>
        <v>0.4</v>
      </c>
      <c r="AY272" s="54">
        <v>12</v>
      </c>
      <c r="AZ272" s="54">
        <v>12</v>
      </c>
      <c r="BA272" s="189">
        <f t="shared" si="349"/>
        <v>12</v>
      </c>
      <c r="BB272" s="178">
        <f t="shared" si="363"/>
        <v>100</v>
      </c>
      <c r="BC272" s="179">
        <f t="shared" si="364"/>
        <v>100</v>
      </c>
      <c r="BD272" s="30">
        <f t="shared" si="336"/>
        <v>1</v>
      </c>
      <c r="BE272" s="190">
        <v>19616611</v>
      </c>
      <c r="BF272" s="190">
        <v>2171428</v>
      </c>
      <c r="BG272" s="54">
        <v>625386</v>
      </c>
      <c r="BH272" s="191">
        <f t="shared" si="350"/>
        <v>21788039</v>
      </c>
      <c r="BI272" s="178">
        <f t="shared" si="351"/>
        <v>2.8703179758398636</v>
      </c>
      <c r="BJ272" s="294" t="str">
        <f t="shared" si="365"/>
        <v>전기전자/기계업</v>
      </c>
      <c r="BK272" s="192">
        <f t="shared" si="366"/>
        <v>2.4096449716116455</v>
      </c>
      <c r="BL272" s="193">
        <f t="shared" si="367"/>
        <v>0.46067300422821811</v>
      </c>
      <c r="BM272" s="241">
        <f t="shared" si="368"/>
        <v>60</v>
      </c>
      <c r="BN272" s="47">
        <f t="shared" si="369"/>
        <v>1.2</v>
      </c>
      <c r="BO272" s="54">
        <v>45480352</v>
      </c>
      <c r="BP272" s="194">
        <f t="shared" si="352"/>
        <v>4.1149775545907312</v>
      </c>
      <c r="BQ272" s="179">
        <f t="shared" si="370"/>
        <v>100</v>
      </c>
      <c r="BR272" s="30">
        <f t="shared" si="337"/>
        <v>2</v>
      </c>
      <c r="BS272" s="195">
        <v>79393961.657000005</v>
      </c>
      <c r="BT272" s="195">
        <v>9767137.8320000004</v>
      </c>
      <c r="BU272" s="196">
        <f t="shared" si="371"/>
        <v>69626823.825000003</v>
      </c>
      <c r="BV272" s="178">
        <f t="shared" si="353"/>
        <v>6.2997053593014884</v>
      </c>
      <c r="BW272" s="192">
        <f t="shared" si="372"/>
        <v>5.2309968128308268</v>
      </c>
      <c r="BX272" s="192">
        <f t="shared" si="373"/>
        <v>1.1421379572994343</v>
      </c>
      <c r="BY272" s="192">
        <f t="shared" si="374"/>
        <v>7.0695458012309622</v>
      </c>
      <c r="BZ272" s="192">
        <f t="shared" si="375"/>
        <v>43.992051129932605</v>
      </c>
      <c r="CA272" s="192">
        <f t="shared" si="354"/>
        <v>55</v>
      </c>
      <c r="CB272" s="55">
        <f t="shared" si="376"/>
        <v>1.1000000000000001</v>
      </c>
      <c r="CC272" s="197">
        <f t="shared" si="338"/>
        <v>44.49393991994922</v>
      </c>
      <c r="CD272" s="198">
        <f t="shared" si="339"/>
        <v>83.607811587958835</v>
      </c>
      <c r="CE272" s="58">
        <f t="shared" si="340"/>
        <v>1.2541171738193826</v>
      </c>
      <c r="CF272" s="245" t="s">
        <v>2326</v>
      </c>
      <c r="CG272" s="245" t="s">
        <v>2326</v>
      </c>
      <c r="CH272" s="245" t="s">
        <v>2326</v>
      </c>
      <c r="CI272" s="245" t="s">
        <v>2326</v>
      </c>
      <c r="CJ272" s="235"/>
      <c r="CK272" s="173" t="s">
        <v>2520</v>
      </c>
      <c r="CL272" s="173" t="s">
        <v>2477</v>
      </c>
      <c r="CM272" s="199">
        <f t="shared" si="377"/>
        <v>85</v>
      </c>
      <c r="CN272" s="58">
        <f t="shared" si="341"/>
        <v>1.2749999999999999</v>
      </c>
      <c r="CO272" s="54">
        <v>75498000</v>
      </c>
      <c r="CP272" s="186">
        <f t="shared" si="355"/>
        <v>9.781961822702133</v>
      </c>
      <c r="CQ272" s="179">
        <f t="shared" si="378"/>
        <v>80</v>
      </c>
      <c r="CR272" s="30">
        <f t="shared" si="342"/>
        <v>2.4</v>
      </c>
      <c r="CS272" s="200">
        <f>_xlfn.XLOOKUP(C272, '1-1. 관계사체무보증금액 (환율 등)'!$3:$3, '1-1. 관계사체무보증금액 (환율 등)'!$33:$33)</f>
        <v>0</v>
      </c>
      <c r="CT272" s="178">
        <f t="shared" si="356"/>
        <v>0</v>
      </c>
      <c r="CU272" s="179">
        <f t="shared" si="379"/>
        <v>100</v>
      </c>
      <c r="CV272" s="30">
        <f t="shared" si="343"/>
        <v>2</v>
      </c>
      <c r="CW272" s="72">
        <f t="shared" si="384"/>
        <v>19.972262433792853</v>
      </c>
    </row>
    <row r="273" spans="1:101" x14ac:dyDescent="0.6">
      <c r="A273" s="214" t="s">
        <v>1908</v>
      </c>
      <c r="B273" s="13" t="s">
        <v>2254</v>
      </c>
      <c r="C273" s="219" t="s">
        <v>542</v>
      </c>
      <c r="D273" s="216" t="s">
        <v>202</v>
      </c>
      <c r="E273" s="217" t="s">
        <v>954</v>
      </c>
      <c r="F273" s="217" t="s">
        <v>155</v>
      </c>
      <c r="G273" s="218">
        <v>32052</v>
      </c>
      <c r="H273" s="217" t="s">
        <v>830</v>
      </c>
      <c r="I273" s="217" t="s">
        <v>844</v>
      </c>
      <c r="J273" s="217" t="s">
        <v>1909</v>
      </c>
      <c r="K273" s="217" t="s">
        <v>407</v>
      </c>
      <c r="L273" s="220">
        <v>486136593</v>
      </c>
      <c r="M273" s="206">
        <v>256604490</v>
      </c>
      <c r="N273" s="206">
        <v>229532103</v>
      </c>
      <c r="O273" s="206">
        <v>766770906</v>
      </c>
      <c r="P273" s="206">
        <v>14724318</v>
      </c>
      <c r="Q273" s="206">
        <v>26927489</v>
      </c>
      <c r="R273" s="206">
        <v>22719488</v>
      </c>
      <c r="S273" s="207">
        <v>30450420</v>
      </c>
      <c r="T273" s="207">
        <v>0</v>
      </c>
      <c r="U273" s="207">
        <v>7151285</v>
      </c>
      <c r="V273" s="207">
        <f>3399635+1133210*2</f>
        <v>5666055</v>
      </c>
      <c r="W273" s="207">
        <v>0</v>
      </c>
      <c r="X273" s="207">
        <v>0</v>
      </c>
      <c r="Z273" s="207">
        <v>0</v>
      </c>
      <c r="AA273" s="207">
        <v>0</v>
      </c>
      <c r="AB273" s="176">
        <f t="shared" si="380"/>
        <v>12817340</v>
      </c>
      <c r="AC273" s="177">
        <f t="shared" si="357"/>
        <v>42.092490021484103</v>
      </c>
      <c r="AD273" s="177">
        <f t="shared" si="381"/>
        <v>63.757920004472872</v>
      </c>
      <c r="AE273" s="26">
        <f t="shared" si="332"/>
        <v>1.912737600134186</v>
      </c>
      <c r="AF273" s="178">
        <f t="shared" si="358"/>
        <v>42.092490021484103</v>
      </c>
      <c r="AG273" s="178">
        <f t="shared" si="359"/>
        <v>42.092490021484103</v>
      </c>
      <c r="AH273" s="178">
        <f t="shared" si="382"/>
        <v>0</v>
      </c>
      <c r="AI273" s="179">
        <f t="shared" si="383"/>
        <v>100</v>
      </c>
      <c r="AJ273" s="30">
        <f t="shared" si="333"/>
        <v>4</v>
      </c>
      <c r="AK273" s="204">
        <v>5</v>
      </c>
      <c r="AL273" s="204">
        <v>12</v>
      </c>
      <c r="AM273" s="204">
        <v>1</v>
      </c>
      <c r="AN273" s="181">
        <f t="shared" si="344"/>
        <v>17</v>
      </c>
      <c r="AO273" s="182">
        <f t="shared" si="345"/>
        <v>5.8823529411764701</v>
      </c>
      <c r="AP273" s="183">
        <f t="shared" si="360"/>
        <v>100</v>
      </c>
      <c r="AQ273" s="38">
        <f t="shared" si="334"/>
        <v>2</v>
      </c>
      <c r="AR273" s="212">
        <v>1</v>
      </c>
      <c r="AS273" s="292">
        <f t="shared" si="346"/>
        <v>0.25</v>
      </c>
      <c r="AT273" s="185">
        <f t="shared" si="347"/>
        <v>1.25</v>
      </c>
      <c r="AU273" s="185">
        <f t="shared" si="361"/>
        <v>1</v>
      </c>
      <c r="AV273" s="186">
        <f t="shared" si="348"/>
        <v>0</v>
      </c>
      <c r="AW273" s="179">
        <f t="shared" si="362"/>
        <v>40</v>
      </c>
      <c r="AX273" s="239">
        <f t="shared" si="335"/>
        <v>0.4</v>
      </c>
      <c r="AY273" s="54">
        <v>43</v>
      </c>
      <c r="AZ273" s="54">
        <v>43</v>
      </c>
      <c r="BA273" s="189">
        <f t="shared" si="349"/>
        <v>43</v>
      </c>
      <c r="BB273" s="178">
        <f t="shared" si="363"/>
        <v>100</v>
      </c>
      <c r="BC273" s="179">
        <f t="shared" si="364"/>
        <v>100</v>
      </c>
      <c r="BD273" s="30">
        <f t="shared" si="336"/>
        <v>1</v>
      </c>
      <c r="BE273" s="190">
        <v>7700205</v>
      </c>
      <c r="BF273" s="190">
        <v>501460</v>
      </c>
      <c r="BG273" s="54">
        <v>261473</v>
      </c>
      <c r="BH273" s="191">
        <f t="shared" si="350"/>
        <v>8201665</v>
      </c>
      <c r="BI273" s="178">
        <f t="shared" si="351"/>
        <v>3.1880477927347681</v>
      </c>
      <c r="BJ273" s="294" t="str">
        <f t="shared" si="365"/>
        <v>전기전자/기계업</v>
      </c>
      <c r="BK273" s="192">
        <f t="shared" si="366"/>
        <v>2.4096449716116455</v>
      </c>
      <c r="BL273" s="193">
        <f t="shared" si="367"/>
        <v>0.77840282112312265</v>
      </c>
      <c r="BM273" s="241">
        <f t="shared" si="368"/>
        <v>60</v>
      </c>
      <c r="BN273" s="47">
        <f t="shared" si="369"/>
        <v>1.2</v>
      </c>
      <c r="BO273" s="54">
        <v>6522187.4359999998</v>
      </c>
      <c r="BP273" s="194">
        <f t="shared" si="352"/>
        <v>0.85060444846873207</v>
      </c>
      <c r="BQ273" s="179">
        <f t="shared" si="370"/>
        <v>70</v>
      </c>
      <c r="BR273" s="30">
        <f t="shared" si="337"/>
        <v>1.4000000000000001</v>
      </c>
      <c r="BS273" s="195">
        <v>22085182.816</v>
      </c>
      <c r="BT273" s="195">
        <v>247707.50099999999</v>
      </c>
      <c r="BU273" s="196">
        <f t="shared" si="371"/>
        <v>21837475.315000001</v>
      </c>
      <c r="BV273" s="178">
        <f t="shared" si="353"/>
        <v>2.8479791218108637</v>
      </c>
      <c r="BW273" s="192">
        <f t="shared" si="372"/>
        <v>5.2309968128308268</v>
      </c>
      <c r="BX273" s="192">
        <f t="shared" si="373"/>
        <v>5.6787733157141167</v>
      </c>
      <c r="BY273" s="192">
        <f t="shared" si="374"/>
        <v>7.0695458012309622</v>
      </c>
      <c r="BZ273" s="192">
        <f t="shared" si="375"/>
        <v>63.197251309266854</v>
      </c>
      <c r="CA273" s="192">
        <f t="shared" si="354"/>
        <v>40</v>
      </c>
      <c r="CB273" s="55">
        <f t="shared" si="376"/>
        <v>0.8</v>
      </c>
      <c r="CC273" s="197">
        <f t="shared" si="338"/>
        <v>111.79459720281481</v>
      </c>
      <c r="CD273" s="198">
        <f t="shared" si="339"/>
        <v>58.243242260245673</v>
      </c>
      <c r="CE273" s="58">
        <f t="shared" si="340"/>
        <v>0.87364863390368508</v>
      </c>
      <c r="CF273" s="245" t="s">
        <v>2326</v>
      </c>
      <c r="CG273" s="245" t="s">
        <v>2326</v>
      </c>
      <c r="CH273" s="245" t="s">
        <v>2326</v>
      </c>
      <c r="CI273" s="245" t="s">
        <v>2326</v>
      </c>
      <c r="CJ273" s="235"/>
      <c r="CK273" s="173" t="s">
        <v>2495</v>
      </c>
      <c r="CL273" s="173" t="s">
        <v>2478</v>
      </c>
      <c r="CM273" s="199">
        <f t="shared" si="377"/>
        <v>25</v>
      </c>
      <c r="CN273" s="58">
        <f t="shared" si="341"/>
        <v>0.375</v>
      </c>
      <c r="CO273" s="54">
        <v>30588000</v>
      </c>
      <c r="CP273" s="186">
        <f t="shared" si="355"/>
        <v>13.326240469290696</v>
      </c>
      <c r="CQ273" s="179">
        <f t="shared" si="378"/>
        <v>60</v>
      </c>
      <c r="CR273" s="30">
        <f t="shared" si="342"/>
        <v>1.7999999999999998</v>
      </c>
      <c r="CS273" s="200">
        <f>_xlfn.XLOOKUP(C273, '1-1. 관계사체무보증금액 (환율 등)'!$3:$3, '1-1. 관계사체무보증금액 (환율 등)'!$33:$33)</f>
        <v>223168612.53532797</v>
      </c>
      <c r="CT273" s="178">
        <f t="shared" si="356"/>
        <v>97.227625076622928</v>
      </c>
      <c r="CU273" s="179">
        <f t="shared" si="379"/>
        <v>40</v>
      </c>
      <c r="CV273" s="30">
        <f t="shared" si="343"/>
        <v>0.8</v>
      </c>
      <c r="CW273" s="72">
        <f t="shared" si="384"/>
        <v>16.561386234037872</v>
      </c>
    </row>
    <row r="274" spans="1:101" x14ac:dyDescent="0.6">
      <c r="A274" s="214" t="s">
        <v>182</v>
      </c>
      <c r="B274" s="13" t="s">
        <v>2255</v>
      </c>
      <c r="C274" s="219" t="s">
        <v>345</v>
      </c>
      <c r="D274" s="216" t="s">
        <v>191</v>
      </c>
      <c r="E274" s="217" t="s">
        <v>1029</v>
      </c>
      <c r="F274" s="217" t="s">
        <v>1000</v>
      </c>
      <c r="G274" s="218">
        <v>27208</v>
      </c>
      <c r="H274" s="217" t="s">
        <v>830</v>
      </c>
      <c r="I274" s="217" t="s">
        <v>662</v>
      </c>
      <c r="J274" s="217" t="s">
        <v>1207</v>
      </c>
      <c r="K274" s="217" t="s">
        <v>91</v>
      </c>
      <c r="L274" s="220">
        <v>339571178</v>
      </c>
      <c r="M274" s="206">
        <v>63823811</v>
      </c>
      <c r="N274" s="206">
        <v>275747368</v>
      </c>
      <c r="O274" s="206">
        <v>336657527</v>
      </c>
      <c r="P274" s="206">
        <v>25257329</v>
      </c>
      <c r="Q274" s="206">
        <v>26498807</v>
      </c>
      <c r="R274" s="206">
        <v>20001837</v>
      </c>
      <c r="S274" s="207">
        <v>4000000</v>
      </c>
      <c r="T274" s="207">
        <v>172600</v>
      </c>
      <c r="U274" s="207">
        <v>1440000</v>
      </c>
      <c r="V274" s="207">
        <v>229000</v>
      </c>
      <c r="W274" s="207">
        <v>0</v>
      </c>
      <c r="X274" s="207">
        <v>0</v>
      </c>
      <c r="Z274" s="207">
        <v>0</v>
      </c>
      <c r="AA274" s="207">
        <v>0</v>
      </c>
      <c r="AB274" s="176">
        <f t="shared" si="380"/>
        <v>1669000</v>
      </c>
      <c r="AC274" s="177">
        <f t="shared" si="357"/>
        <v>41.725000000000001</v>
      </c>
      <c r="AD274" s="177">
        <f t="shared" si="381"/>
        <v>64.075086306098967</v>
      </c>
      <c r="AE274" s="26">
        <f t="shared" si="332"/>
        <v>1.9222525891829689</v>
      </c>
      <c r="AF274" s="178">
        <f t="shared" si="358"/>
        <v>43.606625907927054</v>
      </c>
      <c r="AG274" s="178">
        <f t="shared" si="359"/>
        <v>43.606625907927054</v>
      </c>
      <c r="AH274" s="178">
        <f t="shared" si="382"/>
        <v>0</v>
      </c>
      <c r="AI274" s="179">
        <f t="shared" si="383"/>
        <v>100</v>
      </c>
      <c r="AJ274" s="30">
        <f t="shared" si="333"/>
        <v>4</v>
      </c>
      <c r="AK274" s="204">
        <v>5</v>
      </c>
      <c r="AL274" s="204">
        <v>7</v>
      </c>
      <c r="AM274" s="204">
        <v>1</v>
      </c>
      <c r="AN274" s="181">
        <f t="shared" si="344"/>
        <v>12</v>
      </c>
      <c r="AO274" s="182">
        <f t="shared" si="345"/>
        <v>8.3333333333333321</v>
      </c>
      <c r="AP274" s="183">
        <f t="shared" si="360"/>
        <v>100</v>
      </c>
      <c r="AQ274" s="38">
        <f t="shared" si="334"/>
        <v>2</v>
      </c>
      <c r="AR274" s="212">
        <v>1</v>
      </c>
      <c r="AS274" s="292">
        <f t="shared" si="346"/>
        <v>0.25</v>
      </c>
      <c r="AT274" s="185">
        <f t="shared" si="347"/>
        <v>1.25</v>
      </c>
      <c r="AU274" s="185">
        <f t="shared" si="361"/>
        <v>1</v>
      </c>
      <c r="AV274" s="186">
        <f t="shared" si="348"/>
        <v>0</v>
      </c>
      <c r="AW274" s="179">
        <f t="shared" si="362"/>
        <v>40</v>
      </c>
      <c r="AX274" s="239">
        <f t="shared" si="335"/>
        <v>0.4</v>
      </c>
      <c r="AY274" s="54">
        <v>3</v>
      </c>
      <c r="AZ274" s="54">
        <v>3</v>
      </c>
      <c r="BA274" s="189">
        <f t="shared" si="349"/>
        <v>3</v>
      </c>
      <c r="BB274" s="178">
        <f t="shared" si="363"/>
        <v>100</v>
      </c>
      <c r="BC274" s="179">
        <f t="shared" si="364"/>
        <v>100</v>
      </c>
      <c r="BD274" s="30">
        <f t="shared" si="336"/>
        <v>1</v>
      </c>
      <c r="BE274" s="190">
        <v>3656517</v>
      </c>
      <c r="BF274" s="190">
        <v>313308</v>
      </c>
      <c r="BG274" s="54">
        <v>528981</v>
      </c>
      <c r="BH274" s="191">
        <f t="shared" si="350"/>
        <v>3969825</v>
      </c>
      <c r="BI274" s="178">
        <f t="shared" si="351"/>
        <v>13.325045814362094</v>
      </c>
      <c r="BJ274" s="294" t="str">
        <f t="shared" si="365"/>
        <v>식약/섬유/종이업</v>
      </c>
      <c r="BK274" s="192">
        <f t="shared" si="366"/>
        <v>2.1999360555264444</v>
      </c>
      <c r="BL274" s="193">
        <f t="shared" si="367"/>
        <v>11.125109758835649</v>
      </c>
      <c r="BM274" s="241">
        <f t="shared" si="368"/>
        <v>20</v>
      </c>
      <c r="BN274" s="47">
        <f t="shared" si="369"/>
        <v>0.4</v>
      </c>
      <c r="BO274" s="54">
        <v>0</v>
      </c>
      <c r="BP274" s="194">
        <f t="shared" si="352"/>
        <v>0</v>
      </c>
      <c r="BQ274" s="179">
        <f t="shared" si="370"/>
        <v>25</v>
      </c>
      <c r="BR274" s="30">
        <f t="shared" si="337"/>
        <v>0.5</v>
      </c>
      <c r="BS274" s="195">
        <v>3246137.2930000001</v>
      </c>
      <c r="BT274" s="195">
        <v>1710</v>
      </c>
      <c r="BU274" s="196">
        <f t="shared" si="371"/>
        <v>3244427.2930000001</v>
      </c>
      <c r="BV274" s="178">
        <f t="shared" si="353"/>
        <v>0.96371743769150897</v>
      </c>
      <c r="BW274" s="192">
        <f t="shared" si="372"/>
        <v>5.0508176117342281</v>
      </c>
      <c r="BX274" s="192">
        <f t="shared" si="373"/>
        <v>16.704387832660025</v>
      </c>
      <c r="BY274" s="192">
        <f t="shared" si="374"/>
        <v>6.9871618081220941</v>
      </c>
      <c r="BZ274" s="192">
        <f t="shared" si="375"/>
        <v>72.070740063236499</v>
      </c>
      <c r="CA274" s="192">
        <f t="shared" si="354"/>
        <v>40</v>
      </c>
      <c r="CB274" s="55">
        <f t="shared" si="376"/>
        <v>0.8</v>
      </c>
      <c r="CC274" s="197">
        <f t="shared" si="338"/>
        <v>23.145755284235385</v>
      </c>
      <c r="CD274" s="198">
        <f t="shared" si="339"/>
        <v>91.65360981749923</v>
      </c>
      <c r="CE274" s="58">
        <f t="shared" si="340"/>
        <v>1.3748041472624883</v>
      </c>
      <c r="CF274" s="245" t="s">
        <v>2326</v>
      </c>
      <c r="CG274" s="245" t="s">
        <v>2326</v>
      </c>
      <c r="CH274" s="245" t="s">
        <v>2326</v>
      </c>
      <c r="CI274" s="245" t="s">
        <v>2326</v>
      </c>
      <c r="CJ274" s="235"/>
      <c r="CK274" s="173" t="s">
        <v>2491</v>
      </c>
      <c r="CL274" s="173" t="s">
        <v>2478</v>
      </c>
      <c r="CM274" s="199">
        <f t="shared" si="377"/>
        <v>25</v>
      </c>
      <c r="CN274" s="58">
        <f t="shared" si="341"/>
        <v>0.375</v>
      </c>
      <c r="CO274" s="54">
        <v>1980000</v>
      </c>
      <c r="CP274" s="186">
        <f t="shared" si="355"/>
        <v>0.71804855812803259</v>
      </c>
      <c r="CQ274" s="179">
        <f t="shared" si="378"/>
        <v>100</v>
      </c>
      <c r="CR274" s="30">
        <f t="shared" si="342"/>
        <v>3</v>
      </c>
      <c r="CS274" s="200">
        <f>_xlfn.XLOOKUP(C274, '1-1. 관계사체무보증금액 (환율 등)'!$3:$3, '1-1. 관계사체무보증금액 (환율 등)'!$33:$33)</f>
        <v>0</v>
      </c>
      <c r="CT274" s="178">
        <f t="shared" si="356"/>
        <v>0</v>
      </c>
      <c r="CU274" s="179">
        <f t="shared" si="379"/>
        <v>100</v>
      </c>
      <c r="CV274" s="30">
        <f t="shared" si="343"/>
        <v>2</v>
      </c>
      <c r="CW274" s="72">
        <f t="shared" si="384"/>
        <v>17.772056736445457</v>
      </c>
    </row>
    <row r="275" spans="1:101" x14ac:dyDescent="0.6">
      <c r="A275" s="214" t="s">
        <v>948</v>
      </c>
      <c r="B275" s="13" t="s">
        <v>2256</v>
      </c>
      <c r="C275" s="219" t="s">
        <v>915</v>
      </c>
      <c r="D275" s="216" t="s">
        <v>203</v>
      </c>
      <c r="E275" s="217" t="s">
        <v>187</v>
      </c>
      <c r="F275" s="217" t="s">
        <v>603</v>
      </c>
      <c r="G275" s="218">
        <v>32365</v>
      </c>
      <c r="H275" s="217" t="s">
        <v>830</v>
      </c>
      <c r="I275" s="217" t="s">
        <v>233</v>
      </c>
      <c r="J275" s="217" t="s">
        <v>1113</v>
      </c>
      <c r="K275" s="217" t="s">
        <v>484</v>
      </c>
      <c r="L275" s="220">
        <v>172340454</v>
      </c>
      <c r="M275" s="206">
        <v>59384706</v>
      </c>
      <c r="N275" s="206">
        <v>112955748</v>
      </c>
      <c r="O275" s="206">
        <v>301642199</v>
      </c>
      <c r="P275" s="206">
        <v>35071601</v>
      </c>
      <c r="Q275" s="206">
        <v>36329377</v>
      </c>
      <c r="R275" s="206">
        <v>26721327</v>
      </c>
      <c r="S275" s="207">
        <v>1300000</v>
      </c>
      <c r="T275" s="207">
        <v>0</v>
      </c>
      <c r="U275" s="207">
        <v>700000</v>
      </c>
      <c r="V275" s="207">
        <v>0</v>
      </c>
      <c r="W275" s="207">
        <v>0</v>
      </c>
      <c r="X275" s="207">
        <v>0</v>
      </c>
      <c r="Z275" s="207">
        <v>0</v>
      </c>
      <c r="AA275" s="207">
        <v>0</v>
      </c>
      <c r="AB275" s="176">
        <f t="shared" si="380"/>
        <v>700000</v>
      </c>
      <c r="AC275" s="177">
        <f t="shared" si="357"/>
        <v>53.846153846153847</v>
      </c>
      <c r="AD275" s="177">
        <f t="shared" si="381"/>
        <v>53.613791272019121</v>
      </c>
      <c r="AE275" s="26">
        <f t="shared" si="332"/>
        <v>1.6084137381605736</v>
      </c>
      <c r="AF275" s="178">
        <f t="shared" si="358"/>
        <v>53.846153846153847</v>
      </c>
      <c r="AG275" s="178">
        <f t="shared" si="359"/>
        <v>53.846153846153847</v>
      </c>
      <c r="AH275" s="178">
        <f t="shared" si="382"/>
        <v>0</v>
      </c>
      <c r="AI275" s="179">
        <f t="shared" si="383"/>
        <v>100</v>
      </c>
      <c r="AJ275" s="30">
        <f t="shared" si="333"/>
        <v>4</v>
      </c>
      <c r="AK275" s="204">
        <v>7</v>
      </c>
      <c r="AL275" s="204">
        <v>5</v>
      </c>
      <c r="AM275" s="204">
        <v>0</v>
      </c>
      <c r="AN275" s="181">
        <f t="shared" si="344"/>
        <v>12</v>
      </c>
      <c r="AO275" s="182">
        <f t="shared" si="345"/>
        <v>0</v>
      </c>
      <c r="AP275" s="183">
        <f t="shared" si="360"/>
        <v>100</v>
      </c>
      <c r="AQ275" s="38">
        <f t="shared" si="334"/>
        <v>2</v>
      </c>
      <c r="AR275" s="212">
        <v>3</v>
      </c>
      <c r="AS275" s="292">
        <f t="shared" si="346"/>
        <v>0.25</v>
      </c>
      <c r="AT275" s="185">
        <f t="shared" si="347"/>
        <v>1.75</v>
      </c>
      <c r="AU275" s="185">
        <f t="shared" si="361"/>
        <v>1</v>
      </c>
      <c r="AV275" s="186">
        <f t="shared" si="348"/>
        <v>28.571428571428569</v>
      </c>
      <c r="AW275" s="179">
        <f t="shared" si="362"/>
        <v>80</v>
      </c>
      <c r="AX275" s="239">
        <f t="shared" si="335"/>
        <v>0.8</v>
      </c>
      <c r="AY275" s="54">
        <v>5</v>
      </c>
      <c r="AZ275" s="54">
        <f>15-1</f>
        <v>14</v>
      </c>
      <c r="BA275" s="189">
        <f t="shared" si="349"/>
        <v>15</v>
      </c>
      <c r="BB275" s="178">
        <f t="shared" si="363"/>
        <v>93.333333333333329</v>
      </c>
      <c r="BC275" s="179">
        <f t="shared" si="364"/>
        <v>100</v>
      </c>
      <c r="BD275" s="30">
        <f t="shared" si="336"/>
        <v>1</v>
      </c>
      <c r="BE275" s="190">
        <v>10450497</v>
      </c>
      <c r="BF275" s="190">
        <v>1233257</v>
      </c>
      <c r="BG275" s="54">
        <f>307896</f>
        <v>307896</v>
      </c>
      <c r="BH275" s="191">
        <f t="shared" si="350"/>
        <v>11683754</v>
      </c>
      <c r="BI275" s="178">
        <f t="shared" si="351"/>
        <v>2.6352489105813079</v>
      </c>
      <c r="BJ275" s="294" t="str">
        <f t="shared" si="365"/>
        <v>금속/비금속/화학업</v>
      </c>
      <c r="BK275" s="192">
        <f t="shared" si="366"/>
        <v>3.9534118626990464</v>
      </c>
      <c r="BL275" s="193">
        <f t="shared" si="367"/>
        <v>-1.3181629521177385</v>
      </c>
      <c r="BM275" s="241">
        <f t="shared" si="368"/>
        <v>80</v>
      </c>
      <c r="BN275" s="47">
        <f t="shared" si="369"/>
        <v>1.6</v>
      </c>
      <c r="BO275" s="54">
        <v>0</v>
      </c>
      <c r="BP275" s="194">
        <f t="shared" si="352"/>
        <v>0</v>
      </c>
      <c r="BQ275" s="179">
        <f t="shared" si="370"/>
        <v>25</v>
      </c>
      <c r="BR275" s="30">
        <f t="shared" si="337"/>
        <v>0.5</v>
      </c>
      <c r="BS275" s="195">
        <v>2593489.3569999998</v>
      </c>
      <c r="BT275" s="195">
        <v>20681.816999999999</v>
      </c>
      <c r="BU275" s="196">
        <f t="shared" si="371"/>
        <v>2572807.54</v>
      </c>
      <c r="BV275" s="178">
        <f t="shared" si="353"/>
        <v>0.85293355788060676</v>
      </c>
      <c r="BW275" s="192">
        <f t="shared" si="372"/>
        <v>5.1474158565187729</v>
      </c>
      <c r="BX275" s="192">
        <f t="shared" si="373"/>
        <v>18.442578213316548</v>
      </c>
      <c r="BY275" s="192">
        <f t="shared" si="374"/>
        <v>6.6930498535228526</v>
      </c>
      <c r="BZ275" s="192">
        <f t="shared" si="375"/>
        <v>73.944428060263533</v>
      </c>
      <c r="CA275" s="192">
        <f t="shared" si="354"/>
        <v>40</v>
      </c>
      <c r="CB275" s="55">
        <f t="shared" si="376"/>
        <v>0.8</v>
      </c>
      <c r="CC275" s="197">
        <f t="shared" si="338"/>
        <v>52.57342547986137</v>
      </c>
      <c r="CD275" s="198">
        <f t="shared" si="339"/>
        <v>80.562779341760788</v>
      </c>
      <c r="CE275" s="58">
        <f t="shared" si="340"/>
        <v>1.2084416901264117</v>
      </c>
      <c r="CF275" s="245" t="s">
        <v>2326</v>
      </c>
      <c r="CG275" s="245" t="s">
        <v>2326</v>
      </c>
      <c r="CH275" s="245" t="s">
        <v>2326</v>
      </c>
      <c r="CI275" s="245" t="s">
        <v>2326</v>
      </c>
      <c r="CJ275" s="235"/>
      <c r="CK275" s="173" t="s">
        <v>2496</v>
      </c>
      <c r="CL275" s="173" t="s">
        <v>2477</v>
      </c>
      <c r="CM275" s="199">
        <f t="shared" si="377"/>
        <v>85</v>
      </c>
      <c r="CN275" s="58">
        <f t="shared" si="341"/>
        <v>1.2749999999999999</v>
      </c>
      <c r="CO275" s="54">
        <v>0</v>
      </c>
      <c r="CP275" s="186">
        <f t="shared" si="355"/>
        <v>0</v>
      </c>
      <c r="CQ275" s="179">
        <f t="shared" si="378"/>
        <v>100</v>
      </c>
      <c r="CR275" s="30">
        <f t="shared" si="342"/>
        <v>3</v>
      </c>
      <c r="CS275" s="200">
        <f>_xlfn.XLOOKUP(C275, '1-1. 관계사체무보증금액 (환율 등)'!$3:$3, '1-1. 관계사체무보증금액 (환율 등)'!$33:$33)</f>
        <v>0</v>
      </c>
      <c r="CT275" s="178">
        <f t="shared" si="356"/>
        <v>0</v>
      </c>
      <c r="CU275" s="179">
        <f t="shared" si="379"/>
        <v>100</v>
      </c>
      <c r="CV275" s="30">
        <f t="shared" si="343"/>
        <v>2</v>
      </c>
      <c r="CW275" s="72">
        <f t="shared" si="384"/>
        <v>19.791855428286986</v>
      </c>
    </row>
    <row r="276" spans="1:101" x14ac:dyDescent="0.6">
      <c r="A276" s="214" t="s">
        <v>853</v>
      </c>
      <c r="B276" s="13" t="s">
        <v>2257</v>
      </c>
      <c r="C276" s="219" t="s">
        <v>886</v>
      </c>
      <c r="D276" s="216" t="s">
        <v>285</v>
      </c>
      <c r="E276" s="217" t="s">
        <v>1167</v>
      </c>
      <c r="F276" s="217" t="s">
        <v>1125</v>
      </c>
      <c r="G276" s="218">
        <v>40661</v>
      </c>
      <c r="H276" s="217" t="s">
        <v>830</v>
      </c>
      <c r="I276" s="217" t="s">
        <v>715</v>
      </c>
      <c r="J276" s="217" t="s">
        <v>1129</v>
      </c>
      <c r="K276" s="217" t="s">
        <v>690</v>
      </c>
      <c r="L276" s="220">
        <v>332695360</v>
      </c>
      <c r="M276" s="206">
        <v>183900048</v>
      </c>
      <c r="N276" s="206">
        <v>148795312</v>
      </c>
      <c r="O276" s="206">
        <v>283702516</v>
      </c>
      <c r="P276" s="206">
        <v>5425717</v>
      </c>
      <c r="Q276" s="206">
        <v>6710645</v>
      </c>
      <c r="R276" s="206">
        <v>3799292</v>
      </c>
      <c r="S276" s="207">
        <v>10950000</v>
      </c>
      <c r="T276" s="207">
        <v>546085</v>
      </c>
      <c r="U276" s="207">
        <v>5798907</v>
      </c>
      <c r="V276" s="207">
        <v>0</v>
      </c>
      <c r="W276" s="207">
        <f>630+512+809+785+694+89+548+595+674+697+100</f>
        <v>6133</v>
      </c>
      <c r="X276" s="207">
        <v>0</v>
      </c>
      <c r="Z276" s="207">
        <v>65001</v>
      </c>
      <c r="AA276" s="207">
        <v>0</v>
      </c>
      <c r="AB276" s="176">
        <f t="shared" si="380"/>
        <v>5870041</v>
      </c>
      <c r="AC276" s="177">
        <f t="shared" si="357"/>
        <v>53.607680365296808</v>
      </c>
      <c r="AD276" s="177">
        <f t="shared" si="381"/>
        <v>53.819608430411272</v>
      </c>
      <c r="AE276" s="26">
        <f t="shared" si="332"/>
        <v>1.6145882529123381</v>
      </c>
      <c r="AF276" s="178">
        <f t="shared" si="358"/>
        <v>55.737739110709775</v>
      </c>
      <c r="AG276" s="178">
        <f t="shared" si="359"/>
        <v>56.421462497530975</v>
      </c>
      <c r="AH276" s="178">
        <f t="shared" si="382"/>
        <v>0.6837233868211996</v>
      </c>
      <c r="AI276" s="179">
        <f t="shared" si="383"/>
        <v>100</v>
      </c>
      <c r="AJ276" s="30">
        <f t="shared" si="333"/>
        <v>4</v>
      </c>
      <c r="AK276" s="204">
        <v>7</v>
      </c>
      <c r="AL276" s="204">
        <v>36</v>
      </c>
      <c r="AM276" s="204">
        <v>0</v>
      </c>
      <c r="AN276" s="181">
        <f t="shared" si="344"/>
        <v>43</v>
      </c>
      <c r="AO276" s="182">
        <f t="shared" si="345"/>
        <v>0</v>
      </c>
      <c r="AP276" s="183">
        <f t="shared" si="360"/>
        <v>100</v>
      </c>
      <c r="AQ276" s="38">
        <f t="shared" si="334"/>
        <v>2</v>
      </c>
      <c r="AR276" s="212">
        <v>3</v>
      </c>
      <c r="AS276" s="292">
        <f t="shared" si="346"/>
        <v>0.25</v>
      </c>
      <c r="AT276" s="185">
        <f t="shared" si="347"/>
        <v>1.75</v>
      </c>
      <c r="AU276" s="185">
        <f t="shared" si="361"/>
        <v>1</v>
      </c>
      <c r="AV276" s="186">
        <f t="shared" si="348"/>
        <v>28.571428571428569</v>
      </c>
      <c r="AW276" s="179">
        <f t="shared" si="362"/>
        <v>80</v>
      </c>
      <c r="AX276" s="239">
        <f t="shared" si="335"/>
        <v>0.8</v>
      </c>
      <c r="AY276" s="54">
        <v>11</v>
      </c>
      <c r="AZ276" s="54">
        <v>32</v>
      </c>
      <c r="BA276" s="189">
        <f t="shared" si="349"/>
        <v>33</v>
      </c>
      <c r="BB276" s="178">
        <f t="shared" si="363"/>
        <v>96.969696969696969</v>
      </c>
      <c r="BC276" s="179">
        <f t="shared" si="364"/>
        <v>100</v>
      </c>
      <c r="BD276" s="30">
        <f t="shared" si="336"/>
        <v>1</v>
      </c>
      <c r="BE276" s="190">
        <v>15697973</v>
      </c>
      <c r="BF276" s="190">
        <v>683300</v>
      </c>
      <c r="BG276" s="301">
        <v>0</v>
      </c>
      <c r="BH276" s="191">
        <f t="shared" si="350"/>
        <v>16381273</v>
      </c>
      <c r="BI276" s="178">
        <f t="shared" si="351"/>
        <v>0</v>
      </c>
      <c r="BJ276" s="294" t="str">
        <f t="shared" si="365"/>
        <v>비제조/서비스업</v>
      </c>
      <c r="BK276" s="192">
        <f t="shared" si="366"/>
        <v>1.7464434573900924</v>
      </c>
      <c r="BL276" s="193">
        <f t="shared" si="367"/>
        <v>-1.7464434573900924</v>
      </c>
      <c r="BM276" s="241">
        <f t="shared" si="368"/>
        <v>80</v>
      </c>
      <c r="BN276" s="47">
        <f t="shared" si="369"/>
        <v>1.6</v>
      </c>
      <c r="BO276" s="54">
        <f>(7480-188)*1000</f>
        <v>7292000</v>
      </c>
      <c r="BP276" s="194">
        <f t="shared" si="352"/>
        <v>2.5702979666207826</v>
      </c>
      <c r="BQ276" s="179">
        <f t="shared" si="370"/>
        <v>85</v>
      </c>
      <c r="BR276" s="30">
        <f t="shared" si="337"/>
        <v>1.7</v>
      </c>
      <c r="BS276" s="195">
        <v>159273.79999999999</v>
      </c>
      <c r="BT276" s="195">
        <v>0</v>
      </c>
      <c r="BU276" s="196">
        <f t="shared" si="371"/>
        <v>159273.79999999999</v>
      </c>
      <c r="BV276" s="178">
        <f t="shared" si="353"/>
        <v>5.6141130591876739E-2</v>
      </c>
      <c r="BW276" s="192">
        <f t="shared" si="372"/>
        <v>2.8482825397737606</v>
      </c>
      <c r="BX276" s="192">
        <f t="shared" si="373"/>
        <v>7.7960536488681962</v>
      </c>
      <c r="BY276" s="192">
        <f t="shared" si="374"/>
        <v>5.5697595856656799</v>
      </c>
      <c r="BZ276" s="192">
        <f t="shared" si="375"/>
        <v>69.192131941068212</v>
      </c>
      <c r="CA276" s="192">
        <f t="shared" si="354"/>
        <v>40</v>
      </c>
      <c r="CB276" s="55">
        <f t="shared" si="376"/>
        <v>0.8</v>
      </c>
      <c r="CC276" s="197">
        <f t="shared" si="338"/>
        <v>123.59263576798709</v>
      </c>
      <c r="CD276" s="198">
        <f t="shared" si="339"/>
        <v>53.796745313572707</v>
      </c>
      <c r="CE276" s="58">
        <f t="shared" si="340"/>
        <v>0.80695117970359054</v>
      </c>
      <c r="CF276" s="245" t="s">
        <v>2326</v>
      </c>
      <c r="CG276" s="245" t="s">
        <v>2326</v>
      </c>
      <c r="CH276" s="245" t="s">
        <v>2326</v>
      </c>
      <c r="CI276" s="245" t="s">
        <v>2326</v>
      </c>
      <c r="CJ276" s="235"/>
      <c r="CK276" s="173" t="s">
        <v>2521</v>
      </c>
      <c r="CL276" s="173" t="s">
        <v>2482</v>
      </c>
      <c r="CM276" s="199">
        <f t="shared" si="377"/>
        <v>55</v>
      </c>
      <c r="CN276" s="58">
        <f t="shared" si="341"/>
        <v>0.82499999999999996</v>
      </c>
      <c r="CO276" s="54">
        <v>0</v>
      </c>
      <c r="CP276" s="186">
        <f t="shared" si="355"/>
        <v>0</v>
      </c>
      <c r="CQ276" s="179">
        <f t="shared" si="378"/>
        <v>100</v>
      </c>
      <c r="CR276" s="30">
        <f t="shared" si="342"/>
        <v>3</v>
      </c>
      <c r="CS276" s="200">
        <f>_xlfn.XLOOKUP(C276, '1-1. 관계사체무보증금액 (환율 등)'!$3:$3, '1-1. 관계사체무보증금액 (환율 등)'!$33:$33)</f>
        <v>0</v>
      </c>
      <c r="CT276" s="178">
        <f t="shared" si="356"/>
        <v>0</v>
      </c>
      <c r="CU276" s="179">
        <f t="shared" si="379"/>
        <v>100</v>
      </c>
      <c r="CV276" s="30">
        <f t="shared" si="343"/>
        <v>2</v>
      </c>
      <c r="CW276" s="72">
        <f t="shared" si="384"/>
        <v>20.146539432615928</v>
      </c>
    </row>
    <row r="277" spans="1:101" x14ac:dyDescent="0.6">
      <c r="A277" s="214" t="s">
        <v>1910</v>
      </c>
      <c r="B277" s="13" t="s">
        <v>2258</v>
      </c>
      <c r="C277" s="219" t="s">
        <v>1911</v>
      </c>
      <c r="D277" s="14" t="s">
        <v>203</v>
      </c>
      <c r="E277" s="217" t="s">
        <v>195</v>
      </c>
      <c r="F277" s="217" t="s">
        <v>1912</v>
      </c>
      <c r="G277" s="218">
        <v>25549</v>
      </c>
      <c r="H277" s="217" t="s">
        <v>830</v>
      </c>
      <c r="I277" s="217" t="s">
        <v>1913</v>
      </c>
      <c r="J277" s="217" t="s">
        <v>1914</v>
      </c>
      <c r="K277" s="217" t="s">
        <v>484</v>
      </c>
      <c r="L277" s="220">
        <v>319037628</v>
      </c>
      <c r="M277" s="206">
        <v>46527487</v>
      </c>
      <c r="N277" s="206">
        <v>272510141</v>
      </c>
      <c r="O277" s="206">
        <v>118960265</v>
      </c>
      <c r="P277" s="206">
        <v>9521305</v>
      </c>
      <c r="Q277" s="206">
        <v>26092874</v>
      </c>
      <c r="R277" s="206">
        <v>23518478</v>
      </c>
      <c r="S277" s="207">
        <v>22800500</v>
      </c>
      <c r="T277" s="207">
        <v>1289530</v>
      </c>
      <c r="U277" s="207">
        <v>2897921</v>
      </c>
      <c r="V277" s="207">
        <f>94547+1686184+127529+31111</f>
        <v>1939371</v>
      </c>
      <c r="W277" s="207">
        <v>0</v>
      </c>
      <c r="X277" s="207">
        <v>2084021</v>
      </c>
      <c r="Y277" s="208" t="s">
        <v>2463</v>
      </c>
      <c r="Z277" s="207">
        <v>0</v>
      </c>
      <c r="AA277" s="207">
        <v>0</v>
      </c>
      <c r="AB277" s="176">
        <f t="shared" si="380"/>
        <v>6921313</v>
      </c>
      <c r="AC277" s="177">
        <f t="shared" si="357"/>
        <v>30.355970263810008</v>
      </c>
      <c r="AD277" s="177">
        <f t="shared" si="381"/>
        <v>73.887252361498838</v>
      </c>
      <c r="AE277" s="26">
        <f t="shared" si="332"/>
        <v>2.2166175708449649</v>
      </c>
      <c r="AF277" s="178">
        <f t="shared" si="358"/>
        <v>22.487558673551217</v>
      </c>
      <c r="AG277" s="178">
        <f t="shared" si="359"/>
        <v>32.175736380088857</v>
      </c>
      <c r="AH277" s="178">
        <f t="shared" si="382"/>
        <v>9.6881777065376404</v>
      </c>
      <c r="AI277" s="179">
        <f t="shared" si="383"/>
        <v>100</v>
      </c>
      <c r="AJ277" s="30">
        <f t="shared" si="333"/>
        <v>4</v>
      </c>
      <c r="AK277" s="204">
        <v>7</v>
      </c>
      <c r="AL277" s="204">
        <v>2</v>
      </c>
      <c r="AM277" s="204">
        <v>2</v>
      </c>
      <c r="AN277" s="181">
        <f t="shared" si="344"/>
        <v>9</v>
      </c>
      <c r="AO277" s="182">
        <f t="shared" si="345"/>
        <v>22.222222222222221</v>
      </c>
      <c r="AP277" s="183">
        <f t="shared" si="360"/>
        <v>60</v>
      </c>
      <c r="AQ277" s="38">
        <f t="shared" si="334"/>
        <v>1.2</v>
      </c>
      <c r="AR277" s="212">
        <v>2</v>
      </c>
      <c r="AS277" s="292">
        <f t="shared" si="346"/>
        <v>0.25</v>
      </c>
      <c r="AT277" s="185">
        <f t="shared" si="347"/>
        <v>1.75</v>
      </c>
      <c r="AU277" s="185">
        <f t="shared" si="361"/>
        <v>1</v>
      </c>
      <c r="AV277" s="186">
        <f t="shared" si="348"/>
        <v>14.285714285714285</v>
      </c>
      <c r="AW277" s="179">
        <f t="shared" si="362"/>
        <v>60</v>
      </c>
      <c r="AX277" s="239">
        <f t="shared" si="335"/>
        <v>0.6</v>
      </c>
      <c r="AY277" s="54">
        <v>14</v>
      </c>
      <c r="AZ277" s="54">
        <f>14*2-2</f>
        <v>26</v>
      </c>
      <c r="BA277" s="189">
        <f t="shared" si="349"/>
        <v>28</v>
      </c>
      <c r="BB277" s="178">
        <f t="shared" si="363"/>
        <v>92.857142857142861</v>
      </c>
      <c r="BC277" s="179">
        <f t="shared" si="364"/>
        <v>100</v>
      </c>
      <c r="BD277" s="30">
        <f t="shared" si="336"/>
        <v>1</v>
      </c>
      <c r="BE277" s="190">
        <v>9810883</v>
      </c>
      <c r="BF277" s="190">
        <v>713653</v>
      </c>
      <c r="BG277" s="54">
        <v>104997</v>
      </c>
      <c r="BH277" s="191">
        <f t="shared" si="350"/>
        <v>10524536</v>
      </c>
      <c r="BI277" s="178">
        <f t="shared" si="351"/>
        <v>0.99764018100180385</v>
      </c>
      <c r="BJ277" s="294" t="str">
        <f t="shared" si="365"/>
        <v>금속/비금속/화학업</v>
      </c>
      <c r="BK277" s="192">
        <f t="shared" si="366"/>
        <v>3.9534118626990464</v>
      </c>
      <c r="BL277" s="193">
        <f t="shared" si="367"/>
        <v>-2.9557716816972426</v>
      </c>
      <c r="BM277" s="241">
        <f t="shared" si="368"/>
        <v>100</v>
      </c>
      <c r="BN277" s="47">
        <f t="shared" si="369"/>
        <v>2</v>
      </c>
      <c r="BO277" s="54">
        <v>489000</v>
      </c>
      <c r="BP277" s="194">
        <f t="shared" si="352"/>
        <v>0.41106162633380144</v>
      </c>
      <c r="BQ277" s="179">
        <f t="shared" si="370"/>
        <v>55</v>
      </c>
      <c r="BR277" s="30">
        <f t="shared" si="337"/>
        <v>1.1000000000000001</v>
      </c>
      <c r="BS277" s="195">
        <v>1615945.2309999999</v>
      </c>
      <c r="BT277" s="195">
        <v>657954.54500000004</v>
      </c>
      <c r="BU277" s="196">
        <f t="shared" si="371"/>
        <v>957990.68599999987</v>
      </c>
      <c r="BV277" s="178">
        <f t="shared" si="353"/>
        <v>0.80530308670714534</v>
      </c>
      <c r="BW277" s="192">
        <f t="shared" si="372"/>
        <v>5.1474158565187729</v>
      </c>
      <c r="BX277" s="192">
        <f t="shared" si="373"/>
        <v>18.853943305761209</v>
      </c>
      <c r="BY277" s="192">
        <f t="shared" si="374"/>
        <v>6.6930498535228526</v>
      </c>
      <c r="BZ277" s="192">
        <f t="shared" si="375"/>
        <v>74.174984933104952</v>
      </c>
      <c r="CA277" s="192">
        <f t="shared" si="354"/>
        <v>40</v>
      </c>
      <c r="CB277" s="55">
        <f t="shared" si="376"/>
        <v>0.8</v>
      </c>
      <c r="CC277" s="197">
        <f t="shared" si="338"/>
        <v>17.073671764750951</v>
      </c>
      <c r="CD277" s="198">
        <f t="shared" si="339"/>
        <v>93.942083505747135</v>
      </c>
      <c r="CE277" s="58">
        <f t="shared" si="340"/>
        <v>1.409131252586207</v>
      </c>
      <c r="CF277" s="245" t="s">
        <v>2326</v>
      </c>
      <c r="CG277" s="245" t="s">
        <v>2326</v>
      </c>
      <c r="CH277" s="245" t="s">
        <v>2326</v>
      </c>
      <c r="CI277" s="245" t="s">
        <v>2326</v>
      </c>
      <c r="CJ277" s="235"/>
      <c r="CK277" s="173" t="s">
        <v>2491</v>
      </c>
      <c r="CL277" s="173" t="s">
        <v>2478</v>
      </c>
      <c r="CM277" s="199">
        <f t="shared" si="377"/>
        <v>25</v>
      </c>
      <c r="CN277" s="58">
        <f t="shared" si="341"/>
        <v>0.375</v>
      </c>
      <c r="CO277" s="54">
        <f>70924000-39150000</f>
        <v>31774000</v>
      </c>
      <c r="CP277" s="186">
        <f t="shared" si="355"/>
        <v>11.659749572402152</v>
      </c>
      <c r="CQ277" s="179">
        <f t="shared" si="378"/>
        <v>60</v>
      </c>
      <c r="CR277" s="30">
        <f t="shared" si="342"/>
        <v>1.7999999999999998</v>
      </c>
      <c r="CS277" s="200">
        <f>_xlfn.XLOOKUP(C277, '1-1. 관계사체무보증금액 (환율 등)'!$3:$3, '1-1. 관계사체무보증금액 (환율 등)'!$33:$33)</f>
        <v>0</v>
      </c>
      <c r="CT277" s="178">
        <f t="shared" si="356"/>
        <v>0</v>
      </c>
      <c r="CU277" s="179">
        <f t="shared" si="379"/>
        <v>100</v>
      </c>
      <c r="CV277" s="30">
        <f t="shared" si="343"/>
        <v>2</v>
      </c>
      <c r="CW277" s="72">
        <f t="shared" si="384"/>
        <v>18.500748823431174</v>
      </c>
    </row>
    <row r="278" spans="1:101" x14ac:dyDescent="0.6">
      <c r="A278" s="214" t="s">
        <v>1915</v>
      </c>
      <c r="B278" s="13" t="s">
        <v>2259</v>
      </c>
      <c r="C278" s="219" t="s">
        <v>887</v>
      </c>
      <c r="D278" s="216" t="s">
        <v>203</v>
      </c>
      <c r="E278" s="217" t="s">
        <v>1209</v>
      </c>
      <c r="F278" s="217" t="s">
        <v>151</v>
      </c>
      <c r="G278" s="218">
        <v>34888</v>
      </c>
      <c r="H278" s="217" t="s">
        <v>830</v>
      </c>
      <c r="I278" s="217" t="s">
        <v>615</v>
      </c>
      <c r="J278" s="217" t="s">
        <v>1094</v>
      </c>
      <c r="K278" s="217" t="s">
        <v>50</v>
      </c>
      <c r="L278" s="220">
        <v>573791494</v>
      </c>
      <c r="M278" s="206">
        <v>172708851</v>
      </c>
      <c r="N278" s="206">
        <v>401082642</v>
      </c>
      <c r="O278" s="206">
        <v>340208179</v>
      </c>
      <c r="P278" s="206">
        <v>28719054</v>
      </c>
      <c r="Q278" s="206">
        <v>9790753</v>
      </c>
      <c r="R278" s="206">
        <v>2174394</v>
      </c>
      <c r="S278" s="207">
        <v>43960757</v>
      </c>
      <c r="T278" s="207">
        <v>938592</v>
      </c>
      <c r="U278" s="207">
        <v>7886235</v>
      </c>
      <c r="V278" s="207">
        <f>10262599-7886235-415126</f>
        <v>1961238</v>
      </c>
      <c r="W278" s="207">
        <v>0</v>
      </c>
      <c r="X278" s="207">
        <v>0</v>
      </c>
      <c r="Z278" s="207">
        <v>415126</v>
      </c>
      <c r="AA278" s="207">
        <v>0</v>
      </c>
      <c r="AB278" s="176">
        <f t="shared" si="380"/>
        <v>10262599</v>
      </c>
      <c r="AC278" s="177">
        <f t="shared" si="357"/>
        <v>23.344909642934493</v>
      </c>
      <c r="AD278" s="177">
        <f t="shared" si="381"/>
        <v>79.938225279400612</v>
      </c>
      <c r="AE278" s="26">
        <f t="shared" si="332"/>
        <v>2.3981467583820182</v>
      </c>
      <c r="AF278" s="178">
        <f t="shared" si="358"/>
        <v>22.889301363611057</v>
      </c>
      <c r="AG278" s="178">
        <f t="shared" si="359"/>
        <v>23.854213287499597</v>
      </c>
      <c r="AH278" s="178">
        <f t="shared" si="382"/>
        <v>0.96491192388853975</v>
      </c>
      <c r="AI278" s="179">
        <f t="shared" si="383"/>
        <v>100</v>
      </c>
      <c r="AJ278" s="30">
        <f t="shared" si="333"/>
        <v>4</v>
      </c>
      <c r="AK278" s="204">
        <v>4</v>
      </c>
      <c r="AL278" s="204">
        <v>31</v>
      </c>
      <c r="AM278" s="204">
        <v>1</v>
      </c>
      <c r="AN278" s="181">
        <f t="shared" si="344"/>
        <v>35</v>
      </c>
      <c r="AO278" s="182">
        <f t="shared" si="345"/>
        <v>2.8571428571428572</v>
      </c>
      <c r="AP278" s="183">
        <f t="shared" si="360"/>
        <v>100</v>
      </c>
      <c r="AQ278" s="38">
        <f t="shared" si="334"/>
        <v>2</v>
      </c>
      <c r="AR278" s="212">
        <v>1</v>
      </c>
      <c r="AS278" s="292">
        <f t="shared" si="346"/>
        <v>0.25</v>
      </c>
      <c r="AT278" s="185">
        <f t="shared" si="347"/>
        <v>1</v>
      </c>
      <c r="AU278" s="185">
        <f t="shared" si="361"/>
        <v>1</v>
      </c>
      <c r="AV278" s="186">
        <f t="shared" si="348"/>
        <v>0</v>
      </c>
      <c r="AW278" s="179">
        <f t="shared" si="362"/>
        <v>40</v>
      </c>
      <c r="AX278" s="239">
        <f t="shared" si="335"/>
        <v>0.4</v>
      </c>
      <c r="AY278" s="54">
        <v>5</v>
      </c>
      <c r="AZ278" s="54">
        <f>5-2</f>
        <v>3</v>
      </c>
      <c r="BA278" s="189">
        <f t="shared" si="349"/>
        <v>5</v>
      </c>
      <c r="BB278" s="178">
        <f t="shared" si="363"/>
        <v>60</v>
      </c>
      <c r="BC278" s="179">
        <f t="shared" si="364"/>
        <v>25</v>
      </c>
      <c r="BD278" s="30">
        <f t="shared" si="336"/>
        <v>0.25</v>
      </c>
      <c r="BE278" s="190">
        <v>7964683</v>
      </c>
      <c r="BF278" s="190">
        <v>1152844</v>
      </c>
      <c r="BG278" s="54">
        <v>452857</v>
      </c>
      <c r="BH278" s="191">
        <f t="shared" si="350"/>
        <v>9117527</v>
      </c>
      <c r="BI278" s="178">
        <f t="shared" si="351"/>
        <v>4.9668841123256344</v>
      </c>
      <c r="BJ278" s="294" t="str">
        <f t="shared" si="365"/>
        <v>금속/비금속/화학업</v>
      </c>
      <c r="BK278" s="192">
        <f t="shared" si="366"/>
        <v>3.9534118626990464</v>
      </c>
      <c r="BL278" s="193">
        <f t="shared" si="367"/>
        <v>1.013472249626588</v>
      </c>
      <c r="BM278" s="241">
        <f t="shared" si="368"/>
        <v>60</v>
      </c>
      <c r="BN278" s="47">
        <f t="shared" si="369"/>
        <v>1.2</v>
      </c>
      <c r="BO278" s="54">
        <v>12443607</v>
      </c>
      <c r="BP278" s="194">
        <f t="shared" si="352"/>
        <v>3.6576448680853142</v>
      </c>
      <c r="BQ278" s="179">
        <f t="shared" si="370"/>
        <v>85</v>
      </c>
      <c r="BR278" s="30">
        <f t="shared" si="337"/>
        <v>1.7</v>
      </c>
      <c r="BS278" s="195">
        <v>27048697</v>
      </c>
      <c r="BT278" s="195">
        <v>25497</v>
      </c>
      <c r="BU278" s="196">
        <f t="shared" si="371"/>
        <v>27023200</v>
      </c>
      <c r="BV278" s="178">
        <f t="shared" si="353"/>
        <v>7.9431364876151322</v>
      </c>
      <c r="BW278" s="192">
        <f t="shared" si="372"/>
        <v>5.1474158565187729</v>
      </c>
      <c r="BX278" s="192">
        <f t="shared" si="373"/>
        <v>7.8160538471378258</v>
      </c>
      <c r="BY278" s="192">
        <f t="shared" si="374"/>
        <v>6.6930498535228526</v>
      </c>
      <c r="BZ278" s="192">
        <f t="shared" si="375"/>
        <v>33.808139486221286</v>
      </c>
      <c r="CA278" s="192">
        <f t="shared" si="354"/>
        <v>70</v>
      </c>
      <c r="CB278" s="55">
        <f t="shared" si="376"/>
        <v>1.4000000000000001</v>
      </c>
      <c r="CC278" s="197">
        <f t="shared" si="338"/>
        <v>43.060664540052571</v>
      </c>
      <c r="CD278" s="198">
        <f t="shared" si="339"/>
        <v>84.147990751236463</v>
      </c>
      <c r="CE278" s="58">
        <f t="shared" si="340"/>
        <v>1.2622198612685469</v>
      </c>
      <c r="CF278" s="245" t="s">
        <v>2326</v>
      </c>
      <c r="CG278" s="245" t="s">
        <v>2326</v>
      </c>
      <c r="CH278" s="245" t="s">
        <v>2326</v>
      </c>
      <c r="CI278" s="245" t="s">
        <v>2326</v>
      </c>
      <c r="CJ278" s="235"/>
      <c r="CK278" s="173" t="s">
        <v>2522</v>
      </c>
      <c r="CL278" s="173" t="s">
        <v>2487</v>
      </c>
      <c r="CM278" s="199">
        <f t="shared" si="377"/>
        <v>70</v>
      </c>
      <c r="CN278" s="58">
        <f t="shared" si="341"/>
        <v>1.05</v>
      </c>
      <c r="CO278" s="54">
        <v>13249000</v>
      </c>
      <c r="CP278" s="186">
        <f t="shared" si="355"/>
        <v>3.3033092466763994</v>
      </c>
      <c r="CQ278" s="179">
        <f t="shared" si="378"/>
        <v>80</v>
      </c>
      <c r="CR278" s="30">
        <f t="shared" si="342"/>
        <v>2.4</v>
      </c>
      <c r="CS278" s="200">
        <f>_xlfn.XLOOKUP(C278, '1-1. 관계사체무보증금액 (환율 등)'!$3:$3, '1-1. 관계사체무보증금액 (환율 등)'!$33:$33)</f>
        <v>11502620</v>
      </c>
      <c r="CT278" s="178">
        <f t="shared" si="356"/>
        <v>2.8678927471510973</v>
      </c>
      <c r="CU278" s="179">
        <f t="shared" si="379"/>
        <v>100</v>
      </c>
      <c r="CV278" s="30">
        <f t="shared" si="343"/>
        <v>2</v>
      </c>
      <c r="CW278" s="72">
        <f t="shared" si="384"/>
        <v>20.060366619650566</v>
      </c>
    </row>
    <row r="279" spans="1:101" x14ac:dyDescent="0.6">
      <c r="A279" s="214" t="s">
        <v>1916</v>
      </c>
      <c r="B279" s="13" t="s">
        <v>2260</v>
      </c>
      <c r="C279" s="219" t="s">
        <v>1917</v>
      </c>
      <c r="D279" s="14" t="s">
        <v>203</v>
      </c>
      <c r="E279" s="217" t="s">
        <v>195</v>
      </c>
      <c r="F279" s="217" t="s">
        <v>1918</v>
      </c>
      <c r="G279" s="218">
        <v>32825</v>
      </c>
      <c r="H279" s="217" t="s">
        <v>830</v>
      </c>
      <c r="I279" s="217" t="s">
        <v>1919</v>
      </c>
      <c r="J279" s="217" t="s">
        <v>1920</v>
      </c>
      <c r="K279" s="217" t="s">
        <v>50</v>
      </c>
      <c r="L279" s="220">
        <v>549828404</v>
      </c>
      <c r="M279" s="206">
        <v>348575829</v>
      </c>
      <c r="N279" s="206">
        <v>201252575</v>
      </c>
      <c r="O279" s="206">
        <v>795939631</v>
      </c>
      <c r="P279" s="206">
        <v>30699585</v>
      </c>
      <c r="Q279" s="206">
        <v>32334911</v>
      </c>
      <c r="R279" s="206">
        <v>40221401</v>
      </c>
      <c r="S279" s="207">
        <v>60589598</v>
      </c>
      <c r="T279" s="207">
        <v>0</v>
      </c>
      <c r="U279" s="207">
        <f>22276235</f>
        <v>22276235</v>
      </c>
      <c r="V279" s="207">
        <f>397870+206703+384908+468770+148148+41341</f>
        <v>1647740</v>
      </c>
      <c r="W279" s="207">
        <f>14815+74666+44445+37038*2</f>
        <v>208002</v>
      </c>
      <c r="X279" s="207">
        <v>0</v>
      </c>
      <c r="Z279" s="207">
        <v>4909164</v>
      </c>
      <c r="AA279" s="207">
        <v>0</v>
      </c>
      <c r="AB279" s="176">
        <f t="shared" si="380"/>
        <v>29041141</v>
      </c>
      <c r="AC279" s="177">
        <f t="shared" si="357"/>
        <v>47.930902264774886</v>
      </c>
      <c r="AD279" s="177">
        <f t="shared" si="381"/>
        <v>58.719014155832951</v>
      </c>
      <c r="AE279" s="26">
        <f t="shared" si="332"/>
        <v>1.7615704246749886</v>
      </c>
      <c r="AF279" s="178">
        <f t="shared" si="358"/>
        <v>39.485284256218364</v>
      </c>
      <c r="AG279" s="178">
        <f t="shared" si="359"/>
        <v>47.930902264774886</v>
      </c>
      <c r="AH279" s="178">
        <f t="shared" si="382"/>
        <v>8.4456180085565222</v>
      </c>
      <c r="AI279" s="179">
        <f t="shared" si="383"/>
        <v>100</v>
      </c>
      <c r="AJ279" s="30">
        <f t="shared" si="333"/>
        <v>4</v>
      </c>
      <c r="AK279" s="204">
        <v>8</v>
      </c>
      <c r="AL279" s="204">
        <v>5</v>
      </c>
      <c r="AM279" s="204">
        <v>1</v>
      </c>
      <c r="AN279" s="181">
        <f t="shared" si="344"/>
        <v>13</v>
      </c>
      <c r="AO279" s="182">
        <f t="shared" si="345"/>
        <v>7.6923076923076925</v>
      </c>
      <c r="AP279" s="183">
        <f t="shared" si="360"/>
        <v>100</v>
      </c>
      <c r="AQ279" s="38">
        <f t="shared" si="334"/>
        <v>2</v>
      </c>
      <c r="AR279" s="212">
        <v>3</v>
      </c>
      <c r="AS279" s="292">
        <f t="shared" si="346"/>
        <v>0.25</v>
      </c>
      <c r="AT279" s="185">
        <f t="shared" si="347"/>
        <v>2</v>
      </c>
      <c r="AU279" s="185">
        <f t="shared" si="361"/>
        <v>2</v>
      </c>
      <c r="AV279" s="186">
        <f t="shared" si="348"/>
        <v>12.5</v>
      </c>
      <c r="AW279" s="179">
        <f t="shared" si="362"/>
        <v>60</v>
      </c>
      <c r="AX279" s="239">
        <f t="shared" si="335"/>
        <v>0.6</v>
      </c>
      <c r="AY279" s="54">
        <v>18</v>
      </c>
      <c r="AZ279" s="54">
        <f>18*3-18</f>
        <v>36</v>
      </c>
      <c r="BA279" s="189">
        <f t="shared" si="349"/>
        <v>54</v>
      </c>
      <c r="BB279" s="178">
        <f t="shared" si="363"/>
        <v>66.666666666666657</v>
      </c>
      <c r="BC279" s="179">
        <f t="shared" si="364"/>
        <v>25</v>
      </c>
      <c r="BD279" s="30">
        <f t="shared" si="336"/>
        <v>0.25</v>
      </c>
      <c r="BE279" s="190">
        <v>5040331</v>
      </c>
      <c r="BF279" s="190">
        <v>510773</v>
      </c>
      <c r="BG279" s="301">
        <v>0</v>
      </c>
      <c r="BH279" s="191">
        <f t="shared" si="350"/>
        <v>5551104</v>
      </c>
      <c r="BI279" s="178">
        <f t="shared" si="351"/>
        <v>0</v>
      </c>
      <c r="BJ279" s="294" t="str">
        <f t="shared" si="365"/>
        <v>금속/비금속/화학업</v>
      </c>
      <c r="BK279" s="192">
        <f t="shared" si="366"/>
        <v>3.9534118626990464</v>
      </c>
      <c r="BL279" s="193">
        <f t="shared" si="367"/>
        <v>-3.9534118626990464</v>
      </c>
      <c r="BM279" s="241">
        <f t="shared" si="368"/>
        <v>100</v>
      </c>
      <c r="BN279" s="47">
        <f t="shared" si="369"/>
        <v>2</v>
      </c>
      <c r="BO279" s="54">
        <v>0</v>
      </c>
      <c r="BP279" s="194">
        <f t="shared" si="352"/>
        <v>0</v>
      </c>
      <c r="BQ279" s="179">
        <f t="shared" si="370"/>
        <v>25</v>
      </c>
      <c r="BR279" s="30">
        <f t="shared" si="337"/>
        <v>0.5</v>
      </c>
      <c r="BS279" s="195">
        <v>58167574.553999998</v>
      </c>
      <c r="BT279" s="195">
        <v>92000</v>
      </c>
      <c r="BU279" s="196">
        <f t="shared" si="371"/>
        <v>58075574.553999998</v>
      </c>
      <c r="BV279" s="178">
        <f t="shared" si="353"/>
        <v>7.2964798198369891</v>
      </c>
      <c r="BW279" s="192">
        <f t="shared" si="372"/>
        <v>5.1474158565187729</v>
      </c>
      <c r="BX279" s="192">
        <f t="shared" si="373"/>
        <v>4.6184759184329991</v>
      </c>
      <c r="BY279" s="192">
        <f t="shared" si="374"/>
        <v>6.6930498535228526</v>
      </c>
      <c r="BZ279" s="192">
        <f t="shared" si="375"/>
        <v>37.407151384890405</v>
      </c>
      <c r="CA279" s="192">
        <f t="shared" si="354"/>
        <v>55</v>
      </c>
      <c r="CB279" s="55">
        <f t="shared" si="376"/>
        <v>1.1000000000000001</v>
      </c>
      <c r="CC279" s="197">
        <f t="shared" si="338"/>
        <v>173.20316472969353</v>
      </c>
      <c r="CD279" s="198">
        <f t="shared" si="339"/>
        <v>35.099309775241139</v>
      </c>
      <c r="CE279" s="58">
        <f t="shared" si="340"/>
        <v>0.52648964662861708</v>
      </c>
      <c r="CF279" s="245" t="s">
        <v>2326</v>
      </c>
      <c r="CG279" s="245" t="s">
        <v>2326</v>
      </c>
      <c r="CH279" s="245" t="s">
        <v>2326</v>
      </c>
      <c r="CI279" s="245" t="s">
        <v>2326</v>
      </c>
      <c r="CJ279" s="235"/>
      <c r="CK279" s="173" t="s">
        <v>2479</v>
      </c>
      <c r="CL279" s="173" t="s">
        <v>2478</v>
      </c>
      <c r="CM279" s="199">
        <f t="shared" si="377"/>
        <v>25</v>
      </c>
      <c r="CN279" s="58">
        <f t="shared" si="341"/>
        <v>0.375</v>
      </c>
      <c r="CO279" s="54">
        <v>0</v>
      </c>
      <c r="CP279" s="186">
        <f t="shared" si="355"/>
        <v>0</v>
      </c>
      <c r="CQ279" s="179">
        <f t="shared" si="378"/>
        <v>100</v>
      </c>
      <c r="CR279" s="30">
        <f t="shared" si="342"/>
        <v>3</v>
      </c>
      <c r="CS279" s="200">
        <f>_xlfn.XLOOKUP(C279, '1-1. 관계사체무보증금액 (환율 등)'!$3:$3, '1-1. 관계사체무보증금액 (환율 등)'!$33:$33)</f>
        <v>0</v>
      </c>
      <c r="CT279" s="178">
        <f t="shared" si="356"/>
        <v>0</v>
      </c>
      <c r="CU279" s="179">
        <f t="shared" si="379"/>
        <v>100</v>
      </c>
      <c r="CV279" s="30">
        <f t="shared" si="343"/>
        <v>2</v>
      </c>
      <c r="CW279" s="72">
        <f t="shared" si="384"/>
        <v>18.113060071303607</v>
      </c>
    </row>
    <row r="280" spans="1:101" x14ac:dyDescent="0.6">
      <c r="A280" s="214" t="s">
        <v>794</v>
      </c>
      <c r="B280" s="13" t="s">
        <v>2261</v>
      </c>
      <c r="C280" s="219" t="s">
        <v>516</v>
      </c>
      <c r="D280" s="216" t="s">
        <v>191</v>
      </c>
      <c r="E280" s="217" t="s">
        <v>34</v>
      </c>
      <c r="F280" s="217" t="s">
        <v>642</v>
      </c>
      <c r="G280" s="218">
        <v>27941</v>
      </c>
      <c r="H280" s="217" t="s">
        <v>830</v>
      </c>
      <c r="I280" s="217" t="s">
        <v>284</v>
      </c>
      <c r="J280" s="217" t="s">
        <v>1146</v>
      </c>
      <c r="K280" s="217" t="s">
        <v>91</v>
      </c>
      <c r="L280" s="220">
        <v>888665301</v>
      </c>
      <c r="M280" s="206">
        <v>485651737</v>
      </c>
      <c r="N280" s="206">
        <v>403013565</v>
      </c>
      <c r="O280" s="206">
        <v>536574431</v>
      </c>
      <c r="P280" s="206">
        <v>29103159</v>
      </c>
      <c r="Q280" s="206">
        <v>20616127</v>
      </c>
      <c r="R280" s="206">
        <v>17834953</v>
      </c>
      <c r="S280" s="207">
        <v>13763533</v>
      </c>
      <c r="T280" s="207">
        <v>0</v>
      </c>
      <c r="U280" s="207">
        <v>1878397</v>
      </c>
      <c r="V280" s="207">
        <f>5971143-U280-Z280-X280</f>
        <v>1441188</v>
      </c>
      <c r="W280" s="207">
        <f>1736+2119+1500+239+1200+41</f>
        <v>6835</v>
      </c>
      <c r="X280" s="207">
        <v>130000</v>
      </c>
      <c r="Y280" s="208" t="s">
        <v>2464</v>
      </c>
      <c r="Z280" s="207">
        <f>2435290+86268</f>
        <v>2521558</v>
      </c>
      <c r="AA280" s="207">
        <v>0</v>
      </c>
      <c r="AB280" s="176">
        <f t="shared" si="380"/>
        <v>5977978</v>
      </c>
      <c r="AC280" s="177">
        <f t="shared" si="357"/>
        <v>43.433455639623922</v>
      </c>
      <c r="AD280" s="177">
        <f t="shared" si="381"/>
        <v>62.600584891003521</v>
      </c>
      <c r="AE280" s="26">
        <f t="shared" si="332"/>
        <v>1.8780175467301055</v>
      </c>
      <c r="AF280" s="178">
        <f t="shared" si="358"/>
        <v>24.118698302245505</v>
      </c>
      <c r="AG280" s="178">
        <f t="shared" si="359"/>
        <v>43.433455639623922</v>
      </c>
      <c r="AH280" s="178">
        <f t="shared" si="382"/>
        <v>19.314757337378417</v>
      </c>
      <c r="AI280" s="179">
        <f t="shared" si="383"/>
        <v>80</v>
      </c>
      <c r="AJ280" s="30">
        <f t="shared" si="333"/>
        <v>3.2</v>
      </c>
      <c r="AK280" s="204">
        <v>7</v>
      </c>
      <c r="AL280" s="204">
        <v>12</v>
      </c>
      <c r="AM280" s="204">
        <v>1</v>
      </c>
      <c r="AN280" s="181">
        <f t="shared" si="344"/>
        <v>19</v>
      </c>
      <c r="AO280" s="182">
        <f t="shared" si="345"/>
        <v>5.2631578947368416</v>
      </c>
      <c r="AP280" s="183">
        <f t="shared" si="360"/>
        <v>100</v>
      </c>
      <c r="AQ280" s="38">
        <f t="shared" si="334"/>
        <v>2</v>
      </c>
      <c r="AR280" s="212">
        <v>3</v>
      </c>
      <c r="AS280" s="292">
        <f t="shared" si="346"/>
        <v>0.25</v>
      </c>
      <c r="AT280" s="185">
        <f t="shared" si="347"/>
        <v>1.75</v>
      </c>
      <c r="AU280" s="185">
        <f t="shared" si="361"/>
        <v>1</v>
      </c>
      <c r="AV280" s="186">
        <f t="shared" si="348"/>
        <v>28.571428571428569</v>
      </c>
      <c r="AW280" s="179">
        <f t="shared" si="362"/>
        <v>80</v>
      </c>
      <c r="AX280" s="239">
        <f t="shared" si="335"/>
        <v>0.8</v>
      </c>
      <c r="AY280" s="54">
        <v>8</v>
      </c>
      <c r="AZ280" s="54">
        <v>24</v>
      </c>
      <c r="BA280" s="189">
        <f t="shared" si="349"/>
        <v>24</v>
      </c>
      <c r="BB280" s="178">
        <f t="shared" si="363"/>
        <v>100</v>
      </c>
      <c r="BC280" s="179">
        <f t="shared" si="364"/>
        <v>100</v>
      </c>
      <c r="BD280" s="30">
        <f t="shared" si="336"/>
        <v>1</v>
      </c>
      <c r="BE280" s="190">
        <v>46611498</v>
      </c>
      <c r="BF280" s="190">
        <v>5686166</v>
      </c>
      <c r="BG280" s="301">
        <v>0</v>
      </c>
      <c r="BH280" s="191">
        <f t="shared" si="350"/>
        <v>52297664</v>
      </c>
      <c r="BI280" s="178">
        <f t="shared" si="351"/>
        <v>0</v>
      </c>
      <c r="BJ280" s="294" t="str">
        <f t="shared" si="365"/>
        <v>식약/섬유/종이업</v>
      </c>
      <c r="BK280" s="192">
        <f t="shared" si="366"/>
        <v>2.1999360555264444</v>
      </c>
      <c r="BL280" s="193">
        <f t="shared" si="367"/>
        <v>-2.1999360555264444</v>
      </c>
      <c r="BM280" s="241">
        <f t="shared" si="368"/>
        <v>100</v>
      </c>
      <c r="BN280" s="47">
        <f t="shared" si="369"/>
        <v>2</v>
      </c>
      <c r="BO280" s="54">
        <v>30588412.019000001</v>
      </c>
      <c r="BP280" s="194">
        <f t="shared" si="352"/>
        <v>5.7006838663544146</v>
      </c>
      <c r="BQ280" s="179">
        <f t="shared" si="370"/>
        <v>100</v>
      </c>
      <c r="BR280" s="30">
        <f t="shared" si="337"/>
        <v>2</v>
      </c>
      <c r="BS280" s="195">
        <v>36163969.089000002</v>
      </c>
      <c r="BT280" s="195">
        <v>211588.861</v>
      </c>
      <c r="BU280" s="196">
        <f t="shared" si="371"/>
        <v>35952380.228</v>
      </c>
      <c r="BV280" s="178">
        <f t="shared" si="353"/>
        <v>6.7003528589680412</v>
      </c>
      <c r="BW280" s="192">
        <f t="shared" si="372"/>
        <v>5.0508176117342281</v>
      </c>
      <c r="BX280" s="192">
        <f t="shared" si="373"/>
        <v>2.7209665318667171</v>
      </c>
      <c r="BY280" s="192">
        <f t="shared" si="374"/>
        <v>6.9871618081220941</v>
      </c>
      <c r="BZ280" s="192">
        <f t="shared" si="375"/>
        <v>40.668495848952368</v>
      </c>
      <c r="CA280" s="192">
        <f t="shared" si="354"/>
        <v>55</v>
      </c>
      <c r="CB280" s="55">
        <f t="shared" si="376"/>
        <v>1.1000000000000001</v>
      </c>
      <c r="CC280" s="197">
        <f t="shared" si="338"/>
        <v>120.50505967460425</v>
      </c>
      <c r="CD280" s="198">
        <f t="shared" si="339"/>
        <v>54.960404645249653</v>
      </c>
      <c r="CE280" s="58">
        <f t="shared" si="340"/>
        <v>0.82440606967874475</v>
      </c>
      <c r="CF280" s="245" t="s">
        <v>2326</v>
      </c>
      <c r="CG280" s="245" t="s">
        <v>2326</v>
      </c>
      <c r="CH280" s="245" t="s">
        <v>2326</v>
      </c>
      <c r="CI280" s="245" t="s">
        <v>2326</v>
      </c>
      <c r="CJ280" s="235"/>
      <c r="CK280" s="173" t="s">
        <v>2492</v>
      </c>
      <c r="CL280" s="173" t="s">
        <v>2493</v>
      </c>
      <c r="CM280" s="199">
        <f t="shared" si="377"/>
        <v>40</v>
      </c>
      <c r="CN280" s="58">
        <f t="shared" si="341"/>
        <v>0.6</v>
      </c>
      <c r="CO280" s="54">
        <v>17345000</v>
      </c>
      <c r="CP280" s="186">
        <f t="shared" si="355"/>
        <v>4.3038253563499778</v>
      </c>
      <c r="CQ280" s="179">
        <f t="shared" si="378"/>
        <v>80</v>
      </c>
      <c r="CR280" s="30">
        <f t="shared" si="342"/>
        <v>2.4</v>
      </c>
      <c r="CS280" s="200">
        <f>_xlfn.XLOOKUP(C280, '1-1. 관계사체무보증금액 (환율 등)'!$3:$3, '1-1. 관계사체무보증금액 (환율 등)'!$33:$33)</f>
        <v>0</v>
      </c>
      <c r="CT280" s="178">
        <f t="shared" si="356"/>
        <v>0</v>
      </c>
      <c r="CU280" s="179">
        <f t="shared" si="379"/>
        <v>100</v>
      </c>
      <c r="CV280" s="30">
        <f t="shared" si="343"/>
        <v>2</v>
      </c>
      <c r="CW280" s="72">
        <f t="shared" si="384"/>
        <v>19.802423616408849</v>
      </c>
    </row>
    <row r="281" spans="1:101" x14ac:dyDescent="0.6">
      <c r="A281" s="214" t="s">
        <v>43</v>
      </c>
      <c r="B281" s="13" t="s">
        <v>2262</v>
      </c>
      <c r="C281" s="219" t="s">
        <v>298</v>
      </c>
      <c r="D281" s="216" t="s">
        <v>285</v>
      </c>
      <c r="E281" s="217" t="s">
        <v>1167</v>
      </c>
      <c r="F281" s="217" t="s">
        <v>385</v>
      </c>
      <c r="G281" s="218">
        <v>39987</v>
      </c>
      <c r="H281" s="217" t="s">
        <v>830</v>
      </c>
      <c r="I281" s="217" t="s">
        <v>274</v>
      </c>
      <c r="J281" s="217" t="s">
        <v>1244</v>
      </c>
      <c r="K281" s="217" t="s">
        <v>91</v>
      </c>
      <c r="L281" s="220">
        <v>217613616</v>
      </c>
      <c r="M281" s="206">
        <v>69409850</v>
      </c>
      <c r="N281" s="206">
        <v>148203766</v>
      </c>
      <c r="O281" s="206">
        <v>174397667</v>
      </c>
      <c r="P281" s="206">
        <v>12289879</v>
      </c>
      <c r="Q281" s="206">
        <v>16933913</v>
      </c>
      <c r="R281" s="206">
        <v>14379092</v>
      </c>
      <c r="S281" s="207">
        <v>10957550</v>
      </c>
      <c r="T281" s="207">
        <v>786000</v>
      </c>
      <c r="U281" s="207">
        <v>1139920</v>
      </c>
      <c r="V281" s="207">
        <v>0</v>
      </c>
      <c r="W281" s="207">
        <f>700+410+1000+310+2000+10+3000</f>
        <v>7430</v>
      </c>
      <c r="X281" s="207">
        <v>700989</v>
      </c>
      <c r="Y281" s="208" t="s">
        <v>2465</v>
      </c>
      <c r="Z281" s="207">
        <v>0</v>
      </c>
      <c r="AA281" s="207">
        <v>0</v>
      </c>
      <c r="AB281" s="176">
        <f t="shared" si="380"/>
        <v>1848339</v>
      </c>
      <c r="AC281" s="177">
        <f t="shared" si="357"/>
        <v>16.868177649200781</v>
      </c>
      <c r="AD281" s="177">
        <f t="shared" si="381"/>
        <v>85.528040003566645</v>
      </c>
      <c r="AE281" s="26">
        <f t="shared" si="332"/>
        <v>2.5658412001069992</v>
      </c>
      <c r="AF281" s="178">
        <f t="shared" si="358"/>
        <v>11.20694486091107</v>
      </c>
      <c r="AG281" s="178">
        <f t="shared" si="359"/>
        <v>18.171655254115645</v>
      </c>
      <c r="AH281" s="178">
        <f t="shared" si="382"/>
        <v>6.9647103932045749</v>
      </c>
      <c r="AI281" s="179">
        <f t="shared" si="383"/>
        <v>100</v>
      </c>
      <c r="AJ281" s="30">
        <f t="shared" si="333"/>
        <v>4</v>
      </c>
      <c r="AK281" s="204">
        <v>9</v>
      </c>
      <c r="AL281" s="204">
        <v>17</v>
      </c>
      <c r="AM281" s="204">
        <v>1</v>
      </c>
      <c r="AN281" s="181">
        <f t="shared" si="344"/>
        <v>26</v>
      </c>
      <c r="AO281" s="182">
        <f t="shared" si="345"/>
        <v>3.8461538461538463</v>
      </c>
      <c r="AP281" s="183">
        <f t="shared" si="360"/>
        <v>100</v>
      </c>
      <c r="AQ281" s="38">
        <f t="shared" si="334"/>
        <v>2</v>
      </c>
      <c r="AR281" s="212">
        <v>3</v>
      </c>
      <c r="AS281" s="292">
        <f t="shared" si="346"/>
        <v>0.25</v>
      </c>
      <c r="AT281" s="185">
        <f t="shared" si="347"/>
        <v>2.25</v>
      </c>
      <c r="AU281" s="185">
        <f t="shared" si="361"/>
        <v>2</v>
      </c>
      <c r="AV281" s="186">
        <f t="shared" si="348"/>
        <v>11.111111111111111</v>
      </c>
      <c r="AW281" s="179">
        <f t="shared" si="362"/>
        <v>60</v>
      </c>
      <c r="AX281" s="239">
        <f t="shared" si="335"/>
        <v>0.6</v>
      </c>
      <c r="AY281" s="54">
        <v>17</v>
      </c>
      <c r="AZ281" s="54">
        <f>17*3</f>
        <v>51</v>
      </c>
      <c r="BA281" s="189">
        <f t="shared" si="349"/>
        <v>51</v>
      </c>
      <c r="BB281" s="178">
        <f t="shared" si="363"/>
        <v>100</v>
      </c>
      <c r="BC281" s="179">
        <f t="shared" si="364"/>
        <v>100</v>
      </c>
      <c r="BD281" s="30">
        <f t="shared" si="336"/>
        <v>1</v>
      </c>
      <c r="BE281" s="190">
        <f>16558389*90253907/(90253907+6491953)</f>
        <v>15447268.76039784</v>
      </c>
      <c r="BF281" s="190">
        <f>16558389*6491953/(90253907+6491953)</f>
        <v>1111120.2396021597</v>
      </c>
      <c r="BG281" s="301">
        <v>0</v>
      </c>
      <c r="BH281" s="191">
        <f t="shared" si="350"/>
        <v>16558389</v>
      </c>
      <c r="BI281" s="178">
        <f t="shared" si="351"/>
        <v>0</v>
      </c>
      <c r="BJ281" s="294" t="str">
        <f t="shared" si="365"/>
        <v>비제조/서비스업</v>
      </c>
      <c r="BK281" s="192">
        <f t="shared" si="366"/>
        <v>1.7464434573900924</v>
      </c>
      <c r="BL281" s="193">
        <f t="shared" si="367"/>
        <v>-1.7464434573900924</v>
      </c>
      <c r="BM281" s="241">
        <f t="shared" si="368"/>
        <v>80</v>
      </c>
      <c r="BN281" s="47">
        <f t="shared" si="369"/>
        <v>1.6</v>
      </c>
      <c r="BO281" s="54">
        <v>2168602</v>
      </c>
      <c r="BP281" s="194">
        <f t="shared" si="352"/>
        <v>1.2434810839528032</v>
      </c>
      <c r="BQ281" s="179">
        <f t="shared" si="370"/>
        <v>70</v>
      </c>
      <c r="BR281" s="30">
        <f t="shared" si="337"/>
        <v>1.4000000000000001</v>
      </c>
      <c r="BS281" s="195">
        <v>374745.27299999999</v>
      </c>
      <c r="BT281" s="195">
        <v>10557.005999999999</v>
      </c>
      <c r="BU281" s="196">
        <f t="shared" si="371"/>
        <v>364188.26699999999</v>
      </c>
      <c r="BV281" s="178">
        <f t="shared" si="353"/>
        <v>0.20882634112301515</v>
      </c>
      <c r="BW281" s="192">
        <f t="shared" si="372"/>
        <v>2.8482825397737606</v>
      </c>
      <c r="BX281" s="192">
        <f t="shared" si="373"/>
        <v>6.9667290245958418</v>
      </c>
      <c r="BY281" s="192">
        <f t="shared" si="374"/>
        <v>5.5697595856656799</v>
      </c>
      <c r="BZ281" s="192">
        <f t="shared" si="375"/>
        <v>68.22110057817217</v>
      </c>
      <c r="CA281" s="192">
        <f t="shared" si="354"/>
        <v>40</v>
      </c>
      <c r="CB281" s="55">
        <f t="shared" si="376"/>
        <v>0.8</v>
      </c>
      <c r="CC281" s="197">
        <f t="shared" si="338"/>
        <v>46.834066281419595</v>
      </c>
      <c r="CD281" s="198">
        <f t="shared" si="339"/>
        <v>82.725854416550405</v>
      </c>
      <c r="CE281" s="58">
        <f t="shared" si="340"/>
        <v>1.2408878162482559</v>
      </c>
      <c r="CF281" s="245" t="s">
        <v>2326</v>
      </c>
      <c r="CG281" s="245" t="s">
        <v>2326</v>
      </c>
      <c r="CH281" s="245" t="s">
        <v>2326</v>
      </c>
      <c r="CI281" s="245" t="s">
        <v>2326</v>
      </c>
      <c r="CJ281" s="235"/>
      <c r="CK281" s="173" t="s">
        <v>2476</v>
      </c>
      <c r="CL281" s="173" t="s">
        <v>2477</v>
      </c>
      <c r="CM281" s="199">
        <f t="shared" si="377"/>
        <v>85</v>
      </c>
      <c r="CN281" s="58">
        <f t="shared" si="341"/>
        <v>1.2749999999999999</v>
      </c>
      <c r="CO281" s="54">
        <v>0</v>
      </c>
      <c r="CP281" s="186">
        <f t="shared" si="355"/>
        <v>0</v>
      </c>
      <c r="CQ281" s="179">
        <f t="shared" si="378"/>
        <v>100</v>
      </c>
      <c r="CR281" s="30">
        <f t="shared" si="342"/>
        <v>3</v>
      </c>
      <c r="CS281" s="200">
        <f>_xlfn.XLOOKUP(C281, '1-1. 관계사체무보증금액 (환율 등)'!$3:$3, '1-1. 관계사체무보증금액 (환율 등)'!$33:$33)</f>
        <v>4439629939.12677</v>
      </c>
      <c r="CT281" s="178">
        <f t="shared" si="356"/>
        <v>2995.6255896538892</v>
      </c>
      <c r="CU281" s="179">
        <f t="shared" si="379"/>
        <v>20</v>
      </c>
      <c r="CV281" s="30">
        <f t="shared" si="343"/>
        <v>0.4</v>
      </c>
      <c r="CW281" s="72">
        <f t="shared" si="384"/>
        <v>19.881729016355251</v>
      </c>
    </row>
    <row r="282" spans="1:101" x14ac:dyDescent="0.6">
      <c r="A282" s="214" t="s">
        <v>935</v>
      </c>
      <c r="B282" s="13" t="s">
        <v>2263</v>
      </c>
      <c r="C282" s="219" t="s">
        <v>463</v>
      </c>
      <c r="D282" s="216" t="s">
        <v>202</v>
      </c>
      <c r="E282" s="217" t="s">
        <v>572</v>
      </c>
      <c r="F282" s="217" t="s">
        <v>660</v>
      </c>
      <c r="G282" s="218">
        <v>38555</v>
      </c>
      <c r="H282" s="217" t="s">
        <v>830</v>
      </c>
      <c r="I282" s="217" t="s">
        <v>764</v>
      </c>
      <c r="J282" s="217" t="s">
        <v>1224</v>
      </c>
      <c r="K282" s="217" t="s">
        <v>346</v>
      </c>
      <c r="L282" s="220">
        <v>441490503</v>
      </c>
      <c r="M282" s="206">
        <v>66273961</v>
      </c>
      <c r="N282" s="206">
        <v>375216542</v>
      </c>
      <c r="O282" s="206">
        <v>323948862</v>
      </c>
      <c r="P282" s="206">
        <v>109531252</v>
      </c>
      <c r="Q282" s="206">
        <v>126178452</v>
      </c>
      <c r="R282" s="206">
        <v>91469843</v>
      </c>
      <c r="S282" s="207">
        <v>97339302</v>
      </c>
      <c r="T282" s="207">
        <v>0</v>
      </c>
      <c r="U282" s="207">
        <v>34562450</v>
      </c>
      <c r="V282" s="207">
        <f>55041625-U282-Z282</f>
        <v>19302768</v>
      </c>
      <c r="W282" s="207">
        <v>51524</v>
      </c>
      <c r="X282" s="207">
        <v>0</v>
      </c>
      <c r="Z282" s="207">
        <f>318333+858074</f>
        <v>1176407</v>
      </c>
      <c r="AA282" s="207">
        <f>858074+148960</f>
        <v>1007034</v>
      </c>
      <c r="AB282" s="176">
        <f t="shared" si="380"/>
        <v>55093149</v>
      </c>
      <c r="AC282" s="177">
        <f t="shared" si="357"/>
        <v>56.59907957835982</v>
      </c>
      <c r="AD282" s="177">
        <f t="shared" si="381"/>
        <v>51.237848465167019</v>
      </c>
      <c r="AE282" s="26">
        <f t="shared" si="332"/>
        <v>1.5371354539550106</v>
      </c>
      <c r="AF282" s="178">
        <f t="shared" si="358"/>
        <v>55.916069577018575</v>
      </c>
      <c r="AG282" s="178">
        <f t="shared" si="359"/>
        <v>56.145376957179082</v>
      </c>
      <c r="AH282" s="178">
        <f t="shared" si="382"/>
        <v>0.22930738016050611</v>
      </c>
      <c r="AI282" s="179">
        <f t="shared" si="383"/>
        <v>100</v>
      </c>
      <c r="AJ282" s="30">
        <f t="shared" si="333"/>
        <v>4</v>
      </c>
      <c r="AK282" s="204">
        <v>4</v>
      </c>
      <c r="AL282" s="204">
        <v>19</v>
      </c>
      <c r="AM282" s="204">
        <v>1</v>
      </c>
      <c r="AN282" s="181">
        <f t="shared" si="344"/>
        <v>23</v>
      </c>
      <c r="AO282" s="182">
        <f t="shared" si="345"/>
        <v>4.3478260869565215</v>
      </c>
      <c r="AP282" s="183">
        <f t="shared" si="360"/>
        <v>100</v>
      </c>
      <c r="AQ282" s="38">
        <f t="shared" si="334"/>
        <v>2</v>
      </c>
      <c r="AR282" s="212">
        <v>1</v>
      </c>
      <c r="AS282" s="292">
        <f t="shared" si="346"/>
        <v>0.25</v>
      </c>
      <c r="AT282" s="185">
        <f t="shared" si="347"/>
        <v>1</v>
      </c>
      <c r="AU282" s="185">
        <f t="shared" si="361"/>
        <v>1</v>
      </c>
      <c r="AV282" s="186">
        <f t="shared" si="348"/>
        <v>0</v>
      </c>
      <c r="AW282" s="179">
        <f t="shared" si="362"/>
        <v>40</v>
      </c>
      <c r="AX282" s="239">
        <f t="shared" si="335"/>
        <v>0.4</v>
      </c>
      <c r="AY282" s="54">
        <v>13</v>
      </c>
      <c r="AZ282" s="54">
        <v>13</v>
      </c>
      <c r="BA282" s="189">
        <f t="shared" si="349"/>
        <v>13</v>
      </c>
      <c r="BB282" s="178">
        <f t="shared" si="363"/>
        <v>100</v>
      </c>
      <c r="BC282" s="179">
        <f t="shared" si="364"/>
        <v>100</v>
      </c>
      <c r="BD282" s="30">
        <f t="shared" si="336"/>
        <v>1</v>
      </c>
      <c r="BE282" s="190">
        <v>11729820</v>
      </c>
      <c r="BF282" s="190">
        <v>613673</v>
      </c>
      <c r="BG282" s="54">
        <v>573393</v>
      </c>
      <c r="BH282" s="191">
        <f t="shared" si="350"/>
        <v>12343493</v>
      </c>
      <c r="BI282" s="178">
        <f t="shared" si="351"/>
        <v>4.645305830367465</v>
      </c>
      <c r="BJ282" s="294" t="str">
        <f t="shared" si="365"/>
        <v>전기전자/기계업</v>
      </c>
      <c r="BK282" s="192">
        <f t="shared" si="366"/>
        <v>2.4096449716116455</v>
      </c>
      <c r="BL282" s="193">
        <f t="shared" si="367"/>
        <v>2.2356608587558195</v>
      </c>
      <c r="BM282" s="241">
        <f t="shared" si="368"/>
        <v>40</v>
      </c>
      <c r="BN282" s="47">
        <f t="shared" si="369"/>
        <v>0.8</v>
      </c>
      <c r="BO282" s="54">
        <v>20394000</v>
      </c>
      <c r="BP282" s="194">
        <f t="shared" si="352"/>
        <v>6.2954380744205247</v>
      </c>
      <c r="BQ282" s="179">
        <f t="shared" si="370"/>
        <v>100</v>
      </c>
      <c r="BR282" s="30">
        <f t="shared" si="337"/>
        <v>2</v>
      </c>
      <c r="BS282" s="195">
        <v>9082536.2960000001</v>
      </c>
      <c r="BT282" s="195">
        <v>999727.272</v>
      </c>
      <c r="BU282" s="196">
        <f t="shared" si="371"/>
        <v>8082809.0240000002</v>
      </c>
      <c r="BV282" s="178">
        <f t="shared" si="353"/>
        <v>2.4950879512581836</v>
      </c>
      <c r="BW282" s="192">
        <f t="shared" si="372"/>
        <v>5.2309968128308268</v>
      </c>
      <c r="BX282" s="192">
        <f t="shared" si="373"/>
        <v>7.485197298831717</v>
      </c>
      <c r="BY282" s="192">
        <f t="shared" si="374"/>
        <v>7.0695458012309622</v>
      </c>
      <c r="BZ282" s="192">
        <f t="shared" si="375"/>
        <v>65.062161519251049</v>
      </c>
      <c r="CA282" s="192">
        <f t="shared" si="354"/>
        <v>40</v>
      </c>
      <c r="CB282" s="55">
        <f t="shared" si="376"/>
        <v>0.8</v>
      </c>
      <c r="CC282" s="197">
        <f t="shared" si="338"/>
        <v>17.662856932357744</v>
      </c>
      <c r="CD282" s="198">
        <f t="shared" si="339"/>
        <v>93.720028794337537</v>
      </c>
      <c r="CE282" s="58">
        <f t="shared" si="340"/>
        <v>1.405800431915063</v>
      </c>
      <c r="CF282" s="245" t="s">
        <v>2326</v>
      </c>
      <c r="CG282" s="245" t="s">
        <v>2326</v>
      </c>
      <c r="CH282" s="245" t="s">
        <v>2326</v>
      </c>
      <c r="CI282" s="245" t="s">
        <v>2326</v>
      </c>
      <c r="CJ282" s="235"/>
      <c r="CK282" s="173" t="s">
        <v>2523</v>
      </c>
      <c r="CL282" s="173" t="s">
        <v>2487</v>
      </c>
      <c r="CM282" s="199">
        <f t="shared" si="377"/>
        <v>70</v>
      </c>
      <c r="CN282" s="58">
        <f t="shared" si="341"/>
        <v>1.05</v>
      </c>
      <c r="CO282" s="54">
        <f>1381481+2614346+746279</f>
        <v>4742106</v>
      </c>
      <c r="CP282" s="186">
        <f t="shared" si="355"/>
        <v>1.2638318062213791</v>
      </c>
      <c r="CQ282" s="179">
        <f t="shared" si="378"/>
        <v>100</v>
      </c>
      <c r="CR282" s="30">
        <f t="shared" si="342"/>
        <v>3</v>
      </c>
      <c r="CS282" s="200">
        <f>_xlfn.XLOOKUP(C282, '1-1. 관계사체무보증금액 (환율 등)'!$3:$3, '1-1. 관계사체무보증금액 (환율 등)'!$33:$33)</f>
        <v>0</v>
      </c>
      <c r="CT282" s="178">
        <f t="shared" si="356"/>
        <v>0</v>
      </c>
      <c r="CU282" s="179">
        <f t="shared" si="379"/>
        <v>100</v>
      </c>
      <c r="CV282" s="30">
        <f t="shared" si="343"/>
        <v>2</v>
      </c>
      <c r="CW282" s="72">
        <f t="shared" si="384"/>
        <v>19.992935885870075</v>
      </c>
    </row>
    <row r="283" spans="1:101" x14ac:dyDescent="0.6">
      <c r="A283" s="214" t="s">
        <v>462</v>
      </c>
      <c r="B283" s="13" t="s">
        <v>2264</v>
      </c>
      <c r="C283" s="219" t="s">
        <v>893</v>
      </c>
      <c r="D283" s="216" t="s">
        <v>191</v>
      </c>
      <c r="E283" s="217" t="s">
        <v>34</v>
      </c>
      <c r="F283" s="217" t="s">
        <v>818</v>
      </c>
      <c r="G283" s="218">
        <v>40389</v>
      </c>
      <c r="H283" s="217" t="s">
        <v>830</v>
      </c>
      <c r="I283" s="217" t="s">
        <v>1921</v>
      </c>
      <c r="J283" s="1" t="s">
        <v>2309</v>
      </c>
      <c r="K283" s="217" t="s">
        <v>690</v>
      </c>
      <c r="L283" s="220">
        <v>1399293783</v>
      </c>
      <c r="M283" s="206">
        <v>813470761</v>
      </c>
      <c r="N283" s="206">
        <v>585823022</v>
      </c>
      <c r="O283" s="206">
        <v>982048866</v>
      </c>
      <c r="P283" s="206">
        <v>79110747</v>
      </c>
      <c r="Q283" s="206">
        <v>59432696</v>
      </c>
      <c r="R283" s="206">
        <v>50327230</v>
      </c>
      <c r="S283" s="207">
        <v>12317971</v>
      </c>
      <c r="T283" s="207">
        <v>108607</v>
      </c>
      <c r="U283" s="207">
        <v>5100079</v>
      </c>
      <c r="V283" s="207">
        <v>0</v>
      </c>
      <c r="W283" s="207">
        <f>449+562+559+129+309+658+547+61+117+74+51</f>
        <v>3516</v>
      </c>
      <c r="X283" s="207">
        <v>0</v>
      </c>
      <c r="Z283" s="207">
        <v>0</v>
      </c>
      <c r="AA283" s="207">
        <v>0</v>
      </c>
      <c r="AB283" s="176">
        <f t="shared" si="380"/>
        <v>5103595</v>
      </c>
      <c r="AC283" s="177">
        <f t="shared" si="357"/>
        <v>41.432107609280784</v>
      </c>
      <c r="AD283" s="177">
        <f t="shared" si="381"/>
        <v>64.327870302692077</v>
      </c>
      <c r="AE283" s="26">
        <f t="shared" si="332"/>
        <v>1.9298361090807623</v>
      </c>
      <c r="AF283" s="178">
        <f t="shared" si="358"/>
        <v>41.771864611457239</v>
      </c>
      <c r="AG283" s="178">
        <f t="shared" si="359"/>
        <v>41.800662180274088</v>
      </c>
      <c r="AH283" s="178">
        <f t="shared" si="382"/>
        <v>2.8797568816848695E-2</v>
      </c>
      <c r="AI283" s="179">
        <f t="shared" si="383"/>
        <v>100</v>
      </c>
      <c r="AJ283" s="30">
        <f t="shared" si="333"/>
        <v>4</v>
      </c>
      <c r="AK283" s="204">
        <v>5</v>
      </c>
      <c r="AL283" s="204">
        <v>35</v>
      </c>
      <c r="AM283" s="204">
        <v>1</v>
      </c>
      <c r="AN283" s="181">
        <f t="shared" si="344"/>
        <v>40</v>
      </c>
      <c r="AO283" s="182">
        <f t="shared" si="345"/>
        <v>2.5</v>
      </c>
      <c r="AP283" s="183">
        <f t="shared" si="360"/>
        <v>100</v>
      </c>
      <c r="AQ283" s="38">
        <f t="shared" si="334"/>
        <v>2</v>
      </c>
      <c r="AR283" s="212">
        <v>2</v>
      </c>
      <c r="AS283" s="292">
        <f t="shared" si="346"/>
        <v>0.25</v>
      </c>
      <c r="AT283" s="185">
        <f t="shared" si="347"/>
        <v>1.25</v>
      </c>
      <c r="AU283" s="185">
        <f t="shared" si="361"/>
        <v>1</v>
      </c>
      <c r="AV283" s="186">
        <f t="shared" si="348"/>
        <v>20</v>
      </c>
      <c r="AW283" s="179">
        <f t="shared" si="362"/>
        <v>80</v>
      </c>
      <c r="AX283" s="239">
        <f t="shared" si="335"/>
        <v>0.8</v>
      </c>
      <c r="AY283" s="54">
        <v>8</v>
      </c>
      <c r="AZ283" s="54">
        <v>16</v>
      </c>
      <c r="BA283" s="189">
        <f t="shared" si="349"/>
        <v>16</v>
      </c>
      <c r="BB283" s="178">
        <f t="shared" si="363"/>
        <v>100</v>
      </c>
      <c r="BC283" s="179">
        <f t="shared" si="364"/>
        <v>100</v>
      </c>
      <c r="BD283" s="30">
        <f t="shared" si="336"/>
        <v>1</v>
      </c>
      <c r="BE283" s="190">
        <v>79202956</v>
      </c>
      <c r="BF283" s="190">
        <v>7094563</v>
      </c>
      <c r="BG283" s="301">
        <v>0</v>
      </c>
      <c r="BH283" s="191">
        <f t="shared" si="350"/>
        <v>86297519</v>
      </c>
      <c r="BI283" s="178">
        <f t="shared" si="351"/>
        <v>0</v>
      </c>
      <c r="BJ283" s="294" t="str">
        <f t="shared" si="365"/>
        <v>식약/섬유/종이업</v>
      </c>
      <c r="BK283" s="192">
        <f t="shared" si="366"/>
        <v>2.1999360555264444</v>
      </c>
      <c r="BL283" s="193">
        <f t="shared" si="367"/>
        <v>-2.1999360555264444</v>
      </c>
      <c r="BM283" s="241">
        <f t="shared" si="368"/>
        <v>100</v>
      </c>
      <c r="BN283" s="47">
        <f t="shared" si="369"/>
        <v>2</v>
      </c>
      <c r="BO283" s="54">
        <v>174741000</v>
      </c>
      <c r="BP283" s="194">
        <f t="shared" si="352"/>
        <v>17.793513749650824</v>
      </c>
      <c r="BQ283" s="179">
        <f t="shared" si="370"/>
        <v>100</v>
      </c>
      <c r="BR283" s="30">
        <f t="shared" si="337"/>
        <v>2</v>
      </c>
      <c r="BS283" s="195">
        <v>12668883.972999999</v>
      </c>
      <c r="BT283" s="195">
        <v>188825.389</v>
      </c>
      <c r="BU283" s="196">
        <f t="shared" si="371"/>
        <v>12480058.583999999</v>
      </c>
      <c r="BV283" s="178">
        <f t="shared" si="353"/>
        <v>1.2708184914293255</v>
      </c>
      <c r="BW283" s="192">
        <f t="shared" si="372"/>
        <v>5.0508176117342281</v>
      </c>
      <c r="BX283" s="192">
        <f t="shared" si="373"/>
        <v>14.288393349505837</v>
      </c>
      <c r="BY283" s="192">
        <f t="shared" si="374"/>
        <v>6.9871618081220941</v>
      </c>
      <c r="BZ283" s="192">
        <f t="shared" si="375"/>
        <v>70.574347523088051</v>
      </c>
      <c r="CA283" s="192">
        <f t="shared" si="354"/>
        <v>40</v>
      </c>
      <c r="CB283" s="55">
        <f t="shared" si="376"/>
        <v>0.8</v>
      </c>
      <c r="CC283" s="197">
        <f t="shared" si="338"/>
        <v>138.8594729894381</v>
      </c>
      <c r="CD283" s="198">
        <f t="shared" si="339"/>
        <v>48.042912189910268</v>
      </c>
      <c r="CE283" s="58">
        <f t="shared" si="340"/>
        <v>0.72064368284865399</v>
      </c>
      <c r="CF283" s="245" t="s">
        <v>2326</v>
      </c>
      <c r="CG283" s="245" t="s">
        <v>2326</v>
      </c>
      <c r="CH283" s="245" t="s">
        <v>2326</v>
      </c>
      <c r="CI283" s="245" t="s">
        <v>2326</v>
      </c>
      <c r="CJ283" s="235"/>
      <c r="CK283" s="173" t="s">
        <v>2524</v>
      </c>
      <c r="CL283" s="173" t="s">
        <v>2482</v>
      </c>
      <c r="CM283" s="199">
        <f t="shared" si="377"/>
        <v>55</v>
      </c>
      <c r="CN283" s="58">
        <f t="shared" si="341"/>
        <v>0.82499999999999996</v>
      </c>
      <c r="CO283" s="54">
        <f>28802000+26000000</f>
        <v>54802000</v>
      </c>
      <c r="CP283" s="186">
        <f t="shared" si="355"/>
        <v>9.3547023489971348</v>
      </c>
      <c r="CQ283" s="179">
        <f t="shared" si="378"/>
        <v>80</v>
      </c>
      <c r="CR283" s="30">
        <f t="shared" si="342"/>
        <v>2.4</v>
      </c>
      <c r="CS283" s="200">
        <f>_xlfn.XLOOKUP(C283, '1-1. 관계사체무보증금액 (환율 등)'!$3:$3, '1-1. 관계사체무보증금액 (환율 등)'!$33:$33)</f>
        <v>0</v>
      </c>
      <c r="CT283" s="178">
        <f t="shared" si="356"/>
        <v>0</v>
      </c>
      <c r="CU283" s="179">
        <f t="shared" si="379"/>
        <v>100</v>
      </c>
      <c r="CV283" s="30">
        <f t="shared" si="343"/>
        <v>2</v>
      </c>
      <c r="CW283" s="72">
        <f t="shared" si="384"/>
        <v>20.475479791929416</v>
      </c>
    </row>
    <row r="284" spans="1:101" x14ac:dyDescent="0.6">
      <c r="A284" s="214" t="s">
        <v>1922</v>
      </c>
      <c r="B284" s="13" t="s">
        <v>2265</v>
      </c>
      <c r="C284" s="219" t="s">
        <v>882</v>
      </c>
      <c r="D284" s="216" t="s">
        <v>191</v>
      </c>
      <c r="E284" s="217" t="s">
        <v>190</v>
      </c>
      <c r="F284" s="217" t="s">
        <v>677</v>
      </c>
      <c r="G284" s="218">
        <v>35249</v>
      </c>
      <c r="H284" s="217" t="s">
        <v>830</v>
      </c>
      <c r="I284" s="217" t="s">
        <v>835</v>
      </c>
      <c r="J284" s="217" t="s">
        <v>1208</v>
      </c>
      <c r="K284" s="217" t="s">
        <v>91</v>
      </c>
      <c r="L284" s="220">
        <v>1687627808</v>
      </c>
      <c r="M284" s="206">
        <v>342539051</v>
      </c>
      <c r="N284" s="206">
        <v>1345088757</v>
      </c>
      <c r="O284" s="206">
        <v>1537082442</v>
      </c>
      <c r="P284" s="206">
        <v>174260144</v>
      </c>
      <c r="Q284" s="206">
        <v>166140393</v>
      </c>
      <c r="R284" s="206">
        <v>125065962</v>
      </c>
      <c r="S284" s="207">
        <v>24630000</v>
      </c>
      <c r="T284" s="207">
        <v>2660406</v>
      </c>
      <c r="U284" s="207">
        <v>8532763</v>
      </c>
      <c r="V284" s="207">
        <v>0</v>
      </c>
      <c r="W284" s="207">
        <v>0</v>
      </c>
      <c r="X284" s="207">
        <v>0</v>
      </c>
      <c r="Z284" s="207">
        <v>0</v>
      </c>
      <c r="AA284" s="207">
        <v>0</v>
      </c>
      <c r="AB284" s="176">
        <f t="shared" si="380"/>
        <v>8532763</v>
      </c>
      <c r="AC284" s="177">
        <f t="shared" si="357"/>
        <v>34.643779943158748</v>
      </c>
      <c r="AD284" s="177">
        <f t="shared" si="381"/>
        <v>70.186611096238138</v>
      </c>
      <c r="AE284" s="26">
        <f t="shared" si="332"/>
        <v>2.1055983328871442</v>
      </c>
      <c r="AF284" s="178">
        <f t="shared" si="358"/>
        <v>38.838965344557572</v>
      </c>
      <c r="AG284" s="178">
        <f t="shared" si="359"/>
        <v>38.838965344557572</v>
      </c>
      <c r="AH284" s="178">
        <f t="shared" si="382"/>
        <v>0</v>
      </c>
      <c r="AI284" s="179">
        <f t="shared" si="383"/>
        <v>100</v>
      </c>
      <c r="AJ284" s="30">
        <f t="shared" si="333"/>
        <v>4</v>
      </c>
      <c r="AK284" s="204">
        <v>7</v>
      </c>
      <c r="AL284" s="204">
        <v>19</v>
      </c>
      <c r="AM284" s="204">
        <v>0</v>
      </c>
      <c r="AN284" s="181">
        <f t="shared" si="344"/>
        <v>26</v>
      </c>
      <c r="AO284" s="182">
        <f t="shared" si="345"/>
        <v>0</v>
      </c>
      <c r="AP284" s="183">
        <f t="shared" si="360"/>
        <v>100</v>
      </c>
      <c r="AQ284" s="38">
        <f t="shared" si="334"/>
        <v>2</v>
      </c>
      <c r="AR284" s="212">
        <v>3</v>
      </c>
      <c r="AS284" s="292">
        <f t="shared" si="346"/>
        <v>0.25</v>
      </c>
      <c r="AT284" s="185">
        <f t="shared" si="347"/>
        <v>1.75</v>
      </c>
      <c r="AU284" s="185">
        <f t="shared" si="361"/>
        <v>1</v>
      </c>
      <c r="AV284" s="186">
        <f t="shared" si="348"/>
        <v>28.571428571428569</v>
      </c>
      <c r="AW284" s="179">
        <f t="shared" si="362"/>
        <v>80</v>
      </c>
      <c r="AX284" s="239">
        <f t="shared" si="335"/>
        <v>0.8</v>
      </c>
      <c r="AY284" s="54">
        <v>9</v>
      </c>
      <c r="AZ284" s="54">
        <f>27-1</f>
        <v>26</v>
      </c>
      <c r="BA284" s="189">
        <f t="shared" si="349"/>
        <v>27</v>
      </c>
      <c r="BB284" s="178">
        <f t="shared" si="363"/>
        <v>96.296296296296291</v>
      </c>
      <c r="BC284" s="179">
        <f t="shared" si="364"/>
        <v>100</v>
      </c>
      <c r="BD284" s="30">
        <f t="shared" si="336"/>
        <v>1</v>
      </c>
      <c r="BE284" s="190">
        <v>59354504</v>
      </c>
      <c r="BF284" s="190">
        <v>6028875</v>
      </c>
      <c r="BG284" s="54">
        <v>2752092</v>
      </c>
      <c r="BH284" s="191">
        <f t="shared" si="350"/>
        <v>65383379</v>
      </c>
      <c r="BI284" s="178">
        <f t="shared" si="351"/>
        <v>4.2091614751204585</v>
      </c>
      <c r="BJ284" s="294" t="str">
        <f t="shared" si="365"/>
        <v>식약/섬유/종이업</v>
      </c>
      <c r="BK284" s="192">
        <f t="shared" si="366"/>
        <v>2.1999360555264444</v>
      </c>
      <c r="BL284" s="193">
        <f t="shared" si="367"/>
        <v>2.009225419594014</v>
      </c>
      <c r="BM284" s="241">
        <f t="shared" si="368"/>
        <v>40</v>
      </c>
      <c r="BN284" s="47">
        <f t="shared" si="369"/>
        <v>0.8</v>
      </c>
      <c r="BO284" s="54">
        <v>0</v>
      </c>
      <c r="BP284" s="194">
        <f t="shared" si="352"/>
        <v>0</v>
      </c>
      <c r="BQ284" s="179">
        <f t="shared" si="370"/>
        <v>25</v>
      </c>
      <c r="BR284" s="30">
        <f t="shared" si="337"/>
        <v>0.5</v>
      </c>
      <c r="BS284" s="195">
        <v>75419837</v>
      </c>
      <c r="BT284" s="195">
        <v>156205</v>
      </c>
      <c r="BU284" s="196">
        <f t="shared" si="371"/>
        <v>75263632</v>
      </c>
      <c r="BV284" s="178">
        <f t="shared" si="353"/>
        <v>4.8965253875432664</v>
      </c>
      <c r="BW284" s="192">
        <f t="shared" si="372"/>
        <v>5.0508176117342281</v>
      </c>
      <c r="BX284" s="192">
        <f t="shared" si="373"/>
        <v>2.3806090445793977E-2</v>
      </c>
      <c r="BY284" s="192">
        <f t="shared" si="374"/>
        <v>6.9871618081220941</v>
      </c>
      <c r="BZ284" s="192">
        <f t="shared" si="375"/>
        <v>50.880882557142691</v>
      </c>
      <c r="CA284" s="192">
        <f t="shared" si="354"/>
        <v>55</v>
      </c>
      <c r="CB284" s="55">
        <f t="shared" si="376"/>
        <v>1.1000000000000001</v>
      </c>
      <c r="CC284" s="197">
        <f t="shared" si="338"/>
        <v>25.465906931225657</v>
      </c>
      <c r="CD284" s="198">
        <f t="shared" si="339"/>
        <v>90.779180804814445</v>
      </c>
      <c r="CE284" s="58">
        <f t="shared" si="340"/>
        <v>1.3616877120722166</v>
      </c>
      <c r="CF284" s="245" t="s">
        <v>2326</v>
      </c>
      <c r="CG284" s="245" t="s">
        <v>2326</v>
      </c>
      <c r="CH284" s="245" t="s">
        <v>2326</v>
      </c>
      <c r="CI284" s="245" t="s">
        <v>2326</v>
      </c>
      <c r="CJ284" s="235"/>
      <c r="CK284" s="173" t="s">
        <v>2525</v>
      </c>
      <c r="CL284" s="173" t="s">
        <v>2484</v>
      </c>
      <c r="CM284" s="199">
        <f t="shared" si="377"/>
        <v>100</v>
      </c>
      <c r="CN284" s="58">
        <f t="shared" si="341"/>
        <v>1.5</v>
      </c>
      <c r="CO284" s="54">
        <f>790000+7107000</f>
        <v>7897000</v>
      </c>
      <c r="CP284" s="186">
        <f t="shared" si="355"/>
        <v>0.58709880362192335</v>
      </c>
      <c r="CQ284" s="179">
        <f t="shared" si="378"/>
        <v>100</v>
      </c>
      <c r="CR284" s="30">
        <f t="shared" si="342"/>
        <v>3</v>
      </c>
      <c r="CS284" s="200">
        <f>_xlfn.XLOOKUP(C284, '1-1. 관계사체무보증금액 (환율 등)'!$3:$3, '1-1. 관계사체무보증금액 (환율 등)'!$33:$33)</f>
        <v>0</v>
      </c>
      <c r="CT284" s="178">
        <f t="shared" si="356"/>
        <v>0</v>
      </c>
      <c r="CU284" s="179">
        <f t="shared" si="379"/>
        <v>100</v>
      </c>
      <c r="CV284" s="30">
        <f t="shared" si="343"/>
        <v>2</v>
      </c>
      <c r="CW284" s="72">
        <f t="shared" si="384"/>
        <v>20.167286044959361</v>
      </c>
    </row>
    <row r="285" spans="1:101" x14ac:dyDescent="0.6">
      <c r="A285" s="214" t="s">
        <v>904</v>
      </c>
      <c r="B285" s="13" t="s">
        <v>2266</v>
      </c>
      <c r="C285" s="219" t="s">
        <v>494</v>
      </c>
      <c r="D285" s="216" t="s">
        <v>191</v>
      </c>
      <c r="E285" s="217" t="s">
        <v>190</v>
      </c>
      <c r="F285" s="217" t="s">
        <v>920</v>
      </c>
      <c r="G285" s="218">
        <v>39892</v>
      </c>
      <c r="H285" s="217" t="s">
        <v>830</v>
      </c>
      <c r="I285" s="217" t="s">
        <v>1923</v>
      </c>
      <c r="J285" s="217" t="s">
        <v>1130</v>
      </c>
      <c r="K285" s="217" t="s">
        <v>91</v>
      </c>
      <c r="L285" s="220">
        <v>1063253032</v>
      </c>
      <c r="M285" s="206">
        <v>502967240</v>
      </c>
      <c r="N285" s="206">
        <v>560285793</v>
      </c>
      <c r="O285" s="206">
        <v>2146018022</v>
      </c>
      <c r="P285" s="206">
        <v>175483550</v>
      </c>
      <c r="Q285" s="206">
        <v>145218477</v>
      </c>
      <c r="R285" s="206">
        <v>104290709</v>
      </c>
      <c r="S285" s="207">
        <v>40000000</v>
      </c>
      <c r="T285" s="207">
        <v>760530</v>
      </c>
      <c r="U285" s="207">
        <f>16978158+1431102</f>
        <v>18409260</v>
      </c>
      <c r="V285" s="207">
        <f>2195247+1174879+306218+115927</f>
        <v>3792271</v>
      </c>
      <c r="W285" s="207">
        <f>352499+22000+70</f>
        <v>374569</v>
      </c>
      <c r="X285" s="207">
        <v>80000</v>
      </c>
      <c r="Y285" s="208" t="s">
        <v>2466</v>
      </c>
      <c r="Z285" s="207">
        <v>0</v>
      </c>
      <c r="AA285" s="207">
        <v>0</v>
      </c>
      <c r="AB285" s="176">
        <f t="shared" si="380"/>
        <v>22656100</v>
      </c>
      <c r="AC285" s="177">
        <f t="shared" si="357"/>
        <v>56.640250000000002</v>
      </c>
      <c r="AD285" s="177">
        <f t="shared" si="381"/>
        <v>51.20231588032221</v>
      </c>
      <c r="AE285" s="26">
        <f t="shared" si="332"/>
        <v>1.5360694764096663</v>
      </c>
      <c r="AF285" s="178">
        <f t="shared" si="358"/>
        <v>56.579589377736241</v>
      </c>
      <c r="AG285" s="178">
        <f t="shared" si="359"/>
        <v>57.738037746177504</v>
      </c>
      <c r="AH285" s="178">
        <f t="shared" si="382"/>
        <v>1.1584483684412632</v>
      </c>
      <c r="AI285" s="179">
        <f t="shared" si="383"/>
        <v>100</v>
      </c>
      <c r="AJ285" s="30">
        <f t="shared" si="333"/>
        <v>4</v>
      </c>
      <c r="AK285" s="204">
        <v>7</v>
      </c>
      <c r="AL285" s="204">
        <v>7</v>
      </c>
      <c r="AM285" s="204">
        <v>2</v>
      </c>
      <c r="AN285" s="181">
        <f t="shared" si="344"/>
        <v>14</v>
      </c>
      <c r="AO285" s="182">
        <f t="shared" si="345"/>
        <v>14.285714285714285</v>
      </c>
      <c r="AP285" s="183">
        <f t="shared" si="360"/>
        <v>80</v>
      </c>
      <c r="AQ285" s="38">
        <f t="shared" si="334"/>
        <v>1.6</v>
      </c>
      <c r="AR285" s="212">
        <v>3</v>
      </c>
      <c r="AS285" s="292">
        <f t="shared" si="346"/>
        <v>0.25</v>
      </c>
      <c r="AT285" s="185">
        <f t="shared" si="347"/>
        <v>1.75</v>
      </c>
      <c r="AU285" s="185">
        <f t="shared" si="361"/>
        <v>1</v>
      </c>
      <c r="AV285" s="186">
        <f t="shared" si="348"/>
        <v>28.571428571428569</v>
      </c>
      <c r="AW285" s="179">
        <f t="shared" si="362"/>
        <v>80</v>
      </c>
      <c r="AX285" s="239">
        <f t="shared" si="335"/>
        <v>0.8</v>
      </c>
      <c r="AY285" s="54">
        <v>6</v>
      </c>
      <c r="AZ285" s="54">
        <f>18-1</f>
        <v>17</v>
      </c>
      <c r="BA285" s="189">
        <f t="shared" si="349"/>
        <v>18</v>
      </c>
      <c r="BB285" s="178">
        <f t="shared" si="363"/>
        <v>94.444444444444443</v>
      </c>
      <c r="BC285" s="179">
        <f t="shared" si="364"/>
        <v>100</v>
      </c>
      <c r="BD285" s="30">
        <f t="shared" si="336"/>
        <v>1</v>
      </c>
      <c r="BE285" s="190">
        <v>42178502</v>
      </c>
      <c r="BF285" s="190">
        <v>3858982</v>
      </c>
      <c r="BG285" s="54">
        <v>1522667</v>
      </c>
      <c r="BH285" s="191">
        <f t="shared" si="350"/>
        <v>46037484</v>
      </c>
      <c r="BI285" s="178">
        <f t="shared" si="351"/>
        <v>3.3074505114136996</v>
      </c>
      <c r="BJ285" s="294" t="str">
        <f t="shared" si="365"/>
        <v>식약/섬유/종이업</v>
      </c>
      <c r="BK285" s="192">
        <f t="shared" si="366"/>
        <v>2.1999360555264444</v>
      </c>
      <c r="BL285" s="193">
        <f t="shared" si="367"/>
        <v>1.1075144558872552</v>
      </c>
      <c r="BM285" s="241">
        <f t="shared" si="368"/>
        <v>60</v>
      </c>
      <c r="BN285" s="47">
        <f t="shared" si="369"/>
        <v>1.2</v>
      </c>
      <c r="BO285" s="54">
        <v>8882000</v>
      </c>
      <c r="BP285" s="194">
        <f t="shared" si="352"/>
        <v>0.4138828243260671</v>
      </c>
      <c r="BQ285" s="179">
        <f t="shared" si="370"/>
        <v>55</v>
      </c>
      <c r="BR285" s="30">
        <f t="shared" si="337"/>
        <v>1.1000000000000001</v>
      </c>
      <c r="BS285" s="195">
        <v>372520.408</v>
      </c>
      <c r="BT285" s="195">
        <v>44436.362999999998</v>
      </c>
      <c r="BU285" s="196">
        <f t="shared" si="371"/>
        <v>328084.04499999998</v>
      </c>
      <c r="BV285" s="178">
        <f t="shared" si="353"/>
        <v>1.5288037734848063E-2</v>
      </c>
      <c r="BW285" s="192">
        <f t="shared" si="372"/>
        <v>5.0508176117342281</v>
      </c>
      <c r="BX285" s="192">
        <f t="shared" si="373"/>
        <v>25.356558090622379</v>
      </c>
      <c r="BY285" s="192">
        <f t="shared" si="374"/>
        <v>6.9871618081220941</v>
      </c>
      <c r="BZ285" s="192">
        <f t="shared" si="375"/>
        <v>76.444774994431427</v>
      </c>
      <c r="CA285" s="192">
        <f t="shared" si="354"/>
        <v>40</v>
      </c>
      <c r="CB285" s="55">
        <f t="shared" si="376"/>
        <v>0.8</v>
      </c>
      <c r="CC285" s="197">
        <f t="shared" si="338"/>
        <v>89.769765052743352</v>
      </c>
      <c r="CD285" s="198">
        <f t="shared" si="339"/>
        <v>66.54405839720728</v>
      </c>
      <c r="CE285" s="58">
        <f t="shared" si="340"/>
        <v>0.99816087595810921</v>
      </c>
      <c r="CF285" s="245" t="s">
        <v>2326</v>
      </c>
      <c r="CG285" s="245" t="s">
        <v>2326</v>
      </c>
      <c r="CH285" s="245" t="s">
        <v>2326</v>
      </c>
      <c r="CI285" s="245" t="s">
        <v>2326</v>
      </c>
      <c r="CJ285" s="235"/>
      <c r="CK285" s="173" t="s">
        <v>2526</v>
      </c>
      <c r="CL285" s="173" t="s">
        <v>2493</v>
      </c>
      <c r="CM285" s="199">
        <f t="shared" si="377"/>
        <v>40</v>
      </c>
      <c r="CN285" s="58">
        <f t="shared" si="341"/>
        <v>0.6</v>
      </c>
      <c r="CO285" s="54">
        <v>88764000</v>
      </c>
      <c r="CP285" s="186">
        <f t="shared" si="355"/>
        <v>15.842629084832069</v>
      </c>
      <c r="CQ285" s="179">
        <f t="shared" si="378"/>
        <v>60</v>
      </c>
      <c r="CR285" s="30">
        <f t="shared" si="342"/>
        <v>1.7999999999999998</v>
      </c>
      <c r="CS285" s="200">
        <f>_xlfn.XLOOKUP(C285, '1-1. 관계사체무보증금액 (환율 등)'!$3:$3, '1-1. 관계사체무보증금액 (환율 등)'!$33:$33)</f>
        <v>239240000</v>
      </c>
      <c r="CT285" s="178">
        <f t="shared" si="356"/>
        <v>42.699637040413052</v>
      </c>
      <c r="CU285" s="179">
        <f t="shared" si="379"/>
        <v>40</v>
      </c>
      <c r="CV285" s="30">
        <f t="shared" si="343"/>
        <v>0.8</v>
      </c>
      <c r="CW285" s="72">
        <f t="shared" si="384"/>
        <v>16.234230352367778</v>
      </c>
    </row>
    <row r="286" spans="1:101" x14ac:dyDescent="0.6">
      <c r="A286" s="214" t="s">
        <v>929</v>
      </c>
      <c r="B286" s="13" t="s">
        <v>2267</v>
      </c>
      <c r="C286" s="219" t="s">
        <v>925</v>
      </c>
      <c r="D286" s="216" t="s">
        <v>285</v>
      </c>
      <c r="E286" s="217" t="s">
        <v>622</v>
      </c>
      <c r="F286" s="217" t="s">
        <v>142</v>
      </c>
      <c r="G286" s="218">
        <v>32825</v>
      </c>
      <c r="H286" s="217" t="s">
        <v>830</v>
      </c>
      <c r="I286" s="217" t="s">
        <v>825</v>
      </c>
      <c r="J286" s="217" t="s">
        <v>645</v>
      </c>
      <c r="K286" s="217" t="s">
        <v>91</v>
      </c>
      <c r="L286" s="220">
        <v>155630578</v>
      </c>
      <c r="M286" s="206">
        <v>90528054</v>
      </c>
      <c r="N286" s="206">
        <v>65102524</v>
      </c>
      <c r="O286" s="206">
        <v>645266960</v>
      </c>
      <c r="P286" s="206">
        <v>10863969</v>
      </c>
      <c r="Q286" s="206">
        <v>8506214</v>
      </c>
      <c r="R286" s="206">
        <v>6849115</v>
      </c>
      <c r="S286" s="207">
        <v>27477425</v>
      </c>
      <c r="T286" s="207">
        <v>6691</v>
      </c>
      <c r="U286" s="207">
        <v>5871242</v>
      </c>
      <c r="V286" s="207">
        <v>0</v>
      </c>
      <c r="W286" s="207">
        <v>40000</v>
      </c>
      <c r="X286" s="207">
        <v>0</v>
      </c>
      <c r="Z286" s="207">
        <v>0</v>
      </c>
      <c r="AA286" s="207">
        <v>0</v>
      </c>
      <c r="AB286" s="176">
        <f t="shared" si="380"/>
        <v>5911242</v>
      </c>
      <c r="AC286" s="177">
        <f t="shared" si="357"/>
        <v>21.513085742204737</v>
      </c>
      <c r="AD286" s="177">
        <f t="shared" si="381"/>
        <v>81.519201028016624</v>
      </c>
      <c r="AE286" s="26">
        <f t="shared" si="332"/>
        <v>2.4455760308404986</v>
      </c>
      <c r="AF286" s="178">
        <f t="shared" si="358"/>
        <v>21.372716142204283</v>
      </c>
      <c r="AG286" s="178">
        <f t="shared" si="359"/>
        <v>21.51832564794228</v>
      </c>
      <c r="AH286" s="178">
        <f t="shared" si="382"/>
        <v>0.14560950573799758</v>
      </c>
      <c r="AI286" s="179">
        <f t="shared" si="383"/>
        <v>100</v>
      </c>
      <c r="AJ286" s="30">
        <f t="shared" si="333"/>
        <v>4</v>
      </c>
      <c r="AK286" s="204">
        <v>7</v>
      </c>
      <c r="AL286" s="204">
        <v>0</v>
      </c>
      <c r="AM286" s="204">
        <v>0</v>
      </c>
      <c r="AN286" s="181">
        <f t="shared" si="344"/>
        <v>7</v>
      </c>
      <c r="AO286" s="182">
        <f t="shared" si="345"/>
        <v>0</v>
      </c>
      <c r="AP286" s="183">
        <f t="shared" si="360"/>
        <v>100</v>
      </c>
      <c r="AQ286" s="38">
        <f t="shared" si="334"/>
        <v>2</v>
      </c>
      <c r="AR286" s="212">
        <v>2</v>
      </c>
      <c r="AS286" s="292">
        <f t="shared" si="346"/>
        <v>0.25</v>
      </c>
      <c r="AT286" s="185">
        <f t="shared" si="347"/>
        <v>1.75</v>
      </c>
      <c r="AU286" s="185">
        <f t="shared" si="361"/>
        <v>1</v>
      </c>
      <c r="AV286" s="186">
        <f t="shared" si="348"/>
        <v>14.285714285714285</v>
      </c>
      <c r="AW286" s="179">
        <f t="shared" si="362"/>
        <v>60</v>
      </c>
      <c r="AX286" s="239">
        <f t="shared" si="335"/>
        <v>0.6</v>
      </c>
      <c r="AY286" s="54">
        <v>23</v>
      </c>
      <c r="AZ286" s="54">
        <f>23*2-7</f>
        <v>39</v>
      </c>
      <c r="BA286" s="189">
        <f t="shared" si="349"/>
        <v>46</v>
      </c>
      <c r="BB286" s="178">
        <f t="shared" si="363"/>
        <v>84.782608695652172</v>
      </c>
      <c r="BC286" s="179">
        <f t="shared" si="364"/>
        <v>75</v>
      </c>
      <c r="BD286" s="30">
        <f t="shared" si="336"/>
        <v>0.75</v>
      </c>
      <c r="BE286" s="190">
        <v>9510581</v>
      </c>
      <c r="BF286" s="190">
        <v>828215</v>
      </c>
      <c r="BG286" s="54">
        <f>230011</f>
        <v>230011</v>
      </c>
      <c r="BH286" s="191">
        <f t="shared" si="350"/>
        <v>10338796</v>
      </c>
      <c r="BI286" s="178">
        <f t="shared" si="351"/>
        <v>2.224736806877706</v>
      </c>
      <c r="BJ286" s="294" t="str">
        <f t="shared" si="365"/>
        <v>비제조/서비스업</v>
      </c>
      <c r="BK286" s="192">
        <f t="shared" si="366"/>
        <v>1.7464434573900924</v>
      </c>
      <c r="BL286" s="193">
        <f t="shared" si="367"/>
        <v>0.47829334948761359</v>
      </c>
      <c r="BM286" s="241">
        <f t="shared" si="368"/>
        <v>60</v>
      </c>
      <c r="BN286" s="47">
        <f t="shared" si="369"/>
        <v>1.2</v>
      </c>
      <c r="BO286" s="54">
        <v>0</v>
      </c>
      <c r="BP286" s="194">
        <f t="shared" si="352"/>
        <v>0</v>
      </c>
      <c r="BQ286" s="179">
        <f t="shared" si="370"/>
        <v>25</v>
      </c>
      <c r="BR286" s="30">
        <f t="shared" si="337"/>
        <v>0.5</v>
      </c>
      <c r="BS286" s="195">
        <v>882689.12899999996</v>
      </c>
      <c r="BT286" s="195">
        <v>400452.64199999999</v>
      </c>
      <c r="BU286" s="196">
        <f t="shared" si="371"/>
        <v>482236.48699999996</v>
      </c>
      <c r="BV286" s="178">
        <f t="shared" si="353"/>
        <v>7.4734414884654862E-2</v>
      </c>
      <c r="BW286" s="192">
        <f t="shared" si="372"/>
        <v>2.8482825397737606</v>
      </c>
      <c r="BX286" s="192">
        <f t="shared" si="373"/>
        <v>7.6925692010758739</v>
      </c>
      <c r="BY286" s="192">
        <f t="shared" si="374"/>
        <v>5.5697595856656799</v>
      </c>
      <c r="BZ286" s="192">
        <f t="shared" si="375"/>
        <v>69.074582092328995</v>
      </c>
      <c r="CA286" s="192">
        <f t="shared" si="354"/>
        <v>40</v>
      </c>
      <c r="CB286" s="55">
        <f t="shared" si="376"/>
        <v>0.8</v>
      </c>
      <c r="CC286" s="197">
        <f t="shared" si="338"/>
        <v>139.05459948065914</v>
      </c>
      <c r="CD286" s="198">
        <f t="shared" si="339"/>
        <v>47.969372055027961</v>
      </c>
      <c r="CE286" s="58">
        <f t="shared" si="340"/>
        <v>0.71954058082541938</v>
      </c>
      <c r="CF286" s="245" t="s">
        <v>2326</v>
      </c>
      <c r="CG286" s="245" t="s">
        <v>2326</v>
      </c>
      <c r="CH286" s="245" t="s">
        <v>2326</v>
      </c>
      <c r="CI286" s="245" t="s">
        <v>2326</v>
      </c>
      <c r="CJ286" s="235"/>
      <c r="CK286" s="173" t="s">
        <v>2491</v>
      </c>
      <c r="CL286" s="173" t="s">
        <v>2478</v>
      </c>
      <c r="CM286" s="199">
        <f t="shared" si="377"/>
        <v>25</v>
      </c>
      <c r="CN286" s="58">
        <f t="shared" si="341"/>
        <v>0.375</v>
      </c>
      <c r="CO286" s="54">
        <f>36214000-550000</f>
        <v>35664000</v>
      </c>
      <c r="CP286" s="186">
        <f t="shared" si="355"/>
        <v>54.781286206353542</v>
      </c>
      <c r="CQ286" s="179">
        <f t="shared" si="378"/>
        <v>40</v>
      </c>
      <c r="CR286" s="30">
        <f t="shared" si="342"/>
        <v>1.2</v>
      </c>
      <c r="CS286" s="200">
        <f>_xlfn.XLOOKUP(C286, '1-1. 관계사체무보증금액 (환율 등)'!$3:$3, '1-1. 관계사체무보증금액 (환율 등)'!$33:$33)</f>
        <v>19893090.90909091</v>
      </c>
      <c r="CT286" s="178">
        <f t="shared" si="356"/>
        <v>30.556558619894535</v>
      </c>
      <c r="CU286" s="179">
        <f t="shared" si="379"/>
        <v>60</v>
      </c>
      <c r="CV286" s="30">
        <f t="shared" si="343"/>
        <v>1.2</v>
      </c>
      <c r="CW286" s="72">
        <f t="shared" si="384"/>
        <v>15.790116611665917</v>
      </c>
    </row>
    <row r="287" spans="1:101" x14ac:dyDescent="0.6">
      <c r="A287" s="214" t="s">
        <v>467</v>
      </c>
      <c r="B287" s="13" t="s">
        <v>2268</v>
      </c>
      <c r="C287" s="219" t="s">
        <v>41</v>
      </c>
      <c r="D287" s="216" t="s">
        <v>203</v>
      </c>
      <c r="E287" s="217" t="s">
        <v>180</v>
      </c>
      <c r="F287" s="217" t="s">
        <v>135</v>
      </c>
      <c r="G287" s="218">
        <v>32648</v>
      </c>
      <c r="H287" s="217" t="s">
        <v>830</v>
      </c>
      <c r="I287" s="217" t="s">
        <v>788</v>
      </c>
      <c r="J287" s="217" t="s">
        <v>649</v>
      </c>
      <c r="K287" s="217" t="s">
        <v>91</v>
      </c>
      <c r="L287" s="220">
        <v>969016968</v>
      </c>
      <c r="M287" s="206">
        <v>318689082</v>
      </c>
      <c r="N287" s="206">
        <v>650327885</v>
      </c>
      <c r="O287" s="206">
        <v>637646664</v>
      </c>
      <c r="P287" s="206">
        <v>145266257</v>
      </c>
      <c r="Q287" s="206">
        <v>152220142</v>
      </c>
      <c r="R287" s="206">
        <v>120839991</v>
      </c>
      <c r="S287" s="207">
        <v>11335195</v>
      </c>
      <c r="T287" s="207">
        <v>456880</v>
      </c>
      <c r="U287" s="207">
        <v>1320408</v>
      </c>
      <c r="V287" s="207">
        <f>35479+14643+161080+78500+78500</f>
        <v>368202</v>
      </c>
      <c r="W287" s="207">
        <f>6000+3000+3000+2000</f>
        <v>14000</v>
      </c>
      <c r="X287" s="207">
        <v>0</v>
      </c>
      <c r="Z287" s="207">
        <v>0</v>
      </c>
      <c r="AA287" s="207">
        <v>0</v>
      </c>
      <c r="AB287" s="176">
        <f t="shared" si="380"/>
        <v>1702610</v>
      </c>
      <c r="AC287" s="177">
        <f t="shared" si="357"/>
        <v>15.020562063555149</v>
      </c>
      <c r="AD287" s="177">
        <f t="shared" si="381"/>
        <v>87.122644939394291</v>
      </c>
      <c r="AE287" s="26">
        <f t="shared" si="332"/>
        <v>2.6136793481818286</v>
      </c>
      <c r="AF287" s="178">
        <f t="shared" si="358"/>
        <v>15.522716523652791</v>
      </c>
      <c r="AG287" s="178">
        <f t="shared" si="359"/>
        <v>15.651412925623131</v>
      </c>
      <c r="AH287" s="178">
        <f t="shared" si="382"/>
        <v>0.12869640197033938</v>
      </c>
      <c r="AI287" s="179">
        <f t="shared" si="383"/>
        <v>100</v>
      </c>
      <c r="AJ287" s="30">
        <f t="shared" si="333"/>
        <v>4</v>
      </c>
      <c r="AK287" s="204">
        <v>6</v>
      </c>
      <c r="AL287" s="204">
        <v>10</v>
      </c>
      <c r="AM287" s="204">
        <v>2</v>
      </c>
      <c r="AN287" s="181">
        <f t="shared" si="344"/>
        <v>16</v>
      </c>
      <c r="AO287" s="182">
        <f t="shared" si="345"/>
        <v>12.5</v>
      </c>
      <c r="AP287" s="183">
        <f t="shared" si="360"/>
        <v>80</v>
      </c>
      <c r="AQ287" s="38">
        <f t="shared" si="334"/>
        <v>1.6</v>
      </c>
      <c r="AR287" s="212">
        <v>3</v>
      </c>
      <c r="AS287" s="292">
        <f t="shared" si="346"/>
        <v>0.25</v>
      </c>
      <c r="AT287" s="185">
        <f t="shared" si="347"/>
        <v>1.5</v>
      </c>
      <c r="AU287" s="185">
        <f t="shared" si="361"/>
        <v>1</v>
      </c>
      <c r="AV287" s="186">
        <f t="shared" si="348"/>
        <v>33.333333333333329</v>
      </c>
      <c r="AW287" s="179">
        <f t="shared" si="362"/>
        <v>80</v>
      </c>
      <c r="AX287" s="239">
        <f t="shared" si="335"/>
        <v>0.8</v>
      </c>
      <c r="AY287" s="54">
        <v>8</v>
      </c>
      <c r="AZ287" s="54">
        <f>24-2</f>
        <v>22</v>
      </c>
      <c r="BA287" s="189">
        <f t="shared" si="349"/>
        <v>24</v>
      </c>
      <c r="BB287" s="178">
        <f t="shared" si="363"/>
        <v>91.666666666666657</v>
      </c>
      <c r="BC287" s="179">
        <f t="shared" si="364"/>
        <v>100</v>
      </c>
      <c r="BD287" s="30">
        <f t="shared" si="336"/>
        <v>1</v>
      </c>
      <c r="BE287" s="190">
        <v>20495578</v>
      </c>
      <c r="BF287" s="190">
        <v>2389347</v>
      </c>
      <c r="BG287" s="54">
        <v>1460740</v>
      </c>
      <c r="BH287" s="191">
        <f t="shared" si="350"/>
        <v>22884925</v>
      </c>
      <c r="BI287" s="178">
        <f t="shared" si="351"/>
        <v>6.3829791882647635</v>
      </c>
      <c r="BJ287" s="294" t="str">
        <f t="shared" si="365"/>
        <v>금속/비금속/화학업</v>
      </c>
      <c r="BK287" s="192">
        <f t="shared" si="366"/>
        <v>3.9534118626990464</v>
      </c>
      <c r="BL287" s="193">
        <f t="shared" si="367"/>
        <v>2.4295673255657171</v>
      </c>
      <c r="BM287" s="241">
        <f t="shared" si="368"/>
        <v>40</v>
      </c>
      <c r="BN287" s="47">
        <f t="shared" si="369"/>
        <v>0.8</v>
      </c>
      <c r="BO287" s="54">
        <v>18955000</v>
      </c>
      <c r="BP287" s="194">
        <f t="shared" si="352"/>
        <v>2.9726494421054479</v>
      </c>
      <c r="BQ287" s="179">
        <f t="shared" si="370"/>
        <v>85</v>
      </c>
      <c r="BR287" s="30">
        <f t="shared" si="337"/>
        <v>1.7</v>
      </c>
      <c r="BS287" s="195">
        <v>99011831.915999994</v>
      </c>
      <c r="BT287" s="195">
        <v>2666.2</v>
      </c>
      <c r="BU287" s="196">
        <f t="shared" si="371"/>
        <v>99009165.715999991</v>
      </c>
      <c r="BV287" s="178">
        <f t="shared" si="353"/>
        <v>15.527277300395316</v>
      </c>
      <c r="BW287" s="192">
        <f t="shared" si="372"/>
        <v>5.1474158565187729</v>
      </c>
      <c r="BX287" s="192">
        <f t="shared" si="373"/>
        <v>107.74152359407482</v>
      </c>
      <c r="BY287" s="192">
        <f t="shared" si="374"/>
        <v>6.6930498535228526</v>
      </c>
      <c r="BZ287" s="192">
        <f t="shared" si="375"/>
        <v>6.0469801004347286</v>
      </c>
      <c r="CA287" s="192">
        <f t="shared" si="354"/>
        <v>85</v>
      </c>
      <c r="CB287" s="55">
        <f t="shared" si="376"/>
        <v>1.7</v>
      </c>
      <c r="CC287" s="197">
        <f t="shared" si="338"/>
        <v>49.004369849525979</v>
      </c>
      <c r="CD287" s="198">
        <f t="shared" si="339"/>
        <v>81.907900810480157</v>
      </c>
      <c r="CE287" s="58">
        <f t="shared" si="340"/>
        <v>1.2286185121572024</v>
      </c>
      <c r="CF287" s="245" t="s">
        <v>2326</v>
      </c>
      <c r="CG287" s="245" t="s">
        <v>2326</v>
      </c>
      <c r="CH287" s="245" t="s">
        <v>2326</v>
      </c>
      <c r="CI287" s="245" t="s">
        <v>2326</v>
      </c>
      <c r="CJ287" s="235"/>
      <c r="CK287" s="173" t="s">
        <v>2527</v>
      </c>
      <c r="CL287" s="173" t="s">
        <v>2487</v>
      </c>
      <c r="CM287" s="199">
        <f t="shared" si="377"/>
        <v>70</v>
      </c>
      <c r="CN287" s="58">
        <f t="shared" si="341"/>
        <v>1.05</v>
      </c>
      <c r="CO287" s="54">
        <f>95633000-1000000</f>
        <v>94633000</v>
      </c>
      <c r="CP287" s="186">
        <f t="shared" si="355"/>
        <v>14.551582698933476</v>
      </c>
      <c r="CQ287" s="179">
        <f t="shared" si="378"/>
        <v>60</v>
      </c>
      <c r="CR287" s="30">
        <f t="shared" si="342"/>
        <v>1.7999999999999998</v>
      </c>
      <c r="CS287" s="200">
        <f>_xlfn.XLOOKUP(C287, '1-1. 관계사체무보증금액 (환율 등)'!$3:$3, '1-1. 관계사체무보증금액 (환율 등)'!$33:$33)</f>
        <v>0</v>
      </c>
      <c r="CT287" s="178">
        <f t="shared" si="356"/>
        <v>0</v>
      </c>
      <c r="CU287" s="179">
        <f t="shared" si="379"/>
        <v>100</v>
      </c>
      <c r="CV287" s="30">
        <f t="shared" si="343"/>
        <v>2</v>
      </c>
      <c r="CW287" s="72">
        <f t="shared" si="384"/>
        <v>20.292297860339033</v>
      </c>
    </row>
    <row r="288" spans="1:101" x14ac:dyDescent="0.6">
      <c r="A288" s="214" t="s">
        <v>296</v>
      </c>
      <c r="B288" s="13" t="s">
        <v>2269</v>
      </c>
      <c r="C288" s="219" t="s">
        <v>459</v>
      </c>
      <c r="D288" s="216" t="s">
        <v>285</v>
      </c>
      <c r="E288" s="217" t="s">
        <v>171</v>
      </c>
      <c r="F288" s="217" t="s">
        <v>168</v>
      </c>
      <c r="G288" s="218">
        <v>32659</v>
      </c>
      <c r="H288" s="217" t="s">
        <v>830</v>
      </c>
      <c r="I288" s="217" t="s">
        <v>630</v>
      </c>
      <c r="J288" s="217" t="s">
        <v>1223</v>
      </c>
      <c r="K288" s="217" t="s">
        <v>91</v>
      </c>
      <c r="L288" s="220">
        <v>121534902</v>
      </c>
      <c r="M288" s="206">
        <v>73176603</v>
      </c>
      <c r="N288" s="206">
        <v>48358299</v>
      </c>
      <c r="O288" s="206">
        <v>290909595</v>
      </c>
      <c r="P288" s="206">
        <v>4928985</v>
      </c>
      <c r="Q288" s="206">
        <v>3719511</v>
      </c>
      <c r="R288" s="206">
        <v>2563552</v>
      </c>
      <c r="S288" s="207">
        <v>20493012</v>
      </c>
      <c r="T288" s="207">
        <v>0</v>
      </c>
      <c r="U288" s="207">
        <v>9440335</v>
      </c>
      <c r="V288" s="207">
        <v>0</v>
      </c>
      <c r="W288" s="207">
        <v>0</v>
      </c>
      <c r="X288" s="207">
        <v>0</v>
      </c>
      <c r="Z288" s="207">
        <v>0</v>
      </c>
      <c r="AA288" s="207">
        <v>0</v>
      </c>
      <c r="AB288" s="176">
        <f t="shared" si="380"/>
        <v>9440335</v>
      </c>
      <c r="AC288" s="177">
        <f t="shared" si="357"/>
        <v>46.066117562415911</v>
      </c>
      <c r="AD288" s="177">
        <f t="shared" si="381"/>
        <v>60.32843708652252</v>
      </c>
      <c r="AE288" s="26">
        <f t="shared" si="332"/>
        <v>1.8098531125956756</v>
      </c>
      <c r="AF288" s="178">
        <f t="shared" si="358"/>
        <v>46.066117562415911</v>
      </c>
      <c r="AG288" s="178">
        <f t="shared" si="359"/>
        <v>46.066117562415911</v>
      </c>
      <c r="AH288" s="178">
        <f t="shared" si="382"/>
        <v>0</v>
      </c>
      <c r="AI288" s="179">
        <f t="shared" si="383"/>
        <v>100</v>
      </c>
      <c r="AJ288" s="30">
        <f t="shared" si="333"/>
        <v>4</v>
      </c>
      <c r="AK288" s="204">
        <v>8</v>
      </c>
      <c r="AL288" s="204">
        <v>0</v>
      </c>
      <c r="AM288" s="204">
        <v>0</v>
      </c>
      <c r="AN288" s="181">
        <f t="shared" si="344"/>
        <v>8</v>
      </c>
      <c r="AO288" s="182">
        <f t="shared" si="345"/>
        <v>0</v>
      </c>
      <c r="AP288" s="183">
        <f t="shared" si="360"/>
        <v>100</v>
      </c>
      <c r="AQ288" s="38">
        <f t="shared" si="334"/>
        <v>2</v>
      </c>
      <c r="AR288" s="212">
        <v>2</v>
      </c>
      <c r="AS288" s="292">
        <f t="shared" si="346"/>
        <v>0.25</v>
      </c>
      <c r="AT288" s="185">
        <f t="shared" si="347"/>
        <v>2</v>
      </c>
      <c r="AU288" s="185">
        <f t="shared" si="361"/>
        <v>2</v>
      </c>
      <c r="AV288" s="186">
        <f t="shared" si="348"/>
        <v>0</v>
      </c>
      <c r="AW288" s="179">
        <f t="shared" si="362"/>
        <v>40</v>
      </c>
      <c r="AX288" s="239">
        <f t="shared" si="335"/>
        <v>0.4</v>
      </c>
      <c r="AY288" s="54">
        <v>13</v>
      </c>
      <c r="AZ288" s="54">
        <f>13*2-2</f>
        <v>24</v>
      </c>
      <c r="BA288" s="189">
        <f t="shared" si="349"/>
        <v>26</v>
      </c>
      <c r="BB288" s="178">
        <f t="shared" si="363"/>
        <v>92.307692307692307</v>
      </c>
      <c r="BC288" s="179">
        <f t="shared" si="364"/>
        <v>100</v>
      </c>
      <c r="BD288" s="30">
        <f t="shared" si="336"/>
        <v>1</v>
      </c>
      <c r="BE288" s="190">
        <v>7505230</v>
      </c>
      <c r="BF288" s="190">
        <v>783469</v>
      </c>
      <c r="BG288" s="54">
        <v>537668</v>
      </c>
      <c r="BH288" s="191">
        <f t="shared" si="350"/>
        <v>8288699</v>
      </c>
      <c r="BI288" s="178">
        <f t="shared" si="351"/>
        <v>6.4867598642440756</v>
      </c>
      <c r="BJ288" s="294" t="str">
        <f t="shared" si="365"/>
        <v>비제조/서비스업</v>
      </c>
      <c r="BK288" s="192">
        <f t="shared" si="366"/>
        <v>1.7464434573900924</v>
      </c>
      <c r="BL288" s="193">
        <f t="shared" si="367"/>
        <v>4.7403164068539834</v>
      </c>
      <c r="BM288" s="241">
        <f t="shared" si="368"/>
        <v>40</v>
      </c>
      <c r="BN288" s="47">
        <f t="shared" si="369"/>
        <v>0.8</v>
      </c>
      <c r="BO288" s="54">
        <v>0</v>
      </c>
      <c r="BP288" s="194">
        <f t="shared" si="352"/>
        <v>0</v>
      </c>
      <c r="BQ288" s="179">
        <f t="shared" si="370"/>
        <v>25</v>
      </c>
      <c r="BR288" s="30">
        <f t="shared" si="337"/>
        <v>0.5</v>
      </c>
      <c r="BS288" s="195">
        <v>7612.4650000000001</v>
      </c>
      <c r="BT288" s="195">
        <v>7612.4650000000001</v>
      </c>
      <c r="BU288" s="196">
        <f t="shared" si="371"/>
        <v>0</v>
      </c>
      <c r="BV288" s="178">
        <f t="shared" si="353"/>
        <v>0</v>
      </c>
      <c r="BW288" s="192">
        <f t="shared" si="372"/>
        <v>2.8482825397737606</v>
      </c>
      <c r="BX288" s="192">
        <f t="shared" si="373"/>
        <v>8.1127134263800631</v>
      </c>
      <c r="BY288" s="192">
        <f t="shared" si="374"/>
        <v>5.5697595856656799</v>
      </c>
      <c r="BZ288" s="192">
        <f t="shared" si="375"/>
        <v>69.545868841005714</v>
      </c>
      <c r="CA288" s="192">
        <f t="shared" si="354"/>
        <v>40</v>
      </c>
      <c r="CB288" s="55">
        <f t="shared" si="376"/>
        <v>0.8</v>
      </c>
      <c r="CC288" s="197">
        <f t="shared" si="338"/>
        <v>151.32170591856428</v>
      </c>
      <c r="CD288" s="198">
        <f t="shared" si="339"/>
        <v>43.34609073420944</v>
      </c>
      <c r="CE288" s="58">
        <f t="shared" si="340"/>
        <v>0.65019136101314157</v>
      </c>
      <c r="CF288" s="245" t="s">
        <v>2326</v>
      </c>
      <c r="CG288" s="245" t="s">
        <v>2326</v>
      </c>
      <c r="CH288" s="245" t="s">
        <v>2326</v>
      </c>
      <c r="CI288" s="245" t="s">
        <v>2326</v>
      </c>
      <c r="CJ288" s="235"/>
      <c r="CK288" s="173" t="s">
        <v>2528</v>
      </c>
      <c r="CL288" s="173" t="s">
        <v>2482</v>
      </c>
      <c r="CM288" s="199">
        <f t="shared" si="377"/>
        <v>55</v>
      </c>
      <c r="CN288" s="58">
        <f t="shared" si="341"/>
        <v>0.82499999999999996</v>
      </c>
      <c r="CO288" s="54">
        <f>8955000+6324000</f>
        <v>15279000</v>
      </c>
      <c r="CP288" s="186">
        <f t="shared" si="355"/>
        <v>31.595404131150275</v>
      </c>
      <c r="CQ288" s="179">
        <f t="shared" si="378"/>
        <v>60</v>
      </c>
      <c r="CR288" s="30">
        <f t="shared" si="342"/>
        <v>1.7999999999999998</v>
      </c>
      <c r="CS288" s="200">
        <f>_xlfn.XLOOKUP(C288, '1-1. 관계사체무보증금액 (환율 등)'!$3:$3, '1-1. 관계사체무보증금액 (환율 등)'!$33:$33)</f>
        <v>0</v>
      </c>
      <c r="CT288" s="178">
        <f t="shared" si="356"/>
        <v>0</v>
      </c>
      <c r="CU288" s="179">
        <f t="shared" si="379"/>
        <v>100</v>
      </c>
      <c r="CV288" s="30">
        <f t="shared" si="343"/>
        <v>2</v>
      </c>
      <c r="CW288" s="72">
        <f t="shared" si="384"/>
        <v>16.585044473608818</v>
      </c>
    </row>
    <row r="289" spans="1:101" x14ac:dyDescent="0.6">
      <c r="A289" s="214" t="s">
        <v>1924</v>
      </c>
      <c r="B289" s="13" t="s">
        <v>2270</v>
      </c>
      <c r="C289" s="219" t="s">
        <v>1925</v>
      </c>
      <c r="D289" s="14" t="s">
        <v>285</v>
      </c>
      <c r="E289" s="217" t="s">
        <v>872</v>
      </c>
      <c r="F289" s="217" t="s">
        <v>1926</v>
      </c>
      <c r="G289" s="218">
        <v>27948</v>
      </c>
      <c r="H289" s="217" t="s">
        <v>830</v>
      </c>
      <c r="I289" s="217" t="s">
        <v>1927</v>
      </c>
      <c r="J289" s="217" t="s">
        <v>1928</v>
      </c>
      <c r="K289" s="217" t="s">
        <v>690</v>
      </c>
      <c r="L289" s="220">
        <v>1997213424</v>
      </c>
      <c r="M289" s="206">
        <v>1274120644</v>
      </c>
      <c r="N289" s="206">
        <v>723092780</v>
      </c>
      <c r="O289" s="206">
        <v>1190595681</v>
      </c>
      <c r="P289" s="206">
        <v>36051365</v>
      </c>
      <c r="Q289" s="206">
        <v>66290683</v>
      </c>
      <c r="R289" s="206">
        <v>50369228</v>
      </c>
      <c r="S289" s="207">
        <v>11570702</v>
      </c>
      <c r="T289" s="207">
        <v>0</v>
      </c>
      <c r="U289" s="207">
        <v>4253640</v>
      </c>
      <c r="V289" s="207">
        <v>0</v>
      </c>
      <c r="W289" s="207">
        <f>5000+767+11931+767</f>
        <v>18465</v>
      </c>
      <c r="X289" s="207">
        <v>0</v>
      </c>
      <c r="Z289" s="207">
        <v>0</v>
      </c>
      <c r="AA289" s="207">
        <v>0</v>
      </c>
      <c r="AB289" s="176">
        <f t="shared" si="380"/>
        <v>4272105</v>
      </c>
      <c r="AC289" s="177">
        <f t="shared" si="357"/>
        <v>36.921744246805424</v>
      </c>
      <c r="AD289" s="177">
        <f t="shared" si="381"/>
        <v>68.220588969960801</v>
      </c>
      <c r="AE289" s="26">
        <f t="shared" si="332"/>
        <v>2.0466176690988238</v>
      </c>
      <c r="AF289" s="178">
        <f t="shared" si="358"/>
        <v>36.762160152426361</v>
      </c>
      <c r="AG289" s="178">
        <f t="shared" si="359"/>
        <v>36.921744246805424</v>
      </c>
      <c r="AH289" s="178">
        <f t="shared" si="382"/>
        <v>0.1595840943790634</v>
      </c>
      <c r="AI289" s="179">
        <f t="shared" si="383"/>
        <v>100</v>
      </c>
      <c r="AJ289" s="30">
        <f t="shared" si="333"/>
        <v>4</v>
      </c>
      <c r="AK289" s="204">
        <v>6</v>
      </c>
      <c r="AL289" s="204">
        <v>21</v>
      </c>
      <c r="AM289" s="204">
        <v>1</v>
      </c>
      <c r="AN289" s="181">
        <f t="shared" si="344"/>
        <v>27</v>
      </c>
      <c r="AO289" s="182">
        <f t="shared" si="345"/>
        <v>3.7037037037037033</v>
      </c>
      <c r="AP289" s="183">
        <f t="shared" si="360"/>
        <v>100</v>
      </c>
      <c r="AQ289" s="38">
        <f t="shared" si="334"/>
        <v>2</v>
      </c>
      <c r="AR289" s="212">
        <v>2</v>
      </c>
      <c r="AS289" s="292">
        <f t="shared" si="346"/>
        <v>0.25</v>
      </c>
      <c r="AT289" s="185">
        <f t="shared" si="347"/>
        <v>1.5</v>
      </c>
      <c r="AU289" s="185">
        <f t="shared" si="361"/>
        <v>1</v>
      </c>
      <c r="AV289" s="186">
        <f t="shared" si="348"/>
        <v>16.666666666666664</v>
      </c>
      <c r="AW289" s="179">
        <f t="shared" si="362"/>
        <v>60</v>
      </c>
      <c r="AX289" s="239">
        <f t="shared" si="335"/>
        <v>0.6</v>
      </c>
      <c r="AY289" s="54">
        <v>30</v>
      </c>
      <c r="AZ289" s="54">
        <v>60</v>
      </c>
      <c r="BA289" s="189">
        <f t="shared" si="349"/>
        <v>60</v>
      </c>
      <c r="BB289" s="178">
        <f t="shared" si="363"/>
        <v>100</v>
      </c>
      <c r="BC289" s="179">
        <f t="shared" si="364"/>
        <v>100</v>
      </c>
      <c r="BD289" s="30">
        <f t="shared" si="336"/>
        <v>1</v>
      </c>
      <c r="BE289" s="190">
        <f>(18808+2280)*1000</f>
        <v>21088000</v>
      </c>
      <c r="BF289" s="190">
        <v>2312000</v>
      </c>
      <c r="BG289" s="54">
        <v>487000</v>
      </c>
      <c r="BH289" s="191">
        <f t="shared" si="350"/>
        <v>23400000</v>
      </c>
      <c r="BI289" s="178">
        <f t="shared" si="351"/>
        <v>2.0811965811965814</v>
      </c>
      <c r="BJ289" s="294" t="str">
        <f t="shared" si="365"/>
        <v>비제조/서비스업</v>
      </c>
      <c r="BK289" s="192">
        <f t="shared" si="366"/>
        <v>1.7464434573900924</v>
      </c>
      <c r="BL289" s="193">
        <f t="shared" si="367"/>
        <v>0.33475312380648892</v>
      </c>
      <c r="BM289" s="241">
        <f t="shared" si="368"/>
        <v>60</v>
      </c>
      <c r="BN289" s="47">
        <f t="shared" si="369"/>
        <v>1.2</v>
      </c>
      <c r="BO289" s="54">
        <v>0</v>
      </c>
      <c r="BP289" s="194">
        <f t="shared" si="352"/>
        <v>0</v>
      </c>
      <c r="BQ289" s="179">
        <f t="shared" si="370"/>
        <v>25</v>
      </c>
      <c r="BR289" s="30">
        <f t="shared" si="337"/>
        <v>0.5</v>
      </c>
      <c r="BS289" s="195">
        <v>486482.43199999997</v>
      </c>
      <c r="BT289" s="195">
        <v>8986.9320000000007</v>
      </c>
      <c r="BU289" s="196">
        <f t="shared" si="371"/>
        <v>477495.5</v>
      </c>
      <c r="BV289" s="178">
        <f t="shared" si="353"/>
        <v>4.0105596519461925E-2</v>
      </c>
      <c r="BW289" s="192">
        <f t="shared" si="372"/>
        <v>2.8482825397737606</v>
      </c>
      <c r="BX289" s="192">
        <f t="shared" si="373"/>
        <v>7.8858577446250564</v>
      </c>
      <c r="BY289" s="192">
        <f t="shared" si="374"/>
        <v>5.5697595856656799</v>
      </c>
      <c r="BZ289" s="192">
        <f t="shared" si="375"/>
        <v>69.293353446944167</v>
      </c>
      <c r="CA289" s="192">
        <f t="shared" si="354"/>
        <v>40</v>
      </c>
      <c r="CB289" s="55">
        <f t="shared" si="376"/>
        <v>0.8</v>
      </c>
      <c r="CC289" s="197">
        <f t="shared" si="338"/>
        <v>176.2043100471837</v>
      </c>
      <c r="CD289" s="198">
        <f t="shared" si="339"/>
        <v>33.96822485658906</v>
      </c>
      <c r="CE289" s="58">
        <f t="shared" si="340"/>
        <v>0.50952337284883586</v>
      </c>
      <c r="CF289" s="245" t="s">
        <v>2326</v>
      </c>
      <c r="CG289" s="245" t="s">
        <v>2326</v>
      </c>
      <c r="CH289" s="245" t="s">
        <v>2326</v>
      </c>
      <c r="CI289" s="245" t="s">
        <v>2326</v>
      </c>
      <c r="CJ289" s="235"/>
      <c r="CK289" s="173" t="s">
        <v>2529</v>
      </c>
      <c r="CL289" s="173" t="s">
        <v>2493</v>
      </c>
      <c r="CM289" s="199">
        <f t="shared" si="377"/>
        <v>40</v>
      </c>
      <c r="CN289" s="58">
        <f t="shared" si="341"/>
        <v>0.6</v>
      </c>
      <c r="CO289" s="54">
        <v>65178000</v>
      </c>
      <c r="CP289" s="186">
        <f t="shared" si="355"/>
        <v>9.0137810531035871</v>
      </c>
      <c r="CQ289" s="179">
        <f t="shared" si="378"/>
        <v>80</v>
      </c>
      <c r="CR289" s="30">
        <f t="shared" si="342"/>
        <v>2.4</v>
      </c>
      <c r="CS289" s="200">
        <f>_xlfn.XLOOKUP(C289, '1-1. 관계사체무보증금액 (환율 등)'!$3:$3, '1-1. 관계사체무보증금액 (환율 등)'!$33:$33)</f>
        <v>0</v>
      </c>
      <c r="CT289" s="178">
        <f t="shared" si="356"/>
        <v>0</v>
      </c>
      <c r="CU289" s="179">
        <f t="shared" si="379"/>
        <v>100</v>
      </c>
      <c r="CV289" s="30">
        <f t="shared" si="343"/>
        <v>2</v>
      </c>
      <c r="CW289" s="72">
        <f t="shared" si="384"/>
        <v>17.656141041947659</v>
      </c>
    </row>
    <row r="290" spans="1:101" x14ac:dyDescent="0.6">
      <c r="A290" s="214" t="s">
        <v>1929</v>
      </c>
      <c r="B290" s="13" t="s">
        <v>2271</v>
      </c>
      <c r="C290" s="219" t="s">
        <v>928</v>
      </c>
      <c r="D290" s="221" t="s">
        <v>350</v>
      </c>
      <c r="E290" s="217" t="s">
        <v>179</v>
      </c>
      <c r="F290" s="217" t="s">
        <v>808</v>
      </c>
      <c r="G290" s="218">
        <v>32206</v>
      </c>
      <c r="H290" s="217" t="s">
        <v>830</v>
      </c>
      <c r="I290" s="217" t="s">
        <v>817</v>
      </c>
      <c r="J290" s="217" t="s">
        <v>1121</v>
      </c>
      <c r="K290" s="217" t="s">
        <v>91</v>
      </c>
      <c r="L290" s="220">
        <v>1502891064</v>
      </c>
      <c r="M290" s="206">
        <v>1043504163</v>
      </c>
      <c r="N290" s="206">
        <v>459386901</v>
      </c>
      <c r="O290" s="206">
        <v>1117144964</v>
      </c>
      <c r="P290" s="206">
        <v>37196835</v>
      </c>
      <c r="Q290" s="206">
        <v>35531502</v>
      </c>
      <c r="R290" s="206">
        <v>24033308</v>
      </c>
      <c r="S290" s="207">
        <v>12728534</v>
      </c>
      <c r="T290" s="207">
        <v>0</v>
      </c>
      <c r="U290" s="207">
        <f>2074010+515512</f>
        <v>2589522</v>
      </c>
      <c r="V290" s="207">
        <f>85648+72000+72000</f>
        <v>229648</v>
      </c>
      <c r="W290" s="207">
        <f>68690+10000+14538+28581+40899+3230</f>
        <v>165938</v>
      </c>
      <c r="X290" s="207">
        <v>0</v>
      </c>
      <c r="Y290" s="208" t="s">
        <v>2467</v>
      </c>
      <c r="Z290" s="207">
        <f>1381149+948234</f>
        <v>2329383</v>
      </c>
      <c r="AA290" s="207">
        <v>0</v>
      </c>
      <c r="AB290" s="176">
        <f t="shared" si="380"/>
        <v>5314491</v>
      </c>
      <c r="AC290" s="177">
        <f t="shared" si="357"/>
        <v>41.75257731958763</v>
      </c>
      <c r="AD290" s="177">
        <f t="shared" si="381"/>
        <v>64.051285397363955</v>
      </c>
      <c r="AE290" s="60">
        <f>AD290*0.04</f>
        <v>2.5620514158945582</v>
      </c>
      <c r="AF290" s="178">
        <f t="shared" si="358"/>
        <v>22.148426519503346</v>
      </c>
      <c r="AG290" s="178">
        <f t="shared" si="359"/>
        <v>41.75257731958763</v>
      </c>
      <c r="AH290" s="178">
        <f t="shared" si="382"/>
        <v>19.604150800084284</v>
      </c>
      <c r="AI290" s="179">
        <f t="shared" si="383"/>
        <v>80</v>
      </c>
      <c r="AJ290" s="61">
        <f>AI290*0.05</f>
        <v>4</v>
      </c>
      <c r="AK290" s="204">
        <v>4</v>
      </c>
      <c r="AL290" s="204">
        <v>17</v>
      </c>
      <c r="AM290" s="204">
        <v>0</v>
      </c>
      <c r="AN290" s="181">
        <f t="shared" si="344"/>
        <v>21</v>
      </c>
      <c r="AO290" s="182">
        <f t="shared" si="345"/>
        <v>0</v>
      </c>
      <c r="AP290" s="183">
        <f t="shared" si="360"/>
        <v>100</v>
      </c>
      <c r="AQ290" s="62">
        <f>AP290*0.03</f>
        <v>3</v>
      </c>
      <c r="AR290" s="212">
        <v>1</v>
      </c>
      <c r="AS290" s="292">
        <f t="shared" si="346"/>
        <v>0.25</v>
      </c>
      <c r="AT290" s="185">
        <f t="shared" si="347"/>
        <v>1</v>
      </c>
      <c r="AU290" s="185">
        <f t="shared" si="361"/>
        <v>1</v>
      </c>
      <c r="AV290" s="186">
        <f t="shared" si="348"/>
        <v>0</v>
      </c>
      <c r="AW290" s="179">
        <f t="shared" si="362"/>
        <v>40</v>
      </c>
      <c r="AX290" s="240">
        <f>AW290*0.02</f>
        <v>0.8</v>
      </c>
      <c r="AY290" s="54">
        <v>7</v>
      </c>
      <c r="AZ290" s="54">
        <v>7</v>
      </c>
      <c r="BA290" s="189">
        <f t="shared" si="349"/>
        <v>7</v>
      </c>
      <c r="BB290" s="178">
        <f t="shared" si="363"/>
        <v>100</v>
      </c>
      <c r="BC290" s="179">
        <f t="shared" si="364"/>
        <v>100</v>
      </c>
      <c r="BD290" s="61">
        <f>BC290*0.02</f>
        <v>2</v>
      </c>
      <c r="BE290" s="190">
        <v>69893871</v>
      </c>
      <c r="BF290" s="190">
        <v>2800636</v>
      </c>
      <c r="BG290" s="54">
        <v>11635674</v>
      </c>
      <c r="BH290" s="191">
        <f t="shared" si="350"/>
        <v>72694507</v>
      </c>
      <c r="BI290" s="178">
        <f t="shared" si="351"/>
        <v>16.006263031675832</v>
      </c>
      <c r="BJ290" s="294" t="str">
        <f t="shared" si="365"/>
        <v>금융업</v>
      </c>
      <c r="BK290" s="192">
        <f t="shared" si="366"/>
        <v>2.7106886075318837</v>
      </c>
      <c r="BL290" s="193">
        <f t="shared" si="367"/>
        <v>13.295574424143949</v>
      </c>
      <c r="BM290" s="241">
        <f t="shared" si="368"/>
        <v>20</v>
      </c>
      <c r="BN290" s="47">
        <f t="shared" si="369"/>
        <v>0.4</v>
      </c>
      <c r="BO290" s="54">
        <v>0</v>
      </c>
      <c r="BP290" s="194">
        <f t="shared" si="352"/>
        <v>0</v>
      </c>
      <c r="BQ290" s="179">
        <f t="shared" si="370"/>
        <v>25</v>
      </c>
      <c r="BR290" s="61">
        <f>BQ290*0.01</f>
        <v>0.25</v>
      </c>
      <c r="BS290" s="195">
        <v>2146099</v>
      </c>
      <c r="BT290" s="195">
        <v>1927</v>
      </c>
      <c r="BU290" s="196">
        <f t="shared" si="371"/>
        <v>2144172</v>
      </c>
      <c r="BV290" s="178">
        <f t="shared" si="353"/>
        <v>0.19193319301397307</v>
      </c>
      <c r="BW290" s="192">
        <f t="shared" si="372"/>
        <v>0.39407896396795111</v>
      </c>
      <c r="BX290" s="192">
        <f t="shared" si="373"/>
        <v>4.0862912714578148E-2</v>
      </c>
      <c r="BY290" s="192">
        <f t="shared" si="374"/>
        <v>1.5698937849002934</v>
      </c>
      <c r="BZ290" s="192">
        <f t="shared" si="375"/>
        <v>55.122779575839076</v>
      </c>
      <c r="CA290" s="192">
        <f t="shared" si="354"/>
        <v>55</v>
      </c>
      <c r="CB290" s="55">
        <f t="shared" si="376"/>
        <v>1.1000000000000001</v>
      </c>
      <c r="CC290" s="242" t="s">
        <v>1273</v>
      </c>
      <c r="CD290" s="243" t="s">
        <v>1273</v>
      </c>
      <c r="CE290" s="244"/>
      <c r="CF290" s="295" t="s">
        <v>2379</v>
      </c>
      <c r="CG290" s="210">
        <v>1.36</v>
      </c>
      <c r="CH290" s="295" t="s">
        <v>2379</v>
      </c>
      <c r="CI290" s="188">
        <f>IF((100-(75*(CG290-1)/9))&gt;100,100,IF((100-(75*(CG290-1)/9))&lt;25,25,(100-(75*(CG290-1)/9))))</f>
        <v>97</v>
      </c>
      <c r="CJ290" s="63">
        <f>CI290*0.04</f>
        <v>3.88</v>
      </c>
      <c r="CK290" s="173" t="s">
        <v>2530</v>
      </c>
      <c r="CL290" s="173" t="s">
        <v>2477</v>
      </c>
      <c r="CM290" s="199">
        <f t="shared" si="377"/>
        <v>85</v>
      </c>
      <c r="CN290" s="65">
        <f>CM290*0.03</f>
        <v>2.5499999999999998</v>
      </c>
      <c r="CO290" s="54">
        <v>0</v>
      </c>
      <c r="CP290" s="186">
        <f t="shared" si="355"/>
        <v>0</v>
      </c>
      <c r="CQ290" s="179">
        <f t="shared" si="378"/>
        <v>100</v>
      </c>
      <c r="CR290" s="61">
        <f>CQ290*0.04</f>
        <v>4</v>
      </c>
      <c r="CS290" s="200">
        <f>_xlfn.XLOOKUP(C290, '1-1. 관계사체무보증금액 (환율 등)'!$3:$3, '1-1. 관계사체무보증금액 (환율 등)'!$33:$33)</f>
        <v>0</v>
      </c>
      <c r="CT290" s="178">
        <f t="shared" si="356"/>
        <v>0</v>
      </c>
      <c r="CU290" s="179">
        <f t="shared" si="379"/>
        <v>100</v>
      </c>
      <c r="CV290" s="70">
        <f>CU290*0.03</f>
        <v>3</v>
      </c>
      <c r="CW290" s="72">
        <f t="shared" si="384"/>
        <v>27.542051415894559</v>
      </c>
    </row>
    <row r="291" spans="1:101" x14ac:dyDescent="0.6">
      <c r="A291" s="214" t="s">
        <v>540</v>
      </c>
      <c r="B291" s="13" t="s">
        <v>2272</v>
      </c>
      <c r="C291" s="219" t="s">
        <v>902</v>
      </c>
      <c r="D291" s="216" t="s">
        <v>191</v>
      </c>
      <c r="E291" s="217" t="s">
        <v>34</v>
      </c>
      <c r="F291" s="217" t="s">
        <v>995</v>
      </c>
      <c r="G291" s="218">
        <v>32860</v>
      </c>
      <c r="H291" s="217" t="s">
        <v>830</v>
      </c>
      <c r="I291" s="217" t="s">
        <v>1930</v>
      </c>
      <c r="J291" s="217" t="s">
        <v>1134</v>
      </c>
      <c r="K291" s="217" t="s">
        <v>934</v>
      </c>
      <c r="L291" s="220">
        <v>213430249</v>
      </c>
      <c r="M291" s="206">
        <v>44956203</v>
      </c>
      <c r="N291" s="206">
        <v>168474046</v>
      </c>
      <c r="O291" s="206">
        <v>109995419</v>
      </c>
      <c r="P291" s="206">
        <v>1769754</v>
      </c>
      <c r="Q291" s="206">
        <v>2224437</v>
      </c>
      <c r="R291" s="206">
        <v>546481</v>
      </c>
      <c r="S291" s="207">
        <v>52240638</v>
      </c>
      <c r="T291" s="207">
        <v>1550194</v>
      </c>
      <c r="U291" s="207">
        <v>16115745</v>
      </c>
      <c r="V291" s="207">
        <v>0</v>
      </c>
      <c r="W291" s="207">
        <f>65980+9274+7280</f>
        <v>82534</v>
      </c>
      <c r="X291" s="207">
        <v>0</v>
      </c>
      <c r="Z291" s="207">
        <v>0</v>
      </c>
      <c r="AA291" s="207">
        <v>0</v>
      </c>
      <c r="AB291" s="176">
        <f t="shared" si="380"/>
        <v>16198279</v>
      </c>
      <c r="AC291" s="177">
        <f t="shared" si="357"/>
        <v>31.007046659728772</v>
      </c>
      <c r="AD291" s="177">
        <f t="shared" si="381"/>
        <v>73.325333722903821</v>
      </c>
      <c r="AE291" s="26">
        <f t="shared" ref="AE291:AE296" si="385">AD291*0.03</f>
        <v>2.1997600116871143</v>
      </c>
      <c r="AF291" s="178">
        <f t="shared" si="358"/>
        <v>31.792471575115815</v>
      </c>
      <c r="AG291" s="178">
        <f t="shared" si="359"/>
        <v>31.955291218202785</v>
      </c>
      <c r="AH291" s="178">
        <f t="shared" si="382"/>
        <v>0.16281964308696928</v>
      </c>
      <c r="AI291" s="179">
        <f t="shared" si="383"/>
        <v>100</v>
      </c>
      <c r="AJ291" s="30">
        <f t="shared" ref="AJ291:AJ296" si="386">AI291*0.04</f>
        <v>4</v>
      </c>
      <c r="AK291" s="204">
        <v>7</v>
      </c>
      <c r="AL291" s="204">
        <v>5</v>
      </c>
      <c r="AM291" s="204">
        <v>1</v>
      </c>
      <c r="AN291" s="181">
        <f t="shared" si="344"/>
        <v>12</v>
      </c>
      <c r="AO291" s="182">
        <f t="shared" si="345"/>
        <v>8.3333333333333321</v>
      </c>
      <c r="AP291" s="183">
        <f t="shared" si="360"/>
        <v>100</v>
      </c>
      <c r="AQ291" s="38">
        <f t="shared" ref="AQ291:AQ296" si="387">AP291*0.02</f>
        <v>2</v>
      </c>
      <c r="AR291" s="212">
        <v>3</v>
      </c>
      <c r="AS291" s="292">
        <f t="shared" si="346"/>
        <v>0.25</v>
      </c>
      <c r="AT291" s="185">
        <f t="shared" si="347"/>
        <v>1.75</v>
      </c>
      <c r="AU291" s="185">
        <f t="shared" si="361"/>
        <v>1</v>
      </c>
      <c r="AV291" s="186">
        <f t="shared" si="348"/>
        <v>28.571428571428569</v>
      </c>
      <c r="AW291" s="179">
        <f t="shared" si="362"/>
        <v>80</v>
      </c>
      <c r="AX291" s="239">
        <f t="shared" ref="AX291:AX296" si="388">AW291*0.01</f>
        <v>0.8</v>
      </c>
      <c r="AY291" s="54">
        <v>7</v>
      </c>
      <c r="AZ291" s="54">
        <f>21-3</f>
        <v>18</v>
      </c>
      <c r="BA291" s="189">
        <f t="shared" si="349"/>
        <v>21</v>
      </c>
      <c r="BB291" s="178">
        <f t="shared" si="363"/>
        <v>85.714285714285708</v>
      </c>
      <c r="BC291" s="179">
        <f t="shared" si="364"/>
        <v>75</v>
      </c>
      <c r="BD291" s="30">
        <f t="shared" ref="BD291:BD296" si="389">BC291*0.01</f>
        <v>0.75</v>
      </c>
      <c r="BE291" s="190">
        <v>14718320</v>
      </c>
      <c r="BF291" s="190">
        <v>1203838</v>
      </c>
      <c r="BG291" s="54">
        <v>19420</v>
      </c>
      <c r="BH291" s="191">
        <f t="shared" si="350"/>
        <v>15922158</v>
      </c>
      <c r="BI291" s="178">
        <f t="shared" si="351"/>
        <v>0.12196839147055319</v>
      </c>
      <c r="BJ291" s="294" t="str">
        <f t="shared" si="365"/>
        <v>식약/섬유/종이업</v>
      </c>
      <c r="BK291" s="192">
        <f t="shared" si="366"/>
        <v>2.1999360555264444</v>
      </c>
      <c r="BL291" s="193">
        <f t="shared" si="367"/>
        <v>-2.0779676640558913</v>
      </c>
      <c r="BM291" s="241">
        <f t="shared" si="368"/>
        <v>100</v>
      </c>
      <c r="BN291" s="47">
        <f t="shared" si="369"/>
        <v>2</v>
      </c>
      <c r="BO291" s="54">
        <f>21274270-141088</f>
        <v>21133182</v>
      </c>
      <c r="BP291" s="194">
        <f t="shared" si="352"/>
        <v>19.212783761476469</v>
      </c>
      <c r="BQ291" s="179">
        <f t="shared" si="370"/>
        <v>100</v>
      </c>
      <c r="BR291" s="30">
        <f t="shared" ref="BR291:BR296" si="390">BQ291*0.02</f>
        <v>2</v>
      </c>
      <c r="BS291" s="195">
        <v>2784148.8960000002</v>
      </c>
      <c r="BT291" s="195">
        <v>17000</v>
      </c>
      <c r="BU291" s="196">
        <f t="shared" si="371"/>
        <v>2767148.8960000002</v>
      </c>
      <c r="BV291" s="178">
        <f t="shared" si="353"/>
        <v>2.5156946727026881</v>
      </c>
      <c r="BW291" s="192">
        <f t="shared" si="372"/>
        <v>5.0508176117342281</v>
      </c>
      <c r="BX291" s="192">
        <f t="shared" si="373"/>
        <v>6.4268483160039134</v>
      </c>
      <c r="BY291" s="192">
        <f t="shared" si="374"/>
        <v>6.9871618081220941</v>
      </c>
      <c r="BZ291" s="192">
        <f t="shared" si="375"/>
        <v>64.163251073278445</v>
      </c>
      <c r="CA291" s="192">
        <f t="shared" si="354"/>
        <v>40</v>
      </c>
      <c r="CB291" s="55">
        <f t="shared" si="376"/>
        <v>0.8</v>
      </c>
      <c r="CC291" s="197">
        <f t="shared" ref="CC291:CC296" si="391">(M291/N291)*100</f>
        <v>26.684349350759938</v>
      </c>
      <c r="CD291" s="198">
        <f t="shared" ref="CD291:CD296" si="392">IF((100-(75*(CC291-1)/(200-1)))&gt;100, 100, IF((100-(75*(CC291-1)/(200-1)))&lt;25, 25, (100-(75*(CC291-1)/(200-1)))))</f>
        <v>90.319968837653292</v>
      </c>
      <c r="CE291" s="58">
        <f t="shared" ref="CE291:CE296" si="393">CD291*0.015</f>
        <v>1.3547995325647992</v>
      </c>
      <c r="CF291" s="245" t="s">
        <v>2326</v>
      </c>
      <c r="CG291" s="245" t="s">
        <v>2326</v>
      </c>
      <c r="CH291" s="245" t="s">
        <v>2326</v>
      </c>
      <c r="CI291" s="245" t="s">
        <v>2326</v>
      </c>
      <c r="CJ291" s="235"/>
      <c r="CK291" s="173" t="s">
        <v>2479</v>
      </c>
      <c r="CL291" s="173" t="s">
        <v>2478</v>
      </c>
      <c r="CM291" s="199">
        <f t="shared" si="377"/>
        <v>25</v>
      </c>
      <c r="CN291" s="58">
        <f t="shared" ref="CN291:CN296" si="394">CM291*0.015</f>
        <v>0.375</v>
      </c>
      <c r="CO291" s="54">
        <v>75000</v>
      </c>
      <c r="CP291" s="186">
        <f t="shared" si="355"/>
        <v>4.4517242733043881E-2</v>
      </c>
      <c r="CQ291" s="179">
        <f t="shared" si="378"/>
        <v>100</v>
      </c>
      <c r="CR291" s="30">
        <f t="shared" ref="CR291:CR296" si="395">CQ291*0.03</f>
        <v>3</v>
      </c>
      <c r="CS291" s="200">
        <f>_xlfn.XLOOKUP(C291, '1-1. 관계사체무보증금액 (환율 등)'!$3:$3, '1-1. 관계사체무보증금액 (환율 등)'!$33:$33)</f>
        <v>0</v>
      </c>
      <c r="CT291" s="178">
        <f t="shared" si="356"/>
        <v>0</v>
      </c>
      <c r="CU291" s="179">
        <f t="shared" si="379"/>
        <v>100</v>
      </c>
      <c r="CV291" s="30">
        <f t="shared" ref="CV291:CV296" si="396">CU291*0.02</f>
        <v>2</v>
      </c>
      <c r="CW291" s="72">
        <f t="shared" si="384"/>
        <v>21.279559544251917</v>
      </c>
    </row>
    <row r="292" spans="1:101" x14ac:dyDescent="0.6">
      <c r="A292" s="214" t="s">
        <v>291</v>
      </c>
      <c r="B292" s="13" t="s">
        <v>2273</v>
      </c>
      <c r="C292" s="219" t="s">
        <v>894</v>
      </c>
      <c r="D292" s="216" t="s">
        <v>203</v>
      </c>
      <c r="E292" s="217" t="s">
        <v>1179</v>
      </c>
      <c r="F292" s="217" t="s">
        <v>379</v>
      </c>
      <c r="G292" s="218">
        <v>43318</v>
      </c>
      <c r="H292" s="217" t="s">
        <v>830</v>
      </c>
      <c r="I292" s="217" t="s">
        <v>801</v>
      </c>
      <c r="J292" s="217" t="s">
        <v>1240</v>
      </c>
      <c r="K292" s="217" t="s">
        <v>91</v>
      </c>
      <c r="L292" s="220">
        <v>1920187832</v>
      </c>
      <c r="M292" s="206">
        <v>578102236</v>
      </c>
      <c r="N292" s="206">
        <v>1342085595</v>
      </c>
      <c r="O292" s="206">
        <v>1059617234</v>
      </c>
      <c r="P292" s="206">
        <v>81393435</v>
      </c>
      <c r="Q292" s="206">
        <v>87194859</v>
      </c>
      <c r="R292" s="206">
        <v>65472999</v>
      </c>
      <c r="S292" s="207">
        <v>69261540</v>
      </c>
      <c r="T292" s="207">
        <v>0</v>
      </c>
      <c r="U292" s="207">
        <v>42182260</v>
      </c>
      <c r="V292" s="207">
        <f>1923630+1815100+185000+659210+659210+31310+168410</f>
        <v>5441870</v>
      </c>
      <c r="W292" s="207">
        <v>0</v>
      </c>
      <c r="X292" s="207">
        <v>2959030</v>
      </c>
      <c r="Y292" s="208" t="s">
        <v>2468</v>
      </c>
      <c r="Z292" s="207">
        <v>58222</v>
      </c>
      <c r="AA292" s="207">
        <v>0</v>
      </c>
      <c r="AB292" s="176">
        <f t="shared" si="380"/>
        <v>50641382</v>
      </c>
      <c r="AC292" s="177">
        <f t="shared" si="357"/>
        <v>73.116165190667147</v>
      </c>
      <c r="AD292" s="177">
        <f t="shared" si="381"/>
        <v>36.982596210586472</v>
      </c>
      <c r="AE292" s="26">
        <f t="shared" si="385"/>
        <v>1.109477886317594</v>
      </c>
      <c r="AF292" s="178">
        <f t="shared" si="358"/>
        <v>68.759848539319222</v>
      </c>
      <c r="AG292" s="178">
        <f t="shared" si="359"/>
        <v>73.116165190667147</v>
      </c>
      <c r="AH292" s="178">
        <f t="shared" si="382"/>
        <v>4.3563166513479246</v>
      </c>
      <c r="AI292" s="179">
        <f t="shared" si="383"/>
        <v>100</v>
      </c>
      <c r="AJ292" s="30">
        <f t="shared" si="386"/>
        <v>4</v>
      </c>
      <c r="AK292" s="204">
        <v>7</v>
      </c>
      <c r="AL292" s="204">
        <v>13</v>
      </c>
      <c r="AM292" s="204">
        <v>0</v>
      </c>
      <c r="AN292" s="181">
        <f t="shared" si="344"/>
        <v>20</v>
      </c>
      <c r="AO292" s="182">
        <f t="shared" si="345"/>
        <v>0</v>
      </c>
      <c r="AP292" s="183">
        <f t="shared" si="360"/>
        <v>100</v>
      </c>
      <c r="AQ292" s="38">
        <f t="shared" si="387"/>
        <v>2</v>
      </c>
      <c r="AR292" s="212">
        <v>2</v>
      </c>
      <c r="AS292" s="292">
        <f t="shared" si="346"/>
        <v>0.25</v>
      </c>
      <c r="AT292" s="185">
        <f t="shared" si="347"/>
        <v>1.75</v>
      </c>
      <c r="AU292" s="185">
        <f t="shared" si="361"/>
        <v>1</v>
      </c>
      <c r="AV292" s="186">
        <f t="shared" si="348"/>
        <v>14.285714285714285</v>
      </c>
      <c r="AW292" s="179">
        <f t="shared" si="362"/>
        <v>60</v>
      </c>
      <c r="AX292" s="239">
        <f t="shared" si="388"/>
        <v>0.6</v>
      </c>
      <c r="AY292" s="54">
        <v>10</v>
      </c>
      <c r="AZ292" s="54">
        <f>20-4</f>
        <v>16</v>
      </c>
      <c r="BA292" s="189">
        <f t="shared" si="349"/>
        <v>20</v>
      </c>
      <c r="BB292" s="178">
        <f t="shared" si="363"/>
        <v>80</v>
      </c>
      <c r="BC292" s="179">
        <f t="shared" si="364"/>
        <v>75</v>
      </c>
      <c r="BD292" s="30">
        <f t="shared" si="389"/>
        <v>0.75</v>
      </c>
      <c r="BE292" s="190">
        <v>12126233</v>
      </c>
      <c r="BF292" s="190">
        <v>4532883</v>
      </c>
      <c r="BG292" s="54">
        <v>1000644</v>
      </c>
      <c r="BH292" s="191">
        <f t="shared" si="350"/>
        <v>16659116</v>
      </c>
      <c r="BI292" s="178">
        <f t="shared" si="351"/>
        <v>6.0065852233695951</v>
      </c>
      <c r="BJ292" s="294" t="str">
        <f t="shared" si="365"/>
        <v>금속/비금속/화학업</v>
      </c>
      <c r="BK292" s="192">
        <f t="shared" si="366"/>
        <v>3.9534118626990464</v>
      </c>
      <c r="BL292" s="193">
        <f t="shared" si="367"/>
        <v>2.0531733606705487</v>
      </c>
      <c r="BM292" s="241">
        <f t="shared" si="368"/>
        <v>40</v>
      </c>
      <c r="BN292" s="47">
        <f t="shared" si="369"/>
        <v>0.8</v>
      </c>
      <c r="BO292" s="54">
        <f>1701389-191395</f>
        <v>1509994</v>
      </c>
      <c r="BP292" s="194">
        <f t="shared" si="352"/>
        <v>0.14250372224504609</v>
      </c>
      <c r="BQ292" s="179">
        <f t="shared" si="370"/>
        <v>55</v>
      </c>
      <c r="BR292" s="30">
        <f t="shared" si="390"/>
        <v>1.1000000000000001</v>
      </c>
      <c r="BS292" s="195">
        <v>53812342.935000002</v>
      </c>
      <c r="BT292" s="195">
        <v>1202868.2720000001</v>
      </c>
      <c r="BU292" s="196">
        <f t="shared" si="371"/>
        <v>52609474.663000003</v>
      </c>
      <c r="BV292" s="178">
        <f t="shared" si="353"/>
        <v>4.9649508308204808</v>
      </c>
      <c r="BW292" s="192">
        <f t="shared" si="372"/>
        <v>5.1474158565187729</v>
      </c>
      <c r="BX292" s="192">
        <f t="shared" si="373"/>
        <v>3.3293485603078377E-2</v>
      </c>
      <c r="BY292" s="192">
        <f t="shared" si="374"/>
        <v>6.6930498535228526</v>
      </c>
      <c r="BZ292" s="192">
        <f t="shared" si="375"/>
        <v>51.087456380911519</v>
      </c>
      <c r="CA292" s="192">
        <f t="shared" si="354"/>
        <v>55</v>
      </c>
      <c r="CB292" s="55">
        <f t="shared" si="376"/>
        <v>1.1000000000000001</v>
      </c>
      <c r="CC292" s="197">
        <f t="shared" si="391"/>
        <v>43.074915501197971</v>
      </c>
      <c r="CD292" s="198">
        <f t="shared" si="392"/>
        <v>84.142619785980671</v>
      </c>
      <c r="CE292" s="58">
        <f t="shared" si="393"/>
        <v>1.26213929678971</v>
      </c>
      <c r="CF292" s="245" t="s">
        <v>2326</v>
      </c>
      <c r="CG292" s="245" t="s">
        <v>2326</v>
      </c>
      <c r="CH292" s="245" t="s">
        <v>2326</v>
      </c>
      <c r="CI292" s="245" t="s">
        <v>2326</v>
      </c>
      <c r="CJ292" s="235"/>
      <c r="CK292" s="173" t="s">
        <v>2527</v>
      </c>
      <c r="CL292" s="173" t="s">
        <v>2487</v>
      </c>
      <c r="CM292" s="199">
        <f t="shared" si="377"/>
        <v>70</v>
      </c>
      <c r="CN292" s="58">
        <f t="shared" si="394"/>
        <v>1.05</v>
      </c>
      <c r="CO292" s="54">
        <v>590385000</v>
      </c>
      <c r="CP292" s="186">
        <f t="shared" si="355"/>
        <v>43.99011525043602</v>
      </c>
      <c r="CQ292" s="179">
        <f t="shared" si="378"/>
        <v>40</v>
      </c>
      <c r="CR292" s="30">
        <f t="shared" si="395"/>
        <v>1.2</v>
      </c>
      <c r="CS292" s="200">
        <f>_xlfn.XLOOKUP(C292, '1-1. 관계사체무보증금액 (환율 등)'!$3:$3, '1-1. 관계사체무보증금액 (환율 등)'!$33:$33)</f>
        <v>30921555.875824809</v>
      </c>
      <c r="CT292" s="178">
        <f t="shared" si="356"/>
        <v>2.3039928295948076</v>
      </c>
      <c r="CU292" s="179">
        <f t="shared" si="379"/>
        <v>100</v>
      </c>
      <c r="CV292" s="30">
        <f t="shared" si="396"/>
        <v>2</v>
      </c>
      <c r="CW292" s="72">
        <f t="shared" si="384"/>
        <v>16.971617183107305</v>
      </c>
    </row>
    <row r="293" spans="1:101" x14ac:dyDescent="0.6">
      <c r="A293" s="214" t="s">
        <v>354</v>
      </c>
      <c r="B293" s="13" t="s">
        <v>2274</v>
      </c>
      <c r="C293" s="219" t="s">
        <v>368</v>
      </c>
      <c r="D293" s="216" t="s">
        <v>203</v>
      </c>
      <c r="E293" s="217" t="s">
        <v>1179</v>
      </c>
      <c r="F293" s="217" t="s">
        <v>145</v>
      </c>
      <c r="G293" s="218">
        <v>27754</v>
      </c>
      <c r="H293" s="217" t="s">
        <v>830</v>
      </c>
      <c r="I293" s="217" t="s">
        <v>801</v>
      </c>
      <c r="J293" s="217" t="s">
        <v>651</v>
      </c>
      <c r="K293" s="217" t="s">
        <v>91</v>
      </c>
      <c r="L293" s="220">
        <v>649126014</v>
      </c>
      <c r="M293" s="206">
        <v>285245442</v>
      </c>
      <c r="N293" s="206">
        <v>363880572</v>
      </c>
      <c r="O293" s="206">
        <v>471150174</v>
      </c>
      <c r="P293" s="206">
        <v>35168294</v>
      </c>
      <c r="Q293" s="206">
        <v>44443695</v>
      </c>
      <c r="R293" s="206">
        <v>35704071</v>
      </c>
      <c r="S293" s="207">
        <v>19327672</v>
      </c>
      <c r="T293" s="207">
        <v>0</v>
      </c>
      <c r="U293" s="207">
        <v>14170986</v>
      </c>
      <c r="V293" s="207">
        <v>0</v>
      </c>
      <c r="W293" s="207">
        <v>0</v>
      </c>
      <c r="X293" s="207">
        <v>0</v>
      </c>
      <c r="Z293" s="207">
        <v>0</v>
      </c>
      <c r="AA293" s="207">
        <v>0</v>
      </c>
      <c r="AB293" s="176">
        <f t="shared" si="380"/>
        <v>14170986</v>
      </c>
      <c r="AC293" s="177">
        <f t="shared" si="357"/>
        <v>73.319673471279927</v>
      </c>
      <c r="AD293" s="177">
        <f t="shared" si="381"/>
        <v>36.8069561525202</v>
      </c>
      <c r="AE293" s="26">
        <f t="shared" si="385"/>
        <v>1.1042086845756061</v>
      </c>
      <c r="AF293" s="178">
        <f t="shared" si="358"/>
        <v>73.319673471279927</v>
      </c>
      <c r="AG293" s="178">
        <f t="shared" si="359"/>
        <v>73.319673471279927</v>
      </c>
      <c r="AH293" s="178">
        <f t="shared" si="382"/>
        <v>0</v>
      </c>
      <c r="AI293" s="179">
        <f t="shared" si="383"/>
        <v>100</v>
      </c>
      <c r="AJ293" s="30">
        <f t="shared" si="386"/>
        <v>4</v>
      </c>
      <c r="AK293" s="204">
        <v>5</v>
      </c>
      <c r="AL293" s="204">
        <v>14</v>
      </c>
      <c r="AM293" s="204">
        <v>1</v>
      </c>
      <c r="AN293" s="181">
        <f t="shared" si="344"/>
        <v>19</v>
      </c>
      <c r="AO293" s="182">
        <f t="shared" si="345"/>
        <v>5.2631578947368416</v>
      </c>
      <c r="AP293" s="183">
        <f t="shared" si="360"/>
        <v>100</v>
      </c>
      <c r="AQ293" s="38">
        <f t="shared" si="387"/>
        <v>2</v>
      </c>
      <c r="AR293" s="212">
        <v>1</v>
      </c>
      <c r="AS293" s="292">
        <f t="shared" si="346"/>
        <v>0.25</v>
      </c>
      <c r="AT293" s="185">
        <f t="shared" si="347"/>
        <v>1.25</v>
      </c>
      <c r="AU293" s="185">
        <f t="shared" si="361"/>
        <v>1</v>
      </c>
      <c r="AV293" s="186">
        <f t="shared" si="348"/>
        <v>0</v>
      </c>
      <c r="AW293" s="179">
        <f t="shared" si="362"/>
        <v>40</v>
      </c>
      <c r="AX293" s="239">
        <f t="shared" si="388"/>
        <v>0.4</v>
      </c>
      <c r="AY293" s="54">
        <v>10</v>
      </c>
      <c r="AZ293" s="54">
        <v>10</v>
      </c>
      <c r="BA293" s="189">
        <f t="shared" si="349"/>
        <v>10</v>
      </c>
      <c r="BB293" s="178">
        <f t="shared" si="363"/>
        <v>100</v>
      </c>
      <c r="BC293" s="179">
        <f t="shared" si="364"/>
        <v>100</v>
      </c>
      <c r="BD293" s="30">
        <f t="shared" si="389"/>
        <v>1</v>
      </c>
      <c r="BE293" s="190">
        <v>9353276</v>
      </c>
      <c r="BF293" s="190">
        <v>4044480</v>
      </c>
      <c r="BG293" s="54">
        <v>792241</v>
      </c>
      <c r="BH293" s="191">
        <f t="shared" si="350"/>
        <v>13397756</v>
      </c>
      <c r="BI293" s="178">
        <f t="shared" si="351"/>
        <v>5.9132365151298476</v>
      </c>
      <c r="BJ293" s="294" t="str">
        <f t="shared" si="365"/>
        <v>금속/비금속/화학업</v>
      </c>
      <c r="BK293" s="192">
        <f t="shared" si="366"/>
        <v>3.9534118626990464</v>
      </c>
      <c r="BL293" s="193">
        <f t="shared" si="367"/>
        <v>1.9598246524308012</v>
      </c>
      <c r="BM293" s="241">
        <f t="shared" si="368"/>
        <v>60</v>
      </c>
      <c r="BN293" s="47">
        <f t="shared" si="369"/>
        <v>1.2</v>
      </c>
      <c r="BO293" s="54">
        <v>249436</v>
      </c>
      <c r="BP293" s="194">
        <f t="shared" si="352"/>
        <v>5.2941930994596216E-2</v>
      </c>
      <c r="BQ293" s="179">
        <f t="shared" si="370"/>
        <v>40</v>
      </c>
      <c r="BR293" s="30">
        <f t="shared" si="390"/>
        <v>0.8</v>
      </c>
      <c r="BS293" s="195">
        <v>59905349.259999998</v>
      </c>
      <c r="BT293" s="195">
        <v>988006.19</v>
      </c>
      <c r="BU293" s="196">
        <f t="shared" si="371"/>
        <v>58917343.07</v>
      </c>
      <c r="BV293" s="178">
        <f t="shared" si="353"/>
        <v>12.505002931400808</v>
      </c>
      <c r="BW293" s="192">
        <f t="shared" si="372"/>
        <v>5.1474158565187729</v>
      </c>
      <c r="BX293" s="192">
        <f t="shared" si="373"/>
        <v>54.134087564471187</v>
      </c>
      <c r="BY293" s="192">
        <f t="shared" si="374"/>
        <v>6.6930498535228526</v>
      </c>
      <c r="BZ293" s="192">
        <f t="shared" si="375"/>
        <v>13.58213077690278</v>
      </c>
      <c r="CA293" s="192">
        <f t="shared" si="354"/>
        <v>85</v>
      </c>
      <c r="CB293" s="55">
        <f t="shared" si="376"/>
        <v>1.7</v>
      </c>
      <c r="CC293" s="197">
        <f t="shared" si="391"/>
        <v>78.38985204189467</v>
      </c>
      <c r="CD293" s="198">
        <f t="shared" si="392"/>
        <v>70.83297033596935</v>
      </c>
      <c r="CE293" s="58">
        <f t="shared" si="393"/>
        <v>1.0624945550395402</v>
      </c>
      <c r="CF293" s="245" t="s">
        <v>2326</v>
      </c>
      <c r="CG293" s="245" t="s">
        <v>2326</v>
      </c>
      <c r="CH293" s="245" t="s">
        <v>2326</v>
      </c>
      <c r="CI293" s="245" t="s">
        <v>2326</v>
      </c>
      <c r="CJ293" s="235"/>
      <c r="CK293" s="173" t="s">
        <v>2479</v>
      </c>
      <c r="CL293" s="173" t="s">
        <v>2478</v>
      </c>
      <c r="CM293" s="199">
        <f t="shared" si="377"/>
        <v>25</v>
      </c>
      <c r="CN293" s="58">
        <f t="shared" si="394"/>
        <v>0.375</v>
      </c>
      <c r="CO293" s="54">
        <v>0</v>
      </c>
      <c r="CP293" s="186">
        <f t="shared" si="355"/>
        <v>0</v>
      </c>
      <c r="CQ293" s="179">
        <f t="shared" si="378"/>
        <v>100</v>
      </c>
      <c r="CR293" s="30">
        <f t="shared" si="395"/>
        <v>3</v>
      </c>
      <c r="CS293" s="200">
        <f>_xlfn.XLOOKUP(C293, '1-1. 관계사체무보증금액 (환율 등)'!$3:$3, '1-1. 관계사체무보증금액 (환율 등)'!$33:$33)</f>
        <v>0</v>
      </c>
      <c r="CT293" s="178">
        <f t="shared" si="356"/>
        <v>0</v>
      </c>
      <c r="CU293" s="179">
        <f t="shared" si="379"/>
        <v>100</v>
      </c>
      <c r="CV293" s="30">
        <f t="shared" si="396"/>
        <v>2</v>
      </c>
      <c r="CW293" s="72">
        <f t="shared" si="384"/>
        <v>18.641703239615147</v>
      </c>
    </row>
    <row r="294" spans="1:101" x14ac:dyDescent="0.6">
      <c r="A294" s="214" t="s">
        <v>1931</v>
      </c>
      <c r="B294" s="13" t="s">
        <v>2275</v>
      </c>
      <c r="C294" s="219" t="s">
        <v>1932</v>
      </c>
      <c r="D294" s="14" t="s">
        <v>285</v>
      </c>
      <c r="E294" s="217" t="s">
        <v>1167</v>
      </c>
      <c r="F294" s="217" t="s">
        <v>1933</v>
      </c>
      <c r="G294" s="218">
        <v>40528</v>
      </c>
      <c r="H294" s="217" t="s">
        <v>830</v>
      </c>
      <c r="I294" s="217" t="s">
        <v>1934</v>
      </c>
      <c r="J294" s="217" t="s">
        <v>1935</v>
      </c>
      <c r="K294" s="217" t="s">
        <v>91</v>
      </c>
      <c r="L294" s="220">
        <v>152002052</v>
      </c>
      <c r="M294" s="206">
        <v>59834292</v>
      </c>
      <c r="N294" s="206">
        <v>92167760</v>
      </c>
      <c r="O294" s="206">
        <v>337599455</v>
      </c>
      <c r="P294" s="206">
        <v>14950788</v>
      </c>
      <c r="Q294" s="206">
        <v>19578310</v>
      </c>
      <c r="R294" s="206">
        <v>14881619</v>
      </c>
      <c r="S294" s="207">
        <v>32600000</v>
      </c>
      <c r="T294" s="207">
        <v>0</v>
      </c>
      <c r="U294" s="207">
        <v>10106000</v>
      </c>
      <c r="V294" s="207">
        <v>0</v>
      </c>
      <c r="W294" s="207">
        <v>0</v>
      </c>
      <c r="X294" s="207">
        <v>0</v>
      </c>
      <c r="Y294" s="208" t="s">
        <v>2469</v>
      </c>
      <c r="Z294" s="207">
        <v>0</v>
      </c>
      <c r="AA294" s="207">
        <v>0</v>
      </c>
      <c r="AB294" s="176">
        <f t="shared" si="380"/>
        <v>10106000</v>
      </c>
      <c r="AC294" s="177">
        <f t="shared" si="357"/>
        <v>31</v>
      </c>
      <c r="AD294" s="177">
        <f t="shared" si="381"/>
        <v>73.331415420023021</v>
      </c>
      <c r="AE294" s="26">
        <f t="shared" si="385"/>
        <v>2.1999424626006907</v>
      </c>
      <c r="AF294" s="178">
        <f t="shared" si="358"/>
        <v>31</v>
      </c>
      <c r="AG294" s="178">
        <f t="shared" si="359"/>
        <v>31</v>
      </c>
      <c r="AH294" s="178">
        <f t="shared" si="382"/>
        <v>0</v>
      </c>
      <c r="AI294" s="179">
        <f t="shared" si="383"/>
        <v>100</v>
      </c>
      <c r="AJ294" s="30">
        <f t="shared" si="386"/>
        <v>4</v>
      </c>
      <c r="AK294" s="204">
        <v>9</v>
      </c>
      <c r="AL294" s="204">
        <v>2</v>
      </c>
      <c r="AM294" s="204">
        <v>0</v>
      </c>
      <c r="AN294" s="181">
        <f t="shared" si="344"/>
        <v>11</v>
      </c>
      <c r="AO294" s="182">
        <f t="shared" si="345"/>
        <v>0</v>
      </c>
      <c r="AP294" s="183">
        <f t="shared" si="360"/>
        <v>100</v>
      </c>
      <c r="AQ294" s="38">
        <f t="shared" si="387"/>
        <v>2</v>
      </c>
      <c r="AR294" s="212">
        <v>4</v>
      </c>
      <c r="AS294" s="292">
        <f t="shared" si="346"/>
        <v>0.25</v>
      </c>
      <c r="AT294" s="185">
        <f t="shared" si="347"/>
        <v>2.25</v>
      </c>
      <c r="AU294" s="185">
        <f t="shared" si="361"/>
        <v>2</v>
      </c>
      <c r="AV294" s="186">
        <f t="shared" si="348"/>
        <v>22.222222222222221</v>
      </c>
      <c r="AW294" s="179">
        <f t="shared" si="362"/>
        <v>80</v>
      </c>
      <c r="AX294" s="239">
        <f t="shared" si="388"/>
        <v>0.8</v>
      </c>
      <c r="AY294" s="54">
        <v>5</v>
      </c>
      <c r="AZ294" s="54">
        <f>20-1</f>
        <v>19</v>
      </c>
      <c r="BA294" s="189">
        <f t="shared" si="349"/>
        <v>20</v>
      </c>
      <c r="BB294" s="178">
        <f t="shared" si="363"/>
        <v>95</v>
      </c>
      <c r="BC294" s="179">
        <f t="shared" si="364"/>
        <v>100</v>
      </c>
      <c r="BD294" s="30">
        <f t="shared" si="389"/>
        <v>1</v>
      </c>
      <c r="BE294" s="190">
        <v>8481895.0429999996</v>
      </c>
      <c r="BF294" s="190">
        <f>(672978869+66802150)/1000</f>
        <v>739781.01899999997</v>
      </c>
      <c r="BG294" s="301">
        <v>0</v>
      </c>
      <c r="BH294" s="191">
        <f t="shared" si="350"/>
        <v>9221676.061999999</v>
      </c>
      <c r="BI294" s="178">
        <f t="shared" si="351"/>
        <v>0</v>
      </c>
      <c r="BJ294" s="294" t="str">
        <f t="shared" si="365"/>
        <v>비제조/서비스업</v>
      </c>
      <c r="BK294" s="192">
        <f t="shared" si="366"/>
        <v>1.7464434573900924</v>
      </c>
      <c r="BL294" s="193">
        <f t="shared" si="367"/>
        <v>-1.7464434573900924</v>
      </c>
      <c r="BM294" s="241">
        <f t="shared" si="368"/>
        <v>80</v>
      </c>
      <c r="BN294" s="47">
        <f t="shared" si="369"/>
        <v>1.6</v>
      </c>
      <c r="BO294" s="54">
        <v>2059015.35</v>
      </c>
      <c r="BP294" s="194">
        <f t="shared" si="352"/>
        <v>0.60989889631190308</v>
      </c>
      <c r="BQ294" s="179">
        <f t="shared" si="370"/>
        <v>70</v>
      </c>
      <c r="BR294" s="30">
        <f t="shared" si="390"/>
        <v>1.4000000000000001</v>
      </c>
      <c r="BS294" s="195">
        <v>487106.07400000002</v>
      </c>
      <c r="BT294" s="195">
        <v>1592</v>
      </c>
      <c r="BU294" s="196">
        <f t="shared" si="371"/>
        <v>485514.07400000002</v>
      </c>
      <c r="BV294" s="178">
        <f t="shared" si="353"/>
        <v>0.14381364270863531</v>
      </c>
      <c r="BW294" s="192">
        <f t="shared" si="372"/>
        <v>2.8482825397737606</v>
      </c>
      <c r="BX294" s="192">
        <f t="shared" si="373"/>
        <v>7.3141520151926542</v>
      </c>
      <c r="BY294" s="192">
        <f t="shared" si="374"/>
        <v>5.5697595856656799</v>
      </c>
      <c r="BZ294" s="192">
        <f t="shared" si="375"/>
        <v>68.636146486020266</v>
      </c>
      <c r="CA294" s="192">
        <f t="shared" si="354"/>
        <v>40</v>
      </c>
      <c r="CB294" s="55">
        <f t="shared" si="376"/>
        <v>0.8</v>
      </c>
      <c r="CC294" s="197">
        <f t="shared" si="391"/>
        <v>64.918895717982082</v>
      </c>
      <c r="CD294" s="198">
        <f t="shared" si="392"/>
        <v>75.909963925383636</v>
      </c>
      <c r="CE294" s="58">
        <f t="shared" si="393"/>
        <v>1.1386494588807545</v>
      </c>
      <c r="CF294" s="245" t="s">
        <v>2326</v>
      </c>
      <c r="CG294" s="245" t="s">
        <v>2326</v>
      </c>
      <c r="CH294" s="245" t="s">
        <v>2326</v>
      </c>
      <c r="CI294" s="245" t="s">
        <v>2326</v>
      </c>
      <c r="CJ294" s="235"/>
      <c r="CK294" s="173" t="s">
        <v>2523</v>
      </c>
      <c r="CL294" s="173" t="s">
        <v>2487</v>
      </c>
      <c r="CM294" s="199">
        <f t="shared" si="377"/>
        <v>70</v>
      </c>
      <c r="CN294" s="58">
        <f t="shared" si="394"/>
        <v>1.05</v>
      </c>
      <c r="CO294" s="54">
        <f>1161000+925000+929000</f>
        <v>3015000</v>
      </c>
      <c r="CP294" s="186">
        <f t="shared" si="355"/>
        <v>3.2712089346643554</v>
      </c>
      <c r="CQ294" s="179">
        <f t="shared" si="378"/>
        <v>80</v>
      </c>
      <c r="CR294" s="30">
        <f t="shared" si="395"/>
        <v>2.4</v>
      </c>
      <c r="CS294" s="200">
        <f>_xlfn.XLOOKUP(C294, '1-1. 관계사체무보증금액 (환율 등)'!$3:$3, '1-1. 관계사체무보증금액 (환율 등)'!$33:$33)</f>
        <v>0</v>
      </c>
      <c r="CT294" s="178">
        <f t="shared" si="356"/>
        <v>0</v>
      </c>
      <c r="CU294" s="179">
        <f t="shared" si="379"/>
        <v>100</v>
      </c>
      <c r="CV294" s="30">
        <f t="shared" si="396"/>
        <v>2</v>
      </c>
      <c r="CW294" s="72">
        <f t="shared" si="384"/>
        <v>20.388591921481446</v>
      </c>
    </row>
    <row r="295" spans="1:101" x14ac:dyDescent="0.6">
      <c r="A295" s="214" t="s">
        <v>1936</v>
      </c>
      <c r="B295" s="13" t="s">
        <v>2276</v>
      </c>
      <c r="C295" s="219" t="s">
        <v>1937</v>
      </c>
      <c r="D295" s="14" t="s">
        <v>285</v>
      </c>
      <c r="E295" s="217" t="s">
        <v>1432</v>
      </c>
      <c r="F295" s="217" t="s">
        <v>1938</v>
      </c>
      <c r="G295" s="218">
        <v>27253</v>
      </c>
      <c r="H295" s="217" t="s">
        <v>830</v>
      </c>
      <c r="I295" s="217" t="s">
        <v>1939</v>
      </c>
      <c r="J295" s="217" t="s">
        <v>1940</v>
      </c>
      <c r="K295" s="217" t="s">
        <v>91</v>
      </c>
      <c r="L295" s="220">
        <v>3024613663</v>
      </c>
      <c r="M295" s="206">
        <v>1557554254</v>
      </c>
      <c r="N295" s="206">
        <v>1467059409</v>
      </c>
      <c r="O295" s="206">
        <v>2424482980</v>
      </c>
      <c r="P295" s="206">
        <v>27380412</v>
      </c>
      <c r="Q295" s="206">
        <v>6360460</v>
      </c>
      <c r="R295" s="206">
        <v>12168775</v>
      </c>
      <c r="S295" s="207">
        <v>14947628</v>
      </c>
      <c r="T295" s="207">
        <v>478401</v>
      </c>
      <c r="U295" s="207">
        <f>3611095+4794</f>
        <v>3615889</v>
      </c>
      <c r="V295" s="207">
        <f>4000+4809</f>
        <v>8809</v>
      </c>
      <c r="W295" s="207">
        <f>3000+510+100+1427+1000+939+239+300+100+1710</f>
        <v>9325</v>
      </c>
      <c r="X295" s="207">
        <v>475124</v>
      </c>
      <c r="Y295" s="208" t="s">
        <v>2470</v>
      </c>
      <c r="Z295" s="207">
        <v>0</v>
      </c>
      <c r="AA295" s="207">
        <v>0</v>
      </c>
      <c r="AB295" s="176">
        <f t="shared" si="380"/>
        <v>4109147</v>
      </c>
      <c r="AC295" s="177">
        <f t="shared" si="357"/>
        <v>27.4902947812188</v>
      </c>
      <c r="AD295" s="177">
        <f t="shared" si="381"/>
        <v>76.360505079500456</v>
      </c>
      <c r="AE295" s="26">
        <f t="shared" si="385"/>
        <v>2.2908151523850138</v>
      </c>
      <c r="AF295" s="178">
        <f t="shared" si="358"/>
        <v>25.051082549192159</v>
      </c>
      <c r="AG295" s="178">
        <f t="shared" si="359"/>
        <v>28.399215797775511</v>
      </c>
      <c r="AH295" s="178">
        <f t="shared" si="382"/>
        <v>3.3481332485833519</v>
      </c>
      <c r="AI295" s="179">
        <f t="shared" si="383"/>
        <v>100</v>
      </c>
      <c r="AJ295" s="30">
        <f t="shared" si="386"/>
        <v>4</v>
      </c>
      <c r="AK295" s="204">
        <v>8</v>
      </c>
      <c r="AL295" s="204">
        <v>20</v>
      </c>
      <c r="AM295" s="204">
        <v>1</v>
      </c>
      <c r="AN295" s="181">
        <f t="shared" si="344"/>
        <v>28</v>
      </c>
      <c r="AO295" s="182">
        <f t="shared" si="345"/>
        <v>3.5714285714285712</v>
      </c>
      <c r="AP295" s="183">
        <f t="shared" si="360"/>
        <v>100</v>
      </c>
      <c r="AQ295" s="38">
        <f t="shared" si="387"/>
        <v>2</v>
      </c>
      <c r="AR295" s="212">
        <v>5</v>
      </c>
      <c r="AS295" s="292">
        <f t="shared" si="346"/>
        <v>0.5</v>
      </c>
      <c r="AT295" s="185">
        <f t="shared" si="347"/>
        <v>4</v>
      </c>
      <c r="AU295" s="185">
        <f t="shared" si="361"/>
        <v>4</v>
      </c>
      <c r="AV295" s="186">
        <f t="shared" si="348"/>
        <v>12.5</v>
      </c>
      <c r="AW295" s="179">
        <f t="shared" si="362"/>
        <v>60</v>
      </c>
      <c r="AX295" s="239">
        <f t="shared" si="388"/>
        <v>0.6</v>
      </c>
      <c r="AY295" s="54">
        <v>10</v>
      </c>
      <c r="AZ295" s="54">
        <f>50-2</f>
        <v>48</v>
      </c>
      <c r="BA295" s="189">
        <f t="shared" si="349"/>
        <v>50</v>
      </c>
      <c r="BB295" s="178">
        <f t="shared" si="363"/>
        <v>96</v>
      </c>
      <c r="BC295" s="179">
        <f t="shared" si="364"/>
        <v>100</v>
      </c>
      <c r="BD295" s="30">
        <f t="shared" si="389"/>
        <v>1</v>
      </c>
      <c r="BE295" s="190">
        <v>20016000</v>
      </c>
      <c r="BF295" s="190">
        <v>1928000</v>
      </c>
      <c r="BG295" s="54">
        <v>294000</v>
      </c>
      <c r="BH295" s="191">
        <f t="shared" si="350"/>
        <v>21944000</v>
      </c>
      <c r="BI295" s="178">
        <f t="shared" si="351"/>
        <v>1.3397739701057236</v>
      </c>
      <c r="BJ295" s="294" t="str">
        <f t="shared" si="365"/>
        <v>비제조/서비스업</v>
      </c>
      <c r="BK295" s="192">
        <f t="shared" si="366"/>
        <v>1.7464434573900924</v>
      </c>
      <c r="BL295" s="193">
        <f t="shared" si="367"/>
        <v>-0.4066694872843688</v>
      </c>
      <c r="BM295" s="241">
        <f t="shared" si="368"/>
        <v>80</v>
      </c>
      <c r="BN295" s="47">
        <f t="shared" si="369"/>
        <v>1.6</v>
      </c>
      <c r="BO295" s="54">
        <v>0</v>
      </c>
      <c r="BP295" s="194">
        <f t="shared" si="352"/>
        <v>0</v>
      </c>
      <c r="BQ295" s="179">
        <f t="shared" si="370"/>
        <v>25</v>
      </c>
      <c r="BR295" s="30">
        <f t="shared" si="390"/>
        <v>0.5</v>
      </c>
      <c r="BS295" s="195">
        <v>203382117.579</v>
      </c>
      <c r="BT295" s="195">
        <v>473624.902</v>
      </c>
      <c r="BU295" s="196">
        <f t="shared" si="371"/>
        <v>202908492.67699999</v>
      </c>
      <c r="BV295" s="178">
        <f t="shared" si="353"/>
        <v>8.3691448589587534</v>
      </c>
      <c r="BW295" s="192">
        <f t="shared" si="372"/>
        <v>2.8482825397737606</v>
      </c>
      <c r="BX295" s="192">
        <f t="shared" si="373"/>
        <v>30.479920747396694</v>
      </c>
      <c r="BY295" s="192">
        <f t="shared" si="374"/>
        <v>5.5697595856656799</v>
      </c>
      <c r="BZ295" s="192">
        <f t="shared" si="375"/>
        <v>16.078885445635837</v>
      </c>
      <c r="CA295" s="192">
        <f t="shared" si="354"/>
        <v>70</v>
      </c>
      <c r="CB295" s="55">
        <f t="shared" si="376"/>
        <v>1.4000000000000001</v>
      </c>
      <c r="CC295" s="197">
        <f t="shared" si="391"/>
        <v>106.1684512873057</v>
      </c>
      <c r="CD295" s="198">
        <f t="shared" si="392"/>
        <v>60.363649012321972</v>
      </c>
      <c r="CE295" s="58">
        <f t="shared" si="393"/>
        <v>0.90545473518482955</v>
      </c>
      <c r="CF295" s="245" t="s">
        <v>2326</v>
      </c>
      <c r="CG295" s="245" t="s">
        <v>2326</v>
      </c>
      <c r="CH295" s="245" t="s">
        <v>2326</v>
      </c>
      <c r="CI295" s="245" t="s">
        <v>2326</v>
      </c>
      <c r="CJ295" s="235"/>
      <c r="CK295" s="173" t="s">
        <v>2531</v>
      </c>
      <c r="CL295" s="173" t="s">
        <v>2493</v>
      </c>
      <c r="CM295" s="199">
        <f t="shared" si="377"/>
        <v>40</v>
      </c>
      <c r="CN295" s="58">
        <f t="shared" si="394"/>
        <v>0.6</v>
      </c>
      <c r="CO295" s="54">
        <f>419269</f>
        <v>419269</v>
      </c>
      <c r="CP295" s="186">
        <f t="shared" si="355"/>
        <v>2.8578869909964225E-2</v>
      </c>
      <c r="CQ295" s="179">
        <f t="shared" si="378"/>
        <v>100</v>
      </c>
      <c r="CR295" s="30">
        <f t="shared" si="395"/>
        <v>3</v>
      </c>
      <c r="CS295" s="200">
        <f>_xlfn.XLOOKUP(C295, '1-1. 관계사체무보증금액 (환율 등)'!$3:$3, '1-1. 관계사체무보증금액 (환율 등)'!$33:$33)</f>
        <v>63410000</v>
      </c>
      <c r="CT295" s="178">
        <f t="shared" si="356"/>
        <v>4.3222516832649962</v>
      </c>
      <c r="CU295" s="179">
        <f t="shared" si="379"/>
        <v>80</v>
      </c>
      <c r="CV295" s="30">
        <f t="shared" si="396"/>
        <v>1.6</v>
      </c>
      <c r="CW295" s="72">
        <f t="shared" si="384"/>
        <v>19.496269887569845</v>
      </c>
    </row>
    <row r="296" spans="1:101" x14ac:dyDescent="0.6">
      <c r="A296" s="214" t="s">
        <v>1941</v>
      </c>
      <c r="B296" s="13" t="s">
        <v>2277</v>
      </c>
      <c r="C296" s="219" t="s">
        <v>1942</v>
      </c>
      <c r="D296" s="14" t="s">
        <v>202</v>
      </c>
      <c r="E296" s="217" t="s">
        <v>189</v>
      </c>
      <c r="F296" s="217" t="s">
        <v>1943</v>
      </c>
      <c r="G296" s="218">
        <v>44425</v>
      </c>
      <c r="H296" s="217" t="s">
        <v>830</v>
      </c>
      <c r="I296" s="217" t="s">
        <v>1944</v>
      </c>
      <c r="J296" s="217" t="s">
        <v>1945</v>
      </c>
      <c r="K296" s="217" t="s">
        <v>690</v>
      </c>
      <c r="L296" s="220">
        <v>201249262</v>
      </c>
      <c r="M296" s="206">
        <v>74147423</v>
      </c>
      <c r="N296" s="206">
        <v>127101839</v>
      </c>
      <c r="O296" s="206">
        <v>92809851</v>
      </c>
      <c r="P296" s="206">
        <v>557375</v>
      </c>
      <c r="Q296" s="206">
        <v>21284021</v>
      </c>
      <c r="R296" s="206">
        <v>16494864</v>
      </c>
      <c r="S296" s="207">
        <v>27674406</v>
      </c>
      <c r="T296" s="207">
        <v>0</v>
      </c>
      <c r="U296" s="207">
        <v>10000000</v>
      </c>
      <c r="V296" s="207">
        <v>0</v>
      </c>
      <c r="W296" s="207">
        <v>0</v>
      </c>
      <c r="X296" s="207">
        <v>0</v>
      </c>
      <c r="Z296" s="207">
        <v>38924</v>
      </c>
      <c r="AA296" s="207">
        <v>0</v>
      </c>
      <c r="AB296" s="176">
        <f t="shared" si="380"/>
        <v>10038924</v>
      </c>
      <c r="AC296" s="177">
        <f t="shared" si="357"/>
        <v>36.275120051357199</v>
      </c>
      <c r="AD296" s="177">
        <f t="shared" si="381"/>
        <v>68.778665088011621</v>
      </c>
      <c r="AE296" s="26">
        <f t="shared" si="385"/>
        <v>2.0633599526403485</v>
      </c>
      <c r="AF296" s="178">
        <f t="shared" si="358"/>
        <v>36.134470239397373</v>
      </c>
      <c r="AG296" s="178">
        <f t="shared" si="359"/>
        <v>36.275120051357199</v>
      </c>
      <c r="AH296" s="178">
        <f t="shared" si="382"/>
        <v>0.1406498119598254</v>
      </c>
      <c r="AI296" s="179">
        <f t="shared" si="383"/>
        <v>100</v>
      </c>
      <c r="AJ296" s="30">
        <f t="shared" si="386"/>
        <v>4</v>
      </c>
      <c r="AK296" s="204">
        <v>8</v>
      </c>
      <c r="AL296" s="204">
        <v>9</v>
      </c>
      <c r="AM296" s="204">
        <v>1</v>
      </c>
      <c r="AN296" s="181">
        <f t="shared" si="344"/>
        <v>17</v>
      </c>
      <c r="AO296" s="182">
        <f t="shared" si="345"/>
        <v>5.8823529411764701</v>
      </c>
      <c r="AP296" s="183">
        <f t="shared" si="360"/>
        <v>100</v>
      </c>
      <c r="AQ296" s="38">
        <f t="shared" si="387"/>
        <v>2</v>
      </c>
      <c r="AR296" s="212">
        <v>2</v>
      </c>
      <c r="AS296" s="292">
        <f t="shared" si="346"/>
        <v>0.25</v>
      </c>
      <c r="AT296" s="185">
        <f t="shared" si="347"/>
        <v>2</v>
      </c>
      <c r="AU296" s="185">
        <f t="shared" si="361"/>
        <v>2</v>
      </c>
      <c r="AV296" s="186">
        <f t="shared" si="348"/>
        <v>0</v>
      </c>
      <c r="AW296" s="179">
        <f t="shared" si="362"/>
        <v>40</v>
      </c>
      <c r="AX296" s="239">
        <f t="shared" si="388"/>
        <v>0.4</v>
      </c>
      <c r="AY296" s="54">
        <v>9</v>
      </c>
      <c r="AZ296" s="54">
        <f>18-2</f>
        <v>16</v>
      </c>
      <c r="BA296" s="189">
        <f t="shared" si="349"/>
        <v>18</v>
      </c>
      <c r="BB296" s="178">
        <f t="shared" si="363"/>
        <v>88.888888888888886</v>
      </c>
      <c r="BC296" s="179">
        <f t="shared" si="364"/>
        <v>75</v>
      </c>
      <c r="BD296" s="30">
        <f t="shared" si="389"/>
        <v>0.75</v>
      </c>
      <c r="BE296" s="190">
        <f>4649292+320873</f>
        <v>4970165</v>
      </c>
      <c r="BF296" s="190">
        <v>382938</v>
      </c>
      <c r="BG296" s="54">
        <v>651088</v>
      </c>
      <c r="BH296" s="191">
        <f t="shared" si="350"/>
        <v>5353103</v>
      </c>
      <c r="BI296" s="178">
        <f t="shared" si="351"/>
        <v>12.162814726337229</v>
      </c>
      <c r="BJ296" s="294" t="str">
        <f t="shared" si="365"/>
        <v>전기전자/기계업</v>
      </c>
      <c r="BK296" s="192">
        <f t="shared" si="366"/>
        <v>2.4096449716116455</v>
      </c>
      <c r="BL296" s="193">
        <f t="shared" si="367"/>
        <v>9.7531697547255831</v>
      </c>
      <c r="BM296" s="241">
        <f t="shared" si="368"/>
        <v>40</v>
      </c>
      <c r="BN296" s="47">
        <f t="shared" si="369"/>
        <v>0.8</v>
      </c>
      <c r="BO296" s="54">
        <v>1466112</v>
      </c>
      <c r="BP296" s="194">
        <f t="shared" si="352"/>
        <v>1.5796943796407992</v>
      </c>
      <c r="BQ296" s="179">
        <f t="shared" si="370"/>
        <v>70</v>
      </c>
      <c r="BR296" s="30">
        <f t="shared" si="390"/>
        <v>1.4000000000000001</v>
      </c>
      <c r="BS296" s="195">
        <v>5025931.4210000001</v>
      </c>
      <c r="BT296" s="195">
        <v>48320.478000000003</v>
      </c>
      <c r="BU296" s="196">
        <f t="shared" si="371"/>
        <v>4977610.943</v>
      </c>
      <c r="BV296" s="178">
        <f t="shared" si="353"/>
        <v>5.363235571836011</v>
      </c>
      <c r="BW296" s="192">
        <f t="shared" si="372"/>
        <v>5.2309968128308268</v>
      </c>
      <c r="BX296" s="192">
        <f t="shared" si="373"/>
        <v>1.7487089383231163E-2</v>
      </c>
      <c r="BY296" s="192">
        <f t="shared" si="374"/>
        <v>7.0695458012309622</v>
      </c>
      <c r="BZ296" s="192">
        <f t="shared" si="375"/>
        <v>49.253805587319334</v>
      </c>
      <c r="CA296" s="192">
        <f t="shared" si="354"/>
        <v>55</v>
      </c>
      <c r="CB296" s="55">
        <f t="shared" si="376"/>
        <v>1.1000000000000001</v>
      </c>
      <c r="CC296" s="197">
        <f t="shared" si="391"/>
        <v>58.337018239366309</v>
      </c>
      <c r="CD296" s="198">
        <f t="shared" si="392"/>
        <v>78.390571015314208</v>
      </c>
      <c r="CE296" s="58">
        <f t="shared" si="393"/>
        <v>1.1758585652297131</v>
      </c>
      <c r="CF296" s="245" t="s">
        <v>2326</v>
      </c>
      <c r="CG296" s="245" t="s">
        <v>2326</v>
      </c>
      <c r="CH296" s="245" t="s">
        <v>2326</v>
      </c>
      <c r="CI296" s="245" t="s">
        <v>2326</v>
      </c>
      <c r="CJ296" s="235"/>
      <c r="CK296" s="173" t="s">
        <v>2524</v>
      </c>
      <c r="CL296" s="173" t="s">
        <v>2482</v>
      </c>
      <c r="CM296" s="199">
        <f t="shared" si="377"/>
        <v>55</v>
      </c>
      <c r="CN296" s="58">
        <f t="shared" si="394"/>
        <v>0.82499999999999996</v>
      </c>
      <c r="CO296" s="54">
        <v>7549000</v>
      </c>
      <c r="CP296" s="186">
        <f t="shared" si="355"/>
        <v>5.9393318455447366</v>
      </c>
      <c r="CQ296" s="179">
        <f t="shared" si="378"/>
        <v>80</v>
      </c>
      <c r="CR296" s="30">
        <f t="shared" si="395"/>
        <v>2.4</v>
      </c>
      <c r="CS296" s="200">
        <f>_xlfn.XLOOKUP(C296, '1-1. 관계사체무보증금액 (환율 등)'!$3:$3, '1-1. 관계사체무보증금액 (환율 등)'!$33:$33)</f>
        <v>3633987</v>
      </c>
      <c r="CT296" s="178">
        <f t="shared" si="356"/>
        <v>2.8591144145443876</v>
      </c>
      <c r="CU296" s="179">
        <f t="shared" si="379"/>
        <v>100</v>
      </c>
      <c r="CV296" s="30">
        <f t="shared" si="396"/>
        <v>2</v>
      </c>
      <c r="CW296" s="72">
        <f t="shared" si="384"/>
        <v>18.914218517870061</v>
      </c>
    </row>
    <row r="297" spans="1:101" x14ac:dyDescent="0.6">
      <c r="A297" s="214" t="s">
        <v>1946</v>
      </c>
      <c r="B297" s="13" t="s">
        <v>2278</v>
      </c>
      <c r="C297" s="219" t="s">
        <v>1947</v>
      </c>
      <c r="D297" s="79" t="s">
        <v>481</v>
      </c>
      <c r="E297" s="217" t="s">
        <v>704</v>
      </c>
      <c r="F297" s="217" t="s">
        <v>360</v>
      </c>
      <c r="G297" s="218">
        <v>40254</v>
      </c>
      <c r="H297" s="217" t="s">
        <v>830</v>
      </c>
      <c r="I297" s="217" t="s">
        <v>1948</v>
      </c>
      <c r="J297" s="217" t="s">
        <v>1949</v>
      </c>
      <c r="K297" s="217" t="s">
        <v>91</v>
      </c>
      <c r="L297" s="220">
        <v>126780143235</v>
      </c>
      <c r="M297" s="206">
        <v>120464648467</v>
      </c>
      <c r="N297" s="206">
        <v>6315494768</v>
      </c>
      <c r="O297" s="206">
        <v>21180061711</v>
      </c>
      <c r="P297" s="206">
        <v>31900539</v>
      </c>
      <c r="Q297" s="206">
        <v>432611603</v>
      </c>
      <c r="R297" s="206">
        <v>354341909</v>
      </c>
      <c r="S297" s="207">
        <v>868530000</v>
      </c>
      <c r="T297" s="207">
        <v>117139750</v>
      </c>
      <c r="U297" s="207">
        <v>375519118</v>
      </c>
      <c r="V297" s="207">
        <v>300000</v>
      </c>
      <c r="W297" s="207">
        <f>158650+70000+50637+67170+8000+38899+40000+24450+4200+42405+42131+26135+27055+13749+36510+64000+30500+15505+15100+5741+45500+2310+7520+16000+8000+32000+10000+15000+9500+5600+8753+7000+3219+5145+63643+12000</f>
        <v>1032027</v>
      </c>
      <c r="X297" s="207">
        <v>0</v>
      </c>
      <c r="Z297" s="207">
        <f>15204166</f>
        <v>15204166</v>
      </c>
      <c r="AA297" s="207">
        <v>0</v>
      </c>
      <c r="AB297" s="176">
        <f t="shared" si="380"/>
        <v>392055311</v>
      </c>
      <c r="AC297" s="177">
        <f t="shared" si="357"/>
        <v>45.140100054114427</v>
      </c>
      <c r="AD297" s="177">
        <f t="shared" si="381"/>
        <v>61.127646673664188</v>
      </c>
      <c r="AE297" s="60">
        <f>AD297*0.04</f>
        <v>2.4451058669465677</v>
      </c>
      <c r="AF297" s="178">
        <f t="shared" si="358"/>
        <v>50.016501811142746</v>
      </c>
      <c r="AG297" s="178">
        <f t="shared" si="359"/>
        <v>52.177322103926691</v>
      </c>
      <c r="AH297" s="178">
        <f t="shared" si="382"/>
        <v>2.1608202927839457</v>
      </c>
      <c r="AI297" s="179">
        <f t="shared" si="383"/>
        <v>100</v>
      </c>
      <c r="AJ297" s="61">
        <f>AI297*0.05</f>
        <v>5</v>
      </c>
      <c r="AK297" s="204">
        <v>6</v>
      </c>
      <c r="AL297" s="204">
        <v>48</v>
      </c>
      <c r="AM297" s="204">
        <v>0</v>
      </c>
      <c r="AN297" s="181">
        <f t="shared" si="344"/>
        <v>54</v>
      </c>
      <c r="AO297" s="182">
        <f t="shared" si="345"/>
        <v>0</v>
      </c>
      <c r="AP297" s="183">
        <f t="shared" si="360"/>
        <v>100</v>
      </c>
      <c r="AQ297" s="62">
        <f>AP297*0.03</f>
        <v>3</v>
      </c>
      <c r="AR297" s="212">
        <v>4</v>
      </c>
      <c r="AS297" s="292">
        <f t="shared" si="346"/>
        <v>0.5</v>
      </c>
      <c r="AT297" s="185">
        <f t="shared" si="347"/>
        <v>3</v>
      </c>
      <c r="AU297" s="185">
        <f t="shared" si="361"/>
        <v>3</v>
      </c>
      <c r="AV297" s="186">
        <f t="shared" si="348"/>
        <v>16.666666666666664</v>
      </c>
      <c r="AW297" s="179">
        <f t="shared" si="362"/>
        <v>60</v>
      </c>
      <c r="AX297" s="240">
        <f>AW297*0.02</f>
        <v>1.2</v>
      </c>
      <c r="AY297" s="54">
        <v>12</v>
      </c>
      <c r="AZ297" s="54">
        <f>12*4-1</f>
        <v>47</v>
      </c>
      <c r="BA297" s="189">
        <f t="shared" si="349"/>
        <v>48</v>
      </c>
      <c r="BB297" s="178">
        <f t="shared" si="363"/>
        <v>97.916666666666657</v>
      </c>
      <c r="BC297" s="179">
        <f t="shared" si="364"/>
        <v>100</v>
      </c>
      <c r="BD297" s="61">
        <f>BC297*0.02</f>
        <v>2</v>
      </c>
      <c r="BE297" s="190">
        <v>13296000</v>
      </c>
      <c r="BF297" s="190">
        <v>4958000</v>
      </c>
      <c r="BG297" s="301">
        <v>0</v>
      </c>
      <c r="BH297" s="191">
        <f t="shared" si="350"/>
        <v>18254000</v>
      </c>
      <c r="BI297" s="178">
        <f t="shared" si="351"/>
        <v>0</v>
      </c>
      <c r="BJ297" s="294" t="str">
        <f t="shared" si="365"/>
        <v>금융업</v>
      </c>
      <c r="BK297" s="192">
        <f t="shared" si="366"/>
        <v>2.7106886075318837</v>
      </c>
      <c r="BL297" s="193">
        <f t="shared" si="367"/>
        <v>-2.7106886075318837</v>
      </c>
      <c r="BM297" s="241">
        <f t="shared" si="368"/>
        <v>100</v>
      </c>
      <c r="BN297" s="47">
        <f t="shared" si="369"/>
        <v>2</v>
      </c>
      <c r="BO297" s="54">
        <v>0</v>
      </c>
      <c r="BP297" s="194">
        <f t="shared" si="352"/>
        <v>0</v>
      </c>
      <c r="BQ297" s="179">
        <f t="shared" si="370"/>
        <v>25</v>
      </c>
      <c r="BR297" s="61">
        <f>BQ297*0.01</f>
        <v>0.25</v>
      </c>
      <c r="BS297" s="195">
        <v>99678000</v>
      </c>
      <c r="BT297" s="195">
        <v>190929000</v>
      </c>
      <c r="BU297" s="196">
        <f t="shared" si="371"/>
        <v>-91251000</v>
      </c>
      <c r="BV297" s="178">
        <f t="shared" si="353"/>
        <v>-0.43083443875240557</v>
      </c>
      <c r="BW297" s="192">
        <f t="shared" si="372"/>
        <v>0.39407896396795111</v>
      </c>
      <c r="BX297" s="192">
        <f t="shared" si="373"/>
        <v>0.68048212198767732</v>
      </c>
      <c r="BY297" s="192">
        <f t="shared" si="374"/>
        <v>1.5698937849002934</v>
      </c>
      <c r="BZ297" s="192">
        <f t="shared" si="375"/>
        <v>70.036761267670997</v>
      </c>
      <c r="CA297" s="192">
        <f t="shared" si="354"/>
        <v>40</v>
      </c>
      <c r="CB297" s="55">
        <f t="shared" si="376"/>
        <v>0.8</v>
      </c>
      <c r="CC297" s="242" t="s">
        <v>1273</v>
      </c>
      <c r="CD297" s="243" t="s">
        <v>1273</v>
      </c>
      <c r="CE297" s="244"/>
      <c r="CF297" s="295" t="s">
        <v>2379</v>
      </c>
      <c r="CG297" s="295" t="s">
        <v>2379</v>
      </c>
      <c r="CH297" s="210">
        <v>0.17</v>
      </c>
      <c r="CI297" s="188">
        <f>IF((100-(75*(CH297-10)/40))&gt;100, 100, IF((100-(75*(CH297-10)/40))&lt;25, 25, (100-(75*(CH297-10)/40))))</f>
        <v>100</v>
      </c>
      <c r="CJ297" s="63">
        <f>CI297*0.04</f>
        <v>4</v>
      </c>
      <c r="CK297" s="173" t="s">
        <v>2533</v>
      </c>
      <c r="CL297" s="173" t="s">
        <v>2487</v>
      </c>
      <c r="CM297" s="199">
        <f t="shared" si="377"/>
        <v>70</v>
      </c>
      <c r="CN297" s="65">
        <f>CM297*0.03</f>
        <v>2.1</v>
      </c>
      <c r="CO297" s="54">
        <v>662934000</v>
      </c>
      <c r="CP297" s="186">
        <f t="shared" si="355"/>
        <v>10.496944805639336</v>
      </c>
      <c r="CQ297" s="179">
        <f t="shared" si="378"/>
        <v>60</v>
      </c>
      <c r="CR297" s="61">
        <f>CQ297*0.04</f>
        <v>2.4</v>
      </c>
      <c r="CS297" s="200">
        <f>_xlfn.XLOOKUP(C297, '1-1. 관계사체무보증금액 (환율 등)'!$3:$3, '1-1. 관계사체무보증금액 (환율 등)'!$33:$33)</f>
        <v>0</v>
      </c>
      <c r="CT297" s="178">
        <f t="shared" si="356"/>
        <v>0</v>
      </c>
      <c r="CU297" s="179">
        <f t="shared" si="379"/>
        <v>100</v>
      </c>
      <c r="CV297" s="70">
        <f>CU297*0.03</f>
        <v>3</v>
      </c>
      <c r="CW297" s="72">
        <f t="shared" si="384"/>
        <v>28.195105866946566</v>
      </c>
    </row>
    <row r="298" spans="1:101" x14ac:dyDescent="0.6">
      <c r="A298" s="214" t="s">
        <v>1950</v>
      </c>
      <c r="B298" s="13" t="s">
        <v>2279</v>
      </c>
      <c r="C298" s="219" t="s">
        <v>1951</v>
      </c>
      <c r="D298" s="79" t="s">
        <v>481</v>
      </c>
      <c r="E298" s="217" t="s">
        <v>704</v>
      </c>
      <c r="F298" s="217" t="s">
        <v>551</v>
      </c>
      <c r="G298" s="218">
        <v>27575</v>
      </c>
      <c r="H298" s="217" t="s">
        <v>830</v>
      </c>
      <c r="I298" s="217" t="s">
        <v>1952</v>
      </c>
      <c r="J298" s="217" t="s">
        <v>1953</v>
      </c>
      <c r="K298" s="217" t="s">
        <v>91</v>
      </c>
      <c r="L298" s="220">
        <v>20186911158</v>
      </c>
      <c r="M298" s="206">
        <v>19938637638</v>
      </c>
      <c r="N298" s="206">
        <v>248273521</v>
      </c>
      <c r="O298" s="206">
        <v>5105380445</v>
      </c>
      <c r="P298" s="206">
        <v>326922757</v>
      </c>
      <c r="Q298" s="206">
        <v>400409213</v>
      </c>
      <c r="R298" s="206">
        <v>302102769</v>
      </c>
      <c r="S298" s="207">
        <v>116738915</v>
      </c>
      <c r="T298" s="207">
        <v>118489</v>
      </c>
      <c r="U298" s="207">
        <v>59957146</v>
      </c>
      <c r="V298" s="207">
        <v>0</v>
      </c>
      <c r="W298" s="207">
        <f>135000+55000+17362+11249+9300+6626*2+10766+5289+16000+6700+8270+1230+55000+3935+2800+4161+5486+1500+5295+2207+7000+20280+26269+10000+11040</f>
        <v>444391</v>
      </c>
      <c r="X298" s="207">
        <v>0</v>
      </c>
      <c r="Z298" s="207">
        <v>0</v>
      </c>
      <c r="AA298" s="207">
        <v>0</v>
      </c>
      <c r="AB298" s="176">
        <f t="shared" si="380"/>
        <v>60401537</v>
      </c>
      <c r="AC298" s="177">
        <f t="shared" si="357"/>
        <v>51.74070446003374</v>
      </c>
      <c r="AD298" s="177">
        <f t="shared" si="381"/>
        <v>55.430922502847757</v>
      </c>
      <c r="AE298" s="60">
        <f>AD298*0.04</f>
        <v>2.2172369001139103</v>
      </c>
      <c r="AF298" s="178">
        <f t="shared" si="358"/>
        <v>51.412216587169738</v>
      </c>
      <c r="AG298" s="178">
        <f t="shared" si="359"/>
        <v>51.793274190234904</v>
      </c>
      <c r="AH298" s="178">
        <f t="shared" si="382"/>
        <v>0.38105760306516601</v>
      </c>
      <c r="AI298" s="179">
        <f t="shared" si="383"/>
        <v>100</v>
      </c>
      <c r="AJ298" s="61">
        <f>AI298*0.05</f>
        <v>5</v>
      </c>
      <c r="AK298" s="204">
        <v>7</v>
      </c>
      <c r="AL298" s="204">
        <v>33</v>
      </c>
      <c r="AM298" s="204">
        <v>0</v>
      </c>
      <c r="AN298" s="181">
        <f t="shared" si="344"/>
        <v>40</v>
      </c>
      <c r="AO298" s="182">
        <f t="shared" si="345"/>
        <v>0</v>
      </c>
      <c r="AP298" s="183">
        <f t="shared" si="360"/>
        <v>100</v>
      </c>
      <c r="AQ298" s="62">
        <f>AP298*0.03</f>
        <v>3</v>
      </c>
      <c r="AR298" s="212">
        <v>4</v>
      </c>
      <c r="AS298" s="292">
        <f t="shared" si="346"/>
        <v>0.5</v>
      </c>
      <c r="AT298" s="185">
        <f t="shared" si="347"/>
        <v>3.5</v>
      </c>
      <c r="AU298" s="185">
        <f t="shared" si="361"/>
        <v>3</v>
      </c>
      <c r="AV298" s="186">
        <f t="shared" si="348"/>
        <v>14.285714285714285</v>
      </c>
      <c r="AW298" s="179">
        <f t="shared" si="362"/>
        <v>60</v>
      </c>
      <c r="AX298" s="240">
        <f>AW298*0.02</f>
        <v>1.2</v>
      </c>
      <c r="AY298" s="54">
        <v>14</v>
      </c>
      <c r="AZ298" s="54">
        <f>14*4</f>
        <v>56</v>
      </c>
      <c r="BA298" s="189">
        <f t="shared" si="349"/>
        <v>56</v>
      </c>
      <c r="BB298" s="178">
        <f t="shared" si="363"/>
        <v>100</v>
      </c>
      <c r="BC298" s="179">
        <f t="shared" si="364"/>
        <v>100</v>
      </c>
      <c r="BD298" s="61">
        <f>BC298*0.02</f>
        <v>2</v>
      </c>
      <c r="BE298" s="190">
        <f>162627605+3396906</f>
        <v>166024511</v>
      </c>
      <c r="BF298" s="190">
        <f>23959423+296118</f>
        <v>24255541</v>
      </c>
      <c r="BG298" s="301">
        <v>0</v>
      </c>
      <c r="BH298" s="191">
        <f t="shared" si="350"/>
        <v>190280052</v>
      </c>
      <c r="BI298" s="178">
        <f t="shared" si="351"/>
        <v>0</v>
      </c>
      <c r="BJ298" s="294" t="str">
        <f t="shared" si="365"/>
        <v>금융업</v>
      </c>
      <c r="BK298" s="192">
        <f t="shared" si="366"/>
        <v>2.7106886075318837</v>
      </c>
      <c r="BL298" s="193">
        <f t="shared" si="367"/>
        <v>-2.7106886075318837</v>
      </c>
      <c r="BM298" s="241">
        <f t="shared" si="368"/>
        <v>100</v>
      </c>
      <c r="BN298" s="47">
        <f t="shared" si="369"/>
        <v>2</v>
      </c>
      <c r="BO298" s="54">
        <v>0</v>
      </c>
      <c r="BP298" s="194">
        <f t="shared" si="352"/>
        <v>0</v>
      </c>
      <c r="BQ298" s="179">
        <f t="shared" si="370"/>
        <v>25</v>
      </c>
      <c r="BR298" s="61">
        <f>BQ298*0.01</f>
        <v>0.25</v>
      </c>
      <c r="BS298" s="195">
        <v>11795352</v>
      </c>
      <c r="BT298" s="195">
        <v>233115484</v>
      </c>
      <c r="BU298" s="196">
        <f t="shared" si="371"/>
        <v>-221320132</v>
      </c>
      <c r="BV298" s="178">
        <f t="shared" si="353"/>
        <v>-4.3350370140731007</v>
      </c>
      <c r="BW298" s="192">
        <f t="shared" si="372"/>
        <v>0.39407896396795111</v>
      </c>
      <c r="BX298" s="192">
        <f t="shared" si="373"/>
        <v>22.364537933763174</v>
      </c>
      <c r="BY298" s="192">
        <f t="shared" si="374"/>
        <v>1.5698937849002934</v>
      </c>
      <c r="BZ298" s="192">
        <f t="shared" si="375"/>
        <v>99.870395871933624</v>
      </c>
      <c r="CA298" s="192">
        <f t="shared" si="354"/>
        <v>25</v>
      </c>
      <c r="CB298" s="55">
        <f t="shared" si="376"/>
        <v>0.5</v>
      </c>
      <c r="CC298" s="242" t="s">
        <v>1273</v>
      </c>
      <c r="CD298" s="243" t="s">
        <v>1273</v>
      </c>
      <c r="CE298" s="244"/>
      <c r="CF298" s="295" t="s">
        <v>2379</v>
      </c>
      <c r="CG298" s="295" t="s">
        <v>2379</v>
      </c>
      <c r="CH298" s="210">
        <v>0.14000000000000001</v>
      </c>
      <c r="CI298" s="188">
        <f>IF((100-(75*(CH298-10)/40))&gt;100, 100, IF((100-(75*(CH298-10)/40))&lt;25, 25, (100-(75*(CH298-10)/40))))</f>
        <v>100</v>
      </c>
      <c r="CJ298" s="63">
        <f>CI298*0.04</f>
        <v>4</v>
      </c>
      <c r="CK298" s="173" t="s">
        <v>2532</v>
      </c>
      <c r="CL298" s="173" t="s">
        <v>2482</v>
      </c>
      <c r="CM298" s="199">
        <f t="shared" si="377"/>
        <v>55</v>
      </c>
      <c r="CN298" s="65">
        <f>CM298*0.03</f>
        <v>1.65</v>
      </c>
      <c r="CO298" s="54">
        <v>0</v>
      </c>
      <c r="CP298" s="186">
        <f t="shared" si="355"/>
        <v>0</v>
      </c>
      <c r="CQ298" s="179">
        <f t="shared" si="378"/>
        <v>100</v>
      </c>
      <c r="CR298" s="61">
        <f>CQ298*0.04</f>
        <v>4</v>
      </c>
      <c r="CS298" s="200">
        <f>_xlfn.XLOOKUP(C298, '1-1. 관계사체무보증금액 (환율 등)'!$3:$3, '1-1. 관계사체무보증금액 (환율 등)'!$33:$33)</f>
        <v>0</v>
      </c>
      <c r="CT298" s="178">
        <f t="shared" si="356"/>
        <v>0</v>
      </c>
      <c r="CU298" s="179">
        <f t="shared" si="379"/>
        <v>100</v>
      </c>
      <c r="CV298" s="70">
        <f>CU298*0.03</f>
        <v>3</v>
      </c>
      <c r="CW298" s="72">
        <f t="shared" si="384"/>
        <v>28.817236900113908</v>
      </c>
    </row>
    <row r="299" spans="1:101" x14ac:dyDescent="0.6">
      <c r="A299" s="214" t="s">
        <v>472</v>
      </c>
      <c r="B299" s="13" t="s">
        <v>2280</v>
      </c>
      <c r="C299" s="219" t="s">
        <v>877</v>
      </c>
      <c r="D299" s="216" t="s">
        <v>202</v>
      </c>
      <c r="E299" s="217" t="s">
        <v>205</v>
      </c>
      <c r="F299" s="217" t="s">
        <v>133</v>
      </c>
      <c r="G299" s="218">
        <v>43782</v>
      </c>
      <c r="H299" s="217" t="s">
        <v>830</v>
      </c>
      <c r="I299" s="217" t="s">
        <v>836</v>
      </c>
      <c r="J299" s="217" t="s">
        <v>1218</v>
      </c>
      <c r="K299" s="217" t="s">
        <v>31</v>
      </c>
      <c r="L299" s="220">
        <v>4152100072</v>
      </c>
      <c r="M299" s="206">
        <v>1905070749</v>
      </c>
      <c r="N299" s="206">
        <v>2247029323</v>
      </c>
      <c r="O299" s="206">
        <v>2187405670</v>
      </c>
      <c r="P299" s="206">
        <v>93679890</v>
      </c>
      <c r="Q299" s="206">
        <v>53049827</v>
      </c>
      <c r="R299" s="206">
        <v>28545981</v>
      </c>
      <c r="S299" s="207">
        <v>188919389</v>
      </c>
      <c r="T299" s="207">
        <v>1926128</v>
      </c>
      <c r="U299" s="207">
        <v>88289321</v>
      </c>
      <c r="V299" s="207">
        <v>0</v>
      </c>
      <c r="W299" s="207">
        <f>17506+34054+38343+40256+37644+31452+33236+19604+18939+28454+19784+24081+28823+5724+25802+29869+21293+20618+19362+21906+21697+8149+10435+14503+13732+17972+6460+7712+25913+9027+8323+11116+11424+8627+13859+9618+9198+5050+16956+1390+24961+12361</f>
        <v>785233</v>
      </c>
      <c r="X299" s="207">
        <v>0</v>
      </c>
      <c r="Z299" s="207">
        <v>24174187</v>
      </c>
      <c r="AA299" s="207">
        <v>0</v>
      </c>
      <c r="AB299" s="176">
        <f t="shared" si="380"/>
        <v>113248741</v>
      </c>
      <c r="AC299" s="177">
        <f t="shared" si="357"/>
        <v>59.945536347251263</v>
      </c>
      <c r="AD299" s="177">
        <f t="shared" si="381"/>
        <v>48.349652174409151</v>
      </c>
      <c r="AE299" s="26">
        <f t="shared" ref="AE299:AE307" si="397">AD299*0.03</f>
        <v>1.4504895652322745</v>
      </c>
      <c r="AF299" s="178">
        <f t="shared" si="358"/>
        <v>47.215242157844393</v>
      </c>
      <c r="AG299" s="178">
        <f t="shared" si="359"/>
        <v>60.563006599473127</v>
      </c>
      <c r="AH299" s="178">
        <f t="shared" si="382"/>
        <v>13.347764441628733</v>
      </c>
      <c r="AI299" s="179">
        <f t="shared" si="383"/>
        <v>80</v>
      </c>
      <c r="AJ299" s="30">
        <f t="shared" ref="AJ299:AJ307" si="398">AI299*0.04</f>
        <v>3.2</v>
      </c>
      <c r="AK299" s="204">
        <v>8</v>
      </c>
      <c r="AL299" s="204">
        <v>49</v>
      </c>
      <c r="AM299" s="204">
        <v>1</v>
      </c>
      <c r="AN299" s="181">
        <f t="shared" si="344"/>
        <v>57</v>
      </c>
      <c r="AO299" s="182">
        <f t="shared" si="345"/>
        <v>1.7543859649122806</v>
      </c>
      <c r="AP299" s="183">
        <f t="shared" si="360"/>
        <v>100</v>
      </c>
      <c r="AQ299" s="38">
        <f t="shared" ref="AQ299:AQ307" si="399">AP299*0.02</f>
        <v>2</v>
      </c>
      <c r="AR299" s="212">
        <v>5</v>
      </c>
      <c r="AS299" s="292">
        <f t="shared" si="346"/>
        <v>0.5</v>
      </c>
      <c r="AT299" s="185">
        <f t="shared" si="347"/>
        <v>4</v>
      </c>
      <c r="AU299" s="185">
        <f t="shared" si="361"/>
        <v>4</v>
      </c>
      <c r="AV299" s="186">
        <f t="shared" si="348"/>
        <v>12.5</v>
      </c>
      <c r="AW299" s="179">
        <f t="shared" si="362"/>
        <v>60</v>
      </c>
      <c r="AX299" s="239">
        <f t="shared" ref="AX299:AX307" si="400">AW299*0.01</f>
        <v>0.6</v>
      </c>
      <c r="AY299" s="54">
        <v>11</v>
      </c>
      <c r="AZ299" s="54">
        <f>55-2</f>
        <v>53</v>
      </c>
      <c r="BA299" s="189">
        <f t="shared" si="349"/>
        <v>55</v>
      </c>
      <c r="BB299" s="178">
        <f t="shared" si="363"/>
        <v>96.36363636363636</v>
      </c>
      <c r="BC299" s="179">
        <f t="shared" si="364"/>
        <v>100</v>
      </c>
      <c r="BD299" s="30">
        <f t="shared" ref="BD299:BD307" si="401">BC299*0.01</f>
        <v>1</v>
      </c>
      <c r="BE299" s="190">
        <v>79133650</v>
      </c>
      <c r="BF299" s="190">
        <v>31250342</v>
      </c>
      <c r="BG299" s="301">
        <v>0</v>
      </c>
      <c r="BH299" s="191">
        <f t="shared" si="350"/>
        <v>110383992</v>
      </c>
      <c r="BI299" s="178">
        <f t="shared" si="351"/>
        <v>0</v>
      </c>
      <c r="BJ299" s="294" t="str">
        <f t="shared" si="365"/>
        <v>전기전자/기계업</v>
      </c>
      <c r="BK299" s="192">
        <f t="shared" si="366"/>
        <v>2.4096449716116455</v>
      </c>
      <c r="BL299" s="193">
        <f t="shared" si="367"/>
        <v>-2.4096449716116455</v>
      </c>
      <c r="BM299" s="241">
        <f t="shared" si="368"/>
        <v>100</v>
      </c>
      <c r="BN299" s="47">
        <f t="shared" si="369"/>
        <v>2</v>
      </c>
      <c r="BO299" s="54">
        <f>(324039-2456)*1000</f>
        <v>321583000</v>
      </c>
      <c r="BP299" s="194">
        <f t="shared" si="352"/>
        <v>14.70157110820692</v>
      </c>
      <c r="BQ299" s="179">
        <f t="shared" si="370"/>
        <v>100</v>
      </c>
      <c r="BR299" s="30">
        <f t="shared" ref="BR299:BR307" si="402">BQ299*0.02</f>
        <v>2</v>
      </c>
      <c r="BS299" s="195">
        <v>43156564.351000004</v>
      </c>
      <c r="BT299" s="195">
        <v>182097.32699999999</v>
      </c>
      <c r="BU299" s="196">
        <f t="shared" si="371"/>
        <v>42974467.024000004</v>
      </c>
      <c r="BV299" s="178">
        <f t="shared" si="353"/>
        <v>1.9646317833673717</v>
      </c>
      <c r="BW299" s="192">
        <f t="shared" si="372"/>
        <v>5.2309968128308268</v>
      </c>
      <c r="BX299" s="192">
        <f t="shared" si="373"/>
        <v>10.669140505701799</v>
      </c>
      <c r="BY299" s="192">
        <f t="shared" si="374"/>
        <v>7.0695458012309622</v>
      </c>
      <c r="BZ299" s="192">
        <f t="shared" si="375"/>
        <v>67.797125199522057</v>
      </c>
      <c r="CA299" s="192">
        <f t="shared" si="354"/>
        <v>40</v>
      </c>
      <c r="CB299" s="55">
        <f t="shared" si="376"/>
        <v>0.8</v>
      </c>
      <c r="CC299" s="197">
        <f t="shared" ref="CC299:CC307" si="403">(M299/N299)*100</f>
        <v>84.781748484552381</v>
      </c>
      <c r="CD299" s="198">
        <f t="shared" ref="CD299:CD307" si="404">IF((100-(75*(CC299-1)/(200-1)))&gt;100, 100, IF((100-(75*(CC299-1)/(200-1)))&lt;25, 25, (100-(75*(CC299-1)/(200-1)))))</f>
        <v>68.423964138987799</v>
      </c>
      <c r="CE299" s="58">
        <f t="shared" ref="CE299:CE307" si="405">CD299*0.015</f>
        <v>1.0263594620848169</v>
      </c>
      <c r="CF299" s="245" t="s">
        <v>2326</v>
      </c>
      <c r="CG299" s="245" t="s">
        <v>2326</v>
      </c>
      <c r="CH299" s="245" t="s">
        <v>2326</v>
      </c>
      <c r="CI299" s="245" t="s">
        <v>2326</v>
      </c>
      <c r="CJ299" s="235"/>
      <c r="CK299" s="173" t="s">
        <v>2523</v>
      </c>
      <c r="CL299" s="173" t="s">
        <v>2487</v>
      </c>
      <c r="CM299" s="199">
        <f t="shared" si="377"/>
        <v>70</v>
      </c>
      <c r="CN299" s="58">
        <f t="shared" ref="CN299:CN307" si="406">CM299*0.015</f>
        <v>1.05</v>
      </c>
      <c r="CO299" s="54">
        <v>62914000</v>
      </c>
      <c r="CP299" s="186">
        <f t="shared" si="355"/>
        <v>2.799874454508843</v>
      </c>
      <c r="CQ299" s="179">
        <f t="shared" si="378"/>
        <v>100</v>
      </c>
      <c r="CR299" s="30">
        <f t="shared" ref="CR299:CR307" si="407">CQ299*0.03</f>
        <v>3</v>
      </c>
      <c r="CS299" s="200">
        <f>_xlfn.XLOOKUP(C299, '1-1. 관계사체무보증금액 (환율 등)'!$3:$3, '1-1. 관계사체무보증금액 (환율 등)'!$33:$33)</f>
        <v>0</v>
      </c>
      <c r="CT299" s="178">
        <f t="shared" si="356"/>
        <v>0</v>
      </c>
      <c r="CU299" s="179">
        <f t="shared" si="379"/>
        <v>100</v>
      </c>
      <c r="CV299" s="30">
        <f t="shared" ref="CV299:CV307" si="408">CU299*0.02</f>
        <v>2</v>
      </c>
      <c r="CW299" s="72">
        <f t="shared" si="384"/>
        <v>20.126849027317093</v>
      </c>
    </row>
    <row r="300" spans="1:101" x14ac:dyDescent="0.6">
      <c r="A300" s="214" t="s">
        <v>916</v>
      </c>
      <c r="B300" s="13" t="s">
        <v>2281</v>
      </c>
      <c r="C300" s="219" t="s">
        <v>327</v>
      </c>
      <c r="D300" s="216" t="s">
        <v>285</v>
      </c>
      <c r="E300" s="217" t="s">
        <v>867</v>
      </c>
      <c r="F300" s="217" t="s">
        <v>114</v>
      </c>
      <c r="G300" s="218">
        <v>31038</v>
      </c>
      <c r="H300" s="217" t="s">
        <v>830</v>
      </c>
      <c r="I300" s="217" t="s">
        <v>694</v>
      </c>
      <c r="J300" s="217" t="s">
        <v>1012</v>
      </c>
      <c r="K300" s="217" t="s">
        <v>91</v>
      </c>
      <c r="L300" s="220">
        <v>13738416000</v>
      </c>
      <c r="M300" s="206">
        <v>7344179000</v>
      </c>
      <c r="N300" s="206">
        <v>6394237000</v>
      </c>
      <c r="O300" s="206">
        <v>11978479000</v>
      </c>
      <c r="P300" s="206">
        <v>346342000</v>
      </c>
      <c r="Q300" s="206">
        <v>503694000</v>
      </c>
      <c r="R300" s="206">
        <v>346572000</v>
      </c>
      <c r="S300" s="207">
        <v>111355765</v>
      </c>
      <c r="T300" s="207">
        <v>0</v>
      </c>
      <c r="U300" s="207">
        <v>23327400</v>
      </c>
      <c r="V300" s="207">
        <v>0</v>
      </c>
      <c r="W300" s="207">
        <f>4300+39+100+668+19+212+201+171*2+199+120+171+9+7+210+185+12+33+152+36+110+20</f>
        <v>7145</v>
      </c>
      <c r="X300" s="207">
        <v>0</v>
      </c>
      <c r="Z300" s="207">
        <f>5831850+9719750</f>
        <v>15551600</v>
      </c>
      <c r="AA300" s="207">
        <v>0</v>
      </c>
      <c r="AB300" s="176">
        <f t="shared" si="380"/>
        <v>38886145</v>
      </c>
      <c r="AC300" s="177">
        <f t="shared" si="357"/>
        <v>34.92063926820493</v>
      </c>
      <c r="AD300" s="177">
        <f t="shared" si="381"/>
        <v>69.94766461317181</v>
      </c>
      <c r="AE300" s="26">
        <f t="shared" si="397"/>
        <v>2.0984299383951543</v>
      </c>
      <c r="AF300" s="178">
        <f t="shared" si="358"/>
        <v>20.948533737790765</v>
      </c>
      <c r="AG300" s="178">
        <f t="shared" si="359"/>
        <v>34.92063926820493</v>
      </c>
      <c r="AH300" s="178">
        <f t="shared" si="382"/>
        <v>13.972105530414165</v>
      </c>
      <c r="AI300" s="179">
        <f t="shared" si="383"/>
        <v>80</v>
      </c>
      <c r="AJ300" s="30">
        <f t="shared" si="398"/>
        <v>3.2</v>
      </c>
      <c r="AK300" s="204">
        <v>7</v>
      </c>
      <c r="AL300" s="204">
        <v>81</v>
      </c>
      <c r="AM300" s="204">
        <v>0</v>
      </c>
      <c r="AN300" s="181">
        <f t="shared" si="344"/>
        <v>88</v>
      </c>
      <c r="AO300" s="182">
        <f t="shared" si="345"/>
        <v>0</v>
      </c>
      <c r="AP300" s="183">
        <f t="shared" si="360"/>
        <v>100</v>
      </c>
      <c r="AQ300" s="38">
        <f t="shared" si="399"/>
        <v>2</v>
      </c>
      <c r="AR300" s="212">
        <v>4</v>
      </c>
      <c r="AS300" s="292">
        <f t="shared" si="346"/>
        <v>0.5</v>
      </c>
      <c r="AT300" s="185">
        <f t="shared" si="347"/>
        <v>3.5</v>
      </c>
      <c r="AU300" s="185">
        <f t="shared" si="361"/>
        <v>3</v>
      </c>
      <c r="AV300" s="186">
        <f t="shared" si="348"/>
        <v>14.285714285714285</v>
      </c>
      <c r="AW300" s="179">
        <f t="shared" si="362"/>
        <v>60</v>
      </c>
      <c r="AX300" s="239">
        <f t="shared" si="400"/>
        <v>0.6</v>
      </c>
      <c r="AY300" s="54">
        <v>11</v>
      </c>
      <c r="AZ300" s="54">
        <f>44-2</f>
        <v>42</v>
      </c>
      <c r="BA300" s="189">
        <f t="shared" si="349"/>
        <v>44</v>
      </c>
      <c r="BB300" s="178">
        <f t="shared" si="363"/>
        <v>95.454545454545453</v>
      </c>
      <c r="BC300" s="179">
        <f t="shared" si="364"/>
        <v>100</v>
      </c>
      <c r="BD300" s="30">
        <f t="shared" si="401"/>
        <v>1</v>
      </c>
      <c r="BE300" s="190">
        <v>230697000</v>
      </c>
      <c r="BF300" s="190">
        <v>13049000</v>
      </c>
      <c r="BG300" s="301">
        <v>0</v>
      </c>
      <c r="BH300" s="191">
        <f t="shared" si="350"/>
        <v>243746000</v>
      </c>
      <c r="BI300" s="178">
        <f t="shared" si="351"/>
        <v>0</v>
      </c>
      <c r="BJ300" s="294" t="str">
        <f t="shared" si="365"/>
        <v>비제조/서비스업</v>
      </c>
      <c r="BK300" s="192">
        <f t="shared" si="366"/>
        <v>1.7464434573900924</v>
      </c>
      <c r="BL300" s="193">
        <f t="shared" si="367"/>
        <v>-1.7464434573900924</v>
      </c>
      <c r="BM300" s="241">
        <f t="shared" si="368"/>
        <v>80</v>
      </c>
      <c r="BN300" s="47">
        <f t="shared" si="369"/>
        <v>1.6</v>
      </c>
      <c r="BO300" s="54">
        <f>(136842-3326)*1000</f>
        <v>133516000</v>
      </c>
      <c r="BP300" s="194">
        <f t="shared" si="352"/>
        <v>1.114632333537505</v>
      </c>
      <c r="BQ300" s="179">
        <f t="shared" si="370"/>
        <v>70</v>
      </c>
      <c r="BR300" s="30">
        <f t="shared" si="402"/>
        <v>1.4000000000000001</v>
      </c>
      <c r="BS300" s="195">
        <v>49129000</v>
      </c>
      <c r="BT300" s="195">
        <v>4962000</v>
      </c>
      <c r="BU300" s="196">
        <f t="shared" si="371"/>
        <v>44167000</v>
      </c>
      <c r="BV300" s="178">
        <f t="shared" si="353"/>
        <v>0.36871960121147268</v>
      </c>
      <c r="BW300" s="192">
        <f t="shared" si="372"/>
        <v>2.8482825397737606</v>
      </c>
      <c r="BX300" s="192">
        <f t="shared" si="373"/>
        <v>6.1482323662916487</v>
      </c>
      <c r="BY300" s="192">
        <f t="shared" si="374"/>
        <v>5.5697595856656799</v>
      </c>
      <c r="BZ300" s="192">
        <f t="shared" si="375"/>
        <v>67.19062870812661</v>
      </c>
      <c r="CA300" s="192">
        <f t="shared" si="354"/>
        <v>40</v>
      </c>
      <c r="CB300" s="55">
        <f t="shared" si="376"/>
        <v>0.8</v>
      </c>
      <c r="CC300" s="197">
        <f t="shared" si="403"/>
        <v>114.85622131303548</v>
      </c>
      <c r="CD300" s="198">
        <f t="shared" si="404"/>
        <v>57.089363826745426</v>
      </c>
      <c r="CE300" s="58">
        <f t="shared" si="405"/>
        <v>0.85634045740118137</v>
      </c>
      <c r="CF300" s="245" t="s">
        <v>2326</v>
      </c>
      <c r="CG300" s="245" t="s">
        <v>2326</v>
      </c>
      <c r="CH300" s="245" t="s">
        <v>2326</v>
      </c>
      <c r="CI300" s="245" t="s">
        <v>2326</v>
      </c>
      <c r="CJ300" s="235"/>
      <c r="CK300" s="173" t="s">
        <v>2523</v>
      </c>
      <c r="CL300" s="173" t="s">
        <v>2487</v>
      </c>
      <c r="CM300" s="199">
        <f t="shared" si="377"/>
        <v>70</v>
      </c>
      <c r="CN300" s="58">
        <f t="shared" si="406"/>
        <v>1.05</v>
      </c>
      <c r="CO300" s="54">
        <v>886918000</v>
      </c>
      <c r="CP300" s="186">
        <f t="shared" si="355"/>
        <v>13.870583777235657</v>
      </c>
      <c r="CQ300" s="179">
        <f t="shared" si="378"/>
        <v>60</v>
      </c>
      <c r="CR300" s="30">
        <f t="shared" si="407"/>
        <v>1.7999999999999998</v>
      </c>
      <c r="CS300" s="200">
        <f>_xlfn.XLOOKUP(C300, '1-1. 관계사체무보증금액 (환율 등)'!$3:$3, '1-1. 관계사체무보증금액 (환율 등)'!$33:$33)</f>
        <v>222256962.02531645</v>
      </c>
      <c r="CT300" s="178">
        <f t="shared" si="356"/>
        <v>3.4758949664411323</v>
      </c>
      <c r="CU300" s="179">
        <f t="shared" si="379"/>
        <v>80</v>
      </c>
      <c r="CV300" s="30">
        <f t="shared" si="408"/>
        <v>1.6</v>
      </c>
      <c r="CW300" s="72">
        <f t="shared" si="384"/>
        <v>18.004770395796339</v>
      </c>
    </row>
    <row r="301" spans="1:101" x14ac:dyDescent="0.6">
      <c r="A301" s="214" t="s">
        <v>454</v>
      </c>
      <c r="B301" s="13" t="s">
        <v>2282</v>
      </c>
      <c r="C301" s="219" t="s">
        <v>84</v>
      </c>
      <c r="D301" s="216" t="s">
        <v>285</v>
      </c>
      <c r="E301" s="217" t="s">
        <v>622</v>
      </c>
      <c r="F301" s="217" t="s">
        <v>653</v>
      </c>
      <c r="G301" s="218">
        <v>38712</v>
      </c>
      <c r="H301" s="217" t="s">
        <v>830</v>
      </c>
      <c r="I301" s="217" t="s">
        <v>1954</v>
      </c>
      <c r="J301" s="217" t="s">
        <v>1124</v>
      </c>
      <c r="K301" s="217" t="s">
        <v>91</v>
      </c>
      <c r="L301" s="220">
        <v>11586104724</v>
      </c>
      <c r="M301" s="206">
        <v>5729632009</v>
      </c>
      <c r="N301" s="206">
        <v>5856472715</v>
      </c>
      <c r="O301" s="206">
        <v>21528979386</v>
      </c>
      <c r="P301" s="206">
        <v>1595700562</v>
      </c>
      <c r="Q301" s="206">
        <v>1527487113</v>
      </c>
      <c r="R301" s="206">
        <v>1209437646</v>
      </c>
      <c r="S301" s="207">
        <v>37500000</v>
      </c>
      <c r="T301" s="207">
        <v>0</v>
      </c>
      <c r="U301" s="207">
        <v>7499991</v>
      </c>
      <c r="V301" s="207">
        <v>0</v>
      </c>
      <c r="W301" s="207">
        <f>400+300+2325+250+560+313+6+2000+172+14+530+50</f>
        <v>6920</v>
      </c>
      <c r="X301" s="207">
        <v>1671018</v>
      </c>
      <c r="Y301" s="208" t="s">
        <v>2471</v>
      </c>
      <c r="Z301" s="207">
        <v>1830939</v>
      </c>
      <c r="AA301" s="207">
        <v>0</v>
      </c>
      <c r="AB301" s="176">
        <f t="shared" si="380"/>
        <v>11008868</v>
      </c>
      <c r="AC301" s="177">
        <f t="shared" si="357"/>
        <v>29.35698133333333</v>
      </c>
      <c r="AD301" s="177">
        <f t="shared" si="381"/>
        <v>74.749440736478718</v>
      </c>
      <c r="AE301" s="26">
        <f t="shared" si="397"/>
        <v>2.2424832220943616</v>
      </c>
      <c r="AF301" s="178">
        <f t="shared" si="358"/>
        <v>19.999976</v>
      </c>
      <c r="AG301" s="178">
        <f t="shared" si="359"/>
        <v>29.35698133333333</v>
      </c>
      <c r="AH301" s="178">
        <f t="shared" si="382"/>
        <v>9.3570053333333298</v>
      </c>
      <c r="AI301" s="179">
        <f t="shared" si="383"/>
        <v>100</v>
      </c>
      <c r="AJ301" s="30">
        <f t="shared" si="398"/>
        <v>4</v>
      </c>
      <c r="AK301" s="204">
        <v>9</v>
      </c>
      <c r="AL301" s="204">
        <v>36</v>
      </c>
      <c r="AM301" s="204">
        <v>0</v>
      </c>
      <c r="AN301" s="181">
        <f t="shared" si="344"/>
        <v>45</v>
      </c>
      <c r="AO301" s="182">
        <f t="shared" si="345"/>
        <v>0</v>
      </c>
      <c r="AP301" s="183">
        <f t="shared" si="360"/>
        <v>100</v>
      </c>
      <c r="AQ301" s="38">
        <f t="shared" si="399"/>
        <v>2</v>
      </c>
      <c r="AR301" s="212">
        <v>5</v>
      </c>
      <c r="AS301" s="292">
        <f t="shared" si="346"/>
        <v>0.5</v>
      </c>
      <c r="AT301" s="185">
        <f t="shared" si="347"/>
        <v>4.5</v>
      </c>
      <c r="AU301" s="185">
        <f t="shared" si="361"/>
        <v>4</v>
      </c>
      <c r="AV301" s="186">
        <f t="shared" si="348"/>
        <v>11.111111111111111</v>
      </c>
      <c r="AW301" s="179">
        <f t="shared" si="362"/>
        <v>60</v>
      </c>
      <c r="AX301" s="239">
        <f t="shared" si="400"/>
        <v>0.6</v>
      </c>
      <c r="AY301" s="54">
        <v>10</v>
      </c>
      <c r="AZ301" s="54">
        <v>50</v>
      </c>
      <c r="BA301" s="189">
        <f t="shared" si="349"/>
        <v>50</v>
      </c>
      <c r="BB301" s="178">
        <f t="shared" si="363"/>
        <v>100</v>
      </c>
      <c r="BC301" s="179">
        <f t="shared" si="364"/>
        <v>100</v>
      </c>
      <c r="BD301" s="30">
        <f t="shared" si="401"/>
        <v>1</v>
      </c>
      <c r="BE301" s="190">
        <v>136838004</v>
      </c>
      <c r="BF301" s="190">
        <v>13310333</v>
      </c>
      <c r="BG301" s="301">
        <v>0</v>
      </c>
      <c r="BH301" s="191">
        <f t="shared" si="350"/>
        <v>150148337</v>
      </c>
      <c r="BI301" s="178">
        <f t="shared" si="351"/>
        <v>0</v>
      </c>
      <c r="BJ301" s="294" t="str">
        <f t="shared" si="365"/>
        <v>비제조/서비스업</v>
      </c>
      <c r="BK301" s="192">
        <f t="shared" si="366"/>
        <v>1.7464434573900924</v>
      </c>
      <c r="BL301" s="193">
        <f t="shared" si="367"/>
        <v>-1.7464434573900924</v>
      </c>
      <c r="BM301" s="241">
        <f t="shared" si="368"/>
        <v>80</v>
      </c>
      <c r="BN301" s="47">
        <f t="shared" si="369"/>
        <v>1.6</v>
      </c>
      <c r="BO301" s="54">
        <v>8216231</v>
      </c>
      <c r="BP301" s="194">
        <f t="shared" si="352"/>
        <v>3.8163588030294196E-2</v>
      </c>
      <c r="BQ301" s="179">
        <f t="shared" si="370"/>
        <v>40</v>
      </c>
      <c r="BR301" s="30">
        <f t="shared" si="402"/>
        <v>0.8</v>
      </c>
      <c r="BS301" s="195">
        <v>137412965.12400001</v>
      </c>
      <c r="BT301" s="195">
        <v>215025.245</v>
      </c>
      <c r="BU301" s="196">
        <f t="shared" si="371"/>
        <v>137197939.87900001</v>
      </c>
      <c r="BV301" s="178">
        <f t="shared" si="353"/>
        <v>0.63727098911255375</v>
      </c>
      <c r="BW301" s="192">
        <f t="shared" si="372"/>
        <v>2.8482825397737606</v>
      </c>
      <c r="BX301" s="192">
        <f t="shared" si="373"/>
        <v>4.8885720771572752</v>
      </c>
      <c r="BY301" s="192">
        <f t="shared" si="374"/>
        <v>5.5697595856656799</v>
      </c>
      <c r="BZ301" s="192">
        <f t="shared" si="375"/>
        <v>65.43041549402821</v>
      </c>
      <c r="CA301" s="192">
        <f t="shared" si="354"/>
        <v>40</v>
      </c>
      <c r="CB301" s="55">
        <f t="shared" si="376"/>
        <v>0.8</v>
      </c>
      <c r="CC301" s="197">
        <f t="shared" si="403"/>
        <v>97.834179169397871</v>
      </c>
      <c r="CD301" s="198">
        <f t="shared" si="404"/>
        <v>63.504706343191756</v>
      </c>
      <c r="CE301" s="58">
        <f t="shared" si="405"/>
        <v>0.95257059514787634</v>
      </c>
      <c r="CF301" s="245" t="s">
        <v>2326</v>
      </c>
      <c r="CG301" s="245" t="s">
        <v>2326</v>
      </c>
      <c r="CH301" s="245" t="s">
        <v>2326</v>
      </c>
      <c r="CI301" s="245" t="s">
        <v>2326</v>
      </c>
      <c r="CJ301" s="235"/>
      <c r="CK301" s="173" t="s">
        <v>2534</v>
      </c>
      <c r="CL301" s="173" t="s">
        <v>2477</v>
      </c>
      <c r="CM301" s="199">
        <f t="shared" si="377"/>
        <v>85</v>
      </c>
      <c r="CN301" s="58">
        <f t="shared" si="406"/>
        <v>1.2749999999999999</v>
      </c>
      <c r="CO301" s="54">
        <v>132665693</v>
      </c>
      <c r="CP301" s="186">
        <f t="shared" si="355"/>
        <v>2.2652832081025069</v>
      </c>
      <c r="CQ301" s="179">
        <f t="shared" si="378"/>
        <v>100</v>
      </c>
      <c r="CR301" s="30">
        <f t="shared" si="407"/>
        <v>3</v>
      </c>
      <c r="CS301" s="200">
        <f>_xlfn.XLOOKUP(C301, '1-1. 관계사체무보증금액 (환율 등)'!$3:$3, '1-1. 관계사체무보증금액 (환율 등)'!$33:$33)</f>
        <v>110255098.07275631</v>
      </c>
      <c r="CT301" s="178">
        <f t="shared" si="356"/>
        <v>1.8826195124304663</v>
      </c>
      <c r="CU301" s="179">
        <f t="shared" si="379"/>
        <v>100</v>
      </c>
      <c r="CV301" s="30">
        <f t="shared" si="408"/>
        <v>2</v>
      </c>
      <c r="CW301" s="72">
        <f t="shared" si="384"/>
        <v>20.270053817242236</v>
      </c>
    </row>
    <row r="302" spans="1:101" x14ac:dyDescent="0.6">
      <c r="A302" s="214" t="s">
        <v>1955</v>
      </c>
      <c r="B302" s="13" t="s">
        <v>2283</v>
      </c>
      <c r="C302" s="219" t="s">
        <v>1956</v>
      </c>
      <c r="D302" s="14" t="s">
        <v>202</v>
      </c>
      <c r="E302" s="217" t="s">
        <v>1957</v>
      </c>
      <c r="F302" s="217" t="s">
        <v>1958</v>
      </c>
      <c r="G302" s="218">
        <v>41577</v>
      </c>
      <c r="H302" s="217" t="s">
        <v>830</v>
      </c>
      <c r="I302" s="217" t="s">
        <v>1959</v>
      </c>
      <c r="J302" s="217" t="s">
        <v>1960</v>
      </c>
      <c r="K302" s="217" t="s">
        <v>50</v>
      </c>
      <c r="L302" s="220">
        <v>4676787304</v>
      </c>
      <c r="M302" s="206">
        <v>3212555016</v>
      </c>
      <c r="N302" s="206">
        <v>1464232288</v>
      </c>
      <c r="O302" s="206">
        <v>3106010725</v>
      </c>
      <c r="P302" s="206">
        <v>177983235</v>
      </c>
      <c r="Q302" s="206">
        <v>122548827</v>
      </c>
      <c r="R302" s="206">
        <v>213700726</v>
      </c>
      <c r="S302" s="207">
        <f>109142*1000</f>
        <v>109142000</v>
      </c>
      <c r="T302" s="207">
        <v>0</v>
      </c>
      <c r="U302" s="207">
        <v>36852432</v>
      </c>
      <c r="V302" s="207">
        <v>0</v>
      </c>
      <c r="W302" s="207">
        <f>1612+645+1947+2569+5136+1225+388+696+2364+2199+2149+3326+322+2037+429+1890+193+1277+1124+224</f>
        <v>31752</v>
      </c>
      <c r="X302" s="207">
        <v>0</v>
      </c>
      <c r="Z302" s="207">
        <v>0</v>
      </c>
      <c r="AA302" s="207">
        <v>0</v>
      </c>
      <c r="AB302" s="176">
        <f t="shared" si="380"/>
        <v>36884184</v>
      </c>
      <c r="AC302" s="177">
        <f t="shared" si="357"/>
        <v>33.794674827289214</v>
      </c>
      <c r="AD302" s="177">
        <f t="shared" si="381"/>
        <v>70.919440597851661</v>
      </c>
      <c r="AE302" s="26">
        <f t="shared" si="397"/>
        <v>2.1275832179355496</v>
      </c>
      <c r="AF302" s="178">
        <f t="shared" si="358"/>
        <v>33.765582452218212</v>
      </c>
      <c r="AG302" s="178">
        <f t="shared" si="359"/>
        <v>33.794674827289214</v>
      </c>
      <c r="AH302" s="178">
        <f t="shared" si="382"/>
        <v>2.9092375071002152E-2</v>
      </c>
      <c r="AI302" s="179">
        <f t="shared" si="383"/>
        <v>100</v>
      </c>
      <c r="AJ302" s="30">
        <f t="shared" si="398"/>
        <v>4</v>
      </c>
      <c r="AK302" s="204">
        <v>7</v>
      </c>
      <c r="AL302" s="204">
        <v>26</v>
      </c>
      <c r="AM302" s="204">
        <v>0</v>
      </c>
      <c r="AN302" s="181">
        <f t="shared" si="344"/>
        <v>33</v>
      </c>
      <c r="AO302" s="182">
        <f t="shared" si="345"/>
        <v>0</v>
      </c>
      <c r="AP302" s="183">
        <f t="shared" si="360"/>
        <v>100</v>
      </c>
      <c r="AQ302" s="38">
        <f t="shared" si="399"/>
        <v>2</v>
      </c>
      <c r="AR302" s="212">
        <v>4</v>
      </c>
      <c r="AS302" s="292">
        <f t="shared" si="346"/>
        <v>0.5</v>
      </c>
      <c r="AT302" s="185">
        <f t="shared" si="347"/>
        <v>3.5</v>
      </c>
      <c r="AU302" s="185">
        <f t="shared" si="361"/>
        <v>3</v>
      </c>
      <c r="AV302" s="186">
        <f t="shared" si="348"/>
        <v>14.285714285714285</v>
      </c>
      <c r="AW302" s="179">
        <f t="shared" si="362"/>
        <v>60</v>
      </c>
      <c r="AX302" s="239">
        <f t="shared" si="400"/>
        <v>0.6</v>
      </c>
      <c r="AY302" s="54">
        <v>9</v>
      </c>
      <c r="AZ302" s="54">
        <f>36-1</f>
        <v>35</v>
      </c>
      <c r="BA302" s="189">
        <f t="shared" si="349"/>
        <v>36</v>
      </c>
      <c r="BB302" s="178">
        <f t="shared" si="363"/>
        <v>97.222222222222214</v>
      </c>
      <c r="BC302" s="179">
        <f t="shared" si="364"/>
        <v>100</v>
      </c>
      <c r="BD302" s="30">
        <f t="shared" si="401"/>
        <v>1</v>
      </c>
      <c r="BE302" s="190">
        <v>78761759</v>
      </c>
      <c r="BF302" s="190">
        <v>5979052</v>
      </c>
      <c r="BG302" s="54">
        <v>743489</v>
      </c>
      <c r="BH302" s="191">
        <f t="shared" si="350"/>
        <v>84740811</v>
      </c>
      <c r="BI302" s="178">
        <f t="shared" si="351"/>
        <v>0.8773682848043548</v>
      </c>
      <c r="BJ302" s="294" t="str">
        <f t="shared" si="365"/>
        <v>전기전자/기계업</v>
      </c>
      <c r="BK302" s="192">
        <f t="shared" si="366"/>
        <v>2.4096449716116455</v>
      </c>
      <c r="BL302" s="193">
        <f t="shared" si="367"/>
        <v>-1.5322766868072906</v>
      </c>
      <c r="BM302" s="241">
        <f t="shared" si="368"/>
        <v>80</v>
      </c>
      <c r="BN302" s="47">
        <f t="shared" si="369"/>
        <v>1.6</v>
      </c>
      <c r="BO302" s="54">
        <v>112566000</v>
      </c>
      <c r="BP302" s="194">
        <f t="shared" si="352"/>
        <v>3.6241342985060045</v>
      </c>
      <c r="BQ302" s="179">
        <f t="shared" si="370"/>
        <v>85</v>
      </c>
      <c r="BR302" s="30">
        <f t="shared" si="402"/>
        <v>1.7</v>
      </c>
      <c r="BS302" s="195">
        <v>32130002</v>
      </c>
      <c r="BT302" s="195">
        <v>810965</v>
      </c>
      <c r="BU302" s="196">
        <f t="shared" si="371"/>
        <v>31319037</v>
      </c>
      <c r="BV302" s="178">
        <f t="shared" si="353"/>
        <v>1.0083364087546736</v>
      </c>
      <c r="BW302" s="192">
        <f t="shared" si="372"/>
        <v>5.2309968128308268</v>
      </c>
      <c r="BX302" s="192">
        <f t="shared" si="373"/>
        <v>17.830860888152582</v>
      </c>
      <c r="BY302" s="192">
        <f t="shared" si="374"/>
        <v>7.0695458012309622</v>
      </c>
      <c r="BZ302" s="192">
        <f t="shared" si="375"/>
        <v>72.484742489566955</v>
      </c>
      <c r="CA302" s="192">
        <f t="shared" si="354"/>
        <v>40</v>
      </c>
      <c r="CB302" s="55">
        <f t="shared" si="376"/>
        <v>0.8</v>
      </c>
      <c r="CC302" s="197">
        <f t="shared" si="403"/>
        <v>219.40200624779558</v>
      </c>
      <c r="CD302" s="198">
        <f t="shared" si="404"/>
        <v>25</v>
      </c>
      <c r="CE302" s="58">
        <f t="shared" si="405"/>
        <v>0.375</v>
      </c>
      <c r="CF302" s="245" t="s">
        <v>2326</v>
      </c>
      <c r="CG302" s="245" t="s">
        <v>2326</v>
      </c>
      <c r="CH302" s="245" t="s">
        <v>2326</v>
      </c>
      <c r="CI302" s="245" t="s">
        <v>2326</v>
      </c>
      <c r="CJ302" s="235"/>
      <c r="CK302" s="173" t="s">
        <v>2535</v>
      </c>
      <c r="CL302" s="173" t="s">
        <v>2493</v>
      </c>
      <c r="CM302" s="199">
        <f t="shared" si="377"/>
        <v>40</v>
      </c>
      <c r="CN302" s="58">
        <f t="shared" si="406"/>
        <v>0.6</v>
      </c>
      <c r="CO302" s="54">
        <v>3529000</v>
      </c>
      <c r="CP302" s="186">
        <f t="shared" si="355"/>
        <v>0.24101367173239113</v>
      </c>
      <c r="CQ302" s="179">
        <f t="shared" si="378"/>
        <v>100</v>
      </c>
      <c r="CR302" s="30">
        <f t="shared" si="407"/>
        <v>3</v>
      </c>
      <c r="CS302" s="200">
        <f>_xlfn.XLOOKUP(C302, '1-1. 관계사체무보증금액 (환율 등)'!$3:$3, '1-1. 관계사체무보증금액 (환율 등)'!$33:$33)</f>
        <v>41891891.891891897</v>
      </c>
      <c r="CT302" s="178">
        <f t="shared" si="356"/>
        <v>2.8610140778354354</v>
      </c>
      <c r="CU302" s="179">
        <f t="shared" si="379"/>
        <v>100</v>
      </c>
      <c r="CV302" s="30">
        <f t="shared" si="408"/>
        <v>2</v>
      </c>
      <c r="CW302" s="72">
        <f t="shared" si="384"/>
        <v>19.802583217935549</v>
      </c>
    </row>
    <row r="303" spans="1:101" x14ac:dyDescent="0.6">
      <c r="A303" s="214" t="s">
        <v>910</v>
      </c>
      <c r="B303" s="13" t="s">
        <v>2284</v>
      </c>
      <c r="C303" s="219" t="s">
        <v>480</v>
      </c>
      <c r="D303" s="216" t="s">
        <v>202</v>
      </c>
      <c r="E303" s="217" t="s">
        <v>954</v>
      </c>
      <c r="F303" s="217" t="s">
        <v>150</v>
      </c>
      <c r="G303" s="218">
        <v>32756</v>
      </c>
      <c r="H303" s="217" t="s">
        <v>830</v>
      </c>
      <c r="I303" s="217" t="s">
        <v>269</v>
      </c>
      <c r="J303" s="217" t="s">
        <v>1140</v>
      </c>
      <c r="K303" s="217" t="s">
        <v>91</v>
      </c>
      <c r="L303" s="220">
        <v>34782050000</v>
      </c>
      <c r="M303" s="206">
        <v>8693623000</v>
      </c>
      <c r="N303" s="206">
        <v>26088427000</v>
      </c>
      <c r="O303" s="206">
        <v>34052113000</v>
      </c>
      <c r="P303" s="206">
        <v>1405333000</v>
      </c>
      <c r="Q303" s="206">
        <v>2049859000</v>
      </c>
      <c r="R303" s="206">
        <v>1576460000</v>
      </c>
      <c r="S303" s="207">
        <v>94285094</v>
      </c>
      <c r="T303" s="207">
        <v>2274930</v>
      </c>
      <c r="U303" s="207">
        <f>16427074+303759</f>
        <v>16730833</v>
      </c>
      <c r="V303" s="207">
        <f>6778966</f>
        <v>6778966</v>
      </c>
      <c r="W303" s="207">
        <f>300+460+1000+626+294+10000+210+285+60+926+600+52+200+47+21+200+8+157+350+8+5+20+50+16+8+152+133+120+290+62+37+20+44+12+16+147+70+214+139+37</f>
        <v>17396</v>
      </c>
      <c r="X303" s="207">
        <v>0</v>
      </c>
      <c r="Z303" s="207">
        <f>5504846+656293</f>
        <v>6161139</v>
      </c>
      <c r="AA303" s="207">
        <v>0</v>
      </c>
      <c r="AB303" s="176">
        <f t="shared" si="380"/>
        <v>29688334</v>
      </c>
      <c r="AC303" s="177">
        <f t="shared" si="357"/>
        <v>31.487834121478421</v>
      </c>
      <c r="AD303" s="177">
        <f t="shared" si="381"/>
        <v>72.910384820358104</v>
      </c>
      <c r="AE303" s="26">
        <f t="shared" si="397"/>
        <v>2.187311544610743</v>
      </c>
      <c r="AF303" s="178">
        <f t="shared" si="358"/>
        <v>25.551306483922797</v>
      </c>
      <c r="AG303" s="178">
        <f t="shared" si="359"/>
        <v>32.266363529142275</v>
      </c>
      <c r="AH303" s="178">
        <f t="shared" si="382"/>
        <v>6.7150570452194778</v>
      </c>
      <c r="AI303" s="179">
        <f t="shared" si="383"/>
        <v>100</v>
      </c>
      <c r="AJ303" s="30">
        <f t="shared" si="398"/>
        <v>4</v>
      </c>
      <c r="AK303" s="204">
        <v>9</v>
      </c>
      <c r="AL303" s="204">
        <v>78</v>
      </c>
      <c r="AM303" s="204">
        <v>1</v>
      </c>
      <c r="AN303" s="181">
        <f t="shared" si="344"/>
        <v>87</v>
      </c>
      <c r="AO303" s="182">
        <f t="shared" si="345"/>
        <v>1.1494252873563218</v>
      </c>
      <c r="AP303" s="183">
        <f t="shared" si="360"/>
        <v>100</v>
      </c>
      <c r="AQ303" s="38">
        <f t="shared" si="399"/>
        <v>2</v>
      </c>
      <c r="AR303" s="212">
        <v>5</v>
      </c>
      <c r="AS303" s="292">
        <f t="shared" si="346"/>
        <v>0.5</v>
      </c>
      <c r="AT303" s="185">
        <f t="shared" si="347"/>
        <v>4.5</v>
      </c>
      <c r="AU303" s="185">
        <f t="shared" si="361"/>
        <v>4</v>
      </c>
      <c r="AV303" s="186">
        <f t="shared" si="348"/>
        <v>11.111111111111111</v>
      </c>
      <c r="AW303" s="179">
        <f t="shared" si="362"/>
        <v>60</v>
      </c>
      <c r="AX303" s="239">
        <f t="shared" si="400"/>
        <v>0.6</v>
      </c>
      <c r="AY303" s="54">
        <v>12</v>
      </c>
      <c r="AZ303" s="54">
        <f>12*5</f>
        <v>60</v>
      </c>
      <c r="BA303" s="189">
        <f t="shared" si="349"/>
        <v>60</v>
      </c>
      <c r="BB303" s="178">
        <f t="shared" si="363"/>
        <v>100</v>
      </c>
      <c r="BC303" s="179">
        <f t="shared" si="364"/>
        <v>100</v>
      </c>
      <c r="BD303" s="30">
        <f t="shared" si="401"/>
        <v>1</v>
      </c>
      <c r="BE303" s="190">
        <v>478277000</v>
      </c>
      <c r="BF303" s="190">
        <v>65137000</v>
      </c>
      <c r="BG303" s="301">
        <v>0</v>
      </c>
      <c r="BH303" s="191">
        <f t="shared" si="350"/>
        <v>543414000</v>
      </c>
      <c r="BI303" s="178">
        <f t="shared" si="351"/>
        <v>0</v>
      </c>
      <c r="BJ303" s="294" t="str">
        <f t="shared" si="365"/>
        <v>전기전자/기계업</v>
      </c>
      <c r="BK303" s="192">
        <f t="shared" si="366"/>
        <v>2.4096449716116455</v>
      </c>
      <c r="BL303" s="193">
        <f t="shared" si="367"/>
        <v>-2.4096449716116455</v>
      </c>
      <c r="BM303" s="241">
        <f t="shared" si="368"/>
        <v>100</v>
      </c>
      <c r="BN303" s="47">
        <f t="shared" si="369"/>
        <v>2</v>
      </c>
      <c r="BO303" s="54">
        <f>(1372668-1814)*1000</f>
        <v>1370854000</v>
      </c>
      <c r="BP303" s="194">
        <f t="shared" si="352"/>
        <v>4.0257531155261939</v>
      </c>
      <c r="BQ303" s="179">
        <f t="shared" si="370"/>
        <v>100</v>
      </c>
      <c r="BR303" s="30">
        <f t="shared" si="402"/>
        <v>2</v>
      </c>
      <c r="BS303" s="195">
        <v>752902000</v>
      </c>
      <c r="BT303" s="195">
        <v>26640000</v>
      </c>
      <c r="BU303" s="196">
        <f t="shared" si="371"/>
        <v>726262000</v>
      </c>
      <c r="BV303" s="178">
        <f t="shared" si="353"/>
        <v>2.1327956946460267</v>
      </c>
      <c r="BW303" s="192">
        <f t="shared" si="372"/>
        <v>5.2309968128308268</v>
      </c>
      <c r="BX303" s="192">
        <f t="shared" si="373"/>
        <v>9.5988501687215457</v>
      </c>
      <c r="BY303" s="192">
        <f t="shared" si="374"/>
        <v>7.0695458012309622</v>
      </c>
      <c r="BZ303" s="192">
        <f t="shared" si="375"/>
        <v>66.939606556197191</v>
      </c>
      <c r="CA303" s="192">
        <f t="shared" si="354"/>
        <v>40</v>
      </c>
      <c r="CB303" s="55">
        <f t="shared" si="376"/>
        <v>0.8</v>
      </c>
      <c r="CC303" s="197">
        <f t="shared" si="403"/>
        <v>33.323676433232251</v>
      </c>
      <c r="CD303" s="198">
        <f t="shared" si="404"/>
        <v>87.817709886972764</v>
      </c>
      <c r="CE303" s="58">
        <f t="shared" si="405"/>
        <v>1.3172656483045915</v>
      </c>
      <c r="CF303" s="245" t="s">
        <v>2326</v>
      </c>
      <c r="CG303" s="245" t="s">
        <v>2326</v>
      </c>
      <c r="CH303" s="245" t="s">
        <v>2326</v>
      </c>
      <c r="CI303" s="245" t="s">
        <v>2326</v>
      </c>
      <c r="CJ303" s="235"/>
      <c r="CK303" s="173" t="s">
        <v>2536</v>
      </c>
      <c r="CL303" s="173" t="s">
        <v>2477</v>
      </c>
      <c r="CM303" s="199">
        <f t="shared" si="377"/>
        <v>85</v>
      </c>
      <c r="CN303" s="58">
        <f t="shared" si="406"/>
        <v>1.2749999999999999</v>
      </c>
      <c r="CO303" s="54">
        <v>7441662000</v>
      </c>
      <c r="CP303" s="186">
        <f t="shared" si="355"/>
        <v>28.524763106644951</v>
      </c>
      <c r="CQ303" s="179">
        <f t="shared" si="378"/>
        <v>60</v>
      </c>
      <c r="CR303" s="30">
        <f t="shared" si="407"/>
        <v>1.7999999999999998</v>
      </c>
      <c r="CS303" s="200">
        <f>_xlfn.XLOOKUP(C303, '1-1. 관계사체무보증금액 (환율 등)'!$3:$3, '1-1. 관계사체무보증금액 (환율 등)'!$33:$33)</f>
        <v>1628725478.0390337</v>
      </c>
      <c r="CT303" s="178">
        <f t="shared" si="356"/>
        <v>6.243095752913864</v>
      </c>
      <c r="CU303" s="179">
        <f t="shared" si="379"/>
        <v>80</v>
      </c>
      <c r="CV303" s="30">
        <f t="shared" si="408"/>
        <v>1.6</v>
      </c>
      <c r="CW303" s="72">
        <f t="shared" si="384"/>
        <v>20.579577192915337</v>
      </c>
    </row>
    <row r="304" spans="1:101" x14ac:dyDescent="0.6">
      <c r="A304" s="214" t="s">
        <v>923</v>
      </c>
      <c r="B304" s="13" t="s">
        <v>2285</v>
      </c>
      <c r="C304" s="219" t="s">
        <v>367</v>
      </c>
      <c r="D304" s="216" t="s">
        <v>285</v>
      </c>
      <c r="E304" s="217" t="s">
        <v>504</v>
      </c>
      <c r="F304" s="217" t="s">
        <v>713</v>
      </c>
      <c r="G304" s="218">
        <v>37585</v>
      </c>
      <c r="H304" s="217" t="s">
        <v>830</v>
      </c>
      <c r="I304" s="217" t="s">
        <v>1101</v>
      </c>
      <c r="J304" s="217" t="s">
        <v>1168</v>
      </c>
      <c r="K304" s="217" t="s">
        <v>91</v>
      </c>
      <c r="L304" s="220">
        <v>7747981793</v>
      </c>
      <c r="M304" s="206">
        <v>3561063599</v>
      </c>
      <c r="N304" s="206">
        <v>4186918194</v>
      </c>
      <c r="O304" s="206">
        <v>1655713149</v>
      </c>
      <c r="P304" s="206">
        <v>252210667</v>
      </c>
      <c r="Q304" s="206">
        <v>205090876</v>
      </c>
      <c r="R304" s="206">
        <v>160877945</v>
      </c>
      <c r="S304" s="207">
        <v>23402441</v>
      </c>
      <c r="T304" s="207">
        <v>1547255</v>
      </c>
      <c r="U304" s="207">
        <v>3998419</v>
      </c>
      <c r="V304" s="207">
        <v>616644</v>
      </c>
      <c r="W304" s="207">
        <v>0</v>
      </c>
      <c r="X304" s="207">
        <v>0</v>
      </c>
      <c r="Z304" s="207">
        <f>2819226+1008900</f>
        <v>3828126</v>
      </c>
      <c r="AA304" s="207">
        <v>0</v>
      </c>
      <c r="AB304" s="176">
        <f t="shared" si="380"/>
        <v>8443189</v>
      </c>
      <c r="AC304" s="177">
        <f t="shared" si="357"/>
        <v>36.078240727110476</v>
      </c>
      <c r="AD304" s="177">
        <f t="shared" si="381"/>
        <v>68.948583952436309</v>
      </c>
      <c r="AE304" s="26">
        <f t="shared" si="397"/>
        <v>2.0684575185730893</v>
      </c>
      <c r="AF304" s="178">
        <f t="shared" si="358"/>
        <v>21.116557873266327</v>
      </c>
      <c r="AG304" s="178">
        <f t="shared" si="359"/>
        <v>38.632428019601392</v>
      </c>
      <c r="AH304" s="178">
        <f t="shared" si="382"/>
        <v>17.515870146335065</v>
      </c>
      <c r="AI304" s="179">
        <f t="shared" si="383"/>
        <v>80</v>
      </c>
      <c r="AJ304" s="30">
        <f t="shared" si="398"/>
        <v>3.2</v>
      </c>
      <c r="AK304" s="204">
        <v>9</v>
      </c>
      <c r="AL304" s="204">
        <v>42</v>
      </c>
      <c r="AM304" s="204">
        <v>1</v>
      </c>
      <c r="AN304" s="181">
        <f t="shared" si="344"/>
        <v>51</v>
      </c>
      <c r="AO304" s="182">
        <f t="shared" si="345"/>
        <v>1.9607843137254901</v>
      </c>
      <c r="AP304" s="183">
        <f t="shared" si="360"/>
        <v>100</v>
      </c>
      <c r="AQ304" s="38">
        <f t="shared" si="399"/>
        <v>2</v>
      </c>
      <c r="AR304" s="212">
        <v>5</v>
      </c>
      <c r="AS304" s="292">
        <f t="shared" si="346"/>
        <v>0.5</v>
      </c>
      <c r="AT304" s="185">
        <f t="shared" si="347"/>
        <v>4.5</v>
      </c>
      <c r="AU304" s="185">
        <f t="shared" si="361"/>
        <v>4</v>
      </c>
      <c r="AV304" s="186">
        <f t="shared" si="348"/>
        <v>11.111111111111111</v>
      </c>
      <c r="AW304" s="179">
        <f t="shared" si="362"/>
        <v>60</v>
      </c>
      <c r="AX304" s="239">
        <f t="shared" si="400"/>
        <v>0.6</v>
      </c>
      <c r="AY304" s="54">
        <f>10</f>
        <v>10</v>
      </c>
      <c r="AZ304" s="54">
        <f>50-3</f>
        <v>47</v>
      </c>
      <c r="BA304" s="189">
        <f t="shared" si="349"/>
        <v>50</v>
      </c>
      <c r="BB304" s="178">
        <f t="shared" si="363"/>
        <v>94</v>
      </c>
      <c r="BC304" s="179">
        <f t="shared" si="364"/>
        <v>100</v>
      </c>
      <c r="BD304" s="30">
        <f t="shared" si="401"/>
        <v>1</v>
      </c>
      <c r="BE304" s="190">
        <f>113871820+60102883</f>
        <v>173974703</v>
      </c>
      <c r="BF304" s="190">
        <v>20749438</v>
      </c>
      <c r="BG304" s="54">
        <v>2470884</v>
      </c>
      <c r="BH304" s="191">
        <f t="shared" si="350"/>
        <v>194724141</v>
      </c>
      <c r="BI304" s="178">
        <f t="shared" si="351"/>
        <v>1.2689150853668421</v>
      </c>
      <c r="BJ304" s="294" t="str">
        <f t="shared" si="365"/>
        <v>비제조/서비스업</v>
      </c>
      <c r="BK304" s="192">
        <f t="shared" si="366"/>
        <v>1.7464434573900924</v>
      </c>
      <c r="BL304" s="193">
        <f t="shared" si="367"/>
        <v>-0.47752837202325038</v>
      </c>
      <c r="BM304" s="241">
        <f t="shared" si="368"/>
        <v>80</v>
      </c>
      <c r="BN304" s="47">
        <f t="shared" si="369"/>
        <v>1.6</v>
      </c>
      <c r="BO304" s="54">
        <v>3918000</v>
      </c>
      <c r="BP304" s="194">
        <f t="shared" si="352"/>
        <v>0.23663519265800068</v>
      </c>
      <c r="BQ304" s="179">
        <f t="shared" si="370"/>
        <v>55</v>
      </c>
      <c r="BR304" s="30">
        <f t="shared" si="402"/>
        <v>1.1000000000000001</v>
      </c>
      <c r="BS304" s="195">
        <v>139827076</v>
      </c>
      <c r="BT304" s="195">
        <v>510119</v>
      </c>
      <c r="BU304" s="196">
        <f t="shared" si="371"/>
        <v>139316957</v>
      </c>
      <c r="BV304" s="178">
        <f t="shared" si="353"/>
        <v>8.4143172435480853</v>
      </c>
      <c r="BW304" s="192">
        <f t="shared" si="372"/>
        <v>2.8482825397737606</v>
      </c>
      <c r="BX304" s="192">
        <f t="shared" si="373"/>
        <v>30.980742323620131</v>
      </c>
      <c r="BY304" s="192">
        <f t="shared" si="374"/>
        <v>5.5697595856656799</v>
      </c>
      <c r="BZ304" s="192">
        <f t="shared" si="375"/>
        <v>15.881713053330005</v>
      </c>
      <c r="CA304" s="192">
        <f t="shared" si="354"/>
        <v>70</v>
      </c>
      <c r="CB304" s="55">
        <f t="shared" si="376"/>
        <v>1.4000000000000001</v>
      </c>
      <c r="CC304" s="197">
        <f t="shared" si="403"/>
        <v>85.052141790186596</v>
      </c>
      <c r="CD304" s="198">
        <f t="shared" si="404"/>
        <v>68.32205711425128</v>
      </c>
      <c r="CE304" s="58">
        <f t="shared" si="405"/>
        <v>1.0248308567137692</v>
      </c>
      <c r="CF304" s="245" t="s">
        <v>2326</v>
      </c>
      <c r="CG304" s="245" t="s">
        <v>2326</v>
      </c>
      <c r="CH304" s="245" t="s">
        <v>2326</v>
      </c>
      <c r="CI304" s="245" t="s">
        <v>2326</v>
      </c>
      <c r="CJ304" s="235"/>
      <c r="CK304" s="173" t="s">
        <v>2525</v>
      </c>
      <c r="CL304" s="173" t="s">
        <v>2484</v>
      </c>
      <c r="CM304" s="199">
        <f t="shared" si="377"/>
        <v>100</v>
      </c>
      <c r="CN304" s="58">
        <f t="shared" si="406"/>
        <v>1.5</v>
      </c>
      <c r="CO304" s="54">
        <v>1990464000</v>
      </c>
      <c r="CP304" s="186">
        <f t="shared" si="355"/>
        <v>47.540073814969794</v>
      </c>
      <c r="CQ304" s="179">
        <f t="shared" si="378"/>
        <v>40</v>
      </c>
      <c r="CR304" s="30">
        <f t="shared" si="407"/>
        <v>1.2</v>
      </c>
      <c r="CS304" s="200">
        <f>_xlfn.XLOOKUP(C304, '1-1. 관계사체무보증금액 (환율 등)'!$3:$3, '1-1. 관계사체무보증금액 (환율 등)'!$33:$33)</f>
        <v>0</v>
      </c>
      <c r="CT304" s="178">
        <f t="shared" si="356"/>
        <v>0</v>
      </c>
      <c r="CU304" s="179">
        <f t="shared" si="379"/>
        <v>100</v>
      </c>
      <c r="CV304" s="30">
        <f t="shared" si="408"/>
        <v>2</v>
      </c>
      <c r="CW304" s="72">
        <f t="shared" si="384"/>
        <v>18.693288375286858</v>
      </c>
    </row>
    <row r="305" spans="1:101" x14ac:dyDescent="0.6">
      <c r="A305" s="214" t="s">
        <v>918</v>
      </c>
      <c r="B305" s="13" t="s">
        <v>2286</v>
      </c>
      <c r="C305" s="219" t="s">
        <v>848</v>
      </c>
      <c r="D305" s="216" t="s">
        <v>202</v>
      </c>
      <c r="E305" s="217" t="s">
        <v>575</v>
      </c>
      <c r="F305" s="217" t="s">
        <v>0</v>
      </c>
      <c r="G305" s="218">
        <v>35249</v>
      </c>
      <c r="H305" s="217" t="s">
        <v>830</v>
      </c>
      <c r="I305" s="217" t="s">
        <v>678</v>
      </c>
      <c r="J305" s="217" t="s">
        <v>383</v>
      </c>
      <c r="K305" s="217" t="s">
        <v>317</v>
      </c>
      <c r="L305" s="220">
        <v>2341218033</v>
      </c>
      <c r="M305" s="206">
        <v>1123345096</v>
      </c>
      <c r="N305" s="206">
        <v>1217872936</v>
      </c>
      <c r="O305" s="206">
        <v>1657192106</v>
      </c>
      <c r="P305" s="206">
        <v>70857294</v>
      </c>
      <c r="Q305" s="206">
        <v>155414095</v>
      </c>
      <c r="R305" s="206">
        <v>119214196</v>
      </c>
      <c r="S305" s="207">
        <v>40815191</v>
      </c>
      <c r="T305" s="207">
        <v>1032347</v>
      </c>
      <c r="U305" s="207">
        <f>4331171+3196209</f>
        <v>7527380</v>
      </c>
      <c r="V305" s="207">
        <f>2245540+128313+39120+138421+6114+12730</f>
        <v>2570238</v>
      </c>
      <c r="W305" s="207">
        <f>122791+15471+7009+1750+1200+4587+2529+4260+1437+8557+2529+3868+7009+556+4587+4552+787+4260+300+1452+1411+2058</f>
        <v>202960</v>
      </c>
      <c r="X305" s="207">
        <v>560352</v>
      </c>
      <c r="Y305" s="208" t="s">
        <v>2472</v>
      </c>
      <c r="Z305" s="207">
        <v>6525</v>
      </c>
      <c r="AA305" s="207">
        <v>0</v>
      </c>
      <c r="AB305" s="176">
        <f t="shared" si="380"/>
        <v>10867455</v>
      </c>
      <c r="AC305" s="177">
        <f t="shared" si="357"/>
        <v>26.626005498785975</v>
      </c>
      <c r="AD305" s="177">
        <f t="shared" si="381"/>
        <v>77.106439442934999</v>
      </c>
      <c r="AE305" s="26">
        <f t="shared" si="397"/>
        <v>2.3131931832880497</v>
      </c>
      <c r="AF305" s="178">
        <f t="shared" si="358"/>
        <v>25.381840473747928</v>
      </c>
      <c r="AG305" s="178">
        <f t="shared" si="359"/>
        <v>27.316938427026482</v>
      </c>
      <c r="AH305" s="178">
        <f t="shared" si="382"/>
        <v>1.9350979532785537</v>
      </c>
      <c r="AI305" s="179">
        <f t="shared" si="383"/>
        <v>100</v>
      </c>
      <c r="AJ305" s="30">
        <f t="shared" si="398"/>
        <v>4</v>
      </c>
      <c r="AK305" s="204">
        <v>7</v>
      </c>
      <c r="AL305" s="204">
        <v>30</v>
      </c>
      <c r="AM305" s="204">
        <v>1</v>
      </c>
      <c r="AN305" s="181">
        <f t="shared" si="344"/>
        <v>37</v>
      </c>
      <c r="AO305" s="182">
        <f t="shared" si="345"/>
        <v>2.7027027027027026</v>
      </c>
      <c r="AP305" s="183">
        <f t="shared" si="360"/>
        <v>100</v>
      </c>
      <c r="AQ305" s="38">
        <f t="shared" si="399"/>
        <v>2</v>
      </c>
      <c r="AR305" s="212">
        <v>4</v>
      </c>
      <c r="AS305" s="292">
        <f t="shared" si="346"/>
        <v>0.5</v>
      </c>
      <c r="AT305" s="185">
        <f t="shared" si="347"/>
        <v>3.5</v>
      </c>
      <c r="AU305" s="185">
        <f t="shared" si="361"/>
        <v>3</v>
      </c>
      <c r="AV305" s="186">
        <f t="shared" si="348"/>
        <v>14.285714285714285</v>
      </c>
      <c r="AW305" s="179">
        <f t="shared" si="362"/>
        <v>60</v>
      </c>
      <c r="AX305" s="239">
        <f t="shared" si="400"/>
        <v>0.6</v>
      </c>
      <c r="AY305" s="54">
        <v>12</v>
      </c>
      <c r="AZ305" s="54">
        <f>12*4-1</f>
        <v>47</v>
      </c>
      <c r="BA305" s="189">
        <f t="shared" si="349"/>
        <v>48</v>
      </c>
      <c r="BB305" s="178">
        <f t="shared" si="363"/>
        <v>97.916666666666657</v>
      </c>
      <c r="BC305" s="179">
        <f t="shared" si="364"/>
        <v>100</v>
      </c>
      <c r="BD305" s="30">
        <f t="shared" si="401"/>
        <v>1</v>
      </c>
      <c r="BE305" s="190">
        <v>59801747</v>
      </c>
      <c r="BF305" s="190">
        <v>5020806</v>
      </c>
      <c r="BG305" s="301">
        <v>0</v>
      </c>
      <c r="BH305" s="191">
        <f t="shared" si="350"/>
        <v>64822553</v>
      </c>
      <c r="BI305" s="178">
        <f t="shared" si="351"/>
        <v>0</v>
      </c>
      <c r="BJ305" s="294" t="str">
        <f t="shared" si="365"/>
        <v>전기전자/기계업</v>
      </c>
      <c r="BK305" s="192">
        <f t="shared" si="366"/>
        <v>2.4096449716116455</v>
      </c>
      <c r="BL305" s="193">
        <f t="shared" si="367"/>
        <v>-2.4096449716116455</v>
      </c>
      <c r="BM305" s="241">
        <f t="shared" si="368"/>
        <v>100</v>
      </c>
      <c r="BN305" s="47">
        <f t="shared" si="369"/>
        <v>2</v>
      </c>
      <c r="BO305" s="54">
        <f>(24153-1030)*1000</f>
        <v>23123000</v>
      </c>
      <c r="BP305" s="194">
        <f t="shared" si="352"/>
        <v>1.3953119808066476</v>
      </c>
      <c r="BQ305" s="179">
        <f t="shared" si="370"/>
        <v>70</v>
      </c>
      <c r="BR305" s="30">
        <f t="shared" si="402"/>
        <v>1.4000000000000001</v>
      </c>
      <c r="BS305" s="195">
        <v>91802003.091000006</v>
      </c>
      <c r="BT305" s="195">
        <v>94021579.384000003</v>
      </c>
      <c r="BU305" s="196">
        <f t="shared" si="371"/>
        <v>-2219576.2929999977</v>
      </c>
      <c r="BV305" s="178">
        <f t="shared" si="353"/>
        <v>-0.13393596825400261</v>
      </c>
      <c r="BW305" s="192">
        <f t="shared" si="372"/>
        <v>5.2309968128308268</v>
      </c>
      <c r="BX305" s="192">
        <f t="shared" si="373"/>
        <v>28.7825037455586</v>
      </c>
      <c r="BY305" s="192">
        <f t="shared" si="374"/>
        <v>7.0695458012309622</v>
      </c>
      <c r="BZ305" s="192">
        <f t="shared" si="375"/>
        <v>77.603765300747639</v>
      </c>
      <c r="CA305" s="192">
        <f t="shared" si="354"/>
        <v>40</v>
      </c>
      <c r="CB305" s="55">
        <f t="shared" si="376"/>
        <v>0.8</v>
      </c>
      <c r="CC305" s="197">
        <f t="shared" si="403"/>
        <v>92.23828387955902</v>
      </c>
      <c r="CD305" s="198">
        <f t="shared" si="404"/>
        <v>65.613712105693835</v>
      </c>
      <c r="CE305" s="58">
        <f t="shared" si="405"/>
        <v>0.98420568158540744</v>
      </c>
      <c r="CF305" s="245" t="s">
        <v>2326</v>
      </c>
      <c r="CG305" s="245" t="s">
        <v>2326</v>
      </c>
      <c r="CH305" s="245" t="s">
        <v>2326</v>
      </c>
      <c r="CI305" s="245" t="s">
        <v>2326</v>
      </c>
      <c r="CJ305" s="235"/>
      <c r="CK305" s="173" t="s">
        <v>2537</v>
      </c>
      <c r="CL305" s="173" t="s">
        <v>2482</v>
      </c>
      <c r="CM305" s="199">
        <f t="shared" si="377"/>
        <v>55</v>
      </c>
      <c r="CN305" s="58">
        <f t="shared" si="406"/>
        <v>0.82499999999999996</v>
      </c>
      <c r="CO305" s="54">
        <v>360772000</v>
      </c>
      <c r="CP305" s="186">
        <f t="shared" si="355"/>
        <v>29.623123179411881</v>
      </c>
      <c r="CQ305" s="179">
        <f t="shared" si="378"/>
        <v>60</v>
      </c>
      <c r="CR305" s="30">
        <f t="shared" si="407"/>
        <v>1.7999999999999998</v>
      </c>
      <c r="CS305" s="200">
        <f>_xlfn.XLOOKUP(C305, '1-1. 관계사체무보증금액 (환율 등)'!$3:$3, '1-1. 관계사체무보증금액 (환율 등)'!$33:$33)</f>
        <v>170386087.45684695</v>
      </c>
      <c r="CT305" s="178">
        <f t="shared" si="356"/>
        <v>13.990465049372519</v>
      </c>
      <c r="CU305" s="179">
        <f t="shared" si="379"/>
        <v>60</v>
      </c>
      <c r="CV305" s="30">
        <f t="shared" si="408"/>
        <v>1.2</v>
      </c>
      <c r="CW305" s="72">
        <f t="shared" si="384"/>
        <v>18.922398864873458</v>
      </c>
    </row>
    <row r="306" spans="1:101" x14ac:dyDescent="0.6">
      <c r="A306" s="214" t="s">
        <v>502</v>
      </c>
      <c r="B306" s="13" t="s">
        <v>2287</v>
      </c>
      <c r="C306" s="219" t="s">
        <v>465</v>
      </c>
      <c r="D306" s="216" t="s">
        <v>285</v>
      </c>
      <c r="E306" s="217" t="s">
        <v>605</v>
      </c>
      <c r="F306" s="217" t="s">
        <v>386</v>
      </c>
      <c r="G306" s="218">
        <v>43552</v>
      </c>
      <c r="H306" s="217" t="s">
        <v>830</v>
      </c>
      <c r="I306" s="217" t="s">
        <v>822</v>
      </c>
      <c r="J306" s="217" t="s">
        <v>655</v>
      </c>
      <c r="K306" s="217" t="s">
        <v>91</v>
      </c>
      <c r="L306" s="220">
        <v>2408631121</v>
      </c>
      <c r="M306" s="206">
        <v>987330400</v>
      </c>
      <c r="N306" s="206">
        <v>1421300721</v>
      </c>
      <c r="O306" s="206">
        <v>2240816395</v>
      </c>
      <c r="P306" s="206">
        <v>124351998</v>
      </c>
      <c r="Q306" s="206">
        <v>138563322</v>
      </c>
      <c r="R306" s="206">
        <v>106628632</v>
      </c>
      <c r="S306" s="207">
        <v>27423982</v>
      </c>
      <c r="T306" s="207">
        <v>866</v>
      </c>
      <c r="U306" s="207">
        <f>8664334+2010000</f>
        <v>10674334</v>
      </c>
      <c r="V306" s="207">
        <v>0</v>
      </c>
      <c r="W306" s="207">
        <f>3100+150+500+200+1000+100+38169+200+126+222+150*2+300+200</f>
        <v>44567</v>
      </c>
      <c r="X306" s="207">
        <v>0</v>
      </c>
      <c r="Z306" s="207">
        <f>4453927+5520277</f>
        <v>9974204</v>
      </c>
      <c r="AA306" s="207">
        <v>0</v>
      </c>
      <c r="AB306" s="176">
        <f t="shared" si="380"/>
        <v>20693105</v>
      </c>
      <c r="AC306" s="177">
        <f t="shared" si="357"/>
        <v>75.456237536912042</v>
      </c>
      <c r="AD306" s="177">
        <f t="shared" si="381"/>
        <v>34.962971055599496</v>
      </c>
      <c r="AE306" s="26">
        <f t="shared" si="397"/>
        <v>1.0488891316679849</v>
      </c>
      <c r="AF306" s="178">
        <f t="shared" si="358"/>
        <v>38.924584646033658</v>
      </c>
      <c r="AG306" s="178">
        <f t="shared" si="359"/>
        <v>75.458620384350198</v>
      </c>
      <c r="AH306" s="178">
        <f t="shared" si="382"/>
        <v>36.53403573831654</v>
      </c>
      <c r="AI306" s="179">
        <f t="shared" si="383"/>
        <v>60</v>
      </c>
      <c r="AJ306" s="30">
        <f t="shared" si="398"/>
        <v>2.4</v>
      </c>
      <c r="AK306" s="204">
        <v>7</v>
      </c>
      <c r="AL306" s="204">
        <v>17</v>
      </c>
      <c r="AM306" s="204">
        <v>0</v>
      </c>
      <c r="AN306" s="181">
        <f t="shared" si="344"/>
        <v>24</v>
      </c>
      <c r="AO306" s="182">
        <f t="shared" si="345"/>
        <v>0</v>
      </c>
      <c r="AP306" s="183">
        <f t="shared" si="360"/>
        <v>100</v>
      </c>
      <c r="AQ306" s="38">
        <f t="shared" si="399"/>
        <v>2</v>
      </c>
      <c r="AR306" s="212">
        <v>4</v>
      </c>
      <c r="AS306" s="292">
        <f t="shared" si="346"/>
        <v>0.5</v>
      </c>
      <c r="AT306" s="185">
        <f t="shared" si="347"/>
        <v>3.5</v>
      </c>
      <c r="AU306" s="185">
        <f t="shared" si="361"/>
        <v>3</v>
      </c>
      <c r="AV306" s="186">
        <f t="shared" si="348"/>
        <v>14.285714285714285</v>
      </c>
      <c r="AW306" s="179">
        <f t="shared" si="362"/>
        <v>60</v>
      </c>
      <c r="AX306" s="239">
        <f t="shared" si="400"/>
        <v>0.6</v>
      </c>
      <c r="AY306" s="54">
        <v>7</v>
      </c>
      <c r="AZ306" s="54">
        <f>28-2</f>
        <v>26</v>
      </c>
      <c r="BA306" s="189">
        <f t="shared" si="349"/>
        <v>28</v>
      </c>
      <c r="BB306" s="178">
        <f t="shared" si="363"/>
        <v>92.857142857142861</v>
      </c>
      <c r="BC306" s="179">
        <f t="shared" si="364"/>
        <v>100</v>
      </c>
      <c r="BD306" s="30">
        <f t="shared" si="401"/>
        <v>1</v>
      </c>
      <c r="BE306" s="190">
        <v>50228358</v>
      </c>
      <c r="BF306" s="190">
        <v>4585487</v>
      </c>
      <c r="BG306" s="301">
        <v>0</v>
      </c>
      <c r="BH306" s="191">
        <f t="shared" si="350"/>
        <v>54813845</v>
      </c>
      <c r="BI306" s="178">
        <f t="shared" si="351"/>
        <v>0</v>
      </c>
      <c r="BJ306" s="294" t="str">
        <f t="shared" si="365"/>
        <v>비제조/서비스업</v>
      </c>
      <c r="BK306" s="192">
        <f t="shared" si="366"/>
        <v>1.7464434573900924</v>
      </c>
      <c r="BL306" s="193">
        <f t="shared" si="367"/>
        <v>-1.7464434573900924</v>
      </c>
      <c r="BM306" s="241">
        <f t="shared" si="368"/>
        <v>80</v>
      </c>
      <c r="BN306" s="47">
        <f t="shared" si="369"/>
        <v>1.6</v>
      </c>
      <c r="BO306" s="54">
        <v>58078842</v>
      </c>
      <c r="BP306" s="194">
        <f t="shared" si="352"/>
        <v>2.5918608115146355</v>
      </c>
      <c r="BQ306" s="179">
        <f t="shared" si="370"/>
        <v>85</v>
      </c>
      <c r="BR306" s="30">
        <f t="shared" si="402"/>
        <v>1.7</v>
      </c>
      <c r="BS306" s="195">
        <v>34508754.673</v>
      </c>
      <c r="BT306" s="195">
        <v>252227.193</v>
      </c>
      <c r="BU306" s="196">
        <f t="shared" si="371"/>
        <v>34256527.479999997</v>
      </c>
      <c r="BV306" s="178">
        <f t="shared" si="353"/>
        <v>1.5287520903737406</v>
      </c>
      <c r="BW306" s="192">
        <f t="shared" si="372"/>
        <v>2.8482825397737606</v>
      </c>
      <c r="BX306" s="192">
        <f t="shared" si="373"/>
        <v>1.7411606068938186</v>
      </c>
      <c r="BY306" s="192">
        <f t="shared" si="374"/>
        <v>5.5697595856656799</v>
      </c>
      <c r="BZ306" s="192">
        <f t="shared" si="375"/>
        <v>59.363660391147313</v>
      </c>
      <c r="CA306" s="192">
        <f t="shared" si="354"/>
        <v>55</v>
      </c>
      <c r="CB306" s="55">
        <f t="shared" si="376"/>
        <v>1.1000000000000001</v>
      </c>
      <c r="CC306" s="197">
        <f t="shared" si="403"/>
        <v>69.466678332881813</v>
      </c>
      <c r="CD306" s="198">
        <f t="shared" si="404"/>
        <v>74.195975502682728</v>
      </c>
      <c r="CE306" s="58">
        <f t="shared" si="405"/>
        <v>1.112939632540241</v>
      </c>
      <c r="CF306" s="245" t="s">
        <v>2326</v>
      </c>
      <c r="CG306" s="245" t="s">
        <v>2326</v>
      </c>
      <c r="CH306" s="245" t="s">
        <v>2326</v>
      </c>
      <c r="CI306" s="245" t="s">
        <v>2326</v>
      </c>
      <c r="CJ306" s="235"/>
      <c r="CK306" s="173" t="s">
        <v>2523</v>
      </c>
      <c r="CL306" s="173" t="s">
        <v>2487</v>
      </c>
      <c r="CM306" s="199">
        <f t="shared" si="377"/>
        <v>70</v>
      </c>
      <c r="CN306" s="58">
        <f t="shared" si="406"/>
        <v>1.05</v>
      </c>
      <c r="CO306" s="54">
        <v>23827168</v>
      </c>
      <c r="CP306" s="186">
        <f t="shared" si="355"/>
        <v>1.6764339627743003</v>
      </c>
      <c r="CQ306" s="179">
        <f t="shared" si="378"/>
        <v>100</v>
      </c>
      <c r="CR306" s="30">
        <f t="shared" si="407"/>
        <v>3</v>
      </c>
      <c r="CS306" s="200">
        <f>_xlfn.XLOOKUP(C306, '1-1. 관계사체무보증금액 (환율 등)'!$3:$3, '1-1. 관계사체무보증금액 (환율 등)'!$33:$33)</f>
        <v>0</v>
      </c>
      <c r="CT306" s="178">
        <f t="shared" si="356"/>
        <v>0</v>
      </c>
      <c r="CU306" s="179">
        <f t="shared" si="379"/>
        <v>100</v>
      </c>
      <c r="CV306" s="30">
        <f t="shared" si="408"/>
        <v>2</v>
      </c>
      <c r="CW306" s="72">
        <f t="shared" si="384"/>
        <v>18.611828764208227</v>
      </c>
    </row>
    <row r="307" spans="1:101" x14ac:dyDescent="0.6">
      <c r="A307" s="214" t="s">
        <v>931</v>
      </c>
      <c r="B307" s="13" t="s">
        <v>2288</v>
      </c>
      <c r="C307" s="219" t="s">
        <v>466</v>
      </c>
      <c r="D307" s="216" t="s">
        <v>202</v>
      </c>
      <c r="E307" s="217" t="s">
        <v>996</v>
      </c>
      <c r="F307" s="217" t="s">
        <v>2</v>
      </c>
      <c r="G307" s="218">
        <v>27208</v>
      </c>
      <c r="H307" s="217" t="s">
        <v>830</v>
      </c>
      <c r="I307" s="217" t="s">
        <v>1148</v>
      </c>
      <c r="J307" s="217" t="s">
        <v>1143</v>
      </c>
      <c r="K307" s="217" t="s">
        <v>91</v>
      </c>
      <c r="L307" s="220">
        <v>83412349000</v>
      </c>
      <c r="M307" s="206">
        <v>27656534000</v>
      </c>
      <c r="N307" s="206">
        <v>55755815000</v>
      </c>
      <c r="O307" s="206">
        <v>65308350000</v>
      </c>
      <c r="P307" s="206">
        <v>2828569000</v>
      </c>
      <c r="Q307" s="206">
        <v>4175475000</v>
      </c>
      <c r="R307" s="206">
        <v>3701958000</v>
      </c>
      <c r="S307" s="207">
        <v>213668187</v>
      </c>
      <c r="T307" s="207">
        <v>11408711</v>
      </c>
      <c r="U307" s="207">
        <f>45782023+5598478</f>
        <v>51380501</v>
      </c>
      <c r="V307" s="207">
        <f>11395859+1445+1445</f>
        <v>11398749</v>
      </c>
      <c r="W307" s="207">
        <f>400+858+500+370+730+239+240+135+130+335+30+535+185+420+575+105+170+70+300+50+313+130+150+35+365+128+250+120+135+75+50+205+75+765+30+730+550+70+235+229+1200+350+500+220+354+100+65+135*2+140+220+75+305+335+135+30+499+135*2+160+209+111+205+505+20+90+20+130+565+20+140+20+20+120+155+500+320+140+10+165+200+716+65+100+165+451+135+50+110+180+535+180+125+30+30+100+65+85+165+300+280+100+10+600+340+447+60+250+150+411+50+100+100+30+200+165+95+65+69+130+136+294+50+253+130+89+580+135+5+30+402+200+300+50+130+1010+115+30+55+30+30+10+130+180+600+155+95+30+5+11+390+30+95+65+30+663+215+210+85+30+270+198+150+30+65+150+215+536+30+60+335+90+165+100+30+180+347+30+566+135+415+100+53+30+52+135+175+30+30+165+42+60+165+160+135+30+165*2+135+167+1105+30+80+30+4+10+50+60+165+30+20+135+5+70+165+165+365+84+274+90+1315+5+5+135+35+5+5+10+147+15+5+5+5+170+70+5+93+5+200+70+105+135+35+165+238+36+35+5</f>
        <v>46319</v>
      </c>
      <c r="X307" s="207">
        <v>0</v>
      </c>
      <c r="Z307" s="207">
        <v>0</v>
      </c>
      <c r="AA307" s="207">
        <v>0</v>
      </c>
      <c r="AB307" s="176">
        <f t="shared" si="380"/>
        <v>62825569</v>
      </c>
      <c r="AC307" s="177">
        <f t="shared" si="357"/>
        <v>29.403333215908273</v>
      </c>
      <c r="AD307" s="177">
        <f t="shared" si="381"/>
        <v>74.709436234831756</v>
      </c>
      <c r="AE307" s="26">
        <f t="shared" si="397"/>
        <v>2.2412830870449527</v>
      </c>
      <c r="AF307" s="178">
        <f t="shared" si="358"/>
        <v>31.03896600622064</v>
      </c>
      <c r="AG307" s="178">
        <f t="shared" si="359"/>
        <v>31.061866787393438</v>
      </c>
      <c r="AH307" s="178">
        <f t="shared" si="382"/>
        <v>2.290078117279748E-2</v>
      </c>
      <c r="AI307" s="179">
        <f t="shared" si="383"/>
        <v>100</v>
      </c>
      <c r="AJ307" s="30">
        <f t="shared" si="398"/>
        <v>4</v>
      </c>
      <c r="AK307" s="204">
        <v>11</v>
      </c>
      <c r="AL307" s="204">
        <v>379</v>
      </c>
      <c r="AM307" s="204">
        <v>1</v>
      </c>
      <c r="AN307" s="181">
        <f t="shared" si="344"/>
        <v>390</v>
      </c>
      <c r="AO307" s="182">
        <f t="shared" si="345"/>
        <v>0.25641025641025639</v>
      </c>
      <c r="AP307" s="183">
        <f t="shared" si="360"/>
        <v>100</v>
      </c>
      <c r="AQ307" s="38">
        <f t="shared" si="399"/>
        <v>2</v>
      </c>
      <c r="AR307" s="212">
        <v>6</v>
      </c>
      <c r="AS307" s="292">
        <f t="shared" si="346"/>
        <v>0.5</v>
      </c>
      <c r="AT307" s="185">
        <f t="shared" si="347"/>
        <v>5.5</v>
      </c>
      <c r="AU307" s="185">
        <f t="shared" si="361"/>
        <v>5</v>
      </c>
      <c r="AV307" s="186">
        <f t="shared" si="348"/>
        <v>9.0909090909090917</v>
      </c>
      <c r="AW307" s="179">
        <f t="shared" si="362"/>
        <v>60</v>
      </c>
      <c r="AX307" s="239">
        <f t="shared" si="400"/>
        <v>0.6</v>
      </c>
      <c r="AY307" s="54">
        <v>9</v>
      </c>
      <c r="AZ307" s="54">
        <v>54</v>
      </c>
      <c r="BA307" s="189">
        <f t="shared" si="349"/>
        <v>54</v>
      </c>
      <c r="BB307" s="178">
        <f t="shared" si="363"/>
        <v>100</v>
      </c>
      <c r="BC307" s="179">
        <f t="shared" si="364"/>
        <v>100</v>
      </c>
      <c r="BD307" s="30">
        <f t="shared" si="401"/>
        <v>1</v>
      </c>
      <c r="BE307" s="190">
        <v>1687960000</v>
      </c>
      <c r="BF307" s="190">
        <v>116939000</v>
      </c>
      <c r="BG307" s="301">
        <v>0</v>
      </c>
      <c r="BH307" s="191">
        <f t="shared" si="350"/>
        <v>1804899000</v>
      </c>
      <c r="BI307" s="178">
        <f t="shared" si="351"/>
        <v>0</v>
      </c>
      <c r="BJ307" s="294" t="str">
        <f t="shared" si="365"/>
        <v>전기전자/기계업</v>
      </c>
      <c r="BK307" s="192">
        <f t="shared" si="366"/>
        <v>2.4096449716116455</v>
      </c>
      <c r="BL307" s="193">
        <f t="shared" si="367"/>
        <v>-2.4096449716116455</v>
      </c>
      <c r="BM307" s="241">
        <f t="shared" si="368"/>
        <v>100</v>
      </c>
      <c r="BN307" s="47">
        <f t="shared" si="369"/>
        <v>2</v>
      </c>
      <c r="BO307" s="54">
        <f>(3340589-4016)*1000</f>
        <v>3336573000</v>
      </c>
      <c r="BP307" s="194">
        <f t="shared" si="352"/>
        <v>5.1089531430513864</v>
      </c>
      <c r="BQ307" s="179">
        <f t="shared" si="370"/>
        <v>100</v>
      </c>
      <c r="BR307" s="30">
        <f t="shared" si="402"/>
        <v>2</v>
      </c>
      <c r="BS307" s="195">
        <v>2178158000</v>
      </c>
      <c r="BT307" s="195">
        <v>57554000</v>
      </c>
      <c r="BU307" s="196">
        <f t="shared" si="371"/>
        <v>2120604000</v>
      </c>
      <c r="BV307" s="178">
        <f t="shared" si="353"/>
        <v>3.2470641196722929</v>
      </c>
      <c r="BW307" s="192">
        <f t="shared" si="372"/>
        <v>5.2309968128308268</v>
      </c>
      <c r="BX307" s="192">
        <f t="shared" si="373"/>
        <v>3.9359889309832736</v>
      </c>
      <c r="BY307" s="192">
        <f t="shared" si="374"/>
        <v>7.0695458012309622</v>
      </c>
      <c r="BZ307" s="192">
        <f t="shared" si="375"/>
        <v>61.050322668458847</v>
      </c>
      <c r="CA307" s="192">
        <f t="shared" si="354"/>
        <v>40</v>
      </c>
      <c r="CB307" s="55">
        <f t="shared" si="376"/>
        <v>0.8</v>
      </c>
      <c r="CC307" s="197">
        <f t="shared" si="403"/>
        <v>49.60295890213424</v>
      </c>
      <c r="CD307" s="198">
        <f t="shared" si="404"/>
        <v>81.682301921306191</v>
      </c>
      <c r="CE307" s="58">
        <f t="shared" si="405"/>
        <v>1.2252345288195927</v>
      </c>
      <c r="CF307" s="245" t="s">
        <v>2326</v>
      </c>
      <c r="CG307" s="245" t="s">
        <v>2326</v>
      </c>
      <c r="CH307" s="245" t="s">
        <v>2326</v>
      </c>
      <c r="CI307" s="245" t="s">
        <v>2326</v>
      </c>
      <c r="CJ307" s="235"/>
      <c r="CK307" s="173" t="s">
        <v>2536</v>
      </c>
      <c r="CL307" s="173" t="s">
        <v>2477</v>
      </c>
      <c r="CM307" s="199">
        <f t="shared" si="377"/>
        <v>85</v>
      </c>
      <c r="CN307" s="58">
        <f t="shared" si="406"/>
        <v>1.2749999999999999</v>
      </c>
      <c r="CO307" s="54">
        <v>21928209000</v>
      </c>
      <c r="CP307" s="186">
        <f t="shared" si="355"/>
        <v>39.329008104356475</v>
      </c>
      <c r="CQ307" s="179">
        <f t="shared" si="378"/>
        <v>40</v>
      </c>
      <c r="CR307" s="30">
        <f t="shared" si="407"/>
        <v>1.2</v>
      </c>
      <c r="CS307" s="200">
        <f>_xlfn.XLOOKUP(C307, '1-1. 관계사체무보증금액 (환율 등)'!$3:$3, '1-1. 관계사체무보증금액 (환율 등)'!$33:$33)</f>
        <v>1064160000</v>
      </c>
      <c r="CT307" s="178">
        <f t="shared" si="356"/>
        <v>1.9086080976486488</v>
      </c>
      <c r="CU307" s="179">
        <f t="shared" si="379"/>
        <v>100</v>
      </c>
      <c r="CV307" s="30">
        <f t="shared" si="408"/>
        <v>2</v>
      </c>
      <c r="CW307" s="72">
        <f t="shared" si="384"/>
        <v>20.341517615864543</v>
      </c>
    </row>
    <row r="308" spans="1:101" x14ac:dyDescent="0.6">
      <c r="A308" s="214" t="s">
        <v>373</v>
      </c>
      <c r="B308" s="13" t="s">
        <v>2289</v>
      </c>
      <c r="C308" s="219" t="s">
        <v>473</v>
      </c>
      <c r="D308" s="221" t="s">
        <v>350</v>
      </c>
      <c r="E308" s="217" t="s">
        <v>179</v>
      </c>
      <c r="F308" s="217" t="s">
        <v>648</v>
      </c>
      <c r="G308" s="218">
        <v>33033</v>
      </c>
      <c r="H308" s="217" t="s">
        <v>830</v>
      </c>
      <c r="I308" s="217" t="s">
        <v>826</v>
      </c>
      <c r="J308" s="217" t="s">
        <v>979</v>
      </c>
      <c r="K308" s="217" t="s">
        <v>91</v>
      </c>
      <c r="L308" s="220">
        <v>9431771000</v>
      </c>
      <c r="M308" s="206">
        <v>8215533000</v>
      </c>
      <c r="N308" s="206">
        <v>1216238000</v>
      </c>
      <c r="O308" s="206">
        <v>1147815000</v>
      </c>
      <c r="P308" s="206">
        <v>107043000</v>
      </c>
      <c r="Q308" s="206">
        <v>107816000</v>
      </c>
      <c r="R308" s="206">
        <v>80172000</v>
      </c>
      <c r="S308" s="207">
        <v>31712562</v>
      </c>
      <c r="T308" s="207">
        <v>0</v>
      </c>
      <c r="U308" s="207">
        <v>8065595</v>
      </c>
      <c r="V308" s="207">
        <v>0</v>
      </c>
      <c r="W308" s="207">
        <f>5900+1000+6000+8800+400+500+1500+350+4100+898+1000+4000+1000+1150+1000</f>
        <v>37598</v>
      </c>
      <c r="X308" s="207">
        <v>0</v>
      </c>
      <c r="Z308" s="207">
        <f>4983200+1438449</f>
        <v>6421649</v>
      </c>
      <c r="AA308" s="207">
        <v>0</v>
      </c>
      <c r="AB308" s="176">
        <f t="shared" si="380"/>
        <v>14524842</v>
      </c>
      <c r="AC308" s="177">
        <f t="shared" si="357"/>
        <v>45.801540726983838</v>
      </c>
      <c r="AD308" s="177">
        <f t="shared" si="381"/>
        <v>60.556783031947212</v>
      </c>
      <c r="AE308" s="60">
        <f>AD308*0.04</f>
        <v>2.4222713212778886</v>
      </c>
      <c r="AF308" s="178">
        <f t="shared" si="358"/>
        <v>25.433438648066343</v>
      </c>
      <c r="AG308" s="178">
        <f t="shared" si="359"/>
        <v>45.801540726983838</v>
      </c>
      <c r="AH308" s="178">
        <f t="shared" si="382"/>
        <v>20.368102078917495</v>
      </c>
      <c r="AI308" s="179">
        <f t="shared" si="383"/>
        <v>80</v>
      </c>
      <c r="AJ308" s="61">
        <f>AI308*0.05</f>
        <v>4</v>
      </c>
      <c r="AK308" s="204">
        <v>5</v>
      </c>
      <c r="AL308" s="204">
        <v>31</v>
      </c>
      <c r="AM308" s="204">
        <v>0</v>
      </c>
      <c r="AN308" s="181">
        <f t="shared" si="344"/>
        <v>36</v>
      </c>
      <c r="AO308" s="182">
        <f t="shared" si="345"/>
        <v>0</v>
      </c>
      <c r="AP308" s="183">
        <f t="shared" si="360"/>
        <v>100</v>
      </c>
      <c r="AQ308" s="62">
        <f>AP308*0.03</f>
        <v>3</v>
      </c>
      <c r="AR308" s="212">
        <v>3</v>
      </c>
      <c r="AS308" s="292">
        <f t="shared" si="346"/>
        <v>0.5</v>
      </c>
      <c r="AT308" s="185">
        <f t="shared" si="347"/>
        <v>2.5</v>
      </c>
      <c r="AU308" s="185">
        <f t="shared" si="361"/>
        <v>2</v>
      </c>
      <c r="AV308" s="186">
        <f t="shared" si="348"/>
        <v>20</v>
      </c>
      <c r="AW308" s="179">
        <f t="shared" si="362"/>
        <v>80</v>
      </c>
      <c r="AX308" s="240">
        <f>AW308*0.02</f>
        <v>1.6</v>
      </c>
      <c r="AY308" s="54">
        <v>8</v>
      </c>
      <c r="AZ308" s="54">
        <v>24</v>
      </c>
      <c r="BA308" s="189">
        <f t="shared" si="349"/>
        <v>24</v>
      </c>
      <c r="BB308" s="178">
        <f t="shared" si="363"/>
        <v>100</v>
      </c>
      <c r="BC308" s="179">
        <f t="shared" si="364"/>
        <v>100</v>
      </c>
      <c r="BD308" s="61">
        <f>BC308*0.02</f>
        <v>2</v>
      </c>
      <c r="BE308" s="190">
        <f>(129541+228)*1000</f>
        <v>129769000</v>
      </c>
      <c r="BF308" s="190">
        <v>6614000</v>
      </c>
      <c r="BG308" s="54">
        <v>4537000</v>
      </c>
      <c r="BH308" s="191">
        <f t="shared" si="350"/>
        <v>136383000</v>
      </c>
      <c r="BI308" s="178">
        <f t="shared" si="351"/>
        <v>3.3266609474787914</v>
      </c>
      <c r="BJ308" s="294" t="str">
        <f t="shared" si="365"/>
        <v>금융업</v>
      </c>
      <c r="BK308" s="192">
        <f t="shared" si="366"/>
        <v>2.7106886075318837</v>
      </c>
      <c r="BL308" s="193">
        <f t="shared" si="367"/>
        <v>0.6159723399469077</v>
      </c>
      <c r="BM308" s="241">
        <f t="shared" si="368"/>
        <v>60</v>
      </c>
      <c r="BN308" s="47">
        <f t="shared" si="369"/>
        <v>1.2</v>
      </c>
      <c r="BO308" s="54">
        <v>0</v>
      </c>
      <c r="BP308" s="194">
        <f t="shared" si="352"/>
        <v>0</v>
      </c>
      <c r="BQ308" s="179">
        <f t="shared" si="370"/>
        <v>25</v>
      </c>
      <c r="BR308" s="61">
        <f>BQ308*0.01</f>
        <v>0.25</v>
      </c>
      <c r="BS308" s="195">
        <v>25310000</v>
      </c>
      <c r="BT308" s="195">
        <v>99000</v>
      </c>
      <c r="BU308" s="196">
        <f t="shared" si="371"/>
        <v>25211000</v>
      </c>
      <c r="BV308" s="178">
        <f t="shared" si="353"/>
        <v>2.1964340943444722</v>
      </c>
      <c r="BW308" s="192">
        <f t="shared" si="372"/>
        <v>0.39407896396795111</v>
      </c>
      <c r="BX308" s="192">
        <f t="shared" si="373"/>
        <v>3.248484015994566</v>
      </c>
      <c r="BY308" s="192">
        <f t="shared" si="374"/>
        <v>1.5698937849002934</v>
      </c>
      <c r="BZ308" s="192">
        <f t="shared" si="375"/>
        <v>12.546889079672185</v>
      </c>
      <c r="CA308" s="192">
        <f t="shared" si="354"/>
        <v>85</v>
      </c>
      <c r="CB308" s="55">
        <f t="shared" si="376"/>
        <v>1.7</v>
      </c>
      <c r="CC308" s="242" t="s">
        <v>1273</v>
      </c>
      <c r="CD308" s="243" t="s">
        <v>1273</v>
      </c>
      <c r="CE308" s="244"/>
      <c r="CF308" s="295" t="s">
        <v>2379</v>
      </c>
      <c r="CG308" s="210">
        <v>5.0199999999999996</v>
      </c>
      <c r="CH308" s="295" t="s">
        <v>2379</v>
      </c>
      <c r="CI308" s="188">
        <f>IF((100-(75*(CG308-1)/9))&gt;100,100,IF((100-(75*(CG308-1)/9))&lt;25,25,(100-(75*(CG308-1)/9))))</f>
        <v>66.5</v>
      </c>
      <c r="CJ308" s="63">
        <f>CI308*0.04</f>
        <v>2.66</v>
      </c>
      <c r="CK308" s="173" t="s">
        <v>2527</v>
      </c>
      <c r="CL308" s="173" t="s">
        <v>2487</v>
      </c>
      <c r="CM308" s="199">
        <f t="shared" si="377"/>
        <v>70</v>
      </c>
      <c r="CN308" s="65">
        <f>CM308*0.03</f>
        <v>2.1</v>
      </c>
      <c r="CO308" s="54">
        <v>0</v>
      </c>
      <c r="CP308" s="186">
        <f t="shared" si="355"/>
        <v>0</v>
      </c>
      <c r="CQ308" s="179">
        <f t="shared" si="378"/>
        <v>100</v>
      </c>
      <c r="CR308" s="61">
        <f>CQ308*0.04</f>
        <v>4</v>
      </c>
      <c r="CS308" s="200">
        <f>_xlfn.XLOOKUP(C308, '1-1. 관계사체무보증금액 (환율 등)'!$3:$3, '1-1. 관계사체무보증금액 (환율 등)'!$33:$33)</f>
        <v>0</v>
      </c>
      <c r="CT308" s="178">
        <f t="shared" si="356"/>
        <v>0</v>
      </c>
      <c r="CU308" s="179">
        <f t="shared" si="379"/>
        <v>100</v>
      </c>
      <c r="CV308" s="70">
        <f>CU308*0.03</f>
        <v>3</v>
      </c>
      <c r="CW308" s="72">
        <f t="shared" si="384"/>
        <v>27.932271321277888</v>
      </c>
    </row>
    <row r="309" spans="1:101" x14ac:dyDescent="0.6">
      <c r="A309" s="214" t="s">
        <v>914</v>
      </c>
      <c r="B309" s="13" t="s">
        <v>2290</v>
      </c>
      <c r="C309" s="219" t="s">
        <v>859</v>
      </c>
      <c r="D309" s="216" t="s">
        <v>285</v>
      </c>
      <c r="E309" s="217" t="s">
        <v>245</v>
      </c>
      <c r="F309" s="217" t="s">
        <v>130</v>
      </c>
      <c r="G309" s="218">
        <v>28460</v>
      </c>
      <c r="H309" s="217" t="s">
        <v>830</v>
      </c>
      <c r="I309" s="217" t="s">
        <v>1149</v>
      </c>
      <c r="J309" s="217" t="s">
        <v>641</v>
      </c>
      <c r="K309" s="217" t="s">
        <v>91</v>
      </c>
      <c r="L309" s="220">
        <v>1308741234</v>
      </c>
      <c r="M309" s="206">
        <v>878633042</v>
      </c>
      <c r="N309" s="206">
        <v>430108191</v>
      </c>
      <c r="O309" s="206">
        <v>4311279621</v>
      </c>
      <c r="P309" s="206">
        <v>29265563</v>
      </c>
      <c r="Q309" s="206">
        <v>78592213</v>
      </c>
      <c r="R309" s="206">
        <v>78671213</v>
      </c>
      <c r="S309" s="207">
        <v>13228966</v>
      </c>
      <c r="T309" s="207">
        <v>1218000</v>
      </c>
      <c r="U309" s="207">
        <f>2882000+319601</f>
        <v>3201601</v>
      </c>
      <c r="V309" s="207">
        <v>0</v>
      </c>
      <c r="W309" s="207">
        <v>14000</v>
      </c>
      <c r="X309" s="207">
        <v>0</v>
      </c>
      <c r="Z309" s="207">
        <v>0</v>
      </c>
      <c r="AA309" s="207">
        <v>0</v>
      </c>
      <c r="AB309" s="176">
        <f t="shared" si="380"/>
        <v>3215601</v>
      </c>
      <c r="AC309" s="177">
        <f t="shared" si="357"/>
        <v>24.307273901830271</v>
      </c>
      <c r="AD309" s="177">
        <f t="shared" si="381"/>
        <v>79.107646229720714</v>
      </c>
      <c r="AE309" s="26">
        <f>AD309*0.03</f>
        <v>2.3732293868916212</v>
      </c>
      <c r="AF309" s="178">
        <f t="shared" si="358"/>
        <v>26.655649512287354</v>
      </c>
      <c r="AG309" s="178">
        <f t="shared" si="359"/>
        <v>26.772209662403508</v>
      </c>
      <c r="AH309" s="178">
        <f t="shared" si="382"/>
        <v>0.11656015011615395</v>
      </c>
      <c r="AI309" s="179">
        <f t="shared" si="383"/>
        <v>100</v>
      </c>
      <c r="AJ309" s="30">
        <f>AI309*0.04</f>
        <v>4</v>
      </c>
      <c r="AK309" s="204">
        <v>6</v>
      </c>
      <c r="AL309" s="204">
        <v>12</v>
      </c>
      <c r="AM309" s="204">
        <v>1</v>
      </c>
      <c r="AN309" s="181">
        <f t="shared" si="344"/>
        <v>18</v>
      </c>
      <c r="AO309" s="182">
        <f t="shared" si="345"/>
        <v>5.5555555555555554</v>
      </c>
      <c r="AP309" s="183">
        <f t="shared" si="360"/>
        <v>100</v>
      </c>
      <c r="AQ309" s="38">
        <f>AP309*0.02</f>
        <v>2</v>
      </c>
      <c r="AR309" s="212">
        <v>3</v>
      </c>
      <c r="AS309" s="292">
        <f t="shared" si="346"/>
        <v>0.25</v>
      </c>
      <c r="AT309" s="185">
        <f t="shared" si="347"/>
        <v>1.5</v>
      </c>
      <c r="AU309" s="185">
        <f t="shared" si="361"/>
        <v>1</v>
      </c>
      <c r="AV309" s="186">
        <f t="shared" si="348"/>
        <v>33.333333333333329</v>
      </c>
      <c r="AW309" s="179">
        <f t="shared" si="362"/>
        <v>80</v>
      </c>
      <c r="AX309" s="239">
        <f>AW309*0.01</f>
        <v>0.8</v>
      </c>
      <c r="AY309" s="54">
        <v>6</v>
      </c>
      <c r="AZ309" s="54">
        <v>18</v>
      </c>
      <c r="BA309" s="189">
        <f t="shared" si="349"/>
        <v>18</v>
      </c>
      <c r="BB309" s="178">
        <f t="shared" si="363"/>
        <v>100</v>
      </c>
      <c r="BC309" s="179">
        <f t="shared" si="364"/>
        <v>100</v>
      </c>
      <c r="BD309" s="30">
        <f>BC309*0.01</f>
        <v>1</v>
      </c>
      <c r="BE309" s="190">
        <v>28942000</v>
      </c>
      <c r="BF309" s="190">
        <v>2280000</v>
      </c>
      <c r="BG309" s="54">
        <v>1563000</v>
      </c>
      <c r="BH309" s="191">
        <f t="shared" si="350"/>
        <v>31222000</v>
      </c>
      <c r="BI309" s="178">
        <f t="shared" si="351"/>
        <v>5.0060854525654985</v>
      </c>
      <c r="BJ309" s="294" t="str">
        <f t="shared" si="365"/>
        <v>비제조/서비스업</v>
      </c>
      <c r="BK309" s="192">
        <f t="shared" si="366"/>
        <v>1.7464434573900924</v>
      </c>
      <c r="BL309" s="193">
        <f t="shared" si="367"/>
        <v>3.2596419951754063</v>
      </c>
      <c r="BM309" s="241">
        <f t="shared" si="368"/>
        <v>40</v>
      </c>
      <c r="BN309" s="47">
        <f t="shared" si="369"/>
        <v>0.8</v>
      </c>
      <c r="BO309" s="54">
        <v>0</v>
      </c>
      <c r="BP309" s="194">
        <f t="shared" si="352"/>
        <v>0</v>
      </c>
      <c r="BQ309" s="179">
        <f t="shared" si="370"/>
        <v>25</v>
      </c>
      <c r="BR309" s="30">
        <f>BQ309*0.02</f>
        <v>0.5</v>
      </c>
      <c r="BS309" s="195">
        <v>436443.88500000001</v>
      </c>
      <c r="BT309" s="195">
        <v>768185.91</v>
      </c>
      <c r="BU309" s="196">
        <f t="shared" si="371"/>
        <v>-331742.02500000002</v>
      </c>
      <c r="BV309" s="178">
        <f t="shared" si="353"/>
        <v>-7.6947462044471282E-3</v>
      </c>
      <c r="BW309" s="192">
        <f t="shared" si="372"/>
        <v>2.8482825397737606</v>
      </c>
      <c r="BX309" s="192">
        <f t="shared" si="373"/>
        <v>8.156606258023448</v>
      </c>
      <c r="BY309" s="192">
        <f t="shared" si="374"/>
        <v>5.5697595856656799</v>
      </c>
      <c r="BZ309" s="192">
        <f t="shared" si="375"/>
        <v>69.594211168382856</v>
      </c>
      <c r="CA309" s="192">
        <f t="shared" si="354"/>
        <v>40</v>
      </c>
      <c r="CB309" s="55">
        <f t="shared" si="376"/>
        <v>0.8</v>
      </c>
      <c r="CC309" s="197">
        <f>(M309/N309)*100</f>
        <v>204.28186683847645</v>
      </c>
      <c r="CD309" s="198">
        <f>IF((100-(75*(CC309-1)/(200-1)))&gt;100, 100, IF((100-(75*(CC309-1)/(200-1)))&lt;25, 25, (100-(75*(CC309-1)/(200-1)))))</f>
        <v>25</v>
      </c>
      <c r="CE309" s="58">
        <f>CD309*0.015</f>
        <v>0.375</v>
      </c>
      <c r="CF309" s="245" t="s">
        <v>2326</v>
      </c>
      <c r="CG309" s="245" t="s">
        <v>2326</v>
      </c>
      <c r="CH309" s="245" t="s">
        <v>2326</v>
      </c>
      <c r="CI309" s="245" t="s">
        <v>2326</v>
      </c>
      <c r="CJ309" s="235"/>
      <c r="CK309" s="173" t="s">
        <v>2538</v>
      </c>
      <c r="CL309" s="173" t="s">
        <v>2482</v>
      </c>
      <c r="CM309" s="199">
        <f t="shared" si="377"/>
        <v>55</v>
      </c>
      <c r="CN309" s="58">
        <f>CM309*0.015</f>
        <v>0.82499999999999996</v>
      </c>
      <c r="CO309" s="54">
        <v>284848000</v>
      </c>
      <c r="CP309" s="186">
        <f t="shared" si="355"/>
        <v>66.22705774045582</v>
      </c>
      <c r="CQ309" s="179">
        <f t="shared" si="378"/>
        <v>40</v>
      </c>
      <c r="CR309" s="30">
        <f>CQ309*0.03</f>
        <v>1.2</v>
      </c>
      <c r="CS309" s="200">
        <f>_xlfn.XLOOKUP(C309, '1-1. 관계사체무보증금액 (환율 등)'!$3:$3, '1-1. 관계사체무보증금액 (환율 등)'!$33:$33)</f>
        <v>467613924.05063283</v>
      </c>
      <c r="CT309" s="178">
        <f t="shared" si="356"/>
        <v>108.72006946983086</v>
      </c>
      <c r="CU309" s="179">
        <f t="shared" si="379"/>
        <v>20</v>
      </c>
      <c r="CV309" s="30">
        <f>CU309*0.02</f>
        <v>0.4</v>
      </c>
      <c r="CW309" s="72">
        <f t="shared" si="384"/>
        <v>15.073229386891622</v>
      </c>
    </row>
    <row r="310" spans="1:101" x14ac:dyDescent="0.6">
      <c r="A310" s="214" t="s">
        <v>299</v>
      </c>
      <c r="B310" s="13" t="s">
        <v>2291</v>
      </c>
      <c r="C310" s="219" t="s">
        <v>530</v>
      </c>
      <c r="D310" s="221" t="s">
        <v>481</v>
      </c>
      <c r="E310" s="217" t="s">
        <v>704</v>
      </c>
      <c r="F310" s="217" t="s">
        <v>275</v>
      </c>
      <c r="G310" s="218">
        <v>32745</v>
      </c>
      <c r="H310" s="217" t="s">
        <v>830</v>
      </c>
      <c r="I310" s="217" t="s">
        <v>219</v>
      </c>
      <c r="J310" s="217" t="s">
        <v>957</v>
      </c>
      <c r="K310" s="217" t="s">
        <v>91</v>
      </c>
      <c r="L310" s="220">
        <v>51608012236</v>
      </c>
      <c r="M310" s="206">
        <v>47532258211</v>
      </c>
      <c r="N310" s="206">
        <v>4075754025</v>
      </c>
      <c r="O310" s="206">
        <v>14222654630</v>
      </c>
      <c r="P310" s="206">
        <v>798504080</v>
      </c>
      <c r="Q310" s="206">
        <v>768353165</v>
      </c>
      <c r="R310" s="206">
        <v>560901654</v>
      </c>
      <c r="S310" s="207">
        <v>89400000</v>
      </c>
      <c r="T310" s="207">
        <v>10985500</v>
      </c>
      <c r="U310" s="207">
        <v>19668000</v>
      </c>
      <c r="V310" s="207">
        <f>406600+300000</f>
        <v>706600</v>
      </c>
      <c r="W310" s="207">
        <f>8280+4000+720+4600+12000+600+5000+3500+8000+3497+2000+104+14090+185+1049+187+1300</f>
        <v>69112</v>
      </c>
      <c r="X310" s="207">
        <v>0</v>
      </c>
      <c r="Z310" s="207">
        <v>0</v>
      </c>
      <c r="AA310" s="207">
        <v>0</v>
      </c>
      <c r="AB310" s="176">
        <f t="shared" si="380"/>
        <v>20443712</v>
      </c>
      <c r="AC310" s="177">
        <f t="shared" si="357"/>
        <v>22.867686800894855</v>
      </c>
      <c r="AD310" s="177">
        <f t="shared" si="381"/>
        <v>80.350097697731712</v>
      </c>
      <c r="AE310" s="60">
        <f>AD310*0.04</f>
        <v>3.2140039079092686</v>
      </c>
      <c r="AF310" s="178">
        <f t="shared" si="358"/>
        <v>25.983204636897511</v>
      </c>
      <c r="AG310" s="178">
        <f t="shared" si="359"/>
        <v>26.071341397318097</v>
      </c>
      <c r="AH310" s="178">
        <f t="shared" si="382"/>
        <v>8.8136760420585603E-2</v>
      </c>
      <c r="AI310" s="179">
        <f t="shared" si="383"/>
        <v>100</v>
      </c>
      <c r="AJ310" s="61">
        <f>AI310*0.05</f>
        <v>5</v>
      </c>
      <c r="AK310" s="204">
        <v>7</v>
      </c>
      <c r="AL310" s="204">
        <v>48</v>
      </c>
      <c r="AM310" s="204">
        <v>1</v>
      </c>
      <c r="AN310" s="181">
        <f t="shared" si="344"/>
        <v>55</v>
      </c>
      <c r="AO310" s="182">
        <f t="shared" si="345"/>
        <v>1.8181818181818181</v>
      </c>
      <c r="AP310" s="183">
        <f t="shared" si="360"/>
        <v>100</v>
      </c>
      <c r="AQ310" s="62">
        <f>AP310*0.03</f>
        <v>3</v>
      </c>
      <c r="AR310" s="212">
        <v>4</v>
      </c>
      <c r="AS310" s="292">
        <f t="shared" si="346"/>
        <v>0.5</v>
      </c>
      <c r="AT310" s="185">
        <f t="shared" si="347"/>
        <v>3.5</v>
      </c>
      <c r="AU310" s="185">
        <f t="shared" si="361"/>
        <v>3</v>
      </c>
      <c r="AV310" s="186">
        <f t="shared" si="348"/>
        <v>14.285714285714285</v>
      </c>
      <c r="AW310" s="179">
        <f t="shared" si="362"/>
        <v>60</v>
      </c>
      <c r="AX310" s="240">
        <f>AW310*0.02</f>
        <v>1.2</v>
      </c>
      <c r="AY310" s="54">
        <v>7</v>
      </c>
      <c r="AZ310" s="54">
        <f>28-1</f>
        <v>27</v>
      </c>
      <c r="BA310" s="189">
        <f t="shared" si="349"/>
        <v>28</v>
      </c>
      <c r="BB310" s="178">
        <f t="shared" si="363"/>
        <v>96.428571428571431</v>
      </c>
      <c r="BC310" s="179">
        <f t="shared" si="364"/>
        <v>100</v>
      </c>
      <c r="BD310" s="61">
        <f>BC310*0.02</f>
        <v>2</v>
      </c>
      <c r="BE310" s="190">
        <f>350435862+15828604</f>
        <v>366264466</v>
      </c>
      <c r="BF310" s="190">
        <f>48747204+2167713</f>
        <v>50914917</v>
      </c>
      <c r="BG310" s="301">
        <v>0</v>
      </c>
      <c r="BH310" s="191">
        <f t="shared" si="350"/>
        <v>417179383</v>
      </c>
      <c r="BI310" s="178">
        <f t="shared" si="351"/>
        <v>0</v>
      </c>
      <c r="BJ310" s="294" t="str">
        <f t="shared" si="365"/>
        <v>금융업</v>
      </c>
      <c r="BK310" s="192">
        <f t="shared" si="366"/>
        <v>2.7106886075318837</v>
      </c>
      <c r="BL310" s="193">
        <f t="shared" si="367"/>
        <v>-2.7106886075318837</v>
      </c>
      <c r="BM310" s="241">
        <f t="shared" si="368"/>
        <v>100</v>
      </c>
      <c r="BN310" s="47">
        <f t="shared" si="369"/>
        <v>2</v>
      </c>
      <c r="BO310" s="54">
        <v>0</v>
      </c>
      <c r="BP310" s="194">
        <f t="shared" si="352"/>
        <v>0</v>
      </c>
      <c r="BQ310" s="179">
        <f t="shared" si="370"/>
        <v>25</v>
      </c>
      <c r="BR310" s="61">
        <f>BQ310*0.01</f>
        <v>0.25</v>
      </c>
      <c r="BS310" s="195">
        <v>8858906.0620000008</v>
      </c>
      <c r="BT310" s="195">
        <v>255561.56</v>
      </c>
      <c r="BU310" s="196">
        <f t="shared" si="371"/>
        <v>8603344.5020000003</v>
      </c>
      <c r="BV310" s="178">
        <f t="shared" si="353"/>
        <v>6.0490426898596496E-2</v>
      </c>
      <c r="BW310" s="192">
        <f t="shared" si="372"/>
        <v>0.39407896396795111</v>
      </c>
      <c r="BX310" s="192">
        <f t="shared" si="373"/>
        <v>0.11128131206407217</v>
      </c>
      <c r="BY310" s="192">
        <f t="shared" si="374"/>
        <v>1.5698937849002934</v>
      </c>
      <c r="BZ310" s="192">
        <f t="shared" si="375"/>
        <v>58.413805962113528</v>
      </c>
      <c r="CA310" s="192">
        <f t="shared" si="354"/>
        <v>55</v>
      </c>
      <c r="CB310" s="55">
        <f t="shared" si="376"/>
        <v>1.1000000000000001</v>
      </c>
      <c r="CC310" s="242" t="s">
        <v>1273</v>
      </c>
      <c r="CD310" s="243" t="s">
        <v>1273</v>
      </c>
      <c r="CE310" s="244"/>
      <c r="CF310" s="295" t="s">
        <v>2379</v>
      </c>
      <c r="CG310" s="295" t="s">
        <v>2379</v>
      </c>
      <c r="CH310" s="210">
        <v>0.08</v>
      </c>
      <c r="CI310" s="188">
        <f>IF((100-(75*(CH310-10)/40))&gt;100, 100, IF((100-(75*(CH310-10)/40))&lt;25, 25, (100-(75*(CH310-10)/40))))</f>
        <v>100</v>
      </c>
      <c r="CJ310" s="63">
        <f>CI310*0.04</f>
        <v>4</v>
      </c>
      <c r="CK310" s="173" t="s">
        <v>2539</v>
      </c>
      <c r="CL310" s="173" t="s">
        <v>2482</v>
      </c>
      <c r="CM310" s="199">
        <f t="shared" si="377"/>
        <v>55</v>
      </c>
      <c r="CN310" s="65">
        <f>CM310*0.03</f>
        <v>1.65</v>
      </c>
      <c r="CO310" s="54">
        <v>141338000</v>
      </c>
      <c r="CP310" s="186">
        <f t="shared" si="355"/>
        <v>3.4677755117962499</v>
      </c>
      <c r="CQ310" s="179">
        <f t="shared" si="378"/>
        <v>80</v>
      </c>
      <c r="CR310" s="61">
        <f>CQ310*0.04</f>
        <v>3.2</v>
      </c>
      <c r="CS310" s="200">
        <f>_xlfn.XLOOKUP(C310, '1-1. 관계사체무보증금액 (환율 등)'!$3:$3, '1-1. 관계사체무보증금액 (환율 등)'!$33:$33)</f>
        <v>0</v>
      </c>
      <c r="CT310" s="178">
        <f t="shared" si="356"/>
        <v>0</v>
      </c>
      <c r="CU310" s="179">
        <f t="shared" si="379"/>
        <v>100</v>
      </c>
      <c r="CV310" s="70">
        <f>CU310*0.03</f>
        <v>3</v>
      </c>
      <c r="CW310" s="72">
        <f t="shared" si="384"/>
        <v>29.614003907909268</v>
      </c>
    </row>
    <row r="311" spans="1:101" x14ac:dyDescent="0.6">
      <c r="A311" s="214" t="s">
        <v>936</v>
      </c>
      <c r="B311" s="13" t="s">
        <v>2292</v>
      </c>
      <c r="C311" s="219" t="s">
        <v>17</v>
      </c>
      <c r="D311" s="216" t="s">
        <v>285</v>
      </c>
      <c r="E311" s="217" t="s">
        <v>851</v>
      </c>
      <c r="F311" s="217" t="s">
        <v>1141</v>
      </c>
      <c r="G311" s="218">
        <v>40434</v>
      </c>
      <c r="H311" s="217" t="s">
        <v>830</v>
      </c>
      <c r="I311" s="217" t="s">
        <v>1013</v>
      </c>
      <c r="J311" s="217" t="s">
        <v>1147</v>
      </c>
      <c r="K311" s="217" t="s">
        <v>91</v>
      </c>
      <c r="L311" s="220">
        <v>1865948929</v>
      </c>
      <c r="M311" s="206">
        <v>318378114</v>
      </c>
      <c r="N311" s="206">
        <v>1547570816</v>
      </c>
      <c r="O311" s="206">
        <v>1101635299</v>
      </c>
      <c r="P311" s="206">
        <v>112712450</v>
      </c>
      <c r="Q311" s="206">
        <v>74367602</v>
      </c>
      <c r="R311" s="206">
        <v>67521538</v>
      </c>
      <c r="S311" s="207">
        <v>12000000</v>
      </c>
      <c r="T311" s="207">
        <v>552250</v>
      </c>
      <c r="U311" s="207">
        <v>3001500</v>
      </c>
      <c r="V311" s="207">
        <v>0</v>
      </c>
      <c r="W311" s="207">
        <v>0</v>
      </c>
      <c r="X311" s="207">
        <v>0</v>
      </c>
      <c r="Z311" s="207">
        <v>1896500</v>
      </c>
      <c r="AA311" s="207">
        <v>0</v>
      </c>
      <c r="AB311" s="176">
        <f t="shared" si="380"/>
        <v>4898000</v>
      </c>
      <c r="AC311" s="177">
        <f t="shared" si="357"/>
        <v>40.81666666666667</v>
      </c>
      <c r="AD311" s="177">
        <f t="shared" si="381"/>
        <v>64.859033371691595</v>
      </c>
      <c r="AE311" s="26">
        <f t="shared" ref="AE311:AE321" si="409">AD311*0.03</f>
        <v>1.9457710011507479</v>
      </c>
      <c r="AF311" s="178">
        <f t="shared" si="358"/>
        <v>26.219126029132362</v>
      </c>
      <c r="AG311" s="178">
        <f t="shared" si="359"/>
        <v>42.785700246773381</v>
      </c>
      <c r="AH311" s="178">
        <f t="shared" si="382"/>
        <v>16.566574217641019</v>
      </c>
      <c r="AI311" s="179">
        <f t="shared" si="383"/>
        <v>80</v>
      </c>
      <c r="AJ311" s="30">
        <f t="shared" ref="AJ311:AJ321" si="410">AI311*0.04</f>
        <v>3.2</v>
      </c>
      <c r="AK311" s="204">
        <v>7</v>
      </c>
      <c r="AL311" s="204">
        <v>12</v>
      </c>
      <c r="AM311" s="204">
        <v>1</v>
      </c>
      <c r="AN311" s="181">
        <f t="shared" si="344"/>
        <v>19</v>
      </c>
      <c r="AO311" s="182">
        <f t="shared" si="345"/>
        <v>5.2631578947368416</v>
      </c>
      <c r="AP311" s="183">
        <f t="shared" si="360"/>
        <v>100</v>
      </c>
      <c r="AQ311" s="38">
        <f t="shared" ref="AQ311:AQ321" si="411">AP311*0.02</f>
        <v>2</v>
      </c>
      <c r="AR311" s="212">
        <v>4</v>
      </c>
      <c r="AS311" s="292">
        <f t="shared" si="346"/>
        <v>0.25</v>
      </c>
      <c r="AT311" s="185">
        <f t="shared" si="347"/>
        <v>1.75</v>
      </c>
      <c r="AU311" s="185">
        <f t="shared" si="361"/>
        <v>1</v>
      </c>
      <c r="AV311" s="186">
        <f t="shared" si="348"/>
        <v>42.857142857142854</v>
      </c>
      <c r="AW311" s="179">
        <f t="shared" si="362"/>
        <v>100</v>
      </c>
      <c r="AX311" s="239">
        <f t="shared" ref="AX311:AX321" si="412">AW311*0.01</f>
        <v>1</v>
      </c>
      <c r="AY311" s="54">
        <v>9</v>
      </c>
      <c r="AZ311" s="54">
        <v>36</v>
      </c>
      <c r="BA311" s="189">
        <f t="shared" si="349"/>
        <v>36</v>
      </c>
      <c r="BB311" s="178">
        <f t="shared" si="363"/>
        <v>100</v>
      </c>
      <c r="BC311" s="179">
        <f t="shared" si="364"/>
        <v>100</v>
      </c>
      <c r="BD311" s="30">
        <f t="shared" ref="BD311:BD321" si="413">BC311*0.01</f>
        <v>1</v>
      </c>
      <c r="BE311" s="190">
        <v>68160362</v>
      </c>
      <c r="BF311" s="190">
        <v>7826279</v>
      </c>
      <c r="BG311" s="54">
        <v>1445351</v>
      </c>
      <c r="BH311" s="191">
        <f t="shared" si="350"/>
        <v>75986641</v>
      </c>
      <c r="BI311" s="178">
        <f t="shared" si="351"/>
        <v>1.9021119778146265</v>
      </c>
      <c r="BJ311" s="294" t="str">
        <f t="shared" si="365"/>
        <v>비제조/서비스업</v>
      </c>
      <c r="BK311" s="192">
        <f t="shared" si="366"/>
        <v>1.7464434573900924</v>
      </c>
      <c r="BL311" s="193">
        <f t="shared" si="367"/>
        <v>0.15566852042453405</v>
      </c>
      <c r="BM311" s="241">
        <f t="shared" si="368"/>
        <v>60</v>
      </c>
      <c r="BN311" s="47">
        <f t="shared" si="369"/>
        <v>1.2</v>
      </c>
      <c r="BO311" s="54">
        <v>5273000</v>
      </c>
      <c r="BP311" s="194">
        <f t="shared" si="352"/>
        <v>0.47865205524791377</v>
      </c>
      <c r="BQ311" s="179">
        <f t="shared" si="370"/>
        <v>55</v>
      </c>
      <c r="BR311" s="30">
        <f t="shared" ref="BR311:BR321" si="414">BQ311*0.02</f>
        <v>1.1000000000000001</v>
      </c>
      <c r="BS311" s="195">
        <v>11703178.692</v>
      </c>
      <c r="BT311" s="195">
        <v>5100</v>
      </c>
      <c r="BU311" s="196">
        <f t="shared" si="371"/>
        <v>11698078.692</v>
      </c>
      <c r="BV311" s="178">
        <f t="shared" si="353"/>
        <v>1.0618830662578469</v>
      </c>
      <c r="BW311" s="192">
        <f t="shared" si="372"/>
        <v>2.8482825397737606</v>
      </c>
      <c r="BX311" s="192">
        <f t="shared" si="373"/>
        <v>3.1912230789779334</v>
      </c>
      <c r="BY311" s="192">
        <f t="shared" si="374"/>
        <v>5.5697595856656799</v>
      </c>
      <c r="BZ311" s="192">
        <f t="shared" si="375"/>
        <v>62.579320778971528</v>
      </c>
      <c r="CA311" s="192">
        <f t="shared" si="354"/>
        <v>40</v>
      </c>
      <c r="CB311" s="55">
        <f t="shared" si="376"/>
        <v>0.8</v>
      </c>
      <c r="CC311" s="197">
        <f t="shared" ref="CC311:CC321" si="415">(M311/N311)*100</f>
        <v>20.572765440415232</v>
      </c>
      <c r="CD311" s="198">
        <f t="shared" ref="CD311:CD321" si="416">IF((100-(75*(CC311-1)/(200-1)))&gt;100, 100, IF((100-(75*(CC311-1)/(200-1)))&lt;25, 25, (100-(75*(CC311-1)/(200-1)))))</f>
        <v>92.623329607883704</v>
      </c>
      <c r="CE311" s="58">
        <f t="shared" ref="CE311:CE321" si="417">CD311*0.015</f>
        <v>1.3893499441182555</v>
      </c>
      <c r="CF311" s="245" t="s">
        <v>2326</v>
      </c>
      <c r="CG311" s="245" t="s">
        <v>2326</v>
      </c>
      <c r="CH311" s="245" t="s">
        <v>2326</v>
      </c>
      <c r="CI311" s="245" t="s">
        <v>2326</v>
      </c>
      <c r="CJ311" s="235"/>
      <c r="CK311" s="173" t="s">
        <v>2525</v>
      </c>
      <c r="CL311" s="173" t="s">
        <v>2484</v>
      </c>
      <c r="CM311" s="199">
        <f t="shared" si="377"/>
        <v>100</v>
      </c>
      <c r="CN311" s="58">
        <f t="shared" ref="CN311:CN321" si="418">CM311*0.015</f>
        <v>1.5</v>
      </c>
      <c r="CO311" s="54">
        <v>973962000</v>
      </c>
      <c r="CP311" s="186">
        <f t="shared" si="355"/>
        <v>62.93489059953945</v>
      </c>
      <c r="CQ311" s="179">
        <f t="shared" si="378"/>
        <v>40</v>
      </c>
      <c r="CR311" s="30">
        <f t="shared" ref="CR311:CR321" si="419">CQ311*0.03</f>
        <v>1.2</v>
      </c>
      <c r="CS311" s="200">
        <f>_xlfn.XLOOKUP(C311, '1-1. 관계사체무보증금액 (환율 등)'!$3:$3, '1-1. 관계사체무보증금액 (환율 등)'!$33:$33)</f>
        <v>135818181.81818181</v>
      </c>
      <c r="CT311" s="178">
        <f t="shared" si="356"/>
        <v>8.7762175671695939</v>
      </c>
      <c r="CU311" s="179">
        <f t="shared" si="379"/>
        <v>80</v>
      </c>
      <c r="CV311" s="30">
        <f t="shared" ref="CV311:CV321" si="420">CU311*0.02</f>
        <v>1.6</v>
      </c>
      <c r="CW311" s="72">
        <f t="shared" si="384"/>
        <v>17.935120945269006</v>
      </c>
    </row>
    <row r="312" spans="1:101" x14ac:dyDescent="0.6">
      <c r="A312" s="214" t="s">
        <v>318</v>
      </c>
      <c r="B312" s="13" t="s">
        <v>2293</v>
      </c>
      <c r="C312" s="219" t="s">
        <v>539</v>
      </c>
      <c r="D312" s="216" t="s">
        <v>285</v>
      </c>
      <c r="E312" s="217" t="s">
        <v>872</v>
      </c>
      <c r="F312" s="217" t="s">
        <v>44</v>
      </c>
      <c r="G312" s="218">
        <v>32415</v>
      </c>
      <c r="H312" s="217" t="s">
        <v>830</v>
      </c>
      <c r="I312" s="217" t="s">
        <v>435</v>
      </c>
      <c r="J312" s="217" t="s">
        <v>1145</v>
      </c>
      <c r="K312" s="217" t="s">
        <v>308</v>
      </c>
      <c r="L312" s="220">
        <v>564413385</v>
      </c>
      <c r="M312" s="206">
        <v>200073929</v>
      </c>
      <c r="N312" s="206">
        <v>364339456</v>
      </c>
      <c r="O312" s="206">
        <v>645826449</v>
      </c>
      <c r="P312" s="206">
        <v>23890019</v>
      </c>
      <c r="Q312" s="206">
        <v>40898213</v>
      </c>
      <c r="R312" s="206">
        <v>31433619</v>
      </c>
      <c r="S312" s="207">
        <v>10150000</v>
      </c>
      <c r="T312" s="207">
        <v>1001468</v>
      </c>
      <c r="U312" s="207">
        <v>1162418</v>
      </c>
      <c r="V312" s="207">
        <f>4303315-U312-X312-W312-Z312</f>
        <v>2300637</v>
      </c>
      <c r="W312" s="207">
        <v>15296</v>
      </c>
      <c r="X312" s="207">
        <v>393014</v>
      </c>
      <c r="Y312" s="208" t="s">
        <v>2473</v>
      </c>
      <c r="Z312" s="207">
        <f>33769+398181</f>
        <v>431950</v>
      </c>
      <c r="AA312" s="207">
        <v>130257</v>
      </c>
      <c r="AB312" s="176">
        <f t="shared" si="380"/>
        <v>4303315</v>
      </c>
      <c r="AC312" s="177">
        <f t="shared" si="357"/>
        <v>42.397192118226599</v>
      </c>
      <c r="AD312" s="177">
        <f t="shared" si="381"/>
        <v>63.494943511311909</v>
      </c>
      <c r="AE312" s="26">
        <f t="shared" si="409"/>
        <v>1.9048483053393572</v>
      </c>
      <c r="AF312" s="178">
        <f t="shared" si="358"/>
        <v>38.40041471345684</v>
      </c>
      <c r="AG312" s="178">
        <f t="shared" si="359"/>
        <v>46.27335050217475</v>
      </c>
      <c r="AH312" s="178">
        <f t="shared" si="382"/>
        <v>7.8729357887179106</v>
      </c>
      <c r="AI312" s="179">
        <f t="shared" si="383"/>
        <v>100</v>
      </c>
      <c r="AJ312" s="30">
        <f t="shared" si="410"/>
        <v>4</v>
      </c>
      <c r="AK312" s="204">
        <v>7</v>
      </c>
      <c r="AL312" s="204">
        <v>7</v>
      </c>
      <c r="AM312" s="204">
        <v>1</v>
      </c>
      <c r="AN312" s="181">
        <f t="shared" si="344"/>
        <v>14</v>
      </c>
      <c r="AO312" s="182">
        <f t="shared" si="345"/>
        <v>7.1428571428571423</v>
      </c>
      <c r="AP312" s="183">
        <f t="shared" si="360"/>
        <v>100</v>
      </c>
      <c r="AQ312" s="38">
        <f t="shared" si="411"/>
        <v>2</v>
      </c>
      <c r="AR312" s="212">
        <v>5</v>
      </c>
      <c r="AS312" s="292">
        <f t="shared" si="346"/>
        <v>0.25</v>
      </c>
      <c r="AT312" s="185">
        <f t="shared" si="347"/>
        <v>1.75</v>
      </c>
      <c r="AU312" s="185">
        <f t="shared" si="361"/>
        <v>1</v>
      </c>
      <c r="AV312" s="186">
        <f t="shared" si="348"/>
        <v>57.142857142857139</v>
      </c>
      <c r="AW312" s="179">
        <f t="shared" si="362"/>
        <v>100</v>
      </c>
      <c r="AX312" s="239">
        <f t="shared" si="412"/>
        <v>1</v>
      </c>
      <c r="AY312" s="54">
        <v>13</v>
      </c>
      <c r="AZ312" s="54">
        <f>(3*5-1)+5*8-8</f>
        <v>46</v>
      </c>
      <c r="BA312" s="189">
        <f t="shared" si="349"/>
        <v>65</v>
      </c>
      <c r="BB312" s="178">
        <f t="shared" si="363"/>
        <v>70.769230769230774</v>
      </c>
      <c r="BC312" s="179">
        <f t="shared" si="364"/>
        <v>50</v>
      </c>
      <c r="BD312" s="30">
        <f t="shared" si="413"/>
        <v>0.5</v>
      </c>
      <c r="BE312" s="190">
        <v>11729300</v>
      </c>
      <c r="BF312" s="190">
        <v>1036112</v>
      </c>
      <c r="BG312" s="54">
        <v>289788</v>
      </c>
      <c r="BH312" s="191">
        <f t="shared" si="350"/>
        <v>12765412</v>
      </c>
      <c r="BI312" s="178">
        <f t="shared" si="351"/>
        <v>2.270102993933921</v>
      </c>
      <c r="BJ312" s="294" t="str">
        <f t="shared" si="365"/>
        <v>비제조/서비스업</v>
      </c>
      <c r="BK312" s="192">
        <f t="shared" si="366"/>
        <v>1.7464434573900924</v>
      </c>
      <c r="BL312" s="193">
        <f t="shared" si="367"/>
        <v>0.52365953654382857</v>
      </c>
      <c r="BM312" s="241">
        <f t="shared" si="368"/>
        <v>60</v>
      </c>
      <c r="BN312" s="47">
        <f t="shared" si="369"/>
        <v>1.2</v>
      </c>
      <c r="BO312" s="54">
        <v>1489007</v>
      </c>
      <c r="BP312" s="194">
        <f t="shared" si="352"/>
        <v>0.23055838024373015</v>
      </c>
      <c r="BQ312" s="179">
        <f t="shared" si="370"/>
        <v>55</v>
      </c>
      <c r="BR312" s="30">
        <f t="shared" si="414"/>
        <v>1.1000000000000001</v>
      </c>
      <c r="BS312" s="195">
        <v>5522396.4689999996</v>
      </c>
      <c r="BT312" s="195">
        <v>485638.27299999999</v>
      </c>
      <c r="BU312" s="196">
        <f t="shared" si="371"/>
        <v>5036758.1959999995</v>
      </c>
      <c r="BV312" s="178">
        <f t="shared" si="353"/>
        <v>0.77989345338812532</v>
      </c>
      <c r="BW312" s="192">
        <f t="shared" si="372"/>
        <v>2.8482825397737606</v>
      </c>
      <c r="BX312" s="192">
        <f t="shared" si="373"/>
        <v>4.278233412679203</v>
      </c>
      <c r="BY312" s="192">
        <f t="shared" si="374"/>
        <v>5.5697595856656799</v>
      </c>
      <c r="BZ312" s="192">
        <f t="shared" si="375"/>
        <v>64.481550460631624</v>
      </c>
      <c r="CA312" s="192">
        <f t="shared" si="354"/>
        <v>40</v>
      </c>
      <c r="CB312" s="55">
        <f t="shared" si="376"/>
        <v>0.8</v>
      </c>
      <c r="CC312" s="197">
        <f t="shared" si="415"/>
        <v>54.914153739088853</v>
      </c>
      <c r="CD312" s="198">
        <f t="shared" si="416"/>
        <v>79.680595324464008</v>
      </c>
      <c r="CE312" s="58">
        <f t="shared" si="417"/>
        <v>1.1952089298669601</v>
      </c>
      <c r="CF312" s="245" t="s">
        <v>2326</v>
      </c>
      <c r="CG312" s="245" t="s">
        <v>2326</v>
      </c>
      <c r="CH312" s="245" t="s">
        <v>2326</v>
      </c>
      <c r="CI312" s="245" t="s">
        <v>2326</v>
      </c>
      <c r="CJ312" s="235"/>
      <c r="CK312" s="173" t="s">
        <v>2540</v>
      </c>
      <c r="CL312" s="173" t="s">
        <v>2482</v>
      </c>
      <c r="CM312" s="199">
        <f t="shared" si="377"/>
        <v>55</v>
      </c>
      <c r="CN312" s="58">
        <f t="shared" si="418"/>
        <v>0.82499999999999996</v>
      </c>
      <c r="CO312" s="54">
        <v>0</v>
      </c>
      <c r="CP312" s="186">
        <f t="shared" si="355"/>
        <v>0</v>
      </c>
      <c r="CQ312" s="179">
        <f t="shared" si="378"/>
        <v>100</v>
      </c>
      <c r="CR312" s="30">
        <f t="shared" si="419"/>
        <v>3</v>
      </c>
      <c r="CS312" s="200">
        <f>_xlfn.XLOOKUP(C312, '1-1. 관계사체무보증금액 (환율 등)'!$3:$3, '1-1. 관계사체무보증금액 (환율 등)'!$33:$33)</f>
        <v>0</v>
      </c>
      <c r="CT312" s="178">
        <f t="shared" si="356"/>
        <v>0</v>
      </c>
      <c r="CU312" s="179">
        <f t="shared" si="379"/>
        <v>100</v>
      </c>
      <c r="CV312" s="30">
        <f t="shared" si="420"/>
        <v>2</v>
      </c>
      <c r="CW312" s="72">
        <f t="shared" si="384"/>
        <v>19.525057235206315</v>
      </c>
    </row>
    <row r="313" spans="1:101" x14ac:dyDescent="0.6">
      <c r="A313" s="214" t="s">
        <v>1961</v>
      </c>
      <c r="B313" s="13" t="s">
        <v>2294</v>
      </c>
      <c r="C313" s="219" t="s">
        <v>1962</v>
      </c>
      <c r="D313" s="14" t="s">
        <v>202</v>
      </c>
      <c r="E313" s="217" t="s">
        <v>954</v>
      </c>
      <c r="F313" s="217" t="s">
        <v>1963</v>
      </c>
      <c r="G313" s="218">
        <v>44270</v>
      </c>
      <c r="H313" s="217" t="s">
        <v>830</v>
      </c>
      <c r="I313" s="217" t="s">
        <v>1964</v>
      </c>
      <c r="J313" s="217" t="s">
        <v>1965</v>
      </c>
      <c r="K313" s="217" t="s">
        <v>50</v>
      </c>
      <c r="L313" s="220">
        <v>395294330</v>
      </c>
      <c r="M313" s="206">
        <v>302633820</v>
      </c>
      <c r="N313" s="206">
        <v>92660510</v>
      </c>
      <c r="O313" s="206">
        <v>657241500</v>
      </c>
      <c r="P313" s="206">
        <v>12719529</v>
      </c>
      <c r="Q313" s="206">
        <v>15411762</v>
      </c>
      <c r="R313" s="206">
        <v>12684598</v>
      </c>
      <c r="S313" s="207">
        <v>18993623</v>
      </c>
      <c r="T313" s="207">
        <v>2836</v>
      </c>
      <c r="U313" s="207">
        <v>4170110</v>
      </c>
      <c r="V313" s="207">
        <v>2560893</v>
      </c>
      <c r="W313" s="207">
        <v>0</v>
      </c>
      <c r="X313" s="207">
        <v>0</v>
      </c>
      <c r="Z313" s="207">
        <f>2141216+1758079</f>
        <v>3899295</v>
      </c>
      <c r="AA313" s="207">
        <v>0</v>
      </c>
      <c r="AB313" s="176">
        <f t="shared" si="380"/>
        <v>10630298</v>
      </c>
      <c r="AC313" s="177">
        <f t="shared" si="357"/>
        <v>55.967721376801052</v>
      </c>
      <c r="AD313" s="177">
        <f t="shared" si="381"/>
        <v>51.782749099423718</v>
      </c>
      <c r="AE313" s="26">
        <f t="shared" si="409"/>
        <v>1.5534824729827115</v>
      </c>
      <c r="AF313" s="178">
        <f t="shared" si="358"/>
        <v>35.44351795425856</v>
      </c>
      <c r="AG313" s="178">
        <f t="shared" si="359"/>
        <v>55.976079348370348</v>
      </c>
      <c r="AH313" s="178">
        <f t="shared" si="382"/>
        <v>20.532561394111788</v>
      </c>
      <c r="AI313" s="179">
        <f t="shared" si="383"/>
        <v>80</v>
      </c>
      <c r="AJ313" s="30">
        <f t="shared" si="410"/>
        <v>3.2</v>
      </c>
      <c r="AK313" s="204">
        <v>9</v>
      </c>
      <c r="AL313" s="204">
        <v>7</v>
      </c>
      <c r="AM313" s="204">
        <v>2</v>
      </c>
      <c r="AN313" s="181">
        <f t="shared" si="344"/>
        <v>16</v>
      </c>
      <c r="AO313" s="182">
        <f t="shared" si="345"/>
        <v>12.5</v>
      </c>
      <c r="AP313" s="183">
        <f t="shared" si="360"/>
        <v>80</v>
      </c>
      <c r="AQ313" s="38">
        <f t="shared" si="411"/>
        <v>1.6</v>
      </c>
      <c r="AR313" s="212">
        <v>3</v>
      </c>
      <c r="AS313" s="292">
        <f t="shared" si="346"/>
        <v>0.25</v>
      </c>
      <c r="AT313" s="185">
        <f t="shared" si="347"/>
        <v>2.25</v>
      </c>
      <c r="AU313" s="185">
        <f t="shared" si="361"/>
        <v>2</v>
      </c>
      <c r="AV313" s="186">
        <f t="shared" si="348"/>
        <v>11.111111111111111</v>
      </c>
      <c r="AW313" s="179">
        <f t="shared" si="362"/>
        <v>60</v>
      </c>
      <c r="AX313" s="239">
        <f t="shared" si="412"/>
        <v>0.6</v>
      </c>
      <c r="AY313" s="54">
        <v>8</v>
      </c>
      <c r="AZ313" s="54">
        <v>24</v>
      </c>
      <c r="BA313" s="189">
        <f t="shared" si="349"/>
        <v>24</v>
      </c>
      <c r="BB313" s="178">
        <f t="shared" si="363"/>
        <v>100</v>
      </c>
      <c r="BC313" s="179">
        <f t="shared" si="364"/>
        <v>100</v>
      </c>
      <c r="BD313" s="30">
        <f t="shared" si="413"/>
        <v>1</v>
      </c>
      <c r="BE313" s="190">
        <f>15980390</f>
        <v>15980390</v>
      </c>
      <c r="BF313" s="190">
        <v>2309595</v>
      </c>
      <c r="BG313" s="54">
        <v>470718</v>
      </c>
      <c r="BH313" s="191">
        <f t="shared" si="350"/>
        <v>18289985</v>
      </c>
      <c r="BI313" s="178">
        <f t="shared" si="351"/>
        <v>2.5736379772864768</v>
      </c>
      <c r="BJ313" s="294" t="str">
        <f t="shared" si="365"/>
        <v>전기전자/기계업</v>
      </c>
      <c r="BK313" s="192">
        <f t="shared" si="366"/>
        <v>2.4096449716116455</v>
      </c>
      <c r="BL313" s="193">
        <f t="shared" si="367"/>
        <v>0.16399300567483133</v>
      </c>
      <c r="BM313" s="241">
        <f t="shared" si="368"/>
        <v>60</v>
      </c>
      <c r="BN313" s="47">
        <f t="shared" si="369"/>
        <v>1.2</v>
      </c>
      <c r="BO313" s="54">
        <f>17286528-1140702</f>
        <v>16145826</v>
      </c>
      <c r="BP313" s="194">
        <f t="shared" si="352"/>
        <v>2.456604764002273</v>
      </c>
      <c r="BQ313" s="179">
        <f t="shared" si="370"/>
        <v>85</v>
      </c>
      <c r="BR313" s="30">
        <f t="shared" si="414"/>
        <v>1.7</v>
      </c>
      <c r="BS313" s="195">
        <v>8692005.8190000001</v>
      </c>
      <c r="BT313" s="195">
        <v>1611052.68</v>
      </c>
      <c r="BU313" s="196">
        <f t="shared" si="371"/>
        <v>7080953.1390000004</v>
      </c>
      <c r="BV313" s="178">
        <f t="shared" si="353"/>
        <v>1.077374623939602</v>
      </c>
      <c r="BW313" s="192">
        <f t="shared" si="372"/>
        <v>5.2309968128308268</v>
      </c>
      <c r="BX313" s="192">
        <f t="shared" si="373"/>
        <v>17.25257728804953</v>
      </c>
      <c r="BY313" s="192">
        <f t="shared" si="374"/>
        <v>7.0695458012309622</v>
      </c>
      <c r="BZ313" s="192">
        <f t="shared" si="375"/>
        <v>72.157856248463318</v>
      </c>
      <c r="CA313" s="192">
        <f t="shared" si="354"/>
        <v>40</v>
      </c>
      <c r="CB313" s="55">
        <f t="shared" si="376"/>
        <v>0.8</v>
      </c>
      <c r="CC313" s="197">
        <f t="shared" si="415"/>
        <v>326.60495825028374</v>
      </c>
      <c r="CD313" s="198">
        <f t="shared" si="416"/>
        <v>25</v>
      </c>
      <c r="CE313" s="58">
        <f t="shared" si="417"/>
        <v>0.375</v>
      </c>
      <c r="CF313" s="245" t="s">
        <v>2326</v>
      </c>
      <c r="CG313" s="245" t="s">
        <v>2326</v>
      </c>
      <c r="CH313" s="245" t="s">
        <v>2326</v>
      </c>
      <c r="CI313" s="245" t="s">
        <v>2326</v>
      </c>
      <c r="CJ313" s="235"/>
      <c r="CK313" s="173" t="s">
        <v>2541</v>
      </c>
      <c r="CL313" s="173" t="s">
        <v>2478</v>
      </c>
      <c r="CM313" s="199">
        <f t="shared" si="377"/>
        <v>25</v>
      </c>
      <c r="CN313" s="58">
        <f t="shared" si="418"/>
        <v>0.375</v>
      </c>
      <c r="CO313" s="54">
        <v>62009000</v>
      </c>
      <c r="CP313" s="186">
        <f t="shared" si="355"/>
        <v>66.920633180197271</v>
      </c>
      <c r="CQ313" s="179">
        <f t="shared" si="378"/>
        <v>40</v>
      </c>
      <c r="CR313" s="30">
        <f t="shared" si="419"/>
        <v>1.2</v>
      </c>
      <c r="CS313" s="200">
        <f>_xlfn.XLOOKUP(C313, '1-1. 관계사체무보증금액 (환율 등)'!$3:$3, '1-1. 관계사체무보증금액 (환율 등)'!$33:$33)</f>
        <v>87810100.115074798</v>
      </c>
      <c r="CT313" s="178">
        <f t="shared" si="356"/>
        <v>94.765396947496612</v>
      </c>
      <c r="CU313" s="179">
        <f t="shared" si="379"/>
        <v>40</v>
      </c>
      <c r="CV313" s="30">
        <f t="shared" si="420"/>
        <v>0.8</v>
      </c>
      <c r="CW313" s="72">
        <f t="shared" si="384"/>
        <v>14.403482472982711</v>
      </c>
    </row>
    <row r="314" spans="1:101" x14ac:dyDescent="0.6">
      <c r="A314" s="214" t="s">
        <v>1966</v>
      </c>
      <c r="B314" s="13" t="s">
        <v>2295</v>
      </c>
      <c r="C314" s="219" t="s">
        <v>456</v>
      </c>
      <c r="D314" s="216" t="s">
        <v>191</v>
      </c>
      <c r="E314" s="217" t="s">
        <v>359</v>
      </c>
      <c r="F314" s="217">
        <v>0</v>
      </c>
      <c r="G314" s="218">
        <v>42647</v>
      </c>
      <c r="H314" s="217" t="s">
        <v>830</v>
      </c>
      <c r="I314" s="217" t="s">
        <v>838</v>
      </c>
      <c r="J314" s="217" t="s">
        <v>674</v>
      </c>
      <c r="K314" s="217" t="s">
        <v>484</v>
      </c>
      <c r="L314" s="220">
        <v>385322070</v>
      </c>
      <c r="M314" s="206">
        <v>21439724</v>
      </c>
      <c r="N314" s="206">
        <v>363882347</v>
      </c>
      <c r="O314" s="206">
        <v>6697506</v>
      </c>
      <c r="P314" s="206">
        <v>3662683</v>
      </c>
      <c r="Q314" s="206">
        <v>13457274</v>
      </c>
      <c r="R314" s="206">
        <v>10765577</v>
      </c>
      <c r="S314" s="207">
        <v>60589276</v>
      </c>
      <c r="T314" s="207">
        <v>0</v>
      </c>
      <c r="U314" s="207">
        <f>43424285+170918</f>
        <v>43595203</v>
      </c>
      <c r="V314" s="207">
        <v>0</v>
      </c>
      <c r="W314" s="207">
        <f>1112+200+100+300</f>
        <v>1712</v>
      </c>
      <c r="X314" s="207">
        <v>0</v>
      </c>
      <c r="Z314" s="207">
        <v>0</v>
      </c>
      <c r="AA314" s="207">
        <v>0</v>
      </c>
      <c r="AB314" s="176">
        <f t="shared" si="380"/>
        <v>43596915</v>
      </c>
      <c r="AC314" s="177">
        <f t="shared" si="357"/>
        <v>71.954837354385944</v>
      </c>
      <c r="AD314" s="177">
        <f t="shared" si="381"/>
        <v>37.984892962267594</v>
      </c>
      <c r="AE314" s="26">
        <f t="shared" si="409"/>
        <v>1.1395467888680277</v>
      </c>
      <c r="AF314" s="178">
        <f t="shared" si="358"/>
        <v>71.95201177185217</v>
      </c>
      <c r="AG314" s="178">
        <f t="shared" si="359"/>
        <v>71.954837354385944</v>
      </c>
      <c r="AH314" s="178">
        <f t="shared" si="382"/>
        <v>2.8255825337737406E-3</v>
      </c>
      <c r="AI314" s="179">
        <f t="shared" si="383"/>
        <v>100</v>
      </c>
      <c r="AJ314" s="30">
        <f t="shared" si="410"/>
        <v>4</v>
      </c>
      <c r="AK314" s="204">
        <v>7</v>
      </c>
      <c r="AL314" s="204">
        <v>0</v>
      </c>
      <c r="AM314" s="204">
        <v>1</v>
      </c>
      <c r="AN314" s="181">
        <f t="shared" si="344"/>
        <v>7</v>
      </c>
      <c r="AO314" s="182">
        <f t="shared" si="345"/>
        <v>14.285714285714285</v>
      </c>
      <c r="AP314" s="183">
        <f t="shared" si="360"/>
        <v>80</v>
      </c>
      <c r="AQ314" s="38">
        <f t="shared" si="411"/>
        <v>1.6</v>
      </c>
      <c r="AR314" s="212">
        <v>3</v>
      </c>
      <c r="AS314" s="292">
        <f t="shared" si="346"/>
        <v>0.25</v>
      </c>
      <c r="AT314" s="185">
        <f t="shared" si="347"/>
        <v>1.75</v>
      </c>
      <c r="AU314" s="185">
        <f t="shared" si="361"/>
        <v>1</v>
      </c>
      <c r="AV314" s="186">
        <f t="shared" si="348"/>
        <v>28.571428571428569</v>
      </c>
      <c r="AW314" s="179">
        <f t="shared" si="362"/>
        <v>80</v>
      </c>
      <c r="AX314" s="239">
        <f t="shared" si="412"/>
        <v>0.8</v>
      </c>
      <c r="AY314" s="54">
        <v>18</v>
      </c>
      <c r="AZ314" s="54">
        <f>18*3</f>
        <v>54</v>
      </c>
      <c r="BA314" s="189">
        <f t="shared" si="349"/>
        <v>54</v>
      </c>
      <c r="BB314" s="178">
        <f t="shared" si="363"/>
        <v>100</v>
      </c>
      <c r="BC314" s="179">
        <f t="shared" si="364"/>
        <v>100</v>
      </c>
      <c r="BD314" s="30">
        <f t="shared" si="413"/>
        <v>1</v>
      </c>
      <c r="BE314" s="190">
        <v>979448</v>
      </c>
      <c r="BF314" s="190">
        <v>136529</v>
      </c>
      <c r="BG314" s="301">
        <v>0</v>
      </c>
      <c r="BH314" s="191">
        <f t="shared" si="350"/>
        <v>1115977</v>
      </c>
      <c r="BI314" s="178">
        <f t="shared" si="351"/>
        <v>0</v>
      </c>
      <c r="BJ314" s="294" t="str">
        <f t="shared" si="365"/>
        <v>식약/섬유/종이업</v>
      </c>
      <c r="BK314" s="192">
        <f t="shared" si="366"/>
        <v>2.1999360555264444</v>
      </c>
      <c r="BL314" s="193">
        <f t="shared" si="367"/>
        <v>-2.1999360555264444</v>
      </c>
      <c r="BM314" s="241">
        <f t="shared" si="368"/>
        <v>100</v>
      </c>
      <c r="BN314" s="47">
        <f t="shared" si="369"/>
        <v>2</v>
      </c>
      <c r="BO314" s="54">
        <v>28030</v>
      </c>
      <c r="BP314" s="194">
        <f t="shared" si="352"/>
        <v>0.41851399610541601</v>
      </c>
      <c r="BQ314" s="179">
        <f t="shared" si="370"/>
        <v>55</v>
      </c>
      <c r="BR314" s="30">
        <f t="shared" si="414"/>
        <v>1.1000000000000001</v>
      </c>
      <c r="BS314" s="195">
        <v>296321</v>
      </c>
      <c r="BT314" s="195">
        <v>0</v>
      </c>
      <c r="BU314" s="196">
        <f t="shared" si="371"/>
        <v>296321</v>
      </c>
      <c r="BV314" s="178">
        <f t="shared" si="353"/>
        <v>4.4243484067054215</v>
      </c>
      <c r="BW314" s="192">
        <f t="shared" si="372"/>
        <v>5.0508176117342281</v>
      </c>
      <c r="BX314" s="192">
        <f t="shared" si="373"/>
        <v>0.39246366484942485</v>
      </c>
      <c r="BY314" s="192">
        <f t="shared" si="374"/>
        <v>6.9871618081220941</v>
      </c>
      <c r="BZ314" s="192">
        <f t="shared" si="375"/>
        <v>53.572131414816226</v>
      </c>
      <c r="CA314" s="192">
        <f t="shared" si="354"/>
        <v>55</v>
      </c>
      <c r="CB314" s="55">
        <f t="shared" si="376"/>
        <v>1.1000000000000001</v>
      </c>
      <c r="CC314" s="197">
        <f t="shared" si="415"/>
        <v>5.8919384731790796</v>
      </c>
      <c r="CD314" s="198">
        <f t="shared" si="416"/>
        <v>98.156304595535516</v>
      </c>
      <c r="CE314" s="58">
        <f t="shared" si="417"/>
        <v>1.4723445689330328</v>
      </c>
      <c r="CF314" s="245" t="s">
        <v>2326</v>
      </c>
      <c r="CG314" s="245" t="s">
        <v>2326</v>
      </c>
      <c r="CH314" s="245" t="s">
        <v>2326</v>
      </c>
      <c r="CI314" s="245" t="s">
        <v>2326</v>
      </c>
      <c r="CJ314" s="235"/>
      <c r="CK314" s="173" t="s">
        <v>2479</v>
      </c>
      <c r="CL314" s="173" t="s">
        <v>2478</v>
      </c>
      <c r="CM314" s="199">
        <f t="shared" si="377"/>
        <v>25</v>
      </c>
      <c r="CN314" s="58">
        <f t="shared" si="418"/>
        <v>0.375</v>
      </c>
      <c r="CO314" s="54">
        <f>219249000-182000</f>
        <v>219067000</v>
      </c>
      <c r="CP314" s="186">
        <f t="shared" si="355"/>
        <v>60.202700627299187</v>
      </c>
      <c r="CQ314" s="179">
        <f t="shared" si="378"/>
        <v>40</v>
      </c>
      <c r="CR314" s="30">
        <f t="shared" si="419"/>
        <v>1.2</v>
      </c>
      <c r="CS314" s="200">
        <f>_xlfn.XLOOKUP(C314, '1-1. 관계사체무보증금액 (환율 등)'!$3:$3, '1-1. 관계사체무보증금액 (환율 등)'!$33:$33)</f>
        <v>492639669.62025309</v>
      </c>
      <c r="CT314" s="178">
        <f t="shared" si="356"/>
        <v>135.38432784161773</v>
      </c>
      <c r="CU314" s="179">
        <f t="shared" si="379"/>
        <v>20</v>
      </c>
      <c r="CV314" s="30">
        <f t="shared" si="420"/>
        <v>0.4</v>
      </c>
      <c r="CW314" s="72">
        <f t="shared" si="384"/>
        <v>16.186891357801056</v>
      </c>
    </row>
    <row r="315" spans="1:101" x14ac:dyDescent="0.6">
      <c r="A315" s="214" t="s">
        <v>110</v>
      </c>
      <c r="B315" s="13" t="s">
        <v>2296</v>
      </c>
      <c r="C315" s="219" t="s">
        <v>415</v>
      </c>
      <c r="D315" s="216" t="s">
        <v>202</v>
      </c>
      <c r="E315" s="217" t="s">
        <v>572</v>
      </c>
      <c r="F315" s="217" t="s">
        <v>140</v>
      </c>
      <c r="G315" s="218">
        <v>36482</v>
      </c>
      <c r="H315" s="217" t="s">
        <v>830</v>
      </c>
      <c r="I315" s="217" t="s">
        <v>574</v>
      </c>
      <c r="J315" s="217" t="s">
        <v>1128</v>
      </c>
      <c r="K315" s="217" t="s">
        <v>487</v>
      </c>
      <c r="L315" s="220">
        <v>431960683</v>
      </c>
      <c r="M315" s="206">
        <v>113198118</v>
      </c>
      <c r="N315" s="206">
        <v>318762565</v>
      </c>
      <c r="O315" s="206">
        <v>214284471</v>
      </c>
      <c r="P315" s="206">
        <v>4478641</v>
      </c>
      <c r="Q315" s="206">
        <v>40192166</v>
      </c>
      <c r="R315" s="206">
        <v>33648333</v>
      </c>
      <c r="S315" s="207">
        <v>2200000</v>
      </c>
      <c r="T315" s="207">
        <v>0</v>
      </c>
      <c r="U315" s="207">
        <v>514541</v>
      </c>
      <c r="V315" s="207">
        <f>1073167-514541-65817</f>
        <v>492809</v>
      </c>
      <c r="W315" s="207">
        <v>0</v>
      </c>
      <c r="X315" s="207">
        <v>65817</v>
      </c>
      <c r="Y315" s="208" t="s">
        <v>2474</v>
      </c>
      <c r="Z315" s="207">
        <v>0</v>
      </c>
      <c r="AA315" s="207">
        <v>0</v>
      </c>
      <c r="AB315" s="176">
        <f t="shared" si="380"/>
        <v>1073167</v>
      </c>
      <c r="AC315" s="177">
        <f t="shared" si="357"/>
        <v>48.780318181818181</v>
      </c>
      <c r="AD315" s="177">
        <f t="shared" si="381"/>
        <v>57.985916413850831</v>
      </c>
      <c r="AE315" s="26">
        <f t="shared" si="409"/>
        <v>1.739577492415525</v>
      </c>
      <c r="AF315" s="178">
        <f t="shared" si="358"/>
        <v>45.788636363636364</v>
      </c>
      <c r="AG315" s="178">
        <f t="shared" si="359"/>
        <v>48.780318181818181</v>
      </c>
      <c r="AH315" s="178">
        <f t="shared" si="382"/>
        <v>2.9916818181818172</v>
      </c>
      <c r="AI315" s="179">
        <f t="shared" si="383"/>
        <v>100</v>
      </c>
      <c r="AJ315" s="30">
        <f t="shared" si="410"/>
        <v>4</v>
      </c>
      <c r="AK315" s="204">
        <v>9</v>
      </c>
      <c r="AL315" s="204">
        <v>17</v>
      </c>
      <c r="AM315" s="204">
        <v>5</v>
      </c>
      <c r="AN315" s="181">
        <f t="shared" si="344"/>
        <v>26</v>
      </c>
      <c r="AO315" s="182">
        <f t="shared" si="345"/>
        <v>19.230769230769234</v>
      </c>
      <c r="AP315" s="183">
        <f t="shared" si="360"/>
        <v>80</v>
      </c>
      <c r="AQ315" s="38">
        <f t="shared" si="411"/>
        <v>1.6</v>
      </c>
      <c r="AR315" s="212">
        <v>2</v>
      </c>
      <c r="AS315" s="292">
        <f t="shared" si="346"/>
        <v>0.25</v>
      </c>
      <c r="AT315" s="185">
        <f t="shared" si="347"/>
        <v>2.25</v>
      </c>
      <c r="AU315" s="185">
        <f t="shared" si="361"/>
        <v>2</v>
      </c>
      <c r="AV315" s="186">
        <f t="shared" si="348"/>
        <v>0</v>
      </c>
      <c r="AW315" s="179">
        <f t="shared" si="362"/>
        <v>40</v>
      </c>
      <c r="AX315" s="239">
        <f t="shared" si="412"/>
        <v>0.4</v>
      </c>
      <c r="AY315" s="54">
        <v>4</v>
      </c>
      <c r="AZ315" s="54">
        <v>8</v>
      </c>
      <c r="BA315" s="189">
        <f t="shared" si="349"/>
        <v>8</v>
      </c>
      <c r="BB315" s="178">
        <f t="shared" si="363"/>
        <v>100</v>
      </c>
      <c r="BC315" s="179">
        <f t="shared" si="364"/>
        <v>100</v>
      </c>
      <c r="BD315" s="30">
        <f t="shared" si="413"/>
        <v>1</v>
      </c>
      <c r="BE315" s="190">
        <v>7651205</v>
      </c>
      <c r="BF315" s="190">
        <v>167422</v>
      </c>
      <c r="BG315" s="54">
        <v>102679</v>
      </c>
      <c r="BH315" s="191">
        <f t="shared" si="350"/>
        <v>7818627</v>
      </c>
      <c r="BI315" s="178">
        <f t="shared" si="351"/>
        <v>1.3132612669718098</v>
      </c>
      <c r="BJ315" s="294" t="str">
        <f t="shared" si="365"/>
        <v>전기전자/기계업</v>
      </c>
      <c r="BK315" s="192">
        <f t="shared" si="366"/>
        <v>2.4096449716116455</v>
      </c>
      <c r="BL315" s="193">
        <f t="shared" si="367"/>
        <v>-1.0963837046398357</v>
      </c>
      <c r="BM315" s="241">
        <f t="shared" si="368"/>
        <v>80</v>
      </c>
      <c r="BN315" s="47">
        <f t="shared" si="369"/>
        <v>1.6</v>
      </c>
      <c r="BO315" s="54">
        <v>6160218</v>
      </c>
      <c r="BP315" s="194">
        <f t="shared" si="352"/>
        <v>2.8747850795030314</v>
      </c>
      <c r="BQ315" s="179">
        <f t="shared" si="370"/>
        <v>85</v>
      </c>
      <c r="BR315" s="30">
        <f t="shared" si="414"/>
        <v>1.7</v>
      </c>
      <c r="BS315" s="195">
        <v>5585655.0470000003</v>
      </c>
      <c r="BT315" s="195">
        <v>46700</v>
      </c>
      <c r="BU315" s="196">
        <f t="shared" si="371"/>
        <v>5538955.0470000003</v>
      </c>
      <c r="BV315" s="178">
        <f t="shared" si="353"/>
        <v>2.5848606859617003</v>
      </c>
      <c r="BW315" s="192">
        <f t="shared" si="372"/>
        <v>5.2309968128308268</v>
      </c>
      <c r="BX315" s="192">
        <f t="shared" si="373"/>
        <v>7.0020364019219423</v>
      </c>
      <c r="BY315" s="192">
        <f t="shared" si="374"/>
        <v>7.0695458012309622</v>
      </c>
      <c r="BZ315" s="192">
        <f t="shared" si="375"/>
        <v>64.590970405013394</v>
      </c>
      <c r="CA315" s="192">
        <f t="shared" si="354"/>
        <v>40</v>
      </c>
      <c r="CB315" s="55">
        <f t="shared" si="376"/>
        <v>0.8</v>
      </c>
      <c r="CC315" s="197">
        <f t="shared" si="415"/>
        <v>35.511735200148109</v>
      </c>
      <c r="CD315" s="198">
        <f t="shared" si="416"/>
        <v>86.993064623059752</v>
      </c>
      <c r="CE315" s="58">
        <f t="shared" si="417"/>
        <v>1.3048959693458961</v>
      </c>
      <c r="CF315" s="245" t="s">
        <v>2326</v>
      </c>
      <c r="CG315" s="245" t="s">
        <v>2326</v>
      </c>
      <c r="CH315" s="245" t="s">
        <v>2326</v>
      </c>
      <c r="CI315" s="245" t="s">
        <v>2326</v>
      </c>
      <c r="CJ315" s="235"/>
      <c r="CK315" s="173" t="s">
        <v>2479</v>
      </c>
      <c r="CL315" s="173" t="s">
        <v>2478</v>
      </c>
      <c r="CM315" s="199">
        <f t="shared" si="377"/>
        <v>25</v>
      </c>
      <c r="CN315" s="58">
        <f t="shared" si="418"/>
        <v>0.375</v>
      </c>
      <c r="CO315" s="54">
        <f>133061000-76429000-3388000-4500000-1000000</f>
        <v>47744000</v>
      </c>
      <c r="CP315" s="186">
        <f t="shared" si="355"/>
        <v>14.977919380213295</v>
      </c>
      <c r="CQ315" s="179">
        <f t="shared" si="378"/>
        <v>60</v>
      </c>
      <c r="CR315" s="30">
        <f t="shared" si="419"/>
        <v>1.7999999999999998</v>
      </c>
      <c r="CS315" s="200">
        <f>_xlfn.XLOOKUP(C315, '1-1. 관계사체무보증금액 (환율 등)'!$3:$3, '1-1. 관계사체무보증금액 (환율 등)'!$33:$33)</f>
        <v>0</v>
      </c>
      <c r="CT315" s="178">
        <f t="shared" si="356"/>
        <v>0</v>
      </c>
      <c r="CU315" s="179">
        <f t="shared" si="379"/>
        <v>100</v>
      </c>
      <c r="CV315" s="30">
        <f t="shared" si="420"/>
        <v>2</v>
      </c>
      <c r="CW315" s="72">
        <f t="shared" si="384"/>
        <v>18.319473461761422</v>
      </c>
    </row>
    <row r="316" spans="1:101" x14ac:dyDescent="0.6">
      <c r="A316" s="214" t="s">
        <v>526</v>
      </c>
      <c r="B316" s="13" t="s">
        <v>2297</v>
      </c>
      <c r="C316" s="219" t="s">
        <v>294</v>
      </c>
      <c r="D316" s="216" t="s">
        <v>203</v>
      </c>
      <c r="E316" s="217" t="s">
        <v>200</v>
      </c>
      <c r="F316" s="217" t="s">
        <v>614</v>
      </c>
      <c r="G316" s="218">
        <v>40115</v>
      </c>
      <c r="H316" s="217" t="s">
        <v>830</v>
      </c>
      <c r="I316" s="217" t="s">
        <v>841</v>
      </c>
      <c r="J316" s="217" t="s">
        <v>1127</v>
      </c>
      <c r="K316" s="217" t="s">
        <v>690</v>
      </c>
      <c r="L316" s="220">
        <v>292166785</v>
      </c>
      <c r="M316" s="206">
        <v>44275143</v>
      </c>
      <c r="N316" s="206">
        <v>247891642</v>
      </c>
      <c r="O316" s="206">
        <v>161284519</v>
      </c>
      <c r="P316" s="206">
        <v>27840640</v>
      </c>
      <c r="Q316" s="206">
        <v>28718534</v>
      </c>
      <c r="R316" s="206">
        <v>22454629</v>
      </c>
      <c r="S316" s="207">
        <v>17000000</v>
      </c>
      <c r="T316" s="207">
        <v>11218</v>
      </c>
      <c r="U316" s="207">
        <v>5364271</v>
      </c>
      <c r="V316" s="207">
        <f>1588234+1504224+744609</f>
        <v>3837067</v>
      </c>
      <c r="W316" s="207">
        <v>0</v>
      </c>
      <c r="X316" s="207">
        <v>0</v>
      </c>
      <c r="Z316" s="207">
        <v>0</v>
      </c>
      <c r="AA316" s="207">
        <v>0</v>
      </c>
      <c r="AB316" s="176">
        <f t="shared" si="380"/>
        <v>9201338</v>
      </c>
      <c r="AC316" s="177">
        <f t="shared" si="357"/>
        <v>54.125517647058821</v>
      </c>
      <c r="AD316" s="177">
        <f t="shared" si="381"/>
        <v>53.372683273539572</v>
      </c>
      <c r="AE316" s="26">
        <f t="shared" si="409"/>
        <v>1.601180498206187</v>
      </c>
      <c r="AF316" s="178">
        <f t="shared" si="358"/>
        <v>54.161257705231606</v>
      </c>
      <c r="AG316" s="178">
        <f t="shared" si="359"/>
        <v>54.161257705231606</v>
      </c>
      <c r="AH316" s="178">
        <f t="shared" si="382"/>
        <v>0</v>
      </c>
      <c r="AI316" s="179">
        <f t="shared" si="383"/>
        <v>100</v>
      </c>
      <c r="AJ316" s="30">
        <f t="shared" si="410"/>
        <v>4</v>
      </c>
      <c r="AK316" s="204">
        <v>5</v>
      </c>
      <c r="AL316" s="204">
        <v>3</v>
      </c>
      <c r="AM316" s="204">
        <v>1</v>
      </c>
      <c r="AN316" s="181">
        <f t="shared" si="344"/>
        <v>8</v>
      </c>
      <c r="AO316" s="182">
        <f t="shared" si="345"/>
        <v>12.5</v>
      </c>
      <c r="AP316" s="183">
        <f t="shared" si="360"/>
        <v>80</v>
      </c>
      <c r="AQ316" s="38">
        <f t="shared" si="411"/>
        <v>1.6</v>
      </c>
      <c r="AR316" s="212">
        <v>1</v>
      </c>
      <c r="AS316" s="292">
        <f t="shared" si="346"/>
        <v>0.25</v>
      </c>
      <c r="AT316" s="185">
        <f t="shared" si="347"/>
        <v>1.25</v>
      </c>
      <c r="AU316" s="185">
        <f t="shared" si="361"/>
        <v>1</v>
      </c>
      <c r="AV316" s="186">
        <f t="shared" si="348"/>
        <v>0</v>
      </c>
      <c r="AW316" s="179">
        <f t="shared" si="362"/>
        <v>40</v>
      </c>
      <c r="AX316" s="239">
        <f t="shared" si="412"/>
        <v>0.4</v>
      </c>
      <c r="AY316" s="54">
        <v>11</v>
      </c>
      <c r="AZ316" s="54">
        <v>11</v>
      </c>
      <c r="BA316" s="189">
        <f t="shared" si="349"/>
        <v>11</v>
      </c>
      <c r="BB316" s="178">
        <f t="shared" si="363"/>
        <v>100</v>
      </c>
      <c r="BC316" s="179">
        <f t="shared" si="364"/>
        <v>100</v>
      </c>
      <c r="BD316" s="30">
        <f t="shared" si="413"/>
        <v>1</v>
      </c>
      <c r="BE316" s="190">
        <v>3276556</v>
      </c>
      <c r="BF316" s="190">
        <v>277587</v>
      </c>
      <c r="BG316" s="54">
        <v>35980</v>
      </c>
      <c r="BH316" s="191">
        <f t="shared" si="350"/>
        <v>3554143</v>
      </c>
      <c r="BI316" s="178">
        <f t="shared" si="351"/>
        <v>1.0123396835749152</v>
      </c>
      <c r="BJ316" s="294" t="str">
        <f t="shared" si="365"/>
        <v>금속/비금속/화학업</v>
      </c>
      <c r="BK316" s="192">
        <f t="shared" si="366"/>
        <v>3.9534118626990464</v>
      </c>
      <c r="BL316" s="193">
        <f t="shared" si="367"/>
        <v>-2.9410721791241312</v>
      </c>
      <c r="BM316" s="241">
        <f t="shared" si="368"/>
        <v>100</v>
      </c>
      <c r="BN316" s="47">
        <f t="shared" si="369"/>
        <v>2</v>
      </c>
      <c r="BO316" s="54">
        <v>2824000</v>
      </c>
      <c r="BP316" s="194">
        <f t="shared" si="352"/>
        <v>1.7509430027813147</v>
      </c>
      <c r="BQ316" s="179">
        <f t="shared" si="370"/>
        <v>70</v>
      </c>
      <c r="BR316" s="30">
        <f t="shared" si="414"/>
        <v>1.4000000000000001</v>
      </c>
      <c r="BS316" s="195">
        <v>298099.02799999999</v>
      </c>
      <c r="BT316" s="195">
        <v>435505.81900000002</v>
      </c>
      <c r="BU316" s="196">
        <f t="shared" si="371"/>
        <v>-137406.79100000003</v>
      </c>
      <c r="BV316" s="178">
        <f t="shared" si="353"/>
        <v>-8.5195275933457715E-2</v>
      </c>
      <c r="BW316" s="192">
        <f t="shared" si="372"/>
        <v>5.1474158565187729</v>
      </c>
      <c r="BX316" s="192">
        <f t="shared" si="373"/>
        <v>27.380219263463019</v>
      </c>
      <c r="BY316" s="192">
        <f t="shared" si="374"/>
        <v>6.6930498535228526</v>
      </c>
      <c r="BZ316" s="192">
        <f t="shared" si="375"/>
        <v>78.283327015054866</v>
      </c>
      <c r="CA316" s="192">
        <f t="shared" si="354"/>
        <v>40</v>
      </c>
      <c r="CB316" s="55">
        <f t="shared" si="376"/>
        <v>0.8</v>
      </c>
      <c r="CC316" s="197">
        <f t="shared" si="415"/>
        <v>17.860684064531711</v>
      </c>
      <c r="CD316" s="198">
        <f t="shared" si="416"/>
        <v>93.645470829950355</v>
      </c>
      <c r="CE316" s="58">
        <f t="shared" si="417"/>
        <v>1.4046820624492553</v>
      </c>
      <c r="CF316" s="245" t="s">
        <v>2326</v>
      </c>
      <c r="CG316" s="245" t="s">
        <v>2326</v>
      </c>
      <c r="CH316" s="245" t="s">
        <v>2326</v>
      </c>
      <c r="CI316" s="245" t="s">
        <v>2326</v>
      </c>
      <c r="CJ316" s="235"/>
      <c r="CK316" s="173" t="s">
        <v>2542</v>
      </c>
      <c r="CL316" s="173" t="s">
        <v>2487</v>
      </c>
      <c r="CM316" s="199">
        <f t="shared" si="377"/>
        <v>70</v>
      </c>
      <c r="CN316" s="58">
        <f t="shared" si="418"/>
        <v>1.05</v>
      </c>
      <c r="CO316" s="54">
        <v>105569000</v>
      </c>
      <c r="CP316" s="186">
        <f t="shared" si="355"/>
        <v>42.586752481150612</v>
      </c>
      <c r="CQ316" s="179">
        <f t="shared" si="378"/>
        <v>40</v>
      </c>
      <c r="CR316" s="30">
        <f t="shared" si="419"/>
        <v>1.2</v>
      </c>
      <c r="CS316" s="200">
        <f>_xlfn.XLOOKUP(C316, '1-1. 관계사체무보증금액 (환율 등)'!$3:$3, '1-1. 관계사체무보증금액 (환율 등)'!$33:$33)</f>
        <v>0</v>
      </c>
      <c r="CT316" s="178">
        <f t="shared" si="356"/>
        <v>0</v>
      </c>
      <c r="CU316" s="179">
        <f t="shared" si="379"/>
        <v>100</v>
      </c>
      <c r="CV316" s="30">
        <f t="shared" si="420"/>
        <v>2</v>
      </c>
      <c r="CW316" s="72">
        <f t="shared" si="384"/>
        <v>18.455862560655444</v>
      </c>
    </row>
    <row r="317" spans="1:101" x14ac:dyDescent="0.6">
      <c r="A317" s="214" t="s">
        <v>926</v>
      </c>
      <c r="B317" s="13" t="s">
        <v>2298</v>
      </c>
      <c r="C317" s="219" t="s">
        <v>10</v>
      </c>
      <c r="D317" s="216" t="s">
        <v>285</v>
      </c>
      <c r="E317" s="217" t="s">
        <v>619</v>
      </c>
      <c r="F317" s="217" t="s">
        <v>667</v>
      </c>
      <c r="G317" s="218">
        <v>39380</v>
      </c>
      <c r="H317" s="217" t="s">
        <v>830</v>
      </c>
      <c r="I317" s="217" t="s">
        <v>705</v>
      </c>
      <c r="J317" s="217" t="s">
        <v>1214</v>
      </c>
      <c r="K317" s="217" t="s">
        <v>91</v>
      </c>
      <c r="L317" s="220">
        <v>176403782</v>
      </c>
      <c r="M317" s="206">
        <v>111131085</v>
      </c>
      <c r="N317" s="206">
        <v>65272696</v>
      </c>
      <c r="O317" s="206">
        <v>510498450</v>
      </c>
      <c r="P317" s="206">
        <v>22273886</v>
      </c>
      <c r="Q317" s="206">
        <v>19802511</v>
      </c>
      <c r="R317" s="206">
        <v>15083749</v>
      </c>
      <c r="S317" s="207">
        <v>11558200</v>
      </c>
      <c r="T317" s="207">
        <v>519835</v>
      </c>
      <c r="U317" s="207">
        <v>4382245</v>
      </c>
      <c r="V317" s="207">
        <v>0</v>
      </c>
      <c r="W317" s="207">
        <f>25000+3000+3700</f>
        <v>31700</v>
      </c>
      <c r="X317" s="207">
        <v>0</v>
      </c>
      <c r="Z317" s="207">
        <f>3512445+519835</f>
        <v>4032280</v>
      </c>
      <c r="AA317" s="207">
        <v>0</v>
      </c>
      <c r="AB317" s="176">
        <f t="shared" si="380"/>
        <v>8446225</v>
      </c>
      <c r="AC317" s="177">
        <f t="shared" si="357"/>
        <v>73.075608658787701</v>
      </c>
      <c r="AD317" s="177">
        <f t="shared" si="381"/>
        <v>37.017598971126844</v>
      </c>
      <c r="AE317" s="26">
        <f t="shared" si="409"/>
        <v>1.1105279691338052</v>
      </c>
      <c r="AF317" s="178">
        <f t="shared" si="358"/>
        <v>39.700127691012213</v>
      </c>
      <c r="AG317" s="178">
        <f t="shared" si="359"/>
        <v>76.516993232240466</v>
      </c>
      <c r="AH317" s="178">
        <f t="shared" si="382"/>
        <v>36.816865541228253</v>
      </c>
      <c r="AI317" s="179">
        <f t="shared" si="383"/>
        <v>60</v>
      </c>
      <c r="AJ317" s="30">
        <f t="shared" si="410"/>
        <v>2.4</v>
      </c>
      <c r="AK317" s="204">
        <v>5</v>
      </c>
      <c r="AL317" s="204">
        <v>15</v>
      </c>
      <c r="AM317" s="204">
        <v>1</v>
      </c>
      <c r="AN317" s="181">
        <f t="shared" si="344"/>
        <v>20</v>
      </c>
      <c r="AO317" s="182">
        <f t="shared" si="345"/>
        <v>5</v>
      </c>
      <c r="AP317" s="183">
        <f t="shared" si="360"/>
        <v>100</v>
      </c>
      <c r="AQ317" s="38">
        <f t="shared" si="411"/>
        <v>2</v>
      </c>
      <c r="AR317" s="212">
        <v>2</v>
      </c>
      <c r="AS317" s="292">
        <f t="shared" si="346"/>
        <v>0.25</v>
      </c>
      <c r="AT317" s="185">
        <f t="shared" si="347"/>
        <v>1.25</v>
      </c>
      <c r="AU317" s="185">
        <f t="shared" si="361"/>
        <v>1</v>
      </c>
      <c r="AV317" s="186">
        <f t="shared" si="348"/>
        <v>20</v>
      </c>
      <c r="AW317" s="179">
        <f t="shared" si="362"/>
        <v>80</v>
      </c>
      <c r="AX317" s="239">
        <f t="shared" si="412"/>
        <v>0.8</v>
      </c>
      <c r="AY317" s="54">
        <v>15</v>
      </c>
      <c r="AZ317" s="54">
        <f>30-1</f>
        <v>29</v>
      </c>
      <c r="BA317" s="189">
        <f t="shared" si="349"/>
        <v>30</v>
      </c>
      <c r="BB317" s="178">
        <f t="shared" si="363"/>
        <v>96.666666666666671</v>
      </c>
      <c r="BC317" s="179">
        <f t="shared" si="364"/>
        <v>100</v>
      </c>
      <c r="BD317" s="30">
        <f t="shared" si="413"/>
        <v>1</v>
      </c>
      <c r="BE317" s="190">
        <v>15450998</v>
      </c>
      <c r="BF317" s="190">
        <v>1587722</v>
      </c>
      <c r="BG317" s="54">
        <v>708939</v>
      </c>
      <c r="BH317" s="191">
        <f t="shared" si="350"/>
        <v>17038720</v>
      </c>
      <c r="BI317" s="178">
        <f t="shared" si="351"/>
        <v>4.1607526856477488</v>
      </c>
      <c r="BJ317" s="294" t="str">
        <f t="shared" si="365"/>
        <v>비제조/서비스업</v>
      </c>
      <c r="BK317" s="192">
        <f t="shared" si="366"/>
        <v>1.7464434573900924</v>
      </c>
      <c r="BL317" s="193">
        <f t="shared" si="367"/>
        <v>2.4143092282576566</v>
      </c>
      <c r="BM317" s="241">
        <f t="shared" si="368"/>
        <v>40</v>
      </c>
      <c r="BN317" s="47">
        <f t="shared" si="369"/>
        <v>0.8</v>
      </c>
      <c r="BO317" s="54">
        <v>7447401</v>
      </c>
      <c r="BP317" s="194">
        <f t="shared" si="352"/>
        <v>1.4588488956234833</v>
      </c>
      <c r="BQ317" s="179">
        <f t="shared" si="370"/>
        <v>70</v>
      </c>
      <c r="BR317" s="30">
        <f t="shared" si="414"/>
        <v>1.4000000000000001</v>
      </c>
      <c r="BS317" s="195">
        <v>9186136.7689999994</v>
      </c>
      <c r="BT317" s="195">
        <v>30008</v>
      </c>
      <c r="BU317" s="196">
        <f t="shared" si="371"/>
        <v>9156128.7689999994</v>
      </c>
      <c r="BV317" s="178">
        <f t="shared" si="353"/>
        <v>1.7935664190557286</v>
      </c>
      <c r="BW317" s="192">
        <f t="shared" si="372"/>
        <v>2.8482825397737606</v>
      </c>
      <c r="BX317" s="192">
        <f t="shared" si="373"/>
        <v>1.1124260953024943</v>
      </c>
      <c r="BY317" s="192">
        <f t="shared" si="374"/>
        <v>5.5697595856656799</v>
      </c>
      <c r="BZ317" s="192">
        <f t="shared" si="375"/>
        <v>57.509652422872335</v>
      </c>
      <c r="CA317" s="192">
        <f t="shared" si="354"/>
        <v>55</v>
      </c>
      <c r="CB317" s="55">
        <f t="shared" si="376"/>
        <v>1.1000000000000001</v>
      </c>
      <c r="CC317" s="197">
        <f t="shared" si="415"/>
        <v>170.25661847949408</v>
      </c>
      <c r="CD317" s="198">
        <f t="shared" si="416"/>
        <v>36.209817155969567</v>
      </c>
      <c r="CE317" s="58">
        <f t="shared" si="417"/>
        <v>0.5431472573395435</v>
      </c>
      <c r="CF317" s="245" t="s">
        <v>2326</v>
      </c>
      <c r="CG317" s="245" t="s">
        <v>2326</v>
      </c>
      <c r="CH317" s="245" t="s">
        <v>2326</v>
      </c>
      <c r="CI317" s="245" t="s">
        <v>2326</v>
      </c>
      <c r="CJ317" s="235"/>
      <c r="CK317" s="173" t="s">
        <v>2527</v>
      </c>
      <c r="CL317" s="173" t="s">
        <v>2487</v>
      </c>
      <c r="CM317" s="199">
        <f t="shared" si="377"/>
        <v>70</v>
      </c>
      <c r="CN317" s="58">
        <f t="shared" si="418"/>
        <v>1.05</v>
      </c>
      <c r="CO317" s="54">
        <v>500000</v>
      </c>
      <c r="CP317" s="186">
        <f t="shared" si="355"/>
        <v>0.76601708009731972</v>
      </c>
      <c r="CQ317" s="179">
        <f t="shared" si="378"/>
        <v>100</v>
      </c>
      <c r="CR317" s="30">
        <f t="shared" si="419"/>
        <v>3</v>
      </c>
      <c r="CS317" s="200">
        <f>_xlfn.XLOOKUP(C317, '1-1. 관계사체무보증금액 (환율 등)'!$3:$3, '1-1. 관계사체무보증금액 (환율 등)'!$33:$33)</f>
        <v>0</v>
      </c>
      <c r="CT317" s="178">
        <f t="shared" si="356"/>
        <v>0</v>
      </c>
      <c r="CU317" s="179">
        <f t="shared" si="379"/>
        <v>100</v>
      </c>
      <c r="CV317" s="30">
        <f t="shared" si="420"/>
        <v>2</v>
      </c>
      <c r="CW317" s="72">
        <f t="shared" si="384"/>
        <v>17.203675226473351</v>
      </c>
    </row>
    <row r="318" spans="1:101" x14ac:dyDescent="0.6">
      <c r="A318" s="214" t="s">
        <v>1967</v>
      </c>
      <c r="B318" s="13" t="s">
        <v>2299</v>
      </c>
      <c r="C318" s="219" t="s">
        <v>1968</v>
      </c>
      <c r="D318" s="14" t="s">
        <v>203</v>
      </c>
      <c r="E318" s="217" t="s">
        <v>240</v>
      </c>
      <c r="F318" s="217" t="s">
        <v>1969</v>
      </c>
      <c r="G318" s="218">
        <v>43294</v>
      </c>
      <c r="H318" s="217" t="s">
        <v>830</v>
      </c>
      <c r="I318" s="217" t="s">
        <v>1970</v>
      </c>
      <c r="J318" s="217" t="s">
        <v>1971</v>
      </c>
      <c r="K318" s="217" t="s">
        <v>91</v>
      </c>
      <c r="L318" s="220">
        <v>1354651786</v>
      </c>
      <c r="M318" s="206">
        <v>616821573</v>
      </c>
      <c r="N318" s="206">
        <v>737830213</v>
      </c>
      <c r="O318" s="206">
        <v>858081181</v>
      </c>
      <c r="P318" s="206">
        <v>96465703</v>
      </c>
      <c r="Q318" s="206">
        <v>259022901</v>
      </c>
      <c r="R318" s="206">
        <v>212549126</v>
      </c>
      <c r="S318" s="207">
        <v>4479948</v>
      </c>
      <c r="T318" s="207">
        <v>11926</v>
      </c>
      <c r="U318" s="207">
        <v>949839</v>
      </c>
      <c r="V318" s="207">
        <f>2002207-949839-460</f>
        <v>1051908</v>
      </c>
      <c r="W318" s="207">
        <f>460+104+63</f>
        <v>627</v>
      </c>
      <c r="X318" s="207">
        <v>0</v>
      </c>
      <c r="Z318" s="207">
        <v>0</v>
      </c>
      <c r="AA318" s="207">
        <v>0</v>
      </c>
      <c r="AB318" s="176">
        <f t="shared" si="380"/>
        <v>2002374</v>
      </c>
      <c r="AC318" s="177">
        <f t="shared" si="357"/>
        <v>44.696367011402813</v>
      </c>
      <c r="AD318" s="177">
        <f t="shared" si="381"/>
        <v>61.510615352644294</v>
      </c>
      <c r="AE318" s="26">
        <f t="shared" si="409"/>
        <v>1.8453184605793287</v>
      </c>
      <c r="AF318" s="178">
        <f t="shared" si="358"/>
        <v>44.801637055502411</v>
      </c>
      <c r="AG318" s="178">
        <f t="shared" si="359"/>
        <v>44.815670110845467</v>
      </c>
      <c r="AH318" s="178">
        <f t="shared" si="382"/>
        <v>1.4033055343055878E-2</v>
      </c>
      <c r="AI318" s="179">
        <f t="shared" si="383"/>
        <v>100</v>
      </c>
      <c r="AJ318" s="30">
        <f t="shared" si="410"/>
        <v>4</v>
      </c>
      <c r="AK318" s="204">
        <v>6</v>
      </c>
      <c r="AL318" s="204">
        <v>38</v>
      </c>
      <c r="AM318" s="204">
        <v>1</v>
      </c>
      <c r="AN318" s="181">
        <f t="shared" si="344"/>
        <v>44</v>
      </c>
      <c r="AO318" s="182">
        <f t="shared" si="345"/>
        <v>2.2727272727272729</v>
      </c>
      <c r="AP318" s="183">
        <f t="shared" si="360"/>
        <v>100</v>
      </c>
      <c r="AQ318" s="38">
        <f t="shared" si="411"/>
        <v>2</v>
      </c>
      <c r="AR318" s="212">
        <v>3</v>
      </c>
      <c r="AS318" s="292">
        <f t="shared" si="346"/>
        <v>0.25</v>
      </c>
      <c r="AT318" s="185">
        <f t="shared" si="347"/>
        <v>1.5</v>
      </c>
      <c r="AU318" s="185">
        <f t="shared" si="361"/>
        <v>1</v>
      </c>
      <c r="AV318" s="186">
        <f t="shared" si="348"/>
        <v>33.333333333333329</v>
      </c>
      <c r="AW318" s="179">
        <f t="shared" si="362"/>
        <v>80</v>
      </c>
      <c r="AX318" s="239">
        <f t="shared" si="412"/>
        <v>0.8</v>
      </c>
      <c r="AY318" s="54">
        <v>6</v>
      </c>
      <c r="AZ318" s="54">
        <f>18-1</f>
        <v>17</v>
      </c>
      <c r="BA318" s="189">
        <f t="shared" si="349"/>
        <v>18</v>
      </c>
      <c r="BB318" s="178">
        <f t="shared" si="363"/>
        <v>94.444444444444443</v>
      </c>
      <c r="BC318" s="179">
        <f t="shared" si="364"/>
        <v>100</v>
      </c>
      <c r="BD318" s="30">
        <f t="shared" si="413"/>
        <v>1</v>
      </c>
      <c r="BE318" s="190">
        <v>9951000</v>
      </c>
      <c r="BF318" s="190">
        <v>15619000</v>
      </c>
      <c r="BG318" s="301">
        <v>0</v>
      </c>
      <c r="BH318" s="191">
        <f t="shared" si="350"/>
        <v>25570000</v>
      </c>
      <c r="BI318" s="178">
        <f t="shared" si="351"/>
        <v>0</v>
      </c>
      <c r="BJ318" s="294" t="str">
        <f t="shared" si="365"/>
        <v>금속/비금속/화학업</v>
      </c>
      <c r="BK318" s="192">
        <f t="shared" si="366"/>
        <v>3.9534118626990464</v>
      </c>
      <c r="BL318" s="193">
        <f t="shared" si="367"/>
        <v>-3.9534118626990464</v>
      </c>
      <c r="BM318" s="241">
        <f t="shared" si="368"/>
        <v>100</v>
      </c>
      <c r="BN318" s="47">
        <f t="shared" si="369"/>
        <v>2</v>
      </c>
      <c r="BO318" s="54">
        <v>34019000</v>
      </c>
      <c r="BP318" s="194">
        <f t="shared" si="352"/>
        <v>3.9645433035082491</v>
      </c>
      <c r="BQ318" s="179">
        <f t="shared" si="370"/>
        <v>85</v>
      </c>
      <c r="BR318" s="30">
        <f t="shared" si="414"/>
        <v>1.7</v>
      </c>
      <c r="BS318" s="195">
        <v>105270595.373</v>
      </c>
      <c r="BT318" s="195">
        <v>6262379.7589999996</v>
      </c>
      <c r="BU318" s="196">
        <f t="shared" si="371"/>
        <v>99008215.613999993</v>
      </c>
      <c r="BV318" s="178">
        <f t="shared" si="353"/>
        <v>11.538327352502559</v>
      </c>
      <c r="BW318" s="192">
        <f t="shared" si="372"/>
        <v>5.1474158565187729</v>
      </c>
      <c r="BX318" s="192">
        <f t="shared" si="373"/>
        <v>40.843749749497718</v>
      </c>
      <c r="BY318" s="192">
        <f t="shared" si="374"/>
        <v>6.6930498535228526</v>
      </c>
      <c r="BZ318" s="192">
        <f t="shared" si="375"/>
        <v>16.982478238366916</v>
      </c>
      <c r="CA318" s="192">
        <f t="shared" si="354"/>
        <v>70</v>
      </c>
      <c r="CB318" s="55">
        <f t="shared" si="376"/>
        <v>1.4000000000000001</v>
      </c>
      <c r="CC318" s="197">
        <f t="shared" si="415"/>
        <v>83.599392127359252</v>
      </c>
      <c r="CD318" s="198">
        <f t="shared" si="416"/>
        <v>68.86957583139727</v>
      </c>
      <c r="CE318" s="58">
        <f t="shared" si="417"/>
        <v>1.0330436374709591</v>
      </c>
      <c r="CF318" s="245" t="s">
        <v>2326</v>
      </c>
      <c r="CG318" s="245" t="s">
        <v>2326</v>
      </c>
      <c r="CH318" s="245" t="s">
        <v>2326</v>
      </c>
      <c r="CI318" s="245" t="s">
        <v>2326</v>
      </c>
      <c r="CJ318" s="235"/>
      <c r="CK318" s="173" t="s">
        <v>2543</v>
      </c>
      <c r="CL318" s="173" t="s">
        <v>2487</v>
      </c>
      <c r="CM318" s="199">
        <f t="shared" si="377"/>
        <v>70</v>
      </c>
      <c r="CN318" s="58">
        <f t="shared" si="418"/>
        <v>1.05</v>
      </c>
      <c r="CO318" s="54">
        <f>453523000-1750000-150000-3945000</f>
        <v>447678000</v>
      </c>
      <c r="CP318" s="186">
        <f t="shared" si="355"/>
        <v>60.674934708860995</v>
      </c>
      <c r="CQ318" s="179">
        <f t="shared" si="378"/>
        <v>40</v>
      </c>
      <c r="CR318" s="30">
        <f t="shared" si="419"/>
        <v>1.2</v>
      </c>
      <c r="CS318" s="200">
        <f>_xlfn.XLOOKUP(C318, '1-1. 관계사체무보증금액 (환율 등)'!$3:$3, '1-1. 관계사체무보증금액 (환율 등)'!$33:$33)</f>
        <v>1149160000</v>
      </c>
      <c r="CT318" s="178">
        <f t="shared" si="356"/>
        <v>155.74856921723804</v>
      </c>
      <c r="CU318" s="179">
        <f t="shared" si="379"/>
        <v>20</v>
      </c>
      <c r="CV318" s="30">
        <f t="shared" si="420"/>
        <v>0.4</v>
      </c>
      <c r="CW318" s="72">
        <f t="shared" si="384"/>
        <v>18.428362098050286</v>
      </c>
    </row>
    <row r="319" spans="1:101" x14ac:dyDescent="0.6">
      <c r="A319" s="214" t="s">
        <v>72</v>
      </c>
      <c r="B319" s="13" t="s">
        <v>2300</v>
      </c>
      <c r="C319" s="219" t="s">
        <v>424</v>
      </c>
      <c r="D319" s="216" t="s">
        <v>203</v>
      </c>
      <c r="E319" s="217" t="s">
        <v>240</v>
      </c>
      <c r="F319" s="217" t="s">
        <v>669</v>
      </c>
      <c r="G319" s="218">
        <v>43294</v>
      </c>
      <c r="H319" s="217" t="s">
        <v>830</v>
      </c>
      <c r="I319" s="217" t="s">
        <v>815</v>
      </c>
      <c r="J319" s="217" t="s">
        <v>1220</v>
      </c>
      <c r="K319" s="217" t="s">
        <v>91</v>
      </c>
      <c r="L319" s="220">
        <v>1677616350</v>
      </c>
      <c r="M319" s="206">
        <v>845718444</v>
      </c>
      <c r="N319" s="206">
        <v>831897906</v>
      </c>
      <c r="O319" s="206">
        <v>5364505670</v>
      </c>
      <c r="P319" s="206">
        <v>178825560</v>
      </c>
      <c r="Q319" s="206">
        <v>303615954</v>
      </c>
      <c r="R319" s="206">
        <v>289706110</v>
      </c>
      <c r="S319" s="207">
        <v>4327682</v>
      </c>
      <c r="T319" s="207">
        <v>11992</v>
      </c>
      <c r="U319" s="207">
        <f>879290+631617</f>
        <v>1510907</v>
      </c>
      <c r="V319" s="207">
        <f>1933736-U319-W319</f>
        <v>422354</v>
      </c>
      <c r="W319" s="207">
        <f>445+14+3+13</f>
        <v>475</v>
      </c>
      <c r="X319" s="207">
        <v>0</v>
      </c>
      <c r="Z319" s="207">
        <v>0</v>
      </c>
      <c r="AA319" s="207">
        <v>0</v>
      </c>
      <c r="AB319" s="176">
        <f t="shared" si="380"/>
        <v>1933736</v>
      </c>
      <c r="AC319" s="177">
        <f t="shared" si="357"/>
        <v>44.682950364652484</v>
      </c>
      <c r="AD319" s="177">
        <f t="shared" si="381"/>
        <v>61.522194737066329</v>
      </c>
      <c r="AE319" s="26">
        <f t="shared" si="409"/>
        <v>1.8456658421119898</v>
      </c>
      <c r="AF319" s="178">
        <f t="shared" si="358"/>
        <v>44.796104446797614</v>
      </c>
      <c r="AG319" s="178">
        <f t="shared" si="359"/>
        <v>44.807110798041563</v>
      </c>
      <c r="AH319" s="178">
        <f t="shared" si="382"/>
        <v>1.1006351243949553E-2</v>
      </c>
      <c r="AI319" s="179">
        <f t="shared" si="383"/>
        <v>100</v>
      </c>
      <c r="AJ319" s="30">
        <f t="shared" si="410"/>
        <v>4</v>
      </c>
      <c r="AK319" s="204">
        <v>6</v>
      </c>
      <c r="AL319" s="204">
        <v>42</v>
      </c>
      <c r="AM319" s="204">
        <v>1</v>
      </c>
      <c r="AN319" s="181">
        <f t="shared" si="344"/>
        <v>48</v>
      </c>
      <c r="AO319" s="182">
        <f t="shared" si="345"/>
        <v>2.083333333333333</v>
      </c>
      <c r="AP319" s="183">
        <f t="shared" si="360"/>
        <v>100</v>
      </c>
      <c r="AQ319" s="38">
        <f t="shared" si="411"/>
        <v>2</v>
      </c>
      <c r="AR319" s="212">
        <v>3</v>
      </c>
      <c r="AS319" s="292">
        <f t="shared" si="346"/>
        <v>0.25</v>
      </c>
      <c r="AT319" s="185">
        <f t="shared" si="347"/>
        <v>1.5</v>
      </c>
      <c r="AU319" s="185">
        <f t="shared" si="361"/>
        <v>1</v>
      </c>
      <c r="AV319" s="186">
        <f t="shared" si="348"/>
        <v>33.333333333333329</v>
      </c>
      <c r="AW319" s="179">
        <f t="shared" si="362"/>
        <v>80</v>
      </c>
      <c r="AX319" s="239">
        <f t="shared" si="412"/>
        <v>0.8</v>
      </c>
      <c r="AY319" s="54">
        <v>6</v>
      </c>
      <c r="AZ319" s="54">
        <v>18</v>
      </c>
      <c r="BA319" s="189">
        <f t="shared" si="349"/>
        <v>18</v>
      </c>
      <c r="BB319" s="178">
        <f t="shared" si="363"/>
        <v>100</v>
      </c>
      <c r="BC319" s="179">
        <f t="shared" si="364"/>
        <v>100</v>
      </c>
      <c r="BD319" s="30">
        <f t="shared" si="413"/>
        <v>1</v>
      </c>
      <c r="BE319" s="190">
        <f>38613000+4064000</f>
        <v>42677000</v>
      </c>
      <c r="BF319" s="190">
        <v>9256000</v>
      </c>
      <c r="BG319" s="301">
        <v>0</v>
      </c>
      <c r="BH319" s="191">
        <f t="shared" si="350"/>
        <v>51933000</v>
      </c>
      <c r="BI319" s="178">
        <f t="shared" si="351"/>
        <v>0</v>
      </c>
      <c r="BJ319" s="294" t="str">
        <f t="shared" si="365"/>
        <v>금속/비금속/화학업</v>
      </c>
      <c r="BK319" s="192">
        <f t="shared" si="366"/>
        <v>3.9534118626990464</v>
      </c>
      <c r="BL319" s="193">
        <f t="shared" si="367"/>
        <v>-3.9534118626990464</v>
      </c>
      <c r="BM319" s="241">
        <f t="shared" si="368"/>
        <v>100</v>
      </c>
      <c r="BN319" s="47">
        <f t="shared" si="369"/>
        <v>2</v>
      </c>
      <c r="BO319" s="54">
        <v>21187000</v>
      </c>
      <c r="BP319" s="194">
        <f t="shared" si="352"/>
        <v>0.39494785360157891</v>
      </c>
      <c r="BQ319" s="179">
        <f t="shared" si="370"/>
        <v>55</v>
      </c>
      <c r="BR319" s="30">
        <f t="shared" si="414"/>
        <v>1.1000000000000001</v>
      </c>
      <c r="BS319" s="195">
        <v>44306707.652000003</v>
      </c>
      <c r="BT319" s="195">
        <v>333577.32</v>
      </c>
      <c r="BU319" s="196">
        <f t="shared" si="371"/>
        <v>43973130.332000002</v>
      </c>
      <c r="BV319" s="178">
        <f t="shared" si="353"/>
        <v>0.81970517018765698</v>
      </c>
      <c r="BW319" s="192">
        <f t="shared" si="372"/>
        <v>5.1474158565187729</v>
      </c>
      <c r="BX319" s="192">
        <f t="shared" si="373"/>
        <v>18.729079784584538</v>
      </c>
      <c r="BY319" s="192">
        <f t="shared" si="374"/>
        <v>6.6930498535228526</v>
      </c>
      <c r="BZ319" s="192">
        <f t="shared" si="375"/>
        <v>74.105382869183231</v>
      </c>
      <c r="CA319" s="192">
        <f t="shared" si="354"/>
        <v>40</v>
      </c>
      <c r="CB319" s="55">
        <f t="shared" si="376"/>
        <v>0.8</v>
      </c>
      <c r="CC319" s="197">
        <f t="shared" si="415"/>
        <v>101.66132621567148</v>
      </c>
      <c r="CD319" s="198">
        <f t="shared" si="416"/>
        <v>62.062314240324817</v>
      </c>
      <c r="CE319" s="58">
        <f t="shared" si="417"/>
        <v>0.93093471360487223</v>
      </c>
      <c r="CF319" s="245" t="s">
        <v>2326</v>
      </c>
      <c r="CG319" s="245" t="s">
        <v>2326</v>
      </c>
      <c r="CH319" s="245" t="s">
        <v>2326</v>
      </c>
      <c r="CI319" s="245" t="s">
        <v>2326</v>
      </c>
      <c r="CJ319" s="235"/>
      <c r="CK319" s="173" t="s">
        <v>2544</v>
      </c>
      <c r="CL319" s="173" t="s">
        <v>2477</v>
      </c>
      <c r="CM319" s="199">
        <f t="shared" si="377"/>
        <v>85</v>
      </c>
      <c r="CN319" s="58">
        <f t="shared" si="418"/>
        <v>1.2749999999999999</v>
      </c>
      <c r="CO319" s="54">
        <f>499932000-8615000-200000-500000-673000-9993000</f>
        <v>479951000</v>
      </c>
      <c r="CP319" s="186">
        <f t="shared" si="355"/>
        <v>57.693497788417325</v>
      </c>
      <c r="CQ319" s="179">
        <f t="shared" si="378"/>
        <v>40</v>
      </c>
      <c r="CR319" s="30">
        <f t="shared" si="419"/>
        <v>1.2</v>
      </c>
      <c r="CS319" s="200">
        <f>_xlfn.XLOOKUP(C319, '1-1. 관계사체무보증금액 (환율 등)'!$3:$3, '1-1. 관계사체무보증금액 (환율 등)'!$33:$33)</f>
        <v>1189834000</v>
      </c>
      <c r="CT319" s="178">
        <f t="shared" si="356"/>
        <v>143.02644488204783</v>
      </c>
      <c r="CU319" s="179">
        <f t="shared" si="379"/>
        <v>20</v>
      </c>
      <c r="CV319" s="30">
        <f t="shared" si="420"/>
        <v>0.4</v>
      </c>
      <c r="CW319" s="72">
        <f t="shared" si="384"/>
        <v>17.35160055571686</v>
      </c>
    </row>
    <row r="320" spans="1:101" x14ac:dyDescent="0.6">
      <c r="A320" s="214" t="s">
        <v>1972</v>
      </c>
      <c r="B320" s="13" t="s">
        <v>2301</v>
      </c>
      <c r="C320" s="219" t="s">
        <v>1973</v>
      </c>
      <c r="D320" s="14" t="s">
        <v>203</v>
      </c>
      <c r="E320" s="217" t="s">
        <v>180</v>
      </c>
      <c r="F320" s="217" t="s">
        <v>1974</v>
      </c>
      <c r="G320" s="218">
        <v>39073</v>
      </c>
      <c r="H320" s="217" t="s">
        <v>830</v>
      </c>
      <c r="I320" s="217" t="s">
        <v>1975</v>
      </c>
      <c r="J320" s="217" t="s">
        <v>1976</v>
      </c>
      <c r="K320" s="217" t="s">
        <v>690</v>
      </c>
      <c r="L320" s="220">
        <v>554634238</v>
      </c>
      <c r="M320" s="206">
        <v>196390631</v>
      </c>
      <c r="N320" s="206">
        <v>358243607</v>
      </c>
      <c r="O320" s="206">
        <v>413339538</v>
      </c>
      <c r="P320" s="206">
        <v>76175846</v>
      </c>
      <c r="Q320" s="206">
        <v>71041699</v>
      </c>
      <c r="R320" s="206">
        <v>55937358</v>
      </c>
      <c r="S320" s="207">
        <v>94352104</v>
      </c>
      <c r="T320" s="207">
        <v>94</v>
      </c>
      <c r="U320" s="207">
        <f>21026085</f>
        <v>21026085</v>
      </c>
      <c r="V320" s="207">
        <f>11656975+78997+75848+45200+87000+13370</f>
        <v>11957390</v>
      </c>
      <c r="W320" s="207">
        <f>60000</f>
        <v>60000</v>
      </c>
      <c r="X320" s="207">
        <v>0</v>
      </c>
      <c r="Z320" s="207">
        <f>6297329+4141992+388824+292833+368873+454419+73684</f>
        <v>12017954</v>
      </c>
      <c r="AA320" s="207">
        <f>368873+195734+73684</f>
        <v>638291</v>
      </c>
      <c r="AB320" s="176">
        <f t="shared" si="380"/>
        <v>45061429</v>
      </c>
      <c r="AC320" s="177">
        <f t="shared" si="357"/>
        <v>47.758796136650012</v>
      </c>
      <c r="AD320" s="177">
        <f t="shared" si="381"/>
        <v>58.867552241096078</v>
      </c>
      <c r="AE320" s="26">
        <f t="shared" si="409"/>
        <v>1.7660265672328823</v>
      </c>
      <c r="AF320" s="178">
        <f t="shared" si="358"/>
        <v>35.195994089189867</v>
      </c>
      <c r="AG320" s="178">
        <f t="shared" si="359"/>
        <v>47.403025377746452</v>
      </c>
      <c r="AH320" s="178">
        <f t="shared" si="382"/>
        <v>12.207031288556585</v>
      </c>
      <c r="AI320" s="179">
        <f t="shared" si="383"/>
        <v>80</v>
      </c>
      <c r="AJ320" s="30">
        <f t="shared" si="410"/>
        <v>3.2</v>
      </c>
      <c r="AK320" s="204">
        <v>5</v>
      </c>
      <c r="AL320" s="204">
        <v>11</v>
      </c>
      <c r="AM320" s="204">
        <v>2</v>
      </c>
      <c r="AN320" s="181">
        <f t="shared" si="344"/>
        <v>16</v>
      </c>
      <c r="AO320" s="182">
        <f t="shared" si="345"/>
        <v>12.5</v>
      </c>
      <c r="AP320" s="183">
        <f t="shared" si="360"/>
        <v>80</v>
      </c>
      <c r="AQ320" s="38">
        <f t="shared" si="411"/>
        <v>1.6</v>
      </c>
      <c r="AR320" s="212">
        <v>1</v>
      </c>
      <c r="AS320" s="292">
        <f t="shared" si="346"/>
        <v>0.25</v>
      </c>
      <c r="AT320" s="185">
        <f t="shared" si="347"/>
        <v>1.25</v>
      </c>
      <c r="AU320" s="185">
        <f t="shared" si="361"/>
        <v>1</v>
      </c>
      <c r="AV320" s="186">
        <f t="shared" si="348"/>
        <v>0</v>
      </c>
      <c r="AW320" s="179">
        <f t="shared" si="362"/>
        <v>40</v>
      </c>
      <c r="AX320" s="239">
        <f t="shared" si="412"/>
        <v>0.4</v>
      </c>
      <c r="AY320" s="54">
        <v>19</v>
      </c>
      <c r="AZ320" s="54">
        <v>19</v>
      </c>
      <c r="BA320" s="189">
        <f t="shared" si="349"/>
        <v>19</v>
      </c>
      <c r="BB320" s="178">
        <f t="shared" si="363"/>
        <v>100</v>
      </c>
      <c r="BC320" s="179">
        <f t="shared" si="364"/>
        <v>100</v>
      </c>
      <c r="BD320" s="30">
        <f t="shared" si="413"/>
        <v>1</v>
      </c>
      <c r="BE320" s="190">
        <v>8427666</v>
      </c>
      <c r="BF320" s="190">
        <v>657310</v>
      </c>
      <c r="BG320" s="301">
        <v>0</v>
      </c>
      <c r="BH320" s="191">
        <f t="shared" si="350"/>
        <v>9084976</v>
      </c>
      <c r="BI320" s="178">
        <f t="shared" si="351"/>
        <v>0</v>
      </c>
      <c r="BJ320" s="294" t="str">
        <f t="shared" si="365"/>
        <v>금속/비금속/화학업</v>
      </c>
      <c r="BK320" s="192">
        <f t="shared" si="366"/>
        <v>3.9534118626990464</v>
      </c>
      <c r="BL320" s="193">
        <f t="shared" si="367"/>
        <v>-3.9534118626990464</v>
      </c>
      <c r="BM320" s="241">
        <f t="shared" si="368"/>
        <v>100</v>
      </c>
      <c r="BN320" s="47">
        <f t="shared" si="369"/>
        <v>2</v>
      </c>
      <c r="BO320" s="54">
        <f>10076000-1645000</f>
        <v>8431000</v>
      </c>
      <c r="BP320" s="194">
        <f t="shared" si="352"/>
        <v>2.0397274455752648</v>
      </c>
      <c r="BQ320" s="179">
        <f t="shared" si="370"/>
        <v>85</v>
      </c>
      <c r="BR320" s="30">
        <f t="shared" si="414"/>
        <v>1.7</v>
      </c>
      <c r="BS320" s="195">
        <v>105524446.617</v>
      </c>
      <c r="BT320" s="195">
        <v>860819.98199999996</v>
      </c>
      <c r="BU320" s="196">
        <f t="shared" si="371"/>
        <v>104663626.63500001</v>
      </c>
      <c r="BV320" s="178">
        <f t="shared" si="353"/>
        <v>25.321465045765841</v>
      </c>
      <c r="BW320" s="192">
        <f t="shared" si="372"/>
        <v>5.1474158565187729</v>
      </c>
      <c r="BX320" s="192">
        <f t="shared" si="373"/>
        <v>406.99226069016026</v>
      </c>
      <c r="BY320" s="192">
        <f t="shared" si="374"/>
        <v>6.6930498535228526</v>
      </c>
      <c r="BZ320" s="192">
        <f t="shared" si="375"/>
        <v>0.12883793511470065</v>
      </c>
      <c r="CA320" s="192">
        <f t="shared" si="354"/>
        <v>100</v>
      </c>
      <c r="CB320" s="55">
        <f t="shared" si="376"/>
        <v>2</v>
      </c>
      <c r="CC320" s="197">
        <f t="shared" si="415"/>
        <v>54.820414701775825</v>
      </c>
      <c r="CD320" s="198">
        <f t="shared" si="416"/>
        <v>79.715924107370924</v>
      </c>
      <c r="CE320" s="58">
        <f t="shared" si="417"/>
        <v>1.1957388616105638</v>
      </c>
      <c r="CF320" s="245" t="s">
        <v>2326</v>
      </c>
      <c r="CG320" s="245" t="s">
        <v>2326</v>
      </c>
      <c r="CH320" s="245" t="s">
        <v>2326</v>
      </c>
      <c r="CI320" s="245" t="s">
        <v>2326</v>
      </c>
      <c r="CJ320" s="235"/>
      <c r="CK320" s="173" t="s">
        <v>2531</v>
      </c>
      <c r="CL320" s="173" t="s">
        <v>2493</v>
      </c>
      <c r="CM320" s="199">
        <f t="shared" si="377"/>
        <v>40</v>
      </c>
      <c r="CN320" s="58">
        <f t="shared" si="418"/>
        <v>0.6</v>
      </c>
      <c r="CO320" s="54">
        <f>39996508+519000+92271447</f>
        <v>132786955</v>
      </c>
      <c r="CP320" s="186">
        <f t="shared" si="355"/>
        <v>37.066105969617489</v>
      </c>
      <c r="CQ320" s="179">
        <f t="shared" si="378"/>
        <v>40</v>
      </c>
      <c r="CR320" s="30">
        <f t="shared" si="419"/>
        <v>1.2</v>
      </c>
      <c r="CS320" s="200">
        <f>_xlfn.XLOOKUP(C320, '1-1. 관계사체무보증금액 (환율 등)'!$3:$3, '1-1. 관계사체무보증금액 (환율 등)'!$33:$33)</f>
        <v>219843068.20358908</v>
      </c>
      <c r="CT320" s="178">
        <f t="shared" si="356"/>
        <v>61.366920136997472</v>
      </c>
      <c r="CU320" s="179">
        <f t="shared" si="379"/>
        <v>40</v>
      </c>
      <c r="CV320" s="30">
        <f t="shared" si="420"/>
        <v>0.8</v>
      </c>
      <c r="CW320" s="72">
        <f t="shared" si="384"/>
        <v>17.461765428843446</v>
      </c>
    </row>
    <row r="321" spans="1:101" x14ac:dyDescent="0.6">
      <c r="A321" s="214" t="s">
        <v>272</v>
      </c>
      <c r="B321" s="13" t="s">
        <v>2302</v>
      </c>
      <c r="C321" s="219" t="s">
        <v>58</v>
      </c>
      <c r="D321" s="216" t="s">
        <v>202</v>
      </c>
      <c r="E321" s="217" t="s">
        <v>623</v>
      </c>
      <c r="F321" s="217" t="s">
        <v>1201</v>
      </c>
      <c r="G321" s="218">
        <v>33484</v>
      </c>
      <c r="H321" s="217" t="s">
        <v>830</v>
      </c>
      <c r="I321" s="217" t="s">
        <v>839</v>
      </c>
      <c r="J321" s="217" t="s">
        <v>1144</v>
      </c>
      <c r="K321" s="217" t="s">
        <v>346</v>
      </c>
      <c r="L321" s="220">
        <v>304125357</v>
      </c>
      <c r="M321" s="206">
        <v>159788539</v>
      </c>
      <c r="N321" s="206">
        <v>144336819</v>
      </c>
      <c r="O321" s="206">
        <v>222470898</v>
      </c>
      <c r="P321" s="206">
        <v>12661325</v>
      </c>
      <c r="Q321" s="206">
        <v>13022728</v>
      </c>
      <c r="R321" s="206">
        <v>9259054</v>
      </c>
      <c r="S321" s="207">
        <v>14116015</v>
      </c>
      <c r="T321" s="207">
        <v>1025525</v>
      </c>
      <c r="U321" s="207">
        <v>3208437</v>
      </c>
      <c r="V321" s="207">
        <f>4710+4928*2</f>
        <v>14566</v>
      </c>
      <c r="W321" s="207">
        <v>0</v>
      </c>
      <c r="X321" s="207">
        <v>0</v>
      </c>
      <c r="Z321" s="207">
        <v>0</v>
      </c>
      <c r="AA321" s="207">
        <v>0</v>
      </c>
      <c r="AB321" s="176">
        <f t="shared" si="380"/>
        <v>3223003</v>
      </c>
      <c r="AC321" s="177">
        <f t="shared" si="357"/>
        <v>22.832244085884014</v>
      </c>
      <c r="AD321" s="177">
        <f t="shared" si="381"/>
        <v>80.380686922424616</v>
      </c>
      <c r="AE321" s="26">
        <f t="shared" si="409"/>
        <v>2.4114206076727385</v>
      </c>
      <c r="AF321" s="178">
        <f t="shared" si="358"/>
        <v>24.620950017913767</v>
      </c>
      <c r="AG321" s="178">
        <f t="shared" si="359"/>
        <v>24.620950017913767</v>
      </c>
      <c r="AH321" s="178">
        <f t="shared" si="382"/>
        <v>0</v>
      </c>
      <c r="AI321" s="179">
        <f t="shared" si="383"/>
        <v>100</v>
      </c>
      <c r="AJ321" s="30">
        <f t="shared" si="410"/>
        <v>4</v>
      </c>
      <c r="AK321" s="204">
        <v>4</v>
      </c>
      <c r="AL321" s="204">
        <v>19</v>
      </c>
      <c r="AM321" s="204">
        <v>1</v>
      </c>
      <c r="AN321" s="181">
        <f t="shared" si="344"/>
        <v>23</v>
      </c>
      <c r="AO321" s="182">
        <f>(AM321/AN321)*100</f>
        <v>4.3478260869565215</v>
      </c>
      <c r="AP321" s="183">
        <f t="shared" si="360"/>
        <v>100</v>
      </c>
      <c r="AQ321" s="38">
        <f t="shared" si="411"/>
        <v>2</v>
      </c>
      <c r="AR321" s="212">
        <v>1</v>
      </c>
      <c r="AS321" s="292">
        <f t="shared" si="346"/>
        <v>0.25</v>
      </c>
      <c r="AT321" s="185">
        <f>AK321*AS321</f>
        <v>1</v>
      </c>
      <c r="AU321" s="185">
        <f t="shared" si="361"/>
        <v>1</v>
      </c>
      <c r="AV321" s="186">
        <f>(AR321-AU321)/AK321*100</f>
        <v>0</v>
      </c>
      <c r="AW321" s="179">
        <f t="shared" si="362"/>
        <v>40</v>
      </c>
      <c r="AX321" s="239">
        <f t="shared" si="412"/>
        <v>0.4</v>
      </c>
      <c r="AY321" s="54">
        <v>9</v>
      </c>
      <c r="AZ321" s="54">
        <v>5</v>
      </c>
      <c r="BA321" s="189">
        <f t="shared" si="349"/>
        <v>9</v>
      </c>
      <c r="BB321" s="178">
        <f t="shared" si="363"/>
        <v>55.555555555555557</v>
      </c>
      <c r="BC321" s="179">
        <f t="shared" si="364"/>
        <v>25</v>
      </c>
      <c r="BD321" s="30">
        <f t="shared" si="413"/>
        <v>0.25</v>
      </c>
      <c r="BE321" s="190">
        <v>9335380</v>
      </c>
      <c r="BF321" s="190">
        <v>915745</v>
      </c>
      <c r="BG321" s="301">
        <v>0</v>
      </c>
      <c r="BH321" s="191">
        <f t="shared" si="350"/>
        <v>10251125</v>
      </c>
      <c r="BI321" s="178">
        <f>(BG321/BH321)*100</f>
        <v>0</v>
      </c>
      <c r="BJ321" s="294" t="str">
        <f t="shared" si="365"/>
        <v>전기전자/기계업</v>
      </c>
      <c r="BK321" s="192">
        <f t="shared" si="366"/>
        <v>2.4096449716116455</v>
      </c>
      <c r="BL321" s="193">
        <f t="shared" si="367"/>
        <v>-2.4096449716116455</v>
      </c>
      <c r="BM321" s="241">
        <f t="shared" si="368"/>
        <v>100</v>
      </c>
      <c r="BN321" s="47">
        <f t="shared" si="369"/>
        <v>2</v>
      </c>
      <c r="BO321" s="54">
        <f>11704948-973445</f>
        <v>10731503</v>
      </c>
      <c r="BP321" s="194">
        <f>(BO321/O321)*100</f>
        <v>4.823778344257863</v>
      </c>
      <c r="BQ321" s="179">
        <f t="shared" si="370"/>
        <v>100</v>
      </c>
      <c r="BR321" s="30">
        <f t="shared" si="414"/>
        <v>2</v>
      </c>
      <c r="BS321" s="195">
        <v>5029418.4879999999</v>
      </c>
      <c r="BT321" s="195">
        <v>0</v>
      </c>
      <c r="BU321" s="196">
        <f t="shared" si="371"/>
        <v>5029418.4879999999</v>
      </c>
      <c r="BV321" s="178">
        <f>BU321/O321*100</f>
        <v>2.2607084941060469</v>
      </c>
      <c r="BW321" s="192">
        <f t="shared" si="372"/>
        <v>5.2309968128308268</v>
      </c>
      <c r="BX321" s="192">
        <f t="shared" si="373"/>
        <v>8.8226126963528806</v>
      </c>
      <c r="BY321" s="192">
        <f t="shared" si="374"/>
        <v>7.0695458012309622</v>
      </c>
      <c r="BZ321" s="192">
        <f t="shared" si="375"/>
        <v>66.281302437353702</v>
      </c>
      <c r="CA321" s="192">
        <f>IF(BZ321&lt;=5, 100, IF(BZ321&lt;=15, 85, IF(BZ321&lt;=35, 70, IF(BZ321&lt;=60, 55, IF(BZ321&lt;=90, 40, 25)))))</f>
        <v>40</v>
      </c>
      <c r="CB321" s="55">
        <f t="shared" si="376"/>
        <v>0.8</v>
      </c>
      <c r="CC321" s="197">
        <f t="shared" si="415"/>
        <v>110.70532114193261</v>
      </c>
      <c r="CD321" s="198">
        <f t="shared" si="416"/>
        <v>58.65377343897012</v>
      </c>
      <c r="CE321" s="58">
        <f t="shared" si="417"/>
        <v>0.87980660158455182</v>
      </c>
      <c r="CF321" s="245" t="s">
        <v>2326</v>
      </c>
      <c r="CG321" s="245" t="s">
        <v>2326</v>
      </c>
      <c r="CH321" s="245" t="s">
        <v>2326</v>
      </c>
      <c r="CI321" s="245" t="s">
        <v>2326</v>
      </c>
      <c r="CJ321" s="235"/>
      <c r="CK321" s="173" t="s">
        <v>2524</v>
      </c>
      <c r="CL321" s="173" t="s">
        <v>2482</v>
      </c>
      <c r="CM321" s="199">
        <f t="shared" si="377"/>
        <v>55</v>
      </c>
      <c r="CN321" s="58">
        <f t="shared" si="418"/>
        <v>0.82499999999999996</v>
      </c>
      <c r="CO321" s="54">
        <v>0</v>
      </c>
      <c r="CP321" s="186">
        <f>(CO321/N321)*100</f>
        <v>0</v>
      </c>
      <c r="CQ321" s="179">
        <f t="shared" si="378"/>
        <v>100</v>
      </c>
      <c r="CR321" s="30">
        <f t="shared" si="419"/>
        <v>3</v>
      </c>
      <c r="CS321" s="200">
        <f>_xlfn.XLOOKUP(C321, '1-1. 관계사체무보증금액 (환율 등)'!$3:$3, '1-1. 관계사체무보증금액 (환율 등)'!$33:$33)</f>
        <v>0</v>
      </c>
      <c r="CT321" s="178">
        <f>(CS321/N321)*100</f>
        <v>0</v>
      </c>
      <c r="CU321" s="179">
        <f t="shared" si="379"/>
        <v>100</v>
      </c>
      <c r="CV321" s="30">
        <f t="shared" si="420"/>
        <v>2</v>
      </c>
      <c r="CW321" s="72">
        <f t="shared" si="384"/>
        <v>20.566227209257292</v>
      </c>
    </row>
    <row r="322" spans="1:101" x14ac:dyDescent="0.6">
      <c r="A322" s="214" t="s">
        <v>1977</v>
      </c>
      <c r="B322" s="13" t="s">
        <v>2303</v>
      </c>
      <c r="C322" s="219" t="s">
        <v>348</v>
      </c>
      <c r="D322" s="221" t="s">
        <v>481</v>
      </c>
      <c r="E322" s="217" t="s">
        <v>704</v>
      </c>
      <c r="F322" s="217" t="s">
        <v>551</v>
      </c>
      <c r="G322" s="218">
        <v>27368</v>
      </c>
      <c r="H322" s="217" t="s">
        <v>830</v>
      </c>
      <c r="I322" s="217" t="s">
        <v>802</v>
      </c>
      <c r="J322" s="217" t="s">
        <v>1222</v>
      </c>
      <c r="K322" s="217" t="s">
        <v>91</v>
      </c>
      <c r="L322" s="220">
        <v>13966098000</v>
      </c>
      <c r="M322" s="206">
        <v>13246051000</v>
      </c>
      <c r="N322" s="206">
        <v>720047000</v>
      </c>
      <c r="O322" s="206">
        <v>2423214000</v>
      </c>
      <c r="P322" s="206">
        <v>185978000</v>
      </c>
      <c r="Q322" s="206">
        <v>186768000</v>
      </c>
      <c r="R322" s="206">
        <v>147508000</v>
      </c>
      <c r="S322" s="207">
        <v>64242645</v>
      </c>
      <c r="T322" s="207">
        <v>0</v>
      </c>
      <c r="U322" s="207">
        <v>26101876</v>
      </c>
      <c r="V322" s="207">
        <v>0</v>
      </c>
      <c r="W322" s="207">
        <f>100+900+2356</f>
        <v>3356</v>
      </c>
      <c r="X322" s="207">
        <v>0</v>
      </c>
      <c r="Z322" s="207">
        <v>25499481</v>
      </c>
      <c r="AA322" s="207">
        <v>0</v>
      </c>
      <c r="AB322" s="176">
        <f t="shared" si="380"/>
        <v>51604713</v>
      </c>
      <c r="AC322" s="177">
        <f>(AB322/S322)*100</f>
        <v>80.327814958428306</v>
      </c>
      <c r="AD322" s="177">
        <f t="shared" si="381"/>
        <v>30.758502625061865</v>
      </c>
      <c r="AE322" s="60">
        <f>AD322*0.04</f>
        <v>1.2303401050024747</v>
      </c>
      <c r="AF322" s="178">
        <f>(U322+V322)/(S322-T322-AA322)*100</f>
        <v>40.630139061055161</v>
      </c>
      <c r="AG322" s="178">
        <f>(U322+V322+Z322+W322+X322-AA322)/(S322-T322-AA322)*100</f>
        <v>80.327814958428306</v>
      </c>
      <c r="AH322" s="178">
        <f t="shared" si="382"/>
        <v>39.697675897373145</v>
      </c>
      <c r="AI322" s="179">
        <f t="shared" si="383"/>
        <v>60</v>
      </c>
      <c r="AJ322" s="61">
        <f>AI322*0.05</f>
        <v>3</v>
      </c>
      <c r="AK322" s="204">
        <v>4</v>
      </c>
      <c r="AL322" s="204">
        <v>16</v>
      </c>
      <c r="AM322" s="204">
        <v>0</v>
      </c>
      <c r="AN322" s="181">
        <f t="shared" si="344"/>
        <v>20</v>
      </c>
      <c r="AO322" s="182">
        <f>(AM322/AN322)*100</f>
        <v>0</v>
      </c>
      <c r="AP322" s="183">
        <f>IF(AO322&lt;10, 100, IF(AO322&lt;20, 80, IF(AO322&lt;30, 60, IF(AO322&lt;50, 40, IF(AO322&gt;=50, 20)))))</f>
        <v>100</v>
      </c>
      <c r="AQ322" s="62">
        <f>AP322*0.03</f>
        <v>3</v>
      </c>
      <c r="AR322" s="212">
        <v>3</v>
      </c>
      <c r="AS322" s="292">
        <f t="shared" si="346"/>
        <v>0.5</v>
      </c>
      <c r="AT322" s="185">
        <f>AK322*AS322</f>
        <v>2</v>
      </c>
      <c r="AU322" s="185">
        <f>ROUNDDOWN(AT322,0)</f>
        <v>2</v>
      </c>
      <c r="AV322" s="186">
        <f>(AR322-AU322)/AK322*100</f>
        <v>25</v>
      </c>
      <c r="AW322" s="179">
        <f>IF(AV322&lt;0, 20, IF(AV322=0, 40, IF(AV322&lt;20, 60, IF(AV322&lt;40, 80, IF(AV322&gt;=40, 100)))))</f>
        <v>80</v>
      </c>
      <c r="AX322" s="240">
        <f>AW322*0.02</f>
        <v>1.6</v>
      </c>
      <c r="AY322" s="54">
        <v>9</v>
      </c>
      <c r="AZ322" s="54">
        <v>27</v>
      </c>
      <c r="BA322" s="189">
        <f t="shared" si="349"/>
        <v>27</v>
      </c>
      <c r="BB322" s="178">
        <f>(AZ322/BA322)*100</f>
        <v>100</v>
      </c>
      <c r="BC322" s="179">
        <f>IF(BB322&lt;70, 25, IF(BB322&lt;80, 50, IF(BB322&lt;90, 75, IF(BB322&gt;=90, 100))))</f>
        <v>100</v>
      </c>
      <c r="BD322" s="61">
        <f>BC322*0.02</f>
        <v>2</v>
      </c>
      <c r="BE322" s="300">
        <f>93424000+17395000+2838000</f>
        <v>113657000</v>
      </c>
      <c r="BF322" s="190">
        <f>4669000+1651000+184000</f>
        <v>6504000</v>
      </c>
      <c r="BG322" s="301">
        <v>0</v>
      </c>
      <c r="BH322" s="191">
        <f t="shared" si="350"/>
        <v>120161000</v>
      </c>
      <c r="BI322" s="178">
        <f>(BG322/BH322)*100</f>
        <v>0</v>
      </c>
      <c r="BJ322" s="294" t="str">
        <f>IF(D322="금융업(보험)", "금융업", IF(D322="금융업(증권)", "금융업", IF(D322="금융업(종금)", "금융업", D322)))</f>
        <v>금융업</v>
      </c>
      <c r="BK322" s="192">
        <f>AVERAGEIF(BJ:BJ, BJ322, BI:BI)</f>
        <v>2.7106886075318837</v>
      </c>
      <c r="BL322" s="193">
        <f>BI322-BK322</f>
        <v>-2.7106886075318837</v>
      </c>
      <c r="BM322" s="241">
        <f>IF(BL322&lt;-2, 100, IF(BL322&lt;0, 80, IF(BL322&lt;2, 60, IF(BL322&lt;10, 40, 20))))</f>
        <v>100</v>
      </c>
      <c r="BN322" s="47">
        <f>BM322*0.02</f>
        <v>2</v>
      </c>
      <c r="BO322" s="54">
        <v>0</v>
      </c>
      <c r="BP322" s="194">
        <f>(BO322/O322)*100</f>
        <v>0</v>
      </c>
      <c r="BQ322" s="179">
        <f>IF(BP322=0, 25, IF(BP322&lt;0.1, 40, IF(BP322&lt;0.5, 55, IF(BP322&lt;2, 70, IF(BP322&lt;4, 85, IF(BP322&gt;=4, 100))))))</f>
        <v>25</v>
      </c>
      <c r="BR322" s="61">
        <f>BQ322*0.01</f>
        <v>0.25</v>
      </c>
      <c r="BS322" s="195">
        <v>12675000</v>
      </c>
      <c r="BT322" s="195">
        <v>6095000</v>
      </c>
      <c r="BU322" s="196">
        <f>BS322-BT322</f>
        <v>6580000</v>
      </c>
      <c r="BV322" s="178">
        <f>BU322/O322*100</f>
        <v>0.27154019413885855</v>
      </c>
      <c r="BW322" s="192">
        <f>AVERAGEIF(BJ:BJ, BJ322, BV:BV)</f>
        <v>0.39407896396795111</v>
      </c>
      <c r="BX322" s="192">
        <f>(BV322-BW322)^2</f>
        <v>1.5015750111227326E-2</v>
      </c>
      <c r="BY322" s="192">
        <f>SQRT(SUMIF(BJ:BJ, BJ322, BX:BX)/COUNTIF(BJ:BJ, BJ322))</f>
        <v>1.5698937849002934</v>
      </c>
      <c r="BZ322" s="192">
        <f>(1-_xlfn.NORM.DIST(BV322, BW322, BY322, TRUE))*100</f>
        <v>53.110802862637549</v>
      </c>
      <c r="CA322" s="192">
        <f>IF(BZ322&lt;=5, 100, IF(BZ322&lt;=15, 85, IF(BZ322&lt;=35, 70, IF(BZ322&lt;=60, 55, IF(BZ322&lt;=90, 40, 25)))))</f>
        <v>55</v>
      </c>
      <c r="CB322" s="55">
        <f>CA322*0.02</f>
        <v>1.1000000000000001</v>
      </c>
      <c r="CC322" s="242" t="s">
        <v>1273</v>
      </c>
      <c r="CD322" s="243" t="s">
        <v>1273</v>
      </c>
      <c r="CE322" s="244"/>
      <c r="CF322" s="295" t="s">
        <v>2379</v>
      </c>
      <c r="CG322" s="295" t="s">
        <v>2379</v>
      </c>
      <c r="CH322" s="210">
        <v>0.04</v>
      </c>
      <c r="CI322" s="188">
        <f>IF((100-(75*(CH322-10)/40))&gt;100, 100, IF((100-(75*(CH322-10)/40))&lt;25, 25, (100-(75*(CH322-10)/40))))</f>
        <v>100</v>
      </c>
      <c r="CJ322" s="63">
        <f>CI322*0.04</f>
        <v>4</v>
      </c>
      <c r="CK322" s="173" t="s">
        <v>2527</v>
      </c>
      <c r="CL322" s="173" t="s">
        <v>2487</v>
      </c>
      <c r="CM322" s="199">
        <f>IF(CL322="A", 100, IF(CL322="B", 85, IF(CL322="C", 70, IF(CL322="D", 55, IF(CL322="E", 40, 25)))))</f>
        <v>70</v>
      </c>
      <c r="CN322" s="65">
        <f>CM322*0.03</f>
        <v>2.1</v>
      </c>
      <c r="CO322" s="54">
        <v>0</v>
      </c>
      <c r="CP322" s="186">
        <f>(CO322/N322)*100</f>
        <v>0</v>
      </c>
      <c r="CQ322" s="179">
        <f>IF(CP322&lt;3, 100, IF(CP322&lt;10, 80, IF(CP322&lt;35, 60, IF(CP322&lt;100, 40, IF(CP322&gt;=100, 20)))))</f>
        <v>100</v>
      </c>
      <c r="CR322" s="61">
        <f>CQ322*0.04</f>
        <v>4</v>
      </c>
      <c r="CS322" s="200">
        <f>_xlfn.XLOOKUP(C322, '1-1. 관계사체무보증금액 (환율 등)'!$3:$3, '1-1. 관계사체무보증금액 (환율 등)'!$33:$33)</f>
        <v>0</v>
      </c>
      <c r="CT322" s="178">
        <f>(CS322/N322)*100</f>
        <v>0</v>
      </c>
      <c r="CU322" s="179">
        <f>IF(CT322&lt;3, 100, IF(CT322&lt;10, 80, IF(CT322&lt;35, 60, IF(CT322&lt;100, 40, 20))))</f>
        <v>100</v>
      </c>
      <c r="CV322" s="70">
        <f>CU322*0.03</f>
        <v>3</v>
      </c>
      <c r="CW322" s="72">
        <f t="shared" si="384"/>
        <v>27.280340105002473</v>
      </c>
    </row>
  </sheetData>
  <autoFilter ref="A1:CW322"/>
  <phoneticPr fontId="16" type="noConversion"/>
  <dataValidations disablePrompts="1" count="1">
    <dataValidation type="list" allowBlank="1" showInputMessage="1" showErrorMessage="1" sqref="CL2:CL322">
      <formula1>"A, B, C, D, E, F"</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J79" r:id="rId79"/>
    <hyperlink ref="B80" r:id="rId80"/>
    <hyperlink ref="B81" r:id="rId81"/>
    <hyperlink ref="B82" r:id="rId82"/>
    <hyperlink ref="B83" r:id="rId83"/>
    <hyperlink ref="B84" r:id="rId84"/>
    <hyperlink ref="B85" r:id="rId85"/>
    <hyperlink ref="B86" r:id="rId86"/>
    <hyperlink ref="J74" r:id="rId87"/>
    <hyperlink ref="J11"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6" r:id="rId137"/>
    <hyperlink ref="B137" r:id="rId138"/>
    <hyperlink ref="B138" r:id="rId139"/>
    <hyperlink ref="B139" r:id="rId140"/>
    <hyperlink ref="B140" r:id="rId141"/>
    <hyperlink ref="B141" r:id="rId142"/>
    <hyperlink ref="B142" r:id="rId143"/>
    <hyperlink ref="B143" r:id="rId144"/>
    <hyperlink ref="B144" r:id="rId145"/>
    <hyperlink ref="B145" r:id="rId146"/>
    <hyperlink ref="B146" r:id="rId147"/>
    <hyperlink ref="B147" r:id="rId148"/>
    <hyperlink ref="B148" r:id="rId149"/>
    <hyperlink ref="B149" r:id="rId150"/>
    <hyperlink ref="B150" r:id="rId151"/>
    <hyperlink ref="B151" r:id="rId152"/>
    <hyperlink ref="B152" r:id="rId153"/>
    <hyperlink ref="B153" r:id="rId154"/>
    <hyperlink ref="B154" r:id="rId155"/>
    <hyperlink ref="B155" r:id="rId156"/>
    <hyperlink ref="B156" r:id="rId157"/>
    <hyperlink ref="B157" r:id="rId158"/>
    <hyperlink ref="B158" r:id="rId159"/>
    <hyperlink ref="B159" r:id="rId160"/>
    <hyperlink ref="B160" r:id="rId161"/>
    <hyperlink ref="B161" r:id="rId162"/>
    <hyperlink ref="B162" r:id="rId163"/>
    <hyperlink ref="B163" r:id="rId164"/>
    <hyperlink ref="B164" r:id="rId165"/>
    <hyperlink ref="B165" r:id="rId166"/>
    <hyperlink ref="B166" r:id="rId167"/>
    <hyperlink ref="B167" r:id="rId168"/>
    <hyperlink ref="B168" r:id="rId169"/>
    <hyperlink ref="B169" r:id="rId170"/>
    <hyperlink ref="B170" r:id="rId171"/>
    <hyperlink ref="B171" r:id="rId172"/>
    <hyperlink ref="B172" r:id="rId173"/>
    <hyperlink ref="B173" r:id="rId174"/>
    <hyperlink ref="B174" r:id="rId175"/>
    <hyperlink ref="B175" r:id="rId176"/>
    <hyperlink ref="B176" r:id="rId177"/>
    <hyperlink ref="B177" r:id="rId178"/>
    <hyperlink ref="B178" r:id="rId179"/>
    <hyperlink ref="B179" r:id="rId180"/>
    <hyperlink ref="B180" r:id="rId181"/>
    <hyperlink ref="B181" r:id="rId182"/>
    <hyperlink ref="B182" r:id="rId183"/>
    <hyperlink ref="B183" r:id="rId184"/>
    <hyperlink ref="B184" r:id="rId185"/>
    <hyperlink ref="B185" r:id="rId186"/>
    <hyperlink ref="B186" r:id="rId187"/>
    <hyperlink ref="B187" r:id="rId188"/>
    <hyperlink ref="B188" r:id="rId189"/>
    <hyperlink ref="B189" r:id="rId190"/>
    <hyperlink ref="B190" r:id="rId191"/>
    <hyperlink ref="B191" r:id="rId192"/>
    <hyperlink ref="B192" r:id="rId193"/>
    <hyperlink ref="B193" r:id="rId194"/>
    <hyperlink ref="B194" r:id="rId195"/>
    <hyperlink ref="B195" r:id="rId196"/>
    <hyperlink ref="B196" r:id="rId197"/>
    <hyperlink ref="B197" r:id="rId198"/>
    <hyperlink ref="B198" r:id="rId199"/>
    <hyperlink ref="B199" r:id="rId200"/>
    <hyperlink ref="B200" r:id="rId201"/>
    <hyperlink ref="B201" r:id="rId202"/>
    <hyperlink ref="B202" r:id="rId203"/>
    <hyperlink ref="B203" r:id="rId204"/>
    <hyperlink ref="B204" r:id="rId205"/>
    <hyperlink ref="B205" r:id="rId206"/>
    <hyperlink ref="B206" r:id="rId207"/>
    <hyperlink ref="B207" r:id="rId208"/>
    <hyperlink ref="B208" r:id="rId209"/>
    <hyperlink ref="B209" r:id="rId210"/>
    <hyperlink ref="B210" r:id="rId211"/>
    <hyperlink ref="B211" r:id="rId212"/>
    <hyperlink ref="B212" r:id="rId213"/>
    <hyperlink ref="B214" r:id="rId214"/>
    <hyperlink ref="B215" r:id="rId215"/>
    <hyperlink ref="B213" r:id="rId216"/>
    <hyperlink ref="B216" r:id="rId217"/>
    <hyperlink ref="B217" r:id="rId218"/>
    <hyperlink ref="B218" r:id="rId219"/>
    <hyperlink ref="B219" r:id="rId220"/>
    <hyperlink ref="B220" r:id="rId221"/>
    <hyperlink ref="B221" r:id="rId222"/>
    <hyperlink ref="B222" r:id="rId223"/>
    <hyperlink ref="B223" r:id="rId224"/>
    <hyperlink ref="B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J271" r:id="rId273"/>
    <hyperlink ref="B272" r:id="rId274"/>
    <hyperlink ref="B273" r:id="rId275"/>
    <hyperlink ref="B274" r:id="rId276"/>
    <hyperlink ref="B275" r:id="rId277"/>
    <hyperlink ref="B276" r:id="rId278"/>
    <hyperlink ref="B277" r:id="rId279"/>
    <hyperlink ref="B278" r:id="rId280"/>
    <hyperlink ref="B279" r:id="rId281"/>
    <hyperlink ref="B280" r:id="rId282"/>
    <hyperlink ref="B281" r:id="rId283"/>
    <hyperlink ref="B282" r:id="rId284"/>
    <hyperlink ref="B283" r:id="rId285"/>
    <hyperlink ref="B284" r:id="rId286"/>
    <hyperlink ref="B285" r:id="rId287"/>
    <hyperlink ref="B286" r:id="rId288"/>
    <hyperlink ref="B287" r:id="rId289"/>
    <hyperlink ref="B288" r:id="rId290"/>
    <hyperlink ref="B289" r:id="rId291"/>
    <hyperlink ref="B290" r:id="rId292"/>
    <hyperlink ref="B291" r:id="rId293"/>
    <hyperlink ref="B292" r:id="rId294"/>
    <hyperlink ref="B293" r:id="rId295"/>
    <hyperlink ref="B294" r:id="rId296"/>
    <hyperlink ref="B295" r:id="rId297"/>
    <hyperlink ref="B296" r:id="rId298"/>
    <hyperlink ref="B297" r:id="rId299"/>
    <hyperlink ref="B298" r:id="rId300"/>
    <hyperlink ref="B299" r:id="rId301"/>
    <hyperlink ref="B300" r:id="rId302"/>
    <hyperlink ref="B301" r:id="rId303"/>
    <hyperlink ref="B302" r:id="rId304"/>
    <hyperlink ref="B303" r:id="rId305"/>
    <hyperlink ref="B304" r:id="rId306"/>
    <hyperlink ref="B305" r:id="rId307"/>
    <hyperlink ref="B306" r:id="rId308"/>
    <hyperlink ref="B307" r:id="rId309"/>
    <hyperlink ref="B308" r:id="rId310"/>
    <hyperlink ref="B309" r:id="rId311"/>
    <hyperlink ref="B310" r:id="rId312"/>
    <hyperlink ref="B311" r:id="rId313"/>
    <hyperlink ref="B312" r:id="rId314"/>
    <hyperlink ref="B313" r:id="rId315"/>
    <hyperlink ref="B314" r:id="rId316"/>
    <hyperlink ref="B315" r:id="rId317"/>
    <hyperlink ref="B316" r:id="rId318"/>
    <hyperlink ref="B317" r:id="rId319"/>
    <hyperlink ref="B318" r:id="rId320"/>
    <hyperlink ref="B319" r:id="rId321"/>
    <hyperlink ref="B320" r:id="rId322"/>
    <hyperlink ref="B321" r:id="rId323"/>
    <hyperlink ref="B322" r:id="rId324"/>
    <hyperlink ref="B135" r:id="rId325"/>
    <hyperlink ref="J161" r:id="rId326"/>
    <hyperlink ref="J194" r:id="rId327"/>
    <hyperlink ref="J198" r:id="rId328"/>
    <hyperlink ref="J221" r:id="rId329"/>
    <hyperlink ref="J236" r:id="rId330"/>
    <hyperlink ref="J283" r:id="rId331"/>
  </hyperlinks>
  <pageMargins left="0.69972223043441772" right="0.69972223043441772" top="0.75" bottom="0.75" header="0.30000001192092896" footer="0.30000001192092896"/>
  <pageSetup paperSize="9" orientation="portrait" verticalDpi="0"/>
  <legacyDrawing r:id="rId33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0000"/>
  </sheetPr>
  <dimension ref="A1:LM33"/>
  <sheetViews>
    <sheetView zoomScale="85" zoomScaleNormal="85" zoomScaleSheetLayoutView="75" workbookViewId="0">
      <pane xSplit="1" topLeftCell="B1" activePane="topRight" state="frozen"/>
      <selection pane="topRight" activeCell="E42" sqref="E42"/>
    </sheetView>
  </sheetViews>
  <sheetFormatPr defaultColWidth="9" defaultRowHeight="16.899999999999999" x14ac:dyDescent="0.6"/>
  <cols>
    <col min="1" max="1" width="15.0625" style="69" customWidth="1"/>
    <col min="2" max="2" width="13.8125" style="278" bestFit="1" customWidth="1"/>
    <col min="3" max="3" width="22" style="69" bestFit="1" customWidth="1"/>
    <col min="4" max="4" width="19.25" style="69" bestFit="1" customWidth="1"/>
    <col min="5" max="325" width="15.5625" style="69" customWidth="1"/>
    <col min="326" max="16384" width="9" style="69"/>
  </cols>
  <sheetData>
    <row r="1" spans="1:325" s="309" customFormat="1" x14ac:dyDescent="0.6">
      <c r="A1" s="281" t="s">
        <v>2367</v>
      </c>
      <c r="B1" s="454" t="s">
        <v>2366</v>
      </c>
      <c r="C1" s="455"/>
      <c r="D1" s="308" t="s">
        <v>695</v>
      </c>
      <c r="E1" s="308" t="s">
        <v>2548</v>
      </c>
      <c r="F1" s="308" t="s">
        <v>1428</v>
      </c>
      <c r="G1" s="308" t="s">
        <v>1430</v>
      </c>
      <c r="H1" s="308" t="s">
        <v>104</v>
      </c>
      <c r="I1" s="308" t="s">
        <v>1437</v>
      </c>
      <c r="J1" s="308" t="s">
        <v>750</v>
      </c>
      <c r="K1" s="308" t="s">
        <v>499</v>
      </c>
      <c r="L1" s="308" t="s">
        <v>1443</v>
      </c>
      <c r="M1" s="308" t="s">
        <v>305</v>
      </c>
      <c r="N1" s="308" t="s">
        <v>1447</v>
      </c>
      <c r="O1" s="308" t="s">
        <v>1451</v>
      </c>
      <c r="P1" s="308" t="s">
        <v>1456</v>
      </c>
      <c r="Q1" s="308" t="s">
        <v>96</v>
      </c>
      <c r="R1" s="308" t="s">
        <v>1457</v>
      </c>
      <c r="S1" s="308" t="s">
        <v>1462</v>
      </c>
      <c r="T1" s="308" t="s">
        <v>1467</v>
      </c>
      <c r="U1" s="308" t="s">
        <v>402</v>
      </c>
      <c r="V1" s="308" t="s">
        <v>1473</v>
      </c>
      <c r="W1" s="308" t="s">
        <v>1474</v>
      </c>
      <c r="X1" s="308" t="s">
        <v>1479</v>
      </c>
      <c r="Y1" s="308" t="s">
        <v>1484</v>
      </c>
      <c r="Z1" s="308" t="s">
        <v>1489</v>
      </c>
      <c r="AA1" s="308" t="s">
        <v>1494</v>
      </c>
      <c r="AB1" s="308" t="s">
        <v>1495</v>
      </c>
      <c r="AC1" s="308" t="s">
        <v>313</v>
      </c>
      <c r="AD1" s="308" t="s">
        <v>1500</v>
      </c>
      <c r="AE1" s="308" t="s">
        <v>292</v>
      </c>
      <c r="AF1" s="308" t="s">
        <v>1504</v>
      </c>
      <c r="AG1" s="308" t="s">
        <v>709</v>
      </c>
      <c r="AH1" s="308" t="s">
        <v>1509</v>
      </c>
      <c r="AI1" s="308" t="s">
        <v>67</v>
      </c>
      <c r="AJ1" s="308" t="s">
        <v>850</v>
      </c>
      <c r="AK1" s="308" t="s">
        <v>947</v>
      </c>
      <c r="AL1" s="308" t="s">
        <v>1514</v>
      </c>
      <c r="AM1" s="308" t="s">
        <v>458</v>
      </c>
      <c r="AN1" s="308" t="s">
        <v>307</v>
      </c>
      <c r="AO1" s="308" t="s">
        <v>1516</v>
      </c>
      <c r="AP1" s="308" t="s">
        <v>1521</v>
      </c>
      <c r="AQ1" s="308" t="s">
        <v>1527</v>
      </c>
      <c r="AR1" s="308" t="s">
        <v>550</v>
      </c>
      <c r="AS1" s="308" t="s">
        <v>1532</v>
      </c>
      <c r="AT1" s="308" t="s">
        <v>1533</v>
      </c>
      <c r="AU1" s="308" t="s">
        <v>1534</v>
      </c>
      <c r="AV1" s="308" t="s">
        <v>1539</v>
      </c>
      <c r="AW1" s="308" t="s">
        <v>1544</v>
      </c>
      <c r="AX1" s="308" t="s">
        <v>1546</v>
      </c>
      <c r="AY1" s="308" t="s">
        <v>1552</v>
      </c>
      <c r="AZ1" s="308" t="s">
        <v>479</v>
      </c>
      <c r="BA1" s="308" t="s">
        <v>1557</v>
      </c>
      <c r="BB1" s="308" t="s">
        <v>338</v>
      </c>
      <c r="BC1" s="308" t="s">
        <v>519</v>
      </c>
      <c r="BD1" s="308" t="s">
        <v>1564</v>
      </c>
      <c r="BE1" s="308" t="s">
        <v>1570</v>
      </c>
      <c r="BF1" s="308" t="s">
        <v>464</v>
      </c>
      <c r="BG1" s="308" t="s">
        <v>489</v>
      </c>
      <c r="BH1" s="308" t="s">
        <v>5</v>
      </c>
      <c r="BI1" s="308" t="s">
        <v>896</v>
      </c>
      <c r="BJ1" s="308" t="s">
        <v>520</v>
      </c>
      <c r="BK1" s="308" t="s">
        <v>549</v>
      </c>
      <c r="BL1" s="308" t="s">
        <v>1577</v>
      </c>
      <c r="BM1" s="308" t="s">
        <v>353</v>
      </c>
      <c r="BN1" s="308" t="s">
        <v>1578</v>
      </c>
      <c r="BO1" s="308" t="s">
        <v>1582</v>
      </c>
      <c r="BP1" s="308" t="s">
        <v>512</v>
      </c>
      <c r="BQ1" s="308" t="s">
        <v>863</v>
      </c>
      <c r="BR1" s="308" t="s">
        <v>941</v>
      </c>
      <c r="BS1" s="308" t="s">
        <v>1583</v>
      </c>
      <c r="BT1" s="308" t="s">
        <v>1584</v>
      </c>
      <c r="BU1" s="308" t="s">
        <v>781</v>
      </c>
      <c r="BV1" s="308" t="s">
        <v>99</v>
      </c>
      <c r="BW1" s="308" t="s">
        <v>81</v>
      </c>
      <c r="BX1" s="308" t="s">
        <v>1586</v>
      </c>
      <c r="BY1" s="308" t="s">
        <v>28</v>
      </c>
      <c r="BZ1" s="308" t="s">
        <v>729</v>
      </c>
      <c r="CA1" s="308" t="s">
        <v>97</v>
      </c>
      <c r="CB1" s="308" t="s">
        <v>1588</v>
      </c>
      <c r="CC1" s="308" t="s">
        <v>700</v>
      </c>
      <c r="CD1" s="308" t="s">
        <v>1593</v>
      </c>
      <c r="CE1" s="308" t="s">
        <v>82</v>
      </c>
      <c r="CF1" s="308" t="s">
        <v>932</v>
      </c>
      <c r="CG1" s="308" t="s">
        <v>761</v>
      </c>
      <c r="CH1" s="308" t="s">
        <v>1599</v>
      </c>
      <c r="CI1" s="308" t="s">
        <v>559</v>
      </c>
      <c r="CJ1" s="308" t="s">
        <v>333</v>
      </c>
      <c r="CK1" s="308" t="s">
        <v>423</v>
      </c>
      <c r="CL1" s="308" t="s">
        <v>1605</v>
      </c>
      <c r="CM1" s="308" t="s">
        <v>1610</v>
      </c>
      <c r="CN1" s="308" t="s">
        <v>913</v>
      </c>
      <c r="CO1" s="308" t="s">
        <v>1615</v>
      </c>
      <c r="CP1" s="308" t="s">
        <v>721</v>
      </c>
      <c r="CQ1" s="308" t="s">
        <v>408</v>
      </c>
      <c r="CR1" s="308" t="s">
        <v>1621</v>
      </c>
      <c r="CS1" s="308" t="s">
        <v>767</v>
      </c>
      <c r="CT1" s="308" t="s">
        <v>468</v>
      </c>
      <c r="CU1" s="308" t="s">
        <v>507</v>
      </c>
      <c r="CV1" s="308" t="s">
        <v>1627</v>
      </c>
      <c r="CW1" s="308" t="s">
        <v>868</v>
      </c>
      <c r="CX1" s="308" t="s">
        <v>782</v>
      </c>
      <c r="CY1" s="308" t="s">
        <v>440</v>
      </c>
      <c r="CZ1" s="308" t="s">
        <v>59</v>
      </c>
      <c r="DA1" s="308" t="s">
        <v>100</v>
      </c>
      <c r="DB1" s="308" t="s">
        <v>1629</v>
      </c>
      <c r="DC1" s="308" t="s">
        <v>1634</v>
      </c>
      <c r="DD1" s="308" t="s">
        <v>865</v>
      </c>
      <c r="DE1" s="308" t="s">
        <v>48</v>
      </c>
      <c r="DF1" s="308" t="s">
        <v>1639</v>
      </c>
      <c r="DG1" s="308" t="s">
        <v>370</v>
      </c>
      <c r="DH1" s="308" t="s">
        <v>446</v>
      </c>
      <c r="DI1" s="308" t="s">
        <v>748</v>
      </c>
      <c r="DJ1" s="308" t="s">
        <v>688</v>
      </c>
      <c r="DK1" s="308" t="s">
        <v>681</v>
      </c>
      <c r="DL1" s="308" t="s">
        <v>898</v>
      </c>
      <c r="DM1" s="308" t="s">
        <v>1642</v>
      </c>
      <c r="DN1" s="308" t="s">
        <v>1647</v>
      </c>
      <c r="DO1" s="308" t="s">
        <v>1650</v>
      </c>
      <c r="DP1" s="308" t="s">
        <v>511</v>
      </c>
      <c r="DQ1" s="308" t="s">
        <v>15</v>
      </c>
      <c r="DR1" s="308" t="s">
        <v>753</v>
      </c>
      <c r="DS1" s="308" t="s">
        <v>1658</v>
      </c>
      <c r="DT1" s="308" t="s">
        <v>1659</v>
      </c>
      <c r="DU1" s="308" t="s">
        <v>92</v>
      </c>
      <c r="DV1" s="308" t="s">
        <v>339</v>
      </c>
      <c r="DW1" s="308" t="s">
        <v>1661</v>
      </c>
      <c r="DX1" s="308" t="s">
        <v>878</v>
      </c>
      <c r="DY1" s="308" t="s">
        <v>938</v>
      </c>
      <c r="DZ1" s="308" t="s">
        <v>743</v>
      </c>
      <c r="EA1" s="308" t="s">
        <v>883</v>
      </c>
      <c r="EB1" s="308" t="s">
        <v>689</v>
      </c>
      <c r="EC1" s="308" t="s">
        <v>1664</v>
      </c>
      <c r="ED1" s="308" t="s">
        <v>1665</v>
      </c>
      <c r="EE1" s="308" t="s">
        <v>1666</v>
      </c>
      <c r="EF1" s="308" t="s">
        <v>73</v>
      </c>
      <c r="EG1" s="308" t="s">
        <v>1672</v>
      </c>
      <c r="EH1" s="308" t="s">
        <v>2549</v>
      </c>
      <c r="EI1" s="308" t="s">
        <v>406</v>
      </c>
      <c r="EJ1" s="308" t="s">
        <v>372</v>
      </c>
      <c r="EK1" s="308" t="s">
        <v>1681</v>
      </c>
      <c r="EL1" s="308" t="s">
        <v>1683</v>
      </c>
      <c r="EM1" s="308" t="s">
        <v>1688</v>
      </c>
      <c r="EN1" s="308" t="s">
        <v>531</v>
      </c>
      <c r="EO1" s="308" t="s">
        <v>891</v>
      </c>
      <c r="EP1" s="308" t="s">
        <v>262</v>
      </c>
      <c r="EQ1" s="308" t="s">
        <v>7</v>
      </c>
      <c r="ER1" s="308" t="s">
        <v>741</v>
      </c>
      <c r="ES1" s="308" t="s">
        <v>363</v>
      </c>
      <c r="ET1" s="308" t="s">
        <v>885</v>
      </c>
      <c r="EU1" s="308" t="s">
        <v>1694</v>
      </c>
      <c r="EV1" s="308" t="s">
        <v>911</v>
      </c>
      <c r="EW1" s="308" t="s">
        <v>940</v>
      </c>
      <c r="EX1" s="308" t="s">
        <v>94</v>
      </c>
      <c r="EY1" s="308" t="s">
        <v>371</v>
      </c>
      <c r="EZ1" s="308" t="s">
        <v>1700</v>
      </c>
      <c r="FA1" s="308" t="s">
        <v>906</v>
      </c>
      <c r="FB1" s="308" t="s">
        <v>329</v>
      </c>
      <c r="FC1" s="308" t="s">
        <v>27</v>
      </c>
      <c r="FD1" s="308" t="s">
        <v>70</v>
      </c>
      <c r="FE1" s="308" t="s">
        <v>45</v>
      </c>
      <c r="FF1" s="308" t="s">
        <v>25</v>
      </c>
      <c r="FG1" s="308" t="s">
        <v>1706</v>
      </c>
      <c r="FH1" s="308" t="s">
        <v>1711</v>
      </c>
      <c r="FI1" s="308" t="s">
        <v>1716</v>
      </c>
      <c r="FJ1" s="308" t="s">
        <v>1721</v>
      </c>
      <c r="FK1" s="308" t="s">
        <v>12</v>
      </c>
      <c r="FL1" s="308" t="s">
        <v>869</v>
      </c>
      <c r="FM1" s="308" t="s">
        <v>19</v>
      </c>
      <c r="FN1" s="308" t="s">
        <v>361</v>
      </c>
      <c r="FO1" s="308" t="s">
        <v>1725</v>
      </c>
      <c r="FP1" s="308" t="s">
        <v>1726</v>
      </c>
      <c r="FQ1" s="308" t="s">
        <v>945</v>
      </c>
      <c r="FR1" s="308" t="s">
        <v>1731</v>
      </c>
      <c r="FS1" s="308" t="s">
        <v>762</v>
      </c>
      <c r="FT1" s="308" t="s">
        <v>899</v>
      </c>
      <c r="FU1" s="308" t="s">
        <v>881</v>
      </c>
      <c r="FV1" s="308" t="s">
        <v>330</v>
      </c>
      <c r="FW1" s="308" t="s">
        <v>707</v>
      </c>
      <c r="FX1" s="308" t="s">
        <v>231</v>
      </c>
      <c r="FY1" s="308" t="s">
        <v>1738</v>
      </c>
      <c r="FZ1" s="308" t="s">
        <v>414</v>
      </c>
      <c r="GA1" s="308" t="s">
        <v>9</v>
      </c>
      <c r="GB1" s="308" t="s">
        <v>821</v>
      </c>
      <c r="GC1" s="308" t="s">
        <v>553</v>
      </c>
      <c r="GD1" s="308" t="s">
        <v>290</v>
      </c>
      <c r="GE1" s="308" t="s">
        <v>1739</v>
      </c>
      <c r="GF1" s="308" t="s">
        <v>429</v>
      </c>
      <c r="GG1" s="308" t="s">
        <v>22</v>
      </c>
      <c r="GH1" s="308" t="s">
        <v>6</v>
      </c>
      <c r="GI1" s="308" t="s">
        <v>1740</v>
      </c>
      <c r="GJ1" s="308" t="s">
        <v>18</v>
      </c>
      <c r="GK1" s="308" t="s">
        <v>111</v>
      </c>
      <c r="GL1" s="308" t="s">
        <v>1745</v>
      </c>
      <c r="GM1" s="308" t="s">
        <v>1750</v>
      </c>
      <c r="GN1" s="308" t="s">
        <v>789</v>
      </c>
      <c r="GO1" s="308" t="s">
        <v>1755</v>
      </c>
      <c r="GP1" s="308" t="s">
        <v>813</v>
      </c>
      <c r="GQ1" s="308" t="s">
        <v>1757</v>
      </c>
      <c r="GR1" s="308" t="s">
        <v>524</v>
      </c>
      <c r="GS1" s="308" t="s">
        <v>506</v>
      </c>
      <c r="GT1" s="308" t="s">
        <v>2550</v>
      </c>
      <c r="GU1" s="308" t="s">
        <v>792</v>
      </c>
      <c r="GV1" s="308" t="s">
        <v>1763</v>
      </c>
      <c r="GW1" s="308" t="s">
        <v>1768</v>
      </c>
      <c r="GX1" s="308" t="s">
        <v>326</v>
      </c>
      <c r="GY1" s="308" t="s">
        <v>824</v>
      </c>
      <c r="GZ1" s="308" t="s">
        <v>1775</v>
      </c>
      <c r="HA1" s="308" t="s">
        <v>871</v>
      </c>
      <c r="HB1" s="308" t="s">
        <v>560</v>
      </c>
      <c r="HC1" s="308" t="s">
        <v>1776</v>
      </c>
      <c r="HD1" s="308" t="s">
        <v>405</v>
      </c>
      <c r="HE1" s="308" t="s">
        <v>942</v>
      </c>
      <c r="HF1" s="308" t="s">
        <v>820</v>
      </c>
      <c r="HG1" s="308" t="s">
        <v>831</v>
      </c>
      <c r="HH1" s="308" t="s">
        <v>1777</v>
      </c>
      <c r="HI1" s="308" t="s">
        <v>488</v>
      </c>
      <c r="HJ1" s="308" t="s">
        <v>854</v>
      </c>
      <c r="HK1" s="308" t="s">
        <v>1783</v>
      </c>
      <c r="HL1" s="308" t="s">
        <v>1788</v>
      </c>
      <c r="HM1" s="308" t="s">
        <v>412</v>
      </c>
      <c r="HN1" s="308" t="s">
        <v>1793</v>
      </c>
      <c r="HO1" s="308" t="s">
        <v>508</v>
      </c>
      <c r="HP1" s="308" t="s">
        <v>362</v>
      </c>
      <c r="HQ1" s="308" t="s">
        <v>1800</v>
      </c>
      <c r="HR1" s="308" t="s">
        <v>93</v>
      </c>
      <c r="HS1" s="308" t="s">
        <v>917</v>
      </c>
      <c r="HT1" s="308" t="s">
        <v>55</v>
      </c>
      <c r="HU1" s="308" t="s">
        <v>1806</v>
      </c>
      <c r="HV1" s="308" t="s">
        <v>1812</v>
      </c>
      <c r="HW1" s="308" t="s">
        <v>1817</v>
      </c>
      <c r="HX1" s="308" t="s">
        <v>509</v>
      </c>
      <c r="HY1" s="308" t="s">
        <v>775</v>
      </c>
      <c r="HZ1" s="308" t="s">
        <v>843</v>
      </c>
      <c r="IA1" s="308" t="s">
        <v>799</v>
      </c>
      <c r="IB1" s="308" t="s">
        <v>1822</v>
      </c>
      <c r="IC1" s="308" t="s">
        <v>29</v>
      </c>
      <c r="ID1" s="308" t="s">
        <v>335</v>
      </c>
      <c r="IE1" s="308" t="s">
        <v>1827</v>
      </c>
      <c r="IF1" s="308" t="s">
        <v>828</v>
      </c>
      <c r="IG1" s="308" t="s">
        <v>1832</v>
      </c>
      <c r="IH1" s="308" t="s">
        <v>26</v>
      </c>
      <c r="II1" s="308" t="s">
        <v>1837</v>
      </c>
      <c r="IJ1" s="308" t="s">
        <v>1842</v>
      </c>
      <c r="IK1" s="308" t="s">
        <v>1847</v>
      </c>
      <c r="IL1" s="308" t="s">
        <v>1852</v>
      </c>
      <c r="IM1" s="308" t="s">
        <v>349</v>
      </c>
      <c r="IN1" s="308" t="s">
        <v>90</v>
      </c>
      <c r="IO1" s="308" t="s">
        <v>1858</v>
      </c>
      <c r="IP1" s="308" t="s">
        <v>1859</v>
      </c>
      <c r="IQ1" s="308" t="s">
        <v>685</v>
      </c>
      <c r="IR1" s="308" t="s">
        <v>37</v>
      </c>
      <c r="IS1" s="308" t="s">
        <v>352</v>
      </c>
      <c r="IT1" s="308" t="s">
        <v>1865</v>
      </c>
      <c r="IU1" s="308" t="s">
        <v>438</v>
      </c>
      <c r="IV1" s="308" t="s">
        <v>535</v>
      </c>
      <c r="IW1" s="308" t="s">
        <v>1870</v>
      </c>
      <c r="IX1" s="308" t="s">
        <v>366</v>
      </c>
      <c r="IY1" s="308" t="s">
        <v>1872</v>
      </c>
      <c r="IZ1" s="308" t="s">
        <v>1873</v>
      </c>
      <c r="JA1" s="308" t="s">
        <v>1878</v>
      </c>
      <c r="JB1" s="308" t="s">
        <v>469</v>
      </c>
      <c r="JC1" s="308" t="s">
        <v>85</v>
      </c>
      <c r="JD1" s="308" t="s">
        <v>797</v>
      </c>
      <c r="JE1" s="308" t="s">
        <v>1884</v>
      </c>
      <c r="JF1" s="308" t="s">
        <v>1889</v>
      </c>
      <c r="JG1" s="308" t="s">
        <v>740</v>
      </c>
      <c r="JH1" s="308" t="s">
        <v>16</v>
      </c>
      <c r="JI1" s="308" t="s">
        <v>1894</v>
      </c>
      <c r="JJ1" s="308" t="s">
        <v>770</v>
      </c>
      <c r="JK1" s="308" t="s">
        <v>805</v>
      </c>
      <c r="JL1" s="308" t="s">
        <v>30</v>
      </c>
      <c r="JM1" s="308" t="s">
        <v>1898</v>
      </c>
      <c r="JN1" s="308" t="s">
        <v>1904</v>
      </c>
      <c r="JO1" s="308" t="s">
        <v>483</v>
      </c>
      <c r="JP1" s="308" t="s">
        <v>1908</v>
      </c>
      <c r="JQ1" s="308" t="s">
        <v>182</v>
      </c>
      <c r="JR1" s="308" t="s">
        <v>948</v>
      </c>
      <c r="JS1" s="308" t="s">
        <v>853</v>
      </c>
      <c r="JT1" s="308" t="s">
        <v>1910</v>
      </c>
      <c r="JU1" s="308" t="s">
        <v>2551</v>
      </c>
      <c r="JV1" s="308" t="s">
        <v>1916</v>
      </c>
      <c r="JW1" s="308" t="s">
        <v>794</v>
      </c>
      <c r="JX1" s="308" t="s">
        <v>43</v>
      </c>
      <c r="JY1" s="308" t="s">
        <v>935</v>
      </c>
      <c r="JZ1" s="308" t="s">
        <v>462</v>
      </c>
      <c r="KA1" s="308" t="s">
        <v>1922</v>
      </c>
      <c r="KB1" s="308" t="s">
        <v>904</v>
      </c>
      <c r="KC1" s="308" t="s">
        <v>929</v>
      </c>
      <c r="KD1" s="308" t="s">
        <v>467</v>
      </c>
      <c r="KE1" s="308" t="s">
        <v>296</v>
      </c>
      <c r="KF1" s="308" t="s">
        <v>1924</v>
      </c>
      <c r="KG1" s="308" t="s">
        <v>1929</v>
      </c>
      <c r="KH1" s="308" t="s">
        <v>540</v>
      </c>
      <c r="KI1" s="308" t="s">
        <v>291</v>
      </c>
      <c r="KJ1" s="308" t="s">
        <v>354</v>
      </c>
      <c r="KK1" s="308" t="s">
        <v>1931</v>
      </c>
      <c r="KL1" s="308" t="s">
        <v>1936</v>
      </c>
      <c r="KM1" s="308" t="s">
        <v>1941</v>
      </c>
      <c r="KN1" s="308" t="s">
        <v>1946</v>
      </c>
      <c r="KO1" s="308" t="s">
        <v>1950</v>
      </c>
      <c r="KP1" s="308" t="s">
        <v>472</v>
      </c>
      <c r="KQ1" s="308" t="s">
        <v>916</v>
      </c>
      <c r="KR1" s="308" t="s">
        <v>454</v>
      </c>
      <c r="KS1" s="308" t="s">
        <v>1955</v>
      </c>
      <c r="KT1" s="308" t="s">
        <v>910</v>
      </c>
      <c r="KU1" s="308" t="s">
        <v>923</v>
      </c>
      <c r="KV1" s="308" t="s">
        <v>918</v>
      </c>
      <c r="KW1" s="308" t="s">
        <v>502</v>
      </c>
      <c r="KX1" s="308" t="s">
        <v>931</v>
      </c>
      <c r="KY1" s="308" t="s">
        <v>373</v>
      </c>
      <c r="KZ1" s="308" t="s">
        <v>914</v>
      </c>
      <c r="LA1" s="308" t="s">
        <v>299</v>
      </c>
      <c r="LB1" s="308" t="s">
        <v>936</v>
      </c>
      <c r="LC1" s="308" t="s">
        <v>318</v>
      </c>
      <c r="LD1" s="308" t="s">
        <v>1961</v>
      </c>
      <c r="LE1" s="308" t="s">
        <v>1966</v>
      </c>
      <c r="LF1" s="308" t="s">
        <v>110</v>
      </c>
      <c r="LG1" s="308" t="s">
        <v>526</v>
      </c>
      <c r="LH1" s="308" t="s">
        <v>926</v>
      </c>
      <c r="LI1" s="308" t="s">
        <v>1967</v>
      </c>
      <c r="LJ1" s="308" t="s">
        <v>72</v>
      </c>
      <c r="LK1" s="308" t="s">
        <v>1972</v>
      </c>
      <c r="LL1" s="308" t="s">
        <v>272</v>
      </c>
      <c r="LM1" s="308" t="s">
        <v>1977</v>
      </c>
    </row>
    <row r="2" spans="1:325" s="310" customFormat="1" x14ac:dyDescent="0.6">
      <c r="A2" s="289" t="s">
        <v>1296</v>
      </c>
      <c r="B2" s="290" t="s">
        <v>1297</v>
      </c>
      <c r="C2" s="291" t="s">
        <v>2547</v>
      </c>
      <c r="D2" s="308" t="s">
        <v>265</v>
      </c>
      <c r="E2" s="1" t="s">
        <v>2556</v>
      </c>
      <c r="F2" s="308" t="s">
        <v>2552</v>
      </c>
      <c r="G2" s="308" t="s">
        <v>2553</v>
      </c>
      <c r="H2" s="308" t="s">
        <v>2554</v>
      </c>
      <c r="I2" s="308" t="s">
        <v>2555</v>
      </c>
      <c r="J2" s="1" t="s">
        <v>2557</v>
      </c>
      <c r="K2" s="1" t="s">
        <v>2558</v>
      </c>
      <c r="L2" s="1" t="s">
        <v>2559</v>
      </c>
      <c r="M2" s="1" t="s">
        <v>2560</v>
      </c>
      <c r="N2" s="1" t="s">
        <v>2561</v>
      </c>
      <c r="O2" s="1" t="s">
        <v>2562</v>
      </c>
      <c r="P2" s="1" t="s">
        <v>2563</v>
      </c>
      <c r="Q2" s="1" t="s">
        <v>2564</v>
      </c>
      <c r="R2" s="1" t="s">
        <v>2565</v>
      </c>
      <c r="S2" s="1" t="s">
        <v>2566</v>
      </c>
      <c r="T2" s="1" t="s">
        <v>2567</v>
      </c>
      <c r="U2" s="1" t="s">
        <v>2568</v>
      </c>
      <c r="V2" s="1" t="s">
        <v>2569</v>
      </c>
      <c r="W2" s="1" t="s">
        <v>2570</v>
      </c>
      <c r="X2" s="1" t="s">
        <v>2571</v>
      </c>
      <c r="Y2" s="1" t="s">
        <v>2572</v>
      </c>
      <c r="Z2" s="1" t="s">
        <v>2573</v>
      </c>
      <c r="AA2" s="1" t="s">
        <v>2574</v>
      </c>
      <c r="AB2" s="1" t="s">
        <v>2575</v>
      </c>
      <c r="AC2" s="1" t="s">
        <v>2576</v>
      </c>
      <c r="AD2" s="1" t="s">
        <v>2577</v>
      </c>
      <c r="AE2" s="1" t="s">
        <v>2578</v>
      </c>
      <c r="AF2" s="1" t="s">
        <v>2579</v>
      </c>
      <c r="AG2" s="1" t="s">
        <v>2580</v>
      </c>
      <c r="AH2" s="1" t="s">
        <v>2581</v>
      </c>
      <c r="AI2" s="1" t="s">
        <v>2582</v>
      </c>
      <c r="AJ2" s="1" t="s">
        <v>2583</v>
      </c>
      <c r="AK2" s="1" t="s">
        <v>2584</v>
      </c>
      <c r="AL2" s="1" t="s">
        <v>2585</v>
      </c>
      <c r="AM2" s="1" t="s">
        <v>2586</v>
      </c>
      <c r="AN2" s="1" t="s">
        <v>2587</v>
      </c>
      <c r="AO2" s="1" t="s">
        <v>2588</v>
      </c>
      <c r="AP2" s="1" t="s">
        <v>2589</v>
      </c>
      <c r="AQ2" s="1" t="s">
        <v>2590</v>
      </c>
      <c r="AR2" s="1" t="s">
        <v>2591</v>
      </c>
      <c r="AS2" s="1" t="s">
        <v>2592</v>
      </c>
      <c r="AT2" s="1" t="s">
        <v>2593</v>
      </c>
      <c r="AU2" s="1" t="s">
        <v>2594</v>
      </c>
      <c r="AV2" s="1" t="s">
        <v>2595</v>
      </c>
      <c r="AW2" s="1" t="s">
        <v>2596</v>
      </c>
      <c r="AX2" s="1" t="s">
        <v>2597</v>
      </c>
      <c r="AY2" s="1" t="s">
        <v>2598</v>
      </c>
      <c r="AZ2" s="1" t="s">
        <v>2599</v>
      </c>
      <c r="BA2" s="1" t="s">
        <v>2600</v>
      </c>
      <c r="BB2" s="1" t="s">
        <v>2601</v>
      </c>
      <c r="BC2" s="1" t="s">
        <v>2602</v>
      </c>
      <c r="BD2" s="1" t="s">
        <v>2603</v>
      </c>
      <c r="BE2" s="1" t="s">
        <v>2604</v>
      </c>
      <c r="BF2" s="1" t="s">
        <v>2605</v>
      </c>
      <c r="BG2" s="1" t="s">
        <v>2606</v>
      </c>
      <c r="BH2" s="1" t="s">
        <v>2607</v>
      </c>
      <c r="BI2" s="1" t="s">
        <v>2608</v>
      </c>
      <c r="BJ2" s="1" t="s">
        <v>2609</v>
      </c>
      <c r="BK2" s="1" t="s">
        <v>2610</v>
      </c>
      <c r="BL2" s="1" t="s">
        <v>2611</v>
      </c>
      <c r="BM2" s="1" t="s">
        <v>2612</v>
      </c>
      <c r="BN2" s="1" t="s">
        <v>2613</v>
      </c>
      <c r="BO2" s="1" t="s">
        <v>2614</v>
      </c>
      <c r="BP2" s="1" t="s">
        <v>2615</v>
      </c>
      <c r="BQ2" s="1" t="s">
        <v>2616</v>
      </c>
      <c r="BR2" s="1" t="s">
        <v>2617</v>
      </c>
      <c r="BS2" s="1" t="s">
        <v>2618</v>
      </c>
      <c r="BT2" s="1" t="s">
        <v>2619</v>
      </c>
      <c r="BU2" s="1" t="s">
        <v>2620</v>
      </c>
      <c r="BV2" s="1" t="s">
        <v>2621</v>
      </c>
      <c r="BW2" s="1" t="s">
        <v>2622</v>
      </c>
      <c r="BX2" s="1" t="s">
        <v>2623</v>
      </c>
      <c r="BY2" s="1" t="s">
        <v>2624</v>
      </c>
      <c r="BZ2" s="1" t="s">
        <v>2625</v>
      </c>
      <c r="CA2" s="1" t="s">
        <v>2626</v>
      </c>
      <c r="CB2" s="1" t="s">
        <v>2627</v>
      </c>
      <c r="CC2" s="1" t="s">
        <v>2628</v>
      </c>
      <c r="CD2" s="1" t="s">
        <v>2629</v>
      </c>
      <c r="CE2" s="1" t="s">
        <v>2630</v>
      </c>
      <c r="CF2" s="1" t="s">
        <v>2631</v>
      </c>
      <c r="CG2" s="1" t="s">
        <v>2632</v>
      </c>
      <c r="CH2" s="1" t="s">
        <v>2633</v>
      </c>
      <c r="CI2" s="1" t="s">
        <v>2634</v>
      </c>
      <c r="CJ2" s="1" t="s">
        <v>2635</v>
      </c>
      <c r="CK2" s="1" t="s">
        <v>2636</v>
      </c>
      <c r="CL2" s="1" t="s">
        <v>2637</v>
      </c>
      <c r="CM2" s="1" t="s">
        <v>2638</v>
      </c>
      <c r="CN2" s="1" t="s">
        <v>2639</v>
      </c>
      <c r="CO2" s="1" t="s">
        <v>2640</v>
      </c>
      <c r="CP2" s="1" t="s">
        <v>2641</v>
      </c>
      <c r="CQ2" s="1" t="s">
        <v>2642</v>
      </c>
      <c r="CR2" s="1" t="s">
        <v>2643</v>
      </c>
      <c r="CS2" s="1" t="s">
        <v>2644</v>
      </c>
      <c r="CT2" s="1" t="s">
        <v>2645</v>
      </c>
      <c r="CU2" s="1" t="s">
        <v>2646</v>
      </c>
      <c r="CV2" s="1" t="s">
        <v>2647</v>
      </c>
      <c r="CW2" s="1" t="s">
        <v>2648</v>
      </c>
      <c r="CX2" s="1" t="s">
        <v>2649</v>
      </c>
      <c r="CY2" s="1" t="s">
        <v>2650</v>
      </c>
      <c r="CZ2" s="1" t="s">
        <v>2651</v>
      </c>
      <c r="DA2" s="1" t="s">
        <v>2652</v>
      </c>
      <c r="DB2" s="1" t="s">
        <v>2653</v>
      </c>
      <c r="DC2" s="1" t="s">
        <v>2654</v>
      </c>
      <c r="DD2" s="1" t="s">
        <v>2655</v>
      </c>
      <c r="DE2" s="1" t="s">
        <v>2656</v>
      </c>
      <c r="DF2" s="1" t="s">
        <v>2657</v>
      </c>
      <c r="DG2" s="1" t="s">
        <v>2658</v>
      </c>
      <c r="DH2" s="1" t="s">
        <v>2659</v>
      </c>
      <c r="DI2" s="1" t="s">
        <v>2660</v>
      </c>
      <c r="DJ2" s="1" t="s">
        <v>2661</v>
      </c>
      <c r="DK2" s="1" t="s">
        <v>2662</v>
      </c>
      <c r="DL2" s="1" t="s">
        <v>2663</v>
      </c>
      <c r="DM2" s="1" t="s">
        <v>2664</v>
      </c>
      <c r="DN2" s="1" t="s">
        <v>2665</v>
      </c>
      <c r="DO2" s="1" t="s">
        <v>2666</v>
      </c>
      <c r="DP2" s="1" t="s">
        <v>2667</v>
      </c>
      <c r="DQ2" s="1" t="s">
        <v>2668</v>
      </c>
      <c r="DR2" s="1" t="s">
        <v>2669</v>
      </c>
      <c r="DS2" s="1" t="s">
        <v>2670</v>
      </c>
      <c r="DT2" s="1" t="s">
        <v>2671</v>
      </c>
      <c r="DU2" s="1" t="s">
        <v>2672</v>
      </c>
      <c r="DV2" s="1" t="s">
        <v>2673</v>
      </c>
      <c r="DW2" s="1" t="s">
        <v>2674</v>
      </c>
      <c r="DX2" s="1" t="s">
        <v>2675</v>
      </c>
      <c r="DY2" s="1" t="s">
        <v>2676</v>
      </c>
      <c r="DZ2" s="1" t="s">
        <v>2677</v>
      </c>
      <c r="EA2" s="1" t="s">
        <v>2678</v>
      </c>
      <c r="EB2" s="1" t="s">
        <v>2679</v>
      </c>
      <c r="EC2" s="1" t="s">
        <v>2680</v>
      </c>
      <c r="ED2" s="1" t="s">
        <v>2681</v>
      </c>
      <c r="EE2" s="1" t="s">
        <v>2682</v>
      </c>
      <c r="EF2" s="1" t="s">
        <v>2683</v>
      </c>
      <c r="EG2" s="1" t="s">
        <v>2684</v>
      </c>
      <c r="EH2" s="1" t="s">
        <v>2685</v>
      </c>
      <c r="EI2" s="1" t="s">
        <v>2686</v>
      </c>
      <c r="EJ2" s="1" t="s">
        <v>2687</v>
      </c>
      <c r="EK2" s="1" t="s">
        <v>2688</v>
      </c>
      <c r="EL2" s="1" t="s">
        <v>2689</v>
      </c>
      <c r="EM2" s="1" t="s">
        <v>2690</v>
      </c>
      <c r="EN2" s="1" t="s">
        <v>2691</v>
      </c>
      <c r="EO2" s="1" t="s">
        <v>2692</v>
      </c>
      <c r="EP2" s="1" t="s">
        <v>2693</v>
      </c>
      <c r="EQ2" s="1" t="s">
        <v>2694</v>
      </c>
      <c r="ER2" s="1" t="s">
        <v>2695</v>
      </c>
      <c r="ES2" s="1" t="s">
        <v>2696</v>
      </c>
      <c r="ET2" s="1" t="s">
        <v>2697</v>
      </c>
      <c r="EU2" s="1" t="s">
        <v>2698</v>
      </c>
      <c r="EV2" s="1" t="s">
        <v>2699</v>
      </c>
      <c r="EW2" s="1" t="s">
        <v>2700</v>
      </c>
      <c r="EX2" s="1" t="s">
        <v>2701</v>
      </c>
      <c r="EY2" s="1" t="s">
        <v>2702</v>
      </c>
      <c r="EZ2" s="1" t="s">
        <v>2703</v>
      </c>
      <c r="FA2" s="1" t="s">
        <v>2704</v>
      </c>
      <c r="FB2" s="1" t="s">
        <v>2705</v>
      </c>
      <c r="FC2" s="1" t="s">
        <v>2706</v>
      </c>
      <c r="FD2" s="1" t="s">
        <v>2707</v>
      </c>
      <c r="FE2" s="1" t="s">
        <v>2708</v>
      </c>
      <c r="FF2" s="1" t="s">
        <v>2709</v>
      </c>
      <c r="FG2" s="1" t="s">
        <v>2710</v>
      </c>
      <c r="FH2" s="1" t="s">
        <v>2711</v>
      </c>
      <c r="FI2" s="1" t="s">
        <v>2712</v>
      </c>
      <c r="FJ2" s="1" t="s">
        <v>2713</v>
      </c>
      <c r="FK2" s="1" t="s">
        <v>2714</v>
      </c>
      <c r="FL2" s="1" t="s">
        <v>2715</v>
      </c>
      <c r="FM2" s="1" t="s">
        <v>2716</v>
      </c>
      <c r="FN2" s="1" t="s">
        <v>2717</v>
      </c>
      <c r="FO2" s="1" t="s">
        <v>2718</v>
      </c>
      <c r="FP2" s="1" t="s">
        <v>2719</v>
      </c>
      <c r="FQ2" s="1" t="s">
        <v>2720</v>
      </c>
      <c r="FR2" s="1" t="s">
        <v>2721</v>
      </c>
      <c r="FS2" s="1" t="s">
        <v>2722</v>
      </c>
      <c r="FT2" s="1" t="s">
        <v>2723</v>
      </c>
      <c r="FU2" s="1" t="s">
        <v>2724</v>
      </c>
      <c r="FV2" s="1" t="s">
        <v>2725</v>
      </c>
      <c r="FW2" s="1" t="s">
        <v>2726</v>
      </c>
      <c r="FX2" s="1" t="s">
        <v>2727</v>
      </c>
      <c r="FY2" s="1" t="s">
        <v>2728</v>
      </c>
      <c r="FZ2" s="1" t="s">
        <v>2729</v>
      </c>
      <c r="GA2" s="1" t="s">
        <v>2730</v>
      </c>
      <c r="GB2" s="1" t="s">
        <v>2731</v>
      </c>
      <c r="GC2" s="1" t="s">
        <v>2732</v>
      </c>
      <c r="GD2" s="1" t="s">
        <v>2733</v>
      </c>
      <c r="GE2" s="1" t="s">
        <v>2734</v>
      </c>
      <c r="GF2" s="1" t="s">
        <v>2735</v>
      </c>
      <c r="GG2" s="1" t="s">
        <v>2736</v>
      </c>
      <c r="GH2" s="1" t="s">
        <v>2737</v>
      </c>
      <c r="GI2" s="1" t="s">
        <v>2738</v>
      </c>
      <c r="GJ2" s="1" t="s">
        <v>2739</v>
      </c>
      <c r="GK2" s="1" t="s">
        <v>2740</v>
      </c>
      <c r="GL2" s="1" t="s">
        <v>2741</v>
      </c>
      <c r="GM2" s="1" t="s">
        <v>2742</v>
      </c>
      <c r="GN2" s="1" t="s">
        <v>2743</v>
      </c>
      <c r="GO2" s="1" t="s">
        <v>2744</v>
      </c>
      <c r="GP2" s="1" t="s">
        <v>2745</v>
      </c>
      <c r="GQ2" s="1" t="s">
        <v>2746</v>
      </c>
      <c r="GR2" s="1" t="s">
        <v>2747</v>
      </c>
      <c r="GS2" s="1" t="s">
        <v>2748</v>
      </c>
      <c r="GT2" s="1" t="s">
        <v>2749</v>
      </c>
      <c r="GU2" s="1" t="s">
        <v>2750</v>
      </c>
      <c r="GV2" s="1" t="s">
        <v>2751</v>
      </c>
      <c r="GW2" s="1" t="s">
        <v>2752</v>
      </c>
      <c r="GX2" s="1" t="s">
        <v>2753</v>
      </c>
      <c r="GY2" s="1" t="s">
        <v>2754</v>
      </c>
      <c r="GZ2" s="1" t="s">
        <v>2755</v>
      </c>
      <c r="HA2" s="1" t="s">
        <v>2756</v>
      </c>
      <c r="HB2" s="1" t="s">
        <v>2757</v>
      </c>
      <c r="HC2" s="1" t="s">
        <v>2758</v>
      </c>
      <c r="HD2" s="1" t="s">
        <v>2759</v>
      </c>
      <c r="HE2" s="1" t="s">
        <v>2760</v>
      </c>
      <c r="HF2" s="1" t="s">
        <v>2761</v>
      </c>
      <c r="HG2" s="1" t="s">
        <v>2762</v>
      </c>
      <c r="HH2" s="1" t="s">
        <v>2763</v>
      </c>
      <c r="HI2" s="1" t="s">
        <v>2764</v>
      </c>
      <c r="HJ2" s="1" t="s">
        <v>2765</v>
      </c>
      <c r="HK2" s="1" t="s">
        <v>2766</v>
      </c>
      <c r="HL2" s="1" t="s">
        <v>2767</v>
      </c>
      <c r="HM2" s="1" t="s">
        <v>2768</v>
      </c>
      <c r="HN2" s="1" t="s">
        <v>2769</v>
      </c>
      <c r="HO2" s="1" t="s">
        <v>2770</v>
      </c>
      <c r="HP2" s="1" t="s">
        <v>2771</v>
      </c>
      <c r="HQ2" s="1" t="s">
        <v>2772</v>
      </c>
      <c r="HR2" s="1" t="s">
        <v>2773</v>
      </c>
      <c r="HS2" s="1" t="s">
        <v>2774</v>
      </c>
      <c r="HT2" s="1" t="s">
        <v>2775</v>
      </c>
      <c r="HU2" s="1" t="s">
        <v>2776</v>
      </c>
      <c r="HV2" s="1" t="s">
        <v>2777</v>
      </c>
      <c r="HW2" s="1" t="s">
        <v>2778</v>
      </c>
      <c r="HX2" s="1" t="s">
        <v>2779</v>
      </c>
      <c r="HY2" s="1" t="s">
        <v>2780</v>
      </c>
      <c r="HZ2" s="1" t="s">
        <v>2781</v>
      </c>
      <c r="IA2" s="1" t="s">
        <v>2782</v>
      </c>
      <c r="IB2" s="1" t="s">
        <v>2783</v>
      </c>
      <c r="IC2" s="1" t="s">
        <v>2784</v>
      </c>
      <c r="ID2" s="1" t="s">
        <v>2785</v>
      </c>
      <c r="IE2" s="1" t="s">
        <v>2786</v>
      </c>
      <c r="IF2" s="1" t="s">
        <v>2787</v>
      </c>
      <c r="IG2" s="1" t="s">
        <v>2788</v>
      </c>
      <c r="IH2" s="1" t="s">
        <v>2789</v>
      </c>
      <c r="II2" s="1" t="s">
        <v>2790</v>
      </c>
      <c r="IJ2" s="1" t="s">
        <v>2791</v>
      </c>
      <c r="IK2" s="1" t="s">
        <v>2792</v>
      </c>
      <c r="IL2" s="1" t="s">
        <v>2793</v>
      </c>
      <c r="IM2" s="1" t="s">
        <v>2794</v>
      </c>
      <c r="IN2" s="1" t="s">
        <v>2795</v>
      </c>
      <c r="IO2" s="1" t="s">
        <v>2796</v>
      </c>
      <c r="IP2" s="1" t="s">
        <v>2797</v>
      </c>
      <c r="IQ2" s="1" t="s">
        <v>2798</v>
      </c>
      <c r="IR2" s="1" t="s">
        <v>2799</v>
      </c>
      <c r="IS2" s="1" t="s">
        <v>2800</v>
      </c>
      <c r="IT2" s="1" t="s">
        <v>2801</v>
      </c>
      <c r="IU2" s="1" t="s">
        <v>2802</v>
      </c>
      <c r="IV2" s="1" t="s">
        <v>2803</v>
      </c>
      <c r="IW2" s="1" t="s">
        <v>2804</v>
      </c>
      <c r="IX2" s="1" t="s">
        <v>2805</v>
      </c>
      <c r="IY2" s="1" t="s">
        <v>2806</v>
      </c>
      <c r="IZ2" s="1" t="s">
        <v>2807</v>
      </c>
      <c r="JA2" s="1" t="s">
        <v>2808</v>
      </c>
      <c r="JB2" s="1" t="s">
        <v>2809</v>
      </c>
      <c r="JC2" s="1" t="s">
        <v>2810</v>
      </c>
      <c r="JD2" s="1" t="s">
        <v>2811</v>
      </c>
      <c r="JE2" s="1" t="s">
        <v>2812</v>
      </c>
      <c r="JF2" s="1" t="s">
        <v>2813</v>
      </c>
      <c r="JG2" s="1" t="s">
        <v>2814</v>
      </c>
      <c r="JH2" s="1" t="s">
        <v>2815</v>
      </c>
      <c r="JI2" s="1" t="s">
        <v>2816</v>
      </c>
      <c r="JJ2" s="1" t="s">
        <v>2817</v>
      </c>
      <c r="JK2" s="1" t="s">
        <v>2818</v>
      </c>
      <c r="JL2" s="1" t="s">
        <v>2819</v>
      </c>
      <c r="JM2" s="1" t="s">
        <v>2820</v>
      </c>
      <c r="JN2" s="1" t="s">
        <v>2821</v>
      </c>
      <c r="JO2" s="1" t="s">
        <v>2822</v>
      </c>
      <c r="JP2" s="1" t="s">
        <v>2823</v>
      </c>
      <c r="JQ2" s="1" t="s">
        <v>2824</v>
      </c>
      <c r="JR2" s="1" t="s">
        <v>2825</v>
      </c>
      <c r="JS2" s="1" t="s">
        <v>2826</v>
      </c>
      <c r="JT2" s="1" t="s">
        <v>2827</v>
      </c>
      <c r="JU2" s="1" t="s">
        <v>2828</v>
      </c>
      <c r="JV2" s="1" t="s">
        <v>2829</v>
      </c>
      <c r="JW2" s="1" t="s">
        <v>2830</v>
      </c>
      <c r="JX2" s="1" t="s">
        <v>2831</v>
      </c>
      <c r="JY2" s="1" t="s">
        <v>2832</v>
      </c>
      <c r="JZ2" s="1" t="s">
        <v>2833</v>
      </c>
      <c r="KA2" s="1" t="s">
        <v>2834</v>
      </c>
      <c r="KB2" s="1" t="s">
        <v>2835</v>
      </c>
      <c r="KC2" s="1" t="s">
        <v>2836</v>
      </c>
      <c r="KD2" s="1" t="s">
        <v>2837</v>
      </c>
      <c r="KE2" s="1" t="s">
        <v>2838</v>
      </c>
      <c r="KF2" s="1" t="s">
        <v>2839</v>
      </c>
      <c r="KG2" s="1" t="s">
        <v>2840</v>
      </c>
      <c r="KH2" s="1" t="s">
        <v>2841</v>
      </c>
      <c r="KI2" s="1" t="s">
        <v>2842</v>
      </c>
      <c r="KJ2" s="1" t="s">
        <v>2843</v>
      </c>
      <c r="KK2" s="1" t="s">
        <v>2844</v>
      </c>
      <c r="KL2" s="1" t="s">
        <v>2845</v>
      </c>
      <c r="KM2" s="1" t="s">
        <v>2846</v>
      </c>
      <c r="KN2" s="1" t="s">
        <v>2847</v>
      </c>
      <c r="KO2" s="1" t="s">
        <v>2848</v>
      </c>
      <c r="KP2" s="1" t="s">
        <v>2849</v>
      </c>
      <c r="KQ2" s="1" t="s">
        <v>2850</v>
      </c>
      <c r="KR2" s="1" t="s">
        <v>2851</v>
      </c>
      <c r="KS2" s="1" t="s">
        <v>2852</v>
      </c>
      <c r="KT2" s="1" t="s">
        <v>2853</v>
      </c>
      <c r="KU2" s="1" t="s">
        <v>2854</v>
      </c>
      <c r="KV2" s="1" t="s">
        <v>2855</v>
      </c>
      <c r="KW2" s="1" t="s">
        <v>2856</v>
      </c>
      <c r="KX2" s="1" t="s">
        <v>2857</v>
      </c>
      <c r="KY2" s="1" t="s">
        <v>2858</v>
      </c>
      <c r="KZ2" s="1" t="s">
        <v>2859</v>
      </c>
      <c r="LA2" s="1" t="s">
        <v>2860</v>
      </c>
      <c r="LB2" s="1" t="s">
        <v>2861</v>
      </c>
      <c r="LC2" s="1" t="s">
        <v>2862</v>
      </c>
      <c r="LD2" s="1" t="s">
        <v>2863</v>
      </c>
      <c r="LE2" s="1" t="s">
        <v>2864</v>
      </c>
      <c r="LF2" s="1" t="s">
        <v>2865</v>
      </c>
      <c r="LG2" s="1" t="s">
        <v>2866</v>
      </c>
      <c r="LH2" s="1" t="s">
        <v>2867</v>
      </c>
      <c r="LI2" s="1" t="s">
        <v>2868</v>
      </c>
      <c r="LJ2" s="1" t="s">
        <v>2869</v>
      </c>
      <c r="LK2" s="1" t="s">
        <v>2870</v>
      </c>
      <c r="LL2" s="1" t="s">
        <v>2871</v>
      </c>
      <c r="LM2" s="1" t="s">
        <v>2872</v>
      </c>
    </row>
    <row r="3" spans="1:325" s="310" customFormat="1" x14ac:dyDescent="0.6">
      <c r="A3" s="289"/>
      <c r="B3" s="290"/>
      <c r="C3" s="291"/>
      <c r="D3" s="308" t="s">
        <v>510</v>
      </c>
      <c r="E3" s="308" t="s">
        <v>35</v>
      </c>
      <c r="F3" s="308" t="s">
        <v>555</v>
      </c>
      <c r="G3" s="308" t="s">
        <v>1431</v>
      </c>
      <c r="H3" s="308" t="s">
        <v>449</v>
      </c>
      <c r="I3" s="308" t="s">
        <v>1438</v>
      </c>
      <c r="J3" s="308" t="s">
        <v>409</v>
      </c>
      <c r="K3" s="308" t="s">
        <v>525</v>
      </c>
      <c r="L3" s="308" t="s">
        <v>1444</v>
      </c>
      <c r="M3" s="308" t="s">
        <v>497</v>
      </c>
      <c r="N3" s="308" t="s">
        <v>1448</v>
      </c>
      <c r="O3" s="308" t="s">
        <v>1452</v>
      </c>
      <c r="P3" s="308" t="s">
        <v>496</v>
      </c>
      <c r="Q3" s="308" t="s">
        <v>66</v>
      </c>
      <c r="R3" s="308" t="s">
        <v>1458</v>
      </c>
      <c r="S3" s="308" t="s">
        <v>1463</v>
      </c>
      <c r="T3" s="308" t="s">
        <v>1468</v>
      </c>
      <c r="U3" s="308" t="s">
        <v>49</v>
      </c>
      <c r="V3" s="308" t="s">
        <v>532</v>
      </c>
      <c r="W3" s="308" t="s">
        <v>1475</v>
      </c>
      <c r="X3" s="308" t="s">
        <v>1480</v>
      </c>
      <c r="Y3" s="308" t="s">
        <v>1485</v>
      </c>
      <c r="Z3" s="308" t="s">
        <v>1490</v>
      </c>
      <c r="AA3" s="308" t="s">
        <v>306</v>
      </c>
      <c r="AB3" s="308" t="s">
        <v>1496</v>
      </c>
      <c r="AC3" s="308" t="s">
        <v>400</v>
      </c>
      <c r="AD3" s="308" t="s">
        <v>74</v>
      </c>
      <c r="AE3" s="308" t="s">
        <v>398</v>
      </c>
      <c r="AF3" s="308" t="s">
        <v>1505</v>
      </c>
      <c r="AG3" s="308" t="s">
        <v>513</v>
      </c>
      <c r="AH3" s="308" t="s">
        <v>1510</v>
      </c>
      <c r="AI3" s="308" t="s">
        <v>471</v>
      </c>
      <c r="AJ3" s="308" t="s">
        <v>498</v>
      </c>
      <c r="AK3" s="308" t="s">
        <v>895</v>
      </c>
      <c r="AL3" s="308" t="s">
        <v>436</v>
      </c>
      <c r="AM3" s="308" t="s">
        <v>410</v>
      </c>
      <c r="AN3" s="308" t="s">
        <v>68</v>
      </c>
      <c r="AO3" s="308" t="s">
        <v>1517</v>
      </c>
      <c r="AP3" s="308" t="s">
        <v>1522</v>
      </c>
      <c r="AQ3" s="308" t="s">
        <v>1528</v>
      </c>
      <c r="AR3" s="308" t="s">
        <v>892</v>
      </c>
      <c r="AS3" s="308" t="s">
        <v>457</v>
      </c>
      <c r="AT3" s="308" t="s">
        <v>450</v>
      </c>
      <c r="AU3" s="308" t="s">
        <v>1535</v>
      </c>
      <c r="AV3" s="308" t="s">
        <v>1540</v>
      </c>
      <c r="AW3" s="308" t="s">
        <v>543</v>
      </c>
      <c r="AX3" s="308" t="s">
        <v>1547</v>
      </c>
      <c r="AY3" s="308" t="s">
        <v>1553</v>
      </c>
      <c r="AZ3" s="308" t="s">
        <v>907</v>
      </c>
      <c r="BA3" s="308" t="s">
        <v>1558</v>
      </c>
      <c r="BB3" s="308" t="s">
        <v>80</v>
      </c>
      <c r="BC3" s="308" t="s">
        <v>33</v>
      </c>
      <c r="BD3" s="308" t="s">
        <v>1565</v>
      </c>
      <c r="BE3" s="308" t="s">
        <v>1571</v>
      </c>
      <c r="BF3" s="308" t="s">
        <v>314</v>
      </c>
      <c r="BG3" s="308" t="s">
        <v>474</v>
      </c>
      <c r="BH3" s="308" t="s">
        <v>514</v>
      </c>
      <c r="BI3" s="308" t="s">
        <v>501</v>
      </c>
      <c r="BJ3" s="308" t="s">
        <v>401</v>
      </c>
      <c r="BK3" s="308" t="s">
        <v>365</v>
      </c>
      <c r="BL3" s="308" t="s">
        <v>101</v>
      </c>
      <c r="BM3" s="308" t="s">
        <v>492</v>
      </c>
      <c r="BN3" s="308" t="s">
        <v>1579</v>
      </c>
      <c r="BO3" s="308" t="s">
        <v>322</v>
      </c>
      <c r="BP3" s="308" t="s">
        <v>14</v>
      </c>
      <c r="BQ3" s="308" t="s">
        <v>106</v>
      </c>
      <c r="BR3" s="308" t="s">
        <v>866</v>
      </c>
      <c r="BS3" s="308" t="s">
        <v>870</v>
      </c>
      <c r="BT3" s="308" t="s">
        <v>485</v>
      </c>
      <c r="BU3" s="308" t="s">
        <v>503</v>
      </c>
      <c r="BV3" s="308" t="s">
        <v>309</v>
      </c>
      <c r="BW3" s="308" t="s">
        <v>857</v>
      </c>
      <c r="BX3" s="308" t="s">
        <v>102</v>
      </c>
      <c r="BY3" s="308" t="s">
        <v>849</v>
      </c>
      <c r="BZ3" s="308" t="s">
        <v>493</v>
      </c>
      <c r="CA3" s="308" t="s">
        <v>404</v>
      </c>
      <c r="CB3" s="308" t="s">
        <v>1589</v>
      </c>
      <c r="CC3" s="308" t="s">
        <v>545</v>
      </c>
      <c r="CD3" s="308" t="s">
        <v>1594</v>
      </c>
      <c r="CE3" s="308" t="s">
        <v>427</v>
      </c>
      <c r="CF3" s="308" t="s">
        <v>452</v>
      </c>
      <c r="CG3" s="308" t="s">
        <v>552</v>
      </c>
      <c r="CH3" s="308" t="s">
        <v>1600</v>
      </c>
      <c r="CI3" s="308" t="s">
        <v>89</v>
      </c>
      <c r="CJ3" s="308" t="s">
        <v>40</v>
      </c>
      <c r="CK3" s="308" t="s">
        <v>316</v>
      </c>
      <c r="CL3" s="308" t="s">
        <v>1606</v>
      </c>
      <c r="CM3" s="308" t="s">
        <v>1611</v>
      </c>
      <c r="CN3" s="308" t="s">
        <v>486</v>
      </c>
      <c r="CO3" s="308" t="s">
        <v>1616</v>
      </c>
      <c r="CP3" s="308" t="s">
        <v>875</v>
      </c>
      <c r="CQ3" s="308" t="s">
        <v>874</v>
      </c>
      <c r="CR3" s="308" t="s">
        <v>1622</v>
      </c>
      <c r="CS3" s="308" t="s">
        <v>297</v>
      </c>
      <c r="CT3" s="308" t="s">
        <v>527</v>
      </c>
      <c r="CU3" s="308" t="s">
        <v>548</v>
      </c>
      <c r="CV3" s="308" t="s">
        <v>856</v>
      </c>
      <c r="CW3" s="308" t="s">
        <v>538</v>
      </c>
      <c r="CX3" s="308" t="s">
        <v>431</v>
      </c>
      <c r="CY3" s="308" t="s">
        <v>108</v>
      </c>
      <c r="CZ3" s="308" t="s">
        <v>521</v>
      </c>
      <c r="DA3" s="308" t="s">
        <v>32</v>
      </c>
      <c r="DB3" s="308" t="s">
        <v>1630</v>
      </c>
      <c r="DC3" s="308" t="s">
        <v>1635</v>
      </c>
      <c r="DD3" s="308" t="s">
        <v>852</v>
      </c>
      <c r="DE3" s="308" t="s">
        <v>432</v>
      </c>
      <c r="DF3" s="308" t="s">
        <v>873</v>
      </c>
      <c r="DG3" s="308" t="s">
        <v>319</v>
      </c>
      <c r="DH3" s="308" t="s">
        <v>523</v>
      </c>
      <c r="DI3" s="308" t="s">
        <v>98</v>
      </c>
      <c r="DJ3" s="308" t="s">
        <v>21</v>
      </c>
      <c r="DK3" s="308" t="s">
        <v>321</v>
      </c>
      <c r="DL3" s="308" t="s">
        <v>342</v>
      </c>
      <c r="DM3" s="308" t="s">
        <v>1643</v>
      </c>
      <c r="DN3" s="308" t="s">
        <v>303</v>
      </c>
      <c r="DO3" s="308" t="s">
        <v>375</v>
      </c>
      <c r="DP3" s="308" t="s">
        <v>515</v>
      </c>
      <c r="DQ3" s="308" t="s">
        <v>71</v>
      </c>
      <c r="DR3" s="308" t="s">
        <v>430</v>
      </c>
      <c r="DS3" s="308" t="s">
        <v>420</v>
      </c>
      <c r="DT3" s="308" t="s">
        <v>476</v>
      </c>
      <c r="DU3" s="308" t="s">
        <v>900</v>
      </c>
      <c r="DV3" s="308" t="s">
        <v>461</v>
      </c>
      <c r="DW3" s="308" t="s">
        <v>933</v>
      </c>
      <c r="DX3" s="308" t="s">
        <v>437</v>
      </c>
      <c r="DY3" s="308" t="s">
        <v>52</v>
      </c>
      <c r="DZ3" s="308" t="s">
        <v>880</v>
      </c>
      <c r="EA3" s="308" t="s">
        <v>937</v>
      </c>
      <c r="EB3" s="308" t="s">
        <v>46</v>
      </c>
      <c r="EC3" s="308" t="s">
        <v>79</v>
      </c>
      <c r="ED3" s="308" t="s">
        <v>62</v>
      </c>
      <c r="EE3" s="308" t="s">
        <v>1667</v>
      </c>
      <c r="EF3" s="308" t="s">
        <v>65</v>
      </c>
      <c r="EG3" s="308" t="s">
        <v>1673</v>
      </c>
      <c r="EH3" s="308" t="s">
        <v>1677</v>
      </c>
      <c r="EI3" s="308" t="s">
        <v>24</v>
      </c>
      <c r="EJ3" s="308" t="s">
        <v>470</v>
      </c>
      <c r="EK3" s="308" t="s">
        <v>884</v>
      </c>
      <c r="EL3" s="308" t="s">
        <v>1684</v>
      </c>
      <c r="EM3" s="308" t="s">
        <v>1689</v>
      </c>
      <c r="EN3" s="308" t="s">
        <v>422</v>
      </c>
      <c r="EO3" s="308" t="s">
        <v>336</v>
      </c>
      <c r="EP3" s="308" t="s">
        <v>919</v>
      </c>
      <c r="EQ3" s="308" t="s">
        <v>42</v>
      </c>
      <c r="ER3" s="308" t="s">
        <v>909</v>
      </c>
      <c r="ES3" s="308" t="s">
        <v>105</v>
      </c>
      <c r="ET3" s="308" t="s">
        <v>311</v>
      </c>
      <c r="EU3" s="308" t="s">
        <v>1695</v>
      </c>
      <c r="EV3" s="308" t="s">
        <v>439</v>
      </c>
      <c r="EW3" s="308" t="s">
        <v>888</v>
      </c>
      <c r="EX3" s="308" t="s">
        <v>943</v>
      </c>
      <c r="EY3" s="308" t="s">
        <v>930</v>
      </c>
      <c r="EZ3" s="308" t="s">
        <v>1701</v>
      </c>
      <c r="FA3" s="308" t="s">
        <v>300</v>
      </c>
      <c r="FB3" s="308" t="s">
        <v>858</v>
      </c>
      <c r="FC3" s="308" t="s">
        <v>312</v>
      </c>
      <c r="FD3" s="308" t="s">
        <v>328</v>
      </c>
      <c r="FE3" s="308" t="s">
        <v>95</v>
      </c>
      <c r="FF3" s="308" t="s">
        <v>39</v>
      </c>
      <c r="FG3" s="308" t="s">
        <v>1707</v>
      </c>
      <c r="FH3" s="308" t="s">
        <v>1712</v>
      </c>
      <c r="FI3" s="308" t="s">
        <v>1717</v>
      </c>
      <c r="FJ3" s="308" t="s">
        <v>500</v>
      </c>
      <c r="FK3" s="308" t="s">
        <v>301</v>
      </c>
      <c r="FL3" s="308" t="s">
        <v>478</v>
      </c>
      <c r="FM3" s="308" t="s">
        <v>927</v>
      </c>
      <c r="FN3" s="308" t="s">
        <v>949</v>
      </c>
      <c r="FO3" s="308" t="s">
        <v>351</v>
      </c>
      <c r="FP3" s="308" t="s">
        <v>1727</v>
      </c>
      <c r="FQ3" s="308" t="s">
        <v>51</v>
      </c>
      <c r="FR3" s="308" t="s">
        <v>1732</v>
      </c>
      <c r="FS3" s="308" t="s">
        <v>103</v>
      </c>
      <c r="FT3" s="308" t="s">
        <v>862</v>
      </c>
      <c r="FU3" s="308" t="s">
        <v>547</v>
      </c>
      <c r="FV3" s="308" t="s">
        <v>78</v>
      </c>
      <c r="FW3" s="308" t="s">
        <v>4</v>
      </c>
      <c r="FX3" s="308" t="s">
        <v>413</v>
      </c>
      <c r="FY3" s="308" t="s">
        <v>374</v>
      </c>
      <c r="FZ3" s="308" t="s">
        <v>411</v>
      </c>
      <c r="GA3" s="308" t="s">
        <v>505</v>
      </c>
      <c r="GB3" s="308" t="s">
        <v>86</v>
      </c>
      <c r="GC3" s="308" t="s">
        <v>47</v>
      </c>
      <c r="GD3" s="308" t="s">
        <v>325</v>
      </c>
      <c r="GE3" s="308" t="s">
        <v>922</v>
      </c>
      <c r="GF3" s="308" t="s">
        <v>445</v>
      </c>
      <c r="GG3" s="308" t="s">
        <v>426</v>
      </c>
      <c r="GH3" s="308" t="s">
        <v>558</v>
      </c>
      <c r="GI3" s="308" t="s">
        <v>1741</v>
      </c>
      <c r="GJ3" s="308" t="s">
        <v>912</v>
      </c>
      <c r="GK3" s="308" t="s">
        <v>482</v>
      </c>
      <c r="GL3" s="308" t="s">
        <v>1746</v>
      </c>
      <c r="GM3" s="308" t="s">
        <v>1751</v>
      </c>
      <c r="GN3" s="308" t="s">
        <v>448</v>
      </c>
      <c r="GO3" s="308" t="s">
        <v>533</v>
      </c>
      <c r="GP3" s="308" t="s">
        <v>428</v>
      </c>
      <c r="GQ3" s="308" t="s">
        <v>1758</v>
      </c>
      <c r="GR3" s="308" t="s">
        <v>905</v>
      </c>
      <c r="GS3" s="308" t="s">
        <v>453</v>
      </c>
      <c r="GT3" s="308" t="s">
        <v>864</v>
      </c>
      <c r="GU3" s="308" t="s">
        <v>518</v>
      </c>
      <c r="GV3" s="308" t="s">
        <v>1764</v>
      </c>
      <c r="GW3" s="308" t="s">
        <v>1769</v>
      </c>
      <c r="GX3" s="308" t="s">
        <v>76</v>
      </c>
      <c r="GY3" s="308" t="s">
        <v>944</v>
      </c>
      <c r="GZ3" s="308" t="s">
        <v>355</v>
      </c>
      <c r="HA3" s="308" t="s">
        <v>20</v>
      </c>
      <c r="HB3" s="308" t="s">
        <v>11</v>
      </c>
      <c r="HC3" s="308" t="s">
        <v>53</v>
      </c>
      <c r="HD3" s="308" t="s">
        <v>522</v>
      </c>
      <c r="HE3" s="308" t="s">
        <v>477</v>
      </c>
      <c r="HF3" s="308" t="s">
        <v>419</v>
      </c>
      <c r="HG3" s="308" t="s">
        <v>421</v>
      </c>
      <c r="HH3" s="308" t="s">
        <v>1778</v>
      </c>
      <c r="HI3" s="308" t="s">
        <v>495</v>
      </c>
      <c r="HJ3" s="308" t="s">
        <v>324</v>
      </c>
      <c r="HK3" s="308" t="s">
        <v>1784</v>
      </c>
      <c r="HL3" s="308" t="s">
        <v>1789</v>
      </c>
      <c r="HM3" s="308" t="s">
        <v>310</v>
      </c>
      <c r="HN3" s="308" t="s">
        <v>1794</v>
      </c>
      <c r="HO3" s="308" t="s">
        <v>460</v>
      </c>
      <c r="HP3" s="308" t="s">
        <v>490</v>
      </c>
      <c r="HQ3" s="308" t="s">
        <v>1801</v>
      </c>
      <c r="HR3" s="308" t="s">
        <v>517</v>
      </c>
      <c r="HS3" s="308" t="s">
        <v>13</v>
      </c>
      <c r="HT3" s="308" t="s">
        <v>356</v>
      </c>
      <c r="HU3" s="308" t="s">
        <v>1807</v>
      </c>
      <c r="HV3" s="308" t="s">
        <v>1813</v>
      </c>
      <c r="HW3" s="308" t="s">
        <v>1818</v>
      </c>
      <c r="HX3" s="308" t="s">
        <v>536</v>
      </c>
      <c r="HY3" s="308" t="s">
        <v>64</v>
      </c>
      <c r="HZ3" s="308" t="s">
        <v>537</v>
      </c>
      <c r="IA3" s="308" t="s">
        <v>546</v>
      </c>
      <c r="IB3" s="308" t="s">
        <v>1823</v>
      </c>
      <c r="IC3" s="308" t="s">
        <v>8</v>
      </c>
      <c r="ID3" s="308" t="s">
        <v>107</v>
      </c>
      <c r="IE3" s="308" t="s">
        <v>1828</v>
      </c>
      <c r="IF3" s="308" t="s">
        <v>541</v>
      </c>
      <c r="IG3" s="308" t="s">
        <v>1833</v>
      </c>
      <c r="IH3" s="308" t="s">
        <v>475</v>
      </c>
      <c r="II3" s="308" t="s">
        <v>1838</v>
      </c>
      <c r="IJ3" s="308" t="s">
        <v>1843</v>
      </c>
      <c r="IK3" s="308" t="s">
        <v>1848</v>
      </c>
      <c r="IL3" s="308" t="s">
        <v>1853</v>
      </c>
      <c r="IM3" s="308" t="s">
        <v>60</v>
      </c>
      <c r="IN3" s="308" t="s">
        <v>109</v>
      </c>
      <c r="IO3" s="308" t="s">
        <v>340</v>
      </c>
      <c r="IP3" s="308" t="s">
        <v>1860</v>
      </c>
      <c r="IQ3" s="308" t="s">
        <v>491</v>
      </c>
      <c r="IR3" s="308" t="s">
        <v>69</v>
      </c>
      <c r="IS3" s="308" t="s">
        <v>304</v>
      </c>
      <c r="IT3" s="308" t="s">
        <v>1866</v>
      </c>
      <c r="IU3" s="308" t="s">
        <v>36</v>
      </c>
      <c r="IV3" s="308" t="s">
        <v>890</v>
      </c>
      <c r="IW3" s="308" t="s">
        <v>529</v>
      </c>
      <c r="IX3" s="308" t="s">
        <v>447</v>
      </c>
      <c r="IY3" s="308" t="s">
        <v>38</v>
      </c>
      <c r="IZ3" s="308" t="s">
        <v>1874</v>
      </c>
      <c r="JA3" s="308" t="s">
        <v>1879</v>
      </c>
      <c r="JB3" s="308" t="s">
        <v>889</v>
      </c>
      <c r="JC3" s="308" t="s">
        <v>901</v>
      </c>
      <c r="JD3" s="308" t="s">
        <v>939</v>
      </c>
      <c r="JE3" s="308" t="s">
        <v>1885</v>
      </c>
      <c r="JF3" s="308" t="s">
        <v>1890</v>
      </c>
      <c r="JG3" s="308" t="s">
        <v>455</v>
      </c>
      <c r="JH3" s="308" t="s">
        <v>334</v>
      </c>
      <c r="JI3" s="308" t="s">
        <v>63</v>
      </c>
      <c r="JJ3" s="308" t="s">
        <v>54</v>
      </c>
      <c r="JK3" s="308" t="s">
        <v>315</v>
      </c>
      <c r="JL3" s="308" t="s">
        <v>861</v>
      </c>
      <c r="JM3" s="308" t="s">
        <v>1899</v>
      </c>
      <c r="JN3" s="308" t="s">
        <v>1905</v>
      </c>
      <c r="JO3" s="308" t="s">
        <v>897</v>
      </c>
      <c r="JP3" s="308" t="s">
        <v>542</v>
      </c>
      <c r="JQ3" s="308" t="s">
        <v>345</v>
      </c>
      <c r="JR3" s="308" t="s">
        <v>915</v>
      </c>
      <c r="JS3" s="308" t="s">
        <v>886</v>
      </c>
      <c r="JT3" s="308" t="s">
        <v>1911</v>
      </c>
      <c r="JU3" s="308" t="s">
        <v>887</v>
      </c>
      <c r="JV3" s="308" t="s">
        <v>1917</v>
      </c>
      <c r="JW3" s="308" t="s">
        <v>516</v>
      </c>
      <c r="JX3" s="308" t="s">
        <v>298</v>
      </c>
      <c r="JY3" s="308" t="s">
        <v>463</v>
      </c>
      <c r="JZ3" s="308" t="s">
        <v>893</v>
      </c>
      <c r="KA3" s="308" t="s">
        <v>882</v>
      </c>
      <c r="KB3" s="308" t="s">
        <v>494</v>
      </c>
      <c r="KC3" s="308" t="s">
        <v>925</v>
      </c>
      <c r="KD3" s="308" t="s">
        <v>41</v>
      </c>
      <c r="KE3" s="308" t="s">
        <v>459</v>
      </c>
      <c r="KF3" s="308" t="s">
        <v>1925</v>
      </c>
      <c r="KG3" s="308" t="s">
        <v>928</v>
      </c>
      <c r="KH3" s="308" t="s">
        <v>902</v>
      </c>
      <c r="KI3" s="308" t="s">
        <v>894</v>
      </c>
      <c r="KJ3" s="308" t="s">
        <v>368</v>
      </c>
      <c r="KK3" s="308" t="s">
        <v>1932</v>
      </c>
      <c r="KL3" s="308" t="s">
        <v>1937</v>
      </c>
      <c r="KM3" s="308" t="s">
        <v>1942</v>
      </c>
      <c r="KN3" s="308" t="s">
        <v>1947</v>
      </c>
      <c r="KO3" s="308" t="s">
        <v>1951</v>
      </c>
      <c r="KP3" s="308" t="s">
        <v>877</v>
      </c>
      <c r="KQ3" s="308" t="s">
        <v>327</v>
      </c>
      <c r="KR3" s="308" t="s">
        <v>84</v>
      </c>
      <c r="KS3" s="308" t="s">
        <v>1956</v>
      </c>
      <c r="KT3" s="308" t="s">
        <v>480</v>
      </c>
      <c r="KU3" s="308" t="s">
        <v>367</v>
      </c>
      <c r="KV3" s="308" t="s">
        <v>848</v>
      </c>
      <c r="KW3" s="308" t="s">
        <v>465</v>
      </c>
      <c r="KX3" s="308" t="s">
        <v>466</v>
      </c>
      <c r="KY3" s="308" t="s">
        <v>473</v>
      </c>
      <c r="KZ3" s="308" t="s">
        <v>859</v>
      </c>
      <c r="LA3" s="308" t="s">
        <v>530</v>
      </c>
      <c r="LB3" s="308" t="s">
        <v>17</v>
      </c>
      <c r="LC3" s="308" t="s">
        <v>539</v>
      </c>
      <c r="LD3" s="308" t="s">
        <v>1962</v>
      </c>
      <c r="LE3" s="308" t="s">
        <v>456</v>
      </c>
      <c r="LF3" s="308" t="s">
        <v>415</v>
      </c>
      <c r="LG3" s="308" t="s">
        <v>294</v>
      </c>
      <c r="LH3" s="308" t="s">
        <v>10</v>
      </c>
      <c r="LI3" s="308" t="s">
        <v>1968</v>
      </c>
      <c r="LJ3" s="308" t="s">
        <v>424</v>
      </c>
      <c r="LK3" s="308" t="s">
        <v>1973</v>
      </c>
      <c r="LL3" s="308" t="s">
        <v>58</v>
      </c>
      <c r="LM3" s="308" t="s">
        <v>348</v>
      </c>
    </row>
    <row r="4" spans="1:325" x14ac:dyDescent="0.6">
      <c r="A4" s="282" t="s">
        <v>1251</v>
      </c>
      <c r="B4" s="283">
        <f>1/0.00079</f>
        <v>1265.8227848101264</v>
      </c>
      <c r="C4" s="284" t="s">
        <v>1310</v>
      </c>
      <c r="D4" s="279"/>
      <c r="E4" s="280"/>
      <c r="F4" s="307">
        <v>12000</v>
      </c>
      <c r="G4" s="307"/>
      <c r="H4" s="307"/>
      <c r="I4" s="307">
        <f>448000+313255+441174+50000+260000+7500+6700+130000+48500+1800+25000+118800+75800+700000+50000</f>
        <v>2676529</v>
      </c>
      <c r="J4" s="280"/>
      <c r="K4" s="280"/>
      <c r="L4" s="280"/>
      <c r="M4" s="280"/>
      <c r="N4" s="280">
        <f>9521+110603+11225+438041+495057+53358+1444+152201</f>
        <v>1271450</v>
      </c>
      <c r="O4" s="280">
        <f>72500+18000+10000+6800+13000+32000+9000+20000+15000+10000+7000+6000+4000+20000</f>
        <v>243300</v>
      </c>
      <c r="P4" s="280">
        <v>6000</v>
      </c>
      <c r="Q4" s="280">
        <v>6000</v>
      </c>
      <c r="R4" s="280"/>
      <c r="S4" s="280">
        <v>709070</v>
      </c>
      <c r="T4" s="280">
        <v>2000</v>
      </c>
      <c r="U4" s="280"/>
      <c r="V4" s="280"/>
      <c r="W4" s="280"/>
      <c r="X4" s="280"/>
      <c r="Y4" s="280"/>
      <c r="Z4" s="280"/>
      <c r="AA4" s="280"/>
      <c r="AB4" s="280">
        <v>15000</v>
      </c>
      <c r="AC4" s="280"/>
      <c r="AD4" s="280"/>
      <c r="AE4" s="280"/>
      <c r="AF4" s="280"/>
      <c r="AG4" s="280">
        <f>1000+2810</f>
        <v>3810</v>
      </c>
      <c r="AH4" s="280"/>
      <c r="AI4" s="280"/>
      <c r="AJ4" s="280"/>
      <c r="AK4" s="280"/>
      <c r="AL4" s="280"/>
      <c r="AM4" s="280"/>
      <c r="AN4" s="280"/>
      <c r="AO4" s="280"/>
      <c r="AP4" s="280"/>
      <c r="AQ4" s="280"/>
      <c r="AR4" s="280"/>
      <c r="AS4" s="280">
        <v>146309</v>
      </c>
      <c r="AT4" s="280"/>
      <c r="AU4" s="280"/>
      <c r="AV4" s="280"/>
      <c r="AW4" s="280"/>
      <c r="AX4" s="311">
        <f>(5000000+4000000+7200000+16200000+3000000+3000000)/1000</f>
        <v>38400</v>
      </c>
      <c r="AY4" s="280"/>
      <c r="AZ4" s="280">
        <v>169000</v>
      </c>
      <c r="BA4" s="280">
        <f>4000+20000</f>
        <v>24000</v>
      </c>
      <c r="BB4" s="280">
        <v>29000</v>
      </c>
      <c r="BC4" s="280"/>
      <c r="BD4" s="280"/>
      <c r="BE4" s="280"/>
      <c r="BF4" s="280"/>
      <c r="BG4" s="280"/>
      <c r="BH4" s="280"/>
      <c r="BI4" s="280"/>
      <c r="BJ4" s="280">
        <v>10500</v>
      </c>
      <c r="BK4" s="280"/>
      <c r="BL4" s="280"/>
      <c r="BM4" s="280"/>
      <c r="BN4" s="280"/>
      <c r="BO4" s="280"/>
      <c r="BP4" s="280"/>
      <c r="BQ4" s="280"/>
      <c r="BR4" s="280"/>
      <c r="BS4" s="280"/>
      <c r="BT4" s="280"/>
      <c r="BU4" s="280"/>
      <c r="BV4" s="280"/>
      <c r="BW4" s="280"/>
      <c r="BX4" s="280">
        <v>2500</v>
      </c>
      <c r="BY4" s="280"/>
      <c r="BZ4" s="280"/>
      <c r="CA4" s="280"/>
      <c r="CB4" s="280"/>
      <c r="CC4" s="280"/>
      <c r="CD4" s="280"/>
      <c r="CE4" s="280"/>
      <c r="CF4" s="280"/>
      <c r="CG4" s="280"/>
      <c r="CH4" s="280"/>
      <c r="CI4" s="280">
        <v>45720</v>
      </c>
      <c r="CJ4" s="280"/>
      <c r="CK4" s="280">
        <v>7200</v>
      </c>
      <c r="CL4" s="280"/>
      <c r="CM4" s="280"/>
      <c r="CN4" s="280"/>
      <c r="CO4" s="280"/>
      <c r="CP4" s="280"/>
      <c r="CQ4" s="280"/>
      <c r="CR4" s="280"/>
      <c r="CS4" s="280"/>
      <c r="CT4" s="280">
        <f>181310/1000</f>
        <v>181.31</v>
      </c>
      <c r="CU4" s="280"/>
      <c r="CV4" s="280"/>
      <c r="CW4" s="280"/>
      <c r="CX4" s="280"/>
      <c r="CY4" s="280"/>
      <c r="CZ4" s="280"/>
      <c r="DA4" s="280"/>
      <c r="DB4" s="280"/>
      <c r="DC4" s="280"/>
      <c r="DD4" s="280">
        <v>24000</v>
      </c>
      <c r="DE4" s="280"/>
      <c r="DF4" s="280"/>
      <c r="DG4" s="280"/>
      <c r="DH4" s="280"/>
      <c r="DI4" s="280"/>
      <c r="DJ4" s="280"/>
      <c r="DK4" s="280"/>
      <c r="DL4" s="280">
        <v>12600</v>
      </c>
      <c r="DM4" s="280">
        <f>(15000000+16200000+36000000+30000000)/1000</f>
        <v>97200</v>
      </c>
      <c r="DN4" s="280"/>
      <c r="DO4" s="280">
        <f>16800+14000+5000+5000+24600</f>
        <v>65400</v>
      </c>
      <c r="DP4" s="280"/>
      <c r="DQ4" s="280"/>
      <c r="DR4" s="280"/>
      <c r="DS4" s="280"/>
      <c r="DT4" s="280"/>
      <c r="DU4" s="280"/>
      <c r="DV4" s="280"/>
      <c r="DW4" s="280">
        <v>31200</v>
      </c>
      <c r="DX4" s="280"/>
      <c r="DY4" s="280"/>
      <c r="DZ4" s="280">
        <v>5000</v>
      </c>
      <c r="EA4" s="280"/>
      <c r="EB4" s="280"/>
      <c r="EC4" s="280"/>
      <c r="ED4" s="280"/>
      <c r="EE4" s="280"/>
      <c r="EF4" s="280"/>
      <c r="EG4" s="280">
        <v>154383</v>
      </c>
      <c r="EH4" s="280"/>
      <c r="EI4" s="280"/>
      <c r="EJ4" s="280"/>
      <c r="EK4" s="280"/>
      <c r="EL4" s="280"/>
      <c r="EM4" s="280">
        <f>239395+25649+155768+9664</f>
        <v>430476</v>
      </c>
      <c r="EN4" s="280"/>
      <c r="EO4" s="280"/>
      <c r="EP4" s="280"/>
      <c r="EQ4" s="280"/>
      <c r="ER4" s="280">
        <f>14000+50445</f>
        <v>64445</v>
      </c>
      <c r="ES4" s="280"/>
      <c r="ET4" s="280"/>
      <c r="EU4" s="280"/>
      <c r="EV4" s="280"/>
      <c r="EW4" s="280"/>
      <c r="EX4" s="280"/>
      <c r="EY4" s="280"/>
      <c r="EZ4" s="280">
        <f>27500</f>
        <v>27500</v>
      </c>
      <c r="FA4" s="280"/>
      <c r="FB4" s="280"/>
      <c r="FC4" s="280">
        <v>1093</v>
      </c>
      <c r="FD4" s="280"/>
      <c r="FE4" s="280">
        <v>58400</v>
      </c>
      <c r="FF4" s="280">
        <v>10000</v>
      </c>
      <c r="FG4" s="280"/>
      <c r="FH4" s="280"/>
      <c r="FI4" s="280">
        <v>750</v>
      </c>
      <c r="FJ4" s="280"/>
      <c r="FK4" s="280"/>
      <c r="FL4" s="280"/>
      <c r="FM4" s="280">
        <f>(12000000+6600000+38000000+15400000)/1000</f>
        <v>72000</v>
      </c>
      <c r="FN4" s="280"/>
      <c r="FO4" s="280">
        <f>12000+21600</f>
        <v>33600</v>
      </c>
      <c r="FP4" s="280">
        <f>(5000000+5000000+2700000+10000000+10000000+7500000+1800000+5000000+1000000+10000000+3000000+1800000+12000000+7000000+15000000+10000000+17500000+10000000+10000000+10000000+20000000+20000000+5000000)/1000</f>
        <v>199300</v>
      </c>
      <c r="FQ4" s="280"/>
      <c r="FR4" s="280"/>
      <c r="FS4" s="280"/>
      <c r="FT4" s="280"/>
      <c r="FU4" s="280">
        <f>31500+28424</f>
        <v>59924</v>
      </c>
      <c r="FV4" s="280">
        <v>3000</v>
      </c>
      <c r="FW4" s="280"/>
      <c r="FX4" s="280"/>
      <c r="FY4" s="280"/>
      <c r="FZ4" s="280"/>
      <c r="GA4" s="280"/>
      <c r="GB4" s="280"/>
      <c r="GC4" s="280"/>
      <c r="GD4" s="280"/>
      <c r="GE4" s="280">
        <v>23900</v>
      </c>
      <c r="GF4" s="280"/>
      <c r="GG4" s="280"/>
      <c r="GH4" s="280">
        <f>120+19200+4800+4800+6000</f>
        <v>34920</v>
      </c>
      <c r="GI4" s="280"/>
      <c r="GJ4" s="280"/>
      <c r="GK4" s="280">
        <f>12500+30000</f>
        <v>42500</v>
      </c>
      <c r="GL4" s="280"/>
      <c r="GM4" s="280">
        <f>271400+18700+49800+6000</f>
        <v>345900</v>
      </c>
      <c r="GN4" s="280"/>
      <c r="GO4" s="280"/>
      <c r="GP4" s="280">
        <f>19816382</f>
        <v>19816382</v>
      </c>
      <c r="GQ4" s="280"/>
      <c r="GR4" s="280"/>
      <c r="GS4" s="280"/>
      <c r="GT4" s="280"/>
      <c r="GU4" s="280"/>
      <c r="GV4" s="280"/>
      <c r="GW4" s="280"/>
      <c r="GX4" s="280"/>
      <c r="GY4" s="280"/>
      <c r="GZ4" s="280"/>
      <c r="HA4" s="280"/>
      <c r="HB4" s="280"/>
      <c r="HC4" s="280"/>
      <c r="HD4" s="280"/>
      <c r="HE4" s="280"/>
      <c r="HF4" s="280"/>
      <c r="HG4" s="280">
        <f>100000+120000+7500</f>
        <v>227500</v>
      </c>
      <c r="HH4" s="280"/>
      <c r="HI4" s="280"/>
      <c r="HJ4" s="280"/>
      <c r="HK4" s="280"/>
      <c r="HL4" s="280">
        <f>2700+4000+4800+2700+3000+800+2000+2000+4000+2500+6000</f>
        <v>34500</v>
      </c>
      <c r="HM4" s="280"/>
      <c r="HN4" s="280"/>
      <c r="HO4" s="280"/>
      <c r="HP4" s="280"/>
      <c r="HQ4" s="280"/>
      <c r="HR4" s="280"/>
      <c r="HS4" s="280">
        <v>10000</v>
      </c>
      <c r="HT4" s="280"/>
      <c r="HU4" s="280"/>
      <c r="HV4" s="280"/>
      <c r="HW4" s="280"/>
      <c r="HX4" s="280"/>
      <c r="HY4" s="280"/>
      <c r="HZ4" s="280"/>
      <c r="IA4" s="280"/>
      <c r="IB4" s="280"/>
      <c r="IC4" s="280"/>
      <c r="ID4" s="280"/>
      <c r="IE4" s="280"/>
      <c r="IF4" s="280"/>
      <c r="IG4" s="280"/>
      <c r="IH4" s="280"/>
      <c r="II4" s="280"/>
      <c r="IJ4" s="280"/>
      <c r="IK4" s="280"/>
      <c r="IL4" s="280"/>
      <c r="IM4" s="280"/>
      <c r="IN4" s="280"/>
      <c r="IO4" s="280"/>
      <c r="IP4" s="280"/>
      <c r="IQ4" s="280"/>
      <c r="IR4" s="280"/>
      <c r="IS4" s="280"/>
      <c r="IT4" s="280">
        <f>2280+727+86+600+1808</f>
        <v>5501</v>
      </c>
      <c r="IU4" s="280"/>
      <c r="IV4" s="280"/>
      <c r="IW4" s="280"/>
      <c r="IX4" s="280"/>
      <c r="IY4" s="280"/>
      <c r="IZ4" s="280"/>
      <c r="JA4" s="280"/>
      <c r="JB4" s="280"/>
      <c r="JC4" s="280"/>
      <c r="JD4" s="280"/>
      <c r="JE4" s="280">
        <f>165949999.92/1000</f>
        <v>165949.99991999997</v>
      </c>
      <c r="JF4" s="280"/>
      <c r="JG4" s="280"/>
      <c r="JH4" s="280"/>
      <c r="JI4" s="280"/>
      <c r="JJ4" s="280">
        <f>5000+6000</f>
        <v>11000</v>
      </c>
      <c r="JK4" s="280">
        <v>148680</v>
      </c>
      <c r="JL4" s="280"/>
      <c r="JM4" s="280"/>
      <c r="JN4" s="280"/>
      <c r="JO4" s="280"/>
      <c r="JP4" s="280">
        <v>101734</v>
      </c>
      <c r="JQ4" s="280"/>
      <c r="JR4" s="280"/>
      <c r="JS4" s="280"/>
      <c r="JT4" s="280"/>
      <c r="JU4" s="280"/>
      <c r="JV4" s="280"/>
      <c r="JW4" s="280"/>
      <c r="JX4" s="280">
        <f>1405569+2000000</f>
        <v>3405569</v>
      </c>
      <c r="JY4" s="280"/>
      <c r="JZ4" s="280"/>
      <c r="KA4" s="280"/>
      <c r="KB4" s="280"/>
      <c r="KC4" s="280"/>
      <c r="KD4" s="280"/>
      <c r="KE4" s="280"/>
      <c r="KF4" s="280"/>
      <c r="KG4" s="280"/>
      <c r="KH4" s="280"/>
      <c r="KI4" s="280">
        <v>22800</v>
      </c>
      <c r="KJ4" s="280"/>
      <c r="KK4" s="280"/>
      <c r="KL4" s="280"/>
      <c r="KM4" s="280"/>
      <c r="KN4" s="280"/>
      <c r="KO4" s="280"/>
      <c r="KP4" s="280"/>
      <c r="KQ4" s="280">
        <f>700+99280</f>
        <v>99980</v>
      </c>
      <c r="KR4" s="280">
        <f>66752800/1000</f>
        <v>66752.800000000003</v>
      </c>
      <c r="KS4" s="280"/>
      <c r="KT4" s="280">
        <v>677750</v>
      </c>
      <c r="KU4" s="280"/>
      <c r="KV4" s="280">
        <f>16800+10580+15000+10000+45624+19985+3000</f>
        <v>120989</v>
      </c>
      <c r="KW4" s="280"/>
      <c r="KX4" s="280"/>
      <c r="KY4" s="280"/>
      <c r="KZ4" s="280">
        <f>327415+42000</f>
        <v>369415</v>
      </c>
      <c r="LA4" s="280"/>
      <c r="LB4" s="280"/>
      <c r="LC4" s="280"/>
      <c r="LD4" s="280">
        <f>4800+3200+1900</f>
        <v>9900</v>
      </c>
      <c r="LE4" s="280">
        <f>27539+347352</f>
        <v>374891</v>
      </c>
      <c r="LF4" s="280"/>
      <c r="LG4" s="280"/>
      <c r="LH4" s="280"/>
      <c r="LI4" s="280"/>
      <c r="LJ4" s="280"/>
      <c r="LK4" s="280">
        <f>16287266/1000</f>
        <v>16287.266</v>
      </c>
      <c r="LL4" s="280"/>
      <c r="LM4" s="280"/>
    </row>
    <row r="5" spans="1:325" x14ac:dyDescent="0.6">
      <c r="A5" s="282" t="s">
        <v>795</v>
      </c>
      <c r="B5" s="285">
        <f>1/0.00074</f>
        <v>1351.3513513513515</v>
      </c>
      <c r="C5" s="284" t="s">
        <v>1309</v>
      </c>
      <c r="D5" s="279"/>
      <c r="E5" s="280"/>
      <c r="F5" s="307"/>
      <c r="G5" s="307"/>
      <c r="H5" s="307"/>
      <c r="I5" s="307">
        <f>94000+14400</f>
        <v>108400</v>
      </c>
      <c r="J5" s="280"/>
      <c r="K5" s="280"/>
      <c r="L5" s="280"/>
      <c r="M5" s="280"/>
      <c r="N5" s="280"/>
      <c r="O5" s="280">
        <f>15000+1408.57+8500</f>
        <v>24908.57</v>
      </c>
      <c r="P5" s="280">
        <v>2000</v>
      </c>
      <c r="Q5" s="280">
        <v>2000</v>
      </c>
      <c r="R5" s="280"/>
      <c r="S5" s="280">
        <v>61000</v>
      </c>
      <c r="T5" s="280"/>
      <c r="U5" s="280"/>
      <c r="V5" s="280"/>
      <c r="W5" s="280"/>
      <c r="X5" s="280"/>
      <c r="Y5" s="280"/>
      <c r="Z5" s="280"/>
      <c r="AA5" s="280"/>
      <c r="AB5" s="280"/>
      <c r="AC5" s="280"/>
      <c r="AD5" s="280"/>
      <c r="AE5" s="280"/>
      <c r="AF5" s="280"/>
      <c r="AG5" s="280">
        <f>(3450000+4400000+600000)/1000</f>
        <v>8450</v>
      </c>
      <c r="AH5" s="280"/>
      <c r="AI5" s="280"/>
      <c r="AJ5" s="280"/>
      <c r="AK5" s="280"/>
      <c r="AL5" s="280"/>
      <c r="AM5" s="280"/>
      <c r="AN5" s="280"/>
      <c r="AO5" s="280"/>
      <c r="AP5" s="280"/>
      <c r="AQ5" s="280"/>
      <c r="AR5" s="280"/>
      <c r="AS5" s="280"/>
      <c r="AT5" s="280"/>
      <c r="AU5" s="280"/>
      <c r="AV5" s="280"/>
      <c r="AW5" s="280"/>
      <c r="AX5" s="280"/>
      <c r="AY5" s="280"/>
      <c r="AZ5" s="280"/>
      <c r="BA5" s="280"/>
      <c r="BB5" s="280"/>
      <c r="BC5" s="280"/>
      <c r="BD5" s="280"/>
      <c r="BE5" s="280"/>
      <c r="BF5" s="280"/>
      <c r="BG5" s="280"/>
      <c r="BH5" s="280"/>
      <c r="BI5" s="280"/>
      <c r="BJ5" s="280">
        <f>23000+1474+12000</f>
        <v>36474</v>
      </c>
      <c r="BK5" s="280"/>
      <c r="BL5" s="280"/>
      <c r="BM5" s="280"/>
      <c r="BN5" s="280"/>
      <c r="BO5" s="280"/>
      <c r="BP5" s="280"/>
      <c r="BQ5" s="280"/>
      <c r="BR5" s="280"/>
      <c r="BS5" s="280"/>
      <c r="BT5" s="280"/>
      <c r="BU5" s="280"/>
      <c r="BV5" s="280"/>
      <c r="BW5" s="280"/>
      <c r="BX5" s="280"/>
      <c r="BY5" s="280"/>
      <c r="BZ5" s="280"/>
      <c r="CA5" s="280"/>
      <c r="CB5" s="280"/>
      <c r="CC5" s="280"/>
      <c r="CD5" s="280"/>
      <c r="CE5" s="280"/>
      <c r="CF5" s="280"/>
      <c r="CG5" s="280"/>
      <c r="CH5" s="280"/>
      <c r="CI5" s="280"/>
      <c r="CJ5" s="280"/>
      <c r="CK5" s="280"/>
      <c r="CL5" s="280"/>
      <c r="CM5" s="280"/>
      <c r="CN5" s="280"/>
      <c r="CO5" s="280"/>
      <c r="CP5" s="280"/>
      <c r="CQ5" s="280"/>
      <c r="CR5" s="280"/>
      <c r="CS5" s="280"/>
      <c r="CT5" s="280"/>
      <c r="CU5" s="280"/>
      <c r="CV5" s="280"/>
      <c r="CW5" s="280"/>
      <c r="CX5" s="280"/>
      <c r="CY5" s="280"/>
      <c r="CZ5" s="280"/>
      <c r="DA5" s="280"/>
      <c r="DB5" s="280"/>
      <c r="DC5" s="280"/>
      <c r="DD5" s="280"/>
      <c r="DE5" s="280"/>
      <c r="DF5" s="280"/>
      <c r="DG5" s="280"/>
      <c r="DH5" s="280"/>
      <c r="DI5" s="280">
        <v>360</v>
      </c>
      <c r="DJ5" s="280"/>
      <c r="DK5" s="280"/>
      <c r="DL5" s="280"/>
      <c r="DM5" s="280"/>
      <c r="DN5" s="280"/>
      <c r="DO5" s="280"/>
      <c r="DP5" s="280">
        <v>1200</v>
      </c>
      <c r="DQ5" s="280"/>
      <c r="DR5" s="280"/>
      <c r="DS5" s="280"/>
      <c r="DT5" s="280"/>
      <c r="DU5" s="280"/>
      <c r="DV5" s="280"/>
      <c r="DW5" s="280"/>
      <c r="DX5" s="280"/>
      <c r="DY5" s="280"/>
      <c r="DZ5" s="280"/>
      <c r="EA5" s="280"/>
      <c r="EB5" s="280"/>
      <c r="EC5" s="280"/>
      <c r="ED5" s="280"/>
      <c r="EE5" s="280"/>
      <c r="EF5" s="280"/>
      <c r="EG5" s="280">
        <v>2400000</v>
      </c>
      <c r="EH5" s="280"/>
      <c r="EI5" s="280"/>
      <c r="EJ5" s="280"/>
      <c r="EK5" s="280"/>
      <c r="EL5" s="280"/>
      <c r="EM5" s="280"/>
      <c r="EN5" s="280"/>
      <c r="EO5" s="280"/>
      <c r="EP5" s="280"/>
      <c r="EQ5" s="280"/>
      <c r="ER5" s="280">
        <f>2500+5000</f>
        <v>7500</v>
      </c>
      <c r="ES5" s="280"/>
      <c r="ET5" s="280"/>
      <c r="EU5" s="280"/>
      <c r="EV5" s="280"/>
      <c r="EW5" s="280"/>
      <c r="EX5" s="280"/>
      <c r="EY5" s="280"/>
      <c r="EZ5" s="280">
        <v>1000</v>
      </c>
      <c r="FA5" s="280"/>
      <c r="FB5" s="280"/>
      <c r="FC5" s="280"/>
      <c r="FD5" s="280"/>
      <c r="FE5" s="280"/>
      <c r="FF5" s="280"/>
      <c r="FG5" s="280"/>
      <c r="FH5" s="280"/>
      <c r="FI5" s="280"/>
      <c r="FJ5" s="280"/>
      <c r="FK5" s="280"/>
      <c r="FL5" s="280"/>
      <c r="FM5" s="280"/>
      <c r="FN5" s="280"/>
      <c r="FO5" s="280"/>
      <c r="FP5" s="280">
        <f>(3600000+8500000)/1000</f>
        <v>12100</v>
      </c>
      <c r="FQ5" s="280"/>
      <c r="FR5" s="280"/>
      <c r="FS5" s="280"/>
      <c r="FT5" s="280"/>
      <c r="FU5" s="280"/>
      <c r="FV5" s="280"/>
      <c r="FW5" s="280"/>
      <c r="FX5" s="280"/>
      <c r="FY5" s="280"/>
      <c r="FZ5" s="280"/>
      <c r="GA5" s="280"/>
      <c r="GB5" s="280"/>
      <c r="GC5" s="280"/>
      <c r="GD5" s="280"/>
      <c r="GE5" s="280"/>
      <c r="GF5" s="280"/>
      <c r="GG5" s="280"/>
      <c r="GH5" s="280"/>
      <c r="GI5" s="280"/>
      <c r="GJ5" s="280"/>
      <c r="GK5" s="280"/>
      <c r="GL5" s="280"/>
      <c r="GM5" s="280">
        <f>43800</f>
        <v>43800</v>
      </c>
      <c r="GN5" s="280"/>
      <c r="GO5" s="280"/>
      <c r="GP5" s="280"/>
      <c r="GQ5" s="280"/>
      <c r="GR5" s="280"/>
      <c r="GS5" s="280"/>
      <c r="GT5" s="280"/>
      <c r="GU5" s="280"/>
      <c r="GV5" s="280"/>
      <c r="GW5" s="280"/>
      <c r="GX5" s="280"/>
      <c r="GY5" s="280"/>
      <c r="GZ5" s="280"/>
      <c r="HA5" s="280"/>
      <c r="HB5" s="280"/>
      <c r="HC5" s="280"/>
      <c r="HD5" s="280"/>
      <c r="HE5" s="280"/>
      <c r="HF5" s="280"/>
      <c r="HG5" s="280"/>
      <c r="HH5" s="280"/>
      <c r="HI5" s="280"/>
      <c r="HJ5" s="280"/>
      <c r="HK5" s="280"/>
      <c r="HL5" s="280">
        <f>15600+5500+6000</f>
        <v>27100</v>
      </c>
      <c r="HM5" s="280"/>
      <c r="HN5" s="280"/>
      <c r="HO5" s="280"/>
      <c r="HP5" s="280"/>
      <c r="HQ5" s="280"/>
      <c r="HR5" s="280"/>
      <c r="HS5" s="280"/>
      <c r="HT5" s="280"/>
      <c r="HU5" s="280"/>
      <c r="HV5" s="280"/>
      <c r="HW5" s="280"/>
      <c r="HX5" s="280"/>
      <c r="HY5" s="280"/>
      <c r="HZ5" s="280"/>
      <c r="IA5" s="280"/>
      <c r="IB5" s="280"/>
      <c r="IC5" s="280"/>
      <c r="ID5" s="280"/>
      <c r="IE5" s="280"/>
      <c r="IF5" s="280"/>
      <c r="IG5" s="280"/>
      <c r="IH5" s="280"/>
      <c r="II5" s="280"/>
      <c r="IJ5" s="280"/>
      <c r="IK5" s="280"/>
      <c r="IL5" s="280"/>
      <c r="IM5" s="280"/>
      <c r="IN5" s="280"/>
      <c r="IO5" s="280"/>
      <c r="IP5" s="280"/>
      <c r="IQ5" s="280"/>
      <c r="IR5" s="280"/>
      <c r="IS5" s="280"/>
      <c r="IT5" s="280"/>
      <c r="IU5" s="280"/>
      <c r="IV5" s="280"/>
      <c r="IW5" s="280"/>
      <c r="IX5" s="280"/>
      <c r="IY5" s="280"/>
      <c r="IZ5" s="280"/>
      <c r="JA5" s="280"/>
      <c r="JB5" s="280"/>
      <c r="JC5" s="280"/>
      <c r="JD5" s="280"/>
      <c r="JE5" s="280"/>
      <c r="JF5" s="280"/>
      <c r="JG5" s="280"/>
      <c r="JH5" s="280"/>
      <c r="JI5" s="280"/>
      <c r="JJ5" s="280"/>
      <c r="JK5" s="280"/>
      <c r="JL5" s="280"/>
      <c r="JM5" s="280"/>
      <c r="JN5" s="280"/>
      <c r="JO5" s="280"/>
      <c r="JP5" s="280">
        <f>519480/1000</f>
        <v>519.48</v>
      </c>
      <c r="JQ5" s="280"/>
      <c r="JR5" s="280"/>
      <c r="JS5" s="280"/>
      <c r="JT5" s="280"/>
      <c r="JU5" s="280"/>
      <c r="JV5" s="280"/>
      <c r="JW5" s="280"/>
      <c r="JX5" s="280"/>
      <c r="JY5" s="280"/>
      <c r="JZ5" s="280"/>
      <c r="KA5" s="280"/>
      <c r="KB5" s="280"/>
      <c r="KC5" s="280"/>
      <c r="KD5" s="280"/>
      <c r="KE5" s="280"/>
      <c r="KF5" s="280"/>
      <c r="KG5" s="280"/>
      <c r="KH5" s="280"/>
      <c r="KI5" s="280">
        <f>2670/1.95583</f>
        <v>1365.1493227939034</v>
      </c>
      <c r="KJ5" s="280"/>
      <c r="KK5" s="280"/>
      <c r="KL5" s="280"/>
      <c r="KM5" s="280"/>
      <c r="KN5" s="280"/>
      <c r="KO5" s="280"/>
      <c r="KP5" s="280"/>
      <c r="KQ5" s="280"/>
      <c r="KR5" s="280">
        <f>6727500/1000</f>
        <v>6727.5</v>
      </c>
      <c r="KS5" s="280">
        <v>31000</v>
      </c>
      <c r="KT5" s="280">
        <v>512754</v>
      </c>
      <c r="KU5" s="280"/>
      <c r="KV5" s="280"/>
      <c r="KW5" s="280"/>
      <c r="KX5" s="280"/>
      <c r="KY5" s="280"/>
      <c r="KZ5" s="280"/>
      <c r="LA5" s="280"/>
      <c r="LB5" s="280"/>
      <c r="LC5" s="280"/>
      <c r="LD5" s="280"/>
      <c r="LE5" s="280"/>
      <c r="LF5" s="280"/>
      <c r="LG5" s="280"/>
      <c r="LH5" s="280"/>
      <c r="LI5" s="280"/>
      <c r="LJ5" s="280"/>
      <c r="LK5" s="280">
        <f>1028831/1000</f>
        <v>1028.8309999999999</v>
      </c>
      <c r="LL5" s="280"/>
      <c r="LM5" s="280"/>
    </row>
    <row r="6" spans="1:325" x14ac:dyDescent="0.6">
      <c r="A6" s="284" t="s">
        <v>1298</v>
      </c>
      <c r="B6" s="283">
        <f>1/0.0055</f>
        <v>181.81818181818184</v>
      </c>
      <c r="C6" s="286" t="s">
        <v>1308</v>
      </c>
      <c r="D6" s="279"/>
      <c r="E6" s="280"/>
      <c r="F6" s="307"/>
      <c r="G6" s="307"/>
      <c r="H6" s="307"/>
      <c r="I6" s="307">
        <f>542310+700000+350000+55000+210801+24000</f>
        <v>1882111</v>
      </c>
      <c r="J6" s="280"/>
      <c r="K6" s="280"/>
      <c r="L6" s="280"/>
      <c r="M6" s="280"/>
      <c r="N6" s="280"/>
      <c r="O6" s="280">
        <v>4613</v>
      </c>
      <c r="P6" s="280"/>
      <c r="Q6" s="280"/>
      <c r="R6" s="280">
        <v>170000</v>
      </c>
      <c r="S6" s="280"/>
      <c r="T6" s="280"/>
      <c r="U6" s="280"/>
      <c r="V6" s="280"/>
      <c r="W6" s="280"/>
      <c r="X6" s="280"/>
      <c r="Y6" s="280"/>
      <c r="Z6" s="280"/>
      <c r="AA6" s="280"/>
      <c r="AB6" s="280"/>
      <c r="AC6" s="280"/>
      <c r="AD6" s="280"/>
      <c r="AE6" s="280"/>
      <c r="AF6" s="280"/>
      <c r="AG6" s="280">
        <v>6000</v>
      </c>
      <c r="AH6" s="280"/>
      <c r="AI6" s="280"/>
      <c r="AJ6" s="280"/>
      <c r="AK6" s="280"/>
      <c r="AL6" s="280"/>
      <c r="AM6" s="280"/>
      <c r="AN6" s="280"/>
      <c r="AO6" s="280"/>
      <c r="AP6" s="280"/>
      <c r="AQ6" s="280"/>
      <c r="AR6" s="280"/>
      <c r="AS6" s="280"/>
      <c r="AT6" s="280"/>
      <c r="AU6" s="280"/>
      <c r="AV6" s="280"/>
      <c r="AW6" s="280"/>
      <c r="AX6" s="311">
        <f>96*2</f>
        <v>192</v>
      </c>
      <c r="AY6" s="280"/>
      <c r="AZ6" s="280">
        <v>701000</v>
      </c>
      <c r="BA6" s="280"/>
      <c r="BB6" s="280"/>
      <c r="BC6" s="280"/>
      <c r="BD6" s="280"/>
      <c r="BE6" s="280"/>
      <c r="BF6" s="280"/>
      <c r="BG6" s="280"/>
      <c r="BH6" s="280"/>
      <c r="BI6" s="280"/>
      <c r="BJ6" s="280"/>
      <c r="BK6" s="280"/>
      <c r="BL6" s="280"/>
      <c r="BM6" s="280"/>
      <c r="BN6" s="280"/>
      <c r="BO6" s="280"/>
      <c r="BP6" s="280"/>
      <c r="BQ6" s="280"/>
      <c r="BR6" s="280"/>
      <c r="BS6" s="280">
        <v>36000</v>
      </c>
      <c r="BT6" s="280"/>
      <c r="BU6" s="280"/>
      <c r="BV6" s="280"/>
      <c r="BW6" s="280"/>
      <c r="BX6" s="280"/>
      <c r="BY6" s="280"/>
      <c r="BZ6" s="280"/>
      <c r="CA6" s="280"/>
      <c r="CB6" s="280"/>
      <c r="CC6" s="280"/>
      <c r="CD6" s="280"/>
      <c r="CE6" s="280"/>
      <c r="CF6" s="280"/>
      <c r="CG6" s="280"/>
      <c r="CH6" s="280"/>
      <c r="CI6" s="280"/>
      <c r="CJ6" s="280"/>
      <c r="CK6" s="280"/>
      <c r="CL6" s="280"/>
      <c r="CM6" s="280"/>
      <c r="CN6" s="280"/>
      <c r="CO6" s="280"/>
      <c r="CP6" s="280"/>
      <c r="CQ6" s="280"/>
      <c r="CR6" s="280">
        <v>3000</v>
      </c>
      <c r="CS6" s="280"/>
      <c r="CT6" s="280"/>
      <c r="CU6" s="280"/>
      <c r="CV6" s="280"/>
      <c r="CW6" s="280"/>
      <c r="CX6" s="280"/>
      <c r="CY6" s="280"/>
      <c r="CZ6" s="280"/>
      <c r="DA6" s="280"/>
      <c r="DB6" s="280"/>
      <c r="DC6" s="280"/>
      <c r="DD6" s="280"/>
      <c r="DE6" s="280"/>
      <c r="DF6" s="280"/>
      <c r="DG6" s="280"/>
      <c r="DH6" s="280"/>
      <c r="DI6" s="280">
        <f>(9600000+54000000+13200000+15000000+17000000+11000000+10000000+4320000)/1000</f>
        <v>134120</v>
      </c>
      <c r="DJ6" s="280"/>
      <c r="DK6" s="280"/>
      <c r="DL6" s="280"/>
      <c r="DM6" s="280"/>
      <c r="DN6" s="280"/>
      <c r="DO6" s="280"/>
      <c r="DP6" s="280"/>
      <c r="DQ6" s="280"/>
      <c r="DR6" s="280"/>
      <c r="DS6" s="280"/>
      <c r="DT6" s="280"/>
      <c r="DU6" s="280"/>
      <c r="DV6" s="280"/>
      <c r="DW6" s="280"/>
      <c r="DX6" s="280"/>
      <c r="DY6" s="280"/>
      <c r="DZ6" s="280"/>
      <c r="EA6" s="280"/>
      <c r="EB6" s="280"/>
      <c r="EC6" s="280"/>
      <c r="ED6" s="280"/>
      <c r="EE6" s="280"/>
      <c r="EF6" s="280"/>
      <c r="EG6" s="280"/>
      <c r="EH6" s="280"/>
      <c r="EI6" s="280"/>
      <c r="EJ6" s="280"/>
      <c r="EK6" s="280"/>
      <c r="EL6" s="280"/>
      <c r="EM6" s="280"/>
      <c r="EN6" s="280"/>
      <c r="EO6" s="280"/>
      <c r="EP6" s="280"/>
      <c r="EQ6" s="280"/>
      <c r="ER6" s="280"/>
      <c r="ES6" s="280"/>
      <c r="ET6" s="280"/>
      <c r="EU6" s="280"/>
      <c r="EV6" s="280"/>
      <c r="EW6" s="280"/>
      <c r="EX6" s="280"/>
      <c r="EY6" s="280"/>
      <c r="EZ6" s="280"/>
      <c r="FA6" s="280"/>
      <c r="FB6" s="280"/>
      <c r="FC6" s="280"/>
      <c r="FD6" s="280"/>
      <c r="FE6" s="280">
        <v>127440</v>
      </c>
      <c r="FF6" s="280"/>
      <c r="FG6" s="280"/>
      <c r="FH6" s="280"/>
      <c r="FI6" s="280"/>
      <c r="FJ6" s="280"/>
      <c r="FK6" s="280"/>
      <c r="FL6" s="280"/>
      <c r="FM6" s="280">
        <f>(25000000+10000000+20000000+10000000)/1000</f>
        <v>65000</v>
      </c>
      <c r="FN6" s="280"/>
      <c r="FO6" s="280"/>
      <c r="FP6" s="280"/>
      <c r="FQ6" s="280"/>
      <c r="FR6" s="280"/>
      <c r="FS6" s="280"/>
      <c r="FT6" s="280"/>
      <c r="FU6" s="280"/>
      <c r="FV6" s="280">
        <v>16879</v>
      </c>
      <c r="FW6" s="280"/>
      <c r="FX6" s="280"/>
      <c r="FY6" s="280"/>
      <c r="FZ6" s="280"/>
      <c r="GA6" s="280"/>
      <c r="GB6" s="280"/>
      <c r="GC6" s="280"/>
      <c r="GD6" s="280"/>
      <c r="GE6" s="280"/>
      <c r="GF6" s="280"/>
      <c r="GG6" s="280"/>
      <c r="GH6" s="280"/>
      <c r="GI6" s="280"/>
      <c r="GJ6" s="280"/>
      <c r="GK6" s="280">
        <v>40000</v>
      </c>
      <c r="GL6" s="280"/>
      <c r="GM6" s="280">
        <f>37200+93000+66000</f>
        <v>196200</v>
      </c>
      <c r="GN6" s="280"/>
      <c r="GO6" s="280"/>
      <c r="GP6" s="280"/>
      <c r="GQ6" s="280"/>
      <c r="GR6" s="280"/>
      <c r="GS6" s="280"/>
      <c r="GT6" s="280"/>
      <c r="GU6" s="280"/>
      <c r="GV6" s="280"/>
      <c r="GW6" s="280"/>
      <c r="GX6" s="280"/>
      <c r="GY6" s="280">
        <f>90000+18000</f>
        <v>108000</v>
      </c>
      <c r="GZ6" s="280"/>
      <c r="HA6" s="280"/>
      <c r="HB6" s="280"/>
      <c r="HC6" s="280"/>
      <c r="HD6" s="280"/>
      <c r="HE6" s="280"/>
      <c r="HF6" s="280"/>
      <c r="HG6" s="280"/>
      <c r="HH6" s="280"/>
      <c r="HI6" s="280"/>
      <c r="HJ6" s="280"/>
      <c r="HK6" s="280"/>
      <c r="HL6" s="280">
        <v>21600</v>
      </c>
      <c r="HM6" s="280"/>
      <c r="HN6" s="280"/>
      <c r="HO6" s="280"/>
      <c r="HP6" s="280"/>
      <c r="HQ6" s="280"/>
      <c r="HR6" s="280"/>
      <c r="HS6" s="280"/>
      <c r="HT6" s="280"/>
      <c r="HU6" s="280"/>
      <c r="HV6" s="280"/>
      <c r="HW6" s="280"/>
      <c r="HX6" s="280"/>
      <c r="HY6" s="280"/>
      <c r="HZ6" s="280"/>
      <c r="IA6" s="280"/>
      <c r="IB6" s="280"/>
      <c r="IC6" s="280"/>
      <c r="ID6" s="280"/>
      <c r="IE6" s="280"/>
      <c r="IF6" s="280"/>
      <c r="IG6" s="280"/>
      <c r="IH6" s="280"/>
      <c r="II6" s="280"/>
      <c r="IJ6" s="280"/>
      <c r="IK6" s="280"/>
      <c r="IL6" s="280"/>
      <c r="IM6" s="280"/>
      <c r="IN6" s="280"/>
      <c r="IO6" s="280"/>
      <c r="IP6" s="280"/>
      <c r="IQ6" s="280"/>
      <c r="IR6" s="280"/>
      <c r="IS6" s="280"/>
      <c r="IT6" s="280"/>
      <c r="IU6" s="280"/>
      <c r="IV6" s="280"/>
      <c r="IW6" s="280"/>
      <c r="IX6" s="280"/>
      <c r="IY6" s="280"/>
      <c r="IZ6" s="280"/>
      <c r="JA6" s="280"/>
      <c r="JB6" s="280"/>
      <c r="JC6" s="280"/>
      <c r="JD6" s="280"/>
      <c r="JE6" s="280"/>
      <c r="JF6" s="280"/>
      <c r="JG6" s="280"/>
      <c r="JH6" s="280"/>
      <c r="JI6" s="280"/>
      <c r="JJ6" s="280"/>
      <c r="JK6" s="280">
        <v>31200</v>
      </c>
      <c r="JL6" s="280"/>
      <c r="JM6" s="280"/>
      <c r="JN6" s="280"/>
      <c r="JO6" s="280"/>
      <c r="JP6" s="280">
        <v>49200</v>
      </c>
      <c r="JQ6" s="280"/>
      <c r="JR6" s="280"/>
      <c r="JS6" s="280"/>
      <c r="JT6" s="280"/>
      <c r="JU6" s="280"/>
      <c r="JV6" s="280"/>
      <c r="JW6" s="280"/>
      <c r="JX6" s="280"/>
      <c r="JY6" s="280"/>
      <c r="JZ6" s="280"/>
      <c r="KA6" s="280"/>
      <c r="KB6" s="280"/>
      <c r="KC6" s="280">
        <v>104000</v>
      </c>
      <c r="KD6" s="280"/>
      <c r="KE6" s="280"/>
      <c r="KF6" s="280"/>
      <c r="KG6" s="280"/>
      <c r="KH6" s="280"/>
      <c r="KI6" s="280"/>
      <c r="KJ6" s="280"/>
      <c r="KK6" s="280"/>
      <c r="KL6" s="280"/>
      <c r="KM6" s="280"/>
      <c r="KN6" s="280"/>
      <c r="KO6" s="280"/>
      <c r="KP6" s="280"/>
      <c r="KQ6" s="280"/>
      <c r="KR6" s="280"/>
      <c r="KS6" s="280"/>
      <c r="KT6" s="280"/>
      <c r="KU6" s="280"/>
      <c r="KV6" s="280">
        <v>70628</v>
      </c>
      <c r="KW6" s="280"/>
      <c r="KX6" s="280"/>
      <c r="KY6" s="280"/>
      <c r="KZ6" s="280"/>
      <c r="LA6" s="280"/>
      <c r="LB6" s="280"/>
      <c r="LC6" s="280"/>
      <c r="LD6" s="280">
        <f>12000+9600+12000+24000+10800+12480</f>
        <v>80880</v>
      </c>
      <c r="LE6" s="280"/>
      <c r="LF6" s="280"/>
      <c r="LG6" s="280"/>
      <c r="LH6" s="280"/>
      <c r="LI6" s="280"/>
      <c r="LJ6" s="280"/>
      <c r="LK6" s="280">
        <v>298080</v>
      </c>
      <c r="LL6" s="280"/>
      <c r="LM6" s="280"/>
    </row>
    <row r="7" spans="1:325" x14ac:dyDescent="0.6">
      <c r="A7" s="282" t="s">
        <v>684</v>
      </c>
      <c r="B7" s="283">
        <f>1/0.0035</f>
        <v>285.71428571428572</v>
      </c>
      <c r="C7" s="284" t="s">
        <v>1299</v>
      </c>
      <c r="D7" s="279"/>
      <c r="E7" s="280"/>
      <c r="F7" s="307"/>
      <c r="G7" s="307"/>
      <c r="H7" s="307"/>
      <c r="I7" s="307"/>
      <c r="J7" s="280"/>
      <c r="K7" s="280"/>
      <c r="L7" s="280"/>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0"/>
      <c r="AO7" s="280"/>
      <c r="AP7" s="280"/>
      <c r="AQ7" s="280"/>
      <c r="AR7" s="280"/>
      <c r="AS7" s="280"/>
      <c r="AT7" s="280"/>
      <c r="AU7" s="280"/>
      <c r="AV7" s="280"/>
      <c r="AW7" s="280"/>
      <c r="AX7" s="280"/>
      <c r="AY7" s="280"/>
      <c r="AZ7" s="280"/>
      <c r="BA7" s="280"/>
      <c r="BB7" s="280"/>
      <c r="BC7" s="280"/>
      <c r="BD7" s="280"/>
      <c r="BE7" s="280"/>
      <c r="BF7" s="280"/>
      <c r="BG7" s="280"/>
      <c r="BH7" s="280"/>
      <c r="BI7" s="280"/>
      <c r="BJ7" s="280"/>
      <c r="BK7" s="280"/>
      <c r="BL7" s="280"/>
      <c r="BM7" s="280"/>
      <c r="BN7" s="280"/>
      <c r="BO7" s="280"/>
      <c r="BP7" s="280"/>
      <c r="BQ7" s="280"/>
      <c r="BR7" s="280"/>
      <c r="BS7" s="280"/>
      <c r="BT7" s="280"/>
      <c r="BU7" s="280"/>
      <c r="BV7" s="280"/>
      <c r="BW7" s="280"/>
      <c r="BX7" s="280"/>
      <c r="BY7" s="280"/>
      <c r="BZ7" s="280"/>
      <c r="CA7" s="280"/>
      <c r="CB7" s="280"/>
      <c r="CC7" s="280"/>
      <c r="CD7" s="280"/>
      <c r="CE7" s="280"/>
      <c r="CF7" s="280"/>
      <c r="CG7" s="280"/>
      <c r="CH7" s="280"/>
      <c r="CI7" s="280">
        <v>77080</v>
      </c>
      <c r="CJ7" s="280"/>
      <c r="CK7" s="280"/>
      <c r="CL7" s="280"/>
      <c r="CM7" s="280"/>
      <c r="CN7" s="280"/>
      <c r="CO7" s="280"/>
      <c r="CP7" s="280"/>
      <c r="CQ7" s="280"/>
      <c r="CR7" s="280"/>
      <c r="CS7" s="280"/>
      <c r="CT7" s="280"/>
      <c r="CU7" s="280"/>
      <c r="CV7" s="280"/>
      <c r="CW7" s="280"/>
      <c r="CX7" s="280"/>
      <c r="CY7" s="280"/>
      <c r="CZ7" s="280"/>
      <c r="DA7" s="280"/>
      <c r="DB7" s="280"/>
      <c r="DC7" s="280"/>
      <c r="DD7" s="280"/>
      <c r="DE7" s="280"/>
      <c r="DF7" s="280"/>
      <c r="DG7" s="280"/>
      <c r="DH7" s="280"/>
      <c r="DI7" s="280"/>
      <c r="DJ7" s="280"/>
      <c r="DK7" s="280"/>
      <c r="DL7" s="280"/>
      <c r="DM7" s="280"/>
      <c r="DN7" s="280"/>
      <c r="DO7" s="280"/>
      <c r="DP7" s="280"/>
      <c r="DQ7" s="280"/>
      <c r="DR7" s="280"/>
      <c r="DS7" s="280"/>
      <c r="DT7" s="280"/>
      <c r="DU7" s="280"/>
      <c r="DV7" s="280"/>
      <c r="DW7" s="280"/>
      <c r="DX7" s="280"/>
      <c r="DY7" s="280"/>
      <c r="DZ7" s="280"/>
      <c r="EA7" s="280"/>
      <c r="EB7" s="280"/>
      <c r="EC7" s="280"/>
      <c r="ED7" s="280"/>
      <c r="EE7" s="280"/>
      <c r="EF7" s="280"/>
      <c r="EG7" s="280"/>
      <c r="EH7" s="280"/>
      <c r="EI7" s="280"/>
      <c r="EJ7" s="280"/>
      <c r="EK7" s="280"/>
      <c r="EL7" s="280"/>
      <c r="EM7" s="280"/>
      <c r="EN7" s="280"/>
      <c r="EO7" s="280"/>
      <c r="EP7" s="280"/>
      <c r="EQ7" s="280"/>
      <c r="ER7" s="280"/>
      <c r="ES7" s="280"/>
      <c r="ET7" s="280"/>
      <c r="EU7" s="280"/>
      <c r="EV7" s="280"/>
      <c r="EW7" s="280"/>
      <c r="EX7" s="280"/>
      <c r="EY7" s="280"/>
      <c r="EZ7" s="280"/>
      <c r="FA7" s="280"/>
      <c r="FB7" s="280"/>
      <c r="FC7" s="280"/>
      <c r="FD7" s="280"/>
      <c r="FE7" s="280"/>
      <c r="FF7" s="280"/>
      <c r="FG7" s="280"/>
      <c r="FH7" s="280"/>
      <c r="FI7" s="280"/>
      <c r="FJ7" s="280"/>
      <c r="FK7" s="280"/>
      <c r="FL7" s="280"/>
      <c r="FM7" s="280"/>
      <c r="FN7" s="280"/>
      <c r="FO7" s="280"/>
      <c r="FP7" s="280"/>
      <c r="FQ7" s="280"/>
      <c r="FR7" s="280"/>
      <c r="FS7" s="280"/>
      <c r="FT7" s="280"/>
      <c r="FU7" s="280"/>
      <c r="FV7" s="280"/>
      <c r="FW7" s="280"/>
      <c r="FX7" s="280"/>
      <c r="FY7" s="280"/>
      <c r="FZ7" s="280"/>
      <c r="GA7" s="280"/>
      <c r="GB7" s="280"/>
      <c r="GC7" s="280"/>
      <c r="GD7" s="280"/>
      <c r="GE7" s="280"/>
      <c r="GF7" s="280"/>
      <c r="GG7" s="280"/>
      <c r="GH7" s="280"/>
      <c r="GI7" s="280"/>
      <c r="GJ7" s="280"/>
      <c r="GK7" s="280"/>
      <c r="GL7" s="280"/>
      <c r="GM7" s="280"/>
      <c r="GN7" s="280"/>
      <c r="GO7" s="280"/>
      <c r="GP7" s="280"/>
      <c r="GQ7" s="280"/>
      <c r="GR7" s="280"/>
      <c r="GS7" s="280"/>
      <c r="GT7" s="280"/>
      <c r="GU7" s="280"/>
      <c r="GV7" s="280"/>
      <c r="GW7" s="280"/>
      <c r="GX7" s="280"/>
      <c r="GY7" s="280"/>
      <c r="GZ7" s="280"/>
      <c r="HA7" s="280"/>
      <c r="HB7" s="280"/>
      <c r="HC7" s="280"/>
      <c r="HD7" s="280"/>
      <c r="HE7" s="280"/>
      <c r="HF7" s="280"/>
      <c r="HG7" s="280"/>
      <c r="HH7" s="280"/>
      <c r="HI7" s="280"/>
      <c r="HJ7" s="280"/>
      <c r="HK7" s="280"/>
      <c r="HL7" s="280"/>
      <c r="HM7" s="280"/>
      <c r="HN7" s="280"/>
      <c r="HO7" s="280"/>
      <c r="HP7" s="280"/>
      <c r="HQ7" s="280"/>
      <c r="HR7" s="280"/>
      <c r="HS7" s="280"/>
      <c r="HT7" s="280"/>
      <c r="HU7" s="280"/>
      <c r="HV7" s="280"/>
      <c r="HW7" s="280"/>
      <c r="HX7" s="280"/>
      <c r="HY7" s="280"/>
      <c r="HZ7" s="280"/>
      <c r="IA7" s="280"/>
      <c r="IB7" s="280"/>
      <c r="IC7" s="280"/>
      <c r="ID7" s="280"/>
      <c r="IE7" s="280"/>
      <c r="IF7" s="280"/>
      <c r="IG7" s="280"/>
      <c r="IH7" s="280"/>
      <c r="II7" s="280"/>
      <c r="IJ7" s="280"/>
      <c r="IK7" s="280"/>
      <c r="IL7" s="280"/>
      <c r="IM7" s="280"/>
      <c r="IN7" s="280"/>
      <c r="IO7" s="280"/>
      <c r="IP7" s="280"/>
      <c r="IQ7" s="280"/>
      <c r="IR7" s="280"/>
      <c r="IS7" s="280"/>
      <c r="IT7" s="280"/>
      <c r="IU7" s="280"/>
      <c r="IV7" s="280"/>
      <c r="IW7" s="280"/>
      <c r="IX7" s="280"/>
      <c r="IY7" s="280"/>
      <c r="IZ7" s="280"/>
      <c r="JA7" s="280"/>
      <c r="JB7" s="280"/>
      <c r="JC7" s="280"/>
      <c r="JD7" s="280"/>
      <c r="JE7" s="280"/>
      <c r="JF7" s="280"/>
      <c r="JG7" s="280"/>
      <c r="JH7" s="280"/>
      <c r="JI7" s="280"/>
      <c r="JJ7" s="280"/>
      <c r="JK7" s="280"/>
      <c r="JL7" s="280"/>
      <c r="JM7" s="280"/>
      <c r="JN7" s="280"/>
      <c r="JO7" s="280"/>
      <c r="JP7" s="280"/>
      <c r="JQ7" s="280"/>
      <c r="JR7" s="280"/>
      <c r="JS7" s="280"/>
      <c r="JT7" s="280"/>
      <c r="JU7" s="280"/>
      <c r="JV7" s="280"/>
      <c r="JW7" s="280"/>
      <c r="JX7" s="280"/>
      <c r="JY7" s="280"/>
      <c r="JZ7" s="280"/>
      <c r="KA7" s="280"/>
      <c r="KB7" s="280"/>
      <c r="KC7" s="280"/>
      <c r="KD7" s="280"/>
      <c r="KE7" s="280"/>
      <c r="KF7" s="280"/>
      <c r="KG7" s="280"/>
      <c r="KH7" s="280"/>
      <c r="KI7" s="280"/>
      <c r="KJ7" s="280"/>
      <c r="KK7" s="280"/>
      <c r="KL7" s="280"/>
      <c r="KM7" s="280"/>
      <c r="KN7" s="280"/>
      <c r="KO7" s="280"/>
      <c r="KP7" s="280"/>
      <c r="KQ7" s="280"/>
      <c r="KR7" s="280"/>
      <c r="KS7" s="280"/>
      <c r="KT7" s="280"/>
      <c r="KU7" s="280"/>
      <c r="KV7" s="280"/>
      <c r="KW7" s="280"/>
      <c r="KX7" s="280"/>
      <c r="KY7" s="280"/>
      <c r="KZ7" s="280"/>
      <c r="LA7" s="280"/>
      <c r="LB7" s="280"/>
      <c r="LC7" s="280"/>
      <c r="LD7" s="280"/>
      <c r="LE7" s="280"/>
      <c r="LF7" s="280"/>
      <c r="LG7" s="280"/>
      <c r="LH7" s="280"/>
      <c r="LI7" s="280"/>
      <c r="LJ7" s="280"/>
      <c r="LK7" s="280"/>
      <c r="LL7" s="280"/>
      <c r="LM7" s="280"/>
    </row>
    <row r="8" spans="1:325" x14ac:dyDescent="0.6">
      <c r="A8" s="282" t="s">
        <v>840</v>
      </c>
      <c r="B8" s="283">
        <f>1/0.1041</f>
        <v>9.6061479346781944</v>
      </c>
      <c r="C8" s="284" t="s">
        <v>1300</v>
      </c>
      <c r="D8" s="279"/>
      <c r="E8" s="280"/>
      <c r="F8" s="307"/>
      <c r="G8" s="307"/>
      <c r="H8" s="307"/>
      <c r="I8" s="307">
        <f>10790000+600000</f>
        <v>11390000</v>
      </c>
      <c r="J8" s="280"/>
      <c r="K8" s="280"/>
      <c r="L8" s="280"/>
      <c r="M8" s="280"/>
      <c r="N8" s="280"/>
      <c r="O8" s="280"/>
      <c r="P8" s="280"/>
      <c r="Q8" s="280"/>
      <c r="R8" s="280"/>
      <c r="S8" s="280"/>
      <c r="T8" s="280"/>
      <c r="U8" s="280"/>
      <c r="V8" s="280"/>
      <c r="W8" s="280"/>
      <c r="X8" s="280"/>
      <c r="Y8" s="280"/>
      <c r="Z8" s="280"/>
      <c r="AA8" s="280"/>
      <c r="AB8" s="280"/>
      <c r="AC8" s="280"/>
      <c r="AD8" s="280"/>
      <c r="AE8" s="280"/>
      <c r="AF8" s="280"/>
      <c r="AG8" s="280">
        <v>190000</v>
      </c>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0">
        <v>3440000</v>
      </c>
      <c r="BK8" s="280"/>
      <c r="BL8" s="280"/>
      <c r="BM8" s="280"/>
      <c r="BN8" s="280"/>
      <c r="BO8" s="280"/>
      <c r="BP8" s="280"/>
      <c r="BQ8" s="280"/>
      <c r="BR8" s="280"/>
      <c r="BS8" s="280"/>
      <c r="BT8" s="280"/>
      <c r="BU8" s="280"/>
      <c r="BV8" s="280"/>
      <c r="BW8" s="280"/>
      <c r="BX8" s="280">
        <v>2500000</v>
      </c>
      <c r="BY8" s="280"/>
      <c r="BZ8" s="280"/>
      <c r="CA8" s="280"/>
      <c r="CB8" s="280"/>
      <c r="CC8" s="280"/>
      <c r="CD8" s="280"/>
      <c r="CE8" s="280"/>
      <c r="CF8" s="280"/>
      <c r="CG8" s="280"/>
      <c r="CH8" s="280"/>
      <c r="CI8" s="280"/>
      <c r="CJ8" s="280"/>
      <c r="CK8" s="280"/>
      <c r="CL8" s="280"/>
      <c r="CM8" s="280"/>
      <c r="CN8" s="280"/>
      <c r="CO8" s="280"/>
      <c r="CP8" s="280"/>
      <c r="CQ8" s="280"/>
      <c r="CR8" s="280"/>
      <c r="CS8" s="280"/>
      <c r="CT8" s="280"/>
      <c r="CU8" s="280"/>
      <c r="CV8" s="280"/>
      <c r="CW8" s="280"/>
      <c r="CX8" s="280"/>
      <c r="CY8" s="280"/>
      <c r="CZ8" s="280"/>
      <c r="DA8" s="280"/>
      <c r="DB8" s="280"/>
      <c r="DC8" s="280"/>
      <c r="DD8" s="280"/>
      <c r="DE8" s="280"/>
      <c r="DF8" s="280"/>
      <c r="DG8" s="280"/>
      <c r="DH8" s="280"/>
      <c r="DI8" s="280"/>
      <c r="DJ8" s="280"/>
      <c r="DK8" s="280"/>
      <c r="DL8" s="280"/>
      <c r="DM8" s="280"/>
      <c r="DN8" s="280"/>
      <c r="DO8" s="280"/>
      <c r="DP8" s="280"/>
      <c r="DQ8" s="280"/>
      <c r="DR8" s="280"/>
      <c r="DS8" s="280"/>
      <c r="DT8" s="280"/>
      <c r="DU8" s="280"/>
      <c r="DV8" s="280"/>
      <c r="DW8" s="280"/>
      <c r="DX8" s="280"/>
      <c r="DY8" s="280"/>
      <c r="DZ8" s="280"/>
      <c r="EA8" s="280"/>
      <c r="EB8" s="280"/>
      <c r="EC8" s="280"/>
      <c r="ED8" s="280"/>
      <c r="EE8" s="280"/>
      <c r="EF8" s="280"/>
      <c r="EG8" s="280"/>
      <c r="EH8" s="280"/>
      <c r="EI8" s="280"/>
      <c r="EJ8" s="280"/>
      <c r="EK8" s="280"/>
      <c r="EL8" s="280"/>
      <c r="EM8" s="280"/>
      <c r="EN8" s="280"/>
      <c r="EO8" s="280"/>
      <c r="EP8" s="280"/>
      <c r="EQ8" s="280"/>
      <c r="ER8" s="280"/>
      <c r="ES8" s="280"/>
      <c r="ET8" s="280"/>
      <c r="EU8" s="280"/>
      <c r="EV8" s="280"/>
      <c r="EW8" s="280"/>
      <c r="EX8" s="280"/>
      <c r="EY8" s="280"/>
      <c r="EZ8" s="280"/>
      <c r="FA8" s="280"/>
      <c r="FB8" s="280"/>
      <c r="FC8" s="280"/>
      <c r="FD8" s="280"/>
      <c r="FE8" s="280"/>
      <c r="FF8" s="280"/>
      <c r="FG8" s="280"/>
      <c r="FH8" s="280"/>
      <c r="FI8" s="280"/>
      <c r="FJ8" s="280"/>
      <c r="FK8" s="280"/>
      <c r="FL8" s="280"/>
      <c r="FM8" s="280"/>
      <c r="FN8" s="280"/>
      <c r="FO8" s="280"/>
      <c r="FP8" s="280"/>
      <c r="FQ8" s="280"/>
      <c r="FR8" s="280"/>
      <c r="FS8" s="280"/>
      <c r="FT8" s="280"/>
      <c r="FU8" s="280"/>
      <c r="FV8" s="280"/>
      <c r="FW8" s="280"/>
      <c r="FX8" s="280"/>
      <c r="FY8" s="280"/>
      <c r="FZ8" s="280"/>
      <c r="GA8" s="280"/>
      <c r="GB8" s="280"/>
      <c r="GC8" s="280"/>
      <c r="GD8" s="280"/>
      <c r="GE8" s="280"/>
      <c r="GF8" s="280"/>
      <c r="GG8" s="280"/>
      <c r="GH8" s="280"/>
      <c r="GI8" s="280"/>
      <c r="GJ8" s="280"/>
      <c r="GK8" s="280"/>
      <c r="GL8" s="280"/>
      <c r="GM8" s="280"/>
      <c r="GN8" s="280"/>
      <c r="GO8" s="280"/>
      <c r="GP8" s="280">
        <v>474750</v>
      </c>
      <c r="GQ8" s="280"/>
      <c r="GR8" s="280"/>
      <c r="GS8" s="280"/>
      <c r="GT8" s="280"/>
      <c r="GU8" s="280"/>
      <c r="GV8" s="280"/>
      <c r="GW8" s="280"/>
      <c r="GX8" s="280"/>
      <c r="GY8" s="280"/>
      <c r="GZ8" s="280"/>
      <c r="HA8" s="280"/>
      <c r="HB8" s="280"/>
      <c r="HC8" s="280"/>
      <c r="HD8" s="280"/>
      <c r="HE8" s="280"/>
      <c r="HF8" s="280"/>
      <c r="HG8" s="280"/>
      <c r="HH8" s="280"/>
      <c r="HI8" s="280"/>
      <c r="HJ8" s="280"/>
      <c r="HK8" s="280"/>
      <c r="HL8" s="280"/>
      <c r="HM8" s="280"/>
      <c r="HN8" s="280"/>
      <c r="HO8" s="280"/>
      <c r="HP8" s="280"/>
      <c r="HQ8" s="280"/>
      <c r="HR8" s="280"/>
      <c r="HS8" s="280"/>
      <c r="HT8" s="280"/>
      <c r="HU8" s="280"/>
      <c r="HV8" s="280"/>
      <c r="HW8" s="280"/>
      <c r="HX8" s="280"/>
      <c r="HY8" s="280"/>
      <c r="HZ8" s="280"/>
      <c r="IA8" s="280"/>
      <c r="IB8" s="280"/>
      <c r="IC8" s="280"/>
      <c r="ID8" s="280"/>
      <c r="IE8" s="280"/>
      <c r="IF8" s="280"/>
      <c r="IG8" s="280"/>
      <c r="IH8" s="280"/>
      <c r="II8" s="280"/>
      <c r="IJ8" s="280"/>
      <c r="IK8" s="280"/>
      <c r="IL8" s="280"/>
      <c r="IM8" s="280"/>
      <c r="IN8" s="280"/>
      <c r="IO8" s="280"/>
      <c r="IP8" s="280"/>
      <c r="IQ8" s="280"/>
      <c r="IR8" s="280"/>
      <c r="IS8" s="280"/>
      <c r="IT8" s="280"/>
      <c r="IU8" s="280"/>
      <c r="IV8" s="280"/>
      <c r="IW8" s="280"/>
      <c r="IX8" s="280"/>
      <c r="IY8" s="280"/>
      <c r="IZ8" s="280"/>
      <c r="JA8" s="280"/>
      <c r="JB8" s="280"/>
      <c r="JC8" s="280"/>
      <c r="JD8" s="280"/>
      <c r="JE8" s="280"/>
      <c r="JF8" s="280"/>
      <c r="JG8" s="280"/>
      <c r="JH8" s="280"/>
      <c r="JI8" s="280"/>
      <c r="JJ8" s="280">
        <f>(30000000+45000000+750000000+600000000*3+480000000+720000000+1113531679)/1000</f>
        <v>4938531.6789999995</v>
      </c>
      <c r="JK8" s="280">
        <v>600000</v>
      </c>
      <c r="JL8" s="280"/>
      <c r="JM8" s="280"/>
      <c r="JN8" s="280"/>
      <c r="JO8" s="280"/>
      <c r="JP8" s="280"/>
      <c r="JQ8" s="280"/>
      <c r="JR8" s="280"/>
      <c r="JS8" s="280"/>
      <c r="JT8" s="280"/>
      <c r="JU8" s="280"/>
      <c r="JV8" s="280"/>
      <c r="JW8" s="280"/>
      <c r="JX8" s="280"/>
      <c r="JY8" s="280"/>
      <c r="JZ8" s="280"/>
      <c r="KA8" s="280"/>
      <c r="KB8" s="280"/>
      <c r="KC8" s="280"/>
      <c r="KD8" s="280"/>
      <c r="KE8" s="280"/>
      <c r="KF8" s="280"/>
      <c r="KG8" s="280"/>
      <c r="KH8" s="280"/>
      <c r="KI8" s="280"/>
      <c r="KJ8" s="280"/>
      <c r="KK8" s="280"/>
      <c r="KL8" s="280"/>
      <c r="KM8" s="280"/>
      <c r="KN8" s="280"/>
      <c r="KO8" s="280"/>
      <c r="KP8" s="280"/>
      <c r="KQ8" s="280"/>
      <c r="KR8" s="280"/>
      <c r="KS8" s="280"/>
      <c r="KT8" s="280">
        <v>2147640</v>
      </c>
      <c r="KU8" s="280"/>
      <c r="KV8" s="280"/>
      <c r="KW8" s="280"/>
      <c r="KX8" s="280"/>
      <c r="KY8" s="280"/>
      <c r="KZ8" s="280"/>
      <c r="LA8" s="280"/>
      <c r="LB8" s="280"/>
      <c r="LC8" s="280"/>
      <c r="LD8" s="280"/>
      <c r="LE8" s="280"/>
      <c r="LF8" s="280"/>
      <c r="LG8" s="280"/>
      <c r="LH8" s="280"/>
      <c r="LI8" s="280"/>
      <c r="LJ8" s="280"/>
      <c r="LK8" s="280"/>
      <c r="LL8" s="280"/>
      <c r="LM8" s="280"/>
    </row>
    <row r="9" spans="1:325" x14ac:dyDescent="0.6">
      <c r="A9" s="282" t="s">
        <v>683</v>
      </c>
      <c r="B9" s="283">
        <f>1/0.0656</f>
        <v>15.243902439024389</v>
      </c>
      <c r="C9" s="284" t="s">
        <v>1301</v>
      </c>
      <c r="D9" s="279"/>
      <c r="E9" s="280"/>
      <c r="F9" s="307"/>
      <c r="G9" s="307"/>
      <c r="H9" s="307"/>
      <c r="I9" s="307"/>
      <c r="J9" s="280"/>
      <c r="K9" s="280"/>
      <c r="L9" s="280"/>
      <c r="M9" s="280"/>
      <c r="N9" s="280"/>
      <c r="O9" s="280"/>
      <c r="P9" s="280"/>
      <c r="Q9" s="280"/>
      <c r="R9" s="280"/>
      <c r="S9" s="280"/>
      <c r="T9" s="280"/>
      <c r="U9" s="280"/>
      <c r="V9" s="280"/>
      <c r="W9" s="280"/>
      <c r="X9" s="280"/>
      <c r="Y9" s="280"/>
      <c r="Z9" s="280"/>
      <c r="AA9" s="280"/>
      <c r="AB9" s="280"/>
      <c r="AC9" s="280"/>
      <c r="AD9" s="280"/>
      <c r="AE9" s="280"/>
      <c r="AF9" s="280"/>
      <c r="AG9" s="280"/>
      <c r="AH9" s="280"/>
      <c r="AI9" s="280"/>
      <c r="AJ9" s="280"/>
      <c r="AK9" s="280"/>
      <c r="AL9" s="280"/>
      <c r="AM9" s="280"/>
      <c r="AN9" s="280"/>
      <c r="AO9" s="280"/>
      <c r="AP9" s="280"/>
      <c r="AQ9" s="280"/>
      <c r="AR9" s="280"/>
      <c r="AS9" s="280"/>
      <c r="AT9" s="280"/>
      <c r="AU9" s="280"/>
      <c r="AV9" s="280"/>
      <c r="AW9" s="280"/>
      <c r="AX9" s="280"/>
      <c r="AY9" s="280"/>
      <c r="AZ9" s="280"/>
      <c r="BA9" s="280"/>
      <c r="BB9" s="280"/>
      <c r="BC9" s="280"/>
      <c r="BD9" s="280"/>
      <c r="BE9" s="280"/>
      <c r="BF9" s="280"/>
      <c r="BG9" s="280"/>
      <c r="BH9" s="280"/>
      <c r="BI9" s="280"/>
      <c r="BJ9" s="280"/>
      <c r="BK9" s="280"/>
      <c r="BL9" s="280"/>
      <c r="BM9" s="280"/>
      <c r="BN9" s="280"/>
      <c r="BO9" s="280"/>
      <c r="BP9" s="280"/>
      <c r="BQ9" s="280"/>
      <c r="BR9" s="280"/>
      <c r="BS9" s="280"/>
      <c r="BT9" s="280"/>
      <c r="BU9" s="280"/>
      <c r="BV9" s="280"/>
      <c r="BW9" s="280"/>
      <c r="BX9" s="280"/>
      <c r="BY9" s="280"/>
      <c r="BZ9" s="280"/>
      <c r="CA9" s="280"/>
      <c r="CB9" s="280"/>
      <c r="CC9" s="280"/>
      <c r="CD9" s="280"/>
      <c r="CE9" s="280"/>
      <c r="CF9" s="280"/>
      <c r="CG9" s="280"/>
      <c r="CH9" s="280"/>
      <c r="CI9" s="280">
        <v>838560</v>
      </c>
      <c r="CJ9" s="280"/>
      <c r="CK9" s="280"/>
      <c r="CL9" s="280"/>
      <c r="CM9" s="280"/>
      <c r="CN9" s="280"/>
      <c r="CO9" s="280"/>
      <c r="CP9" s="280"/>
      <c r="CQ9" s="280"/>
      <c r="CR9" s="280"/>
      <c r="CS9" s="280"/>
      <c r="CT9" s="280"/>
      <c r="CU9" s="280"/>
      <c r="CV9" s="280"/>
      <c r="CW9" s="280"/>
      <c r="CX9" s="280"/>
      <c r="CY9" s="280"/>
      <c r="CZ9" s="280"/>
      <c r="DA9" s="280"/>
      <c r="DB9" s="280"/>
      <c r="DC9" s="280"/>
      <c r="DD9" s="280"/>
      <c r="DE9" s="280"/>
      <c r="DF9" s="280"/>
      <c r="DG9" s="280"/>
      <c r="DH9" s="280"/>
      <c r="DI9" s="280"/>
      <c r="DJ9" s="280"/>
      <c r="DK9" s="280"/>
      <c r="DL9" s="280">
        <v>240000</v>
      </c>
      <c r="DM9" s="280"/>
      <c r="DN9" s="280"/>
      <c r="DO9" s="280"/>
      <c r="DP9" s="280"/>
      <c r="DQ9" s="280"/>
      <c r="DR9" s="280"/>
      <c r="DS9" s="280"/>
      <c r="DT9" s="280"/>
      <c r="DU9" s="280"/>
      <c r="DV9" s="280"/>
      <c r="DW9" s="280"/>
      <c r="DX9" s="280"/>
      <c r="DY9" s="280"/>
      <c r="DZ9" s="280"/>
      <c r="EA9" s="280"/>
      <c r="EB9" s="280"/>
      <c r="EC9" s="280"/>
      <c r="ED9" s="280"/>
      <c r="EE9" s="280"/>
      <c r="EF9" s="280"/>
      <c r="EG9" s="280"/>
      <c r="EH9" s="280"/>
      <c r="EI9" s="280"/>
      <c r="EJ9" s="280"/>
      <c r="EK9" s="280"/>
      <c r="EL9" s="280"/>
      <c r="EM9" s="280"/>
      <c r="EN9" s="280"/>
      <c r="EO9" s="280"/>
      <c r="EP9" s="280"/>
      <c r="EQ9" s="280"/>
      <c r="ER9" s="280"/>
      <c r="ES9" s="280"/>
      <c r="ET9" s="280"/>
      <c r="EU9" s="280"/>
      <c r="EV9" s="280"/>
      <c r="EW9" s="280"/>
      <c r="EX9" s="280"/>
      <c r="EY9" s="280"/>
      <c r="EZ9" s="280"/>
      <c r="FA9" s="280"/>
      <c r="FB9" s="280"/>
      <c r="FC9" s="280"/>
      <c r="FD9" s="280"/>
      <c r="FE9" s="280">
        <v>58800</v>
      </c>
      <c r="FF9" s="280"/>
      <c r="FG9" s="280"/>
      <c r="FH9" s="280"/>
      <c r="FI9" s="280"/>
      <c r="FJ9" s="280"/>
      <c r="FK9" s="280"/>
      <c r="FL9" s="280"/>
      <c r="FM9" s="280"/>
      <c r="FN9" s="280"/>
      <c r="FO9" s="280"/>
      <c r="FP9" s="280"/>
      <c r="FQ9" s="280"/>
      <c r="FR9" s="280"/>
      <c r="FS9" s="280"/>
      <c r="FT9" s="280"/>
      <c r="FU9" s="280"/>
      <c r="FV9" s="280"/>
      <c r="FW9" s="280"/>
      <c r="FX9" s="280"/>
      <c r="FY9" s="280"/>
      <c r="FZ9" s="280"/>
      <c r="GA9" s="280"/>
      <c r="GB9" s="280"/>
      <c r="GC9" s="280"/>
      <c r="GD9" s="280"/>
      <c r="GE9" s="280"/>
      <c r="GF9" s="280"/>
      <c r="GG9" s="280"/>
      <c r="GH9" s="280"/>
      <c r="GI9" s="280"/>
      <c r="GJ9" s="280"/>
      <c r="GK9" s="280"/>
      <c r="GL9" s="280"/>
      <c r="GM9" s="280"/>
      <c r="GN9" s="280"/>
      <c r="GO9" s="280"/>
      <c r="GP9" s="280"/>
      <c r="GQ9" s="280"/>
      <c r="GR9" s="280"/>
      <c r="GS9" s="280"/>
      <c r="GT9" s="280"/>
      <c r="GU9" s="280"/>
      <c r="GV9" s="280"/>
      <c r="GW9" s="280"/>
      <c r="GX9" s="280"/>
      <c r="GY9" s="280"/>
      <c r="GZ9" s="280"/>
      <c r="HA9" s="280"/>
      <c r="HB9" s="280"/>
      <c r="HC9" s="280"/>
      <c r="HD9" s="280"/>
      <c r="HE9" s="280"/>
      <c r="HF9" s="280"/>
      <c r="HG9" s="280"/>
      <c r="HH9" s="280"/>
      <c r="HI9" s="280"/>
      <c r="HJ9" s="280"/>
      <c r="HK9" s="280"/>
      <c r="HL9" s="280"/>
      <c r="HM9" s="280"/>
      <c r="HN9" s="280"/>
      <c r="HO9" s="280"/>
      <c r="HP9" s="280"/>
      <c r="HQ9" s="280"/>
      <c r="HR9" s="280"/>
      <c r="HS9" s="280"/>
      <c r="HT9" s="280"/>
      <c r="HU9" s="280"/>
      <c r="HV9" s="280"/>
      <c r="HW9" s="280"/>
      <c r="HX9" s="280"/>
      <c r="HY9" s="280"/>
      <c r="HZ9" s="280"/>
      <c r="IA9" s="280"/>
      <c r="IB9" s="280"/>
      <c r="IC9" s="280"/>
      <c r="ID9" s="280"/>
      <c r="IE9" s="280"/>
      <c r="IF9" s="280"/>
      <c r="IG9" s="280"/>
      <c r="IH9" s="280"/>
      <c r="II9" s="280"/>
      <c r="IJ9" s="280"/>
      <c r="IK9" s="280"/>
      <c r="IL9" s="280"/>
      <c r="IM9" s="280"/>
      <c r="IN9" s="280"/>
      <c r="IO9" s="280"/>
      <c r="IP9" s="280"/>
      <c r="IQ9" s="280"/>
      <c r="IR9" s="280"/>
      <c r="IS9" s="280"/>
      <c r="IT9" s="280"/>
      <c r="IU9" s="280"/>
      <c r="IV9" s="280"/>
      <c r="IW9" s="280"/>
      <c r="IX9" s="280"/>
      <c r="IY9" s="280"/>
      <c r="IZ9" s="280"/>
      <c r="JA9" s="280"/>
      <c r="JB9" s="280"/>
      <c r="JC9" s="280"/>
      <c r="JD9" s="280"/>
      <c r="JE9" s="280"/>
      <c r="JF9" s="280"/>
      <c r="JG9" s="280"/>
      <c r="JH9" s="280"/>
      <c r="JI9" s="280"/>
      <c r="JJ9" s="280"/>
      <c r="JK9" s="280"/>
      <c r="JL9" s="280"/>
      <c r="JM9" s="280"/>
      <c r="JN9" s="280"/>
      <c r="JO9" s="280"/>
      <c r="JP9" s="280"/>
      <c r="JQ9" s="280"/>
      <c r="JR9" s="280"/>
      <c r="JS9" s="280"/>
      <c r="JT9" s="280"/>
      <c r="JU9" s="280"/>
      <c r="JV9" s="280"/>
      <c r="JW9" s="280"/>
      <c r="JX9" s="280"/>
      <c r="JY9" s="280"/>
      <c r="JZ9" s="280"/>
      <c r="KA9" s="280"/>
      <c r="KB9" s="280"/>
      <c r="KC9" s="280"/>
      <c r="KD9" s="280"/>
      <c r="KE9" s="280"/>
      <c r="KF9" s="280"/>
      <c r="KG9" s="280"/>
      <c r="KH9" s="280"/>
      <c r="KI9" s="280"/>
      <c r="KJ9" s="280"/>
      <c r="KK9" s="280"/>
      <c r="KL9" s="280"/>
      <c r="KM9" s="280"/>
      <c r="KN9" s="280"/>
      <c r="KO9" s="280"/>
      <c r="KP9" s="280"/>
      <c r="KQ9" s="280"/>
      <c r="KR9" s="280"/>
      <c r="KS9" s="280"/>
      <c r="KT9" s="280"/>
      <c r="KU9" s="280"/>
      <c r="KV9" s="280"/>
      <c r="KW9" s="280"/>
      <c r="KX9" s="280"/>
      <c r="KY9" s="280"/>
      <c r="KZ9" s="280"/>
      <c r="LA9" s="280"/>
      <c r="LB9" s="280"/>
      <c r="LC9" s="280"/>
      <c r="LD9" s="280"/>
      <c r="LE9" s="280"/>
      <c r="LF9" s="280"/>
      <c r="LG9" s="280"/>
      <c r="LH9" s="280"/>
      <c r="LI9" s="280"/>
      <c r="LJ9" s="280"/>
      <c r="LK9" s="280"/>
      <c r="LL9" s="280"/>
      <c r="LM9" s="280"/>
    </row>
    <row r="10" spans="1:325" x14ac:dyDescent="0.6">
      <c r="A10" s="282" t="s">
        <v>698</v>
      </c>
      <c r="B10" s="283">
        <f>1/0.0584</f>
        <v>17.123287671232877</v>
      </c>
      <c r="C10" s="284" t="s">
        <v>1302</v>
      </c>
      <c r="D10" s="279"/>
      <c r="E10" s="280"/>
      <c r="F10" s="307"/>
      <c r="G10" s="307"/>
      <c r="H10" s="307"/>
      <c r="I10" s="307">
        <f>1326000</f>
        <v>1326000</v>
      </c>
      <c r="J10" s="280"/>
      <c r="K10" s="280"/>
      <c r="L10" s="280"/>
      <c r="M10" s="280"/>
      <c r="N10" s="280"/>
      <c r="O10" s="280"/>
      <c r="P10" s="280"/>
      <c r="Q10" s="280"/>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0"/>
      <c r="BD10" s="280"/>
      <c r="BE10" s="280"/>
      <c r="BF10" s="280"/>
      <c r="BG10" s="280"/>
      <c r="BH10" s="280"/>
      <c r="BI10" s="280"/>
      <c r="BJ10" s="280"/>
      <c r="BK10" s="280"/>
      <c r="BL10" s="280"/>
      <c r="BM10" s="280"/>
      <c r="BN10" s="280"/>
      <c r="BO10" s="280"/>
      <c r="BP10" s="280"/>
      <c r="BQ10" s="280"/>
      <c r="BR10" s="280"/>
      <c r="BS10" s="280"/>
      <c r="BT10" s="280"/>
      <c r="BU10" s="280"/>
      <c r="BV10" s="280"/>
      <c r="BW10" s="280"/>
      <c r="BX10" s="280"/>
      <c r="BY10" s="280"/>
      <c r="BZ10" s="280"/>
      <c r="CA10" s="280"/>
      <c r="CB10" s="280"/>
      <c r="CC10" s="280"/>
      <c r="CD10" s="280"/>
      <c r="CE10" s="280"/>
      <c r="CF10" s="280"/>
      <c r="CG10" s="280"/>
      <c r="CH10" s="280"/>
      <c r="CI10" s="280">
        <v>373620</v>
      </c>
      <c r="CJ10" s="280"/>
      <c r="CK10" s="280"/>
      <c r="CL10" s="280"/>
      <c r="CM10" s="280"/>
      <c r="CN10" s="280"/>
      <c r="CO10" s="280"/>
      <c r="CP10" s="280"/>
      <c r="CQ10" s="280"/>
      <c r="CR10" s="280"/>
      <c r="CS10" s="280"/>
      <c r="CT10" s="280"/>
      <c r="CU10" s="280"/>
      <c r="CV10" s="280"/>
      <c r="CW10" s="280"/>
      <c r="CX10" s="280"/>
      <c r="CY10" s="280"/>
      <c r="CZ10" s="280"/>
      <c r="DA10" s="280"/>
      <c r="DB10" s="280"/>
      <c r="DC10" s="280"/>
      <c r="DD10" s="280"/>
      <c r="DE10" s="280"/>
      <c r="DF10" s="280"/>
      <c r="DG10" s="280"/>
      <c r="DH10" s="280"/>
      <c r="DI10" s="280"/>
      <c r="DJ10" s="280"/>
      <c r="DK10" s="280"/>
      <c r="DL10" s="280"/>
      <c r="DM10" s="280"/>
      <c r="DN10" s="280"/>
      <c r="DO10" s="280"/>
      <c r="DP10" s="280"/>
      <c r="DQ10" s="280"/>
      <c r="DR10" s="280"/>
      <c r="DS10" s="280"/>
      <c r="DT10" s="280"/>
      <c r="DU10" s="280"/>
      <c r="DV10" s="280"/>
      <c r="DW10" s="280"/>
      <c r="DX10" s="280"/>
      <c r="DY10" s="280"/>
      <c r="DZ10" s="280"/>
      <c r="EA10" s="280"/>
      <c r="EB10" s="280"/>
      <c r="EC10" s="280"/>
      <c r="ED10" s="280"/>
      <c r="EE10" s="280"/>
      <c r="EF10" s="280"/>
      <c r="EG10" s="280"/>
      <c r="EH10" s="280"/>
      <c r="EI10" s="280"/>
      <c r="EJ10" s="280"/>
      <c r="EK10" s="280"/>
      <c r="EL10" s="280"/>
      <c r="EM10" s="280"/>
      <c r="EN10" s="280"/>
      <c r="EO10" s="280"/>
      <c r="EP10" s="280"/>
      <c r="EQ10" s="280"/>
      <c r="ER10" s="280"/>
      <c r="ES10" s="280"/>
      <c r="ET10" s="280"/>
      <c r="EU10" s="280"/>
      <c r="EV10" s="280"/>
      <c r="EW10" s="280"/>
      <c r="EX10" s="280"/>
      <c r="EY10" s="280"/>
      <c r="EZ10" s="280"/>
      <c r="FA10" s="280"/>
      <c r="FB10" s="280"/>
      <c r="FC10" s="280"/>
      <c r="FD10" s="280"/>
      <c r="FE10" s="280"/>
      <c r="FF10" s="280"/>
      <c r="FG10" s="280"/>
      <c r="FH10" s="280"/>
      <c r="FI10" s="280"/>
      <c r="FJ10" s="280"/>
      <c r="FK10" s="280"/>
      <c r="FL10" s="280"/>
      <c r="FM10" s="280"/>
      <c r="FN10" s="280"/>
      <c r="FO10" s="280"/>
      <c r="FP10" s="280"/>
      <c r="FQ10" s="280"/>
      <c r="FR10" s="280"/>
      <c r="FS10" s="280"/>
      <c r="FT10" s="280"/>
      <c r="FU10" s="280"/>
      <c r="FV10" s="280"/>
      <c r="FW10" s="280"/>
      <c r="FX10" s="280"/>
      <c r="FY10" s="280"/>
      <c r="FZ10" s="280"/>
      <c r="GA10" s="280"/>
      <c r="GB10" s="280"/>
      <c r="GC10" s="280"/>
      <c r="GD10" s="280"/>
      <c r="GE10" s="280"/>
      <c r="GF10" s="280"/>
      <c r="GG10" s="280"/>
      <c r="GH10" s="280"/>
      <c r="GI10" s="280"/>
      <c r="GJ10" s="280"/>
      <c r="GK10" s="280"/>
      <c r="GL10" s="280"/>
      <c r="GM10" s="280"/>
      <c r="GN10" s="280"/>
      <c r="GO10" s="280"/>
      <c r="GP10" s="280"/>
      <c r="GQ10" s="280"/>
      <c r="GR10" s="280"/>
      <c r="GS10" s="280"/>
      <c r="GT10" s="280"/>
      <c r="GU10" s="280"/>
      <c r="GV10" s="280"/>
      <c r="GW10" s="280"/>
      <c r="GX10" s="280"/>
      <c r="GY10" s="280"/>
      <c r="GZ10" s="280"/>
      <c r="HA10" s="280"/>
      <c r="HB10" s="280"/>
      <c r="HC10" s="280"/>
      <c r="HD10" s="280"/>
      <c r="HE10" s="280"/>
      <c r="HF10" s="280"/>
      <c r="HG10" s="280"/>
      <c r="HH10" s="280"/>
      <c r="HI10" s="280"/>
      <c r="HJ10" s="280"/>
      <c r="HK10" s="280"/>
      <c r="HL10" s="280"/>
      <c r="HM10" s="280"/>
      <c r="HN10" s="280"/>
      <c r="HO10" s="280"/>
      <c r="HP10" s="280"/>
      <c r="HQ10" s="280"/>
      <c r="HR10" s="280"/>
      <c r="HS10" s="280"/>
      <c r="HT10" s="280"/>
      <c r="HU10" s="280"/>
      <c r="HV10" s="280"/>
      <c r="HW10" s="280"/>
      <c r="HX10" s="280"/>
      <c r="HY10" s="280"/>
      <c r="HZ10" s="280"/>
      <c r="IA10" s="280"/>
      <c r="IB10" s="280"/>
      <c r="IC10" s="280"/>
      <c r="ID10" s="280"/>
      <c r="IE10" s="280"/>
      <c r="IF10" s="280"/>
      <c r="IG10" s="280"/>
      <c r="IH10" s="280"/>
      <c r="II10" s="280"/>
      <c r="IJ10" s="280"/>
      <c r="IK10" s="280"/>
      <c r="IL10" s="280"/>
      <c r="IM10" s="280"/>
      <c r="IN10" s="280"/>
      <c r="IO10" s="280"/>
      <c r="IP10" s="280"/>
      <c r="IQ10" s="280"/>
      <c r="IR10" s="280"/>
      <c r="IS10" s="280"/>
      <c r="IT10" s="280"/>
      <c r="IU10" s="280"/>
      <c r="IV10" s="280"/>
      <c r="IW10" s="280"/>
      <c r="IX10" s="280"/>
      <c r="IY10" s="280"/>
      <c r="IZ10" s="280"/>
      <c r="JA10" s="280"/>
      <c r="JB10" s="280"/>
      <c r="JC10" s="280"/>
      <c r="JD10" s="280"/>
      <c r="JE10" s="280"/>
      <c r="JF10" s="280"/>
      <c r="JG10" s="280"/>
      <c r="JH10" s="280"/>
      <c r="JI10" s="280"/>
      <c r="JJ10" s="280"/>
      <c r="JK10" s="280"/>
      <c r="JL10" s="280"/>
      <c r="JM10" s="280">
        <v>178000</v>
      </c>
      <c r="JN10" s="280"/>
      <c r="JO10" s="280"/>
      <c r="JP10" s="280"/>
      <c r="JQ10" s="280"/>
      <c r="JR10" s="280"/>
      <c r="JS10" s="280"/>
      <c r="JT10" s="280"/>
      <c r="JU10" s="280"/>
      <c r="JV10" s="280"/>
      <c r="JW10" s="280"/>
      <c r="JX10" s="280"/>
      <c r="JY10" s="280"/>
      <c r="JZ10" s="280"/>
      <c r="KA10" s="280"/>
      <c r="KB10" s="280"/>
      <c r="KC10" s="280"/>
      <c r="KD10" s="280"/>
      <c r="KE10" s="280"/>
      <c r="KF10" s="280"/>
      <c r="KG10" s="280"/>
      <c r="KH10" s="280"/>
      <c r="KI10" s="280"/>
      <c r="KJ10" s="280"/>
      <c r="KK10" s="280"/>
      <c r="KL10" s="280"/>
      <c r="KM10" s="280"/>
      <c r="KN10" s="280"/>
      <c r="KO10" s="280"/>
      <c r="KP10" s="280"/>
      <c r="KQ10" s="280"/>
      <c r="KR10" s="280"/>
      <c r="KS10" s="280"/>
      <c r="KT10" s="280"/>
      <c r="KU10" s="280"/>
      <c r="KV10" s="280"/>
      <c r="KW10" s="280"/>
      <c r="KX10" s="280"/>
      <c r="KY10" s="280"/>
      <c r="KZ10" s="280"/>
      <c r="LA10" s="280"/>
      <c r="LB10" s="280"/>
      <c r="LC10" s="280"/>
      <c r="LD10" s="280"/>
      <c r="LE10" s="280"/>
      <c r="LF10" s="280"/>
      <c r="LG10" s="280"/>
      <c r="LH10" s="280"/>
      <c r="LI10" s="280"/>
      <c r="LJ10" s="280"/>
      <c r="LK10" s="280"/>
      <c r="LL10" s="280"/>
      <c r="LM10" s="280"/>
    </row>
    <row r="11" spans="1:325" x14ac:dyDescent="0.6">
      <c r="A11" s="282" t="s">
        <v>812</v>
      </c>
      <c r="B11" s="283">
        <f>1/0.0154</f>
        <v>64.935064935064929</v>
      </c>
      <c r="C11" s="284" t="s">
        <v>1303</v>
      </c>
      <c r="D11" s="279"/>
      <c r="E11" s="280"/>
      <c r="F11" s="307"/>
      <c r="G11" s="307"/>
      <c r="H11" s="307"/>
      <c r="I11" s="307"/>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0"/>
      <c r="BD11" s="280"/>
      <c r="BE11" s="280"/>
      <c r="BF11" s="280"/>
      <c r="BG11" s="280"/>
      <c r="BH11" s="280"/>
      <c r="BI11" s="280"/>
      <c r="BJ11" s="280"/>
      <c r="BK11" s="280"/>
      <c r="BL11" s="280"/>
      <c r="BM11" s="280"/>
      <c r="BN11" s="280"/>
      <c r="BO11" s="280"/>
      <c r="BP11" s="280"/>
      <c r="BQ11" s="280"/>
      <c r="BR11" s="280"/>
      <c r="BS11" s="280"/>
      <c r="BT11" s="280"/>
      <c r="BU11" s="280"/>
      <c r="BV11" s="280"/>
      <c r="BW11" s="280"/>
      <c r="BX11" s="280"/>
      <c r="BY11" s="280"/>
      <c r="BZ11" s="280"/>
      <c r="CA11" s="280"/>
      <c r="CB11" s="280"/>
      <c r="CC11" s="280"/>
      <c r="CD11" s="280"/>
      <c r="CE11" s="280"/>
      <c r="CF11" s="280"/>
      <c r="CG11" s="280"/>
      <c r="CH11" s="280"/>
      <c r="CI11" s="280">
        <v>201876</v>
      </c>
      <c r="CJ11" s="280"/>
      <c r="CK11" s="280"/>
      <c r="CL11" s="280"/>
      <c r="CM11" s="280"/>
      <c r="CN11" s="280"/>
      <c r="CO11" s="280"/>
      <c r="CP11" s="280"/>
      <c r="CQ11" s="280"/>
      <c r="CR11" s="280"/>
      <c r="CS11" s="280"/>
      <c r="CT11" s="280"/>
      <c r="CU11" s="280"/>
      <c r="CV11" s="280"/>
      <c r="CW11" s="280"/>
      <c r="CX11" s="280"/>
      <c r="CY11" s="280"/>
      <c r="CZ11" s="280"/>
      <c r="DA11" s="280"/>
      <c r="DB11" s="280"/>
      <c r="DC11" s="280"/>
      <c r="DD11" s="280"/>
      <c r="DE11" s="280"/>
      <c r="DF11" s="280"/>
      <c r="DG11" s="280"/>
      <c r="DH11" s="280"/>
      <c r="DI11" s="280"/>
      <c r="DJ11" s="280"/>
      <c r="DK11" s="280"/>
      <c r="DL11" s="280"/>
      <c r="DM11" s="280"/>
      <c r="DN11" s="280"/>
      <c r="DO11" s="280"/>
      <c r="DP11" s="280"/>
      <c r="DQ11" s="280"/>
      <c r="DR11" s="280"/>
      <c r="DS11" s="280"/>
      <c r="DT11" s="280"/>
      <c r="DU11" s="280"/>
      <c r="DV11" s="280"/>
      <c r="DW11" s="280"/>
      <c r="DX11" s="280"/>
      <c r="DY11" s="280"/>
      <c r="DZ11" s="280"/>
      <c r="EA11" s="280"/>
      <c r="EB11" s="280"/>
      <c r="EC11" s="280"/>
      <c r="ED11" s="280"/>
      <c r="EE11" s="280"/>
      <c r="EF11" s="280"/>
      <c r="EG11" s="280"/>
      <c r="EH11" s="280"/>
      <c r="EI11" s="280"/>
      <c r="EJ11" s="280"/>
      <c r="EK11" s="280"/>
      <c r="EL11" s="280"/>
      <c r="EM11" s="280"/>
      <c r="EN11" s="280"/>
      <c r="EO11" s="280"/>
      <c r="EP11" s="280"/>
      <c r="EQ11" s="280"/>
      <c r="ER11" s="280"/>
      <c r="ES11" s="280"/>
      <c r="ET11" s="280"/>
      <c r="EU11" s="280"/>
      <c r="EV11" s="280"/>
      <c r="EW11" s="280"/>
      <c r="EX11" s="280"/>
      <c r="EY11" s="280"/>
      <c r="EZ11" s="280"/>
      <c r="FA11" s="280"/>
      <c r="FB11" s="280"/>
      <c r="FC11" s="280"/>
      <c r="FD11" s="280"/>
      <c r="FE11" s="280"/>
      <c r="FF11" s="280"/>
      <c r="FG11" s="280"/>
      <c r="FH11" s="280"/>
      <c r="FI11" s="280"/>
      <c r="FJ11" s="280"/>
      <c r="FK11" s="280"/>
      <c r="FL11" s="280"/>
      <c r="FM11" s="280"/>
      <c r="FN11" s="280"/>
      <c r="FO11" s="280"/>
      <c r="FP11" s="280"/>
      <c r="FQ11" s="280"/>
      <c r="FR11" s="280"/>
      <c r="FS11" s="280"/>
      <c r="FT11" s="280"/>
      <c r="FU11" s="280"/>
      <c r="FV11" s="280"/>
      <c r="FW11" s="280"/>
      <c r="FX11" s="280"/>
      <c r="FY11" s="280"/>
      <c r="FZ11" s="280"/>
      <c r="GA11" s="280"/>
      <c r="GB11" s="280"/>
      <c r="GC11" s="280"/>
      <c r="GD11" s="280"/>
      <c r="GE11" s="280"/>
      <c r="GF11" s="280"/>
      <c r="GG11" s="280"/>
      <c r="GH11" s="280"/>
      <c r="GI11" s="280"/>
      <c r="GJ11" s="280"/>
      <c r="GK11" s="280"/>
      <c r="GL11" s="280"/>
      <c r="GM11" s="280"/>
      <c r="GN11" s="280"/>
      <c r="GO11" s="280"/>
      <c r="GP11" s="280"/>
      <c r="GQ11" s="280"/>
      <c r="GR11" s="280"/>
      <c r="GS11" s="280"/>
      <c r="GT11" s="280"/>
      <c r="GU11" s="280"/>
      <c r="GV11" s="280"/>
      <c r="GW11" s="280"/>
      <c r="GX11" s="280"/>
      <c r="GY11" s="280"/>
      <c r="GZ11" s="280"/>
      <c r="HA11" s="280"/>
      <c r="HB11" s="280"/>
      <c r="HC11" s="280"/>
      <c r="HD11" s="280"/>
      <c r="HE11" s="280"/>
      <c r="HF11" s="280"/>
      <c r="HG11" s="280"/>
      <c r="HH11" s="280"/>
      <c r="HI11" s="280"/>
      <c r="HJ11" s="280"/>
      <c r="HK11" s="280"/>
      <c r="HL11" s="280"/>
      <c r="HM11" s="280"/>
      <c r="HN11" s="280"/>
      <c r="HO11" s="280"/>
      <c r="HP11" s="280"/>
      <c r="HQ11" s="280"/>
      <c r="HR11" s="280"/>
      <c r="HS11" s="280"/>
      <c r="HT11" s="280"/>
      <c r="HU11" s="280"/>
      <c r="HV11" s="280"/>
      <c r="HW11" s="280"/>
      <c r="HX11" s="280"/>
      <c r="HY11" s="280"/>
      <c r="HZ11" s="280"/>
      <c r="IA11" s="280"/>
      <c r="IB11" s="280"/>
      <c r="IC11" s="280"/>
      <c r="ID11" s="280"/>
      <c r="IE11" s="280"/>
      <c r="IF11" s="280"/>
      <c r="IG11" s="280"/>
      <c r="IH11" s="280"/>
      <c r="II11" s="280"/>
      <c r="IJ11" s="280"/>
      <c r="IK11" s="280"/>
      <c r="IL11" s="280"/>
      <c r="IM11" s="280"/>
      <c r="IN11" s="280"/>
      <c r="IO11" s="280"/>
      <c r="IP11" s="280"/>
      <c r="IQ11" s="280"/>
      <c r="IR11" s="280"/>
      <c r="IS11" s="280"/>
      <c r="IT11" s="280"/>
      <c r="IU11" s="280"/>
      <c r="IV11" s="280"/>
      <c r="IW11" s="280"/>
      <c r="IX11" s="280"/>
      <c r="IY11" s="280"/>
      <c r="IZ11" s="280"/>
      <c r="JA11" s="280"/>
      <c r="JB11" s="280"/>
      <c r="JC11" s="280"/>
      <c r="JD11" s="280"/>
      <c r="JE11" s="280"/>
      <c r="JF11" s="280"/>
      <c r="JG11" s="280"/>
      <c r="JH11" s="280"/>
      <c r="JI11" s="280"/>
      <c r="JJ11" s="280"/>
      <c r="JK11" s="280"/>
      <c r="JL11" s="280"/>
      <c r="JM11" s="280"/>
      <c r="JN11" s="280"/>
      <c r="JO11" s="280"/>
      <c r="JP11" s="280"/>
      <c r="JQ11" s="280"/>
      <c r="JR11" s="280"/>
      <c r="JS11" s="280"/>
      <c r="JT11" s="280"/>
      <c r="JU11" s="280"/>
      <c r="JV11" s="280"/>
      <c r="JW11" s="280"/>
      <c r="JX11" s="280"/>
      <c r="JY11" s="280"/>
      <c r="JZ11" s="280"/>
      <c r="KA11" s="280"/>
      <c r="KB11" s="280"/>
      <c r="KC11" s="280"/>
      <c r="KD11" s="280"/>
      <c r="KE11" s="280"/>
      <c r="KF11" s="280"/>
      <c r="KG11" s="280"/>
      <c r="KH11" s="280"/>
      <c r="KI11" s="280"/>
      <c r="KJ11" s="280"/>
      <c r="KK11" s="280"/>
      <c r="KL11" s="280"/>
      <c r="KM11" s="280"/>
      <c r="KN11" s="280"/>
      <c r="KO11" s="280"/>
      <c r="KP11" s="280"/>
      <c r="KQ11" s="280"/>
      <c r="KR11" s="280"/>
      <c r="KS11" s="280"/>
      <c r="KT11" s="280"/>
      <c r="KU11" s="280"/>
      <c r="KV11" s="280"/>
      <c r="KW11" s="280"/>
      <c r="KX11" s="280"/>
      <c r="KY11" s="280"/>
      <c r="KZ11" s="280"/>
      <c r="LA11" s="280"/>
      <c r="LB11" s="280"/>
      <c r="LC11" s="280"/>
      <c r="LD11" s="280"/>
      <c r="LE11" s="280"/>
      <c r="LF11" s="280"/>
      <c r="LG11" s="280"/>
      <c r="LH11" s="280"/>
      <c r="LI11" s="280"/>
      <c r="LJ11" s="280"/>
      <c r="LK11" s="280"/>
      <c r="LL11" s="280"/>
      <c r="LM11" s="280"/>
    </row>
    <row r="12" spans="1:325" x14ac:dyDescent="0.6">
      <c r="A12" s="282" t="s">
        <v>682</v>
      </c>
      <c r="B12" s="283">
        <f>1/0.2959</f>
        <v>3.3795201081446433</v>
      </c>
      <c r="C12" s="284" t="s">
        <v>1304</v>
      </c>
      <c r="D12" s="279"/>
      <c r="E12" s="280"/>
      <c r="F12" s="307"/>
      <c r="G12" s="307"/>
      <c r="H12" s="307"/>
      <c r="I12" s="307"/>
      <c r="J12" s="280"/>
      <c r="K12" s="280"/>
      <c r="L12" s="280"/>
      <c r="M12" s="280"/>
      <c r="N12" s="280"/>
      <c r="O12" s="2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0"/>
      <c r="BK12" s="280"/>
      <c r="BL12" s="280"/>
      <c r="BM12" s="280"/>
      <c r="BN12" s="280"/>
      <c r="BO12" s="280"/>
      <c r="BP12" s="280"/>
      <c r="BQ12" s="280"/>
      <c r="BR12" s="280"/>
      <c r="BS12" s="280"/>
      <c r="BT12" s="280"/>
      <c r="BU12" s="280"/>
      <c r="BV12" s="280"/>
      <c r="BW12" s="280"/>
      <c r="BX12" s="280"/>
      <c r="BY12" s="280"/>
      <c r="BZ12" s="280"/>
      <c r="CA12" s="280"/>
      <c r="CB12" s="280"/>
      <c r="CC12" s="280"/>
      <c r="CD12" s="280"/>
      <c r="CE12" s="280"/>
      <c r="CF12" s="280"/>
      <c r="CG12" s="280"/>
      <c r="CH12" s="280"/>
      <c r="CI12" s="280"/>
      <c r="CJ12" s="280"/>
      <c r="CK12" s="280"/>
      <c r="CL12" s="280"/>
      <c r="CM12" s="280"/>
      <c r="CN12" s="280"/>
      <c r="CO12" s="280"/>
      <c r="CP12" s="280"/>
      <c r="CQ12" s="280"/>
      <c r="CR12" s="280"/>
      <c r="CS12" s="280"/>
      <c r="CT12" s="280"/>
      <c r="CU12" s="280"/>
      <c r="CV12" s="280"/>
      <c r="CW12" s="280"/>
      <c r="CX12" s="280"/>
      <c r="CY12" s="280"/>
      <c r="CZ12" s="280"/>
      <c r="DA12" s="280"/>
      <c r="DB12" s="280"/>
      <c r="DC12" s="280"/>
      <c r="DD12" s="280"/>
      <c r="DE12" s="280"/>
      <c r="DF12" s="280"/>
      <c r="DG12" s="280"/>
      <c r="DH12" s="280"/>
      <c r="DI12" s="280"/>
      <c r="DJ12" s="280"/>
      <c r="DK12" s="280"/>
      <c r="DL12" s="280"/>
      <c r="DM12" s="280"/>
      <c r="DN12" s="280"/>
      <c r="DO12" s="280"/>
      <c r="DP12" s="280"/>
      <c r="DQ12" s="280"/>
      <c r="DR12" s="280"/>
      <c r="DS12" s="280"/>
      <c r="DT12" s="280"/>
      <c r="DU12" s="280"/>
      <c r="DV12" s="280"/>
      <c r="DW12" s="280"/>
      <c r="DX12" s="280"/>
      <c r="DY12" s="280"/>
      <c r="DZ12" s="280"/>
      <c r="EA12" s="280"/>
      <c r="EB12" s="280"/>
      <c r="EC12" s="280"/>
      <c r="ED12" s="280"/>
      <c r="EE12" s="280"/>
      <c r="EF12" s="280"/>
      <c r="EG12" s="280">
        <v>752717</v>
      </c>
      <c r="EH12" s="280"/>
      <c r="EI12" s="280"/>
      <c r="EJ12" s="280"/>
      <c r="EK12" s="280"/>
      <c r="EL12" s="280"/>
      <c r="EM12" s="280"/>
      <c r="EN12" s="280"/>
      <c r="EO12" s="280"/>
      <c r="EP12" s="280"/>
      <c r="EQ12" s="280"/>
      <c r="ER12" s="280"/>
      <c r="ES12" s="280"/>
      <c r="ET12" s="280"/>
      <c r="EU12" s="280"/>
      <c r="EV12" s="280"/>
      <c r="EW12" s="280"/>
      <c r="EX12" s="280"/>
      <c r="EY12" s="280"/>
      <c r="EZ12" s="280"/>
      <c r="FA12" s="280"/>
      <c r="FB12" s="280"/>
      <c r="FC12" s="280"/>
      <c r="FD12" s="280"/>
      <c r="FE12" s="280"/>
      <c r="FF12" s="280"/>
      <c r="FG12" s="280"/>
      <c r="FH12" s="280"/>
      <c r="FI12" s="280"/>
      <c r="FJ12" s="280"/>
      <c r="FK12" s="280"/>
      <c r="FL12" s="280"/>
      <c r="FM12" s="280"/>
      <c r="FN12" s="280"/>
      <c r="FO12" s="280"/>
      <c r="FP12" s="280"/>
      <c r="FQ12" s="280"/>
      <c r="FR12" s="280"/>
      <c r="FS12" s="280"/>
      <c r="FT12" s="280"/>
      <c r="FU12" s="280"/>
      <c r="FV12" s="280"/>
      <c r="FW12" s="280"/>
      <c r="FX12" s="280"/>
      <c r="FY12" s="280"/>
      <c r="FZ12" s="280"/>
      <c r="GA12" s="280"/>
      <c r="GB12" s="280"/>
      <c r="GC12" s="280"/>
      <c r="GD12" s="280"/>
      <c r="GE12" s="280"/>
      <c r="GF12" s="280"/>
      <c r="GG12" s="280"/>
      <c r="GH12" s="280"/>
      <c r="GI12" s="280"/>
      <c r="GJ12" s="280"/>
      <c r="GK12" s="280"/>
      <c r="GL12" s="280"/>
      <c r="GM12" s="280"/>
      <c r="GN12" s="280"/>
      <c r="GO12" s="280"/>
      <c r="GP12" s="280"/>
      <c r="GQ12" s="280"/>
      <c r="GR12" s="280"/>
      <c r="GS12" s="280"/>
      <c r="GT12" s="280"/>
      <c r="GU12" s="280"/>
      <c r="GV12" s="280"/>
      <c r="GW12" s="280"/>
      <c r="GX12" s="280"/>
      <c r="GY12" s="280"/>
      <c r="GZ12" s="280"/>
      <c r="HA12" s="280"/>
      <c r="HB12" s="280"/>
      <c r="HC12" s="280"/>
      <c r="HD12" s="280"/>
      <c r="HE12" s="280"/>
      <c r="HF12" s="280"/>
      <c r="HG12" s="280"/>
      <c r="HH12" s="280"/>
      <c r="HI12" s="280"/>
      <c r="HJ12" s="280"/>
      <c r="HK12" s="280"/>
      <c r="HL12" s="280"/>
      <c r="HM12" s="280"/>
      <c r="HN12" s="280"/>
      <c r="HO12" s="280"/>
      <c r="HP12" s="280"/>
      <c r="HQ12" s="280"/>
      <c r="HR12" s="280"/>
      <c r="HS12" s="280"/>
      <c r="HT12" s="280"/>
      <c r="HU12" s="280"/>
      <c r="HV12" s="280"/>
      <c r="HW12" s="280"/>
      <c r="HX12" s="280"/>
      <c r="HY12" s="280"/>
      <c r="HZ12" s="280"/>
      <c r="IA12" s="280"/>
      <c r="IB12" s="280"/>
      <c r="IC12" s="280"/>
      <c r="ID12" s="280"/>
      <c r="IE12" s="280"/>
      <c r="IF12" s="280"/>
      <c r="IG12" s="280"/>
      <c r="IH12" s="280"/>
      <c r="II12" s="280"/>
      <c r="IJ12" s="280"/>
      <c r="IK12" s="280"/>
      <c r="IL12" s="280"/>
      <c r="IM12" s="280"/>
      <c r="IN12" s="280"/>
      <c r="IO12" s="280"/>
      <c r="IP12" s="280"/>
      <c r="IQ12" s="280"/>
      <c r="IR12" s="280"/>
      <c r="IS12" s="280"/>
      <c r="IT12" s="280"/>
      <c r="IU12" s="280"/>
      <c r="IV12" s="280"/>
      <c r="IW12" s="280"/>
      <c r="IX12" s="280"/>
      <c r="IY12" s="280"/>
      <c r="IZ12" s="280"/>
      <c r="JA12" s="280"/>
      <c r="JB12" s="280"/>
      <c r="JC12" s="280"/>
      <c r="JD12" s="280"/>
      <c r="JE12" s="280"/>
      <c r="JF12" s="280"/>
      <c r="JG12" s="280"/>
      <c r="JH12" s="280"/>
      <c r="JI12" s="280"/>
      <c r="JJ12" s="280"/>
      <c r="JK12" s="280"/>
      <c r="JL12" s="280"/>
      <c r="JM12" s="280"/>
      <c r="JN12" s="280"/>
      <c r="JO12" s="280"/>
      <c r="JP12" s="280"/>
      <c r="JQ12" s="280"/>
      <c r="JR12" s="280"/>
      <c r="JS12" s="280"/>
      <c r="JT12" s="280"/>
      <c r="JU12" s="280"/>
      <c r="JV12" s="280"/>
      <c r="JW12" s="280"/>
      <c r="JX12" s="280"/>
      <c r="JY12" s="280"/>
      <c r="JZ12" s="280"/>
      <c r="KA12" s="280"/>
      <c r="KB12" s="280"/>
      <c r="KC12" s="280"/>
      <c r="KD12" s="280"/>
      <c r="KE12" s="280"/>
      <c r="KF12" s="280"/>
      <c r="KG12" s="280"/>
      <c r="KH12" s="280"/>
      <c r="KI12" s="280"/>
      <c r="KJ12" s="280"/>
      <c r="KK12" s="280"/>
      <c r="KL12" s="280"/>
      <c r="KM12" s="280"/>
      <c r="KN12" s="280"/>
      <c r="KO12" s="280"/>
      <c r="KP12" s="280"/>
      <c r="KQ12" s="280"/>
      <c r="KR12" s="280"/>
      <c r="KS12" s="280"/>
      <c r="KT12" s="280"/>
      <c r="KU12" s="280"/>
      <c r="KV12" s="280"/>
      <c r="KW12" s="280"/>
      <c r="KX12" s="280"/>
      <c r="KY12" s="280"/>
      <c r="KZ12" s="280"/>
      <c r="LA12" s="280"/>
      <c r="LB12" s="280"/>
      <c r="LC12" s="280"/>
      <c r="LD12" s="280"/>
      <c r="LE12" s="280"/>
      <c r="LF12" s="280"/>
      <c r="LG12" s="280"/>
      <c r="LH12" s="280"/>
      <c r="LI12" s="280"/>
      <c r="LJ12" s="280"/>
      <c r="LK12" s="280"/>
      <c r="LL12" s="280"/>
      <c r="LM12" s="280"/>
    </row>
    <row r="13" spans="1:325" x14ac:dyDescent="0.6">
      <c r="A13" s="282" t="s">
        <v>833</v>
      </c>
      <c r="B13" s="283">
        <f>1/0.0035</f>
        <v>285.71428571428572</v>
      </c>
      <c r="C13" s="284" t="s">
        <v>1305</v>
      </c>
      <c r="D13" s="279"/>
      <c r="E13" s="280"/>
      <c r="F13" s="307"/>
      <c r="G13" s="307"/>
      <c r="H13" s="307"/>
      <c r="I13" s="307"/>
      <c r="J13" s="280"/>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0"/>
      <c r="BJ13" s="280"/>
      <c r="BK13" s="280"/>
      <c r="BL13" s="280"/>
      <c r="BM13" s="280"/>
      <c r="BN13" s="280"/>
      <c r="BO13" s="280"/>
      <c r="BP13" s="280"/>
      <c r="BQ13" s="280"/>
      <c r="BR13" s="280"/>
      <c r="BS13" s="280"/>
      <c r="BT13" s="280"/>
      <c r="BU13" s="280"/>
      <c r="BV13" s="280"/>
      <c r="BW13" s="280"/>
      <c r="BX13" s="280"/>
      <c r="BY13" s="280"/>
      <c r="BZ13" s="280"/>
      <c r="CA13" s="280"/>
      <c r="CB13" s="280"/>
      <c r="CC13" s="280"/>
      <c r="CD13" s="280"/>
      <c r="CE13" s="280"/>
      <c r="CF13" s="280"/>
      <c r="CG13" s="280"/>
      <c r="CH13" s="280"/>
      <c r="CI13" s="280"/>
      <c r="CJ13" s="280"/>
      <c r="CK13" s="280"/>
      <c r="CL13" s="280"/>
      <c r="CM13" s="280"/>
      <c r="CN13" s="280"/>
      <c r="CO13" s="280"/>
      <c r="CP13" s="280"/>
      <c r="CQ13" s="280"/>
      <c r="CR13" s="280"/>
      <c r="CS13" s="280"/>
      <c r="CT13" s="280"/>
      <c r="CU13" s="280"/>
      <c r="CV13" s="280"/>
      <c r="CW13" s="280"/>
      <c r="CX13" s="280"/>
      <c r="CY13" s="280"/>
      <c r="CZ13" s="280"/>
      <c r="DA13" s="280"/>
      <c r="DB13" s="280"/>
      <c r="DC13" s="280"/>
      <c r="DD13" s="280"/>
      <c r="DE13" s="280"/>
      <c r="DF13" s="280"/>
      <c r="DG13" s="280"/>
      <c r="DH13" s="280"/>
      <c r="DI13" s="280"/>
      <c r="DJ13" s="280"/>
      <c r="DK13" s="280"/>
      <c r="DL13" s="280"/>
      <c r="DM13" s="280"/>
      <c r="DN13" s="280"/>
      <c r="DO13" s="280"/>
      <c r="DP13" s="280"/>
      <c r="DQ13" s="280"/>
      <c r="DR13" s="280"/>
      <c r="DS13" s="280"/>
      <c r="DT13" s="280"/>
      <c r="DU13" s="280"/>
      <c r="DV13" s="280"/>
      <c r="DW13" s="280"/>
      <c r="DX13" s="280"/>
      <c r="DY13" s="280"/>
      <c r="DZ13" s="280"/>
      <c r="EA13" s="280"/>
      <c r="EB13" s="280"/>
      <c r="EC13" s="280"/>
      <c r="ED13" s="280"/>
      <c r="EE13" s="280"/>
      <c r="EF13" s="280"/>
      <c r="EG13" s="280"/>
      <c r="EH13" s="280"/>
      <c r="EI13" s="280"/>
      <c r="EJ13" s="280"/>
      <c r="EK13" s="280"/>
      <c r="EL13" s="280"/>
      <c r="EM13" s="280"/>
      <c r="EN13" s="280"/>
      <c r="EO13" s="280"/>
      <c r="EP13" s="280"/>
      <c r="EQ13" s="280"/>
      <c r="ER13" s="280"/>
      <c r="ES13" s="280"/>
      <c r="ET13" s="280"/>
      <c r="EU13" s="280"/>
      <c r="EV13" s="280"/>
      <c r="EW13" s="280"/>
      <c r="EX13" s="280"/>
      <c r="EY13" s="280"/>
      <c r="EZ13" s="280"/>
      <c r="FA13" s="280"/>
      <c r="FB13" s="280"/>
      <c r="FC13" s="280"/>
      <c r="FD13" s="280"/>
      <c r="FE13" s="280"/>
      <c r="FF13" s="280"/>
      <c r="FG13" s="280"/>
      <c r="FH13" s="280"/>
      <c r="FI13" s="280"/>
      <c r="FJ13" s="280"/>
      <c r="FK13" s="280"/>
      <c r="FL13" s="280"/>
      <c r="FM13" s="280"/>
      <c r="FN13" s="280"/>
      <c r="FO13" s="280"/>
      <c r="FP13" s="280"/>
      <c r="FQ13" s="280"/>
      <c r="FR13" s="280"/>
      <c r="FS13" s="280"/>
      <c r="FT13" s="280"/>
      <c r="FU13" s="280"/>
      <c r="FV13" s="280"/>
      <c r="FW13" s="280"/>
      <c r="FX13" s="280"/>
      <c r="FY13" s="280"/>
      <c r="FZ13" s="280"/>
      <c r="GA13" s="280"/>
      <c r="GB13" s="280"/>
      <c r="GC13" s="280"/>
      <c r="GD13" s="280"/>
      <c r="GE13" s="280"/>
      <c r="GF13" s="280"/>
      <c r="GG13" s="280"/>
      <c r="GH13" s="280"/>
      <c r="GI13" s="280"/>
      <c r="GJ13" s="280"/>
      <c r="GK13" s="280"/>
      <c r="GL13" s="280"/>
      <c r="GM13" s="280"/>
      <c r="GN13" s="280"/>
      <c r="GO13" s="280"/>
      <c r="GP13" s="280"/>
      <c r="GQ13" s="280"/>
      <c r="GR13" s="280"/>
      <c r="GS13" s="280"/>
      <c r="GT13" s="280"/>
      <c r="GU13" s="280"/>
      <c r="GV13" s="280"/>
      <c r="GW13" s="280"/>
      <c r="GX13" s="280"/>
      <c r="GY13" s="280"/>
      <c r="GZ13" s="280"/>
      <c r="HA13" s="280"/>
      <c r="HB13" s="280"/>
      <c r="HC13" s="280"/>
      <c r="HD13" s="280"/>
      <c r="HE13" s="280"/>
      <c r="HF13" s="280"/>
      <c r="HG13" s="280"/>
      <c r="HH13" s="280"/>
      <c r="HI13" s="280"/>
      <c r="HJ13" s="280"/>
      <c r="HK13" s="280"/>
      <c r="HL13" s="280"/>
      <c r="HM13" s="280"/>
      <c r="HN13" s="280"/>
      <c r="HO13" s="280"/>
      <c r="HP13" s="280"/>
      <c r="HQ13" s="280"/>
      <c r="HR13" s="280"/>
      <c r="HS13" s="280"/>
      <c r="HT13" s="280"/>
      <c r="HU13" s="280"/>
      <c r="HV13" s="280"/>
      <c r="HW13" s="280"/>
      <c r="HX13" s="280"/>
      <c r="HY13" s="280"/>
      <c r="HZ13" s="280"/>
      <c r="IA13" s="280"/>
      <c r="IB13" s="280"/>
      <c r="IC13" s="280"/>
      <c r="ID13" s="280"/>
      <c r="IE13" s="280"/>
      <c r="IF13" s="280"/>
      <c r="IG13" s="280"/>
      <c r="IH13" s="280"/>
      <c r="II13" s="280"/>
      <c r="IJ13" s="280"/>
      <c r="IK13" s="280"/>
      <c r="IL13" s="280"/>
      <c r="IM13" s="280"/>
      <c r="IN13" s="280"/>
      <c r="IO13" s="280"/>
      <c r="IP13" s="280"/>
      <c r="IQ13" s="280"/>
      <c r="IR13" s="280"/>
      <c r="IS13" s="280"/>
      <c r="IT13" s="280"/>
      <c r="IU13" s="280"/>
      <c r="IV13" s="280"/>
      <c r="IW13" s="280"/>
      <c r="IX13" s="280"/>
      <c r="IY13" s="280"/>
      <c r="IZ13" s="280"/>
      <c r="JA13" s="280"/>
      <c r="JB13" s="280"/>
      <c r="JC13" s="280"/>
      <c r="JD13" s="280"/>
      <c r="JE13" s="280"/>
      <c r="JF13" s="280"/>
      <c r="JG13" s="280"/>
      <c r="JH13" s="280"/>
      <c r="JI13" s="280"/>
      <c r="JJ13" s="280"/>
      <c r="JK13" s="280"/>
      <c r="JL13" s="280"/>
      <c r="JM13" s="280"/>
      <c r="JN13" s="280"/>
      <c r="JO13" s="280"/>
      <c r="JP13" s="280"/>
      <c r="JQ13" s="280"/>
      <c r="JR13" s="280"/>
      <c r="JS13" s="280"/>
      <c r="JT13" s="280"/>
      <c r="JU13" s="280"/>
      <c r="JV13" s="280"/>
      <c r="JW13" s="280"/>
      <c r="JX13" s="280"/>
      <c r="JY13" s="280"/>
      <c r="JZ13" s="280"/>
      <c r="KA13" s="280"/>
      <c r="KB13" s="280"/>
      <c r="KC13" s="280"/>
      <c r="KD13" s="280"/>
      <c r="KE13" s="280"/>
      <c r="KF13" s="280"/>
      <c r="KG13" s="280"/>
      <c r="KH13" s="280"/>
      <c r="KI13" s="280"/>
      <c r="KJ13" s="280"/>
      <c r="KK13" s="280"/>
      <c r="KL13" s="280"/>
      <c r="KM13" s="280"/>
      <c r="KN13" s="280"/>
      <c r="KO13" s="280"/>
      <c r="KP13" s="280"/>
      <c r="KQ13" s="280"/>
      <c r="KR13" s="280"/>
      <c r="KS13" s="280"/>
      <c r="KT13" s="280"/>
      <c r="KU13" s="280"/>
      <c r="KV13" s="280"/>
      <c r="KW13" s="280"/>
      <c r="KX13" s="280"/>
      <c r="KY13" s="280"/>
      <c r="KZ13" s="280"/>
      <c r="LA13" s="280"/>
      <c r="LB13" s="280"/>
      <c r="LC13" s="280"/>
      <c r="LD13" s="280"/>
      <c r="LE13" s="280"/>
      <c r="LF13" s="280"/>
      <c r="LG13" s="280"/>
      <c r="LH13" s="280"/>
      <c r="LI13" s="280"/>
      <c r="LJ13" s="280"/>
      <c r="LK13" s="280"/>
      <c r="LL13" s="280"/>
      <c r="LM13" s="280"/>
    </row>
    <row r="14" spans="1:325" x14ac:dyDescent="0.6">
      <c r="A14" s="282" t="s">
        <v>845</v>
      </c>
      <c r="B14" s="283">
        <f>1/0.0011</f>
        <v>909.09090909090901</v>
      </c>
      <c r="C14" s="284" t="s">
        <v>1306</v>
      </c>
      <c r="D14" s="279"/>
      <c r="E14" s="280"/>
      <c r="F14" s="307"/>
      <c r="G14" s="307"/>
      <c r="H14" s="307"/>
      <c r="I14" s="307"/>
      <c r="J14" s="280"/>
      <c r="K14" s="280"/>
      <c r="L14" s="280"/>
      <c r="M14" s="280"/>
      <c r="N14" s="280"/>
      <c r="O14" s="280"/>
      <c r="P14" s="280"/>
      <c r="Q14" s="280"/>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c r="BD14" s="280"/>
      <c r="BE14" s="280"/>
      <c r="BF14" s="280"/>
      <c r="BG14" s="280"/>
      <c r="BH14" s="280"/>
      <c r="BI14" s="280"/>
      <c r="BJ14" s="280"/>
      <c r="BK14" s="280"/>
      <c r="BL14" s="280"/>
      <c r="BM14" s="280"/>
      <c r="BN14" s="280"/>
      <c r="BO14" s="280"/>
      <c r="BP14" s="280"/>
      <c r="BQ14" s="280"/>
      <c r="BR14" s="280"/>
      <c r="BS14" s="280"/>
      <c r="BT14" s="280"/>
      <c r="BU14" s="280"/>
      <c r="BV14" s="280"/>
      <c r="BW14" s="280"/>
      <c r="BX14" s="280"/>
      <c r="BY14" s="280"/>
      <c r="BZ14" s="280"/>
      <c r="CA14" s="280"/>
      <c r="CB14" s="280"/>
      <c r="CC14" s="280"/>
      <c r="CD14" s="280"/>
      <c r="CE14" s="280"/>
      <c r="CF14" s="280"/>
      <c r="CG14" s="280"/>
      <c r="CH14" s="280"/>
      <c r="CI14" s="280"/>
      <c r="CJ14" s="280"/>
      <c r="CK14" s="280"/>
      <c r="CL14" s="280"/>
      <c r="CM14" s="280"/>
      <c r="CN14" s="280"/>
      <c r="CO14" s="280"/>
      <c r="CP14" s="280"/>
      <c r="CQ14" s="280"/>
      <c r="CR14" s="280"/>
      <c r="CS14" s="280"/>
      <c r="CT14" s="280"/>
      <c r="CU14" s="280"/>
      <c r="CV14" s="280"/>
      <c r="CW14" s="280"/>
      <c r="CX14" s="280"/>
      <c r="CY14" s="280"/>
      <c r="CZ14" s="280"/>
      <c r="DA14" s="280"/>
      <c r="DB14" s="280"/>
      <c r="DC14" s="280"/>
      <c r="DD14" s="280"/>
      <c r="DE14" s="280"/>
      <c r="DF14" s="280"/>
      <c r="DG14" s="280"/>
      <c r="DH14" s="280"/>
      <c r="DI14" s="280"/>
      <c r="DJ14" s="280"/>
      <c r="DK14" s="280"/>
      <c r="DL14" s="280"/>
      <c r="DM14" s="280"/>
      <c r="DN14" s="280"/>
      <c r="DO14" s="280"/>
      <c r="DP14" s="280"/>
      <c r="DQ14" s="280"/>
      <c r="DR14" s="280"/>
      <c r="DS14" s="280"/>
      <c r="DT14" s="280"/>
      <c r="DU14" s="280"/>
      <c r="DV14" s="280"/>
      <c r="DW14" s="280"/>
      <c r="DX14" s="280"/>
      <c r="DY14" s="280"/>
      <c r="DZ14" s="280"/>
      <c r="EA14" s="280"/>
      <c r="EB14" s="280"/>
      <c r="EC14" s="280"/>
      <c r="ED14" s="280"/>
      <c r="EE14" s="280"/>
      <c r="EF14" s="280"/>
      <c r="EG14" s="280"/>
      <c r="EH14" s="280"/>
      <c r="EI14" s="280"/>
      <c r="EJ14" s="280"/>
      <c r="EK14" s="280"/>
      <c r="EL14" s="280"/>
      <c r="EM14" s="280"/>
      <c r="EN14" s="280"/>
      <c r="EO14" s="280"/>
      <c r="EP14" s="280"/>
      <c r="EQ14" s="280"/>
      <c r="ER14" s="280"/>
      <c r="ES14" s="280"/>
      <c r="ET14" s="280"/>
      <c r="EU14" s="280"/>
      <c r="EV14" s="280"/>
      <c r="EW14" s="280"/>
      <c r="EX14" s="280"/>
      <c r="EY14" s="280"/>
      <c r="EZ14" s="280"/>
      <c r="FA14" s="280"/>
      <c r="FB14" s="280"/>
      <c r="FC14" s="280"/>
      <c r="FD14" s="280"/>
      <c r="FE14" s="280"/>
      <c r="FF14" s="280"/>
      <c r="FG14" s="280"/>
      <c r="FH14" s="280"/>
      <c r="FI14" s="280"/>
      <c r="FJ14" s="280"/>
      <c r="FK14" s="280"/>
      <c r="FL14" s="280"/>
      <c r="FM14" s="280"/>
      <c r="FN14" s="280"/>
      <c r="FO14" s="280"/>
      <c r="FP14" s="280"/>
      <c r="FQ14" s="280"/>
      <c r="FR14" s="280"/>
      <c r="FS14" s="280"/>
      <c r="FT14" s="280"/>
      <c r="FU14" s="280"/>
      <c r="FV14" s="280"/>
      <c r="FW14" s="280"/>
      <c r="FX14" s="280"/>
      <c r="FY14" s="280"/>
      <c r="FZ14" s="280"/>
      <c r="GA14" s="280"/>
      <c r="GB14" s="280"/>
      <c r="GC14" s="280"/>
      <c r="GD14" s="280"/>
      <c r="GE14" s="280"/>
      <c r="GF14" s="280"/>
      <c r="GG14" s="280"/>
      <c r="GH14" s="280"/>
      <c r="GI14" s="280"/>
      <c r="GJ14" s="280"/>
      <c r="GK14" s="280"/>
      <c r="GL14" s="280"/>
      <c r="GM14" s="280"/>
      <c r="GN14" s="280"/>
      <c r="GO14" s="280"/>
      <c r="GP14" s="280"/>
      <c r="GQ14" s="280"/>
      <c r="GR14" s="280"/>
      <c r="GS14" s="280"/>
      <c r="GT14" s="280"/>
      <c r="GU14" s="280"/>
      <c r="GV14" s="280"/>
      <c r="GW14" s="280"/>
      <c r="GX14" s="280"/>
      <c r="GY14" s="280"/>
      <c r="GZ14" s="280"/>
      <c r="HA14" s="280"/>
      <c r="HB14" s="280"/>
      <c r="HC14" s="280"/>
      <c r="HD14" s="280"/>
      <c r="HE14" s="280"/>
      <c r="HF14" s="280"/>
      <c r="HG14" s="280"/>
      <c r="HH14" s="280"/>
      <c r="HI14" s="280"/>
      <c r="HJ14" s="280"/>
      <c r="HK14" s="280"/>
      <c r="HL14" s="280"/>
      <c r="HM14" s="280"/>
      <c r="HN14" s="280"/>
      <c r="HO14" s="280"/>
      <c r="HP14" s="280"/>
      <c r="HQ14" s="280"/>
      <c r="HR14" s="280"/>
      <c r="HS14" s="280"/>
      <c r="HT14" s="280"/>
      <c r="HU14" s="280"/>
      <c r="HV14" s="280"/>
      <c r="HW14" s="280"/>
      <c r="HX14" s="280"/>
      <c r="HY14" s="280"/>
      <c r="HZ14" s="280"/>
      <c r="IA14" s="280"/>
      <c r="IB14" s="280"/>
      <c r="IC14" s="280"/>
      <c r="ID14" s="280"/>
      <c r="IE14" s="280"/>
      <c r="IF14" s="280"/>
      <c r="IG14" s="280"/>
      <c r="IH14" s="280"/>
      <c r="II14" s="280"/>
      <c r="IJ14" s="280"/>
      <c r="IK14" s="280"/>
      <c r="IL14" s="280"/>
      <c r="IM14" s="280"/>
      <c r="IN14" s="280"/>
      <c r="IO14" s="280"/>
      <c r="IP14" s="280"/>
      <c r="IQ14" s="280"/>
      <c r="IR14" s="280"/>
      <c r="IS14" s="280"/>
      <c r="IT14" s="280"/>
      <c r="IU14" s="280"/>
      <c r="IV14" s="280"/>
      <c r="IW14" s="280"/>
      <c r="IX14" s="280"/>
      <c r="IY14" s="280"/>
      <c r="IZ14" s="280"/>
      <c r="JA14" s="280"/>
      <c r="JB14" s="280"/>
      <c r="JC14" s="280"/>
      <c r="JD14" s="280"/>
      <c r="JE14" s="280"/>
      <c r="JF14" s="280"/>
      <c r="JG14" s="280"/>
      <c r="JH14" s="280"/>
      <c r="JI14" s="280"/>
      <c r="JJ14" s="280"/>
      <c r="JK14" s="280"/>
      <c r="JL14" s="280"/>
      <c r="JM14" s="280"/>
      <c r="JN14" s="280"/>
      <c r="JO14" s="280"/>
      <c r="JP14" s="280"/>
      <c r="JQ14" s="280"/>
      <c r="JR14" s="280"/>
      <c r="JS14" s="280"/>
      <c r="JT14" s="280"/>
      <c r="JU14" s="280"/>
      <c r="JV14" s="280"/>
      <c r="JW14" s="280"/>
      <c r="JX14" s="280"/>
      <c r="JY14" s="280"/>
      <c r="JZ14" s="280"/>
      <c r="KA14" s="280"/>
      <c r="KB14" s="280"/>
      <c r="KC14" s="280"/>
      <c r="KD14" s="280"/>
      <c r="KE14" s="280"/>
      <c r="KF14" s="280"/>
      <c r="KG14" s="280"/>
      <c r="KH14" s="280"/>
      <c r="KI14" s="280"/>
      <c r="KJ14" s="280"/>
      <c r="KK14" s="280"/>
      <c r="KL14" s="280"/>
      <c r="KM14" s="280"/>
      <c r="KN14" s="280"/>
      <c r="KO14" s="280"/>
      <c r="KP14" s="280"/>
      <c r="KQ14" s="280"/>
      <c r="KR14" s="280"/>
      <c r="KS14" s="280"/>
      <c r="KT14" s="280">
        <v>63000</v>
      </c>
      <c r="KU14" s="280"/>
      <c r="KV14" s="280"/>
      <c r="KW14" s="280"/>
      <c r="KX14" s="280"/>
      <c r="KY14" s="280"/>
      <c r="KZ14" s="280"/>
      <c r="LA14" s="280"/>
      <c r="LB14" s="280">
        <f>62400+15000+33000+39000</f>
        <v>149400</v>
      </c>
      <c r="LC14" s="280"/>
      <c r="LD14" s="280"/>
      <c r="LE14" s="280"/>
      <c r="LF14" s="280"/>
      <c r="LG14" s="280"/>
      <c r="LH14" s="280"/>
      <c r="LI14" s="280"/>
      <c r="LJ14" s="280"/>
      <c r="LK14" s="280"/>
      <c r="LL14" s="280"/>
      <c r="LM14" s="280"/>
    </row>
    <row r="15" spans="1:325" x14ac:dyDescent="0.6">
      <c r="A15" s="284" t="s">
        <v>1284</v>
      </c>
      <c r="B15" s="283">
        <f>1/0.0012</f>
        <v>833.33333333333337</v>
      </c>
      <c r="C15" s="284" t="s">
        <v>1307</v>
      </c>
      <c r="D15" s="279"/>
      <c r="E15" s="280"/>
      <c r="F15" s="307"/>
      <c r="G15" s="307"/>
      <c r="H15" s="307"/>
      <c r="I15" s="307"/>
      <c r="J15" s="280"/>
      <c r="K15" s="280"/>
      <c r="L15" s="280"/>
      <c r="M15" s="280"/>
      <c r="N15" s="280"/>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280"/>
      <c r="CM15" s="280"/>
      <c r="CN15" s="280"/>
      <c r="CO15" s="280"/>
      <c r="CP15" s="280"/>
      <c r="CQ15" s="280"/>
      <c r="CR15" s="280"/>
      <c r="CS15" s="280"/>
      <c r="CT15" s="280"/>
      <c r="CU15" s="280"/>
      <c r="CV15" s="280"/>
      <c r="CW15" s="280"/>
      <c r="CX15" s="280"/>
      <c r="CY15" s="280"/>
      <c r="CZ15" s="280"/>
      <c r="DA15" s="280"/>
      <c r="DB15" s="280"/>
      <c r="DC15" s="280"/>
      <c r="DD15" s="280"/>
      <c r="DE15" s="280"/>
      <c r="DF15" s="280"/>
      <c r="DG15" s="280"/>
      <c r="DH15" s="280"/>
      <c r="DI15" s="280"/>
      <c r="DJ15" s="280"/>
      <c r="DK15" s="280"/>
      <c r="DL15" s="280"/>
      <c r="DM15" s="280"/>
      <c r="DN15" s="280"/>
      <c r="DO15" s="280"/>
      <c r="DP15" s="280"/>
      <c r="DQ15" s="280"/>
      <c r="DR15" s="280"/>
      <c r="DS15" s="280"/>
      <c r="DT15" s="280"/>
      <c r="DU15" s="280"/>
      <c r="DV15" s="280"/>
      <c r="DW15" s="280"/>
      <c r="DX15" s="280"/>
      <c r="DY15" s="280"/>
      <c r="DZ15" s="280"/>
      <c r="EA15" s="280"/>
      <c r="EB15" s="280"/>
      <c r="EC15" s="280"/>
      <c r="ED15" s="280"/>
      <c r="EE15" s="280"/>
      <c r="EF15" s="280"/>
      <c r="EG15" s="280"/>
      <c r="EH15" s="280"/>
      <c r="EI15" s="280"/>
      <c r="EJ15" s="280"/>
      <c r="EK15" s="280"/>
      <c r="EL15" s="280"/>
      <c r="EM15" s="280"/>
      <c r="EN15" s="280"/>
      <c r="EO15" s="280"/>
      <c r="EP15" s="280"/>
      <c r="EQ15" s="280"/>
      <c r="ER15" s="280"/>
      <c r="ES15" s="280"/>
      <c r="ET15" s="280"/>
      <c r="EU15" s="280"/>
      <c r="EV15" s="280"/>
      <c r="EW15" s="280"/>
      <c r="EX15" s="280"/>
      <c r="EY15" s="280"/>
      <c r="EZ15" s="280"/>
      <c r="FA15" s="280"/>
      <c r="FB15" s="280"/>
      <c r="FC15" s="280"/>
      <c r="FD15" s="280"/>
      <c r="FE15" s="280"/>
      <c r="FF15" s="280"/>
      <c r="FG15" s="280"/>
      <c r="FH15" s="280"/>
      <c r="FI15" s="280"/>
      <c r="FJ15" s="280"/>
      <c r="FK15" s="280"/>
      <c r="FL15" s="280"/>
      <c r="FM15" s="280"/>
      <c r="FN15" s="280"/>
      <c r="FO15" s="280"/>
      <c r="FP15" s="280"/>
      <c r="FQ15" s="280"/>
      <c r="FR15" s="280"/>
      <c r="FS15" s="280"/>
      <c r="FT15" s="280"/>
      <c r="FU15" s="280"/>
      <c r="FV15" s="280"/>
      <c r="FW15" s="280"/>
      <c r="FX15" s="280"/>
      <c r="FY15" s="280"/>
      <c r="FZ15" s="280"/>
      <c r="GA15" s="280"/>
      <c r="GB15" s="280"/>
      <c r="GC15" s="280"/>
      <c r="GD15" s="280"/>
      <c r="GE15" s="280"/>
      <c r="GF15" s="280"/>
      <c r="GG15" s="280"/>
      <c r="GH15" s="280"/>
      <c r="GI15" s="280"/>
      <c r="GJ15" s="280"/>
      <c r="GK15" s="280"/>
      <c r="GL15" s="280"/>
      <c r="GM15" s="280"/>
      <c r="GN15" s="280"/>
      <c r="GO15" s="280"/>
      <c r="GP15" s="280"/>
      <c r="GQ15" s="280"/>
      <c r="GR15" s="280"/>
      <c r="GS15" s="280"/>
      <c r="GT15" s="280"/>
      <c r="GU15" s="280"/>
      <c r="GV15" s="280"/>
      <c r="GW15" s="280"/>
      <c r="GX15" s="280"/>
      <c r="GY15" s="280"/>
      <c r="GZ15" s="280"/>
      <c r="HA15" s="280"/>
      <c r="HB15" s="280"/>
      <c r="HC15" s="280"/>
      <c r="HD15" s="280"/>
      <c r="HE15" s="280"/>
      <c r="HF15" s="280"/>
      <c r="HG15" s="280"/>
      <c r="HH15" s="280"/>
      <c r="HI15" s="280"/>
      <c r="HJ15" s="280"/>
      <c r="HK15" s="280"/>
      <c r="HL15" s="280"/>
      <c r="HM15" s="280"/>
      <c r="HN15" s="280"/>
      <c r="HO15" s="280"/>
      <c r="HP15" s="280"/>
      <c r="HQ15" s="280"/>
      <c r="HR15" s="280"/>
      <c r="HS15" s="280"/>
      <c r="HT15" s="280"/>
      <c r="HU15" s="280"/>
      <c r="HV15" s="280"/>
      <c r="HW15" s="280"/>
      <c r="HX15" s="280"/>
      <c r="HY15" s="280"/>
      <c r="HZ15" s="280"/>
      <c r="IA15" s="280"/>
      <c r="IB15" s="280"/>
      <c r="IC15" s="280"/>
      <c r="ID15" s="280"/>
      <c r="IE15" s="280"/>
      <c r="IF15" s="280"/>
      <c r="IG15" s="280"/>
      <c r="IH15" s="280"/>
      <c r="II15" s="280"/>
      <c r="IJ15" s="280"/>
      <c r="IK15" s="280"/>
      <c r="IL15" s="280"/>
      <c r="IM15" s="280"/>
      <c r="IN15" s="280"/>
      <c r="IO15" s="280"/>
      <c r="IP15" s="280"/>
      <c r="IQ15" s="280"/>
      <c r="IR15" s="280"/>
      <c r="IS15" s="280"/>
      <c r="IT15" s="280"/>
      <c r="IU15" s="280"/>
      <c r="IV15" s="280"/>
      <c r="IW15" s="280"/>
      <c r="IX15" s="280"/>
      <c r="IY15" s="280"/>
      <c r="IZ15" s="280"/>
      <c r="JA15" s="280"/>
      <c r="JB15" s="280"/>
      <c r="JC15" s="280"/>
      <c r="JD15" s="280"/>
      <c r="JE15" s="280"/>
      <c r="JF15" s="280"/>
      <c r="JG15" s="280"/>
      <c r="JH15" s="280"/>
      <c r="JI15" s="280"/>
      <c r="JJ15" s="280"/>
      <c r="JK15" s="280"/>
      <c r="JL15" s="280"/>
      <c r="JM15" s="280"/>
      <c r="JN15" s="280"/>
      <c r="JO15" s="280"/>
      <c r="JP15" s="280"/>
      <c r="JQ15" s="280"/>
      <c r="JR15" s="280"/>
      <c r="JS15" s="280"/>
      <c r="JT15" s="280"/>
      <c r="JU15" s="280"/>
      <c r="JV15" s="280"/>
      <c r="JW15" s="280"/>
      <c r="JX15" s="280"/>
      <c r="JY15" s="280"/>
      <c r="JZ15" s="280"/>
      <c r="KA15" s="280"/>
      <c r="KB15" s="280"/>
      <c r="KC15" s="280"/>
      <c r="KD15" s="280"/>
      <c r="KE15" s="280"/>
      <c r="KF15" s="280"/>
      <c r="KG15" s="280"/>
      <c r="KH15" s="280"/>
      <c r="KI15" s="280"/>
      <c r="KJ15" s="280"/>
      <c r="KK15" s="280"/>
      <c r="KL15" s="280"/>
      <c r="KM15" s="280"/>
      <c r="KN15" s="280"/>
      <c r="KO15" s="280"/>
      <c r="KP15" s="280"/>
      <c r="KQ15" s="280"/>
      <c r="KR15" s="280">
        <f>20000000/1000</f>
        <v>20000</v>
      </c>
      <c r="KS15" s="280"/>
      <c r="KT15" s="280"/>
      <c r="KU15" s="280"/>
      <c r="KV15" s="280"/>
      <c r="KW15" s="280"/>
      <c r="KX15" s="280"/>
      <c r="KY15" s="280"/>
      <c r="KZ15" s="280"/>
      <c r="LA15" s="280"/>
      <c r="LB15" s="280"/>
      <c r="LC15" s="280"/>
      <c r="LD15" s="280"/>
      <c r="LE15" s="280"/>
      <c r="LF15" s="280"/>
      <c r="LG15" s="280"/>
      <c r="LH15" s="280"/>
      <c r="LI15" s="280"/>
      <c r="LJ15" s="280"/>
      <c r="LK15" s="280"/>
      <c r="LL15" s="280"/>
      <c r="LM15" s="280"/>
    </row>
    <row r="16" spans="1:325" x14ac:dyDescent="0.6">
      <c r="A16" s="284" t="s">
        <v>1285</v>
      </c>
      <c r="B16" s="283">
        <f>1/0.00067</f>
        <v>1492.5373134328358</v>
      </c>
      <c r="C16" s="284" t="s">
        <v>1311</v>
      </c>
      <c r="D16" s="279"/>
      <c r="E16" s="280"/>
      <c r="F16" s="307"/>
      <c r="G16" s="307"/>
      <c r="H16" s="307"/>
      <c r="I16" s="307"/>
      <c r="J16" s="280"/>
      <c r="K16" s="280"/>
      <c r="L16" s="280"/>
      <c r="M16" s="280"/>
      <c r="N16" s="280"/>
      <c r="O16" s="280"/>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280"/>
      <c r="AM16" s="280"/>
      <c r="AN16" s="280"/>
      <c r="AO16" s="280"/>
      <c r="AP16" s="280"/>
      <c r="AQ16" s="280"/>
      <c r="AR16" s="280"/>
      <c r="AS16" s="280"/>
      <c r="AT16" s="280"/>
      <c r="AU16" s="280"/>
      <c r="AV16" s="280"/>
      <c r="AW16" s="280"/>
      <c r="AX16" s="280"/>
      <c r="AY16" s="280"/>
      <c r="AZ16" s="280"/>
      <c r="BA16" s="280"/>
      <c r="BB16" s="280"/>
      <c r="BC16" s="280"/>
      <c r="BD16" s="280"/>
      <c r="BE16" s="280"/>
      <c r="BF16" s="280"/>
      <c r="BG16" s="280"/>
      <c r="BH16" s="280"/>
      <c r="BI16" s="280"/>
      <c r="BJ16" s="280"/>
      <c r="BK16" s="280"/>
      <c r="BL16" s="280"/>
      <c r="BM16" s="280"/>
      <c r="BN16" s="280"/>
      <c r="BO16" s="280"/>
      <c r="BP16" s="280"/>
      <c r="BQ16" s="280"/>
      <c r="BR16" s="280"/>
      <c r="BS16" s="280"/>
      <c r="BT16" s="280"/>
      <c r="BU16" s="280"/>
      <c r="BV16" s="280"/>
      <c r="BW16" s="280"/>
      <c r="BX16" s="280"/>
      <c r="BY16" s="280"/>
      <c r="BZ16" s="280"/>
      <c r="CA16" s="280"/>
      <c r="CB16" s="280"/>
      <c r="CC16" s="280"/>
      <c r="CD16" s="280"/>
      <c r="CE16" s="280"/>
      <c r="CF16" s="280"/>
      <c r="CG16" s="280"/>
      <c r="CH16" s="280"/>
      <c r="CI16" s="280"/>
      <c r="CJ16" s="280"/>
      <c r="CK16" s="280"/>
      <c r="CL16" s="280"/>
      <c r="CM16" s="280"/>
      <c r="CN16" s="280"/>
      <c r="CO16" s="280"/>
      <c r="CP16" s="280"/>
      <c r="CQ16" s="280"/>
      <c r="CR16" s="280"/>
      <c r="CS16" s="280"/>
      <c r="CT16" s="280"/>
      <c r="CU16" s="280"/>
      <c r="CV16" s="280"/>
      <c r="CW16" s="280"/>
      <c r="CX16" s="280"/>
      <c r="CY16" s="280"/>
      <c r="CZ16" s="280"/>
      <c r="DA16" s="280"/>
      <c r="DB16" s="280"/>
      <c r="DC16" s="280"/>
      <c r="DD16" s="280"/>
      <c r="DE16" s="280"/>
      <c r="DF16" s="280"/>
      <c r="DG16" s="280"/>
      <c r="DH16" s="280"/>
      <c r="DI16" s="280"/>
      <c r="DJ16" s="280"/>
      <c r="DK16" s="280"/>
      <c r="DL16" s="280"/>
      <c r="DM16" s="280"/>
      <c r="DN16" s="280"/>
      <c r="DO16" s="280"/>
      <c r="DP16" s="280"/>
      <c r="DQ16" s="280"/>
      <c r="DR16" s="280"/>
      <c r="DS16" s="280"/>
      <c r="DT16" s="280"/>
      <c r="DU16" s="280"/>
      <c r="DV16" s="280"/>
      <c r="DW16" s="280"/>
      <c r="DX16" s="280"/>
      <c r="DY16" s="280"/>
      <c r="DZ16" s="280"/>
      <c r="EA16" s="280"/>
      <c r="EB16" s="280"/>
      <c r="EC16" s="280"/>
      <c r="ED16" s="280"/>
      <c r="EE16" s="280"/>
      <c r="EF16" s="280"/>
      <c r="EG16" s="280"/>
      <c r="EH16" s="280"/>
      <c r="EI16" s="280"/>
      <c r="EJ16" s="280"/>
      <c r="EK16" s="280"/>
      <c r="EL16" s="280"/>
      <c r="EM16" s="280"/>
      <c r="EN16" s="280"/>
      <c r="EO16" s="280"/>
      <c r="EP16" s="280"/>
      <c r="EQ16" s="280"/>
      <c r="ER16" s="280"/>
      <c r="ES16" s="280"/>
      <c r="ET16" s="280"/>
      <c r="EU16" s="280"/>
      <c r="EV16" s="280"/>
      <c r="EW16" s="280"/>
      <c r="EX16" s="280"/>
      <c r="EY16" s="280"/>
      <c r="EZ16" s="280"/>
      <c r="FA16" s="280"/>
      <c r="FB16" s="280"/>
      <c r="FC16" s="280"/>
      <c r="FD16" s="280"/>
      <c r="FE16" s="280"/>
      <c r="FF16" s="280"/>
      <c r="FG16" s="280"/>
      <c r="FH16" s="280"/>
      <c r="FI16" s="280"/>
      <c r="FJ16" s="280"/>
      <c r="FK16" s="280"/>
      <c r="FL16" s="280"/>
      <c r="FM16" s="280"/>
      <c r="FN16" s="280"/>
      <c r="FO16" s="280"/>
      <c r="FP16" s="280"/>
      <c r="FQ16" s="280"/>
      <c r="FR16" s="280"/>
      <c r="FS16" s="280"/>
      <c r="FT16" s="280"/>
      <c r="FU16" s="280"/>
      <c r="FV16" s="280"/>
      <c r="FW16" s="280"/>
      <c r="FX16" s="280"/>
      <c r="FY16" s="280"/>
      <c r="FZ16" s="280"/>
      <c r="GA16" s="280"/>
      <c r="GB16" s="280"/>
      <c r="GC16" s="280"/>
      <c r="GD16" s="280"/>
      <c r="GE16" s="280"/>
      <c r="GF16" s="280"/>
      <c r="GG16" s="280"/>
      <c r="GH16" s="280"/>
      <c r="GI16" s="280"/>
      <c r="GJ16" s="280"/>
      <c r="GK16" s="280"/>
      <c r="GL16" s="280"/>
      <c r="GM16" s="280"/>
      <c r="GN16" s="280"/>
      <c r="GO16" s="280"/>
      <c r="GP16" s="280"/>
      <c r="GQ16" s="280"/>
      <c r="GR16" s="280"/>
      <c r="GS16" s="280"/>
      <c r="GT16" s="280"/>
      <c r="GU16" s="280"/>
      <c r="GV16" s="280"/>
      <c r="GW16" s="280"/>
      <c r="GX16" s="280"/>
      <c r="GY16" s="280"/>
      <c r="GZ16" s="280"/>
      <c r="HA16" s="280"/>
      <c r="HB16" s="280"/>
      <c r="HC16" s="280"/>
      <c r="HD16" s="280"/>
      <c r="HE16" s="280"/>
      <c r="HF16" s="280"/>
      <c r="HG16" s="280"/>
      <c r="HH16" s="280"/>
      <c r="HI16" s="280"/>
      <c r="HJ16" s="280"/>
      <c r="HK16" s="280"/>
      <c r="HL16" s="280"/>
      <c r="HM16" s="280"/>
      <c r="HN16" s="280"/>
      <c r="HO16" s="280"/>
      <c r="HP16" s="280"/>
      <c r="HQ16" s="280"/>
      <c r="HR16" s="280"/>
      <c r="HS16" s="280"/>
      <c r="HT16" s="280"/>
      <c r="HU16" s="280"/>
      <c r="HV16" s="280"/>
      <c r="HW16" s="280"/>
      <c r="HX16" s="280"/>
      <c r="HY16" s="280"/>
      <c r="HZ16" s="280"/>
      <c r="IA16" s="280"/>
      <c r="IB16" s="280"/>
      <c r="IC16" s="280"/>
      <c r="ID16" s="280"/>
      <c r="IE16" s="280"/>
      <c r="IF16" s="280"/>
      <c r="IG16" s="280"/>
      <c r="IH16" s="280"/>
      <c r="II16" s="280"/>
      <c r="IJ16" s="280"/>
      <c r="IK16" s="280"/>
      <c r="IL16" s="280"/>
      <c r="IM16" s="280"/>
      <c r="IN16" s="280"/>
      <c r="IO16" s="280"/>
      <c r="IP16" s="280"/>
      <c r="IQ16" s="280"/>
      <c r="IR16" s="280"/>
      <c r="IS16" s="280"/>
      <c r="IT16" s="280"/>
      <c r="IU16" s="280"/>
      <c r="IV16" s="280"/>
      <c r="IW16" s="280"/>
      <c r="IX16" s="280"/>
      <c r="IY16" s="280"/>
      <c r="IZ16" s="280"/>
      <c r="JA16" s="280"/>
      <c r="JB16" s="280"/>
      <c r="JC16" s="280"/>
      <c r="JD16" s="280"/>
      <c r="JE16" s="280"/>
      <c r="JF16" s="280"/>
      <c r="JG16" s="280"/>
      <c r="JH16" s="280"/>
      <c r="JI16" s="280"/>
      <c r="JJ16" s="280"/>
      <c r="JK16" s="280"/>
      <c r="JL16" s="280"/>
      <c r="JM16" s="280"/>
      <c r="JN16" s="280"/>
      <c r="JO16" s="280"/>
      <c r="JP16" s="280"/>
      <c r="JQ16" s="280"/>
      <c r="JR16" s="280"/>
      <c r="JS16" s="280"/>
      <c r="JT16" s="280"/>
      <c r="JU16" s="280"/>
      <c r="JV16" s="280"/>
      <c r="JW16" s="280"/>
      <c r="JX16" s="280">
        <v>4000</v>
      </c>
      <c r="JY16" s="280"/>
      <c r="JZ16" s="280"/>
      <c r="KA16" s="280"/>
      <c r="KB16" s="280"/>
      <c r="KC16" s="280"/>
      <c r="KD16" s="280"/>
      <c r="KE16" s="280"/>
      <c r="KF16" s="280"/>
      <c r="KG16" s="280"/>
      <c r="KH16" s="280"/>
      <c r="KI16" s="280"/>
      <c r="KJ16" s="280"/>
      <c r="KK16" s="280"/>
      <c r="KL16" s="280"/>
      <c r="KM16" s="280"/>
      <c r="KN16" s="280"/>
      <c r="KO16" s="280"/>
      <c r="KP16" s="280"/>
      <c r="KQ16" s="280"/>
      <c r="KR16" s="280"/>
      <c r="KS16" s="280"/>
      <c r="KT16" s="280"/>
      <c r="KU16" s="280"/>
      <c r="KV16" s="280"/>
      <c r="KW16" s="280"/>
      <c r="KX16" s="280"/>
      <c r="KY16" s="280"/>
      <c r="KZ16" s="280"/>
      <c r="LA16" s="280"/>
      <c r="LB16" s="280"/>
      <c r="LC16" s="280"/>
      <c r="LD16" s="280"/>
      <c r="LE16" s="280"/>
      <c r="LF16" s="280"/>
      <c r="LG16" s="280"/>
      <c r="LH16" s="280"/>
      <c r="LI16" s="280"/>
      <c r="LJ16" s="280"/>
      <c r="LK16" s="280"/>
      <c r="LL16" s="280"/>
      <c r="LM16" s="280"/>
    </row>
    <row r="17" spans="1:325" x14ac:dyDescent="0.6">
      <c r="A17" s="284" t="s">
        <v>1286</v>
      </c>
      <c r="B17" s="283">
        <f>1/0.00024</f>
        <v>4166.666666666667</v>
      </c>
      <c r="C17" s="284" t="s">
        <v>1312</v>
      </c>
      <c r="D17" s="279"/>
      <c r="E17" s="280"/>
      <c r="F17" s="307"/>
      <c r="G17" s="307"/>
      <c r="H17" s="307"/>
      <c r="I17" s="307"/>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c r="BD17" s="280"/>
      <c r="BE17" s="280"/>
      <c r="BF17" s="280"/>
      <c r="BG17" s="280"/>
      <c r="BH17" s="280"/>
      <c r="BI17" s="280"/>
      <c r="BJ17" s="280"/>
      <c r="BK17" s="280"/>
      <c r="BL17" s="280"/>
      <c r="BM17" s="280"/>
      <c r="BN17" s="280"/>
      <c r="BO17" s="280"/>
      <c r="BP17" s="280"/>
      <c r="BQ17" s="280"/>
      <c r="BR17" s="280"/>
      <c r="BS17" s="280"/>
      <c r="BT17" s="280"/>
      <c r="BU17" s="280"/>
      <c r="BV17" s="280"/>
      <c r="BW17" s="280"/>
      <c r="BX17" s="280"/>
      <c r="BY17" s="280"/>
      <c r="BZ17" s="280"/>
      <c r="CA17" s="280"/>
      <c r="CB17" s="280"/>
      <c r="CC17" s="280"/>
      <c r="CD17" s="280"/>
      <c r="CE17" s="280"/>
      <c r="CF17" s="280"/>
      <c r="CG17" s="280"/>
      <c r="CH17" s="280"/>
      <c r="CI17" s="280"/>
      <c r="CJ17" s="280"/>
      <c r="CK17" s="280"/>
      <c r="CL17" s="280"/>
      <c r="CM17" s="280"/>
      <c r="CN17" s="280"/>
      <c r="CO17" s="280"/>
      <c r="CP17" s="280"/>
      <c r="CQ17" s="280"/>
      <c r="CR17" s="280"/>
      <c r="CS17" s="280"/>
      <c r="CT17" s="280"/>
      <c r="CU17" s="280"/>
      <c r="CV17" s="280"/>
      <c r="CW17" s="280"/>
      <c r="CX17" s="280"/>
      <c r="CY17" s="280"/>
      <c r="CZ17" s="280"/>
      <c r="DA17" s="280"/>
      <c r="DB17" s="280"/>
      <c r="DC17" s="280"/>
      <c r="DD17" s="280"/>
      <c r="DE17" s="280"/>
      <c r="DF17" s="280"/>
      <c r="DG17" s="280"/>
      <c r="DH17" s="280"/>
      <c r="DI17" s="280"/>
      <c r="DJ17" s="280"/>
      <c r="DK17" s="280"/>
      <c r="DL17" s="280"/>
      <c r="DM17" s="280"/>
      <c r="DN17" s="280"/>
      <c r="DO17" s="280"/>
      <c r="DP17" s="280"/>
      <c r="DQ17" s="280"/>
      <c r="DR17" s="280"/>
      <c r="DS17" s="280"/>
      <c r="DT17" s="280"/>
      <c r="DU17" s="280"/>
      <c r="DV17" s="280"/>
      <c r="DW17" s="280"/>
      <c r="DX17" s="280"/>
      <c r="DY17" s="280"/>
      <c r="DZ17" s="280"/>
      <c r="EA17" s="280"/>
      <c r="EB17" s="280"/>
      <c r="EC17" s="280"/>
      <c r="ED17" s="280"/>
      <c r="EE17" s="280"/>
      <c r="EF17" s="280"/>
      <c r="EG17" s="280"/>
      <c r="EH17" s="280"/>
      <c r="EI17" s="280"/>
      <c r="EJ17" s="280"/>
      <c r="EK17" s="280"/>
      <c r="EL17" s="280"/>
      <c r="EM17" s="280"/>
      <c r="EN17" s="280"/>
      <c r="EO17" s="280"/>
      <c r="EP17" s="280"/>
      <c r="EQ17" s="280"/>
      <c r="ER17" s="280"/>
      <c r="ES17" s="280"/>
      <c r="ET17" s="280"/>
      <c r="EU17" s="280"/>
      <c r="EV17" s="280"/>
      <c r="EW17" s="280"/>
      <c r="EX17" s="280"/>
      <c r="EY17" s="280"/>
      <c r="EZ17" s="280"/>
      <c r="FA17" s="280"/>
      <c r="FB17" s="280"/>
      <c r="FC17" s="280"/>
      <c r="FD17" s="280"/>
      <c r="FE17" s="280"/>
      <c r="FF17" s="280"/>
      <c r="FG17" s="280"/>
      <c r="FH17" s="280"/>
      <c r="FI17" s="280"/>
      <c r="FJ17" s="280"/>
      <c r="FK17" s="280"/>
      <c r="FL17" s="280"/>
      <c r="FM17" s="280"/>
      <c r="FN17" s="280"/>
      <c r="FO17" s="280"/>
      <c r="FP17" s="280"/>
      <c r="FQ17" s="280"/>
      <c r="FR17" s="280"/>
      <c r="FS17" s="280"/>
      <c r="FT17" s="280"/>
      <c r="FU17" s="280"/>
      <c r="FV17" s="280"/>
      <c r="FW17" s="280"/>
      <c r="FX17" s="280"/>
      <c r="FY17" s="280"/>
      <c r="FZ17" s="280"/>
      <c r="GA17" s="280"/>
      <c r="GB17" s="280"/>
      <c r="GC17" s="280"/>
      <c r="GD17" s="280"/>
      <c r="GE17" s="280"/>
      <c r="GF17" s="280"/>
      <c r="GG17" s="280"/>
      <c r="GH17" s="280"/>
      <c r="GI17" s="280"/>
      <c r="GJ17" s="280"/>
      <c r="GK17" s="280"/>
      <c r="GL17" s="280"/>
      <c r="GM17" s="280"/>
      <c r="GN17" s="280"/>
      <c r="GO17" s="280"/>
      <c r="GP17" s="280"/>
      <c r="GQ17" s="280"/>
      <c r="GR17" s="280"/>
      <c r="GS17" s="280"/>
      <c r="GT17" s="280"/>
      <c r="GU17" s="280"/>
      <c r="GV17" s="280"/>
      <c r="GW17" s="280"/>
      <c r="GX17" s="280"/>
      <c r="GY17" s="280"/>
      <c r="GZ17" s="280"/>
      <c r="HA17" s="280"/>
      <c r="HB17" s="280"/>
      <c r="HC17" s="280"/>
      <c r="HD17" s="280"/>
      <c r="HE17" s="280"/>
      <c r="HF17" s="280"/>
      <c r="HG17" s="280"/>
      <c r="HH17" s="280"/>
      <c r="HI17" s="280"/>
      <c r="HJ17" s="280"/>
      <c r="HK17" s="280"/>
      <c r="HL17" s="280"/>
      <c r="HM17" s="280"/>
      <c r="HN17" s="280"/>
      <c r="HO17" s="280"/>
      <c r="HP17" s="280"/>
      <c r="HQ17" s="280"/>
      <c r="HR17" s="280"/>
      <c r="HS17" s="280"/>
      <c r="HT17" s="280"/>
      <c r="HU17" s="280"/>
      <c r="HV17" s="280"/>
      <c r="HW17" s="280"/>
      <c r="HX17" s="280"/>
      <c r="HY17" s="280"/>
      <c r="HZ17" s="280"/>
      <c r="IA17" s="280"/>
      <c r="IB17" s="280"/>
      <c r="IC17" s="280"/>
      <c r="ID17" s="280"/>
      <c r="IE17" s="280"/>
      <c r="IF17" s="280"/>
      <c r="IG17" s="280"/>
      <c r="IH17" s="280"/>
      <c r="II17" s="280"/>
      <c r="IJ17" s="280"/>
      <c r="IK17" s="280"/>
      <c r="IL17" s="280"/>
      <c r="IM17" s="280"/>
      <c r="IN17" s="280"/>
      <c r="IO17" s="280"/>
      <c r="IP17" s="280"/>
      <c r="IQ17" s="280"/>
      <c r="IR17" s="280"/>
      <c r="IS17" s="280"/>
      <c r="IT17" s="280"/>
      <c r="IU17" s="280"/>
      <c r="IV17" s="280"/>
      <c r="IW17" s="280"/>
      <c r="IX17" s="280"/>
      <c r="IY17" s="280"/>
      <c r="IZ17" s="280"/>
      <c r="JA17" s="280"/>
      <c r="JB17" s="280"/>
      <c r="JC17" s="280"/>
      <c r="JD17" s="280"/>
      <c r="JE17" s="280"/>
      <c r="JF17" s="280"/>
      <c r="JG17" s="280"/>
      <c r="JH17" s="280"/>
      <c r="JI17" s="280"/>
      <c r="JJ17" s="280"/>
      <c r="JK17" s="280"/>
      <c r="JL17" s="280"/>
      <c r="JM17" s="280"/>
      <c r="JN17" s="280"/>
      <c r="JO17" s="280"/>
      <c r="JP17" s="280"/>
      <c r="JQ17" s="280"/>
      <c r="JR17" s="280"/>
      <c r="JS17" s="280"/>
      <c r="JT17" s="280"/>
      <c r="JU17" s="280"/>
      <c r="JV17" s="280"/>
      <c r="JW17" s="280"/>
      <c r="JX17" s="280"/>
      <c r="JY17" s="280"/>
      <c r="JZ17" s="280"/>
      <c r="KA17" s="280"/>
      <c r="KB17" s="280"/>
      <c r="KC17" s="280"/>
      <c r="KD17" s="280"/>
      <c r="KE17" s="280"/>
      <c r="KF17" s="280"/>
      <c r="KG17" s="280"/>
      <c r="KH17" s="280"/>
      <c r="KI17" s="280"/>
      <c r="KJ17" s="280"/>
      <c r="KK17" s="280"/>
      <c r="KL17" s="280"/>
      <c r="KM17" s="280"/>
      <c r="KN17" s="280"/>
      <c r="KO17" s="280"/>
      <c r="KP17" s="280"/>
      <c r="KQ17" s="280"/>
      <c r="KR17" s="280"/>
      <c r="KS17" s="280"/>
      <c r="KT17" s="280"/>
      <c r="KU17" s="280"/>
      <c r="KV17" s="280"/>
      <c r="KW17" s="280"/>
      <c r="KX17" s="280"/>
      <c r="KY17" s="280"/>
      <c r="KZ17" s="280"/>
      <c r="LA17" s="280"/>
      <c r="LB17" s="280"/>
      <c r="LC17" s="280"/>
      <c r="LD17" s="280"/>
      <c r="LE17" s="280"/>
      <c r="LF17" s="280"/>
      <c r="LG17" s="280"/>
      <c r="LH17" s="280"/>
      <c r="LI17" s="280"/>
      <c r="LJ17" s="280"/>
      <c r="LK17" s="280"/>
      <c r="LL17" s="280"/>
      <c r="LM17" s="280"/>
    </row>
    <row r="18" spans="1:325" x14ac:dyDescent="0.6">
      <c r="A18" s="284" t="s">
        <v>1287</v>
      </c>
      <c r="B18" s="283">
        <f>1/0.0029</f>
        <v>344.82758620689657</v>
      </c>
      <c r="C18" s="284" t="s">
        <v>1313</v>
      </c>
      <c r="D18" s="279"/>
      <c r="E18" s="280"/>
      <c r="F18" s="307"/>
      <c r="G18" s="307"/>
      <c r="H18" s="307"/>
      <c r="I18" s="307"/>
      <c r="J18" s="280"/>
      <c r="K18" s="280"/>
      <c r="L18" s="280"/>
      <c r="M18" s="280"/>
      <c r="N18" s="280"/>
      <c r="O18" s="280"/>
      <c r="P18" s="280"/>
      <c r="Q18" s="280"/>
      <c r="R18" s="280"/>
      <c r="S18" s="280"/>
      <c r="T18" s="280"/>
      <c r="U18" s="280"/>
      <c r="V18" s="280"/>
      <c r="W18" s="280"/>
      <c r="X18" s="280"/>
      <c r="Y18" s="280"/>
      <c r="Z18" s="280"/>
      <c r="AA18" s="280"/>
      <c r="AB18" s="280"/>
      <c r="AC18" s="280"/>
      <c r="AD18" s="280"/>
      <c r="AE18" s="280"/>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c r="BD18" s="280"/>
      <c r="BE18" s="280"/>
      <c r="BF18" s="280"/>
      <c r="BG18" s="280"/>
      <c r="BH18" s="280"/>
      <c r="BI18" s="280"/>
      <c r="BJ18" s="280"/>
      <c r="BK18" s="280"/>
      <c r="BL18" s="280"/>
      <c r="BM18" s="280"/>
      <c r="BN18" s="280"/>
      <c r="BO18" s="280"/>
      <c r="BP18" s="280"/>
      <c r="BQ18" s="280"/>
      <c r="BR18" s="280"/>
      <c r="BS18" s="280"/>
      <c r="BT18" s="280"/>
      <c r="BU18" s="280"/>
      <c r="BV18" s="280"/>
      <c r="BW18" s="280"/>
      <c r="BX18" s="280"/>
      <c r="BY18" s="280"/>
      <c r="BZ18" s="280"/>
      <c r="CA18" s="280"/>
      <c r="CB18" s="280"/>
      <c r="CC18" s="280"/>
      <c r="CD18" s="280"/>
      <c r="CE18" s="280"/>
      <c r="CF18" s="280"/>
      <c r="CG18" s="280"/>
      <c r="CH18" s="280"/>
      <c r="CI18" s="280"/>
      <c r="CJ18" s="280"/>
      <c r="CK18" s="280"/>
      <c r="CL18" s="280"/>
      <c r="CM18" s="280"/>
      <c r="CN18" s="280"/>
      <c r="CO18" s="280"/>
      <c r="CP18" s="280"/>
      <c r="CQ18" s="280"/>
      <c r="CR18" s="280"/>
      <c r="CS18" s="280"/>
      <c r="CT18" s="280"/>
      <c r="CU18" s="280"/>
      <c r="CV18" s="280"/>
      <c r="CW18" s="280"/>
      <c r="CX18" s="280"/>
      <c r="CY18" s="280"/>
      <c r="CZ18" s="280"/>
      <c r="DA18" s="280"/>
      <c r="DB18" s="280"/>
      <c r="DC18" s="280"/>
      <c r="DD18" s="280"/>
      <c r="DE18" s="280"/>
      <c r="DF18" s="280"/>
      <c r="DG18" s="280"/>
      <c r="DH18" s="280"/>
      <c r="DI18" s="280"/>
      <c r="DJ18" s="280"/>
      <c r="DK18" s="280"/>
      <c r="DL18" s="280"/>
      <c r="DM18" s="280"/>
      <c r="DN18" s="280"/>
      <c r="DO18" s="280"/>
      <c r="DP18" s="280"/>
      <c r="DQ18" s="280"/>
      <c r="DR18" s="280"/>
      <c r="DS18" s="280"/>
      <c r="DT18" s="280"/>
      <c r="DU18" s="280"/>
      <c r="DV18" s="280"/>
      <c r="DW18" s="280"/>
      <c r="DX18" s="280"/>
      <c r="DY18" s="280"/>
      <c r="DZ18" s="280"/>
      <c r="EA18" s="280"/>
      <c r="EB18" s="280"/>
      <c r="EC18" s="280"/>
      <c r="ED18" s="280"/>
      <c r="EE18" s="280"/>
      <c r="EF18" s="280"/>
      <c r="EG18" s="280"/>
      <c r="EH18" s="280"/>
      <c r="EI18" s="280"/>
      <c r="EJ18" s="280"/>
      <c r="EK18" s="280"/>
      <c r="EL18" s="280"/>
      <c r="EM18" s="280"/>
      <c r="EN18" s="280"/>
      <c r="EO18" s="280"/>
      <c r="EP18" s="280"/>
      <c r="EQ18" s="280"/>
      <c r="ER18" s="280"/>
      <c r="ES18" s="280"/>
      <c r="ET18" s="280"/>
      <c r="EU18" s="280"/>
      <c r="EV18" s="280"/>
      <c r="EW18" s="280"/>
      <c r="EX18" s="280"/>
      <c r="EY18" s="280"/>
      <c r="EZ18" s="280"/>
      <c r="FA18" s="280"/>
      <c r="FB18" s="280"/>
      <c r="FC18" s="280"/>
      <c r="FD18" s="280"/>
      <c r="FE18" s="280"/>
      <c r="FF18" s="280"/>
      <c r="FG18" s="280"/>
      <c r="FH18" s="280"/>
      <c r="FI18" s="280"/>
      <c r="FJ18" s="280"/>
      <c r="FK18" s="280"/>
      <c r="FL18" s="280"/>
      <c r="FM18" s="280"/>
      <c r="FN18" s="280"/>
      <c r="FO18" s="280"/>
      <c r="FP18" s="280"/>
      <c r="FQ18" s="280"/>
      <c r="FR18" s="280"/>
      <c r="FS18" s="280"/>
      <c r="FT18" s="280"/>
      <c r="FU18" s="280"/>
      <c r="FV18" s="280"/>
      <c r="FW18" s="280"/>
      <c r="FX18" s="280"/>
      <c r="FY18" s="280"/>
      <c r="FZ18" s="280"/>
      <c r="GA18" s="280"/>
      <c r="GB18" s="280"/>
      <c r="GC18" s="280"/>
      <c r="GD18" s="280"/>
      <c r="GE18" s="280"/>
      <c r="GF18" s="280"/>
      <c r="GG18" s="280"/>
      <c r="GH18" s="280"/>
      <c r="GI18" s="280"/>
      <c r="GJ18" s="280"/>
      <c r="GK18" s="280"/>
      <c r="GL18" s="280"/>
      <c r="GM18" s="280"/>
      <c r="GN18" s="280"/>
      <c r="GO18" s="280"/>
      <c r="GP18" s="280"/>
      <c r="GQ18" s="280"/>
      <c r="GR18" s="280"/>
      <c r="GS18" s="280"/>
      <c r="GT18" s="280"/>
      <c r="GU18" s="280"/>
      <c r="GV18" s="280"/>
      <c r="GW18" s="280"/>
      <c r="GX18" s="280"/>
      <c r="GY18" s="280"/>
      <c r="GZ18" s="280"/>
      <c r="HA18" s="280"/>
      <c r="HB18" s="280"/>
      <c r="HC18" s="280"/>
      <c r="HD18" s="280"/>
      <c r="HE18" s="280"/>
      <c r="HF18" s="280"/>
      <c r="HG18" s="280"/>
      <c r="HH18" s="280"/>
      <c r="HI18" s="280"/>
      <c r="HJ18" s="280"/>
      <c r="HK18" s="280"/>
      <c r="HL18" s="280"/>
      <c r="HM18" s="280"/>
      <c r="HN18" s="280"/>
      <c r="HO18" s="280"/>
      <c r="HP18" s="280"/>
      <c r="HQ18" s="280"/>
      <c r="HR18" s="280"/>
      <c r="HS18" s="280"/>
      <c r="HT18" s="280"/>
      <c r="HU18" s="280"/>
      <c r="HV18" s="280"/>
      <c r="HW18" s="280"/>
      <c r="HX18" s="280"/>
      <c r="HY18" s="280"/>
      <c r="HZ18" s="280"/>
      <c r="IA18" s="280"/>
      <c r="IB18" s="280"/>
      <c r="IC18" s="280"/>
      <c r="ID18" s="280"/>
      <c r="IE18" s="280"/>
      <c r="IF18" s="280"/>
      <c r="IG18" s="280"/>
      <c r="IH18" s="280"/>
      <c r="II18" s="280"/>
      <c r="IJ18" s="280"/>
      <c r="IK18" s="280"/>
      <c r="IL18" s="280"/>
      <c r="IM18" s="280"/>
      <c r="IN18" s="280"/>
      <c r="IO18" s="280"/>
      <c r="IP18" s="280"/>
      <c r="IQ18" s="280"/>
      <c r="IR18" s="280"/>
      <c r="IS18" s="280"/>
      <c r="IT18" s="280"/>
      <c r="IU18" s="280"/>
      <c r="IV18" s="280"/>
      <c r="IW18" s="280"/>
      <c r="IX18" s="280"/>
      <c r="IY18" s="280"/>
      <c r="IZ18" s="280"/>
      <c r="JA18" s="280"/>
      <c r="JB18" s="280"/>
      <c r="JC18" s="280"/>
      <c r="JD18" s="280"/>
      <c r="JE18" s="280"/>
      <c r="JF18" s="280"/>
      <c r="JG18" s="280"/>
      <c r="JH18" s="280"/>
      <c r="JI18" s="280"/>
      <c r="JJ18" s="280"/>
      <c r="JK18" s="280"/>
      <c r="JL18" s="280"/>
      <c r="JM18" s="280"/>
      <c r="JN18" s="280"/>
      <c r="JO18" s="280"/>
      <c r="JP18" s="280"/>
      <c r="JQ18" s="280"/>
      <c r="JR18" s="280"/>
      <c r="JS18" s="280"/>
      <c r="JT18" s="280"/>
      <c r="JU18" s="280"/>
      <c r="JV18" s="280"/>
      <c r="JW18" s="280"/>
      <c r="JX18" s="280"/>
      <c r="JY18" s="280"/>
      <c r="JZ18" s="280"/>
      <c r="KA18" s="280"/>
      <c r="KB18" s="280"/>
      <c r="KC18" s="280"/>
      <c r="KD18" s="280"/>
      <c r="KE18" s="280"/>
      <c r="KF18" s="280"/>
      <c r="KG18" s="280"/>
      <c r="KH18" s="280"/>
      <c r="KI18" s="280"/>
      <c r="KJ18" s="280"/>
      <c r="KK18" s="280"/>
      <c r="KL18" s="280"/>
      <c r="KM18" s="280"/>
      <c r="KN18" s="280"/>
      <c r="KO18" s="280"/>
      <c r="KP18" s="280"/>
      <c r="KQ18" s="280"/>
      <c r="KR18" s="280"/>
      <c r="KS18" s="280"/>
      <c r="KT18" s="280"/>
      <c r="KU18" s="280"/>
      <c r="KV18" s="280"/>
      <c r="KW18" s="280"/>
      <c r="KX18" s="280"/>
      <c r="KY18" s="280"/>
      <c r="KZ18" s="280"/>
      <c r="LA18" s="280"/>
      <c r="LB18" s="280"/>
      <c r="LC18" s="280"/>
      <c r="LD18" s="280"/>
      <c r="LE18" s="280"/>
      <c r="LF18" s="280"/>
      <c r="LG18" s="280"/>
      <c r="LH18" s="280"/>
      <c r="LI18" s="280"/>
      <c r="LJ18" s="280"/>
      <c r="LK18" s="280"/>
      <c r="LL18" s="280"/>
      <c r="LM18" s="280"/>
    </row>
    <row r="19" spans="1:325" x14ac:dyDescent="0.6">
      <c r="A19" s="284" t="s">
        <v>1288</v>
      </c>
      <c r="B19" s="283">
        <f>1/0.0148</f>
        <v>67.567567567567565</v>
      </c>
      <c r="C19" s="284" t="s">
        <v>1314</v>
      </c>
      <c r="D19" s="279"/>
      <c r="E19" s="280"/>
      <c r="F19" s="307"/>
      <c r="G19" s="307"/>
      <c r="H19" s="307"/>
      <c r="I19" s="307"/>
      <c r="J19" s="280"/>
      <c r="K19" s="280"/>
      <c r="L19" s="280"/>
      <c r="M19" s="280"/>
      <c r="N19" s="280"/>
      <c r="O19" s="280"/>
      <c r="P19" s="280"/>
      <c r="Q19" s="280"/>
      <c r="R19" s="280"/>
      <c r="S19" s="280"/>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0"/>
      <c r="BP19" s="280"/>
      <c r="BQ19" s="280"/>
      <c r="BR19" s="280"/>
      <c r="BS19" s="280"/>
      <c r="BT19" s="280"/>
      <c r="BU19" s="280"/>
      <c r="BV19" s="280"/>
      <c r="BW19" s="280"/>
      <c r="BX19" s="280"/>
      <c r="BY19" s="280"/>
      <c r="BZ19" s="280"/>
      <c r="CA19" s="280"/>
      <c r="CB19" s="280"/>
      <c r="CC19" s="280"/>
      <c r="CD19" s="280"/>
      <c r="CE19" s="280"/>
      <c r="CF19" s="280"/>
      <c r="CG19" s="280"/>
      <c r="CH19" s="280"/>
      <c r="CI19" s="280"/>
      <c r="CJ19" s="280"/>
      <c r="CK19" s="280"/>
      <c r="CL19" s="280"/>
      <c r="CM19" s="280"/>
      <c r="CN19" s="280"/>
      <c r="CO19" s="280"/>
      <c r="CP19" s="280"/>
      <c r="CQ19" s="280"/>
      <c r="CR19" s="280"/>
      <c r="CS19" s="280"/>
      <c r="CT19" s="280"/>
      <c r="CU19" s="280"/>
      <c r="CV19" s="280"/>
      <c r="CW19" s="280"/>
      <c r="CX19" s="280"/>
      <c r="CY19" s="280"/>
      <c r="CZ19" s="280"/>
      <c r="DA19" s="280"/>
      <c r="DB19" s="280"/>
      <c r="DC19" s="280"/>
      <c r="DD19" s="280"/>
      <c r="DE19" s="280"/>
      <c r="DF19" s="280"/>
      <c r="DG19" s="280"/>
      <c r="DH19" s="280"/>
      <c r="DI19" s="280"/>
      <c r="DJ19" s="280"/>
      <c r="DK19" s="280"/>
      <c r="DL19" s="280"/>
      <c r="DM19" s="280"/>
      <c r="DN19" s="280"/>
      <c r="DO19" s="280"/>
      <c r="DP19" s="280"/>
      <c r="DQ19" s="280"/>
      <c r="DR19" s="280"/>
      <c r="DS19" s="280"/>
      <c r="DT19" s="280"/>
      <c r="DU19" s="280"/>
      <c r="DV19" s="280"/>
      <c r="DW19" s="280"/>
      <c r="DX19" s="280"/>
      <c r="DY19" s="280"/>
      <c r="DZ19" s="280"/>
      <c r="EA19" s="280"/>
      <c r="EB19" s="280"/>
      <c r="EC19" s="280"/>
      <c r="ED19" s="280"/>
      <c r="EE19" s="280"/>
      <c r="EF19" s="280"/>
      <c r="EG19" s="280"/>
      <c r="EH19" s="280"/>
      <c r="EI19" s="280"/>
      <c r="EJ19" s="280"/>
      <c r="EK19" s="280"/>
      <c r="EL19" s="280"/>
      <c r="EM19" s="280"/>
      <c r="EN19" s="280"/>
      <c r="EO19" s="280"/>
      <c r="EP19" s="280"/>
      <c r="EQ19" s="280"/>
      <c r="ER19" s="280"/>
      <c r="ES19" s="280"/>
      <c r="ET19" s="280"/>
      <c r="EU19" s="280"/>
      <c r="EV19" s="280"/>
      <c r="EW19" s="280"/>
      <c r="EX19" s="280"/>
      <c r="EY19" s="280"/>
      <c r="EZ19" s="280"/>
      <c r="FA19" s="280"/>
      <c r="FB19" s="280"/>
      <c r="FC19" s="280"/>
      <c r="FD19" s="280"/>
      <c r="FE19" s="280"/>
      <c r="FF19" s="280"/>
      <c r="FG19" s="280"/>
      <c r="FH19" s="280"/>
      <c r="FI19" s="280"/>
      <c r="FJ19" s="280"/>
      <c r="FK19" s="280"/>
      <c r="FL19" s="280"/>
      <c r="FM19" s="280"/>
      <c r="FN19" s="280"/>
      <c r="FO19" s="280"/>
      <c r="FP19" s="280"/>
      <c r="FQ19" s="280"/>
      <c r="FR19" s="280"/>
      <c r="FS19" s="280"/>
      <c r="FT19" s="280"/>
      <c r="FU19" s="280"/>
      <c r="FV19" s="280"/>
      <c r="FW19" s="280"/>
      <c r="FX19" s="280"/>
      <c r="FY19" s="280"/>
      <c r="FZ19" s="280"/>
      <c r="GA19" s="280"/>
      <c r="GB19" s="280"/>
      <c r="GC19" s="280"/>
      <c r="GD19" s="280"/>
      <c r="GE19" s="280"/>
      <c r="GF19" s="280"/>
      <c r="GG19" s="280"/>
      <c r="GH19" s="280"/>
      <c r="GI19" s="280"/>
      <c r="GJ19" s="280"/>
      <c r="GK19" s="280"/>
      <c r="GL19" s="280"/>
      <c r="GM19" s="280"/>
      <c r="GN19" s="280"/>
      <c r="GO19" s="280"/>
      <c r="GP19" s="280"/>
      <c r="GQ19" s="280"/>
      <c r="GR19" s="280"/>
      <c r="GS19" s="280"/>
      <c r="GT19" s="280"/>
      <c r="GU19" s="280"/>
      <c r="GV19" s="280"/>
      <c r="GW19" s="280"/>
      <c r="GX19" s="280"/>
      <c r="GY19" s="280"/>
      <c r="GZ19" s="280"/>
      <c r="HA19" s="280"/>
      <c r="HB19" s="280"/>
      <c r="HC19" s="280"/>
      <c r="HD19" s="280"/>
      <c r="HE19" s="280"/>
      <c r="HF19" s="280"/>
      <c r="HG19" s="280"/>
      <c r="HH19" s="280"/>
      <c r="HI19" s="280"/>
      <c r="HJ19" s="280"/>
      <c r="HK19" s="280"/>
      <c r="HL19" s="280"/>
      <c r="HM19" s="280"/>
      <c r="HN19" s="280"/>
      <c r="HO19" s="280"/>
      <c r="HP19" s="280"/>
      <c r="HQ19" s="280"/>
      <c r="HR19" s="280"/>
      <c r="HS19" s="280"/>
      <c r="HT19" s="280"/>
      <c r="HU19" s="280"/>
      <c r="HV19" s="280"/>
      <c r="HW19" s="280"/>
      <c r="HX19" s="280"/>
      <c r="HY19" s="280"/>
      <c r="HZ19" s="280"/>
      <c r="IA19" s="280"/>
      <c r="IB19" s="280"/>
      <c r="IC19" s="280"/>
      <c r="ID19" s="280"/>
      <c r="IE19" s="280"/>
      <c r="IF19" s="280"/>
      <c r="IG19" s="280"/>
      <c r="IH19" s="280"/>
      <c r="II19" s="280"/>
      <c r="IJ19" s="280"/>
      <c r="IK19" s="280"/>
      <c r="IL19" s="280"/>
      <c r="IM19" s="280"/>
      <c r="IN19" s="280"/>
      <c r="IO19" s="280"/>
      <c r="IP19" s="280"/>
      <c r="IQ19" s="280"/>
      <c r="IR19" s="280"/>
      <c r="IS19" s="280"/>
      <c r="IT19" s="280"/>
      <c r="IU19" s="280"/>
      <c r="IV19" s="280"/>
      <c r="IW19" s="280"/>
      <c r="IX19" s="280"/>
      <c r="IY19" s="280"/>
      <c r="IZ19" s="280"/>
      <c r="JA19" s="280"/>
      <c r="JB19" s="280"/>
      <c r="JC19" s="280"/>
      <c r="JD19" s="280"/>
      <c r="JE19" s="280"/>
      <c r="JF19" s="280"/>
      <c r="JG19" s="280"/>
      <c r="JH19" s="280"/>
      <c r="JI19" s="280"/>
      <c r="JJ19" s="280"/>
      <c r="JK19" s="280"/>
      <c r="JL19" s="280"/>
      <c r="JM19" s="280"/>
      <c r="JN19" s="280"/>
      <c r="JO19" s="280"/>
      <c r="JP19" s="280"/>
      <c r="JQ19" s="280"/>
      <c r="JR19" s="280"/>
      <c r="JS19" s="280"/>
      <c r="JT19" s="280"/>
      <c r="JU19" s="280"/>
      <c r="JV19" s="280"/>
      <c r="JW19" s="280"/>
      <c r="JX19" s="280"/>
      <c r="JY19" s="280"/>
      <c r="JZ19" s="280"/>
      <c r="KA19" s="280"/>
      <c r="KB19" s="280"/>
      <c r="KC19" s="280"/>
      <c r="KD19" s="280"/>
      <c r="KE19" s="280"/>
      <c r="KF19" s="280"/>
      <c r="KG19" s="280"/>
      <c r="KH19" s="280"/>
      <c r="KI19" s="280"/>
      <c r="KJ19" s="280"/>
      <c r="KK19" s="280"/>
      <c r="KL19" s="280"/>
      <c r="KM19" s="280"/>
      <c r="KN19" s="280"/>
      <c r="KO19" s="280"/>
      <c r="KP19" s="280"/>
      <c r="KQ19" s="280"/>
      <c r="KR19" s="280"/>
      <c r="KS19" s="280"/>
      <c r="KT19" s="280"/>
      <c r="KU19" s="280"/>
      <c r="KV19" s="280"/>
      <c r="KW19" s="280"/>
      <c r="KX19" s="280"/>
      <c r="KY19" s="280"/>
      <c r="KZ19" s="280"/>
      <c r="LA19" s="280"/>
      <c r="LB19" s="280"/>
      <c r="LC19" s="280"/>
      <c r="LD19" s="280"/>
      <c r="LE19" s="280"/>
      <c r="LF19" s="280"/>
      <c r="LG19" s="280"/>
      <c r="LH19" s="280"/>
      <c r="LI19" s="280"/>
      <c r="LJ19" s="280"/>
      <c r="LK19" s="280"/>
      <c r="LL19" s="280"/>
      <c r="LM19" s="280"/>
    </row>
    <row r="20" spans="1:325" x14ac:dyDescent="0.6">
      <c r="A20" s="284" t="s">
        <v>1289</v>
      </c>
      <c r="B20" s="283">
        <f>1/0.003</f>
        <v>333.33333333333331</v>
      </c>
      <c r="C20" s="284" t="s">
        <v>1315</v>
      </c>
      <c r="D20" s="279"/>
      <c r="E20" s="280"/>
      <c r="F20" s="307"/>
      <c r="G20" s="307"/>
      <c r="H20" s="307"/>
      <c r="I20" s="307"/>
      <c r="J20" s="280"/>
      <c r="K20" s="280"/>
      <c r="L20" s="280"/>
      <c r="M20" s="280"/>
      <c r="N20" s="280"/>
      <c r="O20" s="280"/>
      <c r="P20" s="280"/>
      <c r="Q20" s="280"/>
      <c r="R20" s="280"/>
      <c r="S20" s="280"/>
      <c r="T20" s="280"/>
      <c r="U20" s="280"/>
      <c r="V20" s="280"/>
      <c r="W20" s="280"/>
      <c r="X20" s="280"/>
      <c r="Y20" s="280"/>
      <c r="Z20" s="280"/>
      <c r="AA20" s="280"/>
      <c r="AB20" s="280"/>
      <c r="AC20" s="280"/>
      <c r="AD20" s="280"/>
      <c r="AE20" s="280"/>
      <c r="AF20" s="280"/>
      <c r="AG20" s="280"/>
      <c r="AH20" s="280"/>
      <c r="AI20" s="280"/>
      <c r="AJ20" s="280"/>
      <c r="AK20" s="280"/>
      <c r="AL20" s="280"/>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0"/>
      <c r="BK20" s="280"/>
      <c r="BL20" s="280"/>
      <c r="BM20" s="280"/>
      <c r="BN20" s="280"/>
      <c r="BO20" s="280"/>
      <c r="BP20" s="280"/>
      <c r="BQ20" s="280"/>
      <c r="BR20" s="280"/>
      <c r="BS20" s="280"/>
      <c r="BT20" s="280"/>
      <c r="BU20" s="280"/>
      <c r="BV20" s="280"/>
      <c r="BW20" s="280"/>
      <c r="BX20" s="280"/>
      <c r="BY20" s="280"/>
      <c r="BZ20" s="280"/>
      <c r="CA20" s="280"/>
      <c r="CB20" s="280"/>
      <c r="CC20" s="280"/>
      <c r="CD20" s="280"/>
      <c r="CE20" s="280"/>
      <c r="CF20" s="280"/>
      <c r="CG20" s="280"/>
      <c r="CH20" s="280"/>
      <c r="CI20" s="280"/>
      <c r="CJ20" s="280"/>
      <c r="CK20" s="280"/>
      <c r="CL20" s="280"/>
      <c r="CM20" s="280"/>
      <c r="CN20" s="280"/>
      <c r="CO20" s="280"/>
      <c r="CP20" s="280"/>
      <c r="CQ20" s="280"/>
      <c r="CR20" s="280"/>
      <c r="CS20" s="280"/>
      <c r="CT20" s="280"/>
      <c r="CU20" s="280"/>
      <c r="CV20" s="280"/>
      <c r="CW20" s="280"/>
      <c r="CX20" s="280"/>
      <c r="CY20" s="280"/>
      <c r="CZ20" s="280"/>
      <c r="DA20" s="280"/>
      <c r="DB20" s="280"/>
      <c r="DC20" s="280"/>
      <c r="DD20" s="280"/>
      <c r="DE20" s="280"/>
      <c r="DF20" s="280"/>
      <c r="DG20" s="280"/>
      <c r="DH20" s="280"/>
      <c r="DI20" s="280"/>
      <c r="DJ20" s="280"/>
      <c r="DK20" s="280"/>
      <c r="DL20" s="280"/>
      <c r="DM20" s="280"/>
      <c r="DN20" s="280"/>
      <c r="DO20" s="280"/>
      <c r="DP20" s="280"/>
      <c r="DQ20" s="280"/>
      <c r="DR20" s="280"/>
      <c r="DS20" s="280"/>
      <c r="DT20" s="280"/>
      <c r="DU20" s="280"/>
      <c r="DV20" s="280"/>
      <c r="DW20" s="280"/>
      <c r="DX20" s="280"/>
      <c r="DY20" s="280"/>
      <c r="DZ20" s="280"/>
      <c r="EA20" s="280"/>
      <c r="EB20" s="280"/>
      <c r="EC20" s="280"/>
      <c r="ED20" s="280"/>
      <c r="EE20" s="280"/>
      <c r="EF20" s="280"/>
      <c r="EG20" s="280"/>
      <c r="EH20" s="280"/>
      <c r="EI20" s="280"/>
      <c r="EJ20" s="280"/>
      <c r="EK20" s="280"/>
      <c r="EL20" s="280"/>
      <c r="EM20" s="280"/>
      <c r="EN20" s="280"/>
      <c r="EO20" s="280"/>
      <c r="EP20" s="280"/>
      <c r="EQ20" s="280"/>
      <c r="ER20" s="280"/>
      <c r="ES20" s="280"/>
      <c r="ET20" s="280"/>
      <c r="EU20" s="280"/>
      <c r="EV20" s="280"/>
      <c r="EW20" s="280"/>
      <c r="EX20" s="280"/>
      <c r="EY20" s="280"/>
      <c r="EZ20" s="280"/>
      <c r="FA20" s="280"/>
      <c r="FB20" s="280"/>
      <c r="FC20" s="280"/>
      <c r="FD20" s="280"/>
      <c r="FE20" s="280"/>
      <c r="FF20" s="280"/>
      <c r="FG20" s="280"/>
      <c r="FH20" s="280"/>
      <c r="FI20" s="280"/>
      <c r="FJ20" s="280"/>
      <c r="FK20" s="280"/>
      <c r="FL20" s="280"/>
      <c r="FM20" s="280"/>
      <c r="FN20" s="280"/>
      <c r="FO20" s="280"/>
      <c r="FP20" s="280"/>
      <c r="FQ20" s="280"/>
      <c r="FR20" s="280"/>
      <c r="FS20" s="280"/>
      <c r="FT20" s="280"/>
      <c r="FU20" s="280"/>
      <c r="FV20" s="280"/>
      <c r="FW20" s="280"/>
      <c r="FX20" s="280"/>
      <c r="FY20" s="280"/>
      <c r="FZ20" s="280"/>
      <c r="GA20" s="280"/>
      <c r="GB20" s="280"/>
      <c r="GC20" s="280"/>
      <c r="GD20" s="280"/>
      <c r="GE20" s="280"/>
      <c r="GF20" s="280"/>
      <c r="GG20" s="280"/>
      <c r="GH20" s="280"/>
      <c r="GI20" s="280"/>
      <c r="GJ20" s="280"/>
      <c r="GK20" s="280"/>
      <c r="GL20" s="280"/>
      <c r="GM20" s="280"/>
      <c r="GN20" s="280"/>
      <c r="GO20" s="280"/>
      <c r="GP20" s="280"/>
      <c r="GQ20" s="280"/>
      <c r="GR20" s="280"/>
      <c r="GS20" s="280"/>
      <c r="GT20" s="280"/>
      <c r="GU20" s="280"/>
      <c r="GV20" s="280"/>
      <c r="GW20" s="280"/>
      <c r="GX20" s="280"/>
      <c r="GY20" s="280"/>
      <c r="GZ20" s="280"/>
      <c r="HA20" s="280"/>
      <c r="HB20" s="280"/>
      <c r="HC20" s="280"/>
      <c r="HD20" s="280"/>
      <c r="HE20" s="280"/>
      <c r="HF20" s="280"/>
      <c r="HG20" s="280"/>
      <c r="HH20" s="280"/>
      <c r="HI20" s="280"/>
      <c r="HJ20" s="280"/>
      <c r="HK20" s="280"/>
      <c r="HL20" s="280"/>
      <c r="HM20" s="280"/>
      <c r="HN20" s="280"/>
      <c r="HO20" s="280"/>
      <c r="HP20" s="280"/>
      <c r="HQ20" s="280"/>
      <c r="HR20" s="280"/>
      <c r="HS20" s="280"/>
      <c r="HT20" s="280"/>
      <c r="HU20" s="280"/>
      <c r="HV20" s="280"/>
      <c r="HW20" s="280"/>
      <c r="HX20" s="280"/>
      <c r="HY20" s="280"/>
      <c r="HZ20" s="280"/>
      <c r="IA20" s="280"/>
      <c r="IB20" s="280"/>
      <c r="IC20" s="280"/>
      <c r="ID20" s="280"/>
      <c r="IE20" s="280"/>
      <c r="IF20" s="280"/>
      <c r="IG20" s="280"/>
      <c r="IH20" s="280"/>
      <c r="II20" s="280"/>
      <c r="IJ20" s="280"/>
      <c r="IK20" s="280"/>
      <c r="IL20" s="280"/>
      <c r="IM20" s="280"/>
      <c r="IN20" s="280"/>
      <c r="IO20" s="280"/>
      <c r="IP20" s="280"/>
      <c r="IQ20" s="280"/>
      <c r="IR20" s="280"/>
      <c r="IS20" s="280"/>
      <c r="IT20" s="280"/>
      <c r="IU20" s="280"/>
      <c r="IV20" s="280"/>
      <c r="IW20" s="280"/>
      <c r="IX20" s="280"/>
      <c r="IY20" s="280"/>
      <c r="IZ20" s="280"/>
      <c r="JA20" s="280"/>
      <c r="JB20" s="280"/>
      <c r="JC20" s="280"/>
      <c r="JD20" s="280"/>
      <c r="JE20" s="280"/>
      <c r="JF20" s="280"/>
      <c r="JG20" s="280"/>
      <c r="JH20" s="280"/>
      <c r="JI20" s="280"/>
      <c r="JJ20" s="280"/>
      <c r="JK20" s="280"/>
      <c r="JL20" s="280"/>
      <c r="JM20" s="280"/>
      <c r="JN20" s="280"/>
      <c r="JO20" s="280"/>
      <c r="JP20" s="280"/>
      <c r="JQ20" s="280"/>
      <c r="JR20" s="280"/>
      <c r="JS20" s="280"/>
      <c r="JT20" s="280"/>
      <c r="JU20" s="280"/>
      <c r="JV20" s="280"/>
      <c r="JW20" s="280"/>
      <c r="JX20" s="280"/>
      <c r="JY20" s="280"/>
      <c r="JZ20" s="280"/>
      <c r="KA20" s="280"/>
      <c r="KB20" s="280"/>
      <c r="KC20" s="280"/>
      <c r="KD20" s="280"/>
      <c r="KE20" s="280"/>
      <c r="KF20" s="280"/>
      <c r="KG20" s="280"/>
      <c r="KH20" s="280"/>
      <c r="KI20" s="280"/>
      <c r="KJ20" s="280"/>
      <c r="KK20" s="280"/>
      <c r="KL20" s="280"/>
      <c r="KM20" s="280"/>
      <c r="KN20" s="280"/>
      <c r="KO20" s="280"/>
      <c r="KP20" s="280"/>
      <c r="KQ20" s="280"/>
      <c r="KR20" s="280"/>
      <c r="KS20" s="280"/>
      <c r="KT20" s="280"/>
      <c r="KU20" s="280"/>
      <c r="KV20" s="280"/>
      <c r="KW20" s="280"/>
      <c r="KX20" s="280"/>
      <c r="KY20" s="280"/>
      <c r="KZ20" s="280"/>
      <c r="LA20" s="280"/>
      <c r="LB20" s="280"/>
      <c r="LC20" s="280"/>
      <c r="LD20" s="280"/>
      <c r="LE20" s="280"/>
      <c r="LF20" s="280"/>
      <c r="LG20" s="280"/>
      <c r="LH20" s="280"/>
      <c r="LI20" s="280"/>
      <c r="LJ20" s="280"/>
      <c r="LK20" s="280"/>
      <c r="LL20" s="280"/>
      <c r="LM20" s="280"/>
    </row>
    <row r="21" spans="1:325" x14ac:dyDescent="0.6">
      <c r="A21" s="284" t="s">
        <v>1290</v>
      </c>
      <c r="B21" s="283">
        <f>1/0.0274</f>
        <v>36.496350364963504</v>
      </c>
      <c r="C21" s="284" t="s">
        <v>1316</v>
      </c>
      <c r="D21" s="279"/>
      <c r="E21" s="280"/>
      <c r="F21" s="307"/>
      <c r="G21" s="307"/>
      <c r="H21" s="307"/>
      <c r="I21" s="307"/>
      <c r="J21" s="280"/>
      <c r="K21" s="280"/>
      <c r="L21" s="280"/>
      <c r="M21" s="280"/>
      <c r="N21" s="280"/>
      <c r="O21" s="280"/>
      <c r="P21" s="280"/>
      <c r="Q21" s="280"/>
      <c r="R21" s="280"/>
      <c r="S21" s="280"/>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0"/>
      <c r="BK21" s="280"/>
      <c r="BL21" s="280"/>
      <c r="BM21" s="280"/>
      <c r="BN21" s="280"/>
      <c r="BO21" s="280"/>
      <c r="BP21" s="280"/>
      <c r="BQ21" s="280"/>
      <c r="BR21" s="280"/>
      <c r="BS21" s="280"/>
      <c r="BT21" s="280"/>
      <c r="BU21" s="280"/>
      <c r="BV21" s="280"/>
      <c r="BW21" s="280"/>
      <c r="BX21" s="280"/>
      <c r="BY21" s="280"/>
      <c r="BZ21" s="280"/>
      <c r="CA21" s="280"/>
      <c r="CB21" s="280"/>
      <c r="CC21" s="280"/>
      <c r="CD21" s="280"/>
      <c r="CE21" s="280"/>
      <c r="CF21" s="280"/>
      <c r="CG21" s="280"/>
      <c r="CH21" s="280"/>
      <c r="CI21" s="280"/>
      <c r="CJ21" s="280"/>
      <c r="CK21" s="280"/>
      <c r="CL21" s="280"/>
      <c r="CM21" s="280"/>
      <c r="CN21" s="280"/>
      <c r="CO21" s="280"/>
      <c r="CP21" s="280"/>
      <c r="CQ21" s="280"/>
      <c r="CR21" s="280"/>
      <c r="CS21" s="280"/>
      <c r="CT21" s="280"/>
      <c r="CU21" s="280"/>
      <c r="CV21" s="280"/>
      <c r="CW21" s="280"/>
      <c r="CX21" s="280"/>
      <c r="CY21" s="280"/>
      <c r="CZ21" s="280"/>
      <c r="DA21" s="280"/>
      <c r="DB21" s="280"/>
      <c r="DC21" s="280"/>
      <c r="DD21" s="280"/>
      <c r="DE21" s="280"/>
      <c r="DF21" s="280"/>
      <c r="DG21" s="280"/>
      <c r="DH21" s="280"/>
      <c r="DI21" s="280"/>
      <c r="DJ21" s="280"/>
      <c r="DK21" s="280"/>
      <c r="DL21" s="280"/>
      <c r="DM21" s="280"/>
      <c r="DN21" s="280"/>
      <c r="DO21" s="280"/>
      <c r="DP21" s="280"/>
      <c r="DQ21" s="280"/>
      <c r="DR21" s="280"/>
      <c r="DS21" s="280"/>
      <c r="DT21" s="280"/>
      <c r="DU21" s="280"/>
      <c r="DV21" s="280"/>
      <c r="DW21" s="280"/>
      <c r="DX21" s="280"/>
      <c r="DY21" s="280"/>
      <c r="DZ21" s="280"/>
      <c r="EA21" s="280"/>
      <c r="EB21" s="280"/>
      <c r="EC21" s="280"/>
      <c r="ED21" s="280"/>
      <c r="EE21" s="280"/>
      <c r="EF21" s="280"/>
      <c r="EG21" s="280"/>
      <c r="EH21" s="280"/>
      <c r="EI21" s="280"/>
      <c r="EJ21" s="280"/>
      <c r="EK21" s="280"/>
      <c r="EL21" s="280"/>
      <c r="EM21" s="280"/>
      <c r="EN21" s="280"/>
      <c r="EO21" s="280"/>
      <c r="EP21" s="280"/>
      <c r="EQ21" s="280"/>
      <c r="ER21" s="280"/>
      <c r="ES21" s="280"/>
      <c r="ET21" s="280"/>
      <c r="EU21" s="280"/>
      <c r="EV21" s="280"/>
      <c r="EW21" s="280"/>
      <c r="EX21" s="280"/>
      <c r="EY21" s="280"/>
      <c r="EZ21" s="280"/>
      <c r="FA21" s="280"/>
      <c r="FB21" s="280"/>
      <c r="FC21" s="280"/>
      <c r="FD21" s="280"/>
      <c r="FE21" s="280"/>
      <c r="FF21" s="280"/>
      <c r="FG21" s="280"/>
      <c r="FH21" s="280"/>
      <c r="FI21" s="280"/>
      <c r="FJ21" s="280"/>
      <c r="FK21" s="280"/>
      <c r="FL21" s="280"/>
      <c r="FM21" s="280"/>
      <c r="FN21" s="280"/>
      <c r="FO21" s="280"/>
      <c r="FP21" s="280"/>
      <c r="FQ21" s="280"/>
      <c r="FR21" s="280"/>
      <c r="FS21" s="280"/>
      <c r="FT21" s="280"/>
      <c r="FU21" s="280"/>
      <c r="FV21" s="280"/>
      <c r="FW21" s="280"/>
      <c r="FX21" s="280"/>
      <c r="FY21" s="280"/>
      <c r="FZ21" s="280"/>
      <c r="GA21" s="280"/>
      <c r="GB21" s="280"/>
      <c r="GC21" s="280"/>
      <c r="GD21" s="280"/>
      <c r="GE21" s="280"/>
      <c r="GF21" s="280"/>
      <c r="GG21" s="280"/>
      <c r="GH21" s="280"/>
      <c r="GI21" s="280"/>
      <c r="GJ21" s="280"/>
      <c r="GK21" s="280"/>
      <c r="GL21" s="280"/>
      <c r="GM21" s="280"/>
      <c r="GN21" s="280"/>
      <c r="GO21" s="280"/>
      <c r="GP21" s="280"/>
      <c r="GQ21" s="280"/>
      <c r="GR21" s="280"/>
      <c r="GS21" s="280"/>
      <c r="GT21" s="280"/>
      <c r="GU21" s="280"/>
      <c r="GV21" s="280"/>
      <c r="GW21" s="280"/>
      <c r="GX21" s="280"/>
      <c r="GY21" s="280"/>
      <c r="GZ21" s="280"/>
      <c r="HA21" s="280"/>
      <c r="HB21" s="280"/>
      <c r="HC21" s="280"/>
      <c r="HD21" s="280"/>
      <c r="HE21" s="280"/>
      <c r="HF21" s="280"/>
      <c r="HG21" s="280"/>
      <c r="HH21" s="280"/>
      <c r="HI21" s="280"/>
      <c r="HJ21" s="280"/>
      <c r="HK21" s="280"/>
      <c r="HL21" s="280"/>
      <c r="HM21" s="280"/>
      <c r="HN21" s="280"/>
      <c r="HO21" s="280"/>
      <c r="HP21" s="280"/>
      <c r="HQ21" s="280"/>
      <c r="HR21" s="280"/>
      <c r="HS21" s="280"/>
      <c r="HT21" s="280"/>
      <c r="HU21" s="280"/>
      <c r="HV21" s="280"/>
      <c r="HW21" s="280"/>
      <c r="HX21" s="280"/>
      <c r="HY21" s="280"/>
      <c r="HZ21" s="280"/>
      <c r="IA21" s="280"/>
      <c r="IB21" s="280"/>
      <c r="IC21" s="280"/>
      <c r="ID21" s="280"/>
      <c r="IE21" s="280"/>
      <c r="IF21" s="280"/>
      <c r="IG21" s="280"/>
      <c r="IH21" s="280"/>
      <c r="II21" s="280"/>
      <c r="IJ21" s="280"/>
      <c r="IK21" s="280"/>
      <c r="IL21" s="280"/>
      <c r="IM21" s="280"/>
      <c r="IN21" s="280"/>
      <c r="IO21" s="280"/>
      <c r="IP21" s="280"/>
      <c r="IQ21" s="280"/>
      <c r="IR21" s="280"/>
      <c r="IS21" s="280"/>
      <c r="IT21" s="280"/>
      <c r="IU21" s="280"/>
      <c r="IV21" s="280"/>
      <c r="IW21" s="280"/>
      <c r="IX21" s="280"/>
      <c r="IY21" s="280"/>
      <c r="IZ21" s="280"/>
      <c r="JA21" s="280"/>
      <c r="JB21" s="280"/>
      <c r="JC21" s="280"/>
      <c r="JD21" s="280"/>
      <c r="JE21" s="280"/>
      <c r="JF21" s="280"/>
      <c r="JG21" s="280"/>
      <c r="JH21" s="280"/>
      <c r="JI21" s="280"/>
      <c r="JJ21" s="280"/>
      <c r="JK21" s="280"/>
      <c r="JL21" s="280"/>
      <c r="JM21" s="280"/>
      <c r="JN21" s="280"/>
      <c r="JO21" s="280"/>
      <c r="JP21" s="280"/>
      <c r="JQ21" s="280"/>
      <c r="JR21" s="280"/>
      <c r="JS21" s="280"/>
      <c r="JT21" s="280"/>
      <c r="JU21" s="280"/>
      <c r="JV21" s="280"/>
      <c r="JW21" s="280"/>
      <c r="JX21" s="280"/>
      <c r="JY21" s="280"/>
      <c r="JZ21" s="280"/>
      <c r="KA21" s="280"/>
      <c r="KB21" s="280"/>
      <c r="KC21" s="280"/>
      <c r="KD21" s="280"/>
      <c r="KE21" s="280"/>
      <c r="KF21" s="280"/>
      <c r="KG21" s="280"/>
      <c r="KH21" s="280"/>
      <c r="KI21" s="280"/>
      <c r="KJ21" s="280"/>
      <c r="KK21" s="280"/>
      <c r="KL21" s="280"/>
      <c r="KM21" s="280"/>
      <c r="KN21" s="280"/>
      <c r="KO21" s="280"/>
      <c r="KP21" s="280"/>
      <c r="KQ21" s="280"/>
      <c r="KR21" s="280"/>
      <c r="KS21" s="280"/>
      <c r="KT21" s="280"/>
      <c r="KU21" s="280"/>
      <c r="KV21" s="280"/>
      <c r="KW21" s="280"/>
      <c r="KX21" s="280"/>
      <c r="KY21" s="280"/>
      <c r="KZ21" s="280"/>
      <c r="LA21" s="280"/>
      <c r="LB21" s="280"/>
      <c r="LC21" s="280"/>
      <c r="LD21" s="280"/>
      <c r="LE21" s="280"/>
      <c r="LF21" s="280"/>
      <c r="LG21" s="280"/>
      <c r="LH21" s="280"/>
      <c r="LI21" s="280"/>
      <c r="LJ21" s="280"/>
      <c r="LK21" s="280"/>
      <c r="LL21" s="280"/>
      <c r="LM21" s="280"/>
    </row>
    <row r="22" spans="1:325" x14ac:dyDescent="0.6">
      <c r="A22" s="284" t="s">
        <v>1291</v>
      </c>
      <c r="B22" s="283">
        <f>1/0.3668</f>
        <v>2.7262813522355507</v>
      </c>
      <c r="C22" s="284" t="s">
        <v>1317</v>
      </c>
      <c r="D22" s="279"/>
      <c r="E22" s="280"/>
      <c r="F22" s="307"/>
      <c r="G22" s="307"/>
      <c r="H22" s="307"/>
      <c r="I22" s="307"/>
      <c r="J22" s="280"/>
      <c r="K22" s="280"/>
      <c r="L22" s="280"/>
      <c r="M22" s="280"/>
      <c r="N22" s="280"/>
      <c r="O22" s="280"/>
      <c r="P22" s="280"/>
      <c r="Q22" s="280"/>
      <c r="R22" s="280"/>
      <c r="S22" s="280"/>
      <c r="T22" s="280"/>
      <c r="U22" s="280"/>
      <c r="V22" s="280"/>
      <c r="W22" s="280"/>
      <c r="X22" s="280"/>
      <c r="Y22" s="280"/>
      <c r="Z22" s="280"/>
      <c r="AA22" s="280"/>
      <c r="AB22" s="280"/>
      <c r="AC22" s="280"/>
      <c r="AD22" s="280"/>
      <c r="AE22" s="280"/>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0"/>
      <c r="BK22" s="280"/>
      <c r="BL22" s="280"/>
      <c r="BM22" s="280"/>
      <c r="BN22" s="280"/>
      <c r="BO22" s="280"/>
      <c r="BP22" s="280"/>
      <c r="BQ22" s="280"/>
      <c r="BR22" s="280"/>
      <c r="BS22" s="280"/>
      <c r="BT22" s="280"/>
      <c r="BU22" s="280"/>
      <c r="BV22" s="280"/>
      <c r="BW22" s="280"/>
      <c r="BX22" s="280"/>
      <c r="BY22" s="280"/>
      <c r="BZ22" s="280"/>
      <c r="CA22" s="280"/>
      <c r="CB22" s="280"/>
      <c r="CC22" s="280"/>
      <c r="CD22" s="280"/>
      <c r="CE22" s="280"/>
      <c r="CF22" s="280"/>
      <c r="CG22" s="280"/>
      <c r="CH22" s="280"/>
      <c r="CI22" s="280"/>
      <c r="CJ22" s="280"/>
      <c r="CK22" s="280"/>
      <c r="CL22" s="280"/>
      <c r="CM22" s="280"/>
      <c r="CN22" s="280"/>
      <c r="CO22" s="280"/>
      <c r="CP22" s="280"/>
      <c r="CQ22" s="280"/>
      <c r="CR22" s="280"/>
      <c r="CS22" s="280"/>
      <c r="CT22" s="280"/>
      <c r="CU22" s="280"/>
      <c r="CV22" s="280"/>
      <c r="CW22" s="280"/>
      <c r="CX22" s="280"/>
      <c r="CY22" s="280"/>
      <c r="CZ22" s="280"/>
      <c r="DA22" s="280"/>
      <c r="DB22" s="280"/>
      <c r="DC22" s="280"/>
      <c r="DD22" s="280"/>
      <c r="DE22" s="280"/>
      <c r="DF22" s="280"/>
      <c r="DG22" s="280"/>
      <c r="DH22" s="280"/>
      <c r="DI22" s="280"/>
      <c r="DJ22" s="280"/>
      <c r="DK22" s="280"/>
      <c r="DL22" s="280"/>
      <c r="DM22" s="280"/>
      <c r="DN22" s="280"/>
      <c r="DO22" s="280"/>
      <c r="DP22" s="280"/>
      <c r="DQ22" s="280"/>
      <c r="DR22" s="280"/>
      <c r="DS22" s="280"/>
      <c r="DT22" s="280"/>
      <c r="DU22" s="280"/>
      <c r="DV22" s="280"/>
      <c r="DW22" s="280"/>
      <c r="DX22" s="280"/>
      <c r="DY22" s="280"/>
      <c r="DZ22" s="280"/>
      <c r="EA22" s="280"/>
      <c r="EB22" s="280"/>
      <c r="EC22" s="280"/>
      <c r="ED22" s="280"/>
      <c r="EE22" s="280"/>
      <c r="EF22" s="280"/>
      <c r="EG22" s="280"/>
      <c r="EH22" s="280"/>
      <c r="EI22" s="280"/>
      <c r="EJ22" s="280"/>
      <c r="EK22" s="280"/>
      <c r="EL22" s="280"/>
      <c r="EM22" s="280"/>
      <c r="EN22" s="280"/>
      <c r="EO22" s="280"/>
      <c r="EP22" s="280"/>
      <c r="EQ22" s="280"/>
      <c r="ER22" s="280"/>
      <c r="ES22" s="280"/>
      <c r="ET22" s="280"/>
      <c r="EU22" s="280"/>
      <c r="EV22" s="280"/>
      <c r="EW22" s="280"/>
      <c r="EX22" s="280"/>
      <c r="EY22" s="280"/>
      <c r="EZ22" s="280"/>
      <c r="FA22" s="280"/>
      <c r="FB22" s="280"/>
      <c r="FC22" s="280"/>
      <c r="FD22" s="280"/>
      <c r="FE22" s="280"/>
      <c r="FF22" s="280"/>
      <c r="FG22" s="280"/>
      <c r="FH22" s="280"/>
      <c r="FI22" s="280"/>
      <c r="FJ22" s="280"/>
      <c r="FK22" s="280"/>
      <c r="FL22" s="280"/>
      <c r="FM22" s="280"/>
      <c r="FN22" s="280"/>
      <c r="FO22" s="280"/>
      <c r="FP22" s="280"/>
      <c r="FQ22" s="280"/>
      <c r="FR22" s="280"/>
      <c r="FS22" s="280"/>
      <c r="FT22" s="280"/>
      <c r="FU22" s="280"/>
      <c r="FV22" s="280"/>
      <c r="FW22" s="280"/>
      <c r="FX22" s="280"/>
      <c r="FY22" s="280"/>
      <c r="FZ22" s="280"/>
      <c r="GA22" s="280"/>
      <c r="GB22" s="280"/>
      <c r="GC22" s="280"/>
      <c r="GD22" s="280"/>
      <c r="GE22" s="280"/>
      <c r="GF22" s="280"/>
      <c r="GG22" s="280"/>
      <c r="GH22" s="280"/>
      <c r="GI22" s="280"/>
      <c r="GJ22" s="280"/>
      <c r="GK22" s="280"/>
      <c r="GL22" s="280"/>
      <c r="GM22" s="280"/>
      <c r="GN22" s="280"/>
      <c r="GO22" s="280"/>
      <c r="GP22" s="280"/>
      <c r="GQ22" s="280"/>
      <c r="GR22" s="280"/>
      <c r="GS22" s="280"/>
      <c r="GT22" s="280"/>
      <c r="GU22" s="280"/>
      <c r="GV22" s="280"/>
      <c r="GW22" s="280"/>
      <c r="GX22" s="280"/>
      <c r="GY22" s="280"/>
      <c r="GZ22" s="280"/>
      <c r="HA22" s="280"/>
      <c r="HB22" s="280"/>
      <c r="HC22" s="280"/>
      <c r="HD22" s="280"/>
      <c r="HE22" s="280"/>
      <c r="HF22" s="280"/>
      <c r="HG22" s="280"/>
      <c r="HH22" s="280"/>
      <c r="HI22" s="280"/>
      <c r="HJ22" s="280"/>
      <c r="HK22" s="280"/>
      <c r="HL22" s="280"/>
      <c r="HM22" s="280"/>
      <c r="HN22" s="280"/>
      <c r="HO22" s="280"/>
      <c r="HP22" s="280"/>
      <c r="HQ22" s="280"/>
      <c r="HR22" s="280"/>
      <c r="HS22" s="280"/>
      <c r="HT22" s="280"/>
      <c r="HU22" s="280"/>
      <c r="HV22" s="280"/>
      <c r="HW22" s="280"/>
      <c r="HX22" s="280"/>
      <c r="HY22" s="280"/>
      <c r="HZ22" s="280"/>
      <c r="IA22" s="280"/>
      <c r="IB22" s="280"/>
      <c r="IC22" s="280"/>
      <c r="ID22" s="280"/>
      <c r="IE22" s="280"/>
      <c r="IF22" s="280"/>
      <c r="IG22" s="280"/>
      <c r="IH22" s="280"/>
      <c r="II22" s="280"/>
      <c r="IJ22" s="280"/>
      <c r="IK22" s="280"/>
      <c r="IL22" s="280"/>
      <c r="IM22" s="280"/>
      <c r="IN22" s="280"/>
      <c r="IO22" s="280"/>
      <c r="IP22" s="280"/>
      <c r="IQ22" s="280"/>
      <c r="IR22" s="280"/>
      <c r="IS22" s="280"/>
      <c r="IT22" s="280"/>
      <c r="IU22" s="280"/>
      <c r="IV22" s="280"/>
      <c r="IW22" s="280"/>
      <c r="IX22" s="280"/>
      <c r="IY22" s="280"/>
      <c r="IZ22" s="280"/>
      <c r="JA22" s="280"/>
      <c r="JB22" s="280"/>
      <c r="JC22" s="280"/>
      <c r="JD22" s="280"/>
      <c r="JE22" s="280"/>
      <c r="JF22" s="280"/>
      <c r="JG22" s="280"/>
      <c r="JH22" s="280"/>
      <c r="JI22" s="280"/>
      <c r="JJ22" s="280"/>
      <c r="JK22" s="280"/>
      <c r="JL22" s="280"/>
      <c r="JM22" s="280"/>
      <c r="JN22" s="280"/>
      <c r="JO22" s="280"/>
      <c r="JP22" s="280"/>
      <c r="JQ22" s="280"/>
      <c r="JR22" s="280"/>
      <c r="JS22" s="280"/>
      <c r="JT22" s="280"/>
      <c r="JU22" s="280"/>
      <c r="JV22" s="280"/>
      <c r="JW22" s="280"/>
      <c r="JX22" s="280"/>
      <c r="JY22" s="280"/>
      <c r="JZ22" s="280"/>
      <c r="KA22" s="280"/>
      <c r="KB22" s="280"/>
      <c r="KC22" s="280"/>
      <c r="KD22" s="280"/>
      <c r="KE22" s="280"/>
      <c r="KF22" s="280"/>
      <c r="KG22" s="280"/>
      <c r="KH22" s="280"/>
      <c r="KI22" s="280"/>
      <c r="KJ22" s="280"/>
      <c r="KK22" s="280"/>
      <c r="KL22" s="280"/>
      <c r="KM22" s="280"/>
      <c r="KN22" s="280"/>
      <c r="KO22" s="280"/>
      <c r="KP22" s="280"/>
      <c r="KQ22" s="280"/>
      <c r="KR22" s="280"/>
      <c r="KS22" s="280"/>
      <c r="KT22" s="280"/>
      <c r="KU22" s="280"/>
      <c r="KV22" s="280"/>
      <c r="KW22" s="280"/>
      <c r="KX22" s="280"/>
      <c r="KY22" s="280"/>
      <c r="KZ22" s="280"/>
      <c r="LA22" s="280"/>
      <c r="LB22" s="280"/>
      <c r="LC22" s="280"/>
      <c r="LD22" s="280"/>
      <c r="LE22" s="280"/>
      <c r="LF22" s="280"/>
      <c r="LG22" s="280"/>
      <c r="LH22" s="280"/>
      <c r="LI22" s="280"/>
      <c r="LJ22" s="280"/>
      <c r="LK22" s="280"/>
      <c r="LL22" s="280"/>
      <c r="LM22" s="280"/>
    </row>
    <row r="23" spans="1:325" x14ac:dyDescent="0.6">
      <c r="A23" s="284" t="s">
        <v>1292</v>
      </c>
      <c r="B23" s="283">
        <f>1/18.7295</f>
        <v>5.339170826770602E-2</v>
      </c>
      <c r="C23" s="284" t="s">
        <v>1318</v>
      </c>
      <c r="D23" s="279"/>
      <c r="E23" s="280"/>
      <c r="F23" s="307"/>
      <c r="G23" s="307"/>
      <c r="H23" s="307"/>
      <c r="I23" s="307">
        <f>200000000+1754189013</f>
        <v>1954189013</v>
      </c>
      <c r="J23" s="280"/>
      <c r="K23" s="280"/>
      <c r="L23" s="280"/>
      <c r="M23" s="280"/>
      <c r="N23" s="280"/>
      <c r="O23" s="280"/>
      <c r="P23" s="280"/>
      <c r="Q23" s="280"/>
      <c r="R23" s="280"/>
      <c r="S23" s="280">
        <v>295000000</v>
      </c>
      <c r="T23" s="280"/>
      <c r="U23" s="280"/>
      <c r="V23" s="280"/>
      <c r="W23" s="280"/>
      <c r="X23" s="280"/>
      <c r="Y23" s="280"/>
      <c r="Z23" s="280"/>
      <c r="AA23" s="280"/>
      <c r="AB23" s="280"/>
      <c r="AC23" s="280">
        <v>189440000</v>
      </c>
      <c r="AD23" s="280"/>
      <c r="AE23" s="280"/>
      <c r="AF23" s="280"/>
      <c r="AG23" s="280"/>
      <c r="AH23" s="280"/>
      <c r="AI23" s="280"/>
      <c r="AJ23" s="280"/>
      <c r="AK23" s="280"/>
      <c r="AL23" s="280"/>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0"/>
      <c r="BP23" s="280"/>
      <c r="BQ23" s="280"/>
      <c r="BR23" s="280"/>
      <c r="BS23" s="280"/>
      <c r="BT23" s="280"/>
      <c r="BU23" s="280"/>
      <c r="BV23" s="280"/>
      <c r="BW23" s="280"/>
      <c r="BX23" s="280"/>
      <c r="BY23" s="280"/>
      <c r="BZ23" s="280"/>
      <c r="CA23" s="280"/>
      <c r="CB23" s="280"/>
      <c r="CC23" s="280"/>
      <c r="CD23" s="280"/>
      <c r="CE23" s="280"/>
      <c r="CF23" s="280"/>
      <c r="CG23" s="280"/>
      <c r="CH23" s="280"/>
      <c r="CI23" s="280"/>
      <c r="CJ23" s="280"/>
      <c r="CK23" s="280"/>
      <c r="CL23" s="280"/>
      <c r="CM23" s="280"/>
      <c r="CN23" s="280"/>
      <c r="CO23" s="280"/>
      <c r="CP23" s="280"/>
      <c r="CQ23" s="280"/>
      <c r="CR23" s="280"/>
      <c r="CS23" s="280"/>
      <c r="CT23" s="280"/>
      <c r="CU23" s="280"/>
      <c r="CV23" s="280"/>
      <c r="CW23" s="280"/>
      <c r="CX23" s="280"/>
      <c r="CY23" s="280"/>
      <c r="CZ23" s="280"/>
      <c r="DA23" s="280"/>
      <c r="DB23" s="280"/>
      <c r="DC23" s="280"/>
      <c r="DD23" s="280"/>
      <c r="DE23" s="280"/>
      <c r="DF23" s="280"/>
      <c r="DG23" s="280"/>
      <c r="DH23" s="280"/>
      <c r="DI23" s="280"/>
      <c r="DJ23" s="280"/>
      <c r="DK23" s="280"/>
      <c r="DL23" s="280"/>
      <c r="DM23" s="280"/>
      <c r="DN23" s="280"/>
      <c r="DO23" s="280"/>
      <c r="DP23" s="280"/>
      <c r="DQ23" s="280"/>
      <c r="DR23" s="280"/>
      <c r="DS23" s="280"/>
      <c r="DT23" s="280"/>
      <c r="DU23" s="280"/>
      <c r="DV23" s="280"/>
      <c r="DW23" s="280"/>
      <c r="DX23" s="280"/>
      <c r="DY23" s="280"/>
      <c r="DZ23" s="280"/>
      <c r="EA23" s="280"/>
      <c r="EB23" s="280"/>
      <c r="EC23" s="280"/>
      <c r="ED23" s="280"/>
      <c r="EE23" s="280"/>
      <c r="EF23" s="280"/>
      <c r="EG23" s="280"/>
      <c r="EH23" s="280"/>
      <c r="EI23" s="280"/>
      <c r="EJ23" s="280"/>
      <c r="EK23" s="280"/>
      <c r="EL23" s="280"/>
      <c r="EM23" s="280"/>
      <c r="EN23" s="280"/>
      <c r="EO23" s="280"/>
      <c r="EP23" s="280"/>
      <c r="EQ23" s="280"/>
      <c r="ER23" s="280"/>
      <c r="ES23" s="280"/>
      <c r="ET23" s="280"/>
      <c r="EU23" s="280"/>
      <c r="EV23" s="280"/>
      <c r="EW23" s="280"/>
      <c r="EX23" s="280"/>
      <c r="EY23" s="280"/>
      <c r="EZ23" s="280"/>
      <c r="FA23" s="280"/>
      <c r="FB23" s="280"/>
      <c r="FC23" s="280"/>
      <c r="FD23" s="280"/>
      <c r="FE23" s="280"/>
      <c r="FF23" s="280"/>
      <c r="FG23" s="280"/>
      <c r="FH23" s="280"/>
      <c r="FI23" s="280"/>
      <c r="FJ23" s="280"/>
      <c r="FK23" s="280"/>
      <c r="FL23" s="280"/>
      <c r="FM23" s="280"/>
      <c r="FN23" s="280"/>
      <c r="FO23" s="280"/>
      <c r="FP23" s="280"/>
      <c r="FQ23" s="280"/>
      <c r="FR23" s="280"/>
      <c r="FS23" s="280"/>
      <c r="FT23" s="280"/>
      <c r="FU23" s="280"/>
      <c r="FV23" s="280"/>
      <c r="FW23" s="280"/>
      <c r="FX23" s="280"/>
      <c r="FY23" s="280"/>
      <c r="FZ23" s="280"/>
      <c r="GA23" s="280"/>
      <c r="GB23" s="280"/>
      <c r="GC23" s="280"/>
      <c r="GD23" s="280"/>
      <c r="GE23" s="280"/>
      <c r="GF23" s="280"/>
      <c r="GG23" s="280"/>
      <c r="GH23" s="280"/>
      <c r="GI23" s="280"/>
      <c r="GJ23" s="280"/>
      <c r="GK23" s="280"/>
      <c r="GL23" s="280"/>
      <c r="GM23" s="280"/>
      <c r="GN23" s="280"/>
      <c r="GO23" s="280"/>
      <c r="GP23" s="280"/>
      <c r="GQ23" s="280"/>
      <c r="GR23" s="280"/>
      <c r="GS23" s="280"/>
      <c r="GT23" s="280"/>
      <c r="GU23" s="280"/>
      <c r="GV23" s="280"/>
      <c r="GW23" s="280"/>
      <c r="GX23" s="280"/>
      <c r="GY23" s="280"/>
      <c r="GZ23" s="280"/>
      <c r="HA23" s="280"/>
      <c r="HB23" s="280"/>
      <c r="HC23" s="280"/>
      <c r="HD23" s="280"/>
      <c r="HE23" s="280"/>
      <c r="HF23" s="280"/>
      <c r="HG23" s="280"/>
      <c r="HH23" s="280"/>
      <c r="HI23" s="280"/>
      <c r="HJ23" s="280"/>
      <c r="HK23" s="280"/>
      <c r="HL23" s="280"/>
      <c r="HM23" s="280"/>
      <c r="HN23" s="280"/>
      <c r="HO23" s="280"/>
      <c r="HP23" s="280"/>
      <c r="HQ23" s="280"/>
      <c r="HR23" s="280"/>
      <c r="HS23" s="280"/>
      <c r="HT23" s="280"/>
      <c r="HU23" s="280"/>
      <c r="HV23" s="280"/>
      <c r="HW23" s="280"/>
      <c r="HX23" s="280"/>
      <c r="HY23" s="280"/>
      <c r="HZ23" s="280"/>
      <c r="IA23" s="280"/>
      <c r="IB23" s="280"/>
      <c r="IC23" s="280"/>
      <c r="ID23" s="280"/>
      <c r="IE23" s="280"/>
      <c r="IF23" s="280"/>
      <c r="IG23" s="280"/>
      <c r="IH23" s="280"/>
      <c r="II23" s="280"/>
      <c r="IJ23" s="280"/>
      <c r="IK23" s="280"/>
      <c r="IL23" s="280"/>
      <c r="IM23" s="280"/>
      <c r="IN23" s="280"/>
      <c r="IO23" s="280"/>
      <c r="IP23" s="280"/>
      <c r="IQ23" s="280"/>
      <c r="IR23" s="280"/>
      <c r="IS23" s="280"/>
      <c r="IT23" s="280"/>
      <c r="IU23" s="280"/>
      <c r="IV23" s="280"/>
      <c r="IW23" s="280"/>
      <c r="IX23" s="280"/>
      <c r="IY23" s="280"/>
      <c r="IZ23" s="280"/>
      <c r="JA23" s="280"/>
      <c r="JB23" s="280"/>
      <c r="JC23" s="280"/>
      <c r="JD23" s="280"/>
      <c r="JE23" s="280"/>
      <c r="JF23" s="280"/>
      <c r="JG23" s="280"/>
      <c r="JH23" s="280"/>
      <c r="JI23" s="280"/>
      <c r="JJ23" s="280"/>
      <c r="JK23" s="280"/>
      <c r="JL23" s="280"/>
      <c r="JM23" s="280"/>
      <c r="JN23" s="280"/>
      <c r="JO23" s="280"/>
      <c r="JP23" s="280"/>
      <c r="JQ23" s="280"/>
      <c r="JR23" s="280"/>
      <c r="JS23" s="280"/>
      <c r="JT23" s="280"/>
      <c r="JU23" s="280"/>
      <c r="JV23" s="280"/>
      <c r="JW23" s="280"/>
      <c r="JX23" s="280"/>
      <c r="JY23" s="280"/>
      <c r="JZ23" s="280"/>
      <c r="KA23" s="280"/>
      <c r="KB23" s="280"/>
      <c r="KC23" s="280"/>
      <c r="KD23" s="280"/>
      <c r="KE23" s="280"/>
      <c r="KF23" s="280"/>
      <c r="KG23" s="280"/>
      <c r="KH23" s="280"/>
      <c r="KI23" s="280"/>
      <c r="KJ23" s="280"/>
      <c r="KK23" s="280"/>
      <c r="KL23" s="280"/>
      <c r="KM23" s="280"/>
      <c r="KN23" s="280"/>
      <c r="KO23" s="280"/>
      <c r="KP23" s="280"/>
      <c r="KQ23" s="280"/>
      <c r="KR23" s="280"/>
      <c r="KS23" s="280"/>
      <c r="KT23" s="280"/>
      <c r="KU23" s="280"/>
      <c r="KV23" s="280"/>
      <c r="KW23" s="280"/>
      <c r="KX23" s="280"/>
      <c r="KY23" s="280"/>
      <c r="KZ23" s="280"/>
      <c r="LA23" s="280"/>
      <c r="LB23" s="280"/>
      <c r="LC23" s="280"/>
      <c r="LD23" s="280"/>
      <c r="LE23" s="280"/>
      <c r="LF23" s="280"/>
      <c r="LG23" s="280"/>
      <c r="LH23" s="280"/>
      <c r="LI23" s="280"/>
      <c r="LJ23" s="280"/>
      <c r="LK23" s="280"/>
      <c r="LL23" s="280"/>
      <c r="LM23" s="280"/>
    </row>
    <row r="24" spans="1:325" x14ac:dyDescent="0.6">
      <c r="A24" s="284" t="s">
        <v>1293</v>
      </c>
      <c r="B24" s="283">
        <f>1/0.0062</f>
        <v>161.29032258064515</v>
      </c>
      <c r="C24" s="284" t="s">
        <v>1319</v>
      </c>
      <c r="D24" s="279"/>
      <c r="E24" s="280"/>
      <c r="F24" s="307"/>
      <c r="G24" s="307"/>
      <c r="H24" s="307"/>
      <c r="I24" s="307"/>
      <c r="J24" s="280"/>
      <c r="K24" s="280"/>
      <c r="L24" s="280"/>
      <c r="M24" s="280"/>
      <c r="N24" s="280"/>
      <c r="O24" s="280"/>
      <c r="P24" s="280"/>
      <c r="Q24" s="280"/>
      <c r="R24" s="280">
        <v>63000</v>
      </c>
      <c r="S24" s="280"/>
      <c r="T24" s="280"/>
      <c r="U24" s="280"/>
      <c r="V24" s="280"/>
      <c r="W24" s="280"/>
      <c r="X24" s="280"/>
      <c r="Y24" s="280"/>
      <c r="Z24" s="280"/>
      <c r="AA24" s="280"/>
      <c r="AB24" s="280"/>
      <c r="AC24" s="280"/>
      <c r="AD24" s="280"/>
      <c r="AE24" s="280"/>
      <c r="AF24" s="280"/>
      <c r="AG24" s="280"/>
      <c r="AH24" s="280"/>
      <c r="AI24" s="280"/>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0"/>
      <c r="BP24" s="280"/>
      <c r="BQ24" s="280"/>
      <c r="BR24" s="280"/>
      <c r="BS24" s="280"/>
      <c r="BT24" s="280"/>
      <c r="BU24" s="280"/>
      <c r="BV24" s="280"/>
      <c r="BW24" s="280"/>
      <c r="BX24" s="280"/>
      <c r="BY24" s="280"/>
      <c r="BZ24" s="280"/>
      <c r="CA24" s="280"/>
      <c r="CB24" s="280"/>
      <c r="CC24" s="280"/>
      <c r="CD24" s="280"/>
      <c r="CE24" s="280"/>
      <c r="CF24" s="280"/>
      <c r="CG24" s="280"/>
      <c r="CH24" s="280"/>
      <c r="CI24" s="280"/>
      <c r="CJ24" s="280"/>
      <c r="CK24" s="280"/>
      <c r="CL24" s="280"/>
      <c r="CM24" s="280"/>
      <c r="CN24" s="280"/>
      <c r="CO24" s="280"/>
      <c r="CP24" s="280"/>
      <c r="CQ24" s="280"/>
      <c r="CR24" s="280"/>
      <c r="CS24" s="280"/>
      <c r="CT24" s="280"/>
      <c r="CU24" s="280"/>
      <c r="CV24" s="280"/>
      <c r="CW24" s="280"/>
      <c r="CX24" s="280"/>
      <c r="CY24" s="280"/>
      <c r="CZ24" s="280"/>
      <c r="DA24" s="280"/>
      <c r="DB24" s="280"/>
      <c r="DC24" s="280"/>
      <c r="DD24" s="280"/>
      <c r="DE24" s="280"/>
      <c r="DF24" s="280"/>
      <c r="DG24" s="280"/>
      <c r="DH24" s="280"/>
      <c r="DI24" s="280"/>
      <c r="DJ24" s="280"/>
      <c r="DK24" s="280"/>
      <c r="DL24" s="280"/>
      <c r="DM24" s="280"/>
      <c r="DN24" s="280"/>
      <c r="DO24" s="280"/>
      <c r="DP24" s="280"/>
      <c r="DQ24" s="280"/>
      <c r="DR24" s="280"/>
      <c r="DS24" s="280"/>
      <c r="DT24" s="280"/>
      <c r="DU24" s="280"/>
      <c r="DV24" s="280"/>
      <c r="DW24" s="280"/>
      <c r="DX24" s="280"/>
      <c r="DY24" s="280"/>
      <c r="DZ24" s="280"/>
      <c r="EA24" s="280"/>
      <c r="EB24" s="280"/>
      <c r="EC24" s="280"/>
      <c r="ED24" s="280"/>
      <c r="EE24" s="280"/>
      <c r="EF24" s="280"/>
      <c r="EG24" s="280"/>
      <c r="EH24" s="280"/>
      <c r="EI24" s="280"/>
      <c r="EJ24" s="280"/>
      <c r="EK24" s="280"/>
      <c r="EL24" s="280"/>
      <c r="EM24" s="280"/>
      <c r="EN24" s="280"/>
      <c r="EO24" s="280"/>
      <c r="EP24" s="280"/>
      <c r="EQ24" s="280"/>
      <c r="ER24" s="280"/>
      <c r="ES24" s="280"/>
      <c r="ET24" s="280"/>
      <c r="EU24" s="280"/>
      <c r="EV24" s="280"/>
      <c r="EW24" s="280"/>
      <c r="EX24" s="280"/>
      <c r="EY24" s="280"/>
      <c r="EZ24" s="280"/>
      <c r="FA24" s="280"/>
      <c r="FB24" s="280"/>
      <c r="FC24" s="280"/>
      <c r="FD24" s="280"/>
      <c r="FE24" s="280"/>
      <c r="FF24" s="280"/>
      <c r="FG24" s="280"/>
      <c r="FH24" s="280"/>
      <c r="FI24" s="280"/>
      <c r="FJ24" s="280"/>
      <c r="FK24" s="280"/>
      <c r="FL24" s="280"/>
      <c r="FM24" s="280"/>
      <c r="FN24" s="280"/>
      <c r="FO24" s="280">
        <v>162</v>
      </c>
      <c r="FP24" s="280"/>
      <c r="FQ24" s="280"/>
      <c r="FR24" s="280"/>
      <c r="FS24" s="280"/>
      <c r="FT24" s="280"/>
      <c r="FU24" s="280"/>
      <c r="FV24" s="280"/>
      <c r="FW24" s="280"/>
      <c r="FX24" s="280"/>
      <c r="FY24" s="280"/>
      <c r="FZ24" s="280"/>
      <c r="GA24" s="280"/>
      <c r="GB24" s="280"/>
      <c r="GC24" s="280"/>
      <c r="GD24" s="280"/>
      <c r="GE24" s="280"/>
      <c r="GF24" s="280"/>
      <c r="GG24" s="280"/>
      <c r="GH24" s="280"/>
      <c r="GI24" s="280"/>
      <c r="GJ24" s="280"/>
      <c r="GK24" s="280"/>
      <c r="GL24" s="280"/>
      <c r="GM24" s="280"/>
      <c r="GN24" s="280"/>
      <c r="GO24" s="280"/>
      <c r="GP24" s="280"/>
      <c r="GQ24" s="280"/>
      <c r="GR24" s="280"/>
      <c r="GS24" s="280"/>
      <c r="GT24" s="280"/>
      <c r="GU24" s="280"/>
      <c r="GV24" s="280"/>
      <c r="GW24" s="280"/>
      <c r="GX24" s="280"/>
      <c r="GY24" s="280"/>
      <c r="GZ24" s="280"/>
      <c r="HA24" s="280"/>
      <c r="HB24" s="280"/>
      <c r="HC24" s="280"/>
      <c r="HD24" s="280"/>
      <c r="HE24" s="280"/>
      <c r="HF24" s="280"/>
      <c r="HG24" s="280"/>
      <c r="HH24" s="280"/>
      <c r="HI24" s="280"/>
      <c r="HJ24" s="280"/>
      <c r="HK24" s="280"/>
      <c r="HL24" s="280"/>
      <c r="HM24" s="280"/>
      <c r="HN24" s="280"/>
      <c r="HO24" s="280"/>
      <c r="HP24" s="280"/>
      <c r="HQ24" s="280"/>
      <c r="HR24" s="280"/>
      <c r="HS24" s="280"/>
      <c r="HT24" s="280"/>
      <c r="HU24" s="280"/>
      <c r="HV24" s="280"/>
      <c r="HW24" s="280"/>
      <c r="HX24" s="280"/>
      <c r="HY24" s="280"/>
      <c r="HZ24" s="280"/>
      <c r="IA24" s="280"/>
      <c r="IB24" s="280"/>
      <c r="IC24" s="280"/>
      <c r="ID24" s="280"/>
      <c r="IE24" s="280"/>
      <c r="IF24" s="280"/>
      <c r="IG24" s="280"/>
      <c r="IH24" s="280"/>
      <c r="II24" s="280"/>
      <c r="IJ24" s="280"/>
      <c r="IK24" s="280"/>
      <c r="IL24" s="280"/>
      <c r="IM24" s="280"/>
      <c r="IN24" s="280"/>
      <c r="IO24" s="280"/>
      <c r="IP24" s="280"/>
      <c r="IQ24" s="280"/>
      <c r="IR24" s="280"/>
      <c r="IS24" s="280"/>
      <c r="IT24" s="280"/>
      <c r="IU24" s="280"/>
      <c r="IV24" s="280"/>
      <c r="IW24" s="280"/>
      <c r="IX24" s="280"/>
      <c r="IY24" s="280"/>
      <c r="IZ24" s="280"/>
      <c r="JA24" s="280"/>
      <c r="JB24" s="280"/>
      <c r="JC24" s="280"/>
      <c r="JD24" s="280"/>
      <c r="JE24" s="280"/>
      <c r="JF24" s="280"/>
      <c r="JG24" s="280"/>
      <c r="JH24" s="280"/>
      <c r="JI24" s="280"/>
      <c r="JJ24" s="280"/>
      <c r="JK24" s="280"/>
      <c r="JL24" s="280"/>
      <c r="JM24" s="280"/>
      <c r="JN24" s="280"/>
      <c r="JO24" s="280"/>
      <c r="JP24" s="280"/>
      <c r="JQ24" s="280"/>
      <c r="JR24" s="280"/>
      <c r="JS24" s="280"/>
      <c r="JT24" s="280"/>
      <c r="JU24" s="280"/>
      <c r="JV24" s="280"/>
      <c r="JW24" s="280"/>
      <c r="JX24" s="280"/>
      <c r="JY24" s="280"/>
      <c r="JZ24" s="280"/>
      <c r="KA24" s="280"/>
      <c r="KB24" s="280"/>
      <c r="KC24" s="280"/>
      <c r="KD24" s="280"/>
      <c r="KE24" s="280"/>
      <c r="KF24" s="280"/>
      <c r="KG24" s="280"/>
      <c r="KH24" s="280"/>
      <c r="KI24" s="280"/>
      <c r="KJ24" s="280"/>
      <c r="KK24" s="280"/>
      <c r="KL24" s="280"/>
      <c r="KM24" s="280"/>
      <c r="KN24" s="280"/>
      <c r="KO24" s="280"/>
      <c r="KP24" s="280"/>
      <c r="KQ24" s="280"/>
      <c r="KR24" s="280"/>
      <c r="KS24" s="280"/>
      <c r="KT24" s="280"/>
      <c r="KU24" s="280"/>
      <c r="KV24" s="280"/>
      <c r="KW24" s="280"/>
      <c r="KX24" s="280"/>
      <c r="KY24" s="280"/>
      <c r="KZ24" s="280"/>
      <c r="LA24" s="280"/>
      <c r="LB24" s="280"/>
      <c r="LC24" s="280"/>
      <c r="LD24" s="280"/>
      <c r="LE24" s="280"/>
      <c r="LF24" s="280"/>
      <c r="LG24" s="280"/>
      <c r="LH24" s="280"/>
      <c r="LI24" s="280"/>
      <c r="LJ24" s="280"/>
      <c r="LK24" s="280"/>
      <c r="LL24" s="280"/>
      <c r="LM24" s="280"/>
    </row>
    <row r="25" spans="1:325" x14ac:dyDescent="0.6">
      <c r="A25" s="284" t="s">
        <v>1294</v>
      </c>
      <c r="B25" s="283">
        <f>1/1.1574</f>
        <v>0.86400552963538968</v>
      </c>
      <c r="C25" s="284" t="s">
        <v>1320</v>
      </c>
      <c r="D25" s="279"/>
      <c r="E25" s="280"/>
      <c r="F25" s="307"/>
      <c r="G25" s="307"/>
      <c r="H25" s="307"/>
      <c r="I25" s="307"/>
      <c r="J25" s="280"/>
      <c r="K25" s="280"/>
      <c r="L25" s="280"/>
      <c r="M25" s="280"/>
      <c r="N25" s="280"/>
      <c r="O25" s="280"/>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0"/>
      <c r="BP25" s="280"/>
      <c r="BQ25" s="280"/>
      <c r="BR25" s="280"/>
      <c r="BS25" s="280"/>
      <c r="BT25" s="280"/>
      <c r="BU25" s="280"/>
      <c r="BV25" s="280"/>
      <c r="BW25" s="280"/>
      <c r="BX25" s="280"/>
      <c r="BY25" s="280"/>
      <c r="BZ25" s="280"/>
      <c r="CA25" s="280"/>
      <c r="CB25" s="280"/>
      <c r="CC25" s="280"/>
      <c r="CD25" s="280"/>
      <c r="CE25" s="280"/>
      <c r="CF25" s="280"/>
      <c r="CG25" s="280"/>
      <c r="CH25" s="280"/>
      <c r="CI25" s="280"/>
      <c r="CJ25" s="280"/>
      <c r="CK25" s="280"/>
      <c r="CL25" s="280"/>
      <c r="CM25" s="280"/>
      <c r="CN25" s="280"/>
      <c r="CO25" s="280"/>
      <c r="CP25" s="280"/>
      <c r="CQ25" s="280"/>
      <c r="CR25" s="280"/>
      <c r="CS25" s="280"/>
      <c r="CT25" s="280"/>
      <c r="CU25" s="280"/>
      <c r="CV25" s="280"/>
      <c r="CW25" s="280"/>
      <c r="CX25" s="280"/>
      <c r="CY25" s="280"/>
      <c r="CZ25" s="280"/>
      <c r="DA25" s="280"/>
      <c r="DB25" s="280"/>
      <c r="DC25" s="280"/>
      <c r="DD25" s="280"/>
      <c r="DE25" s="280"/>
      <c r="DF25" s="280"/>
      <c r="DG25" s="280"/>
      <c r="DH25" s="280"/>
      <c r="DI25" s="280"/>
      <c r="DJ25" s="280"/>
      <c r="DK25" s="280"/>
      <c r="DL25" s="280"/>
      <c r="DM25" s="280"/>
      <c r="DN25" s="280"/>
      <c r="DO25" s="280"/>
      <c r="DP25" s="280"/>
      <c r="DQ25" s="280"/>
      <c r="DR25" s="280"/>
      <c r="DS25" s="280"/>
      <c r="DT25" s="280"/>
      <c r="DU25" s="280"/>
      <c r="DV25" s="280"/>
      <c r="DW25" s="280"/>
      <c r="DX25" s="280"/>
      <c r="DY25" s="280"/>
      <c r="DZ25" s="280"/>
      <c r="EA25" s="280"/>
      <c r="EB25" s="280"/>
      <c r="EC25" s="280"/>
      <c r="ED25" s="280"/>
      <c r="EE25" s="280"/>
      <c r="EF25" s="280"/>
      <c r="EG25" s="280"/>
      <c r="EH25" s="280"/>
      <c r="EI25" s="280"/>
      <c r="EJ25" s="280"/>
      <c r="EK25" s="280"/>
      <c r="EL25" s="280"/>
      <c r="EM25" s="280"/>
      <c r="EN25" s="280"/>
      <c r="EO25" s="280"/>
      <c r="EP25" s="280"/>
      <c r="EQ25" s="280"/>
      <c r="ER25" s="280"/>
      <c r="ES25" s="280"/>
      <c r="ET25" s="280"/>
      <c r="EU25" s="280"/>
      <c r="EV25" s="280"/>
      <c r="EW25" s="280"/>
      <c r="EX25" s="280"/>
      <c r="EY25" s="280"/>
      <c r="EZ25" s="280"/>
      <c r="FA25" s="280"/>
      <c r="FB25" s="280"/>
      <c r="FC25" s="280"/>
      <c r="FD25" s="280"/>
      <c r="FE25" s="280"/>
      <c r="FF25" s="280"/>
      <c r="FG25" s="280"/>
      <c r="FH25" s="280"/>
      <c r="FI25" s="280"/>
      <c r="FJ25" s="280"/>
      <c r="FK25" s="280"/>
      <c r="FL25" s="280"/>
      <c r="FM25" s="280"/>
      <c r="FN25" s="280"/>
      <c r="FO25" s="280"/>
      <c r="FP25" s="280"/>
      <c r="FQ25" s="280"/>
      <c r="FR25" s="280"/>
      <c r="FS25" s="280"/>
      <c r="FT25" s="280"/>
      <c r="FU25" s="280"/>
      <c r="FV25" s="280"/>
      <c r="FW25" s="280"/>
      <c r="FX25" s="280"/>
      <c r="FY25" s="280"/>
      <c r="FZ25" s="280"/>
      <c r="GA25" s="280"/>
      <c r="GB25" s="280"/>
      <c r="GC25" s="280"/>
      <c r="GD25" s="280"/>
      <c r="GE25" s="280"/>
      <c r="GF25" s="280"/>
      <c r="GG25" s="280"/>
      <c r="GH25" s="280"/>
      <c r="GI25" s="280"/>
      <c r="GJ25" s="280"/>
      <c r="GK25" s="280"/>
      <c r="GL25" s="280"/>
      <c r="GM25" s="280"/>
      <c r="GN25" s="280"/>
      <c r="GO25" s="280"/>
      <c r="GP25" s="280"/>
      <c r="GQ25" s="280"/>
      <c r="GR25" s="280"/>
      <c r="GS25" s="280"/>
      <c r="GT25" s="280"/>
      <c r="GU25" s="280"/>
      <c r="GV25" s="280"/>
      <c r="GW25" s="280"/>
      <c r="GX25" s="280"/>
      <c r="GY25" s="280"/>
      <c r="GZ25" s="280"/>
      <c r="HA25" s="280"/>
      <c r="HB25" s="280"/>
      <c r="HC25" s="280"/>
      <c r="HD25" s="280"/>
      <c r="HE25" s="280"/>
      <c r="HF25" s="280"/>
      <c r="HG25" s="280"/>
      <c r="HH25" s="280"/>
      <c r="HI25" s="280"/>
      <c r="HJ25" s="280"/>
      <c r="HK25" s="280"/>
      <c r="HL25" s="280"/>
      <c r="HM25" s="280"/>
      <c r="HN25" s="280"/>
      <c r="HO25" s="280"/>
      <c r="HP25" s="280"/>
      <c r="HQ25" s="280"/>
      <c r="HR25" s="280"/>
      <c r="HS25" s="280"/>
      <c r="HT25" s="280"/>
      <c r="HU25" s="280"/>
      <c r="HV25" s="280"/>
      <c r="HW25" s="280"/>
      <c r="HX25" s="280"/>
      <c r="HY25" s="280"/>
      <c r="HZ25" s="280"/>
      <c r="IA25" s="280"/>
      <c r="IB25" s="280"/>
      <c r="IC25" s="280"/>
      <c r="ID25" s="280"/>
      <c r="IE25" s="280"/>
      <c r="IF25" s="280"/>
      <c r="IG25" s="280"/>
      <c r="IH25" s="280"/>
      <c r="II25" s="280"/>
      <c r="IJ25" s="280"/>
      <c r="IK25" s="280"/>
      <c r="IL25" s="280"/>
      <c r="IM25" s="280"/>
      <c r="IN25" s="280"/>
      <c r="IO25" s="280"/>
      <c r="IP25" s="280"/>
      <c r="IQ25" s="280"/>
      <c r="IR25" s="280"/>
      <c r="IS25" s="280"/>
      <c r="IT25" s="280"/>
      <c r="IU25" s="280"/>
      <c r="IV25" s="280"/>
      <c r="IW25" s="280"/>
      <c r="IX25" s="280"/>
      <c r="IY25" s="280"/>
      <c r="IZ25" s="280"/>
      <c r="JA25" s="280"/>
      <c r="JB25" s="280"/>
      <c r="JC25" s="280"/>
      <c r="JD25" s="280"/>
      <c r="JE25" s="280"/>
      <c r="JF25" s="280"/>
      <c r="JG25" s="280"/>
      <c r="JH25" s="280"/>
      <c r="JI25" s="280"/>
      <c r="JJ25" s="280"/>
      <c r="JK25" s="280"/>
      <c r="JL25" s="280"/>
      <c r="JM25" s="280"/>
      <c r="JN25" s="280"/>
      <c r="JO25" s="280"/>
      <c r="JP25" s="280"/>
      <c r="JQ25" s="280"/>
      <c r="JR25" s="280"/>
      <c r="JS25" s="280"/>
      <c r="JT25" s="280"/>
      <c r="JU25" s="280"/>
      <c r="JV25" s="280"/>
      <c r="JW25" s="280"/>
      <c r="JX25" s="280"/>
      <c r="JY25" s="280"/>
      <c r="JZ25" s="280"/>
      <c r="KA25" s="280"/>
      <c r="KB25" s="280"/>
      <c r="KC25" s="280"/>
      <c r="KD25" s="280"/>
      <c r="KE25" s="280"/>
      <c r="KF25" s="280"/>
      <c r="KG25" s="280"/>
      <c r="KH25" s="280"/>
      <c r="KI25" s="280"/>
      <c r="KJ25" s="280"/>
      <c r="KK25" s="280"/>
      <c r="KL25" s="280"/>
      <c r="KM25" s="280"/>
      <c r="KN25" s="280"/>
      <c r="KO25" s="280"/>
      <c r="KP25" s="280"/>
      <c r="KQ25" s="280"/>
      <c r="KR25" s="280"/>
      <c r="KS25" s="280"/>
      <c r="KT25" s="280"/>
      <c r="KU25" s="280"/>
      <c r="KV25" s="280"/>
      <c r="KW25" s="280"/>
      <c r="KX25" s="280"/>
      <c r="KY25" s="280"/>
      <c r="KZ25" s="280"/>
      <c r="LA25" s="280"/>
      <c r="LB25" s="280"/>
      <c r="LC25" s="280"/>
      <c r="LD25" s="280"/>
      <c r="LE25" s="280"/>
      <c r="LF25" s="280"/>
      <c r="LG25" s="280"/>
      <c r="LH25" s="280"/>
      <c r="LI25" s="280"/>
      <c r="LJ25" s="280"/>
      <c r="LK25" s="280"/>
      <c r="LL25" s="280"/>
      <c r="LM25" s="280"/>
    </row>
    <row r="26" spans="1:325" x14ac:dyDescent="0.6">
      <c r="A26" s="287" t="s">
        <v>1322</v>
      </c>
      <c r="B26" s="283">
        <f>1/12.3369</f>
        <v>8.1057640087866478E-2</v>
      </c>
      <c r="C26" s="284" t="s">
        <v>1323</v>
      </c>
      <c r="D26" s="279"/>
      <c r="E26" s="280"/>
      <c r="F26" s="307"/>
      <c r="G26" s="307"/>
      <c r="H26" s="307"/>
      <c r="I26" s="307">
        <f>1964000000+23497530</f>
        <v>1987497530</v>
      </c>
      <c r="J26" s="280"/>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0"/>
      <c r="BK26" s="280"/>
      <c r="BL26" s="280"/>
      <c r="BM26" s="280"/>
      <c r="BN26" s="280"/>
      <c r="BO26" s="280"/>
      <c r="BP26" s="280"/>
      <c r="BQ26" s="280"/>
      <c r="BR26" s="280"/>
      <c r="BS26" s="280"/>
      <c r="BT26" s="280"/>
      <c r="BU26" s="280"/>
      <c r="BV26" s="280"/>
      <c r="BW26" s="280"/>
      <c r="BX26" s="280"/>
      <c r="BY26" s="280"/>
      <c r="BZ26" s="280"/>
      <c r="CA26" s="280"/>
      <c r="CB26" s="280"/>
      <c r="CC26" s="280"/>
      <c r="CD26" s="280"/>
      <c r="CE26" s="280"/>
      <c r="CF26" s="280"/>
      <c r="CG26" s="280"/>
      <c r="CH26" s="280"/>
      <c r="CI26" s="280"/>
      <c r="CJ26" s="280"/>
      <c r="CK26" s="280"/>
      <c r="CL26" s="280"/>
      <c r="CM26" s="280"/>
      <c r="CN26" s="280"/>
      <c r="CO26" s="280"/>
      <c r="CP26" s="280"/>
      <c r="CQ26" s="280"/>
      <c r="CR26" s="280"/>
      <c r="CS26" s="280">
        <v>8500000</v>
      </c>
      <c r="CT26" s="280"/>
      <c r="CU26" s="280"/>
      <c r="CV26" s="280"/>
      <c r="CW26" s="280"/>
      <c r="CX26" s="280"/>
      <c r="CY26" s="280"/>
      <c r="CZ26" s="280"/>
      <c r="DA26" s="280"/>
      <c r="DB26" s="280"/>
      <c r="DC26" s="280"/>
      <c r="DD26" s="280"/>
      <c r="DE26" s="280"/>
      <c r="DF26" s="280"/>
      <c r="DG26" s="280"/>
      <c r="DH26" s="280"/>
      <c r="DI26" s="280"/>
      <c r="DJ26" s="280"/>
      <c r="DK26" s="280"/>
      <c r="DL26" s="280"/>
      <c r="DM26" s="280"/>
      <c r="DN26" s="280"/>
      <c r="DO26" s="280"/>
      <c r="DP26" s="280"/>
      <c r="DQ26" s="280"/>
      <c r="DR26" s="280"/>
      <c r="DS26" s="280"/>
      <c r="DT26" s="280"/>
      <c r="DU26" s="280"/>
      <c r="DV26" s="280"/>
      <c r="DW26" s="280"/>
      <c r="DX26" s="280"/>
      <c r="DY26" s="280"/>
      <c r="DZ26" s="280"/>
      <c r="EA26" s="280"/>
      <c r="EB26" s="280"/>
      <c r="EC26" s="280"/>
      <c r="ED26" s="280"/>
      <c r="EE26" s="280"/>
      <c r="EF26" s="280"/>
      <c r="EG26" s="280"/>
      <c r="EH26" s="280"/>
      <c r="EI26" s="280"/>
      <c r="EJ26" s="280"/>
      <c r="EK26" s="280"/>
      <c r="EL26" s="280"/>
      <c r="EM26" s="280"/>
      <c r="EN26" s="280"/>
      <c r="EO26" s="280"/>
      <c r="EP26" s="280"/>
      <c r="EQ26" s="280"/>
      <c r="ER26" s="280"/>
      <c r="ES26" s="280"/>
      <c r="ET26" s="280"/>
      <c r="EU26" s="280"/>
      <c r="EV26" s="280"/>
      <c r="EW26" s="280"/>
      <c r="EX26" s="280"/>
      <c r="EY26" s="280"/>
      <c r="EZ26" s="280"/>
      <c r="FA26" s="280"/>
      <c r="FB26" s="280"/>
      <c r="FC26" s="280"/>
      <c r="FD26" s="280"/>
      <c r="FE26" s="280"/>
      <c r="FF26" s="280"/>
      <c r="FG26" s="280"/>
      <c r="FH26" s="280"/>
      <c r="FI26" s="280"/>
      <c r="FJ26" s="280"/>
      <c r="FK26" s="280"/>
      <c r="FL26" s="280"/>
      <c r="FM26" s="280"/>
      <c r="FN26" s="280"/>
      <c r="FO26" s="280"/>
      <c r="FP26" s="280"/>
      <c r="FQ26" s="280"/>
      <c r="FR26" s="280"/>
      <c r="FS26" s="280"/>
      <c r="FT26" s="280"/>
      <c r="FU26" s="280"/>
      <c r="FV26" s="280"/>
      <c r="FW26" s="280"/>
      <c r="FX26" s="280"/>
      <c r="FY26" s="280"/>
      <c r="FZ26" s="280"/>
      <c r="GA26" s="280"/>
      <c r="GB26" s="280"/>
      <c r="GC26" s="280"/>
      <c r="GD26" s="280"/>
      <c r="GE26" s="280"/>
      <c r="GF26" s="280"/>
      <c r="GG26" s="280"/>
      <c r="GH26" s="280"/>
      <c r="GI26" s="280"/>
      <c r="GJ26" s="280"/>
      <c r="GK26" s="280"/>
      <c r="GL26" s="280"/>
      <c r="GM26" s="280"/>
      <c r="GN26" s="280"/>
      <c r="GO26" s="280"/>
      <c r="GP26" s="280"/>
      <c r="GQ26" s="280"/>
      <c r="GR26" s="280"/>
      <c r="GS26" s="280"/>
      <c r="GT26" s="280"/>
      <c r="GU26" s="280"/>
      <c r="GV26" s="280"/>
      <c r="GW26" s="280"/>
      <c r="GX26" s="280"/>
      <c r="GY26" s="280"/>
      <c r="GZ26" s="280"/>
      <c r="HA26" s="280"/>
      <c r="HB26" s="280"/>
      <c r="HC26" s="280"/>
      <c r="HD26" s="280"/>
      <c r="HE26" s="280"/>
      <c r="HF26" s="280"/>
      <c r="HG26" s="280"/>
      <c r="HH26" s="280"/>
      <c r="HI26" s="280"/>
      <c r="HJ26" s="280"/>
      <c r="HK26" s="280"/>
      <c r="HL26" s="280"/>
      <c r="HM26" s="280"/>
      <c r="HN26" s="280"/>
      <c r="HO26" s="280"/>
      <c r="HP26" s="280"/>
      <c r="HQ26" s="280"/>
      <c r="HR26" s="280"/>
      <c r="HS26" s="280"/>
      <c r="HT26" s="280"/>
      <c r="HU26" s="280"/>
      <c r="HV26" s="280"/>
      <c r="HW26" s="280"/>
      <c r="HX26" s="280"/>
      <c r="HY26" s="280"/>
      <c r="HZ26" s="280"/>
      <c r="IA26" s="280"/>
      <c r="IB26" s="280"/>
      <c r="IC26" s="280"/>
      <c r="ID26" s="280"/>
      <c r="IE26" s="280"/>
      <c r="IF26" s="280"/>
      <c r="IG26" s="280"/>
      <c r="IH26" s="280"/>
      <c r="II26" s="280"/>
      <c r="IJ26" s="280"/>
      <c r="IK26" s="280"/>
      <c r="IL26" s="280"/>
      <c r="IM26" s="280"/>
      <c r="IN26" s="280"/>
      <c r="IO26" s="280"/>
      <c r="IP26" s="280"/>
      <c r="IQ26" s="280"/>
      <c r="IR26" s="280"/>
      <c r="IS26" s="280"/>
      <c r="IT26" s="280"/>
      <c r="IU26" s="280"/>
      <c r="IV26" s="280"/>
      <c r="IW26" s="280"/>
      <c r="IX26" s="280"/>
      <c r="IY26" s="280"/>
      <c r="IZ26" s="280"/>
      <c r="JA26" s="280"/>
      <c r="JB26" s="280"/>
      <c r="JC26" s="280"/>
      <c r="JD26" s="280"/>
      <c r="JE26" s="280"/>
      <c r="JF26" s="280"/>
      <c r="JG26" s="280"/>
      <c r="JH26" s="280"/>
      <c r="JI26" s="280"/>
      <c r="JJ26" s="280"/>
      <c r="JK26" s="280"/>
      <c r="JL26" s="280"/>
      <c r="JM26" s="280"/>
      <c r="JN26" s="280"/>
      <c r="JO26" s="280"/>
      <c r="JP26" s="280"/>
      <c r="JQ26" s="280"/>
      <c r="JR26" s="280"/>
      <c r="JS26" s="280"/>
      <c r="JT26" s="280"/>
      <c r="JU26" s="280"/>
      <c r="JV26" s="280"/>
      <c r="JW26" s="280"/>
      <c r="JX26" s="280"/>
      <c r="JY26" s="280"/>
      <c r="JZ26" s="280"/>
      <c r="KA26" s="280"/>
      <c r="KB26" s="280"/>
      <c r="KC26" s="280"/>
      <c r="KD26" s="280"/>
      <c r="KE26" s="280"/>
      <c r="KF26" s="280"/>
      <c r="KG26" s="280"/>
      <c r="KH26" s="280"/>
      <c r="KI26" s="280"/>
      <c r="KJ26" s="280"/>
      <c r="KK26" s="280"/>
      <c r="KL26" s="280"/>
      <c r="KM26" s="280"/>
      <c r="KN26" s="280"/>
      <c r="KO26" s="280"/>
      <c r="KP26" s="280"/>
      <c r="KQ26" s="280"/>
      <c r="KR26" s="280"/>
      <c r="KS26" s="280"/>
      <c r="KT26" s="280"/>
      <c r="KU26" s="280"/>
      <c r="KV26" s="280"/>
      <c r="KW26" s="280"/>
      <c r="KX26" s="280"/>
      <c r="KY26" s="280"/>
      <c r="KZ26" s="280"/>
      <c r="LA26" s="280"/>
      <c r="LB26" s="280"/>
      <c r="LC26" s="280"/>
      <c r="LD26" s="280"/>
      <c r="LE26" s="280"/>
      <c r="LF26" s="280"/>
      <c r="LG26" s="280"/>
      <c r="LH26" s="280"/>
      <c r="LI26" s="280"/>
      <c r="LJ26" s="280"/>
      <c r="LK26" s="280"/>
      <c r="LL26" s="280"/>
      <c r="LM26" s="280"/>
    </row>
    <row r="27" spans="1:325" x14ac:dyDescent="0.6">
      <c r="A27" s="284" t="s">
        <v>1295</v>
      </c>
      <c r="B27" s="283">
        <f>1/0.0029</f>
        <v>344.82758620689657</v>
      </c>
      <c r="C27" s="284" t="s">
        <v>1321</v>
      </c>
      <c r="D27" s="279"/>
      <c r="E27" s="280"/>
      <c r="F27" s="307"/>
      <c r="G27" s="307"/>
      <c r="H27" s="307"/>
      <c r="I27" s="307"/>
      <c r="J27" s="280"/>
      <c r="K27" s="280"/>
      <c r="L27" s="280"/>
      <c r="M27" s="280"/>
      <c r="N27" s="280"/>
      <c r="O27" s="280"/>
      <c r="P27" s="280"/>
      <c r="Q27" s="280"/>
      <c r="R27" s="280"/>
      <c r="S27" s="280"/>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c r="DL27" s="280"/>
      <c r="DM27" s="280"/>
      <c r="DN27" s="280"/>
      <c r="DO27" s="280"/>
      <c r="DP27" s="280"/>
      <c r="DQ27" s="280"/>
      <c r="DR27" s="280"/>
      <c r="DS27" s="280"/>
      <c r="DT27" s="280"/>
      <c r="DU27" s="280"/>
      <c r="DV27" s="280"/>
      <c r="DW27" s="280"/>
      <c r="DX27" s="280"/>
      <c r="DY27" s="280"/>
      <c r="DZ27" s="280"/>
      <c r="EA27" s="280"/>
      <c r="EB27" s="280"/>
      <c r="EC27" s="280"/>
      <c r="ED27" s="280"/>
      <c r="EE27" s="280"/>
      <c r="EF27" s="280"/>
      <c r="EG27" s="280"/>
      <c r="EH27" s="280"/>
      <c r="EI27" s="280"/>
      <c r="EJ27" s="280"/>
      <c r="EK27" s="280"/>
      <c r="EL27" s="280"/>
      <c r="EM27" s="280"/>
      <c r="EN27" s="280"/>
      <c r="EO27" s="280"/>
      <c r="EP27" s="280"/>
      <c r="EQ27" s="280"/>
      <c r="ER27" s="280"/>
      <c r="ES27" s="280"/>
      <c r="ET27" s="280"/>
      <c r="EU27" s="280"/>
      <c r="EV27" s="280"/>
      <c r="EW27" s="280"/>
      <c r="EX27" s="280"/>
      <c r="EY27" s="280"/>
      <c r="EZ27" s="280"/>
      <c r="FA27" s="280"/>
      <c r="FB27" s="280"/>
      <c r="FC27" s="280"/>
      <c r="FD27" s="280"/>
      <c r="FE27" s="280"/>
      <c r="FF27" s="280"/>
      <c r="FG27" s="280"/>
      <c r="FH27" s="280"/>
      <c r="FI27" s="280"/>
      <c r="FJ27" s="280"/>
      <c r="FK27" s="280"/>
      <c r="FL27" s="280"/>
      <c r="FM27" s="280"/>
      <c r="FN27" s="280"/>
      <c r="FO27" s="280"/>
      <c r="FP27" s="280"/>
      <c r="FQ27" s="280"/>
      <c r="FR27" s="280"/>
      <c r="FS27" s="280"/>
      <c r="FT27" s="280"/>
      <c r="FU27" s="280"/>
      <c r="FV27" s="280"/>
      <c r="FW27" s="280"/>
      <c r="FX27" s="280"/>
      <c r="FY27" s="280"/>
      <c r="FZ27" s="280"/>
      <c r="GA27" s="280"/>
      <c r="GB27" s="280"/>
      <c r="GC27" s="280"/>
      <c r="GD27" s="280"/>
      <c r="GE27" s="280"/>
      <c r="GF27" s="280"/>
      <c r="GG27" s="280"/>
      <c r="GH27" s="280"/>
      <c r="GI27" s="280"/>
      <c r="GJ27" s="280"/>
      <c r="GK27" s="280"/>
      <c r="GL27" s="280"/>
      <c r="GM27" s="280"/>
      <c r="GN27" s="280"/>
      <c r="GO27" s="280"/>
      <c r="GP27" s="280"/>
      <c r="GQ27" s="280"/>
      <c r="GR27" s="280"/>
      <c r="GS27" s="280"/>
      <c r="GT27" s="280"/>
      <c r="GU27" s="280"/>
      <c r="GV27" s="280"/>
      <c r="GW27" s="280"/>
      <c r="GX27" s="280"/>
      <c r="GY27" s="280"/>
      <c r="GZ27" s="280"/>
      <c r="HA27" s="280"/>
      <c r="HB27" s="280"/>
      <c r="HC27" s="280"/>
      <c r="HD27" s="280"/>
      <c r="HE27" s="280"/>
      <c r="HF27" s="280"/>
      <c r="HG27" s="280"/>
      <c r="HH27" s="280"/>
      <c r="HI27" s="280"/>
      <c r="HJ27" s="280"/>
      <c r="HK27" s="280"/>
      <c r="HL27" s="280"/>
      <c r="HM27" s="280"/>
      <c r="HN27" s="280"/>
      <c r="HO27" s="280"/>
      <c r="HP27" s="280"/>
      <c r="HQ27" s="280"/>
      <c r="HR27" s="280"/>
      <c r="HS27" s="280"/>
      <c r="HT27" s="280"/>
      <c r="HU27" s="280"/>
      <c r="HV27" s="280"/>
      <c r="HW27" s="280"/>
      <c r="HX27" s="280"/>
      <c r="HY27" s="280"/>
      <c r="HZ27" s="280"/>
      <c r="IA27" s="280"/>
      <c r="IB27" s="280"/>
      <c r="IC27" s="280"/>
      <c r="ID27" s="280"/>
      <c r="IE27" s="280"/>
      <c r="IF27" s="280"/>
      <c r="IG27" s="280"/>
      <c r="IH27" s="280"/>
      <c r="II27" s="280"/>
      <c r="IJ27" s="280"/>
      <c r="IK27" s="280"/>
      <c r="IL27" s="280"/>
      <c r="IM27" s="280"/>
      <c r="IN27" s="280"/>
      <c r="IO27" s="280"/>
      <c r="IP27" s="280"/>
      <c r="IQ27" s="280"/>
      <c r="IR27" s="280"/>
      <c r="IS27" s="280"/>
      <c r="IT27" s="280"/>
      <c r="IU27" s="280"/>
      <c r="IV27" s="280"/>
      <c r="IW27" s="280"/>
      <c r="IX27" s="280"/>
      <c r="IY27" s="280"/>
      <c r="IZ27" s="280"/>
      <c r="JA27" s="280"/>
      <c r="JB27" s="280"/>
      <c r="JC27" s="280"/>
      <c r="JD27" s="280"/>
      <c r="JE27" s="280"/>
      <c r="JF27" s="280"/>
      <c r="JG27" s="280"/>
      <c r="JH27" s="280"/>
      <c r="JI27" s="280"/>
      <c r="JJ27" s="280"/>
      <c r="JK27" s="280"/>
      <c r="JL27" s="280"/>
      <c r="JM27" s="280"/>
      <c r="JN27" s="280"/>
      <c r="JO27" s="280"/>
      <c r="JP27" s="280"/>
      <c r="JQ27" s="280"/>
      <c r="JR27" s="280"/>
      <c r="JS27" s="280"/>
      <c r="JT27" s="280"/>
      <c r="JU27" s="280"/>
      <c r="JV27" s="280"/>
      <c r="JW27" s="280"/>
      <c r="JX27" s="280"/>
      <c r="JY27" s="280"/>
      <c r="JZ27" s="280"/>
      <c r="KA27" s="280"/>
      <c r="KB27" s="280"/>
      <c r="KC27" s="280"/>
      <c r="KD27" s="280"/>
      <c r="KE27" s="280"/>
      <c r="KF27" s="280"/>
      <c r="KG27" s="280"/>
      <c r="KH27" s="280"/>
      <c r="KI27" s="280"/>
      <c r="KJ27" s="280"/>
      <c r="KK27" s="280"/>
      <c r="KL27" s="280"/>
      <c r="KM27" s="280"/>
      <c r="KN27" s="280"/>
      <c r="KO27" s="280"/>
      <c r="KP27" s="280"/>
      <c r="KQ27" s="280"/>
      <c r="KR27" s="280"/>
      <c r="KS27" s="280"/>
      <c r="KT27" s="280"/>
      <c r="KU27" s="280"/>
      <c r="KV27" s="280"/>
      <c r="KW27" s="280"/>
      <c r="KX27" s="280"/>
      <c r="KY27" s="280"/>
      <c r="KZ27" s="280"/>
      <c r="LA27" s="280"/>
      <c r="LB27" s="280"/>
      <c r="LC27" s="280"/>
      <c r="LD27" s="280"/>
      <c r="LE27" s="280"/>
      <c r="LF27" s="280"/>
      <c r="LG27" s="280"/>
      <c r="LH27" s="280"/>
      <c r="LI27" s="280"/>
      <c r="LJ27" s="280"/>
      <c r="LK27" s="280"/>
      <c r="LL27" s="280"/>
      <c r="LM27" s="280"/>
    </row>
    <row r="28" spans="1:325" x14ac:dyDescent="0.6">
      <c r="A28" s="284" t="s">
        <v>1324</v>
      </c>
      <c r="B28" s="283">
        <f>1/0.0441</f>
        <v>22.675736961451246</v>
      </c>
      <c r="C28" s="284" t="s">
        <v>1326</v>
      </c>
      <c r="D28" s="279"/>
      <c r="E28" s="280"/>
      <c r="F28" s="307"/>
      <c r="G28" s="307"/>
      <c r="H28" s="307"/>
      <c r="I28" s="307"/>
      <c r="J28" s="280"/>
      <c r="K28" s="280"/>
      <c r="L28" s="280"/>
      <c r="M28" s="280"/>
      <c r="N28" s="280"/>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280"/>
      <c r="AW28" s="280"/>
      <c r="AX28" s="280"/>
      <c r="AY28" s="280"/>
      <c r="AZ28" s="280"/>
      <c r="BA28" s="280"/>
      <c r="BB28" s="280"/>
      <c r="BC28" s="280"/>
      <c r="BD28" s="280"/>
      <c r="BE28" s="280"/>
      <c r="BF28" s="280"/>
      <c r="BG28" s="280"/>
      <c r="BH28" s="280"/>
      <c r="BI28" s="280"/>
      <c r="BJ28" s="280"/>
      <c r="BK28" s="280"/>
      <c r="BL28" s="280"/>
      <c r="BM28" s="280"/>
      <c r="BN28" s="280"/>
      <c r="BO28" s="280"/>
      <c r="BP28" s="280"/>
      <c r="BQ28" s="280"/>
      <c r="BR28" s="280"/>
      <c r="BS28" s="280"/>
      <c r="BT28" s="280"/>
      <c r="BU28" s="280"/>
      <c r="BV28" s="280"/>
      <c r="BW28" s="280"/>
      <c r="BX28" s="280"/>
      <c r="BY28" s="280"/>
      <c r="BZ28" s="280"/>
      <c r="CA28" s="280"/>
      <c r="CB28" s="280"/>
      <c r="CC28" s="280"/>
      <c r="CD28" s="280"/>
      <c r="CE28" s="280"/>
      <c r="CF28" s="280"/>
      <c r="CG28" s="280"/>
      <c r="CH28" s="280"/>
      <c r="CI28" s="280"/>
      <c r="CJ28" s="280"/>
      <c r="CK28" s="280"/>
      <c r="CL28" s="280"/>
      <c r="CM28" s="280"/>
      <c r="CN28" s="280"/>
      <c r="CO28" s="280"/>
      <c r="CP28" s="280"/>
      <c r="CQ28" s="280"/>
      <c r="CR28" s="280"/>
      <c r="CS28" s="280"/>
      <c r="CT28" s="280"/>
      <c r="CU28" s="280"/>
      <c r="CV28" s="280"/>
      <c r="CW28" s="280"/>
      <c r="CX28" s="280"/>
      <c r="CY28" s="280"/>
      <c r="CZ28" s="280"/>
      <c r="DA28" s="280"/>
      <c r="DB28" s="280"/>
      <c r="DC28" s="280"/>
      <c r="DD28" s="280"/>
      <c r="DE28" s="280"/>
      <c r="DF28" s="280"/>
      <c r="DG28" s="280"/>
      <c r="DH28" s="280"/>
      <c r="DI28" s="280"/>
      <c r="DJ28" s="280"/>
      <c r="DK28" s="280"/>
      <c r="DL28" s="280"/>
      <c r="DM28" s="280"/>
      <c r="DN28" s="280"/>
      <c r="DO28" s="280"/>
      <c r="DP28" s="280"/>
      <c r="DQ28" s="280"/>
      <c r="DR28" s="280"/>
      <c r="DS28" s="280"/>
      <c r="DT28" s="280"/>
      <c r="DU28" s="280"/>
      <c r="DV28" s="280"/>
      <c r="DW28" s="280"/>
      <c r="DX28" s="280"/>
      <c r="DY28" s="280"/>
      <c r="DZ28" s="280"/>
      <c r="EA28" s="280"/>
      <c r="EB28" s="280"/>
      <c r="EC28" s="280"/>
      <c r="ED28" s="280"/>
      <c r="EE28" s="280"/>
      <c r="EF28" s="280"/>
      <c r="EG28" s="280"/>
      <c r="EH28" s="280"/>
      <c r="EI28" s="280"/>
      <c r="EJ28" s="280"/>
      <c r="EK28" s="280"/>
      <c r="EL28" s="280"/>
      <c r="EM28" s="280"/>
      <c r="EN28" s="280"/>
      <c r="EO28" s="280"/>
      <c r="EP28" s="280"/>
      <c r="EQ28" s="280"/>
      <c r="ER28" s="280"/>
      <c r="ES28" s="280"/>
      <c r="ET28" s="280"/>
      <c r="EU28" s="280"/>
      <c r="EV28" s="280"/>
      <c r="EW28" s="280"/>
      <c r="EX28" s="280"/>
      <c r="EY28" s="280"/>
      <c r="EZ28" s="280"/>
      <c r="FA28" s="280"/>
      <c r="FB28" s="280"/>
      <c r="FC28" s="280"/>
      <c r="FD28" s="280"/>
      <c r="FE28" s="280"/>
      <c r="FF28" s="280"/>
      <c r="FG28" s="280"/>
      <c r="FH28" s="280"/>
      <c r="FI28" s="280"/>
      <c r="FJ28" s="280"/>
      <c r="FK28" s="280"/>
      <c r="FL28" s="280"/>
      <c r="FM28" s="280"/>
      <c r="FN28" s="280"/>
      <c r="FO28" s="280">
        <v>2532</v>
      </c>
      <c r="FP28" s="280"/>
      <c r="FQ28" s="280"/>
      <c r="FR28" s="280"/>
      <c r="FS28" s="280"/>
      <c r="FT28" s="280"/>
      <c r="FU28" s="280"/>
      <c r="FV28" s="280"/>
      <c r="FW28" s="280"/>
      <c r="FX28" s="280"/>
      <c r="FY28" s="280"/>
      <c r="FZ28" s="280"/>
      <c r="GA28" s="280"/>
      <c r="GB28" s="280"/>
      <c r="GC28" s="280"/>
      <c r="GD28" s="280"/>
      <c r="GE28" s="280"/>
      <c r="GF28" s="280"/>
      <c r="GG28" s="280"/>
      <c r="GH28" s="280"/>
      <c r="GI28" s="280"/>
      <c r="GJ28" s="280"/>
      <c r="GK28" s="280"/>
      <c r="GL28" s="280"/>
      <c r="GM28" s="280"/>
      <c r="GN28" s="280"/>
      <c r="GO28" s="280"/>
      <c r="GP28" s="280"/>
      <c r="GQ28" s="280"/>
      <c r="GR28" s="280"/>
      <c r="GS28" s="280"/>
      <c r="GT28" s="280"/>
      <c r="GU28" s="280"/>
      <c r="GV28" s="280"/>
      <c r="GW28" s="280"/>
      <c r="GX28" s="280"/>
      <c r="GY28" s="280"/>
      <c r="GZ28" s="280"/>
      <c r="HA28" s="280"/>
      <c r="HB28" s="280"/>
      <c r="HC28" s="280"/>
      <c r="HD28" s="280"/>
      <c r="HE28" s="280"/>
      <c r="HF28" s="280"/>
      <c r="HG28" s="280"/>
      <c r="HH28" s="280"/>
      <c r="HI28" s="280"/>
      <c r="HJ28" s="280"/>
      <c r="HK28" s="280"/>
      <c r="HL28" s="280"/>
      <c r="HM28" s="280"/>
      <c r="HN28" s="280"/>
      <c r="HO28" s="280"/>
      <c r="HP28" s="280"/>
      <c r="HQ28" s="280"/>
      <c r="HR28" s="280"/>
      <c r="HS28" s="280"/>
      <c r="HT28" s="280"/>
      <c r="HU28" s="280"/>
      <c r="HV28" s="280"/>
      <c r="HW28" s="280"/>
      <c r="HX28" s="280"/>
      <c r="HY28" s="280"/>
      <c r="HZ28" s="280"/>
      <c r="IA28" s="280"/>
      <c r="IB28" s="280"/>
      <c r="IC28" s="280"/>
      <c r="ID28" s="280"/>
      <c r="IE28" s="280"/>
      <c r="IF28" s="280"/>
      <c r="IG28" s="280"/>
      <c r="IH28" s="280"/>
      <c r="II28" s="280"/>
      <c r="IJ28" s="280"/>
      <c r="IK28" s="280"/>
      <c r="IL28" s="280"/>
      <c r="IM28" s="280"/>
      <c r="IN28" s="280"/>
      <c r="IO28" s="280"/>
      <c r="IP28" s="280"/>
      <c r="IQ28" s="280"/>
      <c r="IR28" s="280"/>
      <c r="IS28" s="280"/>
      <c r="IT28" s="280"/>
      <c r="IU28" s="280"/>
      <c r="IV28" s="280"/>
      <c r="IW28" s="280"/>
      <c r="IX28" s="280"/>
      <c r="IY28" s="280"/>
      <c r="IZ28" s="280"/>
      <c r="JA28" s="280"/>
      <c r="JB28" s="280"/>
      <c r="JC28" s="280"/>
      <c r="JD28" s="280"/>
      <c r="JE28" s="280"/>
      <c r="JF28" s="280"/>
      <c r="JG28" s="280"/>
      <c r="JH28" s="280"/>
      <c r="JI28" s="280"/>
      <c r="JJ28" s="280"/>
      <c r="JK28" s="280"/>
      <c r="JL28" s="280"/>
      <c r="JM28" s="280"/>
      <c r="JN28" s="280"/>
      <c r="JO28" s="280"/>
      <c r="JP28" s="280"/>
      <c r="JQ28" s="280"/>
      <c r="JR28" s="280"/>
      <c r="JS28" s="280"/>
      <c r="JT28" s="280"/>
      <c r="JU28" s="280"/>
      <c r="JV28" s="280"/>
      <c r="JW28" s="280"/>
      <c r="JX28" s="280"/>
      <c r="JY28" s="280"/>
      <c r="JZ28" s="280"/>
      <c r="KA28" s="280"/>
      <c r="KB28" s="280"/>
      <c r="KC28" s="280"/>
      <c r="KD28" s="280"/>
      <c r="KE28" s="280"/>
      <c r="KF28" s="280"/>
      <c r="KG28" s="280"/>
      <c r="KH28" s="280"/>
      <c r="KI28" s="280"/>
      <c r="KJ28" s="280"/>
      <c r="KK28" s="280"/>
      <c r="KL28" s="280"/>
      <c r="KM28" s="280"/>
      <c r="KN28" s="280"/>
      <c r="KO28" s="280"/>
      <c r="KP28" s="280"/>
      <c r="KQ28" s="280"/>
      <c r="KR28" s="280"/>
      <c r="KS28" s="280"/>
      <c r="KT28" s="280"/>
      <c r="KU28" s="280"/>
      <c r="KV28" s="280"/>
      <c r="KW28" s="280"/>
      <c r="KX28" s="280"/>
      <c r="KY28" s="280"/>
      <c r="KZ28" s="280"/>
      <c r="LA28" s="280"/>
      <c r="LB28" s="280"/>
      <c r="LC28" s="280"/>
      <c r="LD28" s="280"/>
      <c r="LE28" s="280"/>
      <c r="LF28" s="280"/>
      <c r="LG28" s="280"/>
      <c r="LH28" s="280"/>
      <c r="LI28" s="280"/>
      <c r="LJ28" s="280"/>
      <c r="LK28" s="280"/>
      <c r="LL28" s="280"/>
      <c r="LM28" s="280"/>
    </row>
    <row r="29" spans="1:325" x14ac:dyDescent="0.6">
      <c r="A29" s="284" t="s">
        <v>1325</v>
      </c>
      <c r="B29" s="283">
        <f>1/0.0011</f>
        <v>909.09090909090901</v>
      </c>
      <c r="C29" s="284" t="s">
        <v>1327</v>
      </c>
      <c r="D29" s="279"/>
      <c r="E29" s="280"/>
      <c r="F29" s="307"/>
      <c r="G29" s="307"/>
      <c r="H29" s="307"/>
      <c r="I29" s="307"/>
      <c r="J29" s="280"/>
      <c r="K29" s="280"/>
      <c r="L29" s="280"/>
      <c r="M29" s="280"/>
      <c r="N29" s="280"/>
      <c r="O29" s="280"/>
      <c r="P29" s="280"/>
      <c r="Q29" s="280"/>
      <c r="R29" s="280"/>
      <c r="S29" s="280"/>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c r="BD29" s="280"/>
      <c r="BE29" s="280"/>
      <c r="BF29" s="280"/>
      <c r="BG29" s="280"/>
      <c r="BH29" s="280"/>
      <c r="BI29" s="280"/>
      <c r="BJ29" s="280"/>
      <c r="BK29" s="280"/>
      <c r="BL29" s="280"/>
      <c r="BM29" s="280"/>
      <c r="BN29" s="280"/>
      <c r="BO29" s="280"/>
      <c r="BP29" s="280"/>
      <c r="BQ29" s="280"/>
      <c r="BR29" s="280"/>
      <c r="BS29" s="280"/>
      <c r="BT29" s="280"/>
      <c r="BU29" s="280"/>
      <c r="BV29" s="280"/>
      <c r="BW29" s="280"/>
      <c r="BX29" s="280"/>
      <c r="BY29" s="280"/>
      <c r="BZ29" s="280"/>
      <c r="CA29" s="280"/>
      <c r="CB29" s="280"/>
      <c r="CC29" s="280"/>
      <c r="CD29" s="280"/>
      <c r="CE29" s="280"/>
      <c r="CF29" s="280"/>
      <c r="CG29" s="280"/>
      <c r="CH29" s="280"/>
      <c r="CI29" s="280"/>
      <c r="CJ29" s="280"/>
      <c r="CK29" s="280"/>
      <c r="CL29" s="280"/>
      <c r="CM29" s="280"/>
      <c r="CN29" s="280"/>
      <c r="CO29" s="280"/>
      <c r="CP29" s="280"/>
      <c r="CQ29" s="280"/>
      <c r="CR29" s="280"/>
      <c r="CS29" s="280"/>
      <c r="CT29" s="280"/>
      <c r="CU29" s="280"/>
      <c r="CV29" s="280"/>
      <c r="CW29" s="280"/>
      <c r="CX29" s="280"/>
      <c r="CY29" s="280"/>
      <c r="CZ29" s="280"/>
      <c r="DA29" s="280"/>
      <c r="DB29" s="280"/>
      <c r="DC29" s="280"/>
      <c r="DD29" s="280"/>
      <c r="DE29" s="280"/>
      <c r="DF29" s="280"/>
      <c r="DG29" s="280"/>
      <c r="DH29" s="280"/>
      <c r="DI29" s="280"/>
      <c r="DJ29" s="280"/>
      <c r="DK29" s="280"/>
      <c r="DL29" s="280"/>
      <c r="DM29" s="280"/>
      <c r="DN29" s="280"/>
      <c r="DO29" s="280"/>
      <c r="DP29" s="280"/>
      <c r="DQ29" s="280"/>
      <c r="DR29" s="280"/>
      <c r="DS29" s="280"/>
      <c r="DT29" s="280"/>
      <c r="DU29" s="280"/>
      <c r="DV29" s="280"/>
      <c r="DW29" s="280"/>
      <c r="DX29" s="280"/>
      <c r="DY29" s="280"/>
      <c r="DZ29" s="280"/>
      <c r="EA29" s="280"/>
      <c r="EB29" s="280"/>
      <c r="EC29" s="280"/>
      <c r="ED29" s="280"/>
      <c r="EE29" s="280"/>
      <c r="EF29" s="280"/>
      <c r="EG29" s="280"/>
      <c r="EH29" s="280"/>
      <c r="EI29" s="280"/>
      <c r="EJ29" s="280"/>
      <c r="EK29" s="280"/>
      <c r="EL29" s="280"/>
      <c r="EM29" s="280"/>
      <c r="EN29" s="280"/>
      <c r="EO29" s="280"/>
      <c r="EP29" s="280"/>
      <c r="EQ29" s="280"/>
      <c r="ER29" s="280"/>
      <c r="ES29" s="280"/>
      <c r="ET29" s="280"/>
      <c r="EU29" s="280"/>
      <c r="EV29" s="280"/>
      <c r="EW29" s="280"/>
      <c r="EX29" s="280"/>
      <c r="EY29" s="280"/>
      <c r="EZ29" s="280"/>
      <c r="FA29" s="280"/>
      <c r="FB29" s="280"/>
      <c r="FC29" s="280"/>
      <c r="FD29" s="280"/>
      <c r="FE29" s="280"/>
      <c r="FF29" s="280"/>
      <c r="FG29" s="280"/>
      <c r="FH29" s="280"/>
      <c r="FI29" s="280"/>
      <c r="FJ29" s="280"/>
      <c r="FK29" s="280"/>
      <c r="FL29" s="280"/>
      <c r="FM29" s="280"/>
      <c r="FN29" s="280"/>
      <c r="FO29" s="280">
        <v>79</v>
      </c>
      <c r="FP29" s="280"/>
      <c r="FQ29" s="280"/>
      <c r="FR29" s="280"/>
      <c r="FS29" s="280"/>
      <c r="FT29" s="280"/>
      <c r="FU29" s="280"/>
      <c r="FV29" s="280"/>
      <c r="FW29" s="280"/>
      <c r="FX29" s="280"/>
      <c r="FY29" s="280"/>
      <c r="FZ29" s="280"/>
      <c r="GA29" s="280"/>
      <c r="GB29" s="280"/>
      <c r="GC29" s="280"/>
      <c r="GD29" s="280"/>
      <c r="GE29" s="280"/>
      <c r="GF29" s="280"/>
      <c r="GG29" s="280"/>
      <c r="GH29" s="280"/>
      <c r="GI29" s="280"/>
      <c r="GJ29" s="280"/>
      <c r="GK29" s="280"/>
      <c r="GL29" s="280"/>
      <c r="GM29" s="280"/>
      <c r="GN29" s="280"/>
      <c r="GO29" s="280"/>
      <c r="GP29" s="280"/>
      <c r="GQ29" s="280"/>
      <c r="GR29" s="280"/>
      <c r="GS29" s="280"/>
      <c r="GT29" s="280"/>
      <c r="GU29" s="280"/>
      <c r="GV29" s="280"/>
      <c r="GW29" s="280"/>
      <c r="GX29" s="280"/>
      <c r="GY29" s="280"/>
      <c r="GZ29" s="280"/>
      <c r="HA29" s="280"/>
      <c r="HB29" s="280"/>
      <c r="HC29" s="280"/>
      <c r="HD29" s="280"/>
      <c r="HE29" s="280"/>
      <c r="HF29" s="280"/>
      <c r="HG29" s="280"/>
      <c r="HH29" s="280"/>
      <c r="HI29" s="280"/>
      <c r="HJ29" s="280"/>
      <c r="HK29" s="280"/>
      <c r="HL29" s="280"/>
      <c r="HM29" s="280"/>
      <c r="HN29" s="280"/>
      <c r="HO29" s="280"/>
      <c r="HP29" s="280"/>
      <c r="HQ29" s="280"/>
      <c r="HR29" s="280"/>
      <c r="HS29" s="280"/>
      <c r="HT29" s="280"/>
      <c r="HU29" s="280"/>
      <c r="HV29" s="280"/>
      <c r="HW29" s="280"/>
      <c r="HX29" s="280"/>
      <c r="HY29" s="280"/>
      <c r="HZ29" s="280"/>
      <c r="IA29" s="280"/>
      <c r="IB29" s="280"/>
      <c r="IC29" s="280"/>
      <c r="ID29" s="280"/>
      <c r="IE29" s="280"/>
      <c r="IF29" s="280"/>
      <c r="IG29" s="280"/>
      <c r="IH29" s="280"/>
      <c r="II29" s="280"/>
      <c r="IJ29" s="280"/>
      <c r="IK29" s="280"/>
      <c r="IL29" s="280"/>
      <c r="IM29" s="280"/>
      <c r="IN29" s="280"/>
      <c r="IO29" s="280"/>
      <c r="IP29" s="280"/>
      <c r="IQ29" s="280"/>
      <c r="IR29" s="280"/>
      <c r="IS29" s="280"/>
      <c r="IT29" s="280"/>
      <c r="IU29" s="280"/>
      <c r="IV29" s="280"/>
      <c r="IW29" s="280"/>
      <c r="IX29" s="280"/>
      <c r="IY29" s="280"/>
      <c r="IZ29" s="280"/>
      <c r="JA29" s="280"/>
      <c r="JB29" s="280"/>
      <c r="JC29" s="280"/>
      <c r="JD29" s="280"/>
      <c r="JE29" s="280"/>
      <c r="JF29" s="280"/>
      <c r="JG29" s="280"/>
      <c r="JH29" s="280"/>
      <c r="JI29" s="280"/>
      <c r="JJ29" s="280"/>
      <c r="JK29" s="280"/>
      <c r="JL29" s="280"/>
      <c r="JM29" s="280"/>
      <c r="JN29" s="280"/>
      <c r="JO29" s="280"/>
      <c r="JP29" s="280"/>
      <c r="JQ29" s="280"/>
      <c r="JR29" s="280"/>
      <c r="JS29" s="280"/>
      <c r="JT29" s="280"/>
      <c r="JU29" s="280"/>
      <c r="JV29" s="280"/>
      <c r="JW29" s="280"/>
      <c r="JX29" s="280"/>
      <c r="JY29" s="280"/>
      <c r="JZ29" s="280"/>
      <c r="KA29" s="280"/>
      <c r="KB29" s="280"/>
      <c r="KC29" s="280"/>
      <c r="KD29" s="280"/>
      <c r="KE29" s="280"/>
      <c r="KF29" s="280"/>
      <c r="KG29" s="280"/>
      <c r="KH29" s="280"/>
      <c r="KI29" s="280"/>
      <c r="KJ29" s="280"/>
      <c r="KK29" s="280"/>
      <c r="KL29" s="280"/>
      <c r="KM29" s="280"/>
      <c r="KN29" s="280"/>
      <c r="KO29" s="280"/>
      <c r="KP29" s="280"/>
      <c r="KQ29" s="280"/>
      <c r="KR29" s="280"/>
      <c r="KS29" s="280"/>
      <c r="KT29" s="280"/>
      <c r="KU29" s="280"/>
      <c r="KV29" s="280"/>
      <c r="KW29" s="280"/>
      <c r="KX29" s="280"/>
      <c r="KY29" s="280"/>
      <c r="KZ29" s="280"/>
      <c r="LA29" s="280"/>
      <c r="LB29" s="280"/>
      <c r="LC29" s="280"/>
      <c r="LD29" s="280"/>
      <c r="LE29" s="280"/>
      <c r="LF29" s="280"/>
      <c r="LG29" s="280"/>
      <c r="LH29" s="280"/>
      <c r="LI29" s="280"/>
      <c r="LJ29" s="280"/>
      <c r="LK29" s="280"/>
      <c r="LL29" s="280"/>
      <c r="LM29" s="280"/>
    </row>
    <row r="30" spans="1:325" x14ac:dyDescent="0.6">
      <c r="A30" s="284" t="s">
        <v>2545</v>
      </c>
      <c r="B30" s="283">
        <v>238.71</v>
      </c>
      <c r="C30" s="284" t="s">
        <v>2546</v>
      </c>
      <c r="D30" s="279"/>
      <c r="E30" s="280"/>
      <c r="F30" s="307"/>
      <c r="G30" s="307"/>
      <c r="H30" s="307"/>
      <c r="I30" s="307">
        <v>60000</v>
      </c>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c r="BA30" s="280"/>
      <c r="BB30" s="280"/>
      <c r="BC30" s="280"/>
      <c r="BD30" s="280"/>
      <c r="BE30" s="280"/>
      <c r="BF30" s="280"/>
      <c r="BG30" s="280"/>
      <c r="BH30" s="280"/>
      <c r="BI30" s="280"/>
      <c r="BJ30" s="280"/>
      <c r="BK30" s="280"/>
      <c r="BL30" s="280"/>
      <c r="BM30" s="280"/>
      <c r="BN30" s="280"/>
      <c r="BO30" s="280"/>
      <c r="BP30" s="280"/>
      <c r="BQ30" s="280"/>
      <c r="BR30" s="280"/>
      <c r="BS30" s="280"/>
      <c r="BT30" s="280"/>
      <c r="BU30" s="280"/>
      <c r="BV30" s="280"/>
      <c r="BW30" s="280"/>
      <c r="BX30" s="280"/>
      <c r="BY30" s="280"/>
      <c r="BZ30" s="280"/>
      <c r="CA30" s="280"/>
      <c r="CB30" s="280"/>
      <c r="CC30" s="280"/>
      <c r="CD30" s="280"/>
      <c r="CE30" s="280"/>
      <c r="CF30" s="280"/>
      <c r="CG30" s="280"/>
      <c r="CH30" s="280"/>
      <c r="CI30" s="280"/>
      <c r="CJ30" s="280"/>
      <c r="CK30" s="280"/>
      <c r="CL30" s="280"/>
      <c r="CM30" s="280"/>
      <c r="CN30" s="280"/>
      <c r="CO30" s="280"/>
      <c r="CP30" s="280"/>
      <c r="CQ30" s="280"/>
      <c r="CR30" s="280"/>
      <c r="CS30" s="280"/>
      <c r="CT30" s="280"/>
      <c r="CU30" s="280"/>
      <c r="CV30" s="280"/>
      <c r="CW30" s="280"/>
      <c r="CX30" s="280"/>
      <c r="CY30" s="280"/>
      <c r="CZ30" s="280"/>
      <c r="DA30" s="280"/>
      <c r="DB30" s="280"/>
      <c r="DC30" s="280"/>
      <c r="DD30" s="280"/>
      <c r="DE30" s="280"/>
      <c r="DF30" s="280"/>
      <c r="DG30" s="280"/>
      <c r="DH30" s="280"/>
      <c r="DI30" s="280"/>
      <c r="DJ30" s="280"/>
      <c r="DK30" s="280"/>
      <c r="DL30" s="280"/>
      <c r="DM30" s="280"/>
      <c r="DN30" s="280"/>
      <c r="DO30" s="280"/>
      <c r="DP30" s="280"/>
      <c r="DQ30" s="280"/>
      <c r="DR30" s="280"/>
      <c r="DS30" s="280"/>
      <c r="DT30" s="280"/>
      <c r="DU30" s="280"/>
      <c r="DV30" s="280"/>
      <c r="DW30" s="280"/>
      <c r="DX30" s="280"/>
      <c r="DY30" s="280"/>
      <c r="DZ30" s="280"/>
      <c r="EA30" s="280"/>
      <c r="EB30" s="280"/>
      <c r="EC30" s="280"/>
      <c r="ED30" s="280"/>
      <c r="EE30" s="280"/>
      <c r="EF30" s="280"/>
      <c r="EG30" s="280"/>
      <c r="EH30" s="280"/>
      <c r="EI30" s="280"/>
      <c r="EJ30" s="280"/>
      <c r="EK30" s="280"/>
      <c r="EL30" s="280"/>
      <c r="EM30" s="280"/>
      <c r="EN30" s="280"/>
      <c r="EO30" s="280"/>
      <c r="EP30" s="280"/>
      <c r="EQ30" s="280"/>
      <c r="ER30" s="280"/>
      <c r="ES30" s="280"/>
      <c r="ET30" s="280"/>
      <c r="EU30" s="280"/>
      <c r="EV30" s="280"/>
      <c r="EW30" s="280"/>
      <c r="EX30" s="280"/>
      <c r="EY30" s="280"/>
      <c r="EZ30" s="280"/>
      <c r="FA30" s="280"/>
      <c r="FB30" s="280"/>
      <c r="FC30" s="280"/>
      <c r="FD30" s="280"/>
      <c r="FE30" s="280"/>
      <c r="FF30" s="280"/>
      <c r="FG30" s="280"/>
      <c r="FH30" s="280"/>
      <c r="FI30" s="280"/>
      <c r="FJ30" s="280"/>
      <c r="FK30" s="280"/>
      <c r="FL30" s="280"/>
      <c r="FM30" s="280"/>
      <c r="FN30" s="280"/>
      <c r="FO30" s="280"/>
      <c r="FP30" s="280"/>
      <c r="FQ30" s="280"/>
      <c r="FR30" s="280"/>
      <c r="FS30" s="280"/>
      <c r="FT30" s="280"/>
      <c r="FU30" s="280"/>
      <c r="FV30" s="280"/>
      <c r="FW30" s="280"/>
      <c r="FX30" s="280"/>
      <c r="FY30" s="280"/>
      <c r="FZ30" s="280"/>
      <c r="GA30" s="280"/>
      <c r="GB30" s="280"/>
      <c r="GC30" s="280"/>
      <c r="GD30" s="280"/>
      <c r="GE30" s="280"/>
      <c r="GF30" s="280"/>
      <c r="GG30" s="280"/>
      <c r="GH30" s="280"/>
      <c r="GI30" s="280"/>
      <c r="GJ30" s="280"/>
      <c r="GK30" s="280"/>
      <c r="GL30" s="280"/>
      <c r="GM30" s="280">
        <v>22200</v>
      </c>
      <c r="GN30" s="280"/>
      <c r="GO30" s="280"/>
      <c r="GP30" s="280"/>
      <c r="GQ30" s="280"/>
      <c r="GR30" s="280"/>
      <c r="GS30" s="280"/>
      <c r="GT30" s="280"/>
      <c r="GU30" s="280"/>
      <c r="GV30" s="280"/>
      <c r="GW30" s="280"/>
      <c r="GX30" s="280"/>
      <c r="GY30" s="280"/>
      <c r="GZ30" s="280"/>
      <c r="HA30" s="280"/>
      <c r="HB30" s="280"/>
      <c r="HC30" s="280"/>
      <c r="HD30" s="280"/>
      <c r="HE30" s="280"/>
      <c r="HF30" s="280"/>
      <c r="HG30" s="280"/>
      <c r="HH30" s="280"/>
      <c r="HI30" s="280"/>
      <c r="HJ30" s="280"/>
      <c r="HK30" s="280"/>
      <c r="HL30" s="280"/>
      <c r="HM30" s="280"/>
      <c r="HN30" s="280"/>
      <c r="HO30" s="280"/>
      <c r="HP30" s="280"/>
      <c r="HQ30" s="280"/>
      <c r="HR30" s="280"/>
      <c r="HS30" s="280"/>
      <c r="HT30" s="280"/>
      <c r="HU30" s="280"/>
      <c r="HV30" s="280"/>
      <c r="HW30" s="280"/>
      <c r="HX30" s="280"/>
      <c r="HY30" s="280"/>
      <c r="HZ30" s="280"/>
      <c r="IA30" s="280"/>
      <c r="IB30" s="280"/>
      <c r="IC30" s="280"/>
      <c r="ID30" s="280"/>
      <c r="IE30" s="280"/>
      <c r="IF30" s="280"/>
      <c r="IG30" s="280"/>
      <c r="IH30" s="280"/>
      <c r="II30" s="280"/>
      <c r="IJ30" s="280"/>
      <c r="IK30" s="280"/>
      <c r="IL30" s="280"/>
      <c r="IM30" s="280"/>
      <c r="IN30" s="280"/>
      <c r="IO30" s="280"/>
      <c r="IP30" s="280"/>
      <c r="IQ30" s="280"/>
      <c r="IR30" s="280"/>
      <c r="IS30" s="280"/>
      <c r="IT30" s="280"/>
      <c r="IU30" s="280"/>
      <c r="IV30" s="280"/>
      <c r="IW30" s="280"/>
      <c r="IX30" s="280"/>
      <c r="IY30" s="280"/>
      <c r="IZ30" s="280"/>
      <c r="JA30" s="280"/>
      <c r="JB30" s="280"/>
      <c r="JC30" s="280"/>
      <c r="JD30" s="280"/>
      <c r="JE30" s="280"/>
      <c r="JF30" s="280"/>
      <c r="JG30" s="280"/>
      <c r="JH30" s="280"/>
      <c r="JI30" s="280"/>
      <c r="JJ30" s="280"/>
      <c r="JK30" s="280"/>
      <c r="JL30" s="280"/>
      <c r="JM30" s="280"/>
      <c r="JN30" s="280"/>
      <c r="JO30" s="280"/>
      <c r="JP30" s="280"/>
      <c r="JQ30" s="280"/>
      <c r="JR30" s="280"/>
      <c r="JS30" s="280"/>
      <c r="JT30" s="280"/>
      <c r="JU30" s="280"/>
      <c r="JV30" s="280"/>
      <c r="JW30" s="280"/>
      <c r="JX30" s="280"/>
      <c r="JY30" s="280"/>
      <c r="JZ30" s="280"/>
      <c r="KA30" s="280"/>
      <c r="KB30" s="280"/>
      <c r="KC30" s="280"/>
      <c r="KD30" s="280"/>
      <c r="KE30" s="280"/>
      <c r="KF30" s="280"/>
      <c r="KG30" s="280"/>
      <c r="KH30" s="280"/>
      <c r="KI30" s="280"/>
      <c r="KJ30" s="280"/>
      <c r="KK30" s="280"/>
      <c r="KL30" s="280"/>
      <c r="KM30" s="280"/>
      <c r="KN30" s="280"/>
      <c r="KO30" s="280"/>
      <c r="KP30" s="280"/>
      <c r="KQ30" s="280"/>
      <c r="KR30" s="280"/>
      <c r="KS30" s="280"/>
      <c r="KT30" s="280"/>
      <c r="KU30" s="280"/>
      <c r="KV30" s="280"/>
      <c r="KW30" s="280"/>
      <c r="KX30" s="280"/>
      <c r="KY30" s="280"/>
      <c r="KZ30" s="280"/>
      <c r="LA30" s="280"/>
      <c r="LB30" s="280"/>
      <c r="LC30" s="280"/>
      <c r="LD30" s="280"/>
      <c r="LE30" s="280"/>
      <c r="LF30" s="280"/>
      <c r="LG30" s="280"/>
      <c r="LH30" s="280"/>
      <c r="LI30" s="280"/>
      <c r="LJ30" s="280"/>
      <c r="LK30" s="280"/>
      <c r="LL30" s="280"/>
      <c r="LM30" s="280"/>
    </row>
    <row r="31" spans="1:325" x14ac:dyDescent="0.6">
      <c r="A31" s="284" t="s">
        <v>1283</v>
      </c>
      <c r="B31" s="288">
        <v>1</v>
      </c>
      <c r="C31" s="284" t="s">
        <v>2368</v>
      </c>
      <c r="D31" s="279"/>
      <c r="E31" s="280">
        <v>11092000</v>
      </c>
      <c r="F31" s="307"/>
      <c r="G31" s="307">
        <v>75200000</v>
      </c>
      <c r="H31" s="307"/>
      <c r="I31" s="307">
        <f>180000000+100000000+400000000+300000000</f>
        <v>980000000</v>
      </c>
      <c r="J31" s="280"/>
      <c r="K31" s="280"/>
      <c r="L31" s="280">
        <v>15129000</v>
      </c>
      <c r="M31" s="280">
        <v>70000000</v>
      </c>
      <c r="N31" s="280">
        <f>130000000+61100000+45500000</f>
        <v>236600000</v>
      </c>
      <c r="O31" s="280">
        <f>20000000+28000000+11600000+70000000+38000000+7200000+50000000+75000000+150000000+10000000+5000000+10000000+3000000+6000000+3000000+50000000+50000000+14000000+45000000+4000000+1660000000</f>
        <v>2309800000</v>
      </c>
      <c r="P31" s="280"/>
      <c r="Q31" s="280"/>
      <c r="R31" s="280"/>
      <c r="S31" s="280">
        <v>1029322000</v>
      </c>
      <c r="T31" s="280">
        <f>(60000+10000+90000+5000+20000+5000+19094+57984+7000+6270+40800+10000+5000+10000+50000+55500+200+20000+2200+50+300+10000+20000+100000+5069)*1000</f>
        <v>609467000</v>
      </c>
      <c r="U31" s="280">
        <v>95000000</v>
      </c>
      <c r="V31" s="280">
        <f>37557000</f>
        <v>37557000</v>
      </c>
      <c r="W31" s="280">
        <v>230000000</v>
      </c>
      <c r="X31" s="280"/>
      <c r="Y31" s="280">
        <v>8308000</v>
      </c>
      <c r="Z31" s="280">
        <f>643436000+800036000</f>
        <v>1443472000</v>
      </c>
      <c r="AA31" s="280">
        <v>18778000</v>
      </c>
      <c r="AB31" s="280">
        <v>1281000</v>
      </c>
      <c r="AC31" s="280"/>
      <c r="AD31" s="280"/>
      <c r="AE31" s="280"/>
      <c r="AF31" s="280"/>
      <c r="AG31" s="280">
        <f>(900+3158+840+6293+2520+600+3300+829+2880+6600+9600+6000+31920+6440)*1000</f>
        <v>81880000</v>
      </c>
      <c r="AH31" s="280"/>
      <c r="AI31" s="280"/>
      <c r="AJ31" s="280">
        <v>1125948000</v>
      </c>
      <c r="AK31" s="280"/>
      <c r="AL31" s="280">
        <v>1637002000</v>
      </c>
      <c r="AM31" s="280">
        <v>530000000</v>
      </c>
      <c r="AN31" s="280"/>
      <c r="AO31" s="280"/>
      <c r="AP31" s="280">
        <f>307000000+737839697+69500000+30000000</f>
        <v>1144339697</v>
      </c>
      <c r="AQ31" s="280"/>
      <c r="AR31" s="280"/>
      <c r="AS31" s="280">
        <f>100000000+50000000+120000000+30000000+35199871</f>
        <v>335199871</v>
      </c>
      <c r="AT31" s="280"/>
      <c r="AU31" s="280"/>
      <c r="AV31" s="280">
        <f>(6020+17235280+43088+96291+115562+142571)*1000</f>
        <v>17638812000</v>
      </c>
      <c r="AW31" s="280"/>
      <c r="AX31" s="280"/>
      <c r="AY31" s="280">
        <f>1540000+10000000+10000000+15000000+1000000+50000+1100000+15000</f>
        <v>38705000</v>
      </c>
      <c r="AZ31" s="280"/>
      <c r="BA31" s="280">
        <f>10000000+4000000+312365784+40213045</f>
        <v>366578829</v>
      </c>
      <c r="BB31" s="280">
        <v>228062050</v>
      </c>
      <c r="BC31" s="280"/>
      <c r="BD31" s="280"/>
      <c r="BE31" s="280"/>
      <c r="BF31" s="280">
        <v>707000</v>
      </c>
      <c r="BG31" s="280">
        <f>104776000+208783000</f>
        <v>313559000</v>
      </c>
      <c r="BH31" s="280"/>
      <c r="BI31" s="280"/>
      <c r="BJ31" s="280"/>
      <c r="BK31" s="280"/>
      <c r="BL31" s="280">
        <v>12000000</v>
      </c>
      <c r="BM31" s="280"/>
      <c r="BN31" s="280">
        <v>15000000</v>
      </c>
      <c r="BO31" s="280">
        <v>6246752</v>
      </c>
      <c r="BP31" s="280"/>
      <c r="BQ31" s="280"/>
      <c r="BR31" s="280"/>
      <c r="BS31" s="280"/>
      <c r="BT31" s="280"/>
      <c r="BU31" s="280"/>
      <c r="BV31" s="280"/>
      <c r="BW31" s="280"/>
      <c r="BX31" s="280"/>
      <c r="BY31" s="280">
        <v>13264416</v>
      </c>
      <c r="BZ31" s="280">
        <v>2400000</v>
      </c>
      <c r="CA31" s="280"/>
      <c r="CB31" s="280">
        <v>55180150</v>
      </c>
      <c r="CC31" s="280">
        <v>160826000</v>
      </c>
      <c r="CD31" s="280">
        <v>3900000</v>
      </c>
      <c r="CE31" s="280"/>
      <c r="CF31" s="280"/>
      <c r="CG31" s="280"/>
      <c r="CH31" s="280"/>
      <c r="CI31" s="280">
        <v>40000000</v>
      </c>
      <c r="CJ31" s="280"/>
      <c r="CK31" s="280"/>
      <c r="CL31" s="280"/>
      <c r="CM31" s="280"/>
      <c r="CN31" s="280"/>
      <c r="CO31" s="280"/>
      <c r="CP31" s="280"/>
      <c r="CQ31" s="280"/>
      <c r="CR31" s="280"/>
      <c r="CS31" s="280"/>
      <c r="CT31" s="280"/>
      <c r="CU31" s="280"/>
      <c r="CV31" s="280"/>
      <c r="CW31" s="280">
        <v>675847000</v>
      </c>
      <c r="CX31" s="280"/>
      <c r="CY31" s="280"/>
      <c r="CZ31" s="280"/>
      <c r="DA31" s="280"/>
      <c r="DB31" s="280">
        <v>20000000</v>
      </c>
      <c r="DC31" s="280"/>
      <c r="DD31" s="280"/>
      <c r="DE31" s="280"/>
      <c r="DF31" s="280"/>
      <c r="DG31" s="280">
        <v>408108</v>
      </c>
      <c r="DH31" s="280"/>
      <c r="DI31" s="280"/>
      <c r="DJ31" s="280"/>
      <c r="DK31" s="280"/>
      <c r="DL31" s="280"/>
      <c r="DM31" s="280"/>
      <c r="DN31" s="280"/>
      <c r="DO31" s="280"/>
      <c r="DP31" s="280">
        <v>300000000</v>
      </c>
      <c r="DQ31" s="280"/>
      <c r="DR31" s="280"/>
      <c r="DS31" s="280"/>
      <c r="DT31" s="280"/>
      <c r="DU31" s="280"/>
      <c r="DV31" s="280"/>
      <c r="DW31" s="280"/>
      <c r="DX31" s="280"/>
      <c r="DY31" s="280"/>
      <c r="DZ31" s="280"/>
      <c r="EA31" s="280"/>
      <c r="EB31" s="280"/>
      <c r="EC31" s="280"/>
      <c r="ED31" s="280"/>
      <c r="EE31" s="280">
        <v>8474000</v>
      </c>
      <c r="EF31" s="280"/>
      <c r="EG31" s="280"/>
      <c r="EH31" s="280">
        <v>807756000</v>
      </c>
      <c r="EI31" s="280"/>
      <c r="EJ31" s="280">
        <v>8950000</v>
      </c>
      <c r="EK31" s="280">
        <v>2927116000</v>
      </c>
      <c r="EL31" s="280"/>
      <c r="EM31" s="280"/>
      <c r="EN31" s="280"/>
      <c r="EO31" s="280"/>
      <c r="EP31" s="280"/>
      <c r="EQ31" s="280"/>
      <c r="ER31" s="280">
        <v>13094000</v>
      </c>
      <c r="ES31" s="280">
        <v>408000</v>
      </c>
      <c r="ET31" s="280"/>
      <c r="EU31" s="280"/>
      <c r="EV31" s="280"/>
      <c r="EW31" s="280"/>
      <c r="EX31" s="280"/>
      <c r="EY31" s="280"/>
      <c r="EZ31" s="280"/>
      <c r="FA31" s="280"/>
      <c r="FB31" s="280"/>
      <c r="FC31" s="280">
        <v>4736000</v>
      </c>
      <c r="FD31" s="280">
        <v>6417875</v>
      </c>
      <c r="FE31" s="280">
        <v>4774000</v>
      </c>
      <c r="FF31" s="280"/>
      <c r="FG31" s="280">
        <v>900000</v>
      </c>
      <c r="FH31" s="280">
        <v>77272441</v>
      </c>
      <c r="FI31" s="280">
        <v>92827235</v>
      </c>
      <c r="FJ31" s="280">
        <v>96446450</v>
      </c>
      <c r="FK31" s="280"/>
      <c r="FL31" s="280"/>
      <c r="FM31" s="280"/>
      <c r="FN31" s="280">
        <f>(12000+2400+2400+1900)*1000</f>
        <v>18700000</v>
      </c>
      <c r="FO31" s="280"/>
      <c r="FP31" s="280"/>
      <c r="FQ31" s="280"/>
      <c r="FR31" s="280">
        <v>18000000</v>
      </c>
      <c r="FS31" s="280"/>
      <c r="FT31" s="280"/>
      <c r="FU31" s="280"/>
      <c r="FV31" s="280">
        <v>13000000</v>
      </c>
      <c r="FW31" s="280">
        <v>205565000</v>
      </c>
      <c r="FX31" s="280"/>
      <c r="FY31" s="280"/>
      <c r="FZ31" s="280"/>
      <c r="GA31" s="280"/>
      <c r="GB31" s="280">
        <v>2923000</v>
      </c>
      <c r="GC31" s="280"/>
      <c r="GD31" s="280"/>
      <c r="GE31" s="280"/>
      <c r="GF31" s="280">
        <v>120000000</v>
      </c>
      <c r="GG31" s="280"/>
      <c r="GH31" s="280">
        <f>(3000000000+6000000000+12000000000+3250000000+4200000000+3600000000)/1000</f>
        <v>32050000</v>
      </c>
      <c r="GI31" s="280">
        <f>50000+7800000</f>
        <v>7850000</v>
      </c>
      <c r="GJ31" s="280"/>
      <c r="GK31" s="280"/>
      <c r="GL31" s="280"/>
      <c r="GM31" s="280"/>
      <c r="GN31" s="280"/>
      <c r="GO31" s="280"/>
      <c r="GP31" s="280">
        <v>24196800</v>
      </c>
      <c r="GQ31" s="280"/>
      <c r="GR31" s="280"/>
      <c r="GS31" s="280"/>
      <c r="GT31" s="280"/>
      <c r="GU31" s="280"/>
      <c r="GV31" s="280"/>
      <c r="GW31" s="280"/>
      <c r="GX31" s="280">
        <v>34683880</v>
      </c>
      <c r="GY31" s="280"/>
      <c r="GZ31" s="280">
        <v>11346000</v>
      </c>
      <c r="HA31" s="280"/>
      <c r="HB31" s="280"/>
      <c r="HC31" s="280"/>
      <c r="HD31" s="280"/>
      <c r="HE31" s="280"/>
      <c r="HF31" s="280"/>
      <c r="HG31" s="280"/>
      <c r="HH31" s="280">
        <v>51086653</v>
      </c>
      <c r="HI31" s="280"/>
      <c r="HJ31" s="280"/>
      <c r="HK31" s="280">
        <v>4000000</v>
      </c>
      <c r="HL31" s="280"/>
      <c r="HM31" s="280"/>
      <c r="HN31" s="280"/>
      <c r="HO31" s="280"/>
      <c r="HP31" s="280"/>
      <c r="HQ31" s="280">
        <v>2000000</v>
      </c>
      <c r="HR31" s="280">
        <v>52000000</v>
      </c>
      <c r="HS31" s="280"/>
      <c r="HT31" s="280"/>
      <c r="HU31" s="280"/>
      <c r="HV31" s="280"/>
      <c r="HW31" s="280"/>
      <c r="HX31" s="280"/>
      <c r="HY31" s="280"/>
      <c r="HZ31" s="280">
        <v>17055000</v>
      </c>
      <c r="IA31" s="280"/>
      <c r="IB31" s="280"/>
      <c r="IC31" s="280"/>
      <c r="ID31" s="280"/>
      <c r="IE31" s="280"/>
      <c r="IF31" s="280"/>
      <c r="IG31" s="280">
        <v>1271402000</v>
      </c>
      <c r="IH31" s="280"/>
      <c r="II31" s="280"/>
      <c r="IJ31" s="280"/>
      <c r="IK31" s="280"/>
      <c r="IL31" s="280"/>
      <c r="IM31" s="280"/>
      <c r="IN31" s="280"/>
      <c r="IO31" s="280"/>
      <c r="IP31" s="280"/>
      <c r="IQ31" s="280">
        <v>319299318</v>
      </c>
      <c r="IR31" s="280"/>
      <c r="IS31" s="280"/>
      <c r="IT31" s="280"/>
      <c r="IU31" s="280"/>
      <c r="IV31" s="280"/>
      <c r="IW31" s="280"/>
      <c r="IX31" s="280"/>
      <c r="IY31" s="280">
        <v>3194809539</v>
      </c>
      <c r="IZ31" s="280"/>
      <c r="JA31" s="280"/>
      <c r="JB31" s="280"/>
      <c r="JC31" s="280">
        <v>10800000</v>
      </c>
      <c r="JD31" s="280"/>
      <c r="JE31" s="280"/>
      <c r="JF31" s="280"/>
      <c r="JG31" s="280"/>
      <c r="JH31" s="280"/>
      <c r="JI31" s="280"/>
      <c r="JJ31" s="280"/>
      <c r="JK31" s="280"/>
      <c r="JL31" s="280"/>
      <c r="JM31" s="280"/>
      <c r="JN31" s="280"/>
      <c r="JO31" s="280"/>
      <c r="JP31" s="280">
        <f>84743942800/1000</f>
        <v>84743942.799999997</v>
      </c>
      <c r="JQ31" s="280"/>
      <c r="JR31" s="280"/>
      <c r="JS31" s="280"/>
      <c r="JT31" s="280"/>
      <c r="JU31" s="280">
        <v>11502620</v>
      </c>
      <c r="JV31" s="280"/>
      <c r="JW31" s="280"/>
      <c r="JX31" s="280">
        <f>(66365671060+56447283370)/1000</f>
        <v>122812954.43000001</v>
      </c>
      <c r="JY31" s="280"/>
      <c r="JZ31" s="280"/>
      <c r="KA31" s="280"/>
      <c r="KB31" s="280">
        <v>239240000</v>
      </c>
      <c r="KC31" s="280">
        <f>804000+180000</f>
        <v>984000</v>
      </c>
      <c r="KD31" s="280"/>
      <c r="KE31" s="280"/>
      <c r="KF31" s="280"/>
      <c r="KG31" s="280"/>
      <c r="KH31" s="280"/>
      <c r="KI31" s="280">
        <v>216000</v>
      </c>
      <c r="KJ31" s="280"/>
      <c r="KK31" s="280"/>
      <c r="KL31" s="280">
        <f>46500000+1000000+5200000+10710000</f>
        <v>63410000</v>
      </c>
      <c r="KM31" s="280">
        <v>3633987</v>
      </c>
      <c r="KN31" s="280"/>
      <c r="KO31" s="280"/>
      <c r="KP31" s="280"/>
      <c r="KQ31" s="280">
        <v>95700000</v>
      </c>
      <c r="KR31" s="280"/>
      <c r="KS31" s="280"/>
      <c r="KT31" s="280"/>
      <c r="KU31" s="280"/>
      <c r="KV31" s="280">
        <f>1154000+2880000+360000</f>
        <v>4394000</v>
      </c>
      <c r="KW31" s="280"/>
      <c r="KX31" s="280">
        <v>1064160000</v>
      </c>
      <c r="KY31" s="280"/>
      <c r="KZ31" s="280"/>
      <c r="LA31" s="280"/>
      <c r="LB31" s="280"/>
      <c r="LC31" s="280"/>
      <c r="LD31" s="280">
        <f>(313+6000+15895+14710+15000+5055+3600)*1000</f>
        <v>60573000</v>
      </c>
      <c r="LE31" s="280">
        <v>18094100</v>
      </c>
      <c r="LF31" s="280"/>
      <c r="LG31" s="280"/>
      <c r="LH31" s="280"/>
      <c r="LI31" s="280">
        <v>1149160000</v>
      </c>
      <c r="LJ31" s="280">
        <v>1189834000</v>
      </c>
      <c r="LK31" s="280">
        <v>143639600</v>
      </c>
      <c r="LL31" s="280"/>
      <c r="LM31" s="280"/>
    </row>
    <row r="33" spans="1:325" x14ac:dyDescent="0.6">
      <c r="A33" s="453" t="s">
        <v>2873</v>
      </c>
      <c r="B33" s="453"/>
      <c r="C33" s="453"/>
      <c r="D33" s="453"/>
      <c r="E33" s="280">
        <f>$B4*E4+$B5*E5+$B6*E6+$B7*E7+$B8*E8+$B9*E9+$B10*E10+$B11*E11+$B12*E12+$B13*E13+$B14*E14+$B15*E15+$B16*E16+$B17*E17+$B18*E18+$B19*E19+$B20*E20+$B21*E21+$B22*E22+$B23*E23+$B24*E24+$B25*E25+$B26*E26+$B27*E27+$B28*E28+$B29*E29+$B30*E30+$B31*E31</f>
        <v>11092000</v>
      </c>
      <c r="F33" s="280">
        <f t="shared" ref="F33:BQ33" si="0">$B4*F4+$B5*F5+$B6*F6+$B7*F7+$B8*F8+$B9*F9+$B10*F10+$B11*F11+$B12*F12+$B13*F13+$B14*F14+$B15*F15+$B16*F16+$B17*F17+$B18*F18+$B19*F19+$B20*F20+$B21*F21+$B22*F22+$B23*F23+$B24*F24+$B25*F25+$B26*F26+$B27*F27+$B28*F28+$B29*F29+$B30*F30+$B31*F31</f>
        <v>15189873.417721517</v>
      </c>
      <c r="G33" s="280">
        <f t="shared" si="0"/>
        <v>75200000</v>
      </c>
      <c r="H33" s="280">
        <f t="shared" si="0"/>
        <v>0</v>
      </c>
      <c r="I33" s="280">
        <f t="shared" si="0"/>
        <v>5268581332.4639053</v>
      </c>
      <c r="J33" s="280">
        <f t="shared" si="0"/>
        <v>0</v>
      </c>
      <c r="K33" s="280">
        <f t="shared" si="0"/>
        <v>0</v>
      </c>
      <c r="L33" s="280">
        <f t="shared" si="0"/>
        <v>15129000</v>
      </c>
      <c r="M33" s="280">
        <f t="shared" si="0"/>
        <v>70000000</v>
      </c>
      <c r="N33" s="280">
        <f t="shared" si="0"/>
        <v>1846030379.7468352</v>
      </c>
      <c r="O33" s="280">
        <f t="shared" si="0"/>
        <v>2652273640.5467606</v>
      </c>
      <c r="P33" s="280">
        <f t="shared" si="0"/>
        <v>10297639.411563462</v>
      </c>
      <c r="Q33" s="280">
        <f t="shared" si="0"/>
        <v>10297639.411563462</v>
      </c>
      <c r="R33" s="280">
        <f t="shared" si="0"/>
        <v>41070381.231671557</v>
      </c>
      <c r="S33" s="280">
        <f t="shared" si="0"/>
        <v>2025061948.3967221</v>
      </c>
      <c r="T33" s="280">
        <f t="shared" si="0"/>
        <v>611998645.56962025</v>
      </c>
      <c r="U33" s="280">
        <f t="shared" si="0"/>
        <v>95000000</v>
      </c>
      <c r="V33" s="280">
        <f t="shared" si="0"/>
        <v>37557000</v>
      </c>
      <c r="W33" s="280">
        <f t="shared" si="0"/>
        <v>230000000</v>
      </c>
      <c r="X33" s="280">
        <f t="shared" si="0"/>
        <v>0</v>
      </c>
      <c r="Y33" s="280">
        <f t="shared" si="0"/>
        <v>8308000</v>
      </c>
      <c r="Z33" s="280">
        <f t="shared" si="0"/>
        <v>1443472000</v>
      </c>
      <c r="AA33" s="280">
        <f t="shared" si="0"/>
        <v>18778000</v>
      </c>
      <c r="AB33" s="280">
        <f t="shared" si="0"/>
        <v>20268341.772151899</v>
      </c>
      <c r="AC33" s="280">
        <f t="shared" si="0"/>
        <v>10114525.214234229</v>
      </c>
      <c r="AD33" s="280">
        <f t="shared" si="0"/>
        <v>0</v>
      </c>
      <c r="AE33" s="280">
        <f t="shared" si="0"/>
        <v>0</v>
      </c>
      <c r="AF33" s="280">
        <f t="shared" si="0"/>
        <v>0</v>
      </c>
      <c r="AG33" s="280">
        <f t="shared" si="0"/>
        <v>101037780.92754345</v>
      </c>
      <c r="AH33" s="280">
        <f t="shared" si="0"/>
        <v>0</v>
      </c>
      <c r="AI33" s="280">
        <f t="shared" si="0"/>
        <v>0</v>
      </c>
      <c r="AJ33" s="280">
        <f t="shared" si="0"/>
        <v>1125948000</v>
      </c>
      <c r="AK33" s="280">
        <f t="shared" si="0"/>
        <v>0</v>
      </c>
      <c r="AL33" s="280">
        <f t="shared" si="0"/>
        <v>1637002000</v>
      </c>
      <c r="AM33" s="280">
        <f t="shared" si="0"/>
        <v>530000000</v>
      </c>
      <c r="AN33" s="280">
        <f t="shared" si="0"/>
        <v>0</v>
      </c>
      <c r="AO33" s="280">
        <f t="shared" si="0"/>
        <v>0</v>
      </c>
      <c r="AP33" s="280">
        <f t="shared" si="0"/>
        <v>1144339697</v>
      </c>
      <c r="AQ33" s="280">
        <f t="shared" si="0"/>
        <v>0</v>
      </c>
      <c r="AR33" s="280">
        <f t="shared" si="0"/>
        <v>0</v>
      </c>
      <c r="AS33" s="280">
        <f t="shared" si="0"/>
        <v>520401136.82278478</v>
      </c>
      <c r="AT33" s="280">
        <f t="shared" si="0"/>
        <v>0</v>
      </c>
      <c r="AU33" s="280">
        <f t="shared" si="0"/>
        <v>0</v>
      </c>
      <c r="AV33" s="280">
        <f t="shared" si="0"/>
        <v>17638812000</v>
      </c>
      <c r="AW33" s="280">
        <f t="shared" si="0"/>
        <v>0</v>
      </c>
      <c r="AX33" s="280">
        <f t="shared" si="0"/>
        <v>48642504.027617946</v>
      </c>
      <c r="AY33" s="280">
        <f t="shared" si="0"/>
        <v>38705000</v>
      </c>
      <c r="AZ33" s="280">
        <f t="shared" si="0"/>
        <v>341378596.08745682</v>
      </c>
      <c r="BA33" s="280">
        <f t="shared" si="0"/>
        <v>396958575.83544302</v>
      </c>
      <c r="BB33" s="280">
        <f t="shared" si="0"/>
        <v>264770910.75949365</v>
      </c>
      <c r="BC33" s="280">
        <f t="shared" si="0"/>
        <v>0</v>
      </c>
      <c r="BD33" s="280">
        <f t="shared" si="0"/>
        <v>0</v>
      </c>
      <c r="BE33" s="280">
        <f t="shared" si="0"/>
        <v>0</v>
      </c>
      <c r="BF33" s="280">
        <f t="shared" si="0"/>
        <v>707000</v>
      </c>
      <c r="BG33" s="280">
        <f t="shared" si="0"/>
        <v>313559000</v>
      </c>
      <c r="BH33" s="280">
        <f t="shared" si="0"/>
        <v>0</v>
      </c>
      <c r="BI33" s="280">
        <f t="shared" si="0"/>
        <v>0</v>
      </c>
      <c r="BJ33" s="280">
        <f t="shared" si="0"/>
        <v>95625477.324988514</v>
      </c>
      <c r="BK33" s="280">
        <f t="shared" si="0"/>
        <v>0</v>
      </c>
      <c r="BL33" s="280">
        <f t="shared" si="0"/>
        <v>12000000</v>
      </c>
      <c r="BM33" s="280">
        <f t="shared" si="0"/>
        <v>0</v>
      </c>
      <c r="BN33" s="280">
        <f t="shared" si="0"/>
        <v>15000000</v>
      </c>
      <c r="BO33" s="280">
        <f t="shared" si="0"/>
        <v>6246752</v>
      </c>
      <c r="BP33" s="280">
        <f t="shared" si="0"/>
        <v>0</v>
      </c>
      <c r="BQ33" s="280">
        <f t="shared" si="0"/>
        <v>0</v>
      </c>
      <c r="BR33" s="280">
        <f t="shared" ref="BR33:EC33" si="1">$B4*BR4+$B5*BR5+$B6*BR6+$B7*BR7+$B8*BR8+$B9*BR9+$B10*BR10+$B11*BR11+$B12*BR12+$B13*BR13+$B14*BR14+$B15*BR15+$B16*BR16+$B17*BR17+$B18*BR18+$B19*BR19+$B20*BR20+$B21*BR21+$B22*BR22+$B23*BR23+$B24*BR24+$B25*BR25+$B26*BR26+$B27*BR27+$B28*BR28+$B29*BR29+$B30*BR30+$B31*BR31</f>
        <v>0</v>
      </c>
      <c r="BS33" s="280">
        <f t="shared" si="1"/>
        <v>6545454.5454545459</v>
      </c>
      <c r="BT33" s="280">
        <f t="shared" si="1"/>
        <v>0</v>
      </c>
      <c r="BU33" s="280">
        <f t="shared" si="1"/>
        <v>0</v>
      </c>
      <c r="BV33" s="280">
        <f t="shared" si="1"/>
        <v>0</v>
      </c>
      <c r="BW33" s="280">
        <f t="shared" si="1"/>
        <v>0</v>
      </c>
      <c r="BX33" s="280">
        <f t="shared" si="1"/>
        <v>27179926.798720799</v>
      </c>
      <c r="BY33" s="280">
        <f t="shared" si="1"/>
        <v>13264416</v>
      </c>
      <c r="BZ33" s="280">
        <f t="shared" si="1"/>
        <v>2400000</v>
      </c>
      <c r="CA33" s="280">
        <f t="shared" si="1"/>
        <v>0</v>
      </c>
      <c r="CB33" s="280">
        <f t="shared" si="1"/>
        <v>55180150</v>
      </c>
      <c r="CC33" s="280">
        <f t="shared" si="1"/>
        <v>160826000</v>
      </c>
      <c r="CD33" s="280">
        <f t="shared" si="1"/>
        <v>3900000</v>
      </c>
      <c r="CE33" s="280">
        <f t="shared" si="1"/>
        <v>0</v>
      </c>
      <c r="CF33" s="280">
        <f t="shared" si="1"/>
        <v>0</v>
      </c>
      <c r="CG33" s="280">
        <f t="shared" si="1"/>
        <v>0</v>
      </c>
      <c r="CH33" s="280">
        <f t="shared" si="1"/>
        <v>0</v>
      </c>
      <c r="CI33" s="280">
        <f t="shared" si="1"/>
        <v>152185635.60220161</v>
      </c>
      <c r="CJ33" s="280">
        <f t="shared" si="1"/>
        <v>0</v>
      </c>
      <c r="CK33" s="280">
        <f t="shared" si="1"/>
        <v>9113924.0506329108</v>
      </c>
      <c r="CL33" s="280">
        <f t="shared" si="1"/>
        <v>0</v>
      </c>
      <c r="CM33" s="280">
        <f t="shared" si="1"/>
        <v>0</v>
      </c>
      <c r="CN33" s="280">
        <f t="shared" si="1"/>
        <v>0</v>
      </c>
      <c r="CO33" s="280">
        <f t="shared" si="1"/>
        <v>0</v>
      </c>
      <c r="CP33" s="280">
        <f t="shared" si="1"/>
        <v>0</v>
      </c>
      <c r="CQ33" s="280">
        <f t="shared" si="1"/>
        <v>0</v>
      </c>
      <c r="CR33" s="280">
        <f t="shared" si="1"/>
        <v>545454.54545454553</v>
      </c>
      <c r="CS33" s="280">
        <f t="shared" si="1"/>
        <v>688989.94074686512</v>
      </c>
      <c r="CT33" s="280">
        <f t="shared" si="1"/>
        <v>229506.32911392403</v>
      </c>
      <c r="CU33" s="280">
        <f t="shared" si="1"/>
        <v>0</v>
      </c>
      <c r="CV33" s="280">
        <f t="shared" si="1"/>
        <v>0</v>
      </c>
      <c r="CW33" s="280">
        <f t="shared" si="1"/>
        <v>675847000</v>
      </c>
      <c r="CX33" s="280">
        <f t="shared" si="1"/>
        <v>0</v>
      </c>
      <c r="CY33" s="280">
        <f t="shared" si="1"/>
        <v>0</v>
      </c>
      <c r="CZ33" s="280">
        <f t="shared" si="1"/>
        <v>0</v>
      </c>
      <c r="DA33" s="280">
        <f t="shared" si="1"/>
        <v>0</v>
      </c>
      <c r="DB33" s="280">
        <f t="shared" si="1"/>
        <v>20000000</v>
      </c>
      <c r="DC33" s="280">
        <f t="shared" si="1"/>
        <v>0</v>
      </c>
      <c r="DD33" s="280">
        <f t="shared" si="1"/>
        <v>30379746.835443035</v>
      </c>
      <c r="DE33" s="280">
        <f t="shared" si="1"/>
        <v>0</v>
      </c>
      <c r="DF33" s="280">
        <f t="shared" si="1"/>
        <v>0</v>
      </c>
      <c r="DG33" s="280">
        <f t="shared" si="1"/>
        <v>408108</v>
      </c>
      <c r="DH33" s="280">
        <f t="shared" si="1"/>
        <v>0</v>
      </c>
      <c r="DI33" s="280">
        <f t="shared" si="1"/>
        <v>24871941.031941034</v>
      </c>
      <c r="DJ33" s="280">
        <f t="shared" si="1"/>
        <v>0</v>
      </c>
      <c r="DK33" s="280">
        <f t="shared" si="1"/>
        <v>0</v>
      </c>
      <c r="DL33" s="280">
        <f t="shared" si="1"/>
        <v>19607903.673973445</v>
      </c>
      <c r="DM33" s="280">
        <f t="shared" si="1"/>
        <v>123037974.68354429</v>
      </c>
      <c r="DN33" s="280">
        <f t="shared" si="1"/>
        <v>0</v>
      </c>
      <c r="DO33" s="280">
        <f t="shared" si="1"/>
        <v>82784810.126582265</v>
      </c>
      <c r="DP33" s="280">
        <f t="shared" si="1"/>
        <v>301621621.62162161</v>
      </c>
      <c r="DQ33" s="280">
        <f t="shared" si="1"/>
        <v>0</v>
      </c>
      <c r="DR33" s="280">
        <f t="shared" si="1"/>
        <v>0</v>
      </c>
      <c r="DS33" s="280">
        <f t="shared" si="1"/>
        <v>0</v>
      </c>
      <c r="DT33" s="280">
        <f t="shared" si="1"/>
        <v>0</v>
      </c>
      <c r="DU33" s="280">
        <f t="shared" si="1"/>
        <v>0</v>
      </c>
      <c r="DV33" s="280">
        <f t="shared" si="1"/>
        <v>0</v>
      </c>
      <c r="DW33" s="280">
        <f t="shared" si="1"/>
        <v>39493670.886075944</v>
      </c>
      <c r="DX33" s="280">
        <f t="shared" si="1"/>
        <v>0</v>
      </c>
      <c r="DY33" s="280">
        <f t="shared" si="1"/>
        <v>0</v>
      </c>
      <c r="DZ33" s="280">
        <f t="shared" si="1"/>
        <v>6329113.9240506319</v>
      </c>
      <c r="EA33" s="280">
        <f t="shared" si="1"/>
        <v>0</v>
      </c>
      <c r="EB33" s="280">
        <f t="shared" si="1"/>
        <v>0</v>
      </c>
      <c r="EC33" s="280">
        <f t="shared" si="1"/>
        <v>0</v>
      </c>
      <c r="ED33" s="280">
        <f t="shared" ref="ED33:GO33" si="2">$B4*ED4+$B5*ED5+$B6*ED6+$B7*ED7+$B8*ED8+$B9*ED9+$B10*ED10+$B11*ED11+$B12*ED12+$B13*ED13+$B14*ED14+$B15*ED15+$B16*ED16+$B17*ED17+$B18*ED18+$B19*ED19+$B20*ED20+$B21*ED21+$B22*ED22+$B23*ED23+$B24*ED24+$B25*ED25+$B26*ED26+$B27*ED27+$B28*ED28+$B29*ED29+$B30*ED30+$B31*ED31</f>
        <v>0</v>
      </c>
      <c r="EE33" s="280">
        <f t="shared" si="2"/>
        <v>8474000</v>
      </c>
      <c r="EF33" s="280">
        <f t="shared" si="2"/>
        <v>0</v>
      </c>
      <c r="EG33" s="280">
        <f t="shared" si="2"/>
        <v>3441208584.4678278</v>
      </c>
      <c r="EH33" s="280">
        <f t="shared" si="2"/>
        <v>807756000</v>
      </c>
      <c r="EI33" s="280">
        <f t="shared" si="2"/>
        <v>0</v>
      </c>
      <c r="EJ33" s="280">
        <f t="shared" si="2"/>
        <v>8950000</v>
      </c>
      <c r="EK33" s="280">
        <f t="shared" si="2"/>
        <v>2927116000</v>
      </c>
      <c r="EL33" s="280">
        <f t="shared" si="2"/>
        <v>0</v>
      </c>
      <c r="EM33" s="280">
        <f t="shared" si="2"/>
        <v>544906329.11392403</v>
      </c>
      <c r="EN33" s="280">
        <f t="shared" si="2"/>
        <v>0</v>
      </c>
      <c r="EO33" s="280">
        <f t="shared" si="2"/>
        <v>0</v>
      </c>
      <c r="EP33" s="280">
        <f t="shared" si="2"/>
        <v>0</v>
      </c>
      <c r="EQ33" s="280">
        <f t="shared" si="2"/>
        <v>0</v>
      </c>
      <c r="ER33" s="280">
        <f t="shared" si="2"/>
        <v>104805084.50222373</v>
      </c>
      <c r="ES33" s="280">
        <f t="shared" si="2"/>
        <v>408000</v>
      </c>
      <c r="ET33" s="280">
        <f t="shared" si="2"/>
        <v>0</v>
      </c>
      <c r="EU33" s="280">
        <f t="shared" si="2"/>
        <v>0</v>
      </c>
      <c r="EV33" s="280">
        <f t="shared" si="2"/>
        <v>0</v>
      </c>
      <c r="EW33" s="280">
        <f t="shared" si="2"/>
        <v>0</v>
      </c>
      <c r="EX33" s="280">
        <f t="shared" si="2"/>
        <v>0</v>
      </c>
      <c r="EY33" s="280">
        <f t="shared" si="2"/>
        <v>0</v>
      </c>
      <c r="EZ33" s="280">
        <f t="shared" si="2"/>
        <v>36161477.933629826</v>
      </c>
      <c r="FA33" s="280">
        <f t="shared" si="2"/>
        <v>0</v>
      </c>
      <c r="FB33" s="280">
        <f t="shared" si="2"/>
        <v>0</v>
      </c>
      <c r="FC33" s="280">
        <f t="shared" si="2"/>
        <v>6119544.3037974685</v>
      </c>
      <c r="FD33" s="280">
        <f t="shared" si="2"/>
        <v>6417875</v>
      </c>
      <c r="FE33" s="280">
        <f t="shared" si="2"/>
        <v>102765301.18723512</v>
      </c>
      <c r="FF33" s="280">
        <f t="shared" si="2"/>
        <v>12658227.848101264</v>
      </c>
      <c r="FG33" s="280">
        <f t="shared" si="2"/>
        <v>900000</v>
      </c>
      <c r="FH33" s="280">
        <f t="shared" si="2"/>
        <v>77272441</v>
      </c>
      <c r="FI33" s="280">
        <f t="shared" si="2"/>
        <v>93776602.088607594</v>
      </c>
      <c r="FJ33" s="280">
        <f t="shared" si="2"/>
        <v>96446450</v>
      </c>
      <c r="FK33" s="280">
        <f t="shared" si="2"/>
        <v>0</v>
      </c>
      <c r="FL33" s="280">
        <f t="shared" si="2"/>
        <v>0</v>
      </c>
      <c r="FM33" s="280">
        <f t="shared" si="2"/>
        <v>102957422.32451093</v>
      </c>
      <c r="FN33" s="280">
        <f t="shared" si="2"/>
        <v>18700000</v>
      </c>
      <c r="FO33" s="280">
        <f t="shared" si="2"/>
        <v>42687007.749682888</v>
      </c>
      <c r="FP33" s="280">
        <f t="shared" si="2"/>
        <v>268629832.36400956</v>
      </c>
      <c r="FQ33" s="280">
        <f t="shared" si="2"/>
        <v>0</v>
      </c>
      <c r="FR33" s="280">
        <f t="shared" si="2"/>
        <v>18000000</v>
      </c>
      <c r="FS33" s="280">
        <f t="shared" si="2"/>
        <v>0</v>
      </c>
      <c r="FT33" s="280">
        <f t="shared" si="2"/>
        <v>0</v>
      </c>
      <c r="FU33" s="280">
        <f t="shared" si="2"/>
        <v>75853164.556962013</v>
      </c>
      <c r="FV33" s="280">
        <f t="shared" si="2"/>
        <v>19866377.445339471</v>
      </c>
      <c r="FW33" s="280">
        <f t="shared" si="2"/>
        <v>205565000</v>
      </c>
      <c r="FX33" s="280">
        <f t="shared" si="2"/>
        <v>0</v>
      </c>
      <c r="FY33" s="280">
        <f t="shared" si="2"/>
        <v>0</v>
      </c>
      <c r="FZ33" s="280">
        <f t="shared" si="2"/>
        <v>0</v>
      </c>
      <c r="GA33" s="280">
        <f t="shared" si="2"/>
        <v>0</v>
      </c>
      <c r="GB33" s="280">
        <f t="shared" si="2"/>
        <v>2923000</v>
      </c>
      <c r="GC33" s="280">
        <f t="shared" si="2"/>
        <v>0</v>
      </c>
      <c r="GD33" s="280">
        <f t="shared" si="2"/>
        <v>0</v>
      </c>
      <c r="GE33" s="280">
        <f t="shared" si="2"/>
        <v>30253164.556962021</v>
      </c>
      <c r="GF33" s="280">
        <f t="shared" si="2"/>
        <v>120000000</v>
      </c>
      <c r="GG33" s="280">
        <f t="shared" si="2"/>
        <v>0</v>
      </c>
      <c r="GH33" s="280">
        <f t="shared" si="2"/>
        <v>76252531.645569623</v>
      </c>
      <c r="GI33" s="280">
        <f t="shared" si="2"/>
        <v>7850000</v>
      </c>
      <c r="GJ33" s="280">
        <f t="shared" si="2"/>
        <v>0</v>
      </c>
      <c r="GK33" s="280">
        <f t="shared" si="2"/>
        <v>61070195.627157651</v>
      </c>
      <c r="GL33" s="280">
        <f t="shared" si="2"/>
        <v>0</v>
      </c>
      <c r="GM33" s="280">
        <f t="shared" si="2"/>
        <v>538009379.72773921</v>
      </c>
      <c r="GN33" s="280">
        <f t="shared" si="2"/>
        <v>0</v>
      </c>
      <c r="GO33" s="280">
        <f t="shared" si="2"/>
        <v>0</v>
      </c>
      <c r="GP33" s="280">
        <f t="shared" ref="GP33:JA33" si="3">$B4*GP4+$B5*GP5+$B6*GP6+$B7*GP7+$B8*GP8+$B9*GP9+$B10*GP10+$B11*GP11+$B12*GP12+$B13*GP13+$B14*GP14+$B15*GP15+$B16*GP16+$B17*GP17+$B18*GP18+$B19*GP19+$B20*GP20+$B21*GP21+$B22*GP22+$B23*GP23+$B24*GP24+$B25*GP25+$B26*GP26+$B27*GP27+$B28*GP28+$B29*GP29+$B30*GP30+$B31*GP31</f>
        <v>25112785166.833252</v>
      </c>
      <c r="GQ33" s="280">
        <f t="shared" si="3"/>
        <v>0</v>
      </c>
      <c r="GR33" s="280">
        <f t="shared" si="3"/>
        <v>0</v>
      </c>
      <c r="GS33" s="280">
        <f t="shared" si="3"/>
        <v>0</v>
      </c>
      <c r="GT33" s="280">
        <f t="shared" si="3"/>
        <v>0</v>
      </c>
      <c r="GU33" s="280">
        <f t="shared" si="3"/>
        <v>0</v>
      </c>
      <c r="GV33" s="280">
        <f t="shared" si="3"/>
        <v>0</v>
      </c>
      <c r="GW33" s="280">
        <f t="shared" si="3"/>
        <v>0</v>
      </c>
      <c r="GX33" s="280">
        <f t="shared" si="3"/>
        <v>34683880</v>
      </c>
      <c r="GY33" s="280">
        <f t="shared" si="3"/>
        <v>19636363.63636364</v>
      </c>
      <c r="GZ33" s="280">
        <f t="shared" si="3"/>
        <v>11346000</v>
      </c>
      <c r="HA33" s="280">
        <f t="shared" si="3"/>
        <v>0</v>
      </c>
      <c r="HB33" s="280">
        <f t="shared" si="3"/>
        <v>0</v>
      </c>
      <c r="HC33" s="280">
        <f t="shared" si="3"/>
        <v>0</v>
      </c>
      <c r="HD33" s="280">
        <f t="shared" si="3"/>
        <v>0</v>
      </c>
      <c r="HE33" s="280">
        <f t="shared" si="3"/>
        <v>0</v>
      </c>
      <c r="HF33" s="280">
        <f t="shared" si="3"/>
        <v>0</v>
      </c>
      <c r="HG33" s="280">
        <f t="shared" si="3"/>
        <v>287974683.54430377</v>
      </c>
      <c r="HH33" s="280">
        <f t="shared" si="3"/>
        <v>51086653</v>
      </c>
      <c r="HI33" s="280">
        <f t="shared" si="3"/>
        <v>0</v>
      </c>
      <c r="HJ33" s="280">
        <f t="shared" si="3"/>
        <v>0</v>
      </c>
      <c r="HK33" s="280">
        <f t="shared" si="3"/>
        <v>4000000</v>
      </c>
      <c r="HL33" s="280">
        <f t="shared" si="3"/>
        <v>84219780.424843714</v>
      </c>
      <c r="HM33" s="280">
        <f t="shared" si="3"/>
        <v>0</v>
      </c>
      <c r="HN33" s="280">
        <f t="shared" si="3"/>
        <v>0</v>
      </c>
      <c r="HO33" s="280">
        <f t="shared" si="3"/>
        <v>0</v>
      </c>
      <c r="HP33" s="280">
        <f t="shared" si="3"/>
        <v>0</v>
      </c>
      <c r="HQ33" s="280">
        <f t="shared" si="3"/>
        <v>2000000</v>
      </c>
      <c r="HR33" s="280">
        <f t="shared" si="3"/>
        <v>52000000</v>
      </c>
      <c r="HS33" s="280">
        <f t="shared" si="3"/>
        <v>12658227.848101264</v>
      </c>
      <c r="HT33" s="280">
        <f t="shared" si="3"/>
        <v>0</v>
      </c>
      <c r="HU33" s="280">
        <f t="shared" si="3"/>
        <v>0</v>
      </c>
      <c r="HV33" s="280">
        <f t="shared" si="3"/>
        <v>0</v>
      </c>
      <c r="HW33" s="280">
        <f t="shared" si="3"/>
        <v>0</v>
      </c>
      <c r="HX33" s="280">
        <f t="shared" si="3"/>
        <v>0</v>
      </c>
      <c r="HY33" s="280">
        <f t="shared" si="3"/>
        <v>0</v>
      </c>
      <c r="HZ33" s="280">
        <f t="shared" si="3"/>
        <v>17055000</v>
      </c>
      <c r="IA33" s="280">
        <f t="shared" si="3"/>
        <v>0</v>
      </c>
      <c r="IB33" s="280">
        <f t="shared" si="3"/>
        <v>0</v>
      </c>
      <c r="IC33" s="280">
        <f t="shared" si="3"/>
        <v>0</v>
      </c>
      <c r="ID33" s="280">
        <f t="shared" si="3"/>
        <v>0</v>
      </c>
      <c r="IE33" s="280">
        <f t="shared" si="3"/>
        <v>0</v>
      </c>
      <c r="IF33" s="280">
        <f t="shared" si="3"/>
        <v>0</v>
      </c>
      <c r="IG33" s="280">
        <f t="shared" si="3"/>
        <v>1271402000</v>
      </c>
      <c r="IH33" s="280">
        <f t="shared" si="3"/>
        <v>0</v>
      </c>
      <c r="II33" s="280">
        <f t="shared" si="3"/>
        <v>0</v>
      </c>
      <c r="IJ33" s="280">
        <f t="shared" si="3"/>
        <v>0</v>
      </c>
      <c r="IK33" s="280">
        <f t="shared" si="3"/>
        <v>0</v>
      </c>
      <c r="IL33" s="280">
        <f t="shared" si="3"/>
        <v>0</v>
      </c>
      <c r="IM33" s="280">
        <f t="shared" si="3"/>
        <v>0</v>
      </c>
      <c r="IN33" s="280">
        <f t="shared" si="3"/>
        <v>0</v>
      </c>
      <c r="IO33" s="280">
        <f t="shared" si="3"/>
        <v>0</v>
      </c>
      <c r="IP33" s="280">
        <f t="shared" si="3"/>
        <v>0</v>
      </c>
      <c r="IQ33" s="280">
        <f t="shared" si="3"/>
        <v>319299318</v>
      </c>
      <c r="IR33" s="280">
        <f t="shared" si="3"/>
        <v>0</v>
      </c>
      <c r="IS33" s="280">
        <f t="shared" si="3"/>
        <v>0</v>
      </c>
      <c r="IT33" s="280">
        <f t="shared" si="3"/>
        <v>6963291.1392405052</v>
      </c>
      <c r="IU33" s="280">
        <f t="shared" si="3"/>
        <v>0</v>
      </c>
      <c r="IV33" s="280">
        <f t="shared" si="3"/>
        <v>0</v>
      </c>
      <c r="IW33" s="280">
        <f t="shared" si="3"/>
        <v>0</v>
      </c>
      <c r="IX33" s="280">
        <f t="shared" si="3"/>
        <v>0</v>
      </c>
      <c r="IY33" s="280">
        <f t="shared" si="3"/>
        <v>3194809539</v>
      </c>
      <c r="IZ33" s="280">
        <f t="shared" si="3"/>
        <v>0</v>
      </c>
      <c r="JA33" s="280">
        <f t="shared" si="3"/>
        <v>0</v>
      </c>
      <c r="JB33" s="280">
        <f t="shared" ref="JB33:LM33" si="4">$B4*JB4+$B5*JB5+$B6*JB6+$B7*JB7+$B8*JB8+$B9*JB9+$B10*JB10+$B11*JB11+$B12*JB12+$B13*JB13+$B14*JB14+$B15*JB15+$B16*JB16+$B17*JB17+$B18*JB18+$B19*JB19+$B20*JB20+$B21*JB21+$B22*JB22+$B23*JB23+$B24*JB24+$B25*JB25+$B26*JB26+$B27*JB27+$B28*JB28+$B29*JB29+$B30*JB30+$B31*JB31</f>
        <v>0</v>
      </c>
      <c r="JC33" s="280">
        <f t="shared" si="4"/>
        <v>10800000</v>
      </c>
      <c r="JD33" s="280">
        <f t="shared" si="4"/>
        <v>0</v>
      </c>
      <c r="JE33" s="280">
        <f t="shared" si="4"/>
        <v>210063291.03797463</v>
      </c>
      <c r="JF33" s="280">
        <f t="shared" si="4"/>
        <v>0</v>
      </c>
      <c r="JG33" s="280">
        <f t="shared" si="4"/>
        <v>0</v>
      </c>
      <c r="JH33" s="280">
        <f t="shared" si="4"/>
        <v>0</v>
      </c>
      <c r="JI33" s="280">
        <f t="shared" si="4"/>
        <v>0</v>
      </c>
      <c r="JJ33" s="280">
        <f t="shared" si="4"/>
        <v>61364316.521480076</v>
      </c>
      <c r="JK33" s="280">
        <f t="shared" si="4"/>
        <v>199638947.67910379</v>
      </c>
      <c r="JL33" s="280">
        <f t="shared" si="4"/>
        <v>0</v>
      </c>
      <c r="JM33" s="280">
        <f t="shared" si="4"/>
        <v>3047945.2054794519</v>
      </c>
      <c r="JN33" s="280">
        <f t="shared" si="4"/>
        <v>0</v>
      </c>
      <c r="JO33" s="280">
        <f t="shared" si="4"/>
        <v>0</v>
      </c>
      <c r="JP33" s="280">
        <f t="shared" si="4"/>
        <v>223168612.53532797</v>
      </c>
      <c r="JQ33" s="280">
        <f t="shared" si="4"/>
        <v>0</v>
      </c>
      <c r="JR33" s="280">
        <f t="shared" si="4"/>
        <v>0</v>
      </c>
      <c r="JS33" s="280">
        <f t="shared" si="4"/>
        <v>0</v>
      </c>
      <c r="JT33" s="280">
        <f t="shared" si="4"/>
        <v>0</v>
      </c>
      <c r="JU33" s="280">
        <f t="shared" si="4"/>
        <v>11502620</v>
      </c>
      <c r="JV33" s="280">
        <f t="shared" si="4"/>
        <v>0</v>
      </c>
      <c r="JW33" s="280">
        <f t="shared" si="4"/>
        <v>0</v>
      </c>
      <c r="JX33" s="280">
        <f t="shared" si="4"/>
        <v>4439629939.12677</v>
      </c>
      <c r="JY33" s="280">
        <f t="shared" si="4"/>
        <v>0</v>
      </c>
      <c r="JZ33" s="280">
        <f t="shared" si="4"/>
        <v>0</v>
      </c>
      <c r="KA33" s="280">
        <f t="shared" si="4"/>
        <v>0</v>
      </c>
      <c r="KB33" s="280">
        <f t="shared" si="4"/>
        <v>239240000</v>
      </c>
      <c r="KC33" s="280">
        <f t="shared" si="4"/>
        <v>19893090.90909091</v>
      </c>
      <c r="KD33" s="280">
        <f t="shared" si="4"/>
        <v>0</v>
      </c>
      <c r="KE33" s="280">
        <f t="shared" si="4"/>
        <v>0</v>
      </c>
      <c r="KF33" s="280">
        <f t="shared" si="4"/>
        <v>0</v>
      </c>
      <c r="KG33" s="280">
        <f t="shared" si="4"/>
        <v>0</v>
      </c>
      <c r="KH33" s="280">
        <f t="shared" si="4"/>
        <v>0</v>
      </c>
      <c r="KI33" s="280">
        <f t="shared" si="4"/>
        <v>30921555.875824809</v>
      </c>
      <c r="KJ33" s="280">
        <f t="shared" si="4"/>
        <v>0</v>
      </c>
      <c r="KK33" s="280">
        <f t="shared" si="4"/>
        <v>0</v>
      </c>
      <c r="KL33" s="280">
        <f t="shared" si="4"/>
        <v>63410000</v>
      </c>
      <c r="KM33" s="280">
        <f t="shared" si="4"/>
        <v>3633987</v>
      </c>
      <c r="KN33" s="280">
        <f t="shared" si="4"/>
        <v>0</v>
      </c>
      <c r="KO33" s="280">
        <f t="shared" si="4"/>
        <v>0</v>
      </c>
      <c r="KP33" s="280">
        <f t="shared" si="4"/>
        <v>0</v>
      </c>
      <c r="KQ33" s="280">
        <f t="shared" si="4"/>
        <v>222256962.02531645</v>
      </c>
      <c r="KR33" s="280">
        <f t="shared" si="4"/>
        <v>110255098.07275631</v>
      </c>
      <c r="KS33" s="280">
        <f t="shared" si="4"/>
        <v>41891891.891891897</v>
      </c>
      <c r="KT33" s="280">
        <f t="shared" si="4"/>
        <v>1628725478.0390337</v>
      </c>
      <c r="KU33" s="280">
        <f t="shared" si="4"/>
        <v>0</v>
      </c>
      <c r="KV33" s="280">
        <f t="shared" si="4"/>
        <v>170386087.45684695</v>
      </c>
      <c r="KW33" s="280">
        <f t="shared" si="4"/>
        <v>0</v>
      </c>
      <c r="KX33" s="280">
        <f t="shared" si="4"/>
        <v>1064160000</v>
      </c>
      <c r="KY33" s="280">
        <f t="shared" si="4"/>
        <v>0</v>
      </c>
      <c r="KZ33" s="280">
        <f t="shared" si="4"/>
        <v>467613924.05063283</v>
      </c>
      <c r="LA33" s="280">
        <f t="shared" si="4"/>
        <v>0</v>
      </c>
      <c r="LB33" s="280">
        <f t="shared" si="4"/>
        <v>135818181.81818181</v>
      </c>
      <c r="LC33" s="280">
        <f t="shared" si="4"/>
        <v>0</v>
      </c>
      <c r="LD33" s="280">
        <f t="shared" si="4"/>
        <v>87810100.115074798</v>
      </c>
      <c r="LE33" s="280">
        <f t="shared" si="4"/>
        <v>492639669.62025309</v>
      </c>
      <c r="LF33" s="280">
        <f t="shared" si="4"/>
        <v>0</v>
      </c>
      <c r="LG33" s="280">
        <f t="shared" si="4"/>
        <v>0</v>
      </c>
      <c r="LH33" s="280">
        <f t="shared" si="4"/>
        <v>0</v>
      </c>
      <c r="LI33" s="280">
        <f t="shared" si="4"/>
        <v>1149160000</v>
      </c>
      <c r="LJ33" s="280">
        <f t="shared" si="4"/>
        <v>1189834000</v>
      </c>
      <c r="LK33" s="280">
        <f t="shared" si="4"/>
        <v>219843068.20358908</v>
      </c>
      <c r="LL33" s="280">
        <f t="shared" si="4"/>
        <v>0</v>
      </c>
      <c r="LM33" s="280">
        <f t="shared" si="4"/>
        <v>0</v>
      </c>
    </row>
  </sheetData>
  <mergeCells count="2">
    <mergeCell ref="A33:D33"/>
    <mergeCell ref="B1:C1"/>
  </mergeCells>
  <phoneticPr fontId="16" type="noConversion"/>
  <hyperlinks>
    <hyperlink ref="E2" r:id="rId1"/>
    <hyperlink ref="J2" r:id="rId2"/>
    <hyperlink ref="K2" r:id="rId3"/>
    <hyperlink ref="L2" r:id="rId4"/>
    <hyperlink ref="M2" r:id="rId5"/>
    <hyperlink ref="N2" r:id="rId6"/>
    <hyperlink ref="O2" r:id="rId7"/>
    <hyperlink ref="P2" r:id="rId8"/>
    <hyperlink ref="Q2" r:id="rId9"/>
    <hyperlink ref="R2" r:id="rId10"/>
    <hyperlink ref="S2" r:id="rId11"/>
    <hyperlink ref="T2" r:id="rId12"/>
    <hyperlink ref="U2" r:id="rId13"/>
    <hyperlink ref="V2" r:id="rId14"/>
    <hyperlink ref="W2" r:id="rId15"/>
    <hyperlink ref="X2" r:id="rId16"/>
    <hyperlink ref="Y2" r:id="rId17"/>
    <hyperlink ref="Z2" r:id="rId18"/>
    <hyperlink ref="AA2" r:id="rId19"/>
    <hyperlink ref="AB2" r:id="rId20"/>
    <hyperlink ref="AC2" r:id="rId21"/>
    <hyperlink ref="AD2" r:id="rId22"/>
    <hyperlink ref="AE2" r:id="rId23"/>
    <hyperlink ref="AF2" r:id="rId24"/>
    <hyperlink ref="AG2" r:id="rId25"/>
    <hyperlink ref="AH2" r:id="rId26"/>
    <hyperlink ref="AI2" r:id="rId27"/>
    <hyperlink ref="AJ2" r:id="rId28"/>
    <hyperlink ref="AK2" r:id="rId29"/>
    <hyperlink ref="AL2" r:id="rId30"/>
    <hyperlink ref="AM2" r:id="rId31"/>
    <hyperlink ref="AN2" r:id="rId32"/>
    <hyperlink ref="AO2" r:id="rId33"/>
    <hyperlink ref="AP2" r:id="rId34"/>
    <hyperlink ref="AQ2" r:id="rId35"/>
    <hyperlink ref="AR2" r:id="rId36"/>
    <hyperlink ref="AS2" r:id="rId37"/>
    <hyperlink ref="AT2" r:id="rId38"/>
    <hyperlink ref="AU2" r:id="rId39"/>
    <hyperlink ref="AV2" r:id="rId40"/>
    <hyperlink ref="AW2" r:id="rId41"/>
    <hyperlink ref="AX2" r:id="rId42"/>
    <hyperlink ref="AY2" r:id="rId43"/>
    <hyperlink ref="AZ2" r:id="rId44"/>
    <hyperlink ref="BA2" r:id="rId45"/>
    <hyperlink ref="BB2" r:id="rId46"/>
    <hyperlink ref="BC2" r:id="rId47"/>
    <hyperlink ref="BD2" r:id="rId48"/>
    <hyperlink ref="BE2" r:id="rId49"/>
    <hyperlink ref="BF2" r:id="rId50"/>
    <hyperlink ref="BG2" r:id="rId51"/>
    <hyperlink ref="BH2" r:id="rId52"/>
    <hyperlink ref="BI2" r:id="rId53"/>
    <hyperlink ref="BJ2" r:id="rId54"/>
    <hyperlink ref="BK2" r:id="rId55"/>
    <hyperlink ref="BL2" r:id="rId56"/>
    <hyperlink ref="BM2" r:id="rId57"/>
    <hyperlink ref="BN2" r:id="rId58"/>
    <hyperlink ref="BO2" r:id="rId59"/>
    <hyperlink ref="BP2" r:id="rId60"/>
    <hyperlink ref="BQ2" r:id="rId61"/>
    <hyperlink ref="BR2" r:id="rId62"/>
    <hyperlink ref="BS2" r:id="rId63"/>
    <hyperlink ref="BT2" r:id="rId64"/>
    <hyperlink ref="BU2" r:id="rId65"/>
    <hyperlink ref="BV2" r:id="rId66"/>
    <hyperlink ref="BW2" r:id="rId67"/>
    <hyperlink ref="BX2" r:id="rId68"/>
    <hyperlink ref="BY2" r:id="rId69"/>
    <hyperlink ref="BZ2" r:id="rId70"/>
    <hyperlink ref="CA2" r:id="rId71"/>
    <hyperlink ref="CB2" r:id="rId72"/>
    <hyperlink ref="CC2" r:id="rId73"/>
    <hyperlink ref="CD2" r:id="rId74"/>
    <hyperlink ref="CE2" r:id="rId75"/>
    <hyperlink ref="CF2" r:id="rId76"/>
    <hyperlink ref="CG2" r:id="rId77"/>
    <hyperlink ref="CH2" r:id="rId78"/>
    <hyperlink ref="CI2" r:id="rId79"/>
    <hyperlink ref="CJ2" r:id="rId80"/>
    <hyperlink ref="CK2" r:id="rId81"/>
    <hyperlink ref="CL2" r:id="rId82"/>
    <hyperlink ref="CM2" r:id="rId83"/>
    <hyperlink ref="CN2" r:id="rId84"/>
    <hyperlink ref="CO2" r:id="rId85"/>
    <hyperlink ref="CP2" r:id="rId86"/>
    <hyperlink ref="CQ2" r:id="rId87"/>
    <hyperlink ref="CR2" r:id="rId88"/>
    <hyperlink ref="CS2" r:id="rId89"/>
    <hyperlink ref="CT2" r:id="rId90"/>
    <hyperlink ref="CU2" r:id="rId91"/>
    <hyperlink ref="CV2" r:id="rId92"/>
    <hyperlink ref="CW2" r:id="rId93"/>
    <hyperlink ref="CX2" r:id="rId94"/>
    <hyperlink ref="CY2" r:id="rId95"/>
    <hyperlink ref="CZ2" r:id="rId96"/>
    <hyperlink ref="DA2" r:id="rId97"/>
    <hyperlink ref="DB2" r:id="rId98"/>
    <hyperlink ref="DC2" r:id="rId99"/>
    <hyperlink ref="DD2" r:id="rId100"/>
    <hyperlink ref="DE2" r:id="rId101"/>
    <hyperlink ref="DF2" r:id="rId102"/>
    <hyperlink ref="DG2" r:id="rId103"/>
    <hyperlink ref="DH2" r:id="rId104"/>
    <hyperlink ref="DI2" r:id="rId105"/>
    <hyperlink ref="DJ2" r:id="rId106"/>
    <hyperlink ref="DK2" r:id="rId107"/>
    <hyperlink ref="DL2" r:id="rId108"/>
    <hyperlink ref="DM2" r:id="rId109"/>
    <hyperlink ref="DN2" r:id="rId110"/>
    <hyperlink ref="DO2" r:id="rId111"/>
    <hyperlink ref="DP2" r:id="rId112"/>
    <hyperlink ref="DQ2" r:id="rId113"/>
    <hyperlink ref="DR2" r:id="rId114"/>
    <hyperlink ref="DS2" r:id="rId115"/>
    <hyperlink ref="DT2" r:id="rId116"/>
    <hyperlink ref="DU2" r:id="rId117"/>
    <hyperlink ref="DV2" r:id="rId118"/>
    <hyperlink ref="DW2" r:id="rId119"/>
    <hyperlink ref="DX2" r:id="rId120"/>
    <hyperlink ref="DY2" r:id="rId121"/>
    <hyperlink ref="DZ2" r:id="rId122"/>
    <hyperlink ref="EA2" r:id="rId123"/>
    <hyperlink ref="EB2" r:id="rId124"/>
    <hyperlink ref="EC2" r:id="rId125"/>
    <hyperlink ref="ED2" r:id="rId126"/>
    <hyperlink ref="EE2" r:id="rId127"/>
    <hyperlink ref="EF2" r:id="rId128"/>
    <hyperlink ref="EG2" r:id="rId129"/>
    <hyperlink ref="EH2" r:id="rId130"/>
    <hyperlink ref="EI2" r:id="rId131"/>
    <hyperlink ref="EJ2" r:id="rId132"/>
    <hyperlink ref="EK2" r:id="rId133"/>
    <hyperlink ref="EL2" r:id="rId134"/>
    <hyperlink ref="EM2" r:id="rId135"/>
    <hyperlink ref="EN2" r:id="rId136"/>
    <hyperlink ref="EO2" r:id="rId137"/>
    <hyperlink ref="EP2" r:id="rId138"/>
    <hyperlink ref="EQ2" r:id="rId139"/>
    <hyperlink ref="ER2" r:id="rId140"/>
    <hyperlink ref="ES2" r:id="rId141"/>
    <hyperlink ref="ET2" r:id="rId142"/>
    <hyperlink ref="EU2" r:id="rId143"/>
    <hyperlink ref="EV2" r:id="rId144"/>
    <hyperlink ref="EW2" r:id="rId145"/>
    <hyperlink ref="EX2" r:id="rId146"/>
    <hyperlink ref="EY2" r:id="rId147"/>
    <hyperlink ref="EZ2" r:id="rId148"/>
    <hyperlink ref="FA2" r:id="rId149"/>
    <hyperlink ref="FB2" r:id="rId150"/>
    <hyperlink ref="FC2" r:id="rId151"/>
    <hyperlink ref="FD2" r:id="rId152"/>
    <hyperlink ref="FE2" r:id="rId153"/>
    <hyperlink ref="FF2" r:id="rId154"/>
    <hyperlink ref="FG2" r:id="rId155"/>
    <hyperlink ref="FH2" r:id="rId156"/>
    <hyperlink ref="FI2" r:id="rId157"/>
    <hyperlink ref="FJ2" r:id="rId158"/>
    <hyperlink ref="FK2" r:id="rId159"/>
    <hyperlink ref="FL2" r:id="rId160"/>
    <hyperlink ref="FM2" r:id="rId161"/>
    <hyperlink ref="FN2" r:id="rId162"/>
    <hyperlink ref="FO2" r:id="rId163"/>
    <hyperlink ref="FP2" r:id="rId164"/>
    <hyperlink ref="FQ2" r:id="rId165"/>
    <hyperlink ref="FR2" r:id="rId166"/>
    <hyperlink ref="FS2" r:id="rId167"/>
    <hyperlink ref="FT2" r:id="rId168"/>
    <hyperlink ref="FU2" r:id="rId169"/>
    <hyperlink ref="FV2" r:id="rId170"/>
    <hyperlink ref="FW2" r:id="rId171"/>
    <hyperlink ref="FX2" r:id="rId172"/>
    <hyperlink ref="FY2" r:id="rId173"/>
    <hyperlink ref="FZ2" r:id="rId174"/>
    <hyperlink ref="GA2" r:id="rId175"/>
    <hyperlink ref="GB2" r:id="rId176"/>
    <hyperlink ref="GC2" r:id="rId177"/>
    <hyperlink ref="GD2" r:id="rId178"/>
    <hyperlink ref="GE2" r:id="rId179"/>
    <hyperlink ref="GF2" r:id="rId180"/>
    <hyperlink ref="GG2" r:id="rId181"/>
    <hyperlink ref="GH2" r:id="rId182"/>
    <hyperlink ref="GI2" r:id="rId183"/>
    <hyperlink ref="GJ2" r:id="rId184"/>
    <hyperlink ref="GK2" r:id="rId185"/>
    <hyperlink ref="GL2" r:id="rId186"/>
    <hyperlink ref="GM2" r:id="rId187"/>
    <hyperlink ref="GN2" r:id="rId188"/>
    <hyperlink ref="GO2" r:id="rId189"/>
    <hyperlink ref="GP2" r:id="rId190"/>
    <hyperlink ref="GQ2" r:id="rId191"/>
    <hyperlink ref="GR2" r:id="rId192"/>
    <hyperlink ref="GS2" r:id="rId193"/>
    <hyperlink ref="GT2" r:id="rId194"/>
    <hyperlink ref="GU2" r:id="rId195"/>
    <hyperlink ref="GV2" r:id="rId196"/>
    <hyperlink ref="GW2" r:id="rId197"/>
    <hyperlink ref="GX2" r:id="rId198"/>
    <hyperlink ref="GY2" r:id="rId199"/>
    <hyperlink ref="GZ2" r:id="rId200"/>
    <hyperlink ref="HA2" r:id="rId201"/>
    <hyperlink ref="HB2" r:id="rId202"/>
    <hyperlink ref="HC2" r:id="rId203"/>
    <hyperlink ref="HD2" r:id="rId204"/>
    <hyperlink ref="HE2" r:id="rId205"/>
    <hyperlink ref="HF2" r:id="rId206"/>
    <hyperlink ref="HG2" r:id="rId207"/>
    <hyperlink ref="HH2" r:id="rId208"/>
    <hyperlink ref="HI2" r:id="rId209"/>
    <hyperlink ref="HJ2" r:id="rId210"/>
    <hyperlink ref="HK2" r:id="rId211"/>
    <hyperlink ref="HL2" r:id="rId212"/>
    <hyperlink ref="HM2" r:id="rId213"/>
    <hyperlink ref="HN2" r:id="rId214"/>
    <hyperlink ref="HO2" r:id="rId215"/>
    <hyperlink ref="HP2" r:id="rId216"/>
    <hyperlink ref="HQ2" r:id="rId217"/>
    <hyperlink ref="HR2" r:id="rId218"/>
    <hyperlink ref="HS2" r:id="rId219"/>
    <hyperlink ref="HT2" r:id="rId220"/>
    <hyperlink ref="HU2" r:id="rId221"/>
    <hyperlink ref="HV2" r:id="rId222"/>
    <hyperlink ref="HW2" r:id="rId223"/>
    <hyperlink ref="HX2" r:id="rId224"/>
    <hyperlink ref="HY2" r:id="rId225"/>
    <hyperlink ref="HZ2" r:id="rId226"/>
    <hyperlink ref="IA2" r:id="rId227"/>
    <hyperlink ref="IB2" r:id="rId228"/>
    <hyperlink ref="IC2" r:id="rId229"/>
    <hyperlink ref="ID2" r:id="rId230"/>
    <hyperlink ref="IE2" r:id="rId231"/>
    <hyperlink ref="IF2" r:id="rId232"/>
    <hyperlink ref="IG2" r:id="rId233"/>
    <hyperlink ref="IH2" r:id="rId234"/>
    <hyperlink ref="II2" r:id="rId235"/>
    <hyperlink ref="IJ2" r:id="rId236"/>
    <hyperlink ref="IK2" r:id="rId237"/>
    <hyperlink ref="IL2" r:id="rId238"/>
    <hyperlink ref="IM2" r:id="rId239"/>
    <hyperlink ref="IN2" r:id="rId240"/>
    <hyperlink ref="IO2" r:id="rId241"/>
    <hyperlink ref="IP2" r:id="rId242"/>
    <hyperlink ref="IQ2" r:id="rId243"/>
    <hyperlink ref="IR2" r:id="rId244"/>
    <hyperlink ref="IS2" r:id="rId245"/>
    <hyperlink ref="IT2" r:id="rId246"/>
    <hyperlink ref="IU2" r:id="rId247"/>
    <hyperlink ref="IV2" r:id="rId248"/>
    <hyperlink ref="IW2" r:id="rId249"/>
    <hyperlink ref="IX2" r:id="rId250"/>
    <hyperlink ref="IY2" r:id="rId251"/>
    <hyperlink ref="IZ2" r:id="rId252"/>
    <hyperlink ref="JA2" r:id="rId253"/>
    <hyperlink ref="JB2" r:id="rId254"/>
    <hyperlink ref="JC2" r:id="rId255"/>
    <hyperlink ref="JD2" r:id="rId256"/>
    <hyperlink ref="JE2" r:id="rId257"/>
    <hyperlink ref="JF2" r:id="rId258"/>
    <hyperlink ref="JG2" r:id="rId259"/>
    <hyperlink ref="JH2" r:id="rId260"/>
    <hyperlink ref="JI2" r:id="rId261"/>
    <hyperlink ref="JJ2" r:id="rId262"/>
    <hyperlink ref="JK2" r:id="rId263"/>
    <hyperlink ref="JL2" r:id="rId264"/>
    <hyperlink ref="JM2" r:id="rId265"/>
    <hyperlink ref="JN2" r:id="rId266"/>
    <hyperlink ref="JO2" r:id="rId267"/>
    <hyperlink ref="JP2" r:id="rId268"/>
    <hyperlink ref="JQ2" r:id="rId269"/>
    <hyperlink ref="JR2" r:id="rId270"/>
    <hyperlink ref="JS2" r:id="rId271"/>
    <hyperlink ref="JT2" r:id="rId272"/>
    <hyperlink ref="JU2" r:id="rId273"/>
    <hyperlink ref="JV2" r:id="rId274"/>
    <hyperlink ref="JW2" r:id="rId275"/>
    <hyperlink ref="JX2" r:id="rId276"/>
    <hyperlink ref="JY2" r:id="rId277"/>
    <hyperlink ref="JZ2" r:id="rId278"/>
    <hyperlink ref="KA2" r:id="rId279"/>
    <hyperlink ref="KB2" r:id="rId280"/>
    <hyperlink ref="KC2" r:id="rId281"/>
    <hyperlink ref="KD2" r:id="rId282"/>
    <hyperlink ref="KE2" r:id="rId283"/>
    <hyperlink ref="KF2" r:id="rId284"/>
    <hyperlink ref="KG2" r:id="rId285"/>
    <hyperlink ref="KH2" r:id="rId286"/>
    <hyperlink ref="KI2" r:id="rId287"/>
    <hyperlink ref="KJ2" r:id="rId288"/>
    <hyperlink ref="KK2" r:id="rId289"/>
    <hyperlink ref="KL2" r:id="rId290"/>
    <hyperlink ref="KM2" r:id="rId291"/>
    <hyperlink ref="KN2" r:id="rId292"/>
    <hyperlink ref="KO2" r:id="rId293"/>
    <hyperlink ref="KP2" r:id="rId294"/>
    <hyperlink ref="KQ2" r:id="rId295"/>
    <hyperlink ref="KR2" r:id="rId296"/>
    <hyperlink ref="KS2" r:id="rId297"/>
    <hyperlink ref="KT2" r:id="rId298"/>
    <hyperlink ref="KU2" r:id="rId299"/>
    <hyperlink ref="KV2" r:id="rId300"/>
    <hyperlink ref="KW2" r:id="rId301"/>
    <hyperlink ref="KX2" r:id="rId302"/>
    <hyperlink ref="KY2" r:id="rId303"/>
    <hyperlink ref="KZ2" r:id="rId304"/>
    <hyperlink ref="LA2" r:id="rId305"/>
    <hyperlink ref="LB2" r:id="rId306"/>
    <hyperlink ref="LC2" r:id="rId307"/>
    <hyperlink ref="LD2" r:id="rId308"/>
    <hyperlink ref="LE2" r:id="rId309"/>
    <hyperlink ref="LF2" r:id="rId310"/>
    <hyperlink ref="LG2" r:id="rId311"/>
    <hyperlink ref="LH2" r:id="rId312"/>
    <hyperlink ref="LI2" r:id="rId313"/>
    <hyperlink ref="LJ2" r:id="rId314"/>
    <hyperlink ref="LK2" r:id="rId315"/>
    <hyperlink ref="LL2" r:id="rId316"/>
    <hyperlink ref="LM2" r:id="rId317"/>
  </hyperlinks>
  <pageMargins left="0.69972223043441772" right="0.69972223043441772" top="0.75" bottom="0.75" header="0.30000001192092896" footer="0.30000001192092896"/>
  <pageSetup paperSize="9" fitToWidth="0" fitToHeight="0" orientation="portrait"/>
  <legacyDrawing r:id="rId3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C000"/>
  </sheetPr>
  <dimension ref="A1:BS323"/>
  <sheetViews>
    <sheetView zoomScale="90" zoomScaleNormal="90" zoomScaleSheetLayoutView="75" workbookViewId="0">
      <pane xSplit="4" ySplit="1" topLeftCell="BH2" activePane="bottomRight" state="frozen"/>
      <selection pane="topRight"/>
      <selection pane="bottomLeft"/>
      <selection pane="bottomRight" activeCell="AG2" sqref="AG2"/>
    </sheetView>
  </sheetViews>
  <sheetFormatPr defaultColWidth="9" defaultRowHeight="16.899999999999999" x14ac:dyDescent="0.6"/>
  <cols>
    <col min="1" max="1" width="20.5625" style="8" customWidth="1"/>
    <col min="2" max="3" width="9" customWidth="1"/>
    <col min="4" max="4" width="18.8125" bestFit="1" customWidth="1"/>
    <col min="5" max="11" width="9" customWidth="1"/>
    <col min="12" max="18" width="15.5625" customWidth="1"/>
    <col min="19" max="20" width="10.5625" style="75" customWidth="1"/>
    <col min="21" max="21" width="10.5625" style="76" customWidth="1"/>
    <col min="22" max="30" width="10.5625" style="66" customWidth="1"/>
    <col min="31" max="31" width="10.5625" style="67" customWidth="1"/>
    <col min="32" max="36" width="10.5625" style="66" customWidth="1"/>
    <col min="37" max="40" width="10.5625" style="393" customWidth="1"/>
    <col min="41" max="41" width="10.5625" style="394" customWidth="1"/>
    <col min="42" max="43" width="10.5625" customWidth="1"/>
    <col min="44" max="44" width="10.5625" style="67" customWidth="1"/>
    <col min="45" max="45" width="10.5625" style="396" customWidth="1"/>
    <col min="46" max="46" width="10.5625" style="394" customWidth="1"/>
    <col min="47" max="48" width="10.5625" style="86" customWidth="1"/>
    <col min="49" max="52" width="10.5625" style="66" customWidth="1"/>
    <col min="53" max="53" width="10.5625" style="371" customWidth="1"/>
    <col min="54" max="54" width="10.5625" style="66" customWidth="1"/>
    <col min="55" max="55" width="10.5625" style="67" customWidth="1"/>
    <col min="56" max="59" width="10.5625" style="66" customWidth="1"/>
    <col min="60" max="60" width="10.5625" style="68" customWidth="1"/>
    <col min="61" max="63" width="10.5625" style="66" customWidth="1"/>
    <col min="64" max="64" width="10.5625" style="95" customWidth="1"/>
    <col min="65" max="68" width="10.5625" style="66" customWidth="1"/>
    <col min="69" max="69" width="10.5625" style="68" customWidth="1"/>
    <col min="70" max="70" width="10.5625" style="98" customWidth="1"/>
    <col min="71" max="71" width="10.5625" style="97" customWidth="1"/>
  </cols>
  <sheetData>
    <row r="1" spans="1:71" s="372" customFormat="1" ht="100.05" customHeight="1" x14ac:dyDescent="0.6">
      <c r="A1" s="312" t="s">
        <v>695</v>
      </c>
      <c r="B1" s="314" t="s">
        <v>265</v>
      </c>
      <c r="C1" s="312" t="s">
        <v>510</v>
      </c>
      <c r="D1" s="312" t="s">
        <v>860</v>
      </c>
      <c r="E1" s="312" t="s">
        <v>807</v>
      </c>
      <c r="F1" s="312" t="s">
        <v>295</v>
      </c>
      <c r="G1" s="312" t="s">
        <v>680</v>
      </c>
      <c r="H1" s="312" t="s">
        <v>691</v>
      </c>
      <c r="I1" s="312" t="s">
        <v>364</v>
      </c>
      <c r="J1" s="312" t="s">
        <v>946</v>
      </c>
      <c r="K1" s="312" t="s">
        <v>696</v>
      </c>
      <c r="L1" s="312" t="s">
        <v>201</v>
      </c>
      <c r="M1" s="312" t="s">
        <v>263</v>
      </c>
      <c r="N1" s="312" t="s">
        <v>212</v>
      </c>
      <c r="O1" s="312" t="s">
        <v>198</v>
      </c>
      <c r="P1" s="312" t="s">
        <v>229</v>
      </c>
      <c r="Q1" s="312" t="s">
        <v>960</v>
      </c>
      <c r="R1" s="312" t="s">
        <v>277</v>
      </c>
      <c r="S1" s="323" t="s">
        <v>2874</v>
      </c>
      <c r="T1" s="324" t="s">
        <v>378</v>
      </c>
      <c r="U1" s="326" t="s">
        <v>981</v>
      </c>
      <c r="V1" s="327" t="s">
        <v>2875</v>
      </c>
      <c r="W1" s="323" t="s">
        <v>2876</v>
      </c>
      <c r="X1" s="323" t="s">
        <v>2877</v>
      </c>
      <c r="Y1" s="323" t="s">
        <v>2878</v>
      </c>
      <c r="Z1" s="323" t="s">
        <v>2879</v>
      </c>
      <c r="AA1" s="323" t="s">
        <v>2880</v>
      </c>
      <c r="AB1" s="323" t="s">
        <v>2881</v>
      </c>
      <c r="AC1" s="324" t="s">
        <v>2882</v>
      </c>
      <c r="AD1" s="324" t="s">
        <v>627</v>
      </c>
      <c r="AE1" s="329" t="s">
        <v>2883</v>
      </c>
      <c r="AF1" s="327" t="s">
        <v>2884</v>
      </c>
      <c r="AG1" s="323" t="s">
        <v>2885</v>
      </c>
      <c r="AH1" s="74" t="s">
        <v>1329</v>
      </c>
      <c r="AI1" s="74" t="s">
        <v>238</v>
      </c>
      <c r="AJ1" s="78" t="s">
        <v>1381</v>
      </c>
      <c r="AK1" s="316" t="s">
        <v>3783</v>
      </c>
      <c r="AL1" s="316" t="s">
        <v>2886</v>
      </c>
      <c r="AM1" s="316" t="s">
        <v>2887</v>
      </c>
      <c r="AN1" s="316" t="s">
        <v>2888</v>
      </c>
      <c r="AO1" s="330" t="s">
        <v>2889</v>
      </c>
      <c r="AP1" s="73" t="s">
        <v>1330</v>
      </c>
      <c r="AQ1" s="84" t="s">
        <v>580</v>
      </c>
      <c r="AR1" s="80" t="s">
        <v>1382</v>
      </c>
      <c r="AS1" s="331" t="s">
        <v>2890</v>
      </c>
      <c r="AT1" s="330" t="s">
        <v>2891</v>
      </c>
      <c r="AU1" s="88" t="s">
        <v>581</v>
      </c>
      <c r="AV1" s="85" t="s">
        <v>1331</v>
      </c>
      <c r="AW1" s="332" t="s">
        <v>2892</v>
      </c>
      <c r="AX1" s="74" t="s">
        <v>278</v>
      </c>
      <c r="AY1" s="89" t="s">
        <v>257</v>
      </c>
      <c r="AZ1" s="323" t="s">
        <v>2893</v>
      </c>
      <c r="BA1" s="330" t="s">
        <v>2894</v>
      </c>
      <c r="BB1" s="74" t="s">
        <v>224</v>
      </c>
      <c r="BC1" s="80" t="s">
        <v>1333</v>
      </c>
      <c r="BD1" s="323" t="s">
        <v>2330</v>
      </c>
      <c r="BE1" s="323" t="s">
        <v>2895</v>
      </c>
      <c r="BF1" s="323" t="s">
        <v>2896</v>
      </c>
      <c r="BG1" s="92" t="s">
        <v>924</v>
      </c>
      <c r="BH1" s="92" t="s">
        <v>252</v>
      </c>
      <c r="BI1" s="89" t="s">
        <v>1332</v>
      </c>
      <c r="BJ1" s="323" t="s">
        <v>2897</v>
      </c>
      <c r="BK1" s="74" t="s">
        <v>609</v>
      </c>
      <c r="BL1" s="93" t="s">
        <v>576</v>
      </c>
      <c r="BM1" s="323" t="s">
        <v>2898</v>
      </c>
      <c r="BN1" s="323" t="s">
        <v>2899</v>
      </c>
      <c r="BO1" s="323" t="s">
        <v>2900</v>
      </c>
      <c r="BP1" s="74" t="s">
        <v>1334</v>
      </c>
      <c r="BQ1" s="74" t="s">
        <v>213</v>
      </c>
      <c r="BR1" s="96" t="s">
        <v>1335</v>
      </c>
      <c r="BS1" s="100" t="s">
        <v>1380</v>
      </c>
    </row>
    <row r="2" spans="1:71" x14ac:dyDescent="0.6">
      <c r="A2" s="373" t="s">
        <v>2548</v>
      </c>
      <c r="B2" s="1" t="s">
        <v>2901</v>
      </c>
      <c r="C2" s="374" t="s">
        <v>35</v>
      </c>
      <c r="D2" s="351" t="s">
        <v>285</v>
      </c>
      <c r="E2" s="352" t="s">
        <v>504</v>
      </c>
      <c r="F2" s="352" t="s">
        <v>293</v>
      </c>
      <c r="G2" s="353">
        <v>43077</v>
      </c>
      <c r="H2" s="352" t="s">
        <v>830</v>
      </c>
      <c r="I2" s="352" t="s">
        <v>834</v>
      </c>
      <c r="J2" s="352" t="s">
        <v>1242</v>
      </c>
      <c r="K2" s="352" t="s">
        <v>91</v>
      </c>
      <c r="L2" s="375">
        <v>2857090834</v>
      </c>
      <c r="M2" s="375">
        <v>1925834121</v>
      </c>
      <c r="N2" s="375">
        <v>931256713</v>
      </c>
      <c r="O2" s="375">
        <v>7577772993</v>
      </c>
      <c r="P2" s="375">
        <v>249222456</v>
      </c>
      <c r="Q2" s="375">
        <v>250446471</v>
      </c>
      <c r="R2" s="376">
        <v>190700183</v>
      </c>
      <c r="S2" s="325">
        <v>1</v>
      </c>
      <c r="T2" s="246">
        <f>IF(S2=1, 50, 100)</f>
        <v>50</v>
      </c>
      <c r="U2" s="77">
        <f>T2*0.02</f>
        <v>1</v>
      </c>
      <c r="V2" s="377">
        <v>0</v>
      </c>
      <c r="W2" s="377">
        <v>0</v>
      </c>
      <c r="X2" s="377">
        <v>0</v>
      </c>
      <c r="Y2" s="377">
        <v>0</v>
      </c>
      <c r="Z2" s="377">
        <v>0</v>
      </c>
      <c r="AA2" s="377">
        <v>0</v>
      </c>
      <c r="AB2" s="377">
        <v>0</v>
      </c>
      <c r="AC2" s="247">
        <f>SUM(V2:AB2)</f>
        <v>0</v>
      </c>
      <c r="AD2" s="247">
        <f>IF(AC2=0, 100, IF(AC2=1, 75, IF(AC2=2, 50, 25)))</f>
        <v>100</v>
      </c>
      <c r="AE2" s="82">
        <f t="shared" ref="AE2:AE7" si="0">AD2*0.05</f>
        <v>5</v>
      </c>
      <c r="AF2" s="377">
        <v>0</v>
      </c>
      <c r="AG2" s="377">
        <v>0</v>
      </c>
      <c r="AH2" s="247">
        <f>SUM(AF2:AG2)</f>
        <v>0</v>
      </c>
      <c r="AI2" s="247">
        <f>IF(AH2=0, 100, IF(AH2=1, 200/3, IF(AH2&gt;=2, 100/3)))</f>
        <v>100</v>
      </c>
      <c r="AJ2" s="82">
        <f>AI2*0.03</f>
        <v>3</v>
      </c>
      <c r="AK2" s="367" t="s">
        <v>2902</v>
      </c>
      <c r="AL2" s="367" t="s">
        <v>2902</v>
      </c>
      <c r="AM2" s="367" t="s">
        <v>2902</v>
      </c>
      <c r="AN2" s="367" t="s">
        <v>2902</v>
      </c>
      <c r="AO2" s="367" t="s">
        <v>2902</v>
      </c>
      <c r="AP2" s="296" t="s">
        <v>2326</v>
      </c>
      <c r="AQ2" s="296" t="s">
        <v>2326</v>
      </c>
      <c r="AR2" s="297"/>
      <c r="AS2" s="367" t="s">
        <v>2902</v>
      </c>
      <c r="AT2" s="367" t="s">
        <v>2902</v>
      </c>
      <c r="AU2" s="296" t="s">
        <v>2326</v>
      </c>
      <c r="AV2" s="297"/>
      <c r="AW2" s="325">
        <v>0</v>
      </c>
      <c r="AX2" s="247">
        <f>IF(AW2=1, 100, 50)</f>
        <v>50</v>
      </c>
      <c r="AY2" s="90">
        <f>AX2*0.04</f>
        <v>2</v>
      </c>
      <c r="AZ2" s="378">
        <v>0</v>
      </c>
      <c r="BA2" s="449" t="s">
        <v>3782</v>
      </c>
      <c r="BB2" s="247">
        <f>IF(AZ2=0, 100, IF(AZ2=1, 200/3, IF(AZ2&gt;=2, 100/3)))</f>
        <v>100</v>
      </c>
      <c r="BC2" s="91">
        <f>BB2*0.02</f>
        <v>2</v>
      </c>
      <c r="BD2" s="325">
        <v>0</v>
      </c>
      <c r="BE2" s="325">
        <v>0</v>
      </c>
      <c r="BF2" s="325">
        <v>0</v>
      </c>
      <c r="BG2" s="252">
        <f>SUM(BD2:BF2)</f>
        <v>0</v>
      </c>
      <c r="BH2" s="246">
        <f>IF(BG2=0, 100, IF(BG2=1, 75, IF(BG2=2, 50, 25)))</f>
        <v>100</v>
      </c>
      <c r="BI2" s="90">
        <f>BH2*0.01</f>
        <v>1</v>
      </c>
      <c r="BJ2" s="325">
        <v>0</v>
      </c>
      <c r="BK2" s="247">
        <f>IF(BJ2=0, 100, 50)</f>
        <v>100</v>
      </c>
      <c r="BL2" s="94">
        <f>BK2*0.02</f>
        <v>2</v>
      </c>
      <c r="BM2" s="325">
        <v>0</v>
      </c>
      <c r="BN2" s="325">
        <v>0</v>
      </c>
      <c r="BO2" s="325">
        <v>1</v>
      </c>
      <c r="BP2" s="211">
        <f>SUM(BM2:BO2)</f>
        <v>1</v>
      </c>
      <c r="BQ2" s="253">
        <f>IF(BP2=0, 25, IF(BP2=1, 50, IF(BP2=2, 75, IF(BP2=3, 100))))</f>
        <v>50</v>
      </c>
      <c r="BR2" s="99">
        <f>BQ2*0.01</f>
        <v>0.5</v>
      </c>
      <c r="BS2" s="101">
        <f>SUM(U2,AE2,AJ2,AR2,AV2,AY2,BC2,BI2,BL2,BR2)</f>
        <v>16.5</v>
      </c>
    </row>
    <row r="3" spans="1:71" s="379" customFormat="1" x14ac:dyDescent="0.6">
      <c r="A3" s="373" t="s">
        <v>1428</v>
      </c>
      <c r="B3" s="13" t="s">
        <v>2552</v>
      </c>
      <c r="C3" s="374" t="s">
        <v>555</v>
      </c>
      <c r="D3" s="351" t="s">
        <v>191</v>
      </c>
      <c r="E3" s="352" t="s">
        <v>190</v>
      </c>
      <c r="F3" s="352" t="s">
        <v>396</v>
      </c>
      <c r="G3" s="353">
        <v>27547</v>
      </c>
      <c r="H3" s="352" t="s">
        <v>830</v>
      </c>
      <c r="I3" s="352" t="s">
        <v>544</v>
      </c>
      <c r="J3" s="352" t="s">
        <v>1037</v>
      </c>
      <c r="K3" s="352" t="s">
        <v>91</v>
      </c>
      <c r="L3" s="375">
        <v>657344581</v>
      </c>
      <c r="M3" s="375">
        <v>145796846</v>
      </c>
      <c r="N3" s="375">
        <v>511547734</v>
      </c>
      <c r="O3" s="375">
        <v>168169259</v>
      </c>
      <c r="P3" s="375">
        <v>24457946</v>
      </c>
      <c r="Q3" s="375">
        <v>48325988</v>
      </c>
      <c r="R3" s="376">
        <v>35650140</v>
      </c>
      <c r="S3" s="325">
        <v>0</v>
      </c>
      <c r="T3" s="246">
        <f t="shared" ref="T3:T66" si="1">IF(S3=1, 50, 100)</f>
        <v>100</v>
      </c>
      <c r="U3" s="77">
        <f t="shared" ref="U3:U66" si="2">T3*0.02</f>
        <v>2</v>
      </c>
      <c r="V3" s="377">
        <v>0</v>
      </c>
      <c r="W3" s="377">
        <v>0</v>
      </c>
      <c r="X3" s="377">
        <v>0</v>
      </c>
      <c r="Y3" s="377">
        <v>0</v>
      </c>
      <c r="Z3" s="377">
        <v>0</v>
      </c>
      <c r="AA3" s="377">
        <v>0</v>
      </c>
      <c r="AB3" s="377">
        <v>0</v>
      </c>
      <c r="AC3" s="247">
        <f t="shared" ref="AC3:AC66" si="3">SUM(V3:AB3)</f>
        <v>0</v>
      </c>
      <c r="AD3" s="247">
        <f t="shared" ref="AD3:AD66" si="4">IF(AC3=0, 100, IF(AC3=1, 75, IF(AC3=2, 50, 25)))</f>
        <v>100</v>
      </c>
      <c r="AE3" s="82">
        <f t="shared" si="0"/>
        <v>5</v>
      </c>
      <c r="AF3" s="377">
        <v>1</v>
      </c>
      <c r="AG3" s="377">
        <v>0</v>
      </c>
      <c r="AH3" s="247">
        <f t="shared" ref="AH3:AH66" si="5">SUM(AF3:AG3)</f>
        <v>1</v>
      </c>
      <c r="AI3" s="247">
        <f t="shared" ref="AI3:AI66" si="6">IF(AH3=0, 100, IF(AH3=1, 200/3, IF(AH3&gt;=2, 100/3)))</f>
        <v>66.666666666666671</v>
      </c>
      <c r="AJ3" s="82">
        <f t="shared" ref="AJ3:AJ66" si="7">AI3*0.03</f>
        <v>2</v>
      </c>
      <c r="AK3" s="367" t="s">
        <v>2902</v>
      </c>
      <c r="AL3" s="367" t="s">
        <v>2902</v>
      </c>
      <c r="AM3" s="367" t="s">
        <v>2902</v>
      </c>
      <c r="AN3" s="367" t="s">
        <v>2902</v>
      </c>
      <c r="AO3" s="367" t="s">
        <v>2902</v>
      </c>
      <c r="AP3" s="296" t="s">
        <v>2326</v>
      </c>
      <c r="AQ3" s="296" t="s">
        <v>2326</v>
      </c>
      <c r="AR3" s="297"/>
      <c r="AS3" s="367" t="s">
        <v>2902</v>
      </c>
      <c r="AT3" s="367" t="s">
        <v>2902</v>
      </c>
      <c r="AU3" s="296" t="s">
        <v>2326</v>
      </c>
      <c r="AV3" s="297"/>
      <c r="AW3" s="325">
        <v>1</v>
      </c>
      <c r="AX3" s="247">
        <f t="shared" ref="AX3:AX66" si="8">IF(AW3=1, 100, 50)</f>
        <v>100</v>
      </c>
      <c r="AY3" s="90">
        <f t="shared" ref="AY3:AY66" si="9">AX3*0.04</f>
        <v>4</v>
      </c>
      <c r="AZ3" s="378">
        <v>0</v>
      </c>
      <c r="BA3" s="449" t="s">
        <v>3782</v>
      </c>
      <c r="BB3" s="247">
        <f t="shared" ref="BB3:BB66" si="10">IF(AZ3=0, 100, IF(AZ3=1, 200/3, IF(AZ3&gt;=2, 100/3)))</f>
        <v>100</v>
      </c>
      <c r="BC3" s="91">
        <f t="shared" ref="BC3:BC66" si="11">BB3*0.02</f>
        <v>2</v>
      </c>
      <c r="BD3" s="325">
        <v>0</v>
      </c>
      <c r="BE3" s="325">
        <v>0</v>
      </c>
      <c r="BF3" s="325">
        <v>0</v>
      </c>
      <c r="BG3" s="252">
        <f t="shared" ref="BG3:BG66" si="12">SUM(BD3:BF3)</f>
        <v>0</v>
      </c>
      <c r="BH3" s="246">
        <f t="shared" ref="BH3:BH66" si="13">IF(BG3=0, 100, IF(BG3=1, 75, IF(BG3=2, 50, 25)))</f>
        <v>100</v>
      </c>
      <c r="BI3" s="90">
        <f t="shared" ref="BI3:BI66" si="14">BH3*0.01</f>
        <v>1</v>
      </c>
      <c r="BJ3" s="325">
        <v>0</v>
      </c>
      <c r="BK3" s="247">
        <f t="shared" ref="BK3:BK66" si="15">IF(BJ3=0, 100, 50)</f>
        <v>100</v>
      </c>
      <c r="BL3" s="94">
        <f t="shared" ref="BL3:BL66" si="16">BK3*0.02</f>
        <v>2</v>
      </c>
      <c r="BM3" s="325">
        <v>0</v>
      </c>
      <c r="BN3" s="325">
        <v>0</v>
      </c>
      <c r="BO3" s="325">
        <v>0</v>
      </c>
      <c r="BP3" s="211">
        <f t="shared" ref="BP3:BP66" si="17">SUM(BM3:BO3)</f>
        <v>0</v>
      </c>
      <c r="BQ3" s="253">
        <f t="shared" ref="BQ3:BQ66" si="18">IF(BP3=0, 25, IF(BP3=1, 50, IF(BP3=2, 75, IF(BP3=3, 100))))</f>
        <v>25</v>
      </c>
      <c r="BR3" s="99">
        <f t="shared" ref="BR3:BR66" si="19">BQ3*0.01</f>
        <v>0.25</v>
      </c>
      <c r="BS3" s="101">
        <f t="shared" ref="BS3:BS66" si="20">SUM(U3,AE3,AJ3,AR3,AV3,AY3,BC3,BI3,BL3,BR3)</f>
        <v>18.25</v>
      </c>
    </row>
    <row r="4" spans="1:71" x14ac:dyDescent="0.6">
      <c r="A4" s="373" t="s">
        <v>1430</v>
      </c>
      <c r="B4" s="13" t="s">
        <v>2553</v>
      </c>
      <c r="C4" s="380" t="s">
        <v>1431</v>
      </c>
      <c r="D4" s="315" t="s">
        <v>285</v>
      </c>
      <c r="E4" s="352" t="s">
        <v>1432</v>
      </c>
      <c r="F4" s="352" t="s">
        <v>1433</v>
      </c>
      <c r="G4" s="353">
        <v>20638</v>
      </c>
      <c r="H4" s="352" t="s">
        <v>830</v>
      </c>
      <c r="I4" s="352" t="s">
        <v>1434</v>
      </c>
      <c r="J4" s="352" t="s">
        <v>1435</v>
      </c>
      <c r="K4" s="352" t="s">
        <v>91</v>
      </c>
      <c r="L4" s="381">
        <v>7825113458</v>
      </c>
      <c r="M4" s="376">
        <v>4398363795</v>
      </c>
      <c r="N4" s="376">
        <v>3426749663</v>
      </c>
      <c r="O4" s="376">
        <v>8214653866</v>
      </c>
      <c r="P4" s="376">
        <v>262723385</v>
      </c>
      <c r="Q4" s="376">
        <v>247777952</v>
      </c>
      <c r="R4" s="376">
        <v>200576209</v>
      </c>
      <c r="S4" s="325">
        <v>1</v>
      </c>
      <c r="T4" s="246">
        <f t="shared" si="1"/>
        <v>50</v>
      </c>
      <c r="U4" s="77">
        <f t="shared" si="2"/>
        <v>1</v>
      </c>
      <c r="V4" s="377">
        <v>0</v>
      </c>
      <c r="W4" s="377">
        <v>0</v>
      </c>
      <c r="X4" s="377">
        <v>1</v>
      </c>
      <c r="Y4" s="377">
        <v>0</v>
      </c>
      <c r="Z4" s="377">
        <v>0</v>
      </c>
      <c r="AA4" s="377">
        <v>0</v>
      </c>
      <c r="AB4" s="377">
        <v>0</v>
      </c>
      <c r="AC4" s="247">
        <f t="shared" si="3"/>
        <v>1</v>
      </c>
      <c r="AD4" s="247">
        <f t="shared" si="4"/>
        <v>75</v>
      </c>
      <c r="AE4" s="82">
        <f t="shared" si="0"/>
        <v>3.75</v>
      </c>
      <c r="AF4" s="377">
        <v>0</v>
      </c>
      <c r="AG4" s="377">
        <v>0</v>
      </c>
      <c r="AH4" s="247">
        <f t="shared" si="5"/>
        <v>0</v>
      </c>
      <c r="AI4" s="247">
        <f t="shared" si="6"/>
        <v>100</v>
      </c>
      <c r="AJ4" s="82">
        <f t="shared" si="7"/>
        <v>3</v>
      </c>
      <c r="AK4" s="367" t="s">
        <v>2902</v>
      </c>
      <c r="AL4" s="367" t="s">
        <v>2902</v>
      </c>
      <c r="AM4" s="367" t="s">
        <v>2902</v>
      </c>
      <c r="AN4" s="367" t="s">
        <v>2902</v>
      </c>
      <c r="AO4" s="367" t="s">
        <v>2902</v>
      </c>
      <c r="AP4" s="296" t="s">
        <v>2326</v>
      </c>
      <c r="AQ4" s="296" t="s">
        <v>2326</v>
      </c>
      <c r="AR4" s="297"/>
      <c r="AS4" s="367" t="s">
        <v>2902</v>
      </c>
      <c r="AT4" s="367" t="s">
        <v>2902</v>
      </c>
      <c r="AU4" s="296" t="s">
        <v>2326</v>
      </c>
      <c r="AV4" s="297"/>
      <c r="AW4" s="325">
        <v>0</v>
      </c>
      <c r="AX4" s="247">
        <f t="shared" si="8"/>
        <v>50</v>
      </c>
      <c r="AY4" s="90">
        <f t="shared" si="9"/>
        <v>2</v>
      </c>
      <c r="AZ4" s="378">
        <v>0</v>
      </c>
      <c r="BA4" s="449" t="s">
        <v>3782</v>
      </c>
      <c r="BB4" s="247">
        <f t="shared" si="10"/>
        <v>100</v>
      </c>
      <c r="BC4" s="91">
        <f t="shared" si="11"/>
        <v>2</v>
      </c>
      <c r="BD4" s="325">
        <v>0</v>
      </c>
      <c r="BE4" s="325">
        <v>0</v>
      </c>
      <c r="BF4" s="325">
        <v>0</v>
      </c>
      <c r="BG4" s="252">
        <f t="shared" si="12"/>
        <v>0</v>
      </c>
      <c r="BH4" s="246">
        <f t="shared" si="13"/>
        <v>100</v>
      </c>
      <c r="BI4" s="90">
        <f t="shared" si="14"/>
        <v>1</v>
      </c>
      <c r="BJ4" s="325">
        <v>0</v>
      </c>
      <c r="BK4" s="247">
        <f t="shared" si="15"/>
        <v>100</v>
      </c>
      <c r="BL4" s="94">
        <f t="shared" si="16"/>
        <v>2</v>
      </c>
      <c r="BM4" s="325">
        <v>0</v>
      </c>
      <c r="BN4" s="325">
        <v>0</v>
      </c>
      <c r="BO4" s="325">
        <v>1</v>
      </c>
      <c r="BP4" s="211">
        <f t="shared" si="17"/>
        <v>1</v>
      </c>
      <c r="BQ4" s="253">
        <f t="shared" si="18"/>
        <v>50</v>
      </c>
      <c r="BR4" s="99">
        <f t="shared" si="19"/>
        <v>0.5</v>
      </c>
      <c r="BS4" s="101">
        <f t="shared" si="20"/>
        <v>15.25</v>
      </c>
    </row>
    <row r="5" spans="1:71" x14ac:dyDescent="0.6">
      <c r="A5" s="373" t="s">
        <v>104</v>
      </c>
      <c r="B5" s="13" t="s">
        <v>2554</v>
      </c>
      <c r="C5" s="380" t="s">
        <v>449</v>
      </c>
      <c r="D5" s="351" t="s">
        <v>191</v>
      </c>
      <c r="E5" s="352" t="s">
        <v>178</v>
      </c>
      <c r="F5" s="352" t="s">
        <v>1248</v>
      </c>
      <c r="G5" s="353">
        <v>32473</v>
      </c>
      <c r="H5" s="352" t="s">
        <v>830</v>
      </c>
      <c r="I5" s="352" t="s">
        <v>1436</v>
      </c>
      <c r="J5" s="352" t="s">
        <v>1236</v>
      </c>
      <c r="K5" s="352" t="s">
        <v>690</v>
      </c>
      <c r="L5" s="381">
        <v>143409087</v>
      </c>
      <c r="M5" s="376">
        <v>67719807</v>
      </c>
      <c r="N5" s="376">
        <v>75689279</v>
      </c>
      <c r="O5" s="376">
        <v>152701472</v>
      </c>
      <c r="P5" s="376">
        <v>4135028</v>
      </c>
      <c r="Q5" s="376">
        <v>6675009</v>
      </c>
      <c r="R5" s="376">
        <v>7419861</v>
      </c>
      <c r="S5" s="325">
        <v>1</v>
      </c>
      <c r="T5" s="246">
        <f t="shared" si="1"/>
        <v>50</v>
      </c>
      <c r="U5" s="77">
        <f t="shared" si="2"/>
        <v>1</v>
      </c>
      <c r="V5" s="377">
        <v>0</v>
      </c>
      <c r="W5" s="377">
        <v>0</v>
      </c>
      <c r="X5" s="377">
        <v>0</v>
      </c>
      <c r="Y5" s="377">
        <v>0</v>
      </c>
      <c r="Z5" s="377">
        <v>0</v>
      </c>
      <c r="AA5" s="377">
        <v>0</v>
      </c>
      <c r="AB5" s="377">
        <v>0</v>
      </c>
      <c r="AC5" s="247">
        <f t="shared" si="3"/>
        <v>0</v>
      </c>
      <c r="AD5" s="247">
        <f t="shared" si="4"/>
        <v>100</v>
      </c>
      <c r="AE5" s="82">
        <f t="shared" si="0"/>
        <v>5</v>
      </c>
      <c r="AF5" s="377">
        <v>0</v>
      </c>
      <c r="AG5" s="377">
        <v>0</v>
      </c>
      <c r="AH5" s="247">
        <f t="shared" si="5"/>
        <v>0</v>
      </c>
      <c r="AI5" s="247">
        <f t="shared" si="6"/>
        <v>100</v>
      </c>
      <c r="AJ5" s="82">
        <f t="shared" si="7"/>
        <v>3</v>
      </c>
      <c r="AK5" s="367" t="s">
        <v>2902</v>
      </c>
      <c r="AL5" s="367" t="s">
        <v>2902</v>
      </c>
      <c r="AM5" s="367" t="s">
        <v>2902</v>
      </c>
      <c r="AN5" s="367" t="s">
        <v>2902</v>
      </c>
      <c r="AO5" s="367" t="s">
        <v>2902</v>
      </c>
      <c r="AP5" s="296" t="s">
        <v>2326</v>
      </c>
      <c r="AQ5" s="296" t="s">
        <v>2326</v>
      </c>
      <c r="AR5" s="297"/>
      <c r="AS5" s="367" t="s">
        <v>2902</v>
      </c>
      <c r="AT5" s="367" t="s">
        <v>2902</v>
      </c>
      <c r="AU5" s="296" t="s">
        <v>2326</v>
      </c>
      <c r="AV5" s="297"/>
      <c r="AW5" s="325">
        <v>0</v>
      </c>
      <c r="AX5" s="247">
        <f t="shared" si="8"/>
        <v>50</v>
      </c>
      <c r="AY5" s="90">
        <f t="shared" si="9"/>
        <v>2</v>
      </c>
      <c r="AZ5" s="378">
        <v>0</v>
      </c>
      <c r="BA5" s="449" t="s">
        <v>3782</v>
      </c>
      <c r="BB5" s="247">
        <f t="shared" si="10"/>
        <v>100</v>
      </c>
      <c r="BC5" s="91">
        <f t="shared" si="11"/>
        <v>2</v>
      </c>
      <c r="BD5" s="325">
        <v>0</v>
      </c>
      <c r="BE5" s="325">
        <v>0</v>
      </c>
      <c r="BF5" s="325">
        <v>0</v>
      </c>
      <c r="BG5" s="252">
        <f t="shared" si="12"/>
        <v>0</v>
      </c>
      <c r="BH5" s="246">
        <f t="shared" si="13"/>
        <v>100</v>
      </c>
      <c r="BI5" s="90">
        <f t="shared" si="14"/>
        <v>1</v>
      </c>
      <c r="BJ5" s="325">
        <v>0</v>
      </c>
      <c r="BK5" s="247">
        <f t="shared" si="15"/>
        <v>100</v>
      </c>
      <c r="BL5" s="94">
        <f t="shared" si="16"/>
        <v>2</v>
      </c>
      <c r="BM5" s="325">
        <v>1</v>
      </c>
      <c r="BN5" s="325">
        <v>0</v>
      </c>
      <c r="BO5" s="325">
        <v>1</v>
      </c>
      <c r="BP5" s="211">
        <f t="shared" si="17"/>
        <v>2</v>
      </c>
      <c r="BQ5" s="253">
        <f t="shared" si="18"/>
        <v>75</v>
      </c>
      <c r="BR5" s="99">
        <f t="shared" si="19"/>
        <v>0.75</v>
      </c>
      <c r="BS5" s="101">
        <f t="shared" si="20"/>
        <v>16.75</v>
      </c>
    </row>
    <row r="6" spans="1:71" x14ac:dyDescent="0.6">
      <c r="A6" s="373" t="s">
        <v>1437</v>
      </c>
      <c r="B6" s="1" t="s">
        <v>2555</v>
      </c>
      <c r="C6" s="380" t="s">
        <v>1438</v>
      </c>
      <c r="D6" s="315" t="s">
        <v>191</v>
      </c>
      <c r="E6" s="352" t="s">
        <v>178</v>
      </c>
      <c r="F6" s="352" t="s">
        <v>1439</v>
      </c>
      <c r="G6" s="353">
        <v>39353</v>
      </c>
      <c r="H6" s="352" t="s">
        <v>830</v>
      </c>
      <c r="I6" s="352" t="s">
        <v>1440</v>
      </c>
      <c r="J6" s="352" t="s">
        <v>1441</v>
      </c>
      <c r="K6" s="352" t="s">
        <v>91</v>
      </c>
      <c r="L6" s="381">
        <v>11450867716</v>
      </c>
      <c r="M6" s="376">
        <v>6158689194</v>
      </c>
      <c r="N6" s="376">
        <v>5292178522</v>
      </c>
      <c r="O6" s="376">
        <v>7842662871</v>
      </c>
      <c r="P6" s="376">
        <v>405033974</v>
      </c>
      <c r="Q6" s="376">
        <v>333649782</v>
      </c>
      <c r="R6" s="376">
        <v>265820089</v>
      </c>
      <c r="S6" s="325">
        <v>1</v>
      </c>
      <c r="T6" s="246">
        <f t="shared" si="1"/>
        <v>50</v>
      </c>
      <c r="U6" s="77">
        <f t="shared" si="2"/>
        <v>1</v>
      </c>
      <c r="V6" s="377">
        <v>0</v>
      </c>
      <c r="W6" s="377">
        <v>0</v>
      </c>
      <c r="X6" s="377">
        <v>1</v>
      </c>
      <c r="Y6" s="377">
        <v>0</v>
      </c>
      <c r="Z6" s="377">
        <v>0</v>
      </c>
      <c r="AA6" s="377">
        <v>0</v>
      </c>
      <c r="AB6" s="377">
        <v>0</v>
      </c>
      <c r="AC6" s="247">
        <f t="shared" si="3"/>
        <v>1</v>
      </c>
      <c r="AD6" s="247">
        <f t="shared" si="4"/>
        <v>75</v>
      </c>
      <c r="AE6" s="82">
        <f t="shared" si="0"/>
        <v>3.75</v>
      </c>
      <c r="AF6" s="377">
        <v>0</v>
      </c>
      <c r="AG6" s="377">
        <v>0</v>
      </c>
      <c r="AH6" s="247">
        <f t="shared" si="5"/>
        <v>0</v>
      </c>
      <c r="AI6" s="247">
        <f t="shared" si="6"/>
        <v>100</v>
      </c>
      <c r="AJ6" s="82">
        <f t="shared" si="7"/>
        <v>3</v>
      </c>
      <c r="AK6" s="367" t="s">
        <v>2902</v>
      </c>
      <c r="AL6" s="367" t="s">
        <v>2902</v>
      </c>
      <c r="AM6" s="367" t="s">
        <v>2902</v>
      </c>
      <c r="AN6" s="367" t="s">
        <v>2902</v>
      </c>
      <c r="AO6" s="367" t="s">
        <v>2902</v>
      </c>
      <c r="AP6" s="296" t="s">
        <v>2326</v>
      </c>
      <c r="AQ6" s="296" t="s">
        <v>2326</v>
      </c>
      <c r="AR6" s="297"/>
      <c r="AS6" s="367" t="s">
        <v>2902</v>
      </c>
      <c r="AT6" s="367" t="s">
        <v>2902</v>
      </c>
      <c r="AU6" s="296" t="s">
        <v>2326</v>
      </c>
      <c r="AV6" s="297"/>
      <c r="AW6" s="325">
        <v>0</v>
      </c>
      <c r="AX6" s="247">
        <f t="shared" si="8"/>
        <v>50</v>
      </c>
      <c r="AY6" s="90">
        <f t="shared" si="9"/>
        <v>2</v>
      </c>
      <c r="AZ6" s="378">
        <v>0</v>
      </c>
      <c r="BA6" s="449" t="s">
        <v>3782</v>
      </c>
      <c r="BB6" s="247">
        <f t="shared" si="10"/>
        <v>100</v>
      </c>
      <c r="BC6" s="91">
        <f t="shared" si="11"/>
        <v>2</v>
      </c>
      <c r="BD6" s="325">
        <v>0</v>
      </c>
      <c r="BE6" s="325">
        <v>0</v>
      </c>
      <c r="BF6" s="325">
        <v>1</v>
      </c>
      <c r="BG6" s="252">
        <f t="shared" si="12"/>
        <v>1</v>
      </c>
      <c r="BH6" s="246">
        <f t="shared" si="13"/>
        <v>75</v>
      </c>
      <c r="BI6" s="90">
        <f t="shared" si="14"/>
        <v>0.75</v>
      </c>
      <c r="BJ6" s="325">
        <v>0</v>
      </c>
      <c r="BK6" s="247">
        <f t="shared" si="15"/>
        <v>100</v>
      </c>
      <c r="BL6" s="94">
        <f t="shared" si="16"/>
        <v>2</v>
      </c>
      <c r="BM6" s="325">
        <v>0</v>
      </c>
      <c r="BN6" s="325">
        <v>0</v>
      </c>
      <c r="BO6" s="325">
        <v>1</v>
      </c>
      <c r="BP6" s="211">
        <f t="shared" si="17"/>
        <v>1</v>
      </c>
      <c r="BQ6" s="253">
        <f t="shared" si="18"/>
        <v>50</v>
      </c>
      <c r="BR6" s="99">
        <f t="shared" si="19"/>
        <v>0.5</v>
      </c>
      <c r="BS6" s="101">
        <f t="shared" si="20"/>
        <v>15</v>
      </c>
    </row>
    <row r="7" spans="1:71" x14ac:dyDescent="0.6">
      <c r="A7" s="373" t="s">
        <v>750</v>
      </c>
      <c r="B7" s="1" t="s">
        <v>2903</v>
      </c>
      <c r="C7" s="380" t="s">
        <v>409</v>
      </c>
      <c r="D7" s="351" t="s">
        <v>285</v>
      </c>
      <c r="E7" s="352" t="s">
        <v>1034</v>
      </c>
      <c r="F7" s="352" t="s">
        <v>1019</v>
      </c>
      <c r="G7" s="353">
        <v>33975</v>
      </c>
      <c r="H7" s="352" t="s">
        <v>830</v>
      </c>
      <c r="I7" s="352" t="s">
        <v>969</v>
      </c>
      <c r="J7" s="352" t="s">
        <v>1040</v>
      </c>
      <c r="K7" s="352" t="s">
        <v>91</v>
      </c>
      <c r="L7" s="381">
        <v>428747549</v>
      </c>
      <c r="M7" s="376">
        <v>121241747</v>
      </c>
      <c r="N7" s="376">
        <v>307505802</v>
      </c>
      <c r="O7" s="376">
        <v>347588559</v>
      </c>
      <c r="P7" s="376">
        <v>12401397</v>
      </c>
      <c r="Q7" s="376">
        <v>14089238</v>
      </c>
      <c r="R7" s="376">
        <v>10922265</v>
      </c>
      <c r="S7" s="325">
        <v>1</v>
      </c>
      <c r="T7" s="246">
        <f t="shared" si="1"/>
        <v>50</v>
      </c>
      <c r="U7" s="77">
        <f t="shared" si="2"/>
        <v>1</v>
      </c>
      <c r="V7" s="377">
        <v>0</v>
      </c>
      <c r="W7" s="377">
        <v>0</v>
      </c>
      <c r="X7" s="377">
        <v>0</v>
      </c>
      <c r="Y7" s="377">
        <v>0</v>
      </c>
      <c r="Z7" s="377">
        <v>0</v>
      </c>
      <c r="AA7" s="377">
        <v>0</v>
      </c>
      <c r="AB7" s="377">
        <v>0</v>
      </c>
      <c r="AC7" s="247">
        <f t="shared" si="3"/>
        <v>0</v>
      </c>
      <c r="AD7" s="247">
        <f t="shared" si="4"/>
        <v>100</v>
      </c>
      <c r="AE7" s="82">
        <f t="shared" si="0"/>
        <v>5</v>
      </c>
      <c r="AF7" s="377">
        <v>0</v>
      </c>
      <c r="AG7" s="377">
        <v>0</v>
      </c>
      <c r="AH7" s="247">
        <f t="shared" si="5"/>
        <v>0</v>
      </c>
      <c r="AI7" s="247">
        <f t="shared" si="6"/>
        <v>100</v>
      </c>
      <c r="AJ7" s="82">
        <f t="shared" si="7"/>
        <v>3</v>
      </c>
      <c r="AK7" s="367" t="s">
        <v>2902</v>
      </c>
      <c r="AL7" s="367" t="s">
        <v>2902</v>
      </c>
      <c r="AM7" s="367" t="s">
        <v>2902</v>
      </c>
      <c r="AN7" s="367" t="s">
        <v>2902</v>
      </c>
      <c r="AO7" s="367" t="s">
        <v>2902</v>
      </c>
      <c r="AP7" s="296" t="s">
        <v>2326</v>
      </c>
      <c r="AQ7" s="296" t="s">
        <v>2326</v>
      </c>
      <c r="AR7" s="297"/>
      <c r="AS7" s="367" t="s">
        <v>2902</v>
      </c>
      <c r="AT7" s="367" t="s">
        <v>2902</v>
      </c>
      <c r="AU7" s="296" t="s">
        <v>2326</v>
      </c>
      <c r="AV7" s="297"/>
      <c r="AW7" s="325">
        <v>0</v>
      </c>
      <c r="AX7" s="247">
        <f t="shared" si="8"/>
        <v>50</v>
      </c>
      <c r="AY7" s="90">
        <f t="shared" si="9"/>
        <v>2</v>
      </c>
      <c r="AZ7" s="378">
        <v>0</v>
      </c>
      <c r="BA7" s="449" t="s">
        <v>3782</v>
      </c>
      <c r="BB7" s="247">
        <f t="shared" si="10"/>
        <v>100</v>
      </c>
      <c r="BC7" s="91">
        <f t="shared" si="11"/>
        <v>2</v>
      </c>
      <c r="BD7" s="325">
        <v>0</v>
      </c>
      <c r="BE7" s="325">
        <v>0</v>
      </c>
      <c r="BF7" s="325">
        <v>0</v>
      </c>
      <c r="BG7" s="252">
        <f t="shared" si="12"/>
        <v>0</v>
      </c>
      <c r="BH7" s="246">
        <f t="shared" si="13"/>
        <v>100</v>
      </c>
      <c r="BI7" s="90">
        <f t="shared" si="14"/>
        <v>1</v>
      </c>
      <c r="BJ7" s="325">
        <v>1</v>
      </c>
      <c r="BK7" s="247">
        <f t="shared" si="15"/>
        <v>50</v>
      </c>
      <c r="BL7" s="94">
        <f t="shared" si="16"/>
        <v>1</v>
      </c>
      <c r="BM7" s="325">
        <v>0</v>
      </c>
      <c r="BN7" s="325">
        <v>0</v>
      </c>
      <c r="BO7" s="325">
        <v>1</v>
      </c>
      <c r="BP7" s="211">
        <f t="shared" si="17"/>
        <v>1</v>
      </c>
      <c r="BQ7" s="253">
        <f t="shared" si="18"/>
        <v>50</v>
      </c>
      <c r="BR7" s="99">
        <f t="shared" si="19"/>
        <v>0.5</v>
      </c>
      <c r="BS7" s="101">
        <f t="shared" si="20"/>
        <v>15.5</v>
      </c>
    </row>
    <row r="8" spans="1:71" x14ac:dyDescent="0.6">
      <c r="A8" s="373" t="s">
        <v>499</v>
      </c>
      <c r="B8" s="13" t="s">
        <v>2904</v>
      </c>
      <c r="C8" s="380" t="s">
        <v>525</v>
      </c>
      <c r="D8" s="354" t="s">
        <v>481</v>
      </c>
      <c r="E8" s="352" t="s">
        <v>704</v>
      </c>
      <c r="F8" s="352" t="s">
        <v>1243</v>
      </c>
      <c r="G8" s="353">
        <v>26843</v>
      </c>
      <c r="H8" s="352" t="s">
        <v>830</v>
      </c>
      <c r="I8" s="352" t="s">
        <v>1442</v>
      </c>
      <c r="J8" s="352" t="s">
        <v>1068</v>
      </c>
      <c r="K8" s="352" t="s">
        <v>91</v>
      </c>
      <c r="L8" s="381">
        <v>50491197385</v>
      </c>
      <c r="M8" s="376">
        <v>45440998151</v>
      </c>
      <c r="N8" s="376">
        <v>5050199234</v>
      </c>
      <c r="O8" s="376">
        <v>14569718977</v>
      </c>
      <c r="P8" s="376">
        <v>1292467004</v>
      </c>
      <c r="Q8" s="376">
        <v>1295672581</v>
      </c>
      <c r="R8" s="376">
        <v>980567336</v>
      </c>
      <c r="S8" s="325">
        <v>1</v>
      </c>
      <c r="T8" s="246">
        <f t="shared" si="1"/>
        <v>50</v>
      </c>
      <c r="U8" s="77">
        <f t="shared" si="2"/>
        <v>1</v>
      </c>
      <c r="V8" s="377">
        <v>0</v>
      </c>
      <c r="W8" s="377">
        <v>0</v>
      </c>
      <c r="X8" s="377">
        <v>0</v>
      </c>
      <c r="Y8" s="377">
        <v>0</v>
      </c>
      <c r="Z8" s="377">
        <v>0</v>
      </c>
      <c r="AA8" s="377">
        <v>0</v>
      </c>
      <c r="AB8" s="377">
        <v>0</v>
      </c>
      <c r="AC8" s="247">
        <f t="shared" si="3"/>
        <v>0</v>
      </c>
      <c r="AD8" s="247">
        <f t="shared" si="4"/>
        <v>100</v>
      </c>
      <c r="AE8" s="81">
        <f>AD8*0.02</f>
        <v>2</v>
      </c>
      <c r="AF8" s="360" t="s">
        <v>2902</v>
      </c>
      <c r="AG8" s="360" t="s">
        <v>2902</v>
      </c>
      <c r="AH8" s="248" t="s">
        <v>2326</v>
      </c>
      <c r="AI8" s="248" t="s">
        <v>2326</v>
      </c>
      <c r="AJ8" s="248"/>
      <c r="AK8" s="373">
        <v>0</v>
      </c>
      <c r="AL8" s="373">
        <v>0</v>
      </c>
      <c r="AM8" s="373">
        <v>2</v>
      </c>
      <c r="AN8" s="373">
        <v>0</v>
      </c>
      <c r="AO8" s="389" t="s">
        <v>3784</v>
      </c>
      <c r="AP8" s="249">
        <f>SUM(AK8:AN8)</f>
        <v>2</v>
      </c>
      <c r="AQ8" s="250">
        <f>IF(AP8=0, 100, IF(AP8=1, 75, IF(AP8=2, 50, 25)))</f>
        <v>50</v>
      </c>
      <c r="AR8" s="83">
        <f>AQ8*0.05</f>
        <v>2.5</v>
      </c>
      <c r="AS8" s="395">
        <v>0</v>
      </c>
      <c r="AT8" s="370" t="s">
        <v>3240</v>
      </c>
      <c r="AU8" s="251">
        <f>IF(AS8=0, 100, IF(AS8=1, 200/3, IF(AS8&gt;=2, 100/3)))</f>
        <v>100</v>
      </c>
      <c r="AV8" s="87">
        <f>AU8*0.01</f>
        <v>1</v>
      </c>
      <c r="AW8" s="325">
        <v>0</v>
      </c>
      <c r="AX8" s="247">
        <f t="shared" si="8"/>
        <v>50</v>
      </c>
      <c r="AY8" s="90">
        <f t="shared" si="9"/>
        <v>2</v>
      </c>
      <c r="AZ8" s="378">
        <v>0</v>
      </c>
      <c r="BA8" s="449" t="s">
        <v>3782</v>
      </c>
      <c r="BB8" s="247">
        <f t="shared" si="10"/>
        <v>100</v>
      </c>
      <c r="BC8" s="91">
        <f t="shared" si="11"/>
        <v>2</v>
      </c>
      <c r="BD8" s="325">
        <v>0</v>
      </c>
      <c r="BE8" s="325">
        <v>0</v>
      </c>
      <c r="BF8" s="325">
        <v>1</v>
      </c>
      <c r="BG8" s="252">
        <f t="shared" si="12"/>
        <v>1</v>
      </c>
      <c r="BH8" s="246">
        <f t="shared" si="13"/>
        <v>75</v>
      </c>
      <c r="BI8" s="90">
        <f t="shared" si="14"/>
        <v>0.75</v>
      </c>
      <c r="BJ8" s="325">
        <v>0</v>
      </c>
      <c r="BK8" s="247">
        <f t="shared" si="15"/>
        <v>100</v>
      </c>
      <c r="BL8" s="94">
        <f t="shared" si="16"/>
        <v>2</v>
      </c>
      <c r="BM8" s="325">
        <v>0</v>
      </c>
      <c r="BN8" s="325">
        <v>0</v>
      </c>
      <c r="BO8" s="325">
        <v>0</v>
      </c>
      <c r="BP8" s="211">
        <f t="shared" si="17"/>
        <v>0</v>
      </c>
      <c r="BQ8" s="253">
        <f t="shared" si="18"/>
        <v>25</v>
      </c>
      <c r="BR8" s="99">
        <f t="shared" si="19"/>
        <v>0.25</v>
      </c>
      <c r="BS8" s="101">
        <f t="shared" si="20"/>
        <v>13.5</v>
      </c>
    </row>
    <row r="9" spans="1:71" x14ac:dyDescent="0.6">
      <c r="A9" s="373" t="s">
        <v>1443</v>
      </c>
      <c r="B9" s="1" t="s">
        <v>2905</v>
      </c>
      <c r="C9" s="380" t="s">
        <v>1444</v>
      </c>
      <c r="D9" s="315" t="s">
        <v>203</v>
      </c>
      <c r="E9" s="352" t="s">
        <v>180</v>
      </c>
      <c r="F9" s="352" t="s">
        <v>1429</v>
      </c>
      <c r="G9" s="353">
        <v>27792</v>
      </c>
      <c r="H9" s="352" t="s">
        <v>830</v>
      </c>
      <c r="I9" s="352" t="s">
        <v>841</v>
      </c>
      <c r="J9" s="352" t="s">
        <v>1445</v>
      </c>
      <c r="K9" s="352" t="s">
        <v>91</v>
      </c>
      <c r="L9" s="381">
        <v>3649116385</v>
      </c>
      <c r="M9" s="376">
        <v>587165440</v>
      </c>
      <c r="N9" s="376">
        <v>3061950944</v>
      </c>
      <c r="O9" s="376">
        <v>223739892</v>
      </c>
      <c r="P9" s="376">
        <v>195878366</v>
      </c>
      <c r="Q9" s="376">
        <v>167506991</v>
      </c>
      <c r="R9" s="376">
        <v>146629624</v>
      </c>
      <c r="S9" s="325">
        <v>1</v>
      </c>
      <c r="T9" s="246">
        <f t="shared" si="1"/>
        <v>50</v>
      </c>
      <c r="U9" s="77">
        <f t="shared" si="2"/>
        <v>1</v>
      </c>
      <c r="V9" s="377">
        <v>0</v>
      </c>
      <c r="W9" s="377">
        <v>0</v>
      </c>
      <c r="X9" s="377">
        <v>0</v>
      </c>
      <c r="Y9" s="377">
        <v>0</v>
      </c>
      <c r="Z9" s="377">
        <v>0</v>
      </c>
      <c r="AA9" s="377">
        <v>0</v>
      </c>
      <c r="AB9" s="377">
        <v>0</v>
      </c>
      <c r="AC9" s="247">
        <f t="shared" si="3"/>
        <v>0</v>
      </c>
      <c r="AD9" s="247">
        <f t="shared" si="4"/>
        <v>100</v>
      </c>
      <c r="AE9" s="82">
        <f t="shared" ref="AE9:AE35" si="21">AD9*0.05</f>
        <v>5</v>
      </c>
      <c r="AF9" s="377">
        <v>0</v>
      </c>
      <c r="AG9" s="377">
        <v>0</v>
      </c>
      <c r="AH9" s="247">
        <f t="shared" si="5"/>
        <v>0</v>
      </c>
      <c r="AI9" s="247">
        <f t="shared" si="6"/>
        <v>100</v>
      </c>
      <c r="AJ9" s="82">
        <f t="shared" si="7"/>
        <v>3</v>
      </c>
      <c r="AK9" s="367" t="s">
        <v>2902</v>
      </c>
      <c r="AL9" s="367" t="s">
        <v>2902</v>
      </c>
      <c r="AM9" s="367" t="s">
        <v>2902</v>
      </c>
      <c r="AN9" s="367" t="s">
        <v>2902</v>
      </c>
      <c r="AO9" s="367" t="s">
        <v>2902</v>
      </c>
      <c r="AP9" s="296" t="s">
        <v>2326</v>
      </c>
      <c r="AQ9" s="296" t="s">
        <v>2326</v>
      </c>
      <c r="AR9" s="297"/>
      <c r="AS9" s="367" t="s">
        <v>2902</v>
      </c>
      <c r="AT9" s="367" t="s">
        <v>2902</v>
      </c>
      <c r="AU9" s="296" t="s">
        <v>2326</v>
      </c>
      <c r="AV9" s="297"/>
      <c r="AW9" s="325">
        <v>0</v>
      </c>
      <c r="AX9" s="247">
        <f t="shared" si="8"/>
        <v>50</v>
      </c>
      <c r="AY9" s="90">
        <f t="shared" si="9"/>
        <v>2</v>
      </c>
      <c r="AZ9" s="378">
        <v>0</v>
      </c>
      <c r="BA9" s="449" t="s">
        <v>3782</v>
      </c>
      <c r="BB9" s="247">
        <f t="shared" si="10"/>
        <v>100</v>
      </c>
      <c r="BC9" s="91">
        <f t="shared" si="11"/>
        <v>2</v>
      </c>
      <c r="BD9" s="325">
        <v>0</v>
      </c>
      <c r="BE9" s="325">
        <v>0</v>
      </c>
      <c r="BF9" s="325">
        <v>1</v>
      </c>
      <c r="BG9" s="252">
        <f t="shared" si="12"/>
        <v>1</v>
      </c>
      <c r="BH9" s="246">
        <f t="shared" si="13"/>
        <v>75</v>
      </c>
      <c r="BI9" s="90">
        <f t="shared" si="14"/>
        <v>0.75</v>
      </c>
      <c r="BJ9" s="325">
        <v>0</v>
      </c>
      <c r="BK9" s="247">
        <f t="shared" si="15"/>
        <v>100</v>
      </c>
      <c r="BL9" s="94">
        <f t="shared" si="16"/>
        <v>2</v>
      </c>
      <c r="BM9" s="325">
        <v>0</v>
      </c>
      <c r="BN9" s="325">
        <v>0</v>
      </c>
      <c r="BO9" s="325">
        <v>1</v>
      </c>
      <c r="BP9" s="211">
        <f t="shared" si="17"/>
        <v>1</v>
      </c>
      <c r="BQ9" s="253">
        <f t="shared" si="18"/>
        <v>50</v>
      </c>
      <c r="BR9" s="99">
        <f t="shared" si="19"/>
        <v>0.5</v>
      </c>
      <c r="BS9" s="101">
        <f t="shared" si="20"/>
        <v>16.25</v>
      </c>
    </row>
    <row r="10" spans="1:71" x14ac:dyDescent="0.6">
      <c r="A10" s="373" t="s">
        <v>305</v>
      </c>
      <c r="B10" s="13" t="s">
        <v>2906</v>
      </c>
      <c r="C10" s="380" t="s">
        <v>497</v>
      </c>
      <c r="D10" s="351" t="s">
        <v>285</v>
      </c>
      <c r="E10" s="352" t="s">
        <v>872</v>
      </c>
      <c r="F10" s="352" t="s">
        <v>657</v>
      </c>
      <c r="G10" s="353">
        <v>28481</v>
      </c>
      <c r="H10" s="352" t="s">
        <v>830</v>
      </c>
      <c r="I10" s="352" t="s">
        <v>1446</v>
      </c>
      <c r="J10" s="352" t="s">
        <v>659</v>
      </c>
      <c r="K10" s="352" t="s">
        <v>346</v>
      </c>
      <c r="L10" s="381">
        <v>1746816808</v>
      </c>
      <c r="M10" s="376">
        <v>748120989</v>
      </c>
      <c r="N10" s="376">
        <v>998695819</v>
      </c>
      <c r="O10" s="376">
        <v>1962419335</v>
      </c>
      <c r="P10" s="376">
        <v>81072832</v>
      </c>
      <c r="Q10" s="376">
        <v>84339672</v>
      </c>
      <c r="R10" s="376">
        <v>55421181</v>
      </c>
      <c r="S10" s="325">
        <v>1</v>
      </c>
      <c r="T10" s="246">
        <f t="shared" si="1"/>
        <v>50</v>
      </c>
      <c r="U10" s="77">
        <f t="shared" si="2"/>
        <v>1</v>
      </c>
      <c r="V10" s="377">
        <v>0</v>
      </c>
      <c r="W10" s="377">
        <v>0</v>
      </c>
      <c r="X10" s="377">
        <v>0</v>
      </c>
      <c r="Y10" s="377">
        <v>0</v>
      </c>
      <c r="Z10" s="377">
        <v>0</v>
      </c>
      <c r="AA10" s="377">
        <v>0</v>
      </c>
      <c r="AB10" s="377">
        <v>0</v>
      </c>
      <c r="AC10" s="247">
        <f t="shared" si="3"/>
        <v>0</v>
      </c>
      <c r="AD10" s="247">
        <f t="shared" si="4"/>
        <v>100</v>
      </c>
      <c r="AE10" s="82">
        <f t="shared" si="21"/>
        <v>5</v>
      </c>
      <c r="AF10" s="377">
        <v>0</v>
      </c>
      <c r="AG10" s="377">
        <v>0</v>
      </c>
      <c r="AH10" s="247">
        <f t="shared" si="5"/>
        <v>0</v>
      </c>
      <c r="AI10" s="247">
        <f t="shared" si="6"/>
        <v>100</v>
      </c>
      <c r="AJ10" s="82">
        <f t="shared" si="7"/>
        <v>3</v>
      </c>
      <c r="AK10" s="367" t="s">
        <v>2902</v>
      </c>
      <c r="AL10" s="367" t="s">
        <v>2902</v>
      </c>
      <c r="AM10" s="367" t="s">
        <v>2902</v>
      </c>
      <c r="AN10" s="367" t="s">
        <v>2902</v>
      </c>
      <c r="AO10" s="367" t="s">
        <v>2902</v>
      </c>
      <c r="AP10" s="296" t="s">
        <v>2326</v>
      </c>
      <c r="AQ10" s="296" t="s">
        <v>2326</v>
      </c>
      <c r="AR10" s="297"/>
      <c r="AS10" s="367" t="s">
        <v>2902</v>
      </c>
      <c r="AT10" s="367" t="s">
        <v>2902</v>
      </c>
      <c r="AU10" s="296" t="s">
        <v>2326</v>
      </c>
      <c r="AV10" s="297"/>
      <c r="AW10" s="325">
        <v>0</v>
      </c>
      <c r="AX10" s="247">
        <f t="shared" si="8"/>
        <v>50</v>
      </c>
      <c r="AY10" s="90">
        <f t="shared" si="9"/>
        <v>2</v>
      </c>
      <c r="AZ10" s="378">
        <v>0</v>
      </c>
      <c r="BA10" s="449" t="s">
        <v>3782</v>
      </c>
      <c r="BB10" s="247">
        <f t="shared" si="10"/>
        <v>100</v>
      </c>
      <c r="BC10" s="91">
        <f t="shared" si="11"/>
        <v>2</v>
      </c>
      <c r="BD10" s="325">
        <v>0</v>
      </c>
      <c r="BE10" s="325">
        <v>0</v>
      </c>
      <c r="BF10" s="325">
        <v>0</v>
      </c>
      <c r="BG10" s="252">
        <f t="shared" si="12"/>
        <v>0</v>
      </c>
      <c r="BH10" s="246">
        <f t="shared" si="13"/>
        <v>100</v>
      </c>
      <c r="BI10" s="90">
        <f t="shared" si="14"/>
        <v>1</v>
      </c>
      <c r="BJ10" s="325">
        <v>0</v>
      </c>
      <c r="BK10" s="247">
        <f t="shared" si="15"/>
        <v>100</v>
      </c>
      <c r="BL10" s="94">
        <f t="shared" si="16"/>
        <v>2</v>
      </c>
      <c r="BM10" s="325">
        <v>0</v>
      </c>
      <c r="BN10" s="325">
        <v>0</v>
      </c>
      <c r="BO10" s="325">
        <v>1</v>
      </c>
      <c r="BP10" s="211">
        <f t="shared" si="17"/>
        <v>1</v>
      </c>
      <c r="BQ10" s="253">
        <f t="shared" si="18"/>
        <v>50</v>
      </c>
      <c r="BR10" s="99">
        <f t="shared" si="19"/>
        <v>0.5</v>
      </c>
      <c r="BS10" s="101">
        <f t="shared" si="20"/>
        <v>16.5</v>
      </c>
    </row>
    <row r="11" spans="1:71" x14ac:dyDescent="0.6">
      <c r="A11" s="373" t="s">
        <v>1447</v>
      </c>
      <c r="B11" s="13" t="s">
        <v>2907</v>
      </c>
      <c r="C11" s="380" t="s">
        <v>1448</v>
      </c>
      <c r="D11" s="315" t="s">
        <v>285</v>
      </c>
      <c r="E11" s="352" t="s">
        <v>867</v>
      </c>
      <c r="F11" s="352" t="s">
        <v>1449</v>
      </c>
      <c r="G11" s="353">
        <v>44221</v>
      </c>
      <c r="H11" s="352" t="s">
        <v>830</v>
      </c>
      <c r="I11" s="352" t="s">
        <v>1450</v>
      </c>
      <c r="J11" s="13" t="s">
        <v>2908</v>
      </c>
      <c r="K11" s="352" t="s">
        <v>91</v>
      </c>
      <c r="L11" s="381">
        <v>6952036110</v>
      </c>
      <c r="M11" s="376">
        <v>3038424778</v>
      </c>
      <c r="N11" s="376">
        <v>3913611332</v>
      </c>
      <c r="O11" s="376">
        <v>5275660012</v>
      </c>
      <c r="P11" s="376">
        <v>402580787</v>
      </c>
      <c r="Q11" s="376">
        <v>469747452</v>
      </c>
      <c r="R11" s="376">
        <v>310207542</v>
      </c>
      <c r="S11" s="325">
        <v>1</v>
      </c>
      <c r="T11" s="246">
        <f t="shared" si="1"/>
        <v>50</v>
      </c>
      <c r="U11" s="77">
        <f t="shared" si="2"/>
        <v>1</v>
      </c>
      <c r="V11" s="377">
        <v>0</v>
      </c>
      <c r="W11" s="377">
        <v>0</v>
      </c>
      <c r="X11" s="377">
        <v>0</v>
      </c>
      <c r="Y11" s="377">
        <v>0</v>
      </c>
      <c r="Z11" s="377">
        <v>0</v>
      </c>
      <c r="AA11" s="377">
        <v>0</v>
      </c>
      <c r="AB11" s="377">
        <v>0</v>
      </c>
      <c r="AC11" s="247">
        <f t="shared" si="3"/>
        <v>0</v>
      </c>
      <c r="AD11" s="247">
        <f t="shared" si="4"/>
        <v>100</v>
      </c>
      <c r="AE11" s="82">
        <f t="shared" si="21"/>
        <v>5</v>
      </c>
      <c r="AF11" s="377">
        <v>0</v>
      </c>
      <c r="AG11" s="377">
        <v>0</v>
      </c>
      <c r="AH11" s="247">
        <f t="shared" si="5"/>
        <v>0</v>
      </c>
      <c r="AI11" s="247">
        <f t="shared" si="6"/>
        <v>100</v>
      </c>
      <c r="AJ11" s="82">
        <f t="shared" si="7"/>
        <v>3</v>
      </c>
      <c r="AK11" s="367" t="s">
        <v>2902</v>
      </c>
      <c r="AL11" s="367" t="s">
        <v>2902</v>
      </c>
      <c r="AM11" s="367" t="s">
        <v>2902</v>
      </c>
      <c r="AN11" s="367" t="s">
        <v>2902</v>
      </c>
      <c r="AO11" s="367" t="s">
        <v>2902</v>
      </c>
      <c r="AP11" s="296" t="s">
        <v>2326</v>
      </c>
      <c r="AQ11" s="296" t="s">
        <v>2326</v>
      </c>
      <c r="AR11" s="297"/>
      <c r="AS11" s="367" t="s">
        <v>2902</v>
      </c>
      <c r="AT11" s="367" t="s">
        <v>2902</v>
      </c>
      <c r="AU11" s="296" t="s">
        <v>2326</v>
      </c>
      <c r="AV11" s="297"/>
      <c r="AW11" s="325">
        <v>0</v>
      </c>
      <c r="AX11" s="247">
        <f t="shared" si="8"/>
        <v>50</v>
      </c>
      <c r="AY11" s="90">
        <f t="shared" si="9"/>
        <v>2</v>
      </c>
      <c r="AZ11" s="378">
        <v>0</v>
      </c>
      <c r="BA11" s="449" t="s">
        <v>3782</v>
      </c>
      <c r="BB11" s="247">
        <f t="shared" si="10"/>
        <v>100</v>
      </c>
      <c r="BC11" s="91">
        <f t="shared" si="11"/>
        <v>2</v>
      </c>
      <c r="BD11" s="325">
        <v>0</v>
      </c>
      <c r="BE11" s="325">
        <v>0</v>
      </c>
      <c r="BF11" s="325">
        <v>0</v>
      </c>
      <c r="BG11" s="252">
        <f t="shared" si="12"/>
        <v>0</v>
      </c>
      <c r="BH11" s="246">
        <f t="shared" si="13"/>
        <v>100</v>
      </c>
      <c r="BI11" s="90">
        <f t="shared" si="14"/>
        <v>1</v>
      </c>
      <c r="BJ11" s="325">
        <v>0</v>
      </c>
      <c r="BK11" s="247">
        <f t="shared" si="15"/>
        <v>100</v>
      </c>
      <c r="BL11" s="94">
        <f t="shared" si="16"/>
        <v>2</v>
      </c>
      <c r="BM11" s="325">
        <v>0</v>
      </c>
      <c r="BN11" s="325">
        <v>0</v>
      </c>
      <c r="BO11" s="325">
        <v>1</v>
      </c>
      <c r="BP11" s="211">
        <f t="shared" si="17"/>
        <v>1</v>
      </c>
      <c r="BQ11" s="253">
        <f t="shared" si="18"/>
        <v>50</v>
      </c>
      <c r="BR11" s="99">
        <f t="shared" si="19"/>
        <v>0.5</v>
      </c>
      <c r="BS11" s="101">
        <f t="shared" si="20"/>
        <v>16.5</v>
      </c>
    </row>
    <row r="12" spans="1:71" x14ac:dyDescent="0.6">
      <c r="A12" s="373" t="s">
        <v>1451</v>
      </c>
      <c r="B12" s="1" t="s">
        <v>2909</v>
      </c>
      <c r="C12" s="380" t="s">
        <v>1452</v>
      </c>
      <c r="D12" s="315" t="s">
        <v>203</v>
      </c>
      <c r="E12" s="352" t="s">
        <v>617</v>
      </c>
      <c r="F12" s="352" t="s">
        <v>1453</v>
      </c>
      <c r="G12" s="353">
        <v>32410</v>
      </c>
      <c r="H12" s="352" t="s">
        <v>830</v>
      </c>
      <c r="I12" s="352" t="s">
        <v>1454</v>
      </c>
      <c r="J12" s="352" t="s">
        <v>1455</v>
      </c>
      <c r="K12" s="352" t="s">
        <v>50</v>
      </c>
      <c r="L12" s="381">
        <v>1632577263</v>
      </c>
      <c r="M12" s="376">
        <v>965677546</v>
      </c>
      <c r="N12" s="376">
        <v>666899717</v>
      </c>
      <c r="O12" s="376">
        <v>772331699</v>
      </c>
      <c r="P12" s="376">
        <v>96511673</v>
      </c>
      <c r="Q12" s="376">
        <v>50588116</v>
      </c>
      <c r="R12" s="376">
        <v>37870319</v>
      </c>
      <c r="S12" s="325">
        <v>1</v>
      </c>
      <c r="T12" s="246">
        <f t="shared" si="1"/>
        <v>50</v>
      </c>
      <c r="U12" s="77">
        <f t="shared" si="2"/>
        <v>1</v>
      </c>
      <c r="V12" s="377">
        <v>0</v>
      </c>
      <c r="W12" s="377">
        <v>0</v>
      </c>
      <c r="X12" s="377">
        <v>0</v>
      </c>
      <c r="Y12" s="377">
        <v>0</v>
      </c>
      <c r="Z12" s="377">
        <v>0</v>
      </c>
      <c r="AA12" s="377">
        <v>0</v>
      </c>
      <c r="AB12" s="377">
        <v>0</v>
      </c>
      <c r="AC12" s="247">
        <f t="shared" si="3"/>
        <v>0</v>
      </c>
      <c r="AD12" s="247">
        <f t="shared" si="4"/>
        <v>100</v>
      </c>
      <c r="AE12" s="82">
        <f t="shared" si="21"/>
        <v>5</v>
      </c>
      <c r="AF12" s="377">
        <v>0</v>
      </c>
      <c r="AG12" s="377">
        <v>0</v>
      </c>
      <c r="AH12" s="247">
        <f t="shared" si="5"/>
        <v>0</v>
      </c>
      <c r="AI12" s="247">
        <f t="shared" si="6"/>
        <v>100</v>
      </c>
      <c r="AJ12" s="82">
        <f t="shared" si="7"/>
        <v>3</v>
      </c>
      <c r="AK12" s="367" t="s">
        <v>2902</v>
      </c>
      <c r="AL12" s="367" t="s">
        <v>2902</v>
      </c>
      <c r="AM12" s="367" t="s">
        <v>2902</v>
      </c>
      <c r="AN12" s="367" t="s">
        <v>2902</v>
      </c>
      <c r="AO12" s="367" t="s">
        <v>2902</v>
      </c>
      <c r="AP12" s="296" t="s">
        <v>2326</v>
      </c>
      <c r="AQ12" s="296" t="s">
        <v>2326</v>
      </c>
      <c r="AR12" s="297"/>
      <c r="AS12" s="367" t="s">
        <v>2902</v>
      </c>
      <c r="AT12" s="367" t="s">
        <v>2902</v>
      </c>
      <c r="AU12" s="296" t="s">
        <v>2326</v>
      </c>
      <c r="AV12" s="297"/>
      <c r="AW12" s="325">
        <v>0</v>
      </c>
      <c r="AX12" s="247">
        <f t="shared" si="8"/>
        <v>50</v>
      </c>
      <c r="AY12" s="90">
        <f t="shared" si="9"/>
        <v>2</v>
      </c>
      <c r="AZ12" s="378">
        <v>0</v>
      </c>
      <c r="BA12" s="449" t="s">
        <v>3782</v>
      </c>
      <c r="BB12" s="247">
        <f t="shared" si="10"/>
        <v>100</v>
      </c>
      <c r="BC12" s="91">
        <f t="shared" si="11"/>
        <v>2</v>
      </c>
      <c r="BD12" s="325">
        <v>0</v>
      </c>
      <c r="BE12" s="325">
        <v>0</v>
      </c>
      <c r="BF12" s="325">
        <v>1</v>
      </c>
      <c r="BG12" s="252">
        <f t="shared" si="12"/>
        <v>1</v>
      </c>
      <c r="BH12" s="246">
        <f t="shared" si="13"/>
        <v>75</v>
      </c>
      <c r="BI12" s="90">
        <f t="shared" si="14"/>
        <v>0.75</v>
      </c>
      <c r="BJ12" s="325">
        <v>0</v>
      </c>
      <c r="BK12" s="247">
        <f t="shared" si="15"/>
        <v>100</v>
      </c>
      <c r="BL12" s="94">
        <f t="shared" si="16"/>
        <v>2</v>
      </c>
      <c r="BM12" s="325">
        <v>0</v>
      </c>
      <c r="BN12" s="325">
        <v>0</v>
      </c>
      <c r="BO12" s="325">
        <v>0</v>
      </c>
      <c r="BP12" s="211">
        <f t="shared" si="17"/>
        <v>0</v>
      </c>
      <c r="BQ12" s="253">
        <f t="shared" si="18"/>
        <v>25</v>
      </c>
      <c r="BR12" s="99">
        <f t="shared" si="19"/>
        <v>0.25</v>
      </c>
      <c r="BS12" s="101">
        <f t="shared" si="20"/>
        <v>16</v>
      </c>
    </row>
    <row r="13" spans="1:71" x14ac:dyDescent="0.6">
      <c r="A13" s="373" t="s">
        <v>1456</v>
      </c>
      <c r="B13" s="1" t="s">
        <v>2910</v>
      </c>
      <c r="C13" s="380" t="s">
        <v>496</v>
      </c>
      <c r="D13" s="351" t="s">
        <v>203</v>
      </c>
      <c r="E13" s="352" t="s">
        <v>200</v>
      </c>
      <c r="F13" s="352" t="s">
        <v>83</v>
      </c>
      <c r="G13" s="353">
        <v>41409</v>
      </c>
      <c r="H13" s="352" t="s">
        <v>830</v>
      </c>
      <c r="I13" s="352" t="s">
        <v>697</v>
      </c>
      <c r="J13" s="352" t="s">
        <v>1003</v>
      </c>
      <c r="K13" s="352" t="s">
        <v>484</v>
      </c>
      <c r="L13" s="381">
        <v>279626168</v>
      </c>
      <c r="M13" s="376">
        <v>94093073</v>
      </c>
      <c r="N13" s="376">
        <v>185533095</v>
      </c>
      <c r="O13" s="376">
        <v>246405810</v>
      </c>
      <c r="P13" s="376">
        <v>31078773</v>
      </c>
      <c r="Q13" s="376">
        <v>26528544</v>
      </c>
      <c r="R13" s="376">
        <v>19234317</v>
      </c>
      <c r="S13" s="325">
        <v>0</v>
      </c>
      <c r="T13" s="246">
        <f t="shared" si="1"/>
        <v>100</v>
      </c>
      <c r="U13" s="77">
        <f t="shared" si="2"/>
        <v>2</v>
      </c>
      <c r="V13" s="377">
        <v>0</v>
      </c>
      <c r="W13" s="377">
        <v>0</v>
      </c>
      <c r="X13" s="377">
        <v>0</v>
      </c>
      <c r="Y13" s="377">
        <v>0</v>
      </c>
      <c r="Z13" s="377">
        <v>0</v>
      </c>
      <c r="AA13" s="377">
        <v>0</v>
      </c>
      <c r="AB13" s="377">
        <v>0</v>
      </c>
      <c r="AC13" s="247">
        <f t="shared" si="3"/>
        <v>0</v>
      </c>
      <c r="AD13" s="247">
        <f t="shared" si="4"/>
        <v>100</v>
      </c>
      <c r="AE13" s="82">
        <f t="shared" si="21"/>
        <v>5</v>
      </c>
      <c r="AF13" s="377">
        <v>0</v>
      </c>
      <c r="AG13" s="377">
        <v>0</v>
      </c>
      <c r="AH13" s="247">
        <f t="shared" si="5"/>
        <v>0</v>
      </c>
      <c r="AI13" s="247">
        <f t="shared" si="6"/>
        <v>100</v>
      </c>
      <c r="AJ13" s="82">
        <f t="shared" si="7"/>
        <v>3</v>
      </c>
      <c r="AK13" s="367" t="s">
        <v>2902</v>
      </c>
      <c r="AL13" s="367" t="s">
        <v>2902</v>
      </c>
      <c r="AM13" s="367" t="s">
        <v>2902</v>
      </c>
      <c r="AN13" s="367" t="s">
        <v>2902</v>
      </c>
      <c r="AO13" s="367" t="s">
        <v>2902</v>
      </c>
      <c r="AP13" s="296" t="s">
        <v>2326</v>
      </c>
      <c r="AQ13" s="296" t="s">
        <v>2326</v>
      </c>
      <c r="AR13" s="297"/>
      <c r="AS13" s="367" t="s">
        <v>2902</v>
      </c>
      <c r="AT13" s="367" t="s">
        <v>2902</v>
      </c>
      <c r="AU13" s="296" t="s">
        <v>2326</v>
      </c>
      <c r="AV13" s="297"/>
      <c r="AW13" s="325">
        <v>1</v>
      </c>
      <c r="AX13" s="247">
        <f t="shared" si="8"/>
        <v>100</v>
      </c>
      <c r="AY13" s="90">
        <f t="shared" si="9"/>
        <v>4</v>
      </c>
      <c r="AZ13" s="378">
        <v>0</v>
      </c>
      <c r="BA13" s="449" t="s">
        <v>3782</v>
      </c>
      <c r="BB13" s="247">
        <f t="shared" si="10"/>
        <v>100</v>
      </c>
      <c r="BC13" s="91">
        <f t="shared" si="11"/>
        <v>2</v>
      </c>
      <c r="BD13" s="325">
        <v>0</v>
      </c>
      <c r="BE13" s="325">
        <v>0</v>
      </c>
      <c r="BF13" s="325">
        <v>0</v>
      </c>
      <c r="BG13" s="252">
        <f t="shared" si="12"/>
        <v>0</v>
      </c>
      <c r="BH13" s="246">
        <f t="shared" si="13"/>
        <v>100</v>
      </c>
      <c r="BI13" s="90">
        <f t="shared" si="14"/>
        <v>1</v>
      </c>
      <c r="BJ13" s="325">
        <v>0</v>
      </c>
      <c r="BK13" s="247">
        <f t="shared" si="15"/>
        <v>100</v>
      </c>
      <c r="BL13" s="94">
        <f t="shared" si="16"/>
        <v>2</v>
      </c>
      <c r="BM13" s="325">
        <v>0</v>
      </c>
      <c r="BN13" s="325">
        <v>0</v>
      </c>
      <c r="BO13" s="325">
        <v>0</v>
      </c>
      <c r="BP13" s="211">
        <f t="shared" si="17"/>
        <v>0</v>
      </c>
      <c r="BQ13" s="253">
        <f t="shared" si="18"/>
        <v>25</v>
      </c>
      <c r="BR13" s="99">
        <f t="shared" si="19"/>
        <v>0.25</v>
      </c>
      <c r="BS13" s="101">
        <f t="shared" si="20"/>
        <v>19.25</v>
      </c>
    </row>
    <row r="14" spans="1:71" x14ac:dyDescent="0.6">
      <c r="A14" s="373" t="s">
        <v>96</v>
      </c>
      <c r="B14" s="1" t="s">
        <v>2911</v>
      </c>
      <c r="C14" s="380" t="s">
        <v>66</v>
      </c>
      <c r="D14" s="351" t="s">
        <v>203</v>
      </c>
      <c r="E14" s="352" t="s">
        <v>195</v>
      </c>
      <c r="F14" s="352" t="s">
        <v>288</v>
      </c>
      <c r="G14" s="353">
        <v>37649</v>
      </c>
      <c r="H14" s="352" t="s">
        <v>830</v>
      </c>
      <c r="I14" s="352" t="s">
        <v>980</v>
      </c>
      <c r="J14" s="352" t="s">
        <v>1033</v>
      </c>
      <c r="K14" s="352" t="s">
        <v>341</v>
      </c>
      <c r="L14" s="381">
        <v>259398157</v>
      </c>
      <c r="M14" s="376">
        <v>76302600</v>
      </c>
      <c r="N14" s="376">
        <v>183095557</v>
      </c>
      <c r="O14" s="376">
        <v>261687162</v>
      </c>
      <c r="P14" s="376">
        <v>26367414</v>
      </c>
      <c r="Q14" s="376">
        <v>33010683</v>
      </c>
      <c r="R14" s="376">
        <v>28926448</v>
      </c>
      <c r="S14" s="325">
        <v>0</v>
      </c>
      <c r="T14" s="246">
        <f t="shared" si="1"/>
        <v>100</v>
      </c>
      <c r="U14" s="77">
        <f t="shared" si="2"/>
        <v>2</v>
      </c>
      <c r="V14" s="377">
        <v>0</v>
      </c>
      <c r="W14" s="377">
        <v>0</v>
      </c>
      <c r="X14" s="377">
        <v>0</v>
      </c>
      <c r="Y14" s="377">
        <v>0</v>
      </c>
      <c r="Z14" s="377">
        <v>0</v>
      </c>
      <c r="AA14" s="377">
        <v>0</v>
      </c>
      <c r="AB14" s="377">
        <v>0</v>
      </c>
      <c r="AC14" s="247">
        <f t="shared" si="3"/>
        <v>0</v>
      </c>
      <c r="AD14" s="247">
        <f t="shared" si="4"/>
        <v>100</v>
      </c>
      <c r="AE14" s="82">
        <f t="shared" si="21"/>
        <v>5</v>
      </c>
      <c r="AF14" s="377">
        <v>0</v>
      </c>
      <c r="AG14" s="377">
        <v>0</v>
      </c>
      <c r="AH14" s="247">
        <f t="shared" si="5"/>
        <v>0</v>
      </c>
      <c r="AI14" s="247">
        <f t="shared" si="6"/>
        <v>100</v>
      </c>
      <c r="AJ14" s="82">
        <f t="shared" si="7"/>
        <v>3</v>
      </c>
      <c r="AK14" s="367" t="s">
        <v>2902</v>
      </c>
      <c r="AL14" s="367" t="s">
        <v>2902</v>
      </c>
      <c r="AM14" s="367" t="s">
        <v>2902</v>
      </c>
      <c r="AN14" s="367" t="s">
        <v>2902</v>
      </c>
      <c r="AO14" s="367" t="s">
        <v>2902</v>
      </c>
      <c r="AP14" s="296" t="s">
        <v>2326</v>
      </c>
      <c r="AQ14" s="296" t="s">
        <v>2326</v>
      </c>
      <c r="AR14" s="297"/>
      <c r="AS14" s="367" t="s">
        <v>2902</v>
      </c>
      <c r="AT14" s="367" t="s">
        <v>2902</v>
      </c>
      <c r="AU14" s="296" t="s">
        <v>2326</v>
      </c>
      <c r="AV14" s="297"/>
      <c r="AW14" s="325">
        <v>1</v>
      </c>
      <c r="AX14" s="247">
        <f t="shared" si="8"/>
        <v>100</v>
      </c>
      <c r="AY14" s="90">
        <f t="shared" si="9"/>
        <v>4</v>
      </c>
      <c r="AZ14" s="378">
        <v>0</v>
      </c>
      <c r="BA14" s="449" t="s">
        <v>3782</v>
      </c>
      <c r="BB14" s="247">
        <f t="shared" si="10"/>
        <v>100</v>
      </c>
      <c r="BC14" s="91">
        <f t="shared" si="11"/>
        <v>2</v>
      </c>
      <c r="BD14" s="325">
        <v>0</v>
      </c>
      <c r="BE14" s="325">
        <v>0</v>
      </c>
      <c r="BF14" s="325">
        <v>0</v>
      </c>
      <c r="BG14" s="252">
        <f t="shared" si="12"/>
        <v>0</v>
      </c>
      <c r="BH14" s="246">
        <f t="shared" si="13"/>
        <v>100</v>
      </c>
      <c r="BI14" s="90">
        <f t="shared" si="14"/>
        <v>1</v>
      </c>
      <c r="BJ14" s="325">
        <v>0</v>
      </c>
      <c r="BK14" s="247">
        <f t="shared" si="15"/>
        <v>100</v>
      </c>
      <c r="BL14" s="94">
        <f t="shared" si="16"/>
        <v>2</v>
      </c>
      <c r="BM14" s="325">
        <v>0</v>
      </c>
      <c r="BN14" s="325">
        <v>0</v>
      </c>
      <c r="BO14" s="325">
        <v>0</v>
      </c>
      <c r="BP14" s="211">
        <v>0</v>
      </c>
      <c r="BQ14" s="253">
        <f t="shared" si="18"/>
        <v>25</v>
      </c>
      <c r="BR14" s="99">
        <f t="shared" si="19"/>
        <v>0.25</v>
      </c>
      <c r="BS14" s="101">
        <f t="shared" si="20"/>
        <v>19.25</v>
      </c>
    </row>
    <row r="15" spans="1:71" x14ac:dyDescent="0.6">
      <c r="A15" s="373" t="s">
        <v>1457</v>
      </c>
      <c r="B15" s="1" t="s">
        <v>2912</v>
      </c>
      <c r="C15" s="380" t="s">
        <v>1458</v>
      </c>
      <c r="D15" s="315" t="s">
        <v>191</v>
      </c>
      <c r="E15" s="352" t="s">
        <v>190</v>
      </c>
      <c r="F15" s="352" t="s">
        <v>1459</v>
      </c>
      <c r="G15" s="353">
        <v>44337</v>
      </c>
      <c r="H15" s="352" t="s">
        <v>830</v>
      </c>
      <c r="I15" s="352" t="s">
        <v>1460</v>
      </c>
      <c r="J15" s="352" t="s">
        <v>1461</v>
      </c>
      <c r="K15" s="352" t="s">
        <v>91</v>
      </c>
      <c r="L15" s="381">
        <v>1329134616</v>
      </c>
      <c r="M15" s="376">
        <v>413421862</v>
      </c>
      <c r="N15" s="376">
        <v>915712754</v>
      </c>
      <c r="O15" s="376">
        <v>1615587865</v>
      </c>
      <c r="P15" s="376">
        <v>523701828</v>
      </c>
      <c r="Q15" s="376">
        <v>528169893</v>
      </c>
      <c r="R15" s="376">
        <v>385627456</v>
      </c>
      <c r="S15" s="325">
        <v>0</v>
      </c>
      <c r="T15" s="246">
        <f t="shared" si="1"/>
        <v>100</v>
      </c>
      <c r="U15" s="77">
        <f t="shared" si="2"/>
        <v>2</v>
      </c>
      <c r="V15" s="377">
        <v>0</v>
      </c>
      <c r="W15" s="377">
        <v>0</v>
      </c>
      <c r="X15" s="377">
        <v>0</v>
      </c>
      <c r="Y15" s="377">
        <v>0</v>
      </c>
      <c r="Z15" s="377">
        <v>0</v>
      </c>
      <c r="AA15" s="377">
        <v>0</v>
      </c>
      <c r="AB15" s="377">
        <v>0</v>
      </c>
      <c r="AC15" s="247">
        <f t="shared" si="3"/>
        <v>0</v>
      </c>
      <c r="AD15" s="247">
        <f t="shared" si="4"/>
        <v>100</v>
      </c>
      <c r="AE15" s="82">
        <f t="shared" si="21"/>
        <v>5</v>
      </c>
      <c r="AF15" s="377">
        <v>0</v>
      </c>
      <c r="AG15" s="377">
        <v>0</v>
      </c>
      <c r="AH15" s="247">
        <f t="shared" si="5"/>
        <v>0</v>
      </c>
      <c r="AI15" s="247">
        <f t="shared" si="6"/>
        <v>100</v>
      </c>
      <c r="AJ15" s="82">
        <f t="shared" si="7"/>
        <v>3</v>
      </c>
      <c r="AK15" s="367" t="s">
        <v>2902</v>
      </c>
      <c r="AL15" s="367" t="s">
        <v>2902</v>
      </c>
      <c r="AM15" s="367" t="s">
        <v>2902</v>
      </c>
      <c r="AN15" s="367" t="s">
        <v>2902</v>
      </c>
      <c r="AO15" s="367" t="s">
        <v>2902</v>
      </c>
      <c r="AP15" s="296" t="s">
        <v>2326</v>
      </c>
      <c r="AQ15" s="296" t="s">
        <v>2326</v>
      </c>
      <c r="AR15" s="297"/>
      <c r="AS15" s="367" t="s">
        <v>2902</v>
      </c>
      <c r="AT15" s="367" t="s">
        <v>2902</v>
      </c>
      <c r="AU15" s="296" t="s">
        <v>2326</v>
      </c>
      <c r="AV15" s="297"/>
      <c r="AW15" s="325">
        <v>0</v>
      </c>
      <c r="AX15" s="247">
        <f t="shared" si="8"/>
        <v>50</v>
      </c>
      <c r="AY15" s="90">
        <f t="shared" si="9"/>
        <v>2</v>
      </c>
      <c r="AZ15" s="378">
        <v>0</v>
      </c>
      <c r="BA15" s="449" t="s">
        <v>3782</v>
      </c>
      <c r="BB15" s="247">
        <f t="shared" si="10"/>
        <v>100</v>
      </c>
      <c r="BC15" s="91">
        <f t="shared" si="11"/>
        <v>2</v>
      </c>
      <c r="BD15" s="325">
        <v>0</v>
      </c>
      <c r="BE15" s="325">
        <v>0</v>
      </c>
      <c r="BF15" s="325">
        <v>1</v>
      </c>
      <c r="BG15" s="252">
        <f t="shared" si="12"/>
        <v>1</v>
      </c>
      <c r="BH15" s="246">
        <f t="shared" si="13"/>
        <v>75</v>
      </c>
      <c r="BI15" s="90">
        <f t="shared" si="14"/>
        <v>0.75</v>
      </c>
      <c r="BJ15" s="325">
        <v>0</v>
      </c>
      <c r="BK15" s="247">
        <f t="shared" si="15"/>
        <v>100</v>
      </c>
      <c r="BL15" s="94">
        <f t="shared" si="16"/>
        <v>2</v>
      </c>
      <c r="BM15" s="325">
        <v>0</v>
      </c>
      <c r="BN15" s="325">
        <v>1</v>
      </c>
      <c r="BO15" s="325">
        <v>1</v>
      </c>
      <c r="BP15" s="211">
        <f t="shared" si="17"/>
        <v>2</v>
      </c>
      <c r="BQ15" s="253">
        <f t="shared" si="18"/>
        <v>75</v>
      </c>
      <c r="BR15" s="99">
        <f t="shared" si="19"/>
        <v>0.75</v>
      </c>
      <c r="BS15" s="101">
        <f t="shared" si="20"/>
        <v>17.5</v>
      </c>
    </row>
    <row r="16" spans="1:71" x14ac:dyDescent="0.6">
      <c r="A16" s="373" t="s">
        <v>1462</v>
      </c>
      <c r="B16" s="1" t="s">
        <v>2913</v>
      </c>
      <c r="C16" s="380" t="s">
        <v>1463</v>
      </c>
      <c r="D16" s="315" t="s">
        <v>285</v>
      </c>
      <c r="E16" s="352" t="s">
        <v>872</v>
      </c>
      <c r="F16" s="352" t="s">
        <v>1464</v>
      </c>
      <c r="G16" s="353">
        <v>29801</v>
      </c>
      <c r="H16" s="352" t="s">
        <v>830</v>
      </c>
      <c r="I16" s="352" t="s">
        <v>1465</v>
      </c>
      <c r="J16" s="352" t="s">
        <v>1466</v>
      </c>
      <c r="K16" s="352" t="s">
        <v>91</v>
      </c>
      <c r="L16" s="381">
        <v>12739404443</v>
      </c>
      <c r="M16" s="376">
        <v>7806315499</v>
      </c>
      <c r="N16" s="376">
        <v>4933088944</v>
      </c>
      <c r="O16" s="376">
        <v>8613702892</v>
      </c>
      <c r="P16" s="376">
        <v>281011393</v>
      </c>
      <c r="Q16" s="376">
        <v>360875361</v>
      </c>
      <c r="R16" s="376">
        <v>240672686</v>
      </c>
      <c r="S16" s="325">
        <v>1</v>
      </c>
      <c r="T16" s="246">
        <f t="shared" si="1"/>
        <v>50</v>
      </c>
      <c r="U16" s="77">
        <f t="shared" si="2"/>
        <v>1</v>
      </c>
      <c r="V16" s="377">
        <v>0</v>
      </c>
      <c r="W16" s="377">
        <v>0</v>
      </c>
      <c r="X16" s="377">
        <v>0</v>
      </c>
      <c r="Y16" s="377">
        <v>0</v>
      </c>
      <c r="Z16" s="377">
        <v>0</v>
      </c>
      <c r="AA16" s="377">
        <v>0</v>
      </c>
      <c r="AB16" s="377">
        <v>0</v>
      </c>
      <c r="AC16" s="247">
        <f t="shared" si="3"/>
        <v>0</v>
      </c>
      <c r="AD16" s="247">
        <f t="shared" si="4"/>
        <v>100</v>
      </c>
      <c r="AE16" s="82">
        <f t="shared" si="21"/>
        <v>5</v>
      </c>
      <c r="AF16" s="377">
        <v>0</v>
      </c>
      <c r="AG16" s="377">
        <v>0</v>
      </c>
      <c r="AH16" s="247">
        <f t="shared" si="5"/>
        <v>0</v>
      </c>
      <c r="AI16" s="247">
        <f t="shared" si="6"/>
        <v>100</v>
      </c>
      <c r="AJ16" s="82">
        <f t="shared" si="7"/>
        <v>3</v>
      </c>
      <c r="AK16" s="367" t="s">
        <v>2902</v>
      </c>
      <c r="AL16" s="367" t="s">
        <v>2902</v>
      </c>
      <c r="AM16" s="367" t="s">
        <v>2902</v>
      </c>
      <c r="AN16" s="367" t="s">
        <v>2902</v>
      </c>
      <c r="AO16" s="367" t="s">
        <v>2902</v>
      </c>
      <c r="AP16" s="296" t="s">
        <v>2326</v>
      </c>
      <c r="AQ16" s="296" t="s">
        <v>2326</v>
      </c>
      <c r="AR16" s="297"/>
      <c r="AS16" s="367" t="s">
        <v>2902</v>
      </c>
      <c r="AT16" s="367" t="s">
        <v>2902</v>
      </c>
      <c r="AU16" s="296" t="s">
        <v>2326</v>
      </c>
      <c r="AV16" s="297"/>
      <c r="AW16" s="325">
        <v>0</v>
      </c>
      <c r="AX16" s="247">
        <f t="shared" si="8"/>
        <v>50</v>
      </c>
      <c r="AY16" s="90">
        <f t="shared" si="9"/>
        <v>2</v>
      </c>
      <c r="AZ16" s="378">
        <v>0</v>
      </c>
      <c r="BA16" s="449" t="s">
        <v>3782</v>
      </c>
      <c r="BB16" s="247">
        <f t="shared" si="10"/>
        <v>100</v>
      </c>
      <c r="BC16" s="91">
        <f t="shared" si="11"/>
        <v>2</v>
      </c>
      <c r="BD16" s="325">
        <v>0</v>
      </c>
      <c r="BE16" s="325">
        <v>0</v>
      </c>
      <c r="BF16" s="325">
        <v>0</v>
      </c>
      <c r="BG16" s="252">
        <f t="shared" si="12"/>
        <v>0</v>
      </c>
      <c r="BH16" s="246">
        <f t="shared" si="13"/>
        <v>100</v>
      </c>
      <c r="BI16" s="90">
        <f t="shared" si="14"/>
        <v>1</v>
      </c>
      <c r="BJ16" s="325">
        <v>0</v>
      </c>
      <c r="BK16" s="247">
        <f t="shared" si="15"/>
        <v>100</v>
      </c>
      <c r="BL16" s="94">
        <f t="shared" si="16"/>
        <v>2</v>
      </c>
      <c r="BM16" s="325">
        <v>0</v>
      </c>
      <c r="BN16" s="325">
        <v>0</v>
      </c>
      <c r="BO16" s="325">
        <v>1</v>
      </c>
      <c r="BP16" s="211">
        <f t="shared" si="17"/>
        <v>1</v>
      </c>
      <c r="BQ16" s="253">
        <f t="shared" si="18"/>
        <v>50</v>
      </c>
      <c r="BR16" s="99">
        <f t="shared" si="19"/>
        <v>0.5</v>
      </c>
      <c r="BS16" s="101">
        <f t="shared" si="20"/>
        <v>16.5</v>
      </c>
    </row>
    <row r="17" spans="1:71" x14ac:dyDescent="0.6">
      <c r="A17" s="373" t="s">
        <v>1467</v>
      </c>
      <c r="B17" s="1" t="s">
        <v>2914</v>
      </c>
      <c r="C17" s="380" t="s">
        <v>1468</v>
      </c>
      <c r="D17" s="355" t="s">
        <v>285</v>
      </c>
      <c r="E17" s="352" t="s">
        <v>245</v>
      </c>
      <c r="F17" s="352" t="s">
        <v>1469</v>
      </c>
      <c r="G17" s="353">
        <v>27937</v>
      </c>
      <c r="H17" s="352" t="s">
        <v>830</v>
      </c>
      <c r="I17" s="352" t="s">
        <v>1470</v>
      </c>
      <c r="J17" s="352" t="s">
        <v>1471</v>
      </c>
      <c r="K17" s="352" t="s">
        <v>91</v>
      </c>
      <c r="L17" s="381">
        <v>997899096</v>
      </c>
      <c r="M17" s="376">
        <v>681241305</v>
      </c>
      <c r="N17" s="376">
        <v>316657791</v>
      </c>
      <c r="O17" s="376">
        <v>4351245277</v>
      </c>
      <c r="P17" s="376">
        <v>72635691</v>
      </c>
      <c r="Q17" s="376">
        <v>36029872</v>
      </c>
      <c r="R17" s="376">
        <v>42401579</v>
      </c>
      <c r="S17" s="325">
        <v>1</v>
      </c>
      <c r="T17" s="246">
        <f t="shared" si="1"/>
        <v>50</v>
      </c>
      <c r="U17" s="77">
        <f t="shared" si="2"/>
        <v>1</v>
      </c>
      <c r="V17" s="377">
        <v>0</v>
      </c>
      <c r="W17" s="377">
        <v>0</v>
      </c>
      <c r="X17" s="377">
        <v>0</v>
      </c>
      <c r="Y17" s="377">
        <v>0</v>
      </c>
      <c r="Z17" s="377">
        <v>0</v>
      </c>
      <c r="AA17" s="377">
        <v>0</v>
      </c>
      <c r="AB17" s="377">
        <v>1</v>
      </c>
      <c r="AC17" s="247">
        <f t="shared" si="3"/>
        <v>1</v>
      </c>
      <c r="AD17" s="247">
        <f t="shared" si="4"/>
        <v>75</v>
      </c>
      <c r="AE17" s="82">
        <f t="shared" si="21"/>
        <v>3.75</v>
      </c>
      <c r="AF17" s="377">
        <v>0</v>
      </c>
      <c r="AG17" s="377">
        <v>0</v>
      </c>
      <c r="AH17" s="247">
        <f t="shared" si="5"/>
        <v>0</v>
      </c>
      <c r="AI17" s="247">
        <f t="shared" si="6"/>
        <v>100</v>
      </c>
      <c r="AJ17" s="82">
        <f t="shared" si="7"/>
        <v>3</v>
      </c>
      <c r="AK17" s="367" t="s">
        <v>2902</v>
      </c>
      <c r="AL17" s="367" t="s">
        <v>2902</v>
      </c>
      <c r="AM17" s="367" t="s">
        <v>2902</v>
      </c>
      <c r="AN17" s="367" t="s">
        <v>2902</v>
      </c>
      <c r="AO17" s="367" t="s">
        <v>2902</v>
      </c>
      <c r="AP17" s="296" t="s">
        <v>2326</v>
      </c>
      <c r="AQ17" s="296" t="s">
        <v>2326</v>
      </c>
      <c r="AR17" s="297"/>
      <c r="AS17" s="367" t="s">
        <v>2902</v>
      </c>
      <c r="AT17" s="367" t="s">
        <v>2902</v>
      </c>
      <c r="AU17" s="296" t="s">
        <v>2326</v>
      </c>
      <c r="AV17" s="297"/>
      <c r="AW17" s="325">
        <v>0</v>
      </c>
      <c r="AX17" s="247">
        <f t="shared" si="8"/>
        <v>50</v>
      </c>
      <c r="AY17" s="90">
        <f t="shared" si="9"/>
        <v>2</v>
      </c>
      <c r="AZ17" s="378">
        <v>0</v>
      </c>
      <c r="BA17" s="449" t="s">
        <v>3782</v>
      </c>
      <c r="BB17" s="247">
        <f t="shared" si="10"/>
        <v>100</v>
      </c>
      <c r="BC17" s="91">
        <f t="shared" si="11"/>
        <v>2</v>
      </c>
      <c r="BD17" s="325">
        <v>0</v>
      </c>
      <c r="BE17" s="325">
        <v>0</v>
      </c>
      <c r="BF17" s="325">
        <v>0</v>
      </c>
      <c r="BG17" s="252">
        <f t="shared" si="12"/>
        <v>0</v>
      </c>
      <c r="BH17" s="246">
        <f t="shared" si="13"/>
        <v>100</v>
      </c>
      <c r="BI17" s="90">
        <f t="shared" si="14"/>
        <v>1</v>
      </c>
      <c r="BJ17" s="325">
        <v>0</v>
      </c>
      <c r="BK17" s="247">
        <f t="shared" si="15"/>
        <v>100</v>
      </c>
      <c r="BL17" s="94">
        <f t="shared" si="16"/>
        <v>2</v>
      </c>
      <c r="BM17" s="325">
        <v>0</v>
      </c>
      <c r="BN17" s="325">
        <v>0</v>
      </c>
      <c r="BO17" s="325">
        <v>1</v>
      </c>
      <c r="BP17" s="211">
        <f t="shared" si="17"/>
        <v>1</v>
      </c>
      <c r="BQ17" s="253">
        <f t="shared" si="18"/>
        <v>50</v>
      </c>
      <c r="BR17" s="99">
        <f t="shared" si="19"/>
        <v>0.5</v>
      </c>
      <c r="BS17" s="101">
        <f t="shared" si="20"/>
        <v>15.25</v>
      </c>
    </row>
    <row r="18" spans="1:71" x14ac:dyDescent="0.6">
      <c r="A18" s="373" t="s">
        <v>402</v>
      </c>
      <c r="B18" s="1" t="s">
        <v>2915</v>
      </c>
      <c r="C18" s="380" t="s">
        <v>49</v>
      </c>
      <c r="D18" s="351" t="s">
        <v>202</v>
      </c>
      <c r="E18" s="352" t="s">
        <v>196</v>
      </c>
      <c r="F18" s="352" t="s">
        <v>120</v>
      </c>
      <c r="G18" s="353">
        <v>42271</v>
      </c>
      <c r="H18" s="352" t="s">
        <v>830</v>
      </c>
      <c r="I18" s="352" t="s">
        <v>679</v>
      </c>
      <c r="J18" s="352" t="s">
        <v>1472</v>
      </c>
      <c r="K18" s="352" t="s">
        <v>91</v>
      </c>
      <c r="L18" s="381">
        <v>384013805</v>
      </c>
      <c r="M18" s="376">
        <v>122371399</v>
      </c>
      <c r="N18" s="376">
        <v>261642406</v>
      </c>
      <c r="O18" s="376">
        <v>610731077</v>
      </c>
      <c r="P18" s="376">
        <v>12353544</v>
      </c>
      <c r="Q18" s="376">
        <v>16868521</v>
      </c>
      <c r="R18" s="376">
        <v>12791557</v>
      </c>
      <c r="S18" s="325">
        <v>1</v>
      </c>
      <c r="T18" s="246">
        <f t="shared" si="1"/>
        <v>50</v>
      </c>
      <c r="U18" s="77">
        <f t="shared" si="2"/>
        <v>1</v>
      </c>
      <c r="V18" s="377">
        <v>0</v>
      </c>
      <c r="W18" s="377">
        <v>0</v>
      </c>
      <c r="X18" s="377">
        <v>0</v>
      </c>
      <c r="Y18" s="377">
        <v>0</v>
      </c>
      <c r="Z18" s="377">
        <v>0</v>
      </c>
      <c r="AA18" s="377">
        <v>0</v>
      </c>
      <c r="AB18" s="377">
        <v>0</v>
      </c>
      <c r="AC18" s="247">
        <f t="shared" si="3"/>
        <v>0</v>
      </c>
      <c r="AD18" s="247">
        <f t="shared" si="4"/>
        <v>100</v>
      </c>
      <c r="AE18" s="82">
        <f t="shared" si="21"/>
        <v>5</v>
      </c>
      <c r="AF18" s="377">
        <v>0</v>
      </c>
      <c r="AG18" s="377">
        <v>0</v>
      </c>
      <c r="AH18" s="247">
        <f t="shared" si="5"/>
        <v>0</v>
      </c>
      <c r="AI18" s="247">
        <f t="shared" si="6"/>
        <v>100</v>
      </c>
      <c r="AJ18" s="82">
        <f t="shared" si="7"/>
        <v>3</v>
      </c>
      <c r="AK18" s="367" t="s">
        <v>2902</v>
      </c>
      <c r="AL18" s="367" t="s">
        <v>2902</v>
      </c>
      <c r="AM18" s="367" t="s">
        <v>2902</v>
      </c>
      <c r="AN18" s="367" t="s">
        <v>2902</v>
      </c>
      <c r="AO18" s="367" t="s">
        <v>2902</v>
      </c>
      <c r="AP18" s="296" t="s">
        <v>2326</v>
      </c>
      <c r="AQ18" s="296" t="s">
        <v>2326</v>
      </c>
      <c r="AR18" s="297"/>
      <c r="AS18" s="367" t="s">
        <v>2902</v>
      </c>
      <c r="AT18" s="367" t="s">
        <v>2902</v>
      </c>
      <c r="AU18" s="296" t="s">
        <v>2326</v>
      </c>
      <c r="AV18" s="297"/>
      <c r="AW18" s="325">
        <v>0</v>
      </c>
      <c r="AX18" s="247">
        <f t="shared" si="8"/>
        <v>50</v>
      </c>
      <c r="AY18" s="90">
        <f t="shared" si="9"/>
        <v>2</v>
      </c>
      <c r="AZ18" s="378">
        <v>0</v>
      </c>
      <c r="BA18" s="449" t="s">
        <v>3782</v>
      </c>
      <c r="BB18" s="247">
        <f t="shared" si="10"/>
        <v>100</v>
      </c>
      <c r="BC18" s="91">
        <f t="shared" si="11"/>
        <v>2</v>
      </c>
      <c r="BD18" s="325">
        <v>0</v>
      </c>
      <c r="BE18" s="325">
        <v>0</v>
      </c>
      <c r="BF18" s="325">
        <v>0</v>
      </c>
      <c r="BG18" s="252">
        <f t="shared" si="12"/>
        <v>0</v>
      </c>
      <c r="BH18" s="246">
        <f t="shared" si="13"/>
        <v>100</v>
      </c>
      <c r="BI18" s="90">
        <f t="shared" si="14"/>
        <v>1</v>
      </c>
      <c r="BJ18" s="325">
        <v>0</v>
      </c>
      <c r="BK18" s="247">
        <f t="shared" si="15"/>
        <v>100</v>
      </c>
      <c r="BL18" s="94">
        <f t="shared" si="16"/>
        <v>2</v>
      </c>
      <c r="BM18" s="325">
        <v>0</v>
      </c>
      <c r="BN18" s="325">
        <v>0</v>
      </c>
      <c r="BO18" s="325">
        <v>1</v>
      </c>
      <c r="BP18" s="211">
        <f t="shared" si="17"/>
        <v>1</v>
      </c>
      <c r="BQ18" s="253">
        <f t="shared" si="18"/>
        <v>50</v>
      </c>
      <c r="BR18" s="99">
        <f t="shared" si="19"/>
        <v>0.5</v>
      </c>
      <c r="BS18" s="101">
        <f t="shared" si="20"/>
        <v>16.5</v>
      </c>
    </row>
    <row r="19" spans="1:71" x14ac:dyDescent="0.6">
      <c r="A19" s="373" t="s">
        <v>1473</v>
      </c>
      <c r="B19" s="13" t="s">
        <v>2916</v>
      </c>
      <c r="C19" s="380" t="s">
        <v>532</v>
      </c>
      <c r="D19" s="351" t="s">
        <v>203</v>
      </c>
      <c r="E19" s="352" t="s">
        <v>188</v>
      </c>
      <c r="F19" s="352" t="s">
        <v>643</v>
      </c>
      <c r="G19" s="353">
        <v>38985</v>
      </c>
      <c r="H19" s="352" t="s">
        <v>830</v>
      </c>
      <c r="I19" s="352" t="s">
        <v>302</v>
      </c>
      <c r="J19" s="352" t="s">
        <v>668</v>
      </c>
      <c r="K19" s="352" t="s">
        <v>425</v>
      </c>
      <c r="L19" s="381">
        <v>496666959</v>
      </c>
      <c r="M19" s="376">
        <v>232970639</v>
      </c>
      <c r="N19" s="376">
        <v>263696320</v>
      </c>
      <c r="O19" s="376">
        <v>847333959</v>
      </c>
      <c r="P19" s="376">
        <v>12420452</v>
      </c>
      <c r="Q19" s="376">
        <v>21136596</v>
      </c>
      <c r="R19" s="376">
        <v>15436443</v>
      </c>
      <c r="S19" s="325">
        <v>1</v>
      </c>
      <c r="T19" s="246">
        <f t="shared" si="1"/>
        <v>50</v>
      </c>
      <c r="U19" s="77">
        <f t="shared" si="2"/>
        <v>1</v>
      </c>
      <c r="V19" s="377">
        <v>0</v>
      </c>
      <c r="W19" s="377">
        <v>0</v>
      </c>
      <c r="X19" s="377">
        <v>0</v>
      </c>
      <c r="Y19" s="377">
        <v>0</v>
      </c>
      <c r="Z19" s="377">
        <v>0</v>
      </c>
      <c r="AA19" s="377">
        <v>0</v>
      </c>
      <c r="AB19" s="377">
        <v>0</v>
      </c>
      <c r="AC19" s="247">
        <f t="shared" si="3"/>
        <v>0</v>
      </c>
      <c r="AD19" s="247">
        <f t="shared" si="4"/>
        <v>100</v>
      </c>
      <c r="AE19" s="82">
        <f t="shared" si="21"/>
        <v>5</v>
      </c>
      <c r="AF19" s="377">
        <v>0</v>
      </c>
      <c r="AG19" s="377">
        <v>0</v>
      </c>
      <c r="AH19" s="247">
        <f t="shared" si="5"/>
        <v>0</v>
      </c>
      <c r="AI19" s="247">
        <f t="shared" si="6"/>
        <v>100</v>
      </c>
      <c r="AJ19" s="82">
        <f t="shared" si="7"/>
        <v>3</v>
      </c>
      <c r="AK19" s="367" t="s">
        <v>2902</v>
      </c>
      <c r="AL19" s="367" t="s">
        <v>2902</v>
      </c>
      <c r="AM19" s="367" t="s">
        <v>2902</v>
      </c>
      <c r="AN19" s="367" t="s">
        <v>2902</v>
      </c>
      <c r="AO19" s="367" t="s">
        <v>2902</v>
      </c>
      <c r="AP19" s="296" t="s">
        <v>2326</v>
      </c>
      <c r="AQ19" s="296" t="s">
        <v>2326</v>
      </c>
      <c r="AR19" s="297"/>
      <c r="AS19" s="367" t="s">
        <v>2902</v>
      </c>
      <c r="AT19" s="367" t="s">
        <v>2902</v>
      </c>
      <c r="AU19" s="296" t="s">
        <v>2326</v>
      </c>
      <c r="AV19" s="297"/>
      <c r="AW19" s="325">
        <v>0</v>
      </c>
      <c r="AX19" s="247">
        <f t="shared" si="8"/>
        <v>50</v>
      </c>
      <c r="AY19" s="90">
        <f t="shared" si="9"/>
        <v>2</v>
      </c>
      <c r="AZ19" s="378">
        <v>0</v>
      </c>
      <c r="BA19" s="449" t="s">
        <v>3782</v>
      </c>
      <c r="BB19" s="247">
        <f t="shared" si="10"/>
        <v>100</v>
      </c>
      <c r="BC19" s="91">
        <f t="shared" si="11"/>
        <v>2</v>
      </c>
      <c r="BD19" s="325">
        <v>0</v>
      </c>
      <c r="BE19" s="325">
        <v>0</v>
      </c>
      <c r="BF19" s="325">
        <v>0</v>
      </c>
      <c r="BG19" s="252">
        <f t="shared" si="12"/>
        <v>0</v>
      </c>
      <c r="BH19" s="246">
        <f t="shared" si="13"/>
        <v>100</v>
      </c>
      <c r="BI19" s="90">
        <f t="shared" si="14"/>
        <v>1</v>
      </c>
      <c r="BJ19" s="325">
        <v>0</v>
      </c>
      <c r="BK19" s="247">
        <f t="shared" si="15"/>
        <v>100</v>
      </c>
      <c r="BL19" s="94">
        <f t="shared" si="16"/>
        <v>2</v>
      </c>
      <c r="BM19" s="325">
        <v>0</v>
      </c>
      <c r="BN19" s="325">
        <v>0</v>
      </c>
      <c r="BO19" s="325">
        <v>1</v>
      </c>
      <c r="BP19" s="211">
        <f t="shared" si="17"/>
        <v>1</v>
      </c>
      <c r="BQ19" s="253">
        <f t="shared" si="18"/>
        <v>50</v>
      </c>
      <c r="BR19" s="99">
        <f t="shared" si="19"/>
        <v>0.5</v>
      </c>
      <c r="BS19" s="101">
        <f t="shared" si="20"/>
        <v>16.5</v>
      </c>
    </row>
    <row r="20" spans="1:71" x14ac:dyDescent="0.6">
      <c r="A20" s="373" t="s">
        <v>1474</v>
      </c>
      <c r="B20" s="13" t="s">
        <v>2917</v>
      </c>
      <c r="C20" s="380" t="s">
        <v>1475</v>
      </c>
      <c r="D20" s="355" t="s">
        <v>285</v>
      </c>
      <c r="E20" s="352" t="s">
        <v>872</v>
      </c>
      <c r="F20" s="352" t="s">
        <v>1476</v>
      </c>
      <c r="G20" s="353">
        <v>43263</v>
      </c>
      <c r="H20" s="352" t="s">
        <v>830</v>
      </c>
      <c r="I20" s="352" t="s">
        <v>1477</v>
      </c>
      <c r="J20" s="352" t="s">
        <v>1478</v>
      </c>
      <c r="K20" s="352" t="s">
        <v>91</v>
      </c>
      <c r="L20" s="381">
        <v>7073844464</v>
      </c>
      <c r="M20" s="376">
        <v>4098482728</v>
      </c>
      <c r="N20" s="376">
        <v>2975361736</v>
      </c>
      <c r="O20" s="376">
        <v>3283542070</v>
      </c>
      <c r="P20" s="376">
        <v>110039015</v>
      </c>
      <c r="Q20" s="376">
        <v>105468581</v>
      </c>
      <c r="R20" s="376">
        <v>36587869</v>
      </c>
      <c r="S20" s="325">
        <v>1</v>
      </c>
      <c r="T20" s="246">
        <f t="shared" si="1"/>
        <v>50</v>
      </c>
      <c r="U20" s="77">
        <f t="shared" si="2"/>
        <v>1</v>
      </c>
      <c r="V20" s="377">
        <v>0</v>
      </c>
      <c r="W20" s="377">
        <v>0</v>
      </c>
      <c r="X20" s="377">
        <v>0</v>
      </c>
      <c r="Y20" s="377">
        <v>0</v>
      </c>
      <c r="Z20" s="377">
        <v>0</v>
      </c>
      <c r="AA20" s="377">
        <v>0</v>
      </c>
      <c r="AB20" s="377">
        <v>0</v>
      </c>
      <c r="AC20" s="247">
        <f t="shared" si="3"/>
        <v>0</v>
      </c>
      <c r="AD20" s="247">
        <f t="shared" si="4"/>
        <v>100</v>
      </c>
      <c r="AE20" s="82">
        <f t="shared" si="21"/>
        <v>5</v>
      </c>
      <c r="AF20" s="377">
        <v>0</v>
      </c>
      <c r="AG20" s="377">
        <v>0</v>
      </c>
      <c r="AH20" s="247">
        <f t="shared" si="5"/>
        <v>0</v>
      </c>
      <c r="AI20" s="247">
        <f t="shared" si="6"/>
        <v>100</v>
      </c>
      <c r="AJ20" s="82">
        <f t="shared" si="7"/>
        <v>3</v>
      </c>
      <c r="AK20" s="367" t="s">
        <v>2902</v>
      </c>
      <c r="AL20" s="367" t="s">
        <v>2902</v>
      </c>
      <c r="AM20" s="367" t="s">
        <v>2902</v>
      </c>
      <c r="AN20" s="367" t="s">
        <v>2902</v>
      </c>
      <c r="AO20" s="367" t="s">
        <v>2902</v>
      </c>
      <c r="AP20" s="296" t="s">
        <v>2326</v>
      </c>
      <c r="AQ20" s="296" t="s">
        <v>2326</v>
      </c>
      <c r="AR20" s="297"/>
      <c r="AS20" s="367" t="s">
        <v>2902</v>
      </c>
      <c r="AT20" s="367" t="s">
        <v>2902</v>
      </c>
      <c r="AU20" s="296" t="s">
        <v>2326</v>
      </c>
      <c r="AV20" s="297"/>
      <c r="AW20" s="325">
        <v>0</v>
      </c>
      <c r="AX20" s="247">
        <f t="shared" si="8"/>
        <v>50</v>
      </c>
      <c r="AY20" s="90">
        <f t="shared" si="9"/>
        <v>2</v>
      </c>
      <c r="AZ20" s="378">
        <v>1</v>
      </c>
      <c r="BA20" s="382" t="s">
        <v>2918</v>
      </c>
      <c r="BB20" s="247">
        <f t="shared" si="10"/>
        <v>66.666666666666671</v>
      </c>
      <c r="BC20" s="91">
        <f t="shared" si="11"/>
        <v>1.3333333333333335</v>
      </c>
      <c r="BD20" s="325">
        <v>0</v>
      </c>
      <c r="BE20" s="325">
        <v>0</v>
      </c>
      <c r="BF20" s="325">
        <v>0</v>
      </c>
      <c r="BG20" s="252">
        <f t="shared" si="12"/>
        <v>0</v>
      </c>
      <c r="BH20" s="246">
        <f t="shared" si="13"/>
        <v>100</v>
      </c>
      <c r="BI20" s="90">
        <f t="shared" si="14"/>
        <v>1</v>
      </c>
      <c r="BJ20" s="325">
        <v>0</v>
      </c>
      <c r="BK20" s="247">
        <f t="shared" si="15"/>
        <v>100</v>
      </c>
      <c r="BL20" s="94">
        <f t="shared" si="16"/>
        <v>2</v>
      </c>
      <c r="BM20" s="325">
        <v>0</v>
      </c>
      <c r="BN20" s="325">
        <v>0</v>
      </c>
      <c r="BO20" s="325">
        <v>0</v>
      </c>
      <c r="BP20" s="211">
        <f t="shared" si="17"/>
        <v>0</v>
      </c>
      <c r="BQ20" s="253">
        <f t="shared" si="18"/>
        <v>25</v>
      </c>
      <c r="BR20" s="99">
        <f t="shared" si="19"/>
        <v>0.25</v>
      </c>
      <c r="BS20" s="101">
        <f t="shared" si="20"/>
        <v>15.583333333333334</v>
      </c>
    </row>
    <row r="21" spans="1:71" x14ac:dyDescent="0.6">
      <c r="A21" s="373" t="s">
        <v>1479</v>
      </c>
      <c r="B21" s="13" t="s">
        <v>2919</v>
      </c>
      <c r="C21" s="380" t="s">
        <v>1480</v>
      </c>
      <c r="D21" s="315" t="s">
        <v>202</v>
      </c>
      <c r="E21" s="352" t="s">
        <v>950</v>
      </c>
      <c r="F21" s="352" t="s">
        <v>1481</v>
      </c>
      <c r="G21" s="353">
        <v>43788</v>
      </c>
      <c r="H21" s="352" t="s">
        <v>830</v>
      </c>
      <c r="I21" s="352" t="s">
        <v>1482</v>
      </c>
      <c r="J21" s="352" t="s">
        <v>1483</v>
      </c>
      <c r="K21" s="352" t="s">
        <v>690</v>
      </c>
      <c r="L21" s="381">
        <v>654805747</v>
      </c>
      <c r="M21" s="376">
        <v>269730556</v>
      </c>
      <c r="N21" s="376">
        <v>385075191</v>
      </c>
      <c r="O21" s="376">
        <v>1022975319</v>
      </c>
      <c r="P21" s="376">
        <v>95989545</v>
      </c>
      <c r="Q21" s="376">
        <v>80403526</v>
      </c>
      <c r="R21" s="376">
        <v>64390770</v>
      </c>
      <c r="S21" s="325">
        <v>1</v>
      </c>
      <c r="T21" s="246">
        <f t="shared" si="1"/>
        <v>50</v>
      </c>
      <c r="U21" s="77">
        <f t="shared" si="2"/>
        <v>1</v>
      </c>
      <c r="V21" s="377">
        <v>0</v>
      </c>
      <c r="W21" s="377">
        <v>0</v>
      </c>
      <c r="X21" s="377">
        <v>0</v>
      </c>
      <c r="Y21" s="377">
        <v>0</v>
      </c>
      <c r="Z21" s="377">
        <v>0</v>
      </c>
      <c r="AA21" s="377">
        <v>0</v>
      </c>
      <c r="AB21" s="377">
        <v>0</v>
      </c>
      <c r="AC21" s="247">
        <f t="shared" si="3"/>
        <v>0</v>
      </c>
      <c r="AD21" s="247">
        <f t="shared" si="4"/>
        <v>100</v>
      </c>
      <c r="AE21" s="82">
        <f t="shared" si="21"/>
        <v>5</v>
      </c>
      <c r="AF21" s="377">
        <v>0</v>
      </c>
      <c r="AG21" s="377">
        <v>0</v>
      </c>
      <c r="AH21" s="247">
        <f t="shared" si="5"/>
        <v>0</v>
      </c>
      <c r="AI21" s="247">
        <f t="shared" si="6"/>
        <v>100</v>
      </c>
      <c r="AJ21" s="82">
        <f t="shared" si="7"/>
        <v>3</v>
      </c>
      <c r="AK21" s="367" t="s">
        <v>2902</v>
      </c>
      <c r="AL21" s="367" t="s">
        <v>2902</v>
      </c>
      <c r="AM21" s="367" t="s">
        <v>2902</v>
      </c>
      <c r="AN21" s="367" t="s">
        <v>2902</v>
      </c>
      <c r="AO21" s="367" t="s">
        <v>2902</v>
      </c>
      <c r="AP21" s="296" t="s">
        <v>2326</v>
      </c>
      <c r="AQ21" s="296" t="s">
        <v>2326</v>
      </c>
      <c r="AR21" s="297"/>
      <c r="AS21" s="367" t="s">
        <v>2902</v>
      </c>
      <c r="AT21" s="367" t="s">
        <v>2902</v>
      </c>
      <c r="AU21" s="296" t="s">
        <v>2326</v>
      </c>
      <c r="AV21" s="297"/>
      <c r="AW21" s="325">
        <v>1</v>
      </c>
      <c r="AX21" s="247">
        <f t="shared" si="8"/>
        <v>100</v>
      </c>
      <c r="AY21" s="90">
        <f t="shared" si="9"/>
        <v>4</v>
      </c>
      <c r="AZ21" s="378">
        <v>0</v>
      </c>
      <c r="BA21" s="449" t="s">
        <v>3782</v>
      </c>
      <c r="BB21" s="247">
        <f t="shared" si="10"/>
        <v>100</v>
      </c>
      <c r="BC21" s="91">
        <f t="shared" si="11"/>
        <v>2</v>
      </c>
      <c r="BD21" s="325">
        <v>0</v>
      </c>
      <c r="BE21" s="325">
        <v>0</v>
      </c>
      <c r="BF21" s="325">
        <v>0</v>
      </c>
      <c r="BG21" s="252">
        <f t="shared" si="12"/>
        <v>0</v>
      </c>
      <c r="BH21" s="246">
        <f t="shared" si="13"/>
        <v>100</v>
      </c>
      <c r="BI21" s="90">
        <f t="shared" si="14"/>
        <v>1</v>
      </c>
      <c r="BJ21" s="325">
        <v>0</v>
      </c>
      <c r="BK21" s="247">
        <f t="shared" si="15"/>
        <v>100</v>
      </c>
      <c r="BL21" s="94">
        <f t="shared" si="16"/>
        <v>2</v>
      </c>
      <c r="BM21" s="325">
        <v>0</v>
      </c>
      <c r="BN21" s="325">
        <v>0</v>
      </c>
      <c r="BO21" s="325">
        <v>1</v>
      </c>
      <c r="BP21" s="211">
        <f t="shared" si="17"/>
        <v>1</v>
      </c>
      <c r="BQ21" s="253">
        <f t="shared" si="18"/>
        <v>50</v>
      </c>
      <c r="BR21" s="99">
        <f t="shared" si="19"/>
        <v>0.5</v>
      </c>
      <c r="BS21" s="101">
        <f t="shared" si="20"/>
        <v>18.5</v>
      </c>
    </row>
    <row r="22" spans="1:71" x14ac:dyDescent="0.6">
      <c r="A22" s="373" t="s">
        <v>1484</v>
      </c>
      <c r="B22" s="1" t="s">
        <v>2920</v>
      </c>
      <c r="C22" s="380" t="s">
        <v>1485</v>
      </c>
      <c r="D22" s="355" t="s">
        <v>285</v>
      </c>
      <c r="E22" s="352" t="s">
        <v>867</v>
      </c>
      <c r="F22" s="352" t="s">
        <v>1486</v>
      </c>
      <c r="G22" s="353">
        <v>34558</v>
      </c>
      <c r="H22" s="352" t="s">
        <v>830</v>
      </c>
      <c r="I22" s="352" t="s">
        <v>1487</v>
      </c>
      <c r="J22" s="352" t="s">
        <v>1488</v>
      </c>
      <c r="K22" s="352" t="s">
        <v>91</v>
      </c>
      <c r="L22" s="381">
        <v>1405053368</v>
      </c>
      <c r="M22" s="376">
        <v>1006454557</v>
      </c>
      <c r="N22" s="376">
        <v>398598812</v>
      </c>
      <c r="O22" s="376">
        <v>1379461788</v>
      </c>
      <c r="P22" s="376">
        <v>37587942</v>
      </c>
      <c r="Q22" s="376">
        <v>27839730</v>
      </c>
      <c r="R22" s="376">
        <v>18200083</v>
      </c>
      <c r="S22" s="325">
        <v>1</v>
      </c>
      <c r="T22" s="246">
        <f t="shared" si="1"/>
        <v>50</v>
      </c>
      <c r="U22" s="77">
        <f t="shared" si="2"/>
        <v>1</v>
      </c>
      <c r="V22" s="377">
        <v>0</v>
      </c>
      <c r="W22" s="377">
        <v>0</v>
      </c>
      <c r="X22" s="377">
        <v>0</v>
      </c>
      <c r="Y22" s="377">
        <v>0</v>
      </c>
      <c r="Z22" s="377">
        <v>0</v>
      </c>
      <c r="AA22" s="377">
        <v>0</v>
      </c>
      <c r="AB22" s="377">
        <v>0</v>
      </c>
      <c r="AC22" s="247">
        <f t="shared" si="3"/>
        <v>0</v>
      </c>
      <c r="AD22" s="247">
        <f t="shared" si="4"/>
        <v>100</v>
      </c>
      <c r="AE22" s="82">
        <f t="shared" si="21"/>
        <v>5</v>
      </c>
      <c r="AF22" s="377">
        <v>0</v>
      </c>
      <c r="AG22" s="377">
        <v>0</v>
      </c>
      <c r="AH22" s="247">
        <f t="shared" si="5"/>
        <v>0</v>
      </c>
      <c r="AI22" s="247">
        <f t="shared" si="6"/>
        <v>100</v>
      </c>
      <c r="AJ22" s="82">
        <f t="shared" si="7"/>
        <v>3</v>
      </c>
      <c r="AK22" s="367" t="s">
        <v>2902</v>
      </c>
      <c r="AL22" s="367" t="s">
        <v>2902</v>
      </c>
      <c r="AM22" s="367" t="s">
        <v>2902</v>
      </c>
      <c r="AN22" s="367" t="s">
        <v>2902</v>
      </c>
      <c r="AO22" s="367" t="s">
        <v>2902</v>
      </c>
      <c r="AP22" s="296" t="s">
        <v>2326</v>
      </c>
      <c r="AQ22" s="296" t="s">
        <v>2326</v>
      </c>
      <c r="AR22" s="297"/>
      <c r="AS22" s="367" t="s">
        <v>2902</v>
      </c>
      <c r="AT22" s="367" t="s">
        <v>2902</v>
      </c>
      <c r="AU22" s="296" t="s">
        <v>2326</v>
      </c>
      <c r="AV22" s="297"/>
      <c r="AW22" s="325">
        <v>0</v>
      </c>
      <c r="AX22" s="247">
        <f t="shared" si="8"/>
        <v>50</v>
      </c>
      <c r="AY22" s="90">
        <f t="shared" si="9"/>
        <v>2</v>
      </c>
      <c r="AZ22" s="378">
        <v>0</v>
      </c>
      <c r="BA22" s="449" t="s">
        <v>3782</v>
      </c>
      <c r="BB22" s="247">
        <f t="shared" si="10"/>
        <v>100</v>
      </c>
      <c r="BC22" s="91">
        <f t="shared" si="11"/>
        <v>2</v>
      </c>
      <c r="BD22" s="325">
        <v>0</v>
      </c>
      <c r="BE22" s="325">
        <v>0</v>
      </c>
      <c r="BF22" s="325">
        <v>0</v>
      </c>
      <c r="BG22" s="252">
        <f t="shared" si="12"/>
        <v>0</v>
      </c>
      <c r="BH22" s="246">
        <f t="shared" si="13"/>
        <v>100</v>
      </c>
      <c r="BI22" s="90">
        <f t="shared" si="14"/>
        <v>1</v>
      </c>
      <c r="BJ22" s="325">
        <v>0</v>
      </c>
      <c r="BK22" s="247">
        <f t="shared" si="15"/>
        <v>100</v>
      </c>
      <c r="BL22" s="94">
        <f t="shared" si="16"/>
        <v>2</v>
      </c>
      <c r="BM22" s="325">
        <v>0</v>
      </c>
      <c r="BN22" s="325">
        <v>0</v>
      </c>
      <c r="BO22" s="325">
        <v>0</v>
      </c>
      <c r="BP22" s="211">
        <f t="shared" si="17"/>
        <v>0</v>
      </c>
      <c r="BQ22" s="253">
        <f t="shared" si="18"/>
        <v>25</v>
      </c>
      <c r="BR22" s="99">
        <f t="shared" si="19"/>
        <v>0.25</v>
      </c>
      <c r="BS22" s="101">
        <f t="shared" si="20"/>
        <v>16.25</v>
      </c>
    </row>
    <row r="23" spans="1:71" x14ac:dyDescent="0.6">
      <c r="A23" s="373" t="s">
        <v>1489</v>
      </c>
      <c r="B23" s="13" t="s">
        <v>2921</v>
      </c>
      <c r="C23" s="380" t="s">
        <v>1490</v>
      </c>
      <c r="D23" s="315" t="s">
        <v>285</v>
      </c>
      <c r="E23" s="352" t="s">
        <v>534</v>
      </c>
      <c r="F23" s="352" t="s">
        <v>1491</v>
      </c>
      <c r="G23" s="353">
        <v>34977</v>
      </c>
      <c r="H23" s="352" t="s">
        <v>830</v>
      </c>
      <c r="I23" s="352" t="s">
        <v>1492</v>
      </c>
      <c r="J23" s="352" t="s">
        <v>1493</v>
      </c>
      <c r="K23" s="352" t="s">
        <v>91</v>
      </c>
      <c r="L23" s="381">
        <v>25684209000</v>
      </c>
      <c r="M23" s="376">
        <v>5067672000</v>
      </c>
      <c r="N23" s="376">
        <v>20616537000</v>
      </c>
      <c r="O23" s="376">
        <v>18429889000</v>
      </c>
      <c r="P23" s="376">
        <v>9919892000</v>
      </c>
      <c r="Q23" s="376">
        <v>10124753000</v>
      </c>
      <c r="R23" s="376">
        <v>10047898000</v>
      </c>
      <c r="S23" s="325">
        <v>1</v>
      </c>
      <c r="T23" s="246">
        <f t="shared" si="1"/>
        <v>50</v>
      </c>
      <c r="U23" s="77">
        <f t="shared" si="2"/>
        <v>1</v>
      </c>
      <c r="V23" s="377">
        <v>0</v>
      </c>
      <c r="W23" s="377">
        <v>0</v>
      </c>
      <c r="X23" s="377">
        <v>3</v>
      </c>
      <c r="Y23" s="377">
        <v>0</v>
      </c>
      <c r="Z23" s="377">
        <v>0</v>
      </c>
      <c r="AA23" s="377">
        <v>0</v>
      </c>
      <c r="AB23" s="377">
        <v>0</v>
      </c>
      <c r="AC23" s="247">
        <f t="shared" si="3"/>
        <v>3</v>
      </c>
      <c r="AD23" s="247">
        <f t="shared" si="4"/>
        <v>25</v>
      </c>
      <c r="AE23" s="82">
        <f t="shared" si="21"/>
        <v>1.25</v>
      </c>
      <c r="AF23" s="377">
        <v>0</v>
      </c>
      <c r="AG23" s="377">
        <v>0</v>
      </c>
      <c r="AH23" s="247">
        <f t="shared" si="5"/>
        <v>0</v>
      </c>
      <c r="AI23" s="247">
        <f t="shared" si="6"/>
        <v>100</v>
      </c>
      <c r="AJ23" s="82">
        <f t="shared" si="7"/>
        <v>3</v>
      </c>
      <c r="AK23" s="367" t="s">
        <v>2902</v>
      </c>
      <c r="AL23" s="367" t="s">
        <v>2902</v>
      </c>
      <c r="AM23" s="367" t="s">
        <v>2902</v>
      </c>
      <c r="AN23" s="367" t="s">
        <v>2902</v>
      </c>
      <c r="AO23" s="367" t="s">
        <v>2902</v>
      </c>
      <c r="AP23" s="296" t="s">
        <v>2326</v>
      </c>
      <c r="AQ23" s="296" t="s">
        <v>2326</v>
      </c>
      <c r="AR23" s="297"/>
      <c r="AS23" s="367" t="s">
        <v>2902</v>
      </c>
      <c r="AT23" s="367" t="s">
        <v>2902</v>
      </c>
      <c r="AU23" s="296" t="s">
        <v>2326</v>
      </c>
      <c r="AV23" s="297"/>
      <c r="AW23" s="325">
        <v>1</v>
      </c>
      <c r="AX23" s="247">
        <f t="shared" si="8"/>
        <v>100</v>
      </c>
      <c r="AY23" s="90">
        <f t="shared" si="9"/>
        <v>4</v>
      </c>
      <c r="AZ23" s="378">
        <v>0</v>
      </c>
      <c r="BA23" s="449" t="s">
        <v>3782</v>
      </c>
      <c r="BB23" s="247">
        <f t="shared" si="10"/>
        <v>100</v>
      </c>
      <c r="BC23" s="91">
        <f t="shared" si="11"/>
        <v>2</v>
      </c>
      <c r="BD23" s="325">
        <v>0</v>
      </c>
      <c r="BE23" s="325">
        <v>0</v>
      </c>
      <c r="BF23" s="325">
        <v>0</v>
      </c>
      <c r="BG23" s="252">
        <f t="shared" si="12"/>
        <v>0</v>
      </c>
      <c r="BH23" s="246">
        <f t="shared" si="13"/>
        <v>100</v>
      </c>
      <c r="BI23" s="90">
        <f t="shared" si="14"/>
        <v>1</v>
      </c>
      <c r="BJ23" s="325">
        <v>0</v>
      </c>
      <c r="BK23" s="247">
        <f t="shared" si="15"/>
        <v>100</v>
      </c>
      <c r="BL23" s="94">
        <f t="shared" si="16"/>
        <v>2</v>
      </c>
      <c r="BM23" s="325">
        <v>0</v>
      </c>
      <c r="BN23" s="325">
        <v>0</v>
      </c>
      <c r="BO23" s="325">
        <v>1</v>
      </c>
      <c r="BP23" s="211">
        <f t="shared" si="17"/>
        <v>1</v>
      </c>
      <c r="BQ23" s="253">
        <f t="shared" si="18"/>
        <v>50</v>
      </c>
      <c r="BR23" s="99">
        <f t="shared" si="19"/>
        <v>0.5</v>
      </c>
      <c r="BS23" s="101">
        <f t="shared" si="20"/>
        <v>14.75</v>
      </c>
    </row>
    <row r="24" spans="1:71" x14ac:dyDescent="0.6">
      <c r="A24" s="373" t="s">
        <v>1494</v>
      </c>
      <c r="B24" s="1" t="s">
        <v>2922</v>
      </c>
      <c r="C24" s="380" t="s">
        <v>306</v>
      </c>
      <c r="D24" s="351" t="s">
        <v>191</v>
      </c>
      <c r="E24" s="352" t="s">
        <v>34</v>
      </c>
      <c r="F24" s="352" t="s">
        <v>670</v>
      </c>
      <c r="G24" s="353">
        <v>42670</v>
      </c>
      <c r="H24" s="352" t="s">
        <v>830</v>
      </c>
      <c r="I24" s="352" t="s">
        <v>692</v>
      </c>
      <c r="J24" s="352" t="s">
        <v>639</v>
      </c>
      <c r="K24" s="352" t="s">
        <v>425</v>
      </c>
      <c r="L24" s="381">
        <v>254329814</v>
      </c>
      <c r="M24" s="376">
        <v>113155622</v>
      </c>
      <c r="N24" s="376">
        <v>141174193</v>
      </c>
      <c r="O24" s="376">
        <v>184874804</v>
      </c>
      <c r="P24" s="376">
        <v>26315611</v>
      </c>
      <c r="Q24" s="376">
        <v>24849352</v>
      </c>
      <c r="R24" s="376">
        <v>19163516</v>
      </c>
      <c r="S24" s="325">
        <v>0</v>
      </c>
      <c r="T24" s="246">
        <f t="shared" si="1"/>
        <v>100</v>
      </c>
      <c r="U24" s="77">
        <f t="shared" si="2"/>
        <v>2</v>
      </c>
      <c r="V24" s="377">
        <v>0</v>
      </c>
      <c r="W24" s="377">
        <v>0</v>
      </c>
      <c r="X24" s="377">
        <v>0</v>
      </c>
      <c r="Y24" s="377">
        <v>0</v>
      </c>
      <c r="Z24" s="377">
        <v>0</v>
      </c>
      <c r="AA24" s="377">
        <v>0</v>
      </c>
      <c r="AB24" s="377">
        <v>0</v>
      </c>
      <c r="AC24" s="247">
        <f t="shared" si="3"/>
        <v>0</v>
      </c>
      <c r="AD24" s="247">
        <f t="shared" si="4"/>
        <v>100</v>
      </c>
      <c r="AE24" s="82">
        <f t="shared" si="21"/>
        <v>5</v>
      </c>
      <c r="AF24" s="377">
        <v>0</v>
      </c>
      <c r="AG24" s="377">
        <v>0</v>
      </c>
      <c r="AH24" s="247">
        <f t="shared" si="5"/>
        <v>0</v>
      </c>
      <c r="AI24" s="247">
        <f t="shared" si="6"/>
        <v>100</v>
      </c>
      <c r="AJ24" s="82">
        <f t="shared" si="7"/>
        <v>3</v>
      </c>
      <c r="AK24" s="367" t="s">
        <v>2902</v>
      </c>
      <c r="AL24" s="367" t="s">
        <v>2902</v>
      </c>
      <c r="AM24" s="367" t="s">
        <v>2902</v>
      </c>
      <c r="AN24" s="367" t="s">
        <v>2902</v>
      </c>
      <c r="AO24" s="367" t="s">
        <v>2902</v>
      </c>
      <c r="AP24" s="296" t="s">
        <v>2326</v>
      </c>
      <c r="AQ24" s="296" t="s">
        <v>2326</v>
      </c>
      <c r="AR24" s="297"/>
      <c r="AS24" s="367" t="s">
        <v>2902</v>
      </c>
      <c r="AT24" s="367" t="s">
        <v>2902</v>
      </c>
      <c r="AU24" s="296" t="s">
        <v>2326</v>
      </c>
      <c r="AV24" s="297"/>
      <c r="AW24" s="325">
        <v>0</v>
      </c>
      <c r="AX24" s="247">
        <f t="shared" si="8"/>
        <v>50</v>
      </c>
      <c r="AY24" s="90">
        <f t="shared" si="9"/>
        <v>2</v>
      </c>
      <c r="AZ24" s="378">
        <v>0</v>
      </c>
      <c r="BA24" s="449" t="s">
        <v>3782</v>
      </c>
      <c r="BB24" s="247">
        <f t="shared" si="10"/>
        <v>100</v>
      </c>
      <c r="BC24" s="91">
        <f t="shared" si="11"/>
        <v>2</v>
      </c>
      <c r="BD24" s="325">
        <v>0</v>
      </c>
      <c r="BE24" s="325">
        <v>0</v>
      </c>
      <c r="BF24" s="325">
        <v>0</v>
      </c>
      <c r="BG24" s="252">
        <f t="shared" si="12"/>
        <v>0</v>
      </c>
      <c r="BH24" s="246">
        <f t="shared" si="13"/>
        <v>100</v>
      </c>
      <c r="BI24" s="90">
        <f t="shared" si="14"/>
        <v>1</v>
      </c>
      <c r="BJ24" s="325">
        <v>0</v>
      </c>
      <c r="BK24" s="247">
        <f t="shared" si="15"/>
        <v>100</v>
      </c>
      <c r="BL24" s="94">
        <f t="shared" si="16"/>
        <v>2</v>
      </c>
      <c r="BM24" s="325">
        <v>0</v>
      </c>
      <c r="BN24" s="325">
        <v>0</v>
      </c>
      <c r="BO24" s="325">
        <v>1</v>
      </c>
      <c r="BP24" s="211">
        <f t="shared" si="17"/>
        <v>1</v>
      </c>
      <c r="BQ24" s="253">
        <f t="shared" si="18"/>
        <v>50</v>
      </c>
      <c r="BR24" s="99">
        <f t="shared" si="19"/>
        <v>0.5</v>
      </c>
      <c r="BS24" s="101">
        <f t="shared" si="20"/>
        <v>17.5</v>
      </c>
    </row>
    <row r="25" spans="1:71" x14ac:dyDescent="0.6">
      <c r="A25" s="373" t="s">
        <v>1495</v>
      </c>
      <c r="B25" s="13" t="s">
        <v>2923</v>
      </c>
      <c r="C25" s="380" t="s">
        <v>1496</v>
      </c>
      <c r="D25" s="315" t="s">
        <v>203</v>
      </c>
      <c r="E25" s="352" t="s">
        <v>195</v>
      </c>
      <c r="F25" s="352" t="s">
        <v>1497</v>
      </c>
      <c r="G25" s="353">
        <v>31446</v>
      </c>
      <c r="H25" s="352" t="s">
        <v>830</v>
      </c>
      <c r="I25" s="352" t="s">
        <v>1498</v>
      </c>
      <c r="J25" s="352" t="s">
        <v>1499</v>
      </c>
      <c r="K25" s="352" t="s">
        <v>91</v>
      </c>
      <c r="L25" s="381">
        <v>2935263009</v>
      </c>
      <c r="M25" s="376">
        <v>1282845349</v>
      </c>
      <c r="N25" s="376">
        <v>1652417660</v>
      </c>
      <c r="O25" s="376">
        <v>3676462979</v>
      </c>
      <c r="P25" s="376">
        <v>325853385</v>
      </c>
      <c r="Q25" s="376">
        <v>376778870</v>
      </c>
      <c r="R25" s="376">
        <v>526787734</v>
      </c>
      <c r="S25" s="325">
        <v>1</v>
      </c>
      <c r="T25" s="246">
        <f t="shared" si="1"/>
        <v>50</v>
      </c>
      <c r="U25" s="77">
        <f t="shared" si="2"/>
        <v>1</v>
      </c>
      <c r="V25" s="377">
        <v>0</v>
      </c>
      <c r="W25" s="377">
        <v>0</v>
      </c>
      <c r="X25" s="377">
        <v>0</v>
      </c>
      <c r="Y25" s="377">
        <v>0</v>
      </c>
      <c r="Z25" s="377">
        <v>0</v>
      </c>
      <c r="AA25" s="377">
        <v>0</v>
      </c>
      <c r="AB25" s="377">
        <v>0</v>
      </c>
      <c r="AC25" s="247">
        <f t="shared" si="3"/>
        <v>0</v>
      </c>
      <c r="AD25" s="247">
        <f t="shared" si="4"/>
        <v>100</v>
      </c>
      <c r="AE25" s="82">
        <f t="shared" si="21"/>
        <v>5</v>
      </c>
      <c r="AF25" s="377">
        <v>0</v>
      </c>
      <c r="AG25" s="377">
        <v>0</v>
      </c>
      <c r="AH25" s="247">
        <f t="shared" si="5"/>
        <v>0</v>
      </c>
      <c r="AI25" s="247">
        <f t="shared" si="6"/>
        <v>100</v>
      </c>
      <c r="AJ25" s="82">
        <f t="shared" si="7"/>
        <v>3</v>
      </c>
      <c r="AK25" s="367" t="s">
        <v>2902</v>
      </c>
      <c r="AL25" s="367" t="s">
        <v>2902</v>
      </c>
      <c r="AM25" s="367" t="s">
        <v>2902</v>
      </c>
      <c r="AN25" s="367" t="s">
        <v>2902</v>
      </c>
      <c r="AO25" s="367" t="s">
        <v>2902</v>
      </c>
      <c r="AP25" s="296" t="s">
        <v>2326</v>
      </c>
      <c r="AQ25" s="296" t="s">
        <v>2326</v>
      </c>
      <c r="AR25" s="297"/>
      <c r="AS25" s="367" t="s">
        <v>2902</v>
      </c>
      <c r="AT25" s="367" t="s">
        <v>2902</v>
      </c>
      <c r="AU25" s="296" t="s">
        <v>2326</v>
      </c>
      <c r="AV25" s="297"/>
      <c r="AW25" s="325">
        <v>0</v>
      </c>
      <c r="AX25" s="247">
        <f t="shared" si="8"/>
        <v>50</v>
      </c>
      <c r="AY25" s="90">
        <f t="shared" si="9"/>
        <v>2</v>
      </c>
      <c r="AZ25" s="378">
        <v>0</v>
      </c>
      <c r="BA25" s="449" t="s">
        <v>3782</v>
      </c>
      <c r="BB25" s="247">
        <f t="shared" si="10"/>
        <v>100</v>
      </c>
      <c r="BC25" s="91">
        <f t="shared" si="11"/>
        <v>2</v>
      </c>
      <c r="BD25" s="325">
        <v>0</v>
      </c>
      <c r="BE25" s="325">
        <v>0</v>
      </c>
      <c r="BF25" s="325">
        <v>0</v>
      </c>
      <c r="BG25" s="252">
        <f t="shared" si="12"/>
        <v>0</v>
      </c>
      <c r="BH25" s="246">
        <f t="shared" si="13"/>
        <v>100</v>
      </c>
      <c r="BI25" s="90">
        <f t="shared" si="14"/>
        <v>1</v>
      </c>
      <c r="BJ25" s="325">
        <v>0</v>
      </c>
      <c r="BK25" s="247">
        <f t="shared" si="15"/>
        <v>100</v>
      </c>
      <c r="BL25" s="94">
        <f t="shared" si="16"/>
        <v>2</v>
      </c>
      <c r="BM25" s="325">
        <v>0</v>
      </c>
      <c r="BN25" s="325">
        <v>0</v>
      </c>
      <c r="BO25" s="325">
        <v>1</v>
      </c>
      <c r="BP25" s="211">
        <f t="shared" si="17"/>
        <v>1</v>
      </c>
      <c r="BQ25" s="253">
        <f t="shared" si="18"/>
        <v>50</v>
      </c>
      <c r="BR25" s="99">
        <f t="shared" si="19"/>
        <v>0.5</v>
      </c>
      <c r="BS25" s="101">
        <f t="shared" si="20"/>
        <v>16.5</v>
      </c>
    </row>
    <row r="26" spans="1:71" x14ac:dyDescent="0.6">
      <c r="A26" s="373" t="s">
        <v>313</v>
      </c>
      <c r="B26" s="1" t="s">
        <v>2924</v>
      </c>
      <c r="C26" s="380" t="s">
        <v>400</v>
      </c>
      <c r="D26" s="351" t="s">
        <v>203</v>
      </c>
      <c r="E26" s="352" t="s">
        <v>180</v>
      </c>
      <c r="F26" s="352" t="s">
        <v>115</v>
      </c>
      <c r="G26" s="353">
        <v>34695</v>
      </c>
      <c r="H26" s="352" t="s">
        <v>830</v>
      </c>
      <c r="I26" s="352" t="s">
        <v>1027</v>
      </c>
      <c r="J26" s="352" t="s">
        <v>1233</v>
      </c>
      <c r="K26" s="352" t="s">
        <v>91</v>
      </c>
      <c r="L26" s="381">
        <v>700649653</v>
      </c>
      <c r="M26" s="376">
        <v>158687185</v>
      </c>
      <c r="N26" s="376">
        <v>541962468</v>
      </c>
      <c r="O26" s="376">
        <v>797448219</v>
      </c>
      <c r="P26" s="376">
        <v>35898934</v>
      </c>
      <c r="Q26" s="376">
        <v>35959716</v>
      </c>
      <c r="R26" s="376">
        <v>29458044</v>
      </c>
      <c r="S26" s="325">
        <v>0</v>
      </c>
      <c r="T26" s="246">
        <f t="shared" si="1"/>
        <v>100</v>
      </c>
      <c r="U26" s="77">
        <f t="shared" si="2"/>
        <v>2</v>
      </c>
      <c r="V26" s="377">
        <v>0</v>
      </c>
      <c r="W26" s="377">
        <v>0</v>
      </c>
      <c r="X26" s="377">
        <v>0</v>
      </c>
      <c r="Y26" s="377">
        <v>0</v>
      </c>
      <c r="Z26" s="377">
        <v>0</v>
      </c>
      <c r="AA26" s="377">
        <v>0</v>
      </c>
      <c r="AB26" s="377">
        <v>0</v>
      </c>
      <c r="AC26" s="247">
        <f t="shared" si="3"/>
        <v>0</v>
      </c>
      <c r="AD26" s="247">
        <f t="shared" si="4"/>
        <v>100</v>
      </c>
      <c r="AE26" s="82">
        <f t="shared" si="21"/>
        <v>5</v>
      </c>
      <c r="AF26" s="377">
        <v>0</v>
      </c>
      <c r="AG26" s="377">
        <v>0</v>
      </c>
      <c r="AH26" s="247">
        <f t="shared" si="5"/>
        <v>0</v>
      </c>
      <c r="AI26" s="247">
        <f t="shared" si="6"/>
        <v>100</v>
      </c>
      <c r="AJ26" s="82">
        <f t="shared" si="7"/>
        <v>3</v>
      </c>
      <c r="AK26" s="367" t="s">
        <v>2902</v>
      </c>
      <c r="AL26" s="367" t="s">
        <v>2902</v>
      </c>
      <c r="AM26" s="367" t="s">
        <v>2902</v>
      </c>
      <c r="AN26" s="367" t="s">
        <v>2902</v>
      </c>
      <c r="AO26" s="367" t="s">
        <v>2902</v>
      </c>
      <c r="AP26" s="296" t="s">
        <v>2326</v>
      </c>
      <c r="AQ26" s="296" t="s">
        <v>2326</v>
      </c>
      <c r="AR26" s="297"/>
      <c r="AS26" s="367" t="s">
        <v>2902</v>
      </c>
      <c r="AT26" s="367" t="s">
        <v>2902</v>
      </c>
      <c r="AU26" s="296" t="s">
        <v>2326</v>
      </c>
      <c r="AV26" s="297"/>
      <c r="AW26" s="325">
        <v>0</v>
      </c>
      <c r="AX26" s="247">
        <f t="shared" si="8"/>
        <v>50</v>
      </c>
      <c r="AY26" s="90">
        <f t="shared" si="9"/>
        <v>2</v>
      </c>
      <c r="AZ26" s="378">
        <v>0</v>
      </c>
      <c r="BA26" s="449" t="s">
        <v>3782</v>
      </c>
      <c r="BB26" s="247">
        <f t="shared" si="10"/>
        <v>100</v>
      </c>
      <c r="BC26" s="91">
        <f t="shared" si="11"/>
        <v>2</v>
      </c>
      <c r="BD26" s="325">
        <v>0</v>
      </c>
      <c r="BE26" s="325">
        <v>0</v>
      </c>
      <c r="BF26" s="325">
        <v>0</v>
      </c>
      <c r="BG26" s="252">
        <f t="shared" si="12"/>
        <v>0</v>
      </c>
      <c r="BH26" s="246">
        <f t="shared" si="13"/>
        <v>100</v>
      </c>
      <c r="BI26" s="90">
        <f t="shared" si="14"/>
        <v>1</v>
      </c>
      <c r="BJ26" s="325">
        <v>0</v>
      </c>
      <c r="BK26" s="247">
        <f t="shared" si="15"/>
        <v>100</v>
      </c>
      <c r="BL26" s="94">
        <f t="shared" si="16"/>
        <v>2</v>
      </c>
      <c r="BM26" s="325">
        <v>0</v>
      </c>
      <c r="BN26" s="325">
        <v>0</v>
      </c>
      <c r="BO26" s="325">
        <v>1</v>
      </c>
      <c r="BP26" s="211">
        <f t="shared" si="17"/>
        <v>1</v>
      </c>
      <c r="BQ26" s="253">
        <f t="shared" si="18"/>
        <v>50</v>
      </c>
      <c r="BR26" s="99">
        <f t="shared" si="19"/>
        <v>0.5</v>
      </c>
      <c r="BS26" s="101">
        <f t="shared" si="20"/>
        <v>17.5</v>
      </c>
    </row>
    <row r="27" spans="1:71" x14ac:dyDescent="0.6">
      <c r="A27" s="373" t="s">
        <v>1500</v>
      </c>
      <c r="B27" s="13" t="s">
        <v>2925</v>
      </c>
      <c r="C27" s="380" t="s">
        <v>74</v>
      </c>
      <c r="D27" s="351" t="s">
        <v>285</v>
      </c>
      <c r="E27" s="352" t="s">
        <v>534</v>
      </c>
      <c r="F27" s="352" t="s">
        <v>1501</v>
      </c>
      <c r="G27" s="353">
        <v>39381</v>
      </c>
      <c r="H27" s="352" t="s">
        <v>830</v>
      </c>
      <c r="I27" s="352" t="s">
        <v>1502</v>
      </c>
      <c r="J27" s="352" t="s">
        <v>1503</v>
      </c>
      <c r="K27" s="352" t="s">
        <v>91</v>
      </c>
      <c r="L27" s="381">
        <v>1612037798</v>
      </c>
      <c r="M27" s="376">
        <v>1209670390</v>
      </c>
      <c r="N27" s="376">
        <v>402367409</v>
      </c>
      <c r="O27" s="376">
        <v>403836166</v>
      </c>
      <c r="P27" s="376">
        <v>64029204</v>
      </c>
      <c r="Q27" s="376">
        <v>42678216</v>
      </c>
      <c r="R27" s="376">
        <v>42137473</v>
      </c>
      <c r="S27" s="325">
        <v>0</v>
      </c>
      <c r="T27" s="246">
        <f t="shared" si="1"/>
        <v>100</v>
      </c>
      <c r="U27" s="77">
        <f t="shared" si="2"/>
        <v>2</v>
      </c>
      <c r="V27" s="377">
        <v>0</v>
      </c>
      <c r="W27" s="377">
        <v>0</v>
      </c>
      <c r="X27" s="377">
        <v>0</v>
      </c>
      <c r="Y27" s="377">
        <v>0</v>
      </c>
      <c r="Z27" s="377">
        <v>0</v>
      </c>
      <c r="AA27" s="377">
        <v>0</v>
      </c>
      <c r="AB27" s="377">
        <v>0</v>
      </c>
      <c r="AC27" s="247">
        <f t="shared" si="3"/>
        <v>0</v>
      </c>
      <c r="AD27" s="247">
        <f t="shared" si="4"/>
        <v>100</v>
      </c>
      <c r="AE27" s="82">
        <f t="shared" si="21"/>
        <v>5</v>
      </c>
      <c r="AF27" s="377">
        <v>0</v>
      </c>
      <c r="AG27" s="377">
        <v>0</v>
      </c>
      <c r="AH27" s="247">
        <f t="shared" si="5"/>
        <v>0</v>
      </c>
      <c r="AI27" s="247">
        <f t="shared" si="6"/>
        <v>100</v>
      </c>
      <c r="AJ27" s="82">
        <f t="shared" si="7"/>
        <v>3</v>
      </c>
      <c r="AK27" s="367" t="s">
        <v>2902</v>
      </c>
      <c r="AL27" s="367" t="s">
        <v>2902</v>
      </c>
      <c r="AM27" s="367" t="s">
        <v>2902</v>
      </c>
      <c r="AN27" s="367" t="s">
        <v>2902</v>
      </c>
      <c r="AO27" s="367" t="s">
        <v>2902</v>
      </c>
      <c r="AP27" s="296" t="s">
        <v>2326</v>
      </c>
      <c r="AQ27" s="296" t="s">
        <v>2326</v>
      </c>
      <c r="AR27" s="297"/>
      <c r="AS27" s="367" t="s">
        <v>2902</v>
      </c>
      <c r="AT27" s="367" t="s">
        <v>2902</v>
      </c>
      <c r="AU27" s="296" t="s">
        <v>2326</v>
      </c>
      <c r="AV27" s="297"/>
      <c r="AW27" s="325">
        <v>1</v>
      </c>
      <c r="AX27" s="247">
        <f t="shared" si="8"/>
        <v>100</v>
      </c>
      <c r="AY27" s="90">
        <f t="shared" si="9"/>
        <v>4</v>
      </c>
      <c r="AZ27" s="378">
        <v>0</v>
      </c>
      <c r="BA27" s="449" t="s">
        <v>3782</v>
      </c>
      <c r="BB27" s="247">
        <f t="shared" si="10"/>
        <v>100</v>
      </c>
      <c r="BC27" s="91">
        <f t="shared" si="11"/>
        <v>2</v>
      </c>
      <c r="BD27" s="325">
        <v>0</v>
      </c>
      <c r="BE27" s="325">
        <v>0</v>
      </c>
      <c r="BF27" s="325">
        <v>0</v>
      </c>
      <c r="BG27" s="252">
        <f t="shared" si="12"/>
        <v>0</v>
      </c>
      <c r="BH27" s="246">
        <f t="shared" si="13"/>
        <v>100</v>
      </c>
      <c r="BI27" s="90">
        <f t="shared" si="14"/>
        <v>1</v>
      </c>
      <c r="BJ27" s="325">
        <v>0</v>
      </c>
      <c r="BK27" s="247">
        <f t="shared" si="15"/>
        <v>100</v>
      </c>
      <c r="BL27" s="94">
        <f t="shared" si="16"/>
        <v>2</v>
      </c>
      <c r="BM27" s="325">
        <v>0</v>
      </c>
      <c r="BN27" s="325">
        <v>0</v>
      </c>
      <c r="BO27" s="325">
        <v>0</v>
      </c>
      <c r="BP27" s="211">
        <f t="shared" si="17"/>
        <v>0</v>
      </c>
      <c r="BQ27" s="253">
        <f t="shared" si="18"/>
        <v>25</v>
      </c>
      <c r="BR27" s="99">
        <f t="shared" si="19"/>
        <v>0.25</v>
      </c>
      <c r="BS27" s="101">
        <f t="shared" si="20"/>
        <v>19.25</v>
      </c>
    </row>
    <row r="28" spans="1:71" x14ac:dyDescent="0.6">
      <c r="A28" s="373" t="s">
        <v>292</v>
      </c>
      <c r="B28" s="13" t="s">
        <v>2926</v>
      </c>
      <c r="C28" s="380" t="s">
        <v>398</v>
      </c>
      <c r="D28" s="351" t="s">
        <v>285</v>
      </c>
      <c r="E28" s="352" t="s">
        <v>283</v>
      </c>
      <c r="F28" s="352" t="s">
        <v>1008</v>
      </c>
      <c r="G28" s="353">
        <v>40437</v>
      </c>
      <c r="H28" s="352" t="s">
        <v>830</v>
      </c>
      <c r="I28" s="352" t="s">
        <v>686</v>
      </c>
      <c r="J28" s="352" t="s">
        <v>1025</v>
      </c>
      <c r="K28" s="352" t="s">
        <v>934</v>
      </c>
      <c r="L28" s="381">
        <v>302046228</v>
      </c>
      <c r="M28" s="376">
        <v>136864055</v>
      </c>
      <c r="N28" s="376">
        <v>165182173</v>
      </c>
      <c r="O28" s="376">
        <v>591580546</v>
      </c>
      <c r="P28" s="376">
        <v>16184660</v>
      </c>
      <c r="Q28" s="376">
        <v>17205979</v>
      </c>
      <c r="R28" s="376">
        <v>13158812</v>
      </c>
      <c r="S28" s="325">
        <v>1</v>
      </c>
      <c r="T28" s="246">
        <f t="shared" si="1"/>
        <v>50</v>
      </c>
      <c r="U28" s="77">
        <f t="shared" si="2"/>
        <v>1</v>
      </c>
      <c r="V28" s="377">
        <v>0</v>
      </c>
      <c r="W28" s="377">
        <v>0</v>
      </c>
      <c r="X28" s="377">
        <v>0</v>
      </c>
      <c r="Y28" s="377">
        <v>0</v>
      </c>
      <c r="Z28" s="377">
        <v>0</v>
      </c>
      <c r="AA28" s="377">
        <v>0</v>
      </c>
      <c r="AB28" s="377">
        <v>0</v>
      </c>
      <c r="AC28" s="247">
        <f t="shared" si="3"/>
        <v>0</v>
      </c>
      <c r="AD28" s="247">
        <f t="shared" si="4"/>
        <v>100</v>
      </c>
      <c r="AE28" s="82">
        <f t="shared" si="21"/>
        <v>5</v>
      </c>
      <c r="AF28" s="377">
        <v>0</v>
      </c>
      <c r="AG28" s="377">
        <v>0</v>
      </c>
      <c r="AH28" s="247">
        <f t="shared" si="5"/>
        <v>0</v>
      </c>
      <c r="AI28" s="247">
        <f t="shared" si="6"/>
        <v>100</v>
      </c>
      <c r="AJ28" s="82">
        <f t="shared" si="7"/>
        <v>3</v>
      </c>
      <c r="AK28" s="367" t="s">
        <v>2902</v>
      </c>
      <c r="AL28" s="367" t="s">
        <v>2902</v>
      </c>
      <c r="AM28" s="367" t="s">
        <v>2902</v>
      </c>
      <c r="AN28" s="367" t="s">
        <v>2902</v>
      </c>
      <c r="AO28" s="367" t="s">
        <v>2902</v>
      </c>
      <c r="AP28" s="296" t="s">
        <v>2326</v>
      </c>
      <c r="AQ28" s="296" t="s">
        <v>2326</v>
      </c>
      <c r="AR28" s="297"/>
      <c r="AS28" s="367" t="s">
        <v>2902</v>
      </c>
      <c r="AT28" s="367" t="s">
        <v>2902</v>
      </c>
      <c r="AU28" s="296" t="s">
        <v>2326</v>
      </c>
      <c r="AV28" s="297"/>
      <c r="AW28" s="325">
        <v>0</v>
      </c>
      <c r="AX28" s="247">
        <f t="shared" si="8"/>
        <v>50</v>
      </c>
      <c r="AY28" s="90">
        <f t="shared" si="9"/>
        <v>2</v>
      </c>
      <c r="AZ28" s="378">
        <v>0</v>
      </c>
      <c r="BA28" s="449" t="s">
        <v>3782</v>
      </c>
      <c r="BB28" s="247">
        <f t="shared" si="10"/>
        <v>100</v>
      </c>
      <c r="BC28" s="91">
        <f t="shared" si="11"/>
        <v>2</v>
      </c>
      <c r="BD28" s="325">
        <v>0</v>
      </c>
      <c r="BE28" s="325">
        <v>0</v>
      </c>
      <c r="BF28" s="325">
        <v>0</v>
      </c>
      <c r="BG28" s="252">
        <f t="shared" si="12"/>
        <v>0</v>
      </c>
      <c r="BH28" s="246">
        <f t="shared" si="13"/>
        <v>100</v>
      </c>
      <c r="BI28" s="90">
        <f t="shared" si="14"/>
        <v>1</v>
      </c>
      <c r="BJ28" s="325">
        <v>0</v>
      </c>
      <c r="BK28" s="247">
        <f t="shared" si="15"/>
        <v>100</v>
      </c>
      <c r="BL28" s="94">
        <f t="shared" si="16"/>
        <v>2</v>
      </c>
      <c r="BM28" s="325">
        <v>0</v>
      </c>
      <c r="BN28" s="325">
        <v>0</v>
      </c>
      <c r="BO28" s="325">
        <v>1</v>
      </c>
      <c r="BP28" s="211">
        <f t="shared" si="17"/>
        <v>1</v>
      </c>
      <c r="BQ28" s="253">
        <f t="shared" si="18"/>
        <v>50</v>
      </c>
      <c r="BR28" s="99">
        <f t="shared" si="19"/>
        <v>0.5</v>
      </c>
      <c r="BS28" s="101">
        <f t="shared" si="20"/>
        <v>16.5</v>
      </c>
    </row>
    <row r="29" spans="1:71" x14ac:dyDescent="0.6">
      <c r="A29" s="373" t="s">
        <v>1504</v>
      </c>
      <c r="B29" s="1" t="s">
        <v>2927</v>
      </c>
      <c r="C29" s="380" t="s">
        <v>1505</v>
      </c>
      <c r="D29" s="355" t="s">
        <v>285</v>
      </c>
      <c r="E29" s="352" t="s">
        <v>283</v>
      </c>
      <c r="F29" s="352" t="s">
        <v>1506</v>
      </c>
      <c r="G29" s="353">
        <v>40529</v>
      </c>
      <c r="H29" s="352" t="s">
        <v>830</v>
      </c>
      <c r="I29" s="352" t="s">
        <v>1507</v>
      </c>
      <c r="J29" s="352" t="s">
        <v>1508</v>
      </c>
      <c r="K29" s="352" t="s">
        <v>91</v>
      </c>
      <c r="L29" s="381">
        <v>396208069</v>
      </c>
      <c r="M29" s="376">
        <v>199203706</v>
      </c>
      <c r="N29" s="376">
        <v>197004363</v>
      </c>
      <c r="O29" s="376">
        <v>535783306</v>
      </c>
      <c r="P29" s="376">
        <v>19544619</v>
      </c>
      <c r="Q29" s="376">
        <v>19862607</v>
      </c>
      <c r="R29" s="376">
        <v>15916624</v>
      </c>
      <c r="S29" s="325">
        <v>1</v>
      </c>
      <c r="T29" s="246">
        <f t="shared" si="1"/>
        <v>50</v>
      </c>
      <c r="U29" s="77">
        <f t="shared" si="2"/>
        <v>1</v>
      </c>
      <c r="V29" s="377">
        <v>0</v>
      </c>
      <c r="W29" s="377">
        <v>0</v>
      </c>
      <c r="X29" s="377">
        <v>0</v>
      </c>
      <c r="Y29" s="377">
        <v>0</v>
      </c>
      <c r="Z29" s="377">
        <v>0</v>
      </c>
      <c r="AA29" s="377">
        <v>0</v>
      </c>
      <c r="AB29" s="377">
        <v>0</v>
      </c>
      <c r="AC29" s="247">
        <f t="shared" si="3"/>
        <v>0</v>
      </c>
      <c r="AD29" s="247">
        <f t="shared" si="4"/>
        <v>100</v>
      </c>
      <c r="AE29" s="82">
        <f t="shared" si="21"/>
        <v>5</v>
      </c>
      <c r="AF29" s="377">
        <v>0</v>
      </c>
      <c r="AG29" s="377">
        <v>0</v>
      </c>
      <c r="AH29" s="247">
        <f t="shared" si="5"/>
        <v>0</v>
      </c>
      <c r="AI29" s="247">
        <f t="shared" si="6"/>
        <v>100</v>
      </c>
      <c r="AJ29" s="82">
        <f t="shared" si="7"/>
        <v>3</v>
      </c>
      <c r="AK29" s="367" t="s">
        <v>2902</v>
      </c>
      <c r="AL29" s="367" t="s">
        <v>2902</v>
      </c>
      <c r="AM29" s="367" t="s">
        <v>2902</v>
      </c>
      <c r="AN29" s="367" t="s">
        <v>2902</v>
      </c>
      <c r="AO29" s="367" t="s">
        <v>2902</v>
      </c>
      <c r="AP29" s="296" t="s">
        <v>2326</v>
      </c>
      <c r="AQ29" s="296" t="s">
        <v>2326</v>
      </c>
      <c r="AR29" s="297"/>
      <c r="AS29" s="367" t="s">
        <v>2902</v>
      </c>
      <c r="AT29" s="367" t="s">
        <v>2902</v>
      </c>
      <c r="AU29" s="296" t="s">
        <v>2326</v>
      </c>
      <c r="AV29" s="297"/>
      <c r="AW29" s="325">
        <v>0</v>
      </c>
      <c r="AX29" s="247">
        <f t="shared" si="8"/>
        <v>50</v>
      </c>
      <c r="AY29" s="90">
        <f t="shared" si="9"/>
        <v>2</v>
      </c>
      <c r="AZ29" s="378">
        <v>0</v>
      </c>
      <c r="BA29" s="449" t="s">
        <v>3782</v>
      </c>
      <c r="BB29" s="247">
        <f t="shared" si="10"/>
        <v>100</v>
      </c>
      <c r="BC29" s="91">
        <f t="shared" si="11"/>
        <v>2</v>
      </c>
      <c r="BD29" s="325">
        <v>0</v>
      </c>
      <c r="BE29" s="325">
        <v>0</v>
      </c>
      <c r="BF29" s="325">
        <v>0</v>
      </c>
      <c r="BG29" s="252">
        <f t="shared" si="12"/>
        <v>0</v>
      </c>
      <c r="BH29" s="246">
        <f t="shared" si="13"/>
        <v>100</v>
      </c>
      <c r="BI29" s="90">
        <f t="shared" si="14"/>
        <v>1</v>
      </c>
      <c r="BJ29" s="325">
        <v>0</v>
      </c>
      <c r="BK29" s="247">
        <f t="shared" si="15"/>
        <v>100</v>
      </c>
      <c r="BL29" s="94">
        <f t="shared" si="16"/>
        <v>2</v>
      </c>
      <c r="BM29" s="325">
        <v>0</v>
      </c>
      <c r="BN29" s="325">
        <v>0</v>
      </c>
      <c r="BO29" s="325">
        <v>1</v>
      </c>
      <c r="BP29" s="211">
        <f t="shared" si="17"/>
        <v>1</v>
      </c>
      <c r="BQ29" s="253">
        <f t="shared" si="18"/>
        <v>50</v>
      </c>
      <c r="BR29" s="99">
        <f t="shared" si="19"/>
        <v>0.5</v>
      </c>
      <c r="BS29" s="101">
        <f t="shared" si="20"/>
        <v>16.5</v>
      </c>
    </row>
    <row r="30" spans="1:71" x14ac:dyDescent="0.6">
      <c r="A30" s="373" t="s">
        <v>709</v>
      </c>
      <c r="B30" s="13" t="s">
        <v>2928</v>
      </c>
      <c r="C30" s="380" t="s">
        <v>513</v>
      </c>
      <c r="D30" s="351" t="s">
        <v>191</v>
      </c>
      <c r="E30" s="352" t="s">
        <v>190</v>
      </c>
      <c r="F30" s="352" t="s">
        <v>618</v>
      </c>
      <c r="G30" s="353">
        <v>39052</v>
      </c>
      <c r="H30" s="352" t="s">
        <v>830</v>
      </c>
      <c r="I30" s="352" t="s">
        <v>970</v>
      </c>
      <c r="J30" s="352" t="s">
        <v>1047</v>
      </c>
      <c r="K30" s="352" t="s">
        <v>91</v>
      </c>
      <c r="L30" s="381">
        <v>1973686923</v>
      </c>
      <c r="M30" s="376">
        <v>455919080</v>
      </c>
      <c r="N30" s="376">
        <v>1517767844</v>
      </c>
      <c r="O30" s="376">
        <v>1271908968</v>
      </c>
      <c r="P30" s="376">
        <v>75779686</v>
      </c>
      <c r="Q30" s="376">
        <v>170929776</v>
      </c>
      <c r="R30" s="376">
        <v>155782948</v>
      </c>
      <c r="S30" s="325">
        <v>0</v>
      </c>
      <c r="T30" s="246">
        <f t="shared" si="1"/>
        <v>100</v>
      </c>
      <c r="U30" s="77">
        <f t="shared" si="2"/>
        <v>2</v>
      </c>
      <c r="V30" s="377">
        <v>0</v>
      </c>
      <c r="W30" s="377">
        <v>0</v>
      </c>
      <c r="X30" s="377">
        <v>0</v>
      </c>
      <c r="Y30" s="377">
        <v>0</v>
      </c>
      <c r="Z30" s="377">
        <v>0</v>
      </c>
      <c r="AA30" s="377">
        <v>0</v>
      </c>
      <c r="AB30" s="377">
        <v>0</v>
      </c>
      <c r="AC30" s="247">
        <f t="shared" si="3"/>
        <v>0</v>
      </c>
      <c r="AD30" s="247">
        <f t="shared" si="4"/>
        <v>100</v>
      </c>
      <c r="AE30" s="82">
        <f t="shared" si="21"/>
        <v>5</v>
      </c>
      <c r="AF30" s="377">
        <v>0</v>
      </c>
      <c r="AG30" s="377">
        <v>0</v>
      </c>
      <c r="AH30" s="247">
        <f t="shared" si="5"/>
        <v>0</v>
      </c>
      <c r="AI30" s="247">
        <f t="shared" si="6"/>
        <v>100</v>
      </c>
      <c r="AJ30" s="82">
        <f t="shared" si="7"/>
        <v>3</v>
      </c>
      <c r="AK30" s="367" t="s">
        <v>2902</v>
      </c>
      <c r="AL30" s="367" t="s">
        <v>2902</v>
      </c>
      <c r="AM30" s="367" t="s">
        <v>2902</v>
      </c>
      <c r="AN30" s="367" t="s">
        <v>2902</v>
      </c>
      <c r="AO30" s="367" t="s">
        <v>2902</v>
      </c>
      <c r="AP30" s="296" t="s">
        <v>2326</v>
      </c>
      <c r="AQ30" s="296" t="s">
        <v>2326</v>
      </c>
      <c r="AR30" s="297"/>
      <c r="AS30" s="367" t="s">
        <v>2902</v>
      </c>
      <c r="AT30" s="367" t="s">
        <v>2902</v>
      </c>
      <c r="AU30" s="296" t="s">
        <v>2326</v>
      </c>
      <c r="AV30" s="297"/>
      <c r="AW30" s="325">
        <v>0</v>
      </c>
      <c r="AX30" s="247">
        <f t="shared" si="8"/>
        <v>50</v>
      </c>
      <c r="AY30" s="90">
        <f t="shared" si="9"/>
        <v>2</v>
      </c>
      <c r="AZ30" s="378">
        <v>0</v>
      </c>
      <c r="BA30" s="449" t="s">
        <v>3782</v>
      </c>
      <c r="BB30" s="247">
        <f t="shared" si="10"/>
        <v>100</v>
      </c>
      <c r="BC30" s="91">
        <f t="shared" si="11"/>
        <v>2</v>
      </c>
      <c r="BD30" s="325">
        <v>0</v>
      </c>
      <c r="BE30" s="325">
        <v>0</v>
      </c>
      <c r="BF30" s="325">
        <v>0</v>
      </c>
      <c r="BG30" s="252">
        <f t="shared" si="12"/>
        <v>0</v>
      </c>
      <c r="BH30" s="246">
        <f t="shared" si="13"/>
        <v>100</v>
      </c>
      <c r="BI30" s="90">
        <f t="shared" si="14"/>
        <v>1</v>
      </c>
      <c r="BJ30" s="325">
        <v>0</v>
      </c>
      <c r="BK30" s="247">
        <f t="shared" si="15"/>
        <v>100</v>
      </c>
      <c r="BL30" s="94">
        <f t="shared" si="16"/>
        <v>2</v>
      </c>
      <c r="BM30" s="325">
        <v>0</v>
      </c>
      <c r="BN30" s="325">
        <v>0</v>
      </c>
      <c r="BO30" s="325">
        <v>1</v>
      </c>
      <c r="BP30" s="211">
        <f t="shared" si="17"/>
        <v>1</v>
      </c>
      <c r="BQ30" s="253">
        <f t="shared" si="18"/>
        <v>50</v>
      </c>
      <c r="BR30" s="99">
        <f t="shared" si="19"/>
        <v>0.5</v>
      </c>
      <c r="BS30" s="101">
        <f t="shared" si="20"/>
        <v>17.5</v>
      </c>
    </row>
    <row r="31" spans="1:71" x14ac:dyDescent="0.6">
      <c r="A31" s="373" t="s">
        <v>1509</v>
      </c>
      <c r="B31" s="1" t="s">
        <v>2929</v>
      </c>
      <c r="C31" s="380" t="s">
        <v>1510</v>
      </c>
      <c r="D31" s="315" t="s">
        <v>191</v>
      </c>
      <c r="E31" s="352" t="s">
        <v>188</v>
      </c>
      <c r="F31" s="352" t="s">
        <v>1511</v>
      </c>
      <c r="G31" s="353">
        <v>37006</v>
      </c>
      <c r="H31" s="352" t="s">
        <v>830</v>
      </c>
      <c r="I31" s="352" t="s">
        <v>1512</v>
      </c>
      <c r="J31" s="352" t="s">
        <v>1513</v>
      </c>
      <c r="K31" s="352" t="s">
        <v>91</v>
      </c>
      <c r="L31" s="381">
        <v>4707323720</v>
      </c>
      <c r="M31" s="376">
        <v>579230693</v>
      </c>
      <c r="N31" s="376">
        <v>4128093027</v>
      </c>
      <c r="O31" s="376">
        <v>3783321412</v>
      </c>
      <c r="P31" s="376">
        <v>428276866</v>
      </c>
      <c r="Q31" s="376">
        <v>165920076</v>
      </c>
      <c r="R31" s="376">
        <v>76950845</v>
      </c>
      <c r="S31" s="325">
        <v>1</v>
      </c>
      <c r="T31" s="246">
        <f t="shared" si="1"/>
        <v>50</v>
      </c>
      <c r="U31" s="77">
        <f t="shared" si="2"/>
        <v>1</v>
      </c>
      <c r="V31" s="377">
        <v>0</v>
      </c>
      <c r="W31" s="377">
        <v>0</v>
      </c>
      <c r="X31" s="377">
        <v>0</v>
      </c>
      <c r="Y31" s="377">
        <v>0</v>
      </c>
      <c r="Z31" s="377">
        <v>0</v>
      </c>
      <c r="AA31" s="377">
        <v>0</v>
      </c>
      <c r="AB31" s="377">
        <v>0</v>
      </c>
      <c r="AC31" s="247">
        <f t="shared" si="3"/>
        <v>0</v>
      </c>
      <c r="AD31" s="247">
        <f t="shared" si="4"/>
        <v>100</v>
      </c>
      <c r="AE31" s="82">
        <f t="shared" si="21"/>
        <v>5</v>
      </c>
      <c r="AF31" s="377">
        <v>0</v>
      </c>
      <c r="AG31" s="377">
        <v>0</v>
      </c>
      <c r="AH31" s="247">
        <f t="shared" si="5"/>
        <v>0</v>
      </c>
      <c r="AI31" s="247">
        <f t="shared" si="6"/>
        <v>100</v>
      </c>
      <c r="AJ31" s="82">
        <f t="shared" si="7"/>
        <v>3</v>
      </c>
      <c r="AK31" s="367" t="s">
        <v>2902</v>
      </c>
      <c r="AL31" s="367" t="s">
        <v>2902</v>
      </c>
      <c r="AM31" s="367" t="s">
        <v>2902</v>
      </c>
      <c r="AN31" s="367" t="s">
        <v>2902</v>
      </c>
      <c r="AO31" s="367" t="s">
        <v>2902</v>
      </c>
      <c r="AP31" s="296" t="s">
        <v>2326</v>
      </c>
      <c r="AQ31" s="296" t="s">
        <v>2326</v>
      </c>
      <c r="AR31" s="297"/>
      <c r="AS31" s="367" t="s">
        <v>2902</v>
      </c>
      <c r="AT31" s="367" t="s">
        <v>2902</v>
      </c>
      <c r="AU31" s="296" t="s">
        <v>2326</v>
      </c>
      <c r="AV31" s="297"/>
      <c r="AW31" s="325">
        <v>1</v>
      </c>
      <c r="AX31" s="247">
        <f t="shared" si="8"/>
        <v>100</v>
      </c>
      <c r="AY31" s="90">
        <f t="shared" si="9"/>
        <v>4</v>
      </c>
      <c r="AZ31" s="378">
        <v>1</v>
      </c>
      <c r="BA31" s="382" t="s">
        <v>2930</v>
      </c>
      <c r="BB31" s="247">
        <f t="shared" si="10"/>
        <v>66.666666666666671</v>
      </c>
      <c r="BC31" s="91">
        <f t="shared" si="11"/>
        <v>1.3333333333333335</v>
      </c>
      <c r="BD31" s="325">
        <v>0</v>
      </c>
      <c r="BE31" s="325">
        <v>0</v>
      </c>
      <c r="BF31" s="325">
        <v>0</v>
      </c>
      <c r="BG31" s="252">
        <f t="shared" si="12"/>
        <v>0</v>
      </c>
      <c r="BH31" s="246">
        <f t="shared" si="13"/>
        <v>100</v>
      </c>
      <c r="BI31" s="90">
        <f t="shared" si="14"/>
        <v>1</v>
      </c>
      <c r="BJ31" s="325">
        <v>0</v>
      </c>
      <c r="BK31" s="247">
        <f t="shared" si="15"/>
        <v>100</v>
      </c>
      <c r="BL31" s="94">
        <f t="shared" si="16"/>
        <v>2</v>
      </c>
      <c r="BM31" s="325">
        <v>0</v>
      </c>
      <c r="BN31" s="325">
        <v>0</v>
      </c>
      <c r="BO31" s="325">
        <v>1</v>
      </c>
      <c r="BP31" s="211">
        <f t="shared" si="17"/>
        <v>1</v>
      </c>
      <c r="BQ31" s="253">
        <f t="shared" si="18"/>
        <v>50</v>
      </c>
      <c r="BR31" s="99">
        <f t="shared" si="19"/>
        <v>0.5</v>
      </c>
      <c r="BS31" s="101">
        <f t="shared" si="20"/>
        <v>17.833333333333336</v>
      </c>
    </row>
    <row r="32" spans="1:71" x14ac:dyDescent="0.6">
      <c r="A32" s="373" t="s">
        <v>67</v>
      </c>
      <c r="B32" s="1" t="s">
        <v>2931</v>
      </c>
      <c r="C32" s="380" t="s">
        <v>471</v>
      </c>
      <c r="D32" s="351" t="s">
        <v>285</v>
      </c>
      <c r="E32" s="352" t="s">
        <v>56</v>
      </c>
      <c r="F32" s="352" t="s">
        <v>148</v>
      </c>
      <c r="G32" s="353">
        <v>39559</v>
      </c>
      <c r="H32" s="352" t="s">
        <v>830</v>
      </c>
      <c r="I32" s="352" t="s">
        <v>806</v>
      </c>
      <c r="J32" s="352" t="s">
        <v>1042</v>
      </c>
      <c r="K32" s="352" t="s">
        <v>91</v>
      </c>
      <c r="L32" s="381">
        <v>18621116000</v>
      </c>
      <c r="M32" s="376">
        <v>10475153000</v>
      </c>
      <c r="N32" s="376">
        <v>8145963000</v>
      </c>
      <c r="O32" s="376">
        <v>12781569000</v>
      </c>
      <c r="P32" s="376">
        <v>1049830000</v>
      </c>
      <c r="Q32" s="376">
        <v>859263000</v>
      </c>
      <c r="R32" s="376">
        <v>661692000</v>
      </c>
      <c r="S32" s="325">
        <v>1</v>
      </c>
      <c r="T32" s="246">
        <f t="shared" si="1"/>
        <v>50</v>
      </c>
      <c r="U32" s="77">
        <f t="shared" si="2"/>
        <v>1</v>
      </c>
      <c r="V32" s="377">
        <v>0</v>
      </c>
      <c r="W32" s="377">
        <v>0</v>
      </c>
      <c r="X32" s="377">
        <v>0</v>
      </c>
      <c r="Y32" s="377">
        <v>0</v>
      </c>
      <c r="Z32" s="377">
        <v>0</v>
      </c>
      <c r="AA32" s="377">
        <v>0</v>
      </c>
      <c r="AB32" s="377">
        <v>0</v>
      </c>
      <c r="AC32" s="247">
        <f t="shared" si="3"/>
        <v>0</v>
      </c>
      <c r="AD32" s="247">
        <f t="shared" si="4"/>
        <v>100</v>
      </c>
      <c r="AE32" s="82">
        <f t="shared" si="21"/>
        <v>5</v>
      </c>
      <c r="AF32" s="377">
        <v>0</v>
      </c>
      <c r="AG32" s="377">
        <v>0</v>
      </c>
      <c r="AH32" s="247">
        <f t="shared" si="5"/>
        <v>0</v>
      </c>
      <c r="AI32" s="247">
        <f t="shared" si="6"/>
        <v>100</v>
      </c>
      <c r="AJ32" s="82">
        <f t="shared" si="7"/>
        <v>3</v>
      </c>
      <c r="AK32" s="367" t="s">
        <v>2902</v>
      </c>
      <c r="AL32" s="367" t="s">
        <v>2902</v>
      </c>
      <c r="AM32" s="367" t="s">
        <v>2902</v>
      </c>
      <c r="AN32" s="367" t="s">
        <v>2902</v>
      </c>
      <c r="AO32" s="367" t="s">
        <v>2902</v>
      </c>
      <c r="AP32" s="296" t="s">
        <v>2326</v>
      </c>
      <c r="AQ32" s="296" t="s">
        <v>2326</v>
      </c>
      <c r="AR32" s="297"/>
      <c r="AS32" s="367" t="s">
        <v>2902</v>
      </c>
      <c r="AT32" s="367" t="s">
        <v>2902</v>
      </c>
      <c r="AU32" s="296" t="s">
        <v>2326</v>
      </c>
      <c r="AV32" s="297"/>
      <c r="AW32" s="325">
        <v>1</v>
      </c>
      <c r="AX32" s="247">
        <f t="shared" si="8"/>
        <v>100</v>
      </c>
      <c r="AY32" s="90">
        <f t="shared" si="9"/>
        <v>4</v>
      </c>
      <c r="AZ32" s="378">
        <v>0</v>
      </c>
      <c r="BA32" s="449" t="s">
        <v>3782</v>
      </c>
      <c r="BB32" s="247">
        <f t="shared" si="10"/>
        <v>100</v>
      </c>
      <c r="BC32" s="91">
        <f t="shared" si="11"/>
        <v>2</v>
      </c>
      <c r="BD32" s="325">
        <v>0</v>
      </c>
      <c r="BE32" s="325">
        <v>0</v>
      </c>
      <c r="BF32" s="325">
        <v>0</v>
      </c>
      <c r="BG32" s="252">
        <f t="shared" si="12"/>
        <v>0</v>
      </c>
      <c r="BH32" s="246">
        <f t="shared" si="13"/>
        <v>100</v>
      </c>
      <c r="BI32" s="90">
        <f t="shared" si="14"/>
        <v>1</v>
      </c>
      <c r="BJ32" s="325">
        <v>0</v>
      </c>
      <c r="BK32" s="247">
        <f t="shared" si="15"/>
        <v>100</v>
      </c>
      <c r="BL32" s="94">
        <f t="shared" si="16"/>
        <v>2</v>
      </c>
      <c r="BM32" s="325">
        <v>0</v>
      </c>
      <c r="BN32" s="325">
        <v>0</v>
      </c>
      <c r="BO32" s="325">
        <v>1</v>
      </c>
      <c r="BP32" s="211">
        <f t="shared" si="17"/>
        <v>1</v>
      </c>
      <c r="BQ32" s="253">
        <f t="shared" si="18"/>
        <v>50</v>
      </c>
      <c r="BR32" s="99">
        <f t="shared" si="19"/>
        <v>0.5</v>
      </c>
      <c r="BS32" s="101">
        <f t="shared" si="20"/>
        <v>18.5</v>
      </c>
    </row>
    <row r="33" spans="1:71" x14ac:dyDescent="0.6">
      <c r="A33" s="373" t="s">
        <v>850</v>
      </c>
      <c r="B33" s="1" t="s">
        <v>2932</v>
      </c>
      <c r="C33" s="380" t="s">
        <v>498</v>
      </c>
      <c r="D33" s="351" t="s">
        <v>202</v>
      </c>
      <c r="E33" s="352" t="s">
        <v>205</v>
      </c>
      <c r="F33" s="352" t="s">
        <v>183</v>
      </c>
      <c r="G33" s="353">
        <v>39653</v>
      </c>
      <c r="H33" s="352" t="s">
        <v>830</v>
      </c>
      <c r="I33" s="352" t="s">
        <v>737</v>
      </c>
      <c r="J33" s="352" t="s">
        <v>1229</v>
      </c>
      <c r="K33" s="352" t="s">
        <v>91</v>
      </c>
      <c r="L33" s="381">
        <v>8668015355</v>
      </c>
      <c r="M33" s="376">
        <v>5103993834</v>
      </c>
      <c r="N33" s="376">
        <v>3564021521</v>
      </c>
      <c r="O33" s="376">
        <v>19092897004</v>
      </c>
      <c r="P33" s="376">
        <v>1016233433</v>
      </c>
      <c r="Q33" s="376">
        <v>955882532</v>
      </c>
      <c r="R33" s="376">
        <v>720393793</v>
      </c>
      <c r="S33" s="325">
        <v>1</v>
      </c>
      <c r="T33" s="246">
        <f t="shared" si="1"/>
        <v>50</v>
      </c>
      <c r="U33" s="77">
        <f t="shared" si="2"/>
        <v>1</v>
      </c>
      <c r="V33" s="377">
        <v>0</v>
      </c>
      <c r="W33" s="377">
        <v>0</v>
      </c>
      <c r="X33" s="377">
        <v>0</v>
      </c>
      <c r="Y33" s="377">
        <v>0</v>
      </c>
      <c r="Z33" s="377">
        <v>0</v>
      </c>
      <c r="AA33" s="377">
        <v>0</v>
      </c>
      <c r="AB33" s="377">
        <v>0</v>
      </c>
      <c r="AC33" s="247">
        <f t="shared" si="3"/>
        <v>0</v>
      </c>
      <c r="AD33" s="247">
        <f t="shared" si="4"/>
        <v>100</v>
      </c>
      <c r="AE33" s="82">
        <f t="shared" si="21"/>
        <v>5</v>
      </c>
      <c r="AF33" s="377">
        <v>0</v>
      </c>
      <c r="AG33" s="377">
        <v>0</v>
      </c>
      <c r="AH33" s="247">
        <f t="shared" si="5"/>
        <v>0</v>
      </c>
      <c r="AI33" s="247">
        <f t="shared" si="6"/>
        <v>100</v>
      </c>
      <c r="AJ33" s="82">
        <f t="shared" si="7"/>
        <v>3</v>
      </c>
      <c r="AK33" s="367" t="s">
        <v>2902</v>
      </c>
      <c r="AL33" s="367" t="s">
        <v>2902</v>
      </c>
      <c r="AM33" s="367" t="s">
        <v>2902</v>
      </c>
      <c r="AN33" s="367" t="s">
        <v>2902</v>
      </c>
      <c r="AO33" s="367" t="s">
        <v>2902</v>
      </c>
      <c r="AP33" s="296" t="s">
        <v>2326</v>
      </c>
      <c r="AQ33" s="296" t="s">
        <v>2326</v>
      </c>
      <c r="AR33" s="297"/>
      <c r="AS33" s="367" t="s">
        <v>2902</v>
      </c>
      <c r="AT33" s="367" t="s">
        <v>2902</v>
      </c>
      <c r="AU33" s="296" t="s">
        <v>2326</v>
      </c>
      <c r="AV33" s="297"/>
      <c r="AW33" s="325">
        <v>1</v>
      </c>
      <c r="AX33" s="247">
        <f t="shared" si="8"/>
        <v>100</v>
      </c>
      <c r="AY33" s="90">
        <f t="shared" si="9"/>
        <v>4</v>
      </c>
      <c r="AZ33" s="378">
        <v>0</v>
      </c>
      <c r="BA33" s="449" t="s">
        <v>3782</v>
      </c>
      <c r="BB33" s="247">
        <f t="shared" si="10"/>
        <v>100</v>
      </c>
      <c r="BC33" s="91">
        <f t="shared" si="11"/>
        <v>2</v>
      </c>
      <c r="BD33" s="325">
        <v>0</v>
      </c>
      <c r="BE33" s="325">
        <v>0</v>
      </c>
      <c r="BF33" s="325">
        <v>0</v>
      </c>
      <c r="BG33" s="252">
        <f t="shared" si="12"/>
        <v>0</v>
      </c>
      <c r="BH33" s="246">
        <f t="shared" si="13"/>
        <v>100</v>
      </c>
      <c r="BI33" s="90">
        <f t="shared" si="14"/>
        <v>1</v>
      </c>
      <c r="BJ33" s="325">
        <v>0</v>
      </c>
      <c r="BK33" s="247">
        <f t="shared" si="15"/>
        <v>100</v>
      </c>
      <c r="BL33" s="94">
        <f t="shared" si="16"/>
        <v>2</v>
      </c>
      <c r="BM33" s="325">
        <v>0</v>
      </c>
      <c r="BN33" s="325">
        <v>0</v>
      </c>
      <c r="BO33" s="325">
        <v>1</v>
      </c>
      <c r="BP33" s="211">
        <f t="shared" si="17"/>
        <v>1</v>
      </c>
      <c r="BQ33" s="253">
        <f t="shared" si="18"/>
        <v>50</v>
      </c>
      <c r="BR33" s="99">
        <f t="shared" si="19"/>
        <v>0.5</v>
      </c>
      <c r="BS33" s="101">
        <f t="shared" si="20"/>
        <v>18.5</v>
      </c>
    </row>
    <row r="34" spans="1:71" x14ac:dyDescent="0.6">
      <c r="A34" s="373" t="s">
        <v>947</v>
      </c>
      <c r="B34" s="1" t="s">
        <v>2933</v>
      </c>
      <c r="C34" s="380" t="s">
        <v>895</v>
      </c>
      <c r="D34" s="351" t="s">
        <v>202</v>
      </c>
      <c r="E34" s="352" t="s">
        <v>606</v>
      </c>
      <c r="F34" s="352" t="s">
        <v>207</v>
      </c>
      <c r="G34" s="353">
        <v>42279</v>
      </c>
      <c r="H34" s="352" t="s">
        <v>830</v>
      </c>
      <c r="I34" s="352" t="s">
        <v>687</v>
      </c>
      <c r="J34" s="352" t="s">
        <v>1046</v>
      </c>
      <c r="K34" s="352" t="s">
        <v>690</v>
      </c>
      <c r="L34" s="381">
        <v>3007428048</v>
      </c>
      <c r="M34" s="376">
        <v>2072248980</v>
      </c>
      <c r="N34" s="376">
        <v>935179068</v>
      </c>
      <c r="O34" s="376">
        <v>2216162119</v>
      </c>
      <c r="P34" s="376">
        <v>178794933</v>
      </c>
      <c r="Q34" s="376">
        <v>157788508</v>
      </c>
      <c r="R34" s="376">
        <v>122939587</v>
      </c>
      <c r="S34" s="325">
        <v>0</v>
      </c>
      <c r="T34" s="246">
        <f t="shared" si="1"/>
        <v>100</v>
      </c>
      <c r="U34" s="77">
        <f t="shared" si="2"/>
        <v>2</v>
      </c>
      <c r="V34" s="377">
        <v>0</v>
      </c>
      <c r="W34" s="377">
        <v>0</v>
      </c>
      <c r="X34" s="377">
        <v>0</v>
      </c>
      <c r="Y34" s="377">
        <v>0</v>
      </c>
      <c r="Z34" s="377">
        <v>0</v>
      </c>
      <c r="AA34" s="377">
        <v>0</v>
      </c>
      <c r="AB34" s="377">
        <v>0</v>
      </c>
      <c r="AC34" s="247">
        <f t="shared" si="3"/>
        <v>0</v>
      </c>
      <c r="AD34" s="247">
        <f t="shared" si="4"/>
        <v>100</v>
      </c>
      <c r="AE34" s="82">
        <f t="shared" si="21"/>
        <v>5</v>
      </c>
      <c r="AF34" s="377">
        <v>0</v>
      </c>
      <c r="AG34" s="377">
        <v>0</v>
      </c>
      <c r="AH34" s="247">
        <f t="shared" si="5"/>
        <v>0</v>
      </c>
      <c r="AI34" s="247">
        <f t="shared" si="6"/>
        <v>100</v>
      </c>
      <c r="AJ34" s="82">
        <f t="shared" si="7"/>
        <v>3</v>
      </c>
      <c r="AK34" s="367" t="s">
        <v>2902</v>
      </c>
      <c r="AL34" s="367" t="s">
        <v>2902</v>
      </c>
      <c r="AM34" s="367" t="s">
        <v>2902</v>
      </c>
      <c r="AN34" s="367" t="s">
        <v>2902</v>
      </c>
      <c r="AO34" s="367" t="s">
        <v>2902</v>
      </c>
      <c r="AP34" s="296" t="s">
        <v>2326</v>
      </c>
      <c r="AQ34" s="296" t="s">
        <v>2326</v>
      </c>
      <c r="AR34" s="297"/>
      <c r="AS34" s="367" t="s">
        <v>2902</v>
      </c>
      <c r="AT34" s="367" t="s">
        <v>2902</v>
      </c>
      <c r="AU34" s="296" t="s">
        <v>2326</v>
      </c>
      <c r="AV34" s="297"/>
      <c r="AW34" s="325">
        <v>0</v>
      </c>
      <c r="AX34" s="247">
        <f t="shared" si="8"/>
        <v>50</v>
      </c>
      <c r="AY34" s="90">
        <f t="shared" si="9"/>
        <v>2</v>
      </c>
      <c r="AZ34" s="378">
        <v>0</v>
      </c>
      <c r="BA34" s="449" t="s">
        <v>3782</v>
      </c>
      <c r="BB34" s="247">
        <f t="shared" si="10"/>
        <v>100</v>
      </c>
      <c r="BC34" s="91">
        <f t="shared" si="11"/>
        <v>2</v>
      </c>
      <c r="BD34" s="325">
        <v>0</v>
      </c>
      <c r="BE34" s="325">
        <v>0</v>
      </c>
      <c r="BF34" s="325">
        <v>0</v>
      </c>
      <c r="BG34" s="252">
        <f t="shared" si="12"/>
        <v>0</v>
      </c>
      <c r="BH34" s="246">
        <f t="shared" si="13"/>
        <v>100</v>
      </c>
      <c r="BI34" s="90">
        <f t="shared" si="14"/>
        <v>1</v>
      </c>
      <c r="BJ34" s="325">
        <v>0</v>
      </c>
      <c r="BK34" s="247">
        <f t="shared" si="15"/>
        <v>100</v>
      </c>
      <c r="BL34" s="94">
        <f t="shared" si="16"/>
        <v>2</v>
      </c>
      <c r="BM34" s="325">
        <v>0</v>
      </c>
      <c r="BN34" s="325">
        <v>0</v>
      </c>
      <c r="BO34" s="325">
        <v>1</v>
      </c>
      <c r="BP34" s="211">
        <f t="shared" si="17"/>
        <v>1</v>
      </c>
      <c r="BQ34" s="253">
        <f t="shared" si="18"/>
        <v>50</v>
      </c>
      <c r="BR34" s="99">
        <f t="shared" si="19"/>
        <v>0.5</v>
      </c>
      <c r="BS34" s="101">
        <f t="shared" si="20"/>
        <v>17.5</v>
      </c>
    </row>
    <row r="35" spans="1:71" x14ac:dyDescent="0.6">
      <c r="A35" s="373" t="s">
        <v>1514</v>
      </c>
      <c r="B35" s="13" t="s">
        <v>2934</v>
      </c>
      <c r="C35" s="380" t="s">
        <v>436</v>
      </c>
      <c r="D35" s="351" t="s">
        <v>285</v>
      </c>
      <c r="E35" s="352" t="s">
        <v>444</v>
      </c>
      <c r="F35" s="352" t="s">
        <v>1158</v>
      </c>
      <c r="G35" s="353">
        <v>27789</v>
      </c>
      <c r="H35" s="352" t="s">
        <v>830</v>
      </c>
      <c r="I35" s="352" t="s">
        <v>720</v>
      </c>
      <c r="J35" s="352" t="s">
        <v>388</v>
      </c>
      <c r="K35" s="352" t="s">
        <v>91</v>
      </c>
      <c r="L35" s="381">
        <v>3782850589</v>
      </c>
      <c r="M35" s="376">
        <v>1473354089</v>
      </c>
      <c r="N35" s="376">
        <v>2309496500</v>
      </c>
      <c r="O35" s="376">
        <v>4108362284</v>
      </c>
      <c r="P35" s="376">
        <v>101552809</v>
      </c>
      <c r="Q35" s="376">
        <v>640421674</v>
      </c>
      <c r="R35" s="376">
        <v>528557910</v>
      </c>
      <c r="S35" s="325">
        <v>1</v>
      </c>
      <c r="T35" s="246">
        <f t="shared" si="1"/>
        <v>50</v>
      </c>
      <c r="U35" s="77">
        <f t="shared" si="2"/>
        <v>1</v>
      </c>
      <c r="V35" s="377">
        <v>0</v>
      </c>
      <c r="W35" s="377">
        <v>0</v>
      </c>
      <c r="X35" s="377">
        <v>0</v>
      </c>
      <c r="Y35" s="377">
        <v>0</v>
      </c>
      <c r="Z35" s="377">
        <v>1</v>
      </c>
      <c r="AA35" s="377">
        <v>0</v>
      </c>
      <c r="AB35" s="377">
        <v>0</v>
      </c>
      <c r="AC35" s="247">
        <f t="shared" si="3"/>
        <v>1</v>
      </c>
      <c r="AD35" s="247">
        <f t="shared" si="4"/>
        <v>75</v>
      </c>
      <c r="AE35" s="82">
        <f t="shared" si="21"/>
        <v>3.75</v>
      </c>
      <c r="AF35" s="377">
        <v>0</v>
      </c>
      <c r="AG35" s="377">
        <v>0</v>
      </c>
      <c r="AH35" s="247">
        <f t="shared" si="5"/>
        <v>0</v>
      </c>
      <c r="AI35" s="247">
        <f t="shared" si="6"/>
        <v>100</v>
      </c>
      <c r="AJ35" s="82">
        <f t="shared" si="7"/>
        <v>3</v>
      </c>
      <c r="AK35" s="367" t="s">
        <v>2902</v>
      </c>
      <c r="AL35" s="367" t="s">
        <v>2902</v>
      </c>
      <c r="AM35" s="367" t="s">
        <v>2902</v>
      </c>
      <c r="AN35" s="367" t="s">
        <v>2902</v>
      </c>
      <c r="AO35" s="367" t="s">
        <v>2902</v>
      </c>
      <c r="AP35" s="296" t="s">
        <v>2326</v>
      </c>
      <c r="AQ35" s="296" t="s">
        <v>2326</v>
      </c>
      <c r="AR35" s="297"/>
      <c r="AS35" s="367" t="s">
        <v>2902</v>
      </c>
      <c r="AT35" s="367" t="s">
        <v>2902</v>
      </c>
      <c r="AU35" s="296" t="s">
        <v>2326</v>
      </c>
      <c r="AV35" s="297"/>
      <c r="AW35" s="325">
        <v>1</v>
      </c>
      <c r="AX35" s="247">
        <f t="shared" si="8"/>
        <v>100</v>
      </c>
      <c r="AY35" s="90">
        <f t="shared" si="9"/>
        <v>4</v>
      </c>
      <c r="AZ35" s="378">
        <v>0</v>
      </c>
      <c r="BA35" s="449" t="s">
        <v>3782</v>
      </c>
      <c r="BB35" s="247">
        <f t="shared" si="10"/>
        <v>100</v>
      </c>
      <c r="BC35" s="91">
        <f t="shared" si="11"/>
        <v>2</v>
      </c>
      <c r="BD35" s="325">
        <v>0</v>
      </c>
      <c r="BE35" s="325">
        <v>0</v>
      </c>
      <c r="BF35" s="325">
        <v>0</v>
      </c>
      <c r="BG35" s="252">
        <f t="shared" si="12"/>
        <v>0</v>
      </c>
      <c r="BH35" s="246">
        <f t="shared" si="13"/>
        <v>100</v>
      </c>
      <c r="BI35" s="90">
        <f t="shared" si="14"/>
        <v>1</v>
      </c>
      <c r="BJ35" s="325">
        <v>0</v>
      </c>
      <c r="BK35" s="247">
        <f t="shared" si="15"/>
        <v>100</v>
      </c>
      <c r="BL35" s="94">
        <f t="shared" si="16"/>
        <v>2</v>
      </c>
      <c r="BM35" s="325">
        <v>0</v>
      </c>
      <c r="BN35" s="325">
        <v>0</v>
      </c>
      <c r="BO35" s="325">
        <v>1</v>
      </c>
      <c r="BP35" s="211">
        <f t="shared" si="17"/>
        <v>1</v>
      </c>
      <c r="BQ35" s="253">
        <f t="shared" si="18"/>
        <v>50</v>
      </c>
      <c r="BR35" s="99">
        <f t="shared" si="19"/>
        <v>0.5</v>
      </c>
      <c r="BS35" s="101">
        <f t="shared" si="20"/>
        <v>17.25</v>
      </c>
    </row>
    <row r="36" spans="1:71" x14ac:dyDescent="0.6">
      <c r="A36" s="373" t="s">
        <v>458</v>
      </c>
      <c r="B36" s="1" t="s">
        <v>2935</v>
      </c>
      <c r="C36" s="380" t="s">
        <v>410</v>
      </c>
      <c r="D36" s="354" t="s">
        <v>3238</v>
      </c>
      <c r="E36" s="352" t="s">
        <v>179</v>
      </c>
      <c r="F36" s="352" t="s">
        <v>186</v>
      </c>
      <c r="G36" s="353">
        <v>27667</v>
      </c>
      <c r="H36" s="352" t="s">
        <v>830</v>
      </c>
      <c r="I36" s="352" t="s">
        <v>723</v>
      </c>
      <c r="J36" s="352" t="s">
        <v>1005</v>
      </c>
      <c r="K36" s="352" t="s">
        <v>91</v>
      </c>
      <c r="L36" s="381">
        <v>50402862000</v>
      </c>
      <c r="M36" s="376">
        <v>43550273000</v>
      </c>
      <c r="N36" s="376">
        <v>6852589000</v>
      </c>
      <c r="O36" s="376">
        <v>10731117000</v>
      </c>
      <c r="P36" s="376">
        <v>550151000</v>
      </c>
      <c r="Q36" s="376">
        <v>480268000</v>
      </c>
      <c r="R36" s="376">
        <v>338500000</v>
      </c>
      <c r="S36" s="325">
        <v>1</v>
      </c>
      <c r="T36" s="246">
        <f t="shared" si="1"/>
        <v>50</v>
      </c>
      <c r="U36" s="77">
        <f t="shared" si="2"/>
        <v>1</v>
      </c>
      <c r="V36" s="377">
        <v>0</v>
      </c>
      <c r="W36" s="377">
        <v>0</v>
      </c>
      <c r="X36" s="377">
        <v>0</v>
      </c>
      <c r="Y36" s="377">
        <v>0</v>
      </c>
      <c r="Z36" s="377">
        <v>0</v>
      </c>
      <c r="AA36" s="377">
        <v>0</v>
      </c>
      <c r="AB36" s="377">
        <v>0</v>
      </c>
      <c r="AC36" s="247">
        <f t="shared" si="3"/>
        <v>0</v>
      </c>
      <c r="AD36" s="247">
        <f t="shared" si="4"/>
        <v>100</v>
      </c>
      <c r="AE36" s="81">
        <f>AD36*0.02</f>
        <v>2</v>
      </c>
      <c r="AF36" s="360" t="s">
        <v>2902</v>
      </c>
      <c r="AG36" s="360" t="s">
        <v>2902</v>
      </c>
      <c r="AH36" s="248" t="s">
        <v>2326</v>
      </c>
      <c r="AI36" s="248" t="s">
        <v>2326</v>
      </c>
      <c r="AJ36" s="248"/>
      <c r="AK36" s="373">
        <v>0</v>
      </c>
      <c r="AL36" s="373">
        <v>0</v>
      </c>
      <c r="AM36" s="373">
        <v>0</v>
      </c>
      <c r="AN36" s="373">
        <v>8</v>
      </c>
      <c r="AO36" s="390" t="s">
        <v>3785</v>
      </c>
      <c r="AP36" s="249">
        <f>SUM(AK36:AN36)</f>
        <v>8</v>
      </c>
      <c r="AQ36" s="250">
        <f>IF(AP36=0, 100, IF(AP36=1, 75, IF(AP36=2, 50, 25)))</f>
        <v>25</v>
      </c>
      <c r="AR36" s="83">
        <f>AQ36*0.05</f>
        <v>1.25</v>
      </c>
      <c r="AS36" s="395">
        <v>0</v>
      </c>
      <c r="AT36" s="370" t="s">
        <v>3240</v>
      </c>
      <c r="AU36" s="251">
        <f>IF(AS36=0, 100, IF(AS36=1, 200/3, IF(AS36&gt;=2, 100/3)))</f>
        <v>100</v>
      </c>
      <c r="AV36" s="87">
        <f>AU36*0.01</f>
        <v>1</v>
      </c>
      <c r="AW36" s="325">
        <v>0</v>
      </c>
      <c r="AX36" s="247">
        <f t="shared" si="8"/>
        <v>50</v>
      </c>
      <c r="AY36" s="90">
        <f t="shared" si="9"/>
        <v>2</v>
      </c>
      <c r="AZ36" s="378">
        <v>0</v>
      </c>
      <c r="BA36" s="449" t="s">
        <v>3782</v>
      </c>
      <c r="BB36" s="247">
        <f t="shared" si="10"/>
        <v>100</v>
      </c>
      <c r="BC36" s="91">
        <f t="shared" si="11"/>
        <v>2</v>
      </c>
      <c r="BD36" s="325">
        <v>0</v>
      </c>
      <c r="BE36" s="325">
        <v>0</v>
      </c>
      <c r="BF36" s="325">
        <v>0</v>
      </c>
      <c r="BG36" s="252">
        <f t="shared" si="12"/>
        <v>0</v>
      </c>
      <c r="BH36" s="246">
        <f t="shared" si="13"/>
        <v>100</v>
      </c>
      <c r="BI36" s="90">
        <f t="shared" si="14"/>
        <v>1</v>
      </c>
      <c r="BJ36" s="325">
        <v>0</v>
      </c>
      <c r="BK36" s="247">
        <f t="shared" si="15"/>
        <v>100</v>
      </c>
      <c r="BL36" s="94">
        <f t="shared" si="16"/>
        <v>2</v>
      </c>
      <c r="BM36" s="325">
        <v>0</v>
      </c>
      <c r="BN36" s="325">
        <v>0</v>
      </c>
      <c r="BO36" s="325">
        <v>1</v>
      </c>
      <c r="BP36" s="211">
        <f t="shared" si="17"/>
        <v>1</v>
      </c>
      <c r="BQ36" s="253">
        <f t="shared" si="18"/>
        <v>50</v>
      </c>
      <c r="BR36" s="99">
        <f t="shared" si="19"/>
        <v>0.5</v>
      </c>
      <c r="BS36" s="101">
        <f t="shared" si="20"/>
        <v>12.75</v>
      </c>
    </row>
    <row r="37" spans="1:71" x14ac:dyDescent="0.6">
      <c r="A37" s="373" t="s">
        <v>307</v>
      </c>
      <c r="B37" s="1" t="s">
        <v>2936</v>
      </c>
      <c r="C37" s="380" t="s">
        <v>68</v>
      </c>
      <c r="D37" s="351" t="s">
        <v>203</v>
      </c>
      <c r="E37" s="352" t="s">
        <v>195</v>
      </c>
      <c r="F37" s="352" t="s">
        <v>967</v>
      </c>
      <c r="G37" s="353">
        <v>27573</v>
      </c>
      <c r="H37" s="352" t="s">
        <v>830</v>
      </c>
      <c r="I37" s="352" t="s">
        <v>1515</v>
      </c>
      <c r="J37" s="352" t="s">
        <v>1085</v>
      </c>
      <c r="K37" s="352" t="s">
        <v>91</v>
      </c>
      <c r="L37" s="381">
        <v>397444643</v>
      </c>
      <c r="M37" s="376">
        <v>209249323</v>
      </c>
      <c r="N37" s="376">
        <v>188195320</v>
      </c>
      <c r="O37" s="376">
        <v>355390202</v>
      </c>
      <c r="P37" s="376">
        <v>67734933</v>
      </c>
      <c r="Q37" s="376">
        <v>63871175</v>
      </c>
      <c r="R37" s="376">
        <v>48789612</v>
      </c>
      <c r="S37" s="325">
        <v>0</v>
      </c>
      <c r="T37" s="246">
        <f t="shared" si="1"/>
        <v>100</v>
      </c>
      <c r="U37" s="77">
        <f t="shared" si="2"/>
        <v>2</v>
      </c>
      <c r="V37" s="377">
        <v>0</v>
      </c>
      <c r="W37" s="377">
        <v>0</v>
      </c>
      <c r="X37" s="377">
        <v>0</v>
      </c>
      <c r="Y37" s="377">
        <v>0</v>
      </c>
      <c r="Z37" s="377">
        <v>0</v>
      </c>
      <c r="AA37" s="377">
        <v>0</v>
      </c>
      <c r="AB37" s="377">
        <v>0</v>
      </c>
      <c r="AC37" s="247">
        <f t="shared" si="3"/>
        <v>0</v>
      </c>
      <c r="AD37" s="247">
        <f t="shared" si="4"/>
        <v>100</v>
      </c>
      <c r="AE37" s="82">
        <f t="shared" ref="AE37:AE45" si="22">AD37*0.05</f>
        <v>5</v>
      </c>
      <c r="AF37" s="377">
        <v>0</v>
      </c>
      <c r="AG37" s="377">
        <v>0</v>
      </c>
      <c r="AH37" s="247">
        <f t="shared" si="5"/>
        <v>0</v>
      </c>
      <c r="AI37" s="247">
        <f t="shared" si="6"/>
        <v>100</v>
      </c>
      <c r="AJ37" s="82">
        <f t="shared" si="7"/>
        <v>3</v>
      </c>
      <c r="AK37" s="367" t="s">
        <v>2902</v>
      </c>
      <c r="AL37" s="367" t="s">
        <v>2902</v>
      </c>
      <c r="AM37" s="367" t="s">
        <v>2902</v>
      </c>
      <c r="AN37" s="367" t="s">
        <v>2902</v>
      </c>
      <c r="AO37" s="367" t="s">
        <v>2902</v>
      </c>
      <c r="AP37" s="296" t="s">
        <v>2326</v>
      </c>
      <c r="AQ37" s="296" t="s">
        <v>2326</v>
      </c>
      <c r="AR37" s="297"/>
      <c r="AS37" s="367" t="s">
        <v>2902</v>
      </c>
      <c r="AT37" s="367" t="s">
        <v>2902</v>
      </c>
      <c r="AU37" s="296" t="s">
        <v>2326</v>
      </c>
      <c r="AV37" s="297"/>
      <c r="AW37" s="325">
        <v>1</v>
      </c>
      <c r="AX37" s="247">
        <f t="shared" si="8"/>
        <v>100</v>
      </c>
      <c r="AY37" s="90">
        <f t="shared" si="9"/>
        <v>4</v>
      </c>
      <c r="AZ37" s="378">
        <v>0</v>
      </c>
      <c r="BA37" s="449" t="s">
        <v>3782</v>
      </c>
      <c r="BB37" s="247">
        <f t="shared" si="10"/>
        <v>100</v>
      </c>
      <c r="BC37" s="91">
        <f t="shared" si="11"/>
        <v>2</v>
      </c>
      <c r="BD37" s="325">
        <v>0</v>
      </c>
      <c r="BE37" s="325">
        <v>0</v>
      </c>
      <c r="BF37" s="325">
        <v>0</v>
      </c>
      <c r="BG37" s="252">
        <f t="shared" si="12"/>
        <v>0</v>
      </c>
      <c r="BH37" s="246">
        <f t="shared" si="13"/>
        <v>100</v>
      </c>
      <c r="BI37" s="90">
        <f t="shared" si="14"/>
        <v>1</v>
      </c>
      <c r="BJ37" s="325">
        <v>0</v>
      </c>
      <c r="BK37" s="247">
        <f t="shared" si="15"/>
        <v>100</v>
      </c>
      <c r="BL37" s="94">
        <f t="shared" si="16"/>
        <v>2</v>
      </c>
      <c r="BM37" s="325">
        <v>0</v>
      </c>
      <c r="BN37" s="325">
        <v>0</v>
      </c>
      <c r="BO37" s="325">
        <v>0</v>
      </c>
      <c r="BP37" s="211">
        <f t="shared" si="17"/>
        <v>0</v>
      </c>
      <c r="BQ37" s="253">
        <f t="shared" si="18"/>
        <v>25</v>
      </c>
      <c r="BR37" s="99">
        <f t="shared" si="19"/>
        <v>0.25</v>
      </c>
      <c r="BS37" s="101">
        <f t="shared" si="20"/>
        <v>19.25</v>
      </c>
    </row>
    <row r="38" spans="1:71" x14ac:dyDescent="0.6">
      <c r="A38" s="373" t="s">
        <v>1516</v>
      </c>
      <c r="B38" s="13" t="s">
        <v>2937</v>
      </c>
      <c r="C38" s="380" t="s">
        <v>1517</v>
      </c>
      <c r="D38" s="315" t="s">
        <v>203</v>
      </c>
      <c r="E38" s="352" t="s">
        <v>246</v>
      </c>
      <c r="F38" s="352" t="s">
        <v>1518</v>
      </c>
      <c r="G38" s="353">
        <v>44417</v>
      </c>
      <c r="H38" s="352" t="s">
        <v>830</v>
      </c>
      <c r="I38" s="352" t="s">
        <v>1519</v>
      </c>
      <c r="J38" s="352" t="s">
        <v>1520</v>
      </c>
      <c r="K38" s="352" t="s">
        <v>317</v>
      </c>
      <c r="L38" s="381">
        <v>498996616</v>
      </c>
      <c r="M38" s="376">
        <v>157543399</v>
      </c>
      <c r="N38" s="376">
        <v>341453217</v>
      </c>
      <c r="O38" s="376">
        <v>276440430</v>
      </c>
      <c r="P38" s="376">
        <v>52135090</v>
      </c>
      <c r="Q38" s="376">
        <v>53978399</v>
      </c>
      <c r="R38" s="376">
        <v>45710486</v>
      </c>
      <c r="S38" s="325">
        <v>0</v>
      </c>
      <c r="T38" s="246">
        <f t="shared" si="1"/>
        <v>100</v>
      </c>
      <c r="U38" s="77">
        <f t="shared" si="2"/>
        <v>2</v>
      </c>
      <c r="V38" s="377">
        <v>0</v>
      </c>
      <c r="W38" s="377">
        <v>0</v>
      </c>
      <c r="X38" s="377">
        <v>0</v>
      </c>
      <c r="Y38" s="377">
        <v>0</v>
      </c>
      <c r="Z38" s="377">
        <v>0</v>
      </c>
      <c r="AA38" s="377">
        <v>0</v>
      </c>
      <c r="AB38" s="377">
        <v>0</v>
      </c>
      <c r="AC38" s="247">
        <f t="shared" si="3"/>
        <v>0</v>
      </c>
      <c r="AD38" s="247">
        <f t="shared" si="4"/>
        <v>100</v>
      </c>
      <c r="AE38" s="82">
        <f t="shared" si="22"/>
        <v>5</v>
      </c>
      <c r="AF38" s="377">
        <v>0</v>
      </c>
      <c r="AG38" s="377">
        <v>0</v>
      </c>
      <c r="AH38" s="247">
        <f t="shared" si="5"/>
        <v>0</v>
      </c>
      <c r="AI38" s="247">
        <f t="shared" si="6"/>
        <v>100</v>
      </c>
      <c r="AJ38" s="82">
        <f t="shared" si="7"/>
        <v>3</v>
      </c>
      <c r="AK38" s="367" t="s">
        <v>2902</v>
      </c>
      <c r="AL38" s="367" t="s">
        <v>2902</v>
      </c>
      <c r="AM38" s="367" t="s">
        <v>2902</v>
      </c>
      <c r="AN38" s="367" t="s">
        <v>2902</v>
      </c>
      <c r="AO38" s="367" t="s">
        <v>2902</v>
      </c>
      <c r="AP38" s="296" t="s">
        <v>2326</v>
      </c>
      <c r="AQ38" s="296" t="s">
        <v>2326</v>
      </c>
      <c r="AR38" s="297"/>
      <c r="AS38" s="367" t="s">
        <v>2902</v>
      </c>
      <c r="AT38" s="367" t="s">
        <v>2902</v>
      </c>
      <c r="AU38" s="296" t="s">
        <v>2326</v>
      </c>
      <c r="AV38" s="297"/>
      <c r="AW38" s="325">
        <v>1</v>
      </c>
      <c r="AX38" s="247">
        <f t="shared" si="8"/>
        <v>100</v>
      </c>
      <c r="AY38" s="90">
        <f t="shared" si="9"/>
        <v>4</v>
      </c>
      <c r="AZ38" s="378">
        <v>0</v>
      </c>
      <c r="BA38" s="449" t="s">
        <v>3782</v>
      </c>
      <c r="BB38" s="247">
        <f t="shared" si="10"/>
        <v>100</v>
      </c>
      <c r="BC38" s="91">
        <f t="shared" si="11"/>
        <v>2</v>
      </c>
      <c r="BD38" s="325">
        <v>0</v>
      </c>
      <c r="BE38" s="325">
        <v>0</v>
      </c>
      <c r="BF38" s="325">
        <v>0</v>
      </c>
      <c r="BG38" s="252">
        <f t="shared" si="12"/>
        <v>0</v>
      </c>
      <c r="BH38" s="246">
        <f t="shared" si="13"/>
        <v>100</v>
      </c>
      <c r="BI38" s="90">
        <f t="shared" si="14"/>
        <v>1</v>
      </c>
      <c r="BJ38" s="325">
        <v>0</v>
      </c>
      <c r="BK38" s="247">
        <f t="shared" si="15"/>
        <v>100</v>
      </c>
      <c r="BL38" s="94">
        <f t="shared" si="16"/>
        <v>2</v>
      </c>
      <c r="BM38" s="325">
        <v>0</v>
      </c>
      <c r="BN38" s="325">
        <v>0</v>
      </c>
      <c r="BO38" s="325">
        <v>1</v>
      </c>
      <c r="BP38" s="211">
        <f t="shared" si="17"/>
        <v>1</v>
      </c>
      <c r="BQ38" s="253">
        <f t="shared" si="18"/>
        <v>50</v>
      </c>
      <c r="BR38" s="99">
        <f t="shared" si="19"/>
        <v>0.5</v>
      </c>
      <c r="BS38" s="101">
        <f t="shared" si="20"/>
        <v>19.5</v>
      </c>
    </row>
    <row r="39" spans="1:71" x14ac:dyDescent="0.6">
      <c r="A39" s="373" t="s">
        <v>1521</v>
      </c>
      <c r="B39" s="1" t="s">
        <v>2938</v>
      </c>
      <c r="C39" s="380" t="s">
        <v>1522</v>
      </c>
      <c r="D39" s="315" t="s">
        <v>202</v>
      </c>
      <c r="E39" s="352" t="s">
        <v>1523</v>
      </c>
      <c r="F39" s="352" t="s">
        <v>1524</v>
      </c>
      <c r="G39" s="353">
        <v>33975</v>
      </c>
      <c r="H39" s="352" t="s">
        <v>830</v>
      </c>
      <c r="I39" s="352" t="s">
        <v>1525</v>
      </c>
      <c r="J39" s="352" t="s">
        <v>1526</v>
      </c>
      <c r="K39" s="352" t="s">
        <v>91</v>
      </c>
      <c r="L39" s="381">
        <v>1689083868</v>
      </c>
      <c r="M39" s="376">
        <v>1058363402</v>
      </c>
      <c r="N39" s="376">
        <v>630720466</v>
      </c>
      <c r="O39" s="376">
        <v>903462137</v>
      </c>
      <c r="P39" s="376">
        <v>135794969</v>
      </c>
      <c r="Q39" s="376">
        <v>110455021</v>
      </c>
      <c r="R39" s="376">
        <v>82620907</v>
      </c>
      <c r="S39" s="325">
        <v>1</v>
      </c>
      <c r="T39" s="246">
        <f t="shared" si="1"/>
        <v>50</v>
      </c>
      <c r="U39" s="77">
        <f t="shared" si="2"/>
        <v>1</v>
      </c>
      <c r="V39" s="377">
        <v>0</v>
      </c>
      <c r="W39" s="377">
        <v>0</v>
      </c>
      <c r="X39" s="377">
        <v>0</v>
      </c>
      <c r="Y39" s="377">
        <v>0</v>
      </c>
      <c r="Z39" s="377">
        <v>0</v>
      </c>
      <c r="AA39" s="377">
        <v>0</v>
      </c>
      <c r="AB39" s="377">
        <v>0</v>
      </c>
      <c r="AC39" s="247">
        <f t="shared" si="3"/>
        <v>0</v>
      </c>
      <c r="AD39" s="247">
        <f t="shared" si="4"/>
        <v>100</v>
      </c>
      <c r="AE39" s="82">
        <f t="shared" si="22"/>
        <v>5</v>
      </c>
      <c r="AF39" s="377">
        <v>0</v>
      </c>
      <c r="AG39" s="377">
        <v>0</v>
      </c>
      <c r="AH39" s="247">
        <f t="shared" si="5"/>
        <v>0</v>
      </c>
      <c r="AI39" s="247">
        <f t="shared" si="6"/>
        <v>100</v>
      </c>
      <c r="AJ39" s="82">
        <f t="shared" si="7"/>
        <v>3</v>
      </c>
      <c r="AK39" s="367" t="s">
        <v>2902</v>
      </c>
      <c r="AL39" s="367" t="s">
        <v>2902</v>
      </c>
      <c r="AM39" s="367" t="s">
        <v>2902</v>
      </c>
      <c r="AN39" s="367" t="s">
        <v>2902</v>
      </c>
      <c r="AO39" s="367" t="s">
        <v>2902</v>
      </c>
      <c r="AP39" s="296" t="s">
        <v>2326</v>
      </c>
      <c r="AQ39" s="296" t="s">
        <v>2326</v>
      </c>
      <c r="AR39" s="297"/>
      <c r="AS39" s="367" t="s">
        <v>2902</v>
      </c>
      <c r="AT39" s="367" t="s">
        <v>2902</v>
      </c>
      <c r="AU39" s="296" t="s">
        <v>2326</v>
      </c>
      <c r="AV39" s="297"/>
      <c r="AW39" s="325">
        <v>0</v>
      </c>
      <c r="AX39" s="247">
        <f t="shared" si="8"/>
        <v>50</v>
      </c>
      <c r="AY39" s="90">
        <f t="shared" si="9"/>
        <v>2</v>
      </c>
      <c r="AZ39" s="378">
        <v>0</v>
      </c>
      <c r="BA39" s="449" t="s">
        <v>3782</v>
      </c>
      <c r="BB39" s="247">
        <f t="shared" si="10"/>
        <v>100</v>
      </c>
      <c r="BC39" s="91">
        <f t="shared" si="11"/>
        <v>2</v>
      </c>
      <c r="BD39" s="325">
        <v>0</v>
      </c>
      <c r="BE39" s="325">
        <v>0</v>
      </c>
      <c r="BF39" s="325">
        <v>0</v>
      </c>
      <c r="BG39" s="252">
        <f t="shared" si="12"/>
        <v>0</v>
      </c>
      <c r="BH39" s="246">
        <f t="shared" si="13"/>
        <v>100</v>
      </c>
      <c r="BI39" s="90">
        <f t="shared" si="14"/>
        <v>1</v>
      </c>
      <c r="BJ39" s="325">
        <v>0</v>
      </c>
      <c r="BK39" s="247">
        <f t="shared" si="15"/>
        <v>100</v>
      </c>
      <c r="BL39" s="94">
        <f t="shared" si="16"/>
        <v>2</v>
      </c>
      <c r="BM39" s="325">
        <v>0</v>
      </c>
      <c r="BN39" s="325">
        <v>0</v>
      </c>
      <c r="BO39" s="325">
        <v>1</v>
      </c>
      <c r="BP39" s="211">
        <f t="shared" si="17"/>
        <v>1</v>
      </c>
      <c r="BQ39" s="253">
        <f t="shared" si="18"/>
        <v>50</v>
      </c>
      <c r="BR39" s="99">
        <f t="shared" si="19"/>
        <v>0.5</v>
      </c>
      <c r="BS39" s="101">
        <f t="shared" si="20"/>
        <v>16.5</v>
      </c>
    </row>
    <row r="40" spans="1:71" x14ac:dyDescent="0.6">
      <c r="A40" s="373" t="s">
        <v>1527</v>
      </c>
      <c r="B40" s="13" t="s">
        <v>2939</v>
      </c>
      <c r="C40" s="380" t="s">
        <v>1528</v>
      </c>
      <c r="D40" s="315" t="s">
        <v>203</v>
      </c>
      <c r="E40" s="352" t="s">
        <v>195</v>
      </c>
      <c r="F40" s="352" t="s">
        <v>1529</v>
      </c>
      <c r="G40" s="353">
        <v>32470</v>
      </c>
      <c r="H40" s="352" t="s">
        <v>830</v>
      </c>
      <c r="I40" s="352" t="s">
        <v>1530</v>
      </c>
      <c r="J40" s="352" t="s">
        <v>1531</v>
      </c>
      <c r="K40" s="352" t="s">
        <v>690</v>
      </c>
      <c r="L40" s="381">
        <v>88291972</v>
      </c>
      <c r="M40" s="376">
        <v>36836002</v>
      </c>
      <c r="N40" s="376">
        <v>51455970</v>
      </c>
      <c r="O40" s="376">
        <v>125263993</v>
      </c>
      <c r="P40" s="376">
        <v>14179053</v>
      </c>
      <c r="Q40" s="376">
        <v>13787797</v>
      </c>
      <c r="R40" s="376">
        <v>10819014</v>
      </c>
      <c r="S40" s="325">
        <v>0</v>
      </c>
      <c r="T40" s="246">
        <f t="shared" si="1"/>
        <v>100</v>
      </c>
      <c r="U40" s="77">
        <f t="shared" si="2"/>
        <v>2</v>
      </c>
      <c r="V40" s="377">
        <v>0</v>
      </c>
      <c r="W40" s="377">
        <v>0</v>
      </c>
      <c r="X40" s="377">
        <v>0</v>
      </c>
      <c r="Y40" s="377">
        <v>0</v>
      </c>
      <c r="Z40" s="377">
        <v>0</v>
      </c>
      <c r="AA40" s="377">
        <v>0</v>
      </c>
      <c r="AB40" s="377">
        <v>0</v>
      </c>
      <c r="AC40" s="247">
        <f t="shared" si="3"/>
        <v>0</v>
      </c>
      <c r="AD40" s="247">
        <f t="shared" si="4"/>
        <v>100</v>
      </c>
      <c r="AE40" s="82">
        <f t="shared" si="22"/>
        <v>5</v>
      </c>
      <c r="AF40" s="377">
        <v>0</v>
      </c>
      <c r="AG40" s="377">
        <v>0</v>
      </c>
      <c r="AH40" s="247">
        <f t="shared" si="5"/>
        <v>0</v>
      </c>
      <c r="AI40" s="247">
        <f t="shared" si="6"/>
        <v>100</v>
      </c>
      <c r="AJ40" s="82">
        <f t="shared" si="7"/>
        <v>3</v>
      </c>
      <c r="AK40" s="367" t="s">
        <v>2902</v>
      </c>
      <c r="AL40" s="367" t="s">
        <v>2902</v>
      </c>
      <c r="AM40" s="367" t="s">
        <v>2902</v>
      </c>
      <c r="AN40" s="367" t="s">
        <v>2902</v>
      </c>
      <c r="AO40" s="367" t="s">
        <v>2902</v>
      </c>
      <c r="AP40" s="296" t="s">
        <v>2326</v>
      </c>
      <c r="AQ40" s="296" t="s">
        <v>2326</v>
      </c>
      <c r="AR40" s="297"/>
      <c r="AS40" s="367" t="s">
        <v>2902</v>
      </c>
      <c r="AT40" s="367" t="s">
        <v>2902</v>
      </c>
      <c r="AU40" s="296" t="s">
        <v>2326</v>
      </c>
      <c r="AV40" s="297"/>
      <c r="AW40" s="325">
        <v>1</v>
      </c>
      <c r="AX40" s="247">
        <f t="shared" si="8"/>
        <v>100</v>
      </c>
      <c r="AY40" s="90">
        <f t="shared" si="9"/>
        <v>4</v>
      </c>
      <c r="AZ40" s="378">
        <v>0</v>
      </c>
      <c r="BA40" s="449" t="s">
        <v>3782</v>
      </c>
      <c r="BB40" s="247">
        <f t="shared" si="10"/>
        <v>100</v>
      </c>
      <c r="BC40" s="91">
        <f t="shared" si="11"/>
        <v>2</v>
      </c>
      <c r="BD40" s="325">
        <v>0</v>
      </c>
      <c r="BE40" s="325">
        <v>0</v>
      </c>
      <c r="BF40" s="325">
        <v>0</v>
      </c>
      <c r="BG40" s="252">
        <f t="shared" si="12"/>
        <v>0</v>
      </c>
      <c r="BH40" s="246">
        <f t="shared" si="13"/>
        <v>100</v>
      </c>
      <c r="BI40" s="90">
        <f t="shared" si="14"/>
        <v>1</v>
      </c>
      <c r="BJ40" s="325">
        <v>0</v>
      </c>
      <c r="BK40" s="247">
        <f t="shared" si="15"/>
        <v>100</v>
      </c>
      <c r="BL40" s="94">
        <f t="shared" si="16"/>
        <v>2</v>
      </c>
      <c r="BM40" s="325">
        <v>0</v>
      </c>
      <c r="BN40" s="325">
        <v>0</v>
      </c>
      <c r="BO40" s="325">
        <v>0</v>
      </c>
      <c r="BP40" s="211">
        <f t="shared" si="17"/>
        <v>0</v>
      </c>
      <c r="BQ40" s="253">
        <f t="shared" si="18"/>
        <v>25</v>
      </c>
      <c r="BR40" s="99">
        <f t="shared" si="19"/>
        <v>0.25</v>
      </c>
      <c r="BS40" s="101">
        <f t="shared" si="20"/>
        <v>19.25</v>
      </c>
    </row>
    <row r="41" spans="1:71" x14ac:dyDescent="0.6">
      <c r="A41" s="373" t="s">
        <v>550</v>
      </c>
      <c r="B41" s="1" t="s">
        <v>2940</v>
      </c>
      <c r="C41" s="380" t="s">
        <v>892</v>
      </c>
      <c r="D41" s="351" t="s">
        <v>203</v>
      </c>
      <c r="E41" s="352" t="s">
        <v>195</v>
      </c>
      <c r="F41" s="352" t="s">
        <v>174</v>
      </c>
      <c r="G41" s="353">
        <v>32718</v>
      </c>
      <c r="H41" s="352" t="s">
        <v>830</v>
      </c>
      <c r="I41" s="352" t="s">
        <v>780</v>
      </c>
      <c r="J41" s="352" t="s">
        <v>1024</v>
      </c>
      <c r="K41" s="352" t="s">
        <v>346</v>
      </c>
      <c r="L41" s="381">
        <v>784010055</v>
      </c>
      <c r="M41" s="376">
        <v>266944685</v>
      </c>
      <c r="N41" s="376">
        <v>517065370</v>
      </c>
      <c r="O41" s="376">
        <v>504474738</v>
      </c>
      <c r="P41" s="376">
        <v>87061651</v>
      </c>
      <c r="Q41" s="376">
        <v>64111344</v>
      </c>
      <c r="R41" s="376">
        <v>47519888</v>
      </c>
      <c r="S41" s="325">
        <v>0</v>
      </c>
      <c r="T41" s="246">
        <f t="shared" si="1"/>
        <v>100</v>
      </c>
      <c r="U41" s="77">
        <f t="shared" si="2"/>
        <v>2</v>
      </c>
      <c r="V41" s="377">
        <v>0</v>
      </c>
      <c r="W41" s="377">
        <v>0</v>
      </c>
      <c r="X41" s="377">
        <v>0</v>
      </c>
      <c r="Y41" s="377">
        <v>0</v>
      </c>
      <c r="Z41" s="377">
        <v>0</v>
      </c>
      <c r="AA41" s="377">
        <v>0</v>
      </c>
      <c r="AB41" s="377">
        <v>0</v>
      </c>
      <c r="AC41" s="247">
        <f t="shared" si="3"/>
        <v>0</v>
      </c>
      <c r="AD41" s="247">
        <f t="shared" si="4"/>
        <v>100</v>
      </c>
      <c r="AE41" s="82">
        <f t="shared" si="22"/>
        <v>5</v>
      </c>
      <c r="AF41" s="377">
        <v>0</v>
      </c>
      <c r="AG41" s="377">
        <v>0</v>
      </c>
      <c r="AH41" s="247">
        <f t="shared" si="5"/>
        <v>0</v>
      </c>
      <c r="AI41" s="247">
        <f t="shared" si="6"/>
        <v>100</v>
      </c>
      <c r="AJ41" s="82">
        <f t="shared" si="7"/>
        <v>3</v>
      </c>
      <c r="AK41" s="367" t="s">
        <v>2902</v>
      </c>
      <c r="AL41" s="367" t="s">
        <v>2902</v>
      </c>
      <c r="AM41" s="367" t="s">
        <v>2902</v>
      </c>
      <c r="AN41" s="367" t="s">
        <v>2902</v>
      </c>
      <c r="AO41" s="367" t="s">
        <v>2902</v>
      </c>
      <c r="AP41" s="296" t="s">
        <v>2326</v>
      </c>
      <c r="AQ41" s="296" t="s">
        <v>2326</v>
      </c>
      <c r="AR41" s="297"/>
      <c r="AS41" s="367" t="s">
        <v>2902</v>
      </c>
      <c r="AT41" s="367" t="s">
        <v>2902</v>
      </c>
      <c r="AU41" s="296" t="s">
        <v>2326</v>
      </c>
      <c r="AV41" s="297"/>
      <c r="AW41" s="325">
        <v>0</v>
      </c>
      <c r="AX41" s="247">
        <f t="shared" si="8"/>
        <v>50</v>
      </c>
      <c r="AY41" s="90">
        <f t="shared" si="9"/>
        <v>2</v>
      </c>
      <c r="AZ41" s="378">
        <v>0</v>
      </c>
      <c r="BA41" s="449" t="s">
        <v>3782</v>
      </c>
      <c r="BB41" s="247">
        <f t="shared" si="10"/>
        <v>100</v>
      </c>
      <c r="BC41" s="91">
        <f t="shared" si="11"/>
        <v>2</v>
      </c>
      <c r="BD41" s="325">
        <v>0</v>
      </c>
      <c r="BE41" s="325">
        <v>0</v>
      </c>
      <c r="BF41" s="325">
        <v>0</v>
      </c>
      <c r="BG41" s="252">
        <f t="shared" si="12"/>
        <v>0</v>
      </c>
      <c r="BH41" s="246">
        <f t="shared" si="13"/>
        <v>100</v>
      </c>
      <c r="BI41" s="90">
        <f t="shared" si="14"/>
        <v>1</v>
      </c>
      <c r="BJ41" s="325">
        <v>0</v>
      </c>
      <c r="BK41" s="247">
        <f t="shared" si="15"/>
        <v>100</v>
      </c>
      <c r="BL41" s="94">
        <f t="shared" si="16"/>
        <v>2</v>
      </c>
      <c r="BM41" s="325">
        <v>0</v>
      </c>
      <c r="BN41" s="325">
        <v>1</v>
      </c>
      <c r="BO41" s="325">
        <v>0</v>
      </c>
      <c r="BP41" s="211">
        <f t="shared" si="17"/>
        <v>1</v>
      </c>
      <c r="BQ41" s="253">
        <f t="shared" si="18"/>
        <v>50</v>
      </c>
      <c r="BR41" s="99">
        <f t="shared" si="19"/>
        <v>0.5</v>
      </c>
      <c r="BS41" s="101">
        <f t="shared" si="20"/>
        <v>17.5</v>
      </c>
    </row>
    <row r="42" spans="1:71" x14ac:dyDescent="0.6">
      <c r="A42" s="373" t="s">
        <v>1532</v>
      </c>
      <c r="B42" s="1" t="s">
        <v>2941</v>
      </c>
      <c r="C42" s="380" t="s">
        <v>457</v>
      </c>
      <c r="D42" s="351" t="s">
        <v>285</v>
      </c>
      <c r="E42" s="352" t="s">
        <v>171</v>
      </c>
      <c r="F42" s="352" t="s">
        <v>1031</v>
      </c>
      <c r="G42" s="353">
        <v>35669</v>
      </c>
      <c r="H42" s="352" t="s">
        <v>830</v>
      </c>
      <c r="I42" s="352" t="s">
        <v>728</v>
      </c>
      <c r="J42" s="352" t="s">
        <v>1043</v>
      </c>
      <c r="K42" s="352" t="s">
        <v>690</v>
      </c>
      <c r="L42" s="381">
        <v>4987103374</v>
      </c>
      <c r="M42" s="376">
        <v>2920774145</v>
      </c>
      <c r="N42" s="376">
        <v>2066329229</v>
      </c>
      <c r="O42" s="376">
        <v>6978937449</v>
      </c>
      <c r="P42" s="376">
        <v>427890389</v>
      </c>
      <c r="Q42" s="376">
        <v>355031852</v>
      </c>
      <c r="R42" s="376">
        <v>268904384</v>
      </c>
      <c r="S42" s="325">
        <v>1</v>
      </c>
      <c r="T42" s="246">
        <f t="shared" si="1"/>
        <v>50</v>
      </c>
      <c r="U42" s="77">
        <f t="shared" si="2"/>
        <v>1</v>
      </c>
      <c r="V42" s="377">
        <v>0</v>
      </c>
      <c r="W42" s="377">
        <v>0</v>
      </c>
      <c r="X42" s="377">
        <v>0</v>
      </c>
      <c r="Y42" s="377">
        <v>0</v>
      </c>
      <c r="Z42" s="377">
        <v>0</v>
      </c>
      <c r="AA42" s="377">
        <v>0</v>
      </c>
      <c r="AB42" s="377">
        <v>0</v>
      </c>
      <c r="AC42" s="247">
        <f t="shared" si="3"/>
        <v>0</v>
      </c>
      <c r="AD42" s="247">
        <f t="shared" si="4"/>
        <v>100</v>
      </c>
      <c r="AE42" s="82">
        <f t="shared" si="22"/>
        <v>5</v>
      </c>
      <c r="AF42" s="377">
        <v>0</v>
      </c>
      <c r="AG42" s="377">
        <v>0</v>
      </c>
      <c r="AH42" s="247">
        <f t="shared" si="5"/>
        <v>0</v>
      </c>
      <c r="AI42" s="247">
        <f t="shared" si="6"/>
        <v>100</v>
      </c>
      <c r="AJ42" s="82">
        <f t="shared" si="7"/>
        <v>3</v>
      </c>
      <c r="AK42" s="367" t="s">
        <v>2902</v>
      </c>
      <c r="AL42" s="367" t="s">
        <v>2902</v>
      </c>
      <c r="AM42" s="367" t="s">
        <v>2902</v>
      </c>
      <c r="AN42" s="367" t="s">
        <v>2902</v>
      </c>
      <c r="AO42" s="367" t="s">
        <v>2902</v>
      </c>
      <c r="AP42" s="296" t="s">
        <v>2326</v>
      </c>
      <c r="AQ42" s="296" t="s">
        <v>2326</v>
      </c>
      <c r="AR42" s="297"/>
      <c r="AS42" s="367" t="s">
        <v>2902</v>
      </c>
      <c r="AT42" s="367" t="s">
        <v>2902</v>
      </c>
      <c r="AU42" s="296" t="s">
        <v>2326</v>
      </c>
      <c r="AV42" s="297"/>
      <c r="AW42" s="325">
        <v>0</v>
      </c>
      <c r="AX42" s="247">
        <f t="shared" si="8"/>
        <v>50</v>
      </c>
      <c r="AY42" s="90">
        <f t="shared" si="9"/>
        <v>2</v>
      </c>
      <c r="AZ42" s="378">
        <v>0</v>
      </c>
      <c r="BA42" s="449" t="s">
        <v>3782</v>
      </c>
      <c r="BB42" s="247">
        <f t="shared" si="10"/>
        <v>100</v>
      </c>
      <c r="BC42" s="91">
        <f t="shared" si="11"/>
        <v>2</v>
      </c>
      <c r="BD42" s="325">
        <v>0</v>
      </c>
      <c r="BE42" s="325">
        <v>0</v>
      </c>
      <c r="BF42" s="325">
        <v>0</v>
      </c>
      <c r="BG42" s="252">
        <f t="shared" si="12"/>
        <v>0</v>
      </c>
      <c r="BH42" s="246">
        <f t="shared" si="13"/>
        <v>100</v>
      </c>
      <c r="BI42" s="90">
        <f t="shared" si="14"/>
        <v>1</v>
      </c>
      <c r="BJ42" s="325">
        <v>0</v>
      </c>
      <c r="BK42" s="247">
        <f t="shared" si="15"/>
        <v>100</v>
      </c>
      <c r="BL42" s="94">
        <f t="shared" si="16"/>
        <v>2</v>
      </c>
      <c r="BM42" s="325">
        <v>0</v>
      </c>
      <c r="BN42" s="325">
        <v>0</v>
      </c>
      <c r="BO42" s="325">
        <v>1</v>
      </c>
      <c r="BP42" s="211">
        <f t="shared" si="17"/>
        <v>1</v>
      </c>
      <c r="BQ42" s="253">
        <f t="shared" si="18"/>
        <v>50</v>
      </c>
      <c r="BR42" s="99">
        <f t="shared" si="19"/>
        <v>0.5</v>
      </c>
      <c r="BS42" s="101">
        <f t="shared" si="20"/>
        <v>16.5</v>
      </c>
    </row>
    <row r="43" spans="1:71" x14ac:dyDescent="0.6">
      <c r="A43" s="373" t="s">
        <v>1533</v>
      </c>
      <c r="B43" s="1" t="s">
        <v>2942</v>
      </c>
      <c r="C43" s="380" t="s">
        <v>450</v>
      </c>
      <c r="D43" s="351" t="s">
        <v>285</v>
      </c>
      <c r="E43" s="352" t="s">
        <v>185</v>
      </c>
      <c r="F43" s="352" t="s">
        <v>175</v>
      </c>
      <c r="G43" s="353">
        <v>41117</v>
      </c>
      <c r="H43" s="352" t="s">
        <v>830</v>
      </c>
      <c r="I43" s="352" t="s">
        <v>732</v>
      </c>
      <c r="J43" s="352" t="s">
        <v>157</v>
      </c>
      <c r="K43" s="352" t="s">
        <v>91</v>
      </c>
      <c r="L43" s="381">
        <v>3341658508</v>
      </c>
      <c r="M43" s="376">
        <v>2823131632</v>
      </c>
      <c r="N43" s="376">
        <v>518526876</v>
      </c>
      <c r="O43" s="376">
        <v>1247543929</v>
      </c>
      <c r="P43" s="376">
        <v>94379336</v>
      </c>
      <c r="Q43" s="376">
        <v>30714021</v>
      </c>
      <c r="R43" s="376">
        <v>21213587</v>
      </c>
      <c r="S43" s="325">
        <v>1</v>
      </c>
      <c r="T43" s="246">
        <f t="shared" si="1"/>
        <v>50</v>
      </c>
      <c r="U43" s="77">
        <f t="shared" si="2"/>
        <v>1</v>
      </c>
      <c r="V43" s="377">
        <v>0</v>
      </c>
      <c r="W43" s="377">
        <v>0</v>
      </c>
      <c r="X43" s="377">
        <v>0</v>
      </c>
      <c r="Y43" s="377">
        <v>0</v>
      </c>
      <c r="Z43" s="377">
        <v>0</v>
      </c>
      <c r="AA43" s="377">
        <v>0</v>
      </c>
      <c r="AB43" s="377">
        <v>0</v>
      </c>
      <c r="AC43" s="247">
        <f t="shared" si="3"/>
        <v>0</v>
      </c>
      <c r="AD43" s="247">
        <f t="shared" si="4"/>
        <v>100</v>
      </c>
      <c r="AE43" s="82">
        <f t="shared" si="22"/>
        <v>5</v>
      </c>
      <c r="AF43" s="377">
        <v>0</v>
      </c>
      <c r="AG43" s="377">
        <v>0</v>
      </c>
      <c r="AH43" s="247">
        <f t="shared" si="5"/>
        <v>0</v>
      </c>
      <c r="AI43" s="247">
        <f t="shared" si="6"/>
        <v>100</v>
      </c>
      <c r="AJ43" s="82">
        <f t="shared" si="7"/>
        <v>3</v>
      </c>
      <c r="AK43" s="367" t="s">
        <v>2902</v>
      </c>
      <c r="AL43" s="367" t="s">
        <v>2902</v>
      </c>
      <c r="AM43" s="367" t="s">
        <v>2902</v>
      </c>
      <c r="AN43" s="367" t="s">
        <v>2902</v>
      </c>
      <c r="AO43" s="367" t="s">
        <v>2902</v>
      </c>
      <c r="AP43" s="296" t="s">
        <v>2326</v>
      </c>
      <c r="AQ43" s="296" t="s">
        <v>2326</v>
      </c>
      <c r="AR43" s="297"/>
      <c r="AS43" s="367" t="s">
        <v>2902</v>
      </c>
      <c r="AT43" s="367" t="s">
        <v>2902</v>
      </c>
      <c r="AU43" s="296" t="s">
        <v>2326</v>
      </c>
      <c r="AV43" s="297"/>
      <c r="AW43" s="325">
        <v>0</v>
      </c>
      <c r="AX43" s="247">
        <f t="shared" si="8"/>
        <v>50</v>
      </c>
      <c r="AY43" s="90">
        <f t="shared" si="9"/>
        <v>2</v>
      </c>
      <c r="AZ43" s="378">
        <v>0</v>
      </c>
      <c r="BA43" s="449" t="s">
        <v>3782</v>
      </c>
      <c r="BB43" s="247">
        <f t="shared" si="10"/>
        <v>100</v>
      </c>
      <c r="BC43" s="91">
        <f t="shared" si="11"/>
        <v>2</v>
      </c>
      <c r="BD43" s="325">
        <v>0</v>
      </c>
      <c r="BE43" s="325">
        <v>0</v>
      </c>
      <c r="BF43" s="325">
        <v>0</v>
      </c>
      <c r="BG43" s="252">
        <f t="shared" si="12"/>
        <v>0</v>
      </c>
      <c r="BH43" s="246">
        <f t="shared" si="13"/>
        <v>100</v>
      </c>
      <c r="BI43" s="90">
        <f t="shared" si="14"/>
        <v>1</v>
      </c>
      <c r="BJ43" s="325">
        <v>0</v>
      </c>
      <c r="BK43" s="247">
        <f t="shared" si="15"/>
        <v>100</v>
      </c>
      <c r="BL43" s="94">
        <f t="shared" si="16"/>
        <v>2</v>
      </c>
      <c r="BM43" s="325">
        <v>0</v>
      </c>
      <c r="BN43" s="325">
        <v>0</v>
      </c>
      <c r="BO43" s="325">
        <v>1</v>
      </c>
      <c r="BP43" s="211">
        <f t="shared" si="17"/>
        <v>1</v>
      </c>
      <c r="BQ43" s="253">
        <f t="shared" si="18"/>
        <v>50</v>
      </c>
      <c r="BR43" s="99">
        <f t="shared" si="19"/>
        <v>0.5</v>
      </c>
      <c r="BS43" s="101">
        <f t="shared" si="20"/>
        <v>16.5</v>
      </c>
    </row>
    <row r="44" spans="1:71" x14ac:dyDescent="0.6">
      <c r="A44" s="373" t="s">
        <v>1534</v>
      </c>
      <c r="B44" s="1" t="s">
        <v>2943</v>
      </c>
      <c r="C44" s="380" t="s">
        <v>1535</v>
      </c>
      <c r="D44" s="315" t="s">
        <v>191</v>
      </c>
      <c r="E44" s="352" t="s">
        <v>1091</v>
      </c>
      <c r="F44" s="352" t="s">
        <v>1536</v>
      </c>
      <c r="G44" s="353">
        <v>44273</v>
      </c>
      <c r="H44" s="352" t="s">
        <v>830</v>
      </c>
      <c r="I44" s="352" t="s">
        <v>1537</v>
      </c>
      <c r="J44" s="352" t="s">
        <v>1538</v>
      </c>
      <c r="K44" s="352" t="s">
        <v>690</v>
      </c>
      <c r="L44" s="381">
        <v>2142189396</v>
      </c>
      <c r="M44" s="376">
        <v>399934106</v>
      </c>
      <c r="N44" s="376">
        <v>1742255291</v>
      </c>
      <c r="O44" s="376">
        <v>456725871</v>
      </c>
      <c r="P44" s="376">
        <v>115378989</v>
      </c>
      <c r="Q44" s="376">
        <v>142097807</v>
      </c>
      <c r="R44" s="376">
        <v>122816574</v>
      </c>
      <c r="S44" s="325">
        <v>1</v>
      </c>
      <c r="T44" s="246">
        <f t="shared" si="1"/>
        <v>50</v>
      </c>
      <c r="U44" s="77">
        <f t="shared" si="2"/>
        <v>1</v>
      </c>
      <c r="V44" s="377">
        <v>0</v>
      </c>
      <c r="W44" s="377">
        <v>0</v>
      </c>
      <c r="X44" s="377">
        <v>0</v>
      </c>
      <c r="Y44" s="377">
        <v>0</v>
      </c>
      <c r="Z44" s="377">
        <v>0</v>
      </c>
      <c r="AA44" s="377">
        <v>0</v>
      </c>
      <c r="AB44" s="377">
        <v>0</v>
      </c>
      <c r="AC44" s="247">
        <f t="shared" si="3"/>
        <v>0</v>
      </c>
      <c r="AD44" s="247">
        <f t="shared" si="4"/>
        <v>100</v>
      </c>
      <c r="AE44" s="82">
        <f t="shared" si="22"/>
        <v>5</v>
      </c>
      <c r="AF44" s="377">
        <v>0</v>
      </c>
      <c r="AG44" s="377">
        <v>0</v>
      </c>
      <c r="AH44" s="247">
        <f t="shared" si="5"/>
        <v>0</v>
      </c>
      <c r="AI44" s="247">
        <f t="shared" si="6"/>
        <v>100</v>
      </c>
      <c r="AJ44" s="82">
        <f t="shared" si="7"/>
        <v>3</v>
      </c>
      <c r="AK44" s="367" t="s">
        <v>2902</v>
      </c>
      <c r="AL44" s="367" t="s">
        <v>2902</v>
      </c>
      <c r="AM44" s="367" t="s">
        <v>2902</v>
      </c>
      <c r="AN44" s="367" t="s">
        <v>2902</v>
      </c>
      <c r="AO44" s="367" t="s">
        <v>2902</v>
      </c>
      <c r="AP44" s="296" t="s">
        <v>2326</v>
      </c>
      <c r="AQ44" s="296" t="s">
        <v>2326</v>
      </c>
      <c r="AR44" s="297"/>
      <c r="AS44" s="367" t="s">
        <v>2902</v>
      </c>
      <c r="AT44" s="367" t="s">
        <v>2902</v>
      </c>
      <c r="AU44" s="296" t="s">
        <v>2326</v>
      </c>
      <c r="AV44" s="297"/>
      <c r="AW44" s="325">
        <v>0</v>
      </c>
      <c r="AX44" s="247">
        <f t="shared" si="8"/>
        <v>50</v>
      </c>
      <c r="AY44" s="90">
        <f t="shared" si="9"/>
        <v>2</v>
      </c>
      <c r="AZ44" s="378">
        <v>0</v>
      </c>
      <c r="BA44" s="449" t="s">
        <v>3782</v>
      </c>
      <c r="BB44" s="247">
        <f t="shared" si="10"/>
        <v>100</v>
      </c>
      <c r="BC44" s="91">
        <f t="shared" si="11"/>
        <v>2</v>
      </c>
      <c r="BD44" s="325">
        <v>0</v>
      </c>
      <c r="BE44" s="325">
        <v>0</v>
      </c>
      <c r="BF44" s="325">
        <v>0</v>
      </c>
      <c r="BG44" s="252">
        <f t="shared" si="12"/>
        <v>0</v>
      </c>
      <c r="BH44" s="246">
        <f t="shared" si="13"/>
        <v>100</v>
      </c>
      <c r="BI44" s="90">
        <f t="shared" si="14"/>
        <v>1</v>
      </c>
      <c r="BJ44" s="325">
        <v>0</v>
      </c>
      <c r="BK44" s="247">
        <f t="shared" si="15"/>
        <v>100</v>
      </c>
      <c r="BL44" s="94">
        <f t="shared" si="16"/>
        <v>2</v>
      </c>
      <c r="BM44" s="325">
        <v>0</v>
      </c>
      <c r="BN44" s="325">
        <v>0</v>
      </c>
      <c r="BO44" s="325">
        <v>1</v>
      </c>
      <c r="BP44" s="211">
        <f t="shared" si="17"/>
        <v>1</v>
      </c>
      <c r="BQ44" s="253">
        <f t="shared" si="18"/>
        <v>50</v>
      </c>
      <c r="BR44" s="99">
        <f t="shared" si="19"/>
        <v>0.5</v>
      </c>
      <c r="BS44" s="101">
        <f t="shared" si="20"/>
        <v>16.5</v>
      </c>
    </row>
    <row r="45" spans="1:71" x14ac:dyDescent="0.6">
      <c r="A45" s="373" t="s">
        <v>1539</v>
      </c>
      <c r="B45" s="13" t="s">
        <v>2944</v>
      </c>
      <c r="C45" s="380" t="s">
        <v>1540</v>
      </c>
      <c r="D45" s="315" t="s">
        <v>203</v>
      </c>
      <c r="E45" s="352" t="s">
        <v>187</v>
      </c>
      <c r="F45" s="352" t="s">
        <v>1541</v>
      </c>
      <c r="G45" s="353">
        <v>39288</v>
      </c>
      <c r="H45" s="352" t="s">
        <v>830</v>
      </c>
      <c r="I45" s="352" t="s">
        <v>1542</v>
      </c>
      <c r="J45" s="352" t="s">
        <v>1543</v>
      </c>
      <c r="K45" s="352" t="s">
        <v>91</v>
      </c>
      <c r="L45" s="381">
        <v>19550742827</v>
      </c>
      <c r="M45" s="376">
        <v>3581307796</v>
      </c>
      <c r="N45" s="376">
        <v>15969435031</v>
      </c>
      <c r="O45" s="376">
        <v>1983533544</v>
      </c>
      <c r="P45" s="376">
        <v>611371885</v>
      </c>
      <c r="Q45" s="376">
        <v>602096059</v>
      </c>
      <c r="R45" s="376">
        <v>453183233</v>
      </c>
      <c r="S45" s="325">
        <v>1</v>
      </c>
      <c r="T45" s="246">
        <f t="shared" si="1"/>
        <v>50</v>
      </c>
      <c r="U45" s="77">
        <f t="shared" si="2"/>
        <v>1</v>
      </c>
      <c r="V45" s="377">
        <v>0</v>
      </c>
      <c r="W45" s="377">
        <v>0</v>
      </c>
      <c r="X45" s="377">
        <v>0</v>
      </c>
      <c r="Y45" s="377">
        <v>0</v>
      </c>
      <c r="Z45" s="377">
        <v>0</v>
      </c>
      <c r="AA45" s="377">
        <v>0</v>
      </c>
      <c r="AB45" s="377">
        <v>0</v>
      </c>
      <c r="AC45" s="247">
        <f t="shared" si="3"/>
        <v>0</v>
      </c>
      <c r="AD45" s="247">
        <f t="shared" si="4"/>
        <v>100</v>
      </c>
      <c r="AE45" s="82">
        <f t="shared" si="22"/>
        <v>5</v>
      </c>
      <c r="AF45" s="377">
        <v>0</v>
      </c>
      <c r="AG45" s="377">
        <v>0</v>
      </c>
      <c r="AH45" s="247">
        <f t="shared" si="5"/>
        <v>0</v>
      </c>
      <c r="AI45" s="247">
        <f t="shared" si="6"/>
        <v>100</v>
      </c>
      <c r="AJ45" s="82">
        <f t="shared" si="7"/>
        <v>3</v>
      </c>
      <c r="AK45" s="367" t="s">
        <v>2902</v>
      </c>
      <c r="AL45" s="367" t="s">
        <v>2902</v>
      </c>
      <c r="AM45" s="367" t="s">
        <v>2902</v>
      </c>
      <c r="AN45" s="367" t="s">
        <v>2902</v>
      </c>
      <c r="AO45" s="367" t="s">
        <v>2902</v>
      </c>
      <c r="AP45" s="296" t="s">
        <v>2326</v>
      </c>
      <c r="AQ45" s="296" t="s">
        <v>2326</v>
      </c>
      <c r="AR45" s="297"/>
      <c r="AS45" s="367" t="s">
        <v>2902</v>
      </c>
      <c r="AT45" s="367" t="s">
        <v>2902</v>
      </c>
      <c r="AU45" s="296" t="s">
        <v>2326</v>
      </c>
      <c r="AV45" s="297"/>
      <c r="AW45" s="325">
        <v>0</v>
      </c>
      <c r="AX45" s="247">
        <f t="shared" si="8"/>
        <v>50</v>
      </c>
      <c r="AY45" s="90">
        <f t="shared" si="9"/>
        <v>2</v>
      </c>
      <c r="AZ45" s="378">
        <v>0</v>
      </c>
      <c r="BA45" s="449" t="s">
        <v>3782</v>
      </c>
      <c r="BB45" s="247">
        <f t="shared" si="10"/>
        <v>100</v>
      </c>
      <c r="BC45" s="91">
        <f t="shared" si="11"/>
        <v>2</v>
      </c>
      <c r="BD45" s="325">
        <v>0</v>
      </c>
      <c r="BE45" s="325">
        <v>0</v>
      </c>
      <c r="BF45" s="325">
        <v>0</v>
      </c>
      <c r="BG45" s="252">
        <f t="shared" si="12"/>
        <v>0</v>
      </c>
      <c r="BH45" s="246">
        <f t="shared" si="13"/>
        <v>100</v>
      </c>
      <c r="BI45" s="90">
        <f t="shared" si="14"/>
        <v>1</v>
      </c>
      <c r="BJ45" s="325">
        <v>0</v>
      </c>
      <c r="BK45" s="247">
        <f t="shared" si="15"/>
        <v>100</v>
      </c>
      <c r="BL45" s="94">
        <f t="shared" si="16"/>
        <v>2</v>
      </c>
      <c r="BM45" s="325">
        <v>0</v>
      </c>
      <c r="BN45" s="325">
        <v>0</v>
      </c>
      <c r="BO45" s="325">
        <v>1</v>
      </c>
      <c r="BP45" s="211">
        <f t="shared" si="17"/>
        <v>1</v>
      </c>
      <c r="BQ45" s="253">
        <f t="shared" si="18"/>
        <v>50</v>
      </c>
      <c r="BR45" s="99">
        <f t="shared" si="19"/>
        <v>0.5</v>
      </c>
      <c r="BS45" s="101">
        <f t="shared" si="20"/>
        <v>16.5</v>
      </c>
    </row>
    <row r="46" spans="1:71" x14ac:dyDescent="0.6">
      <c r="A46" s="373" t="s">
        <v>1544</v>
      </c>
      <c r="B46" s="1" t="s">
        <v>2945</v>
      </c>
      <c r="C46" s="380" t="s">
        <v>543</v>
      </c>
      <c r="D46" s="354" t="s">
        <v>350</v>
      </c>
      <c r="E46" s="352" t="s">
        <v>179</v>
      </c>
      <c r="F46" s="352" t="s">
        <v>199</v>
      </c>
      <c r="G46" s="353">
        <v>31675</v>
      </c>
      <c r="H46" s="352" t="s">
        <v>830</v>
      </c>
      <c r="I46" s="352" t="s">
        <v>1545</v>
      </c>
      <c r="J46" s="352" t="s">
        <v>1035</v>
      </c>
      <c r="K46" s="352" t="s">
        <v>91</v>
      </c>
      <c r="L46" s="381">
        <v>5612706908</v>
      </c>
      <c r="M46" s="376">
        <v>5005166436</v>
      </c>
      <c r="N46" s="376">
        <v>607540471</v>
      </c>
      <c r="O46" s="376">
        <v>1137658845</v>
      </c>
      <c r="P46" s="376">
        <v>12048913</v>
      </c>
      <c r="Q46" s="376">
        <v>5565314</v>
      </c>
      <c r="R46" s="376">
        <v>4440548</v>
      </c>
      <c r="S46" s="325">
        <v>1</v>
      </c>
      <c r="T46" s="246">
        <f t="shared" si="1"/>
        <v>50</v>
      </c>
      <c r="U46" s="77">
        <f t="shared" si="2"/>
        <v>1</v>
      </c>
      <c r="V46" s="377">
        <v>0</v>
      </c>
      <c r="W46" s="377">
        <v>0</v>
      </c>
      <c r="X46" s="377">
        <v>0</v>
      </c>
      <c r="Y46" s="377">
        <v>0</v>
      </c>
      <c r="Z46" s="377">
        <v>0</v>
      </c>
      <c r="AA46" s="377">
        <v>0</v>
      </c>
      <c r="AB46" s="377">
        <v>0</v>
      </c>
      <c r="AC46" s="247">
        <f t="shared" si="3"/>
        <v>0</v>
      </c>
      <c r="AD46" s="247">
        <f t="shared" si="4"/>
        <v>100</v>
      </c>
      <c r="AE46" s="81">
        <f>AD46*0.02</f>
        <v>2</v>
      </c>
      <c r="AF46" s="360" t="s">
        <v>2902</v>
      </c>
      <c r="AG46" s="360" t="s">
        <v>2902</v>
      </c>
      <c r="AH46" s="248" t="s">
        <v>2326</v>
      </c>
      <c r="AI46" s="248" t="s">
        <v>2326</v>
      </c>
      <c r="AJ46" s="248"/>
      <c r="AK46" s="373">
        <v>0</v>
      </c>
      <c r="AL46" s="373">
        <v>0</v>
      </c>
      <c r="AM46" s="373">
        <v>0</v>
      </c>
      <c r="AN46" s="373">
        <v>0</v>
      </c>
      <c r="AO46" s="370" t="s">
        <v>3240</v>
      </c>
      <c r="AP46" s="249">
        <f>SUM(AK46:AN46)</f>
        <v>0</v>
      </c>
      <c r="AQ46" s="250">
        <f>IF(AP46=0, 100, IF(AP46=1, 75, IF(AP46=2, 50, 25)))</f>
        <v>100</v>
      </c>
      <c r="AR46" s="83">
        <f>AQ46*0.05</f>
        <v>5</v>
      </c>
      <c r="AS46" s="395">
        <v>0</v>
      </c>
      <c r="AT46" s="370" t="s">
        <v>3240</v>
      </c>
      <c r="AU46" s="251">
        <f>IF(AS46=0, 100, IF(AS46=1, 200/3, IF(AS46&gt;=2, 100/3)))</f>
        <v>100</v>
      </c>
      <c r="AV46" s="87">
        <f>AU46*0.01</f>
        <v>1</v>
      </c>
      <c r="AW46" s="325">
        <v>0</v>
      </c>
      <c r="AX46" s="247">
        <f t="shared" si="8"/>
        <v>50</v>
      </c>
      <c r="AY46" s="90">
        <f t="shared" si="9"/>
        <v>2</v>
      </c>
      <c r="AZ46" s="378">
        <v>0</v>
      </c>
      <c r="BA46" s="449" t="s">
        <v>3782</v>
      </c>
      <c r="BB46" s="247">
        <f t="shared" si="10"/>
        <v>100</v>
      </c>
      <c r="BC46" s="91">
        <f t="shared" si="11"/>
        <v>2</v>
      </c>
      <c r="BD46" s="325">
        <v>0</v>
      </c>
      <c r="BE46" s="325">
        <v>0</v>
      </c>
      <c r="BF46" s="325">
        <v>1</v>
      </c>
      <c r="BG46" s="252">
        <f t="shared" si="12"/>
        <v>1</v>
      </c>
      <c r="BH46" s="246">
        <f t="shared" si="13"/>
        <v>75</v>
      </c>
      <c r="BI46" s="90">
        <f t="shared" si="14"/>
        <v>0.75</v>
      </c>
      <c r="BJ46" s="325">
        <v>0</v>
      </c>
      <c r="BK46" s="247">
        <f t="shared" si="15"/>
        <v>100</v>
      </c>
      <c r="BL46" s="94">
        <f t="shared" si="16"/>
        <v>2</v>
      </c>
      <c r="BM46" s="325">
        <v>0</v>
      </c>
      <c r="BN46" s="325">
        <v>0</v>
      </c>
      <c r="BO46" s="325">
        <v>1</v>
      </c>
      <c r="BP46" s="211">
        <f t="shared" si="17"/>
        <v>1</v>
      </c>
      <c r="BQ46" s="253">
        <f t="shared" si="18"/>
        <v>50</v>
      </c>
      <c r="BR46" s="99">
        <f t="shared" si="19"/>
        <v>0.5</v>
      </c>
      <c r="BS46" s="101">
        <f t="shared" si="20"/>
        <v>16.25</v>
      </c>
    </row>
    <row r="47" spans="1:71" x14ac:dyDescent="0.6">
      <c r="A47" s="373" t="s">
        <v>1546</v>
      </c>
      <c r="B47" s="1" t="s">
        <v>2946</v>
      </c>
      <c r="C47" s="380" t="s">
        <v>1547</v>
      </c>
      <c r="D47" s="315" t="s">
        <v>203</v>
      </c>
      <c r="E47" s="352" t="s">
        <v>1548</v>
      </c>
      <c r="F47" s="352" t="s">
        <v>1549</v>
      </c>
      <c r="G47" s="353">
        <v>43105</v>
      </c>
      <c r="H47" s="352" t="s">
        <v>830</v>
      </c>
      <c r="I47" s="352" t="s">
        <v>1550</v>
      </c>
      <c r="J47" s="352" t="s">
        <v>1551</v>
      </c>
      <c r="K47" s="352" t="s">
        <v>690</v>
      </c>
      <c r="L47" s="381">
        <v>1810477193</v>
      </c>
      <c r="M47" s="376">
        <v>690879147</v>
      </c>
      <c r="N47" s="376">
        <v>1119598046</v>
      </c>
      <c r="O47" s="376">
        <v>1256030179</v>
      </c>
      <c r="P47" s="376">
        <v>107526937</v>
      </c>
      <c r="Q47" s="376">
        <v>88400704</v>
      </c>
      <c r="R47" s="376">
        <v>69270430</v>
      </c>
      <c r="S47" s="325">
        <v>1</v>
      </c>
      <c r="T47" s="246">
        <f t="shared" si="1"/>
        <v>50</v>
      </c>
      <c r="U47" s="77">
        <f t="shared" si="2"/>
        <v>1</v>
      </c>
      <c r="V47" s="377">
        <v>0</v>
      </c>
      <c r="W47" s="377">
        <v>0</v>
      </c>
      <c r="X47" s="377">
        <v>0</v>
      </c>
      <c r="Y47" s="377">
        <v>0</v>
      </c>
      <c r="Z47" s="377">
        <v>0</v>
      </c>
      <c r="AA47" s="377">
        <v>0</v>
      </c>
      <c r="AB47" s="377">
        <v>0</v>
      </c>
      <c r="AC47" s="247">
        <f t="shared" si="3"/>
        <v>0</v>
      </c>
      <c r="AD47" s="247">
        <f t="shared" si="4"/>
        <v>100</v>
      </c>
      <c r="AE47" s="82">
        <f t="shared" ref="AE47:AE62" si="23">AD47*0.05</f>
        <v>5</v>
      </c>
      <c r="AF47" s="377">
        <v>0</v>
      </c>
      <c r="AG47" s="377">
        <v>0</v>
      </c>
      <c r="AH47" s="247">
        <f t="shared" si="5"/>
        <v>0</v>
      </c>
      <c r="AI47" s="247">
        <f t="shared" si="6"/>
        <v>100</v>
      </c>
      <c r="AJ47" s="82">
        <f t="shared" si="7"/>
        <v>3</v>
      </c>
      <c r="AK47" s="367" t="s">
        <v>2902</v>
      </c>
      <c r="AL47" s="367" t="s">
        <v>2902</v>
      </c>
      <c r="AM47" s="367" t="s">
        <v>2902</v>
      </c>
      <c r="AN47" s="367" t="s">
        <v>2902</v>
      </c>
      <c r="AO47" s="367" t="s">
        <v>2902</v>
      </c>
      <c r="AP47" s="296" t="s">
        <v>2326</v>
      </c>
      <c r="AQ47" s="296" t="s">
        <v>2326</v>
      </c>
      <c r="AR47" s="297"/>
      <c r="AS47" s="367" t="s">
        <v>2902</v>
      </c>
      <c r="AT47" s="367" t="s">
        <v>2902</v>
      </c>
      <c r="AU47" s="296" t="s">
        <v>2326</v>
      </c>
      <c r="AV47" s="297"/>
      <c r="AW47" s="325">
        <v>0</v>
      </c>
      <c r="AX47" s="247">
        <f t="shared" si="8"/>
        <v>50</v>
      </c>
      <c r="AY47" s="90">
        <f t="shared" si="9"/>
        <v>2</v>
      </c>
      <c r="AZ47" s="378">
        <v>0</v>
      </c>
      <c r="BA47" s="449" t="s">
        <v>3782</v>
      </c>
      <c r="BB47" s="247">
        <f t="shared" si="10"/>
        <v>100</v>
      </c>
      <c r="BC47" s="91">
        <f t="shared" si="11"/>
        <v>2</v>
      </c>
      <c r="BD47" s="325">
        <v>0</v>
      </c>
      <c r="BE47" s="325">
        <v>0</v>
      </c>
      <c r="BF47" s="325">
        <v>1</v>
      </c>
      <c r="BG47" s="252">
        <f t="shared" si="12"/>
        <v>1</v>
      </c>
      <c r="BH47" s="246">
        <f t="shared" si="13"/>
        <v>75</v>
      </c>
      <c r="BI47" s="90">
        <f t="shared" si="14"/>
        <v>0.75</v>
      </c>
      <c r="BJ47" s="325">
        <v>0</v>
      </c>
      <c r="BK47" s="247">
        <f t="shared" si="15"/>
        <v>100</v>
      </c>
      <c r="BL47" s="94">
        <f t="shared" si="16"/>
        <v>2</v>
      </c>
      <c r="BM47" s="325">
        <v>0</v>
      </c>
      <c r="BN47" s="325">
        <v>0</v>
      </c>
      <c r="BO47" s="325">
        <v>1</v>
      </c>
      <c r="BP47" s="211">
        <f t="shared" si="17"/>
        <v>1</v>
      </c>
      <c r="BQ47" s="253">
        <f t="shared" si="18"/>
        <v>50</v>
      </c>
      <c r="BR47" s="99">
        <f t="shared" si="19"/>
        <v>0.5</v>
      </c>
      <c r="BS47" s="101">
        <f t="shared" si="20"/>
        <v>16.25</v>
      </c>
    </row>
    <row r="48" spans="1:71" x14ac:dyDescent="0.6">
      <c r="A48" s="373" t="s">
        <v>1552</v>
      </c>
      <c r="B48" s="1" t="s">
        <v>2947</v>
      </c>
      <c r="C48" s="380" t="s">
        <v>1553</v>
      </c>
      <c r="D48" s="315" t="s">
        <v>285</v>
      </c>
      <c r="E48" s="352" t="s">
        <v>56</v>
      </c>
      <c r="F48" s="352" t="s">
        <v>1554</v>
      </c>
      <c r="G48" s="353">
        <v>32819</v>
      </c>
      <c r="H48" s="352" t="s">
        <v>830</v>
      </c>
      <c r="I48" s="352" t="s">
        <v>1555</v>
      </c>
      <c r="J48" s="352" t="s">
        <v>1556</v>
      </c>
      <c r="K48" s="352" t="s">
        <v>91</v>
      </c>
      <c r="L48" s="381">
        <v>26432121000</v>
      </c>
      <c r="M48" s="376">
        <v>16048739000</v>
      </c>
      <c r="N48" s="376">
        <v>10383382000</v>
      </c>
      <c r="O48" s="376">
        <v>12414588000</v>
      </c>
      <c r="P48" s="376">
        <v>1321131000</v>
      </c>
      <c r="Q48" s="376">
        <v>1146250000</v>
      </c>
      <c r="R48" s="376">
        <v>869490000</v>
      </c>
      <c r="S48" s="325">
        <v>1</v>
      </c>
      <c r="T48" s="246">
        <f t="shared" si="1"/>
        <v>50</v>
      </c>
      <c r="U48" s="77">
        <f t="shared" si="2"/>
        <v>1</v>
      </c>
      <c r="V48" s="377">
        <v>0</v>
      </c>
      <c r="W48" s="377">
        <v>0</v>
      </c>
      <c r="X48" s="377">
        <v>0</v>
      </c>
      <c r="Y48" s="377">
        <v>0</v>
      </c>
      <c r="Z48" s="377">
        <v>0</v>
      </c>
      <c r="AA48" s="377">
        <v>0</v>
      </c>
      <c r="AB48" s="377">
        <v>0</v>
      </c>
      <c r="AC48" s="247">
        <f t="shared" si="3"/>
        <v>0</v>
      </c>
      <c r="AD48" s="247">
        <f t="shared" si="4"/>
        <v>100</v>
      </c>
      <c r="AE48" s="82">
        <f t="shared" si="23"/>
        <v>5</v>
      </c>
      <c r="AF48" s="377">
        <v>0</v>
      </c>
      <c r="AG48" s="377">
        <v>0</v>
      </c>
      <c r="AH48" s="247">
        <f t="shared" si="5"/>
        <v>0</v>
      </c>
      <c r="AI48" s="247">
        <f t="shared" si="6"/>
        <v>100</v>
      </c>
      <c r="AJ48" s="82">
        <f t="shared" si="7"/>
        <v>3</v>
      </c>
      <c r="AK48" s="367" t="s">
        <v>2902</v>
      </c>
      <c r="AL48" s="367" t="s">
        <v>2902</v>
      </c>
      <c r="AM48" s="367" t="s">
        <v>2902</v>
      </c>
      <c r="AN48" s="367" t="s">
        <v>2902</v>
      </c>
      <c r="AO48" s="367" t="s">
        <v>2902</v>
      </c>
      <c r="AP48" s="296" t="s">
        <v>2326</v>
      </c>
      <c r="AQ48" s="296" t="s">
        <v>2326</v>
      </c>
      <c r="AR48" s="297"/>
      <c r="AS48" s="367" t="s">
        <v>2902</v>
      </c>
      <c r="AT48" s="367" t="s">
        <v>2902</v>
      </c>
      <c r="AU48" s="296" t="s">
        <v>2326</v>
      </c>
      <c r="AV48" s="297"/>
      <c r="AW48" s="325">
        <v>0</v>
      </c>
      <c r="AX48" s="247">
        <f t="shared" si="8"/>
        <v>50</v>
      </c>
      <c r="AY48" s="90">
        <f t="shared" si="9"/>
        <v>2</v>
      </c>
      <c r="AZ48" s="378">
        <v>0</v>
      </c>
      <c r="BA48" s="449" t="s">
        <v>3782</v>
      </c>
      <c r="BB48" s="247">
        <f t="shared" si="10"/>
        <v>100</v>
      </c>
      <c r="BC48" s="91">
        <f t="shared" si="11"/>
        <v>2</v>
      </c>
      <c r="BD48" s="325">
        <v>0</v>
      </c>
      <c r="BE48" s="325">
        <v>0</v>
      </c>
      <c r="BF48" s="325">
        <v>0</v>
      </c>
      <c r="BG48" s="252">
        <f t="shared" si="12"/>
        <v>0</v>
      </c>
      <c r="BH48" s="246">
        <f t="shared" si="13"/>
        <v>100</v>
      </c>
      <c r="BI48" s="90">
        <f t="shared" si="14"/>
        <v>1</v>
      </c>
      <c r="BJ48" s="325">
        <v>0</v>
      </c>
      <c r="BK48" s="247">
        <f t="shared" si="15"/>
        <v>100</v>
      </c>
      <c r="BL48" s="94">
        <f t="shared" si="16"/>
        <v>2</v>
      </c>
      <c r="BM48" s="325">
        <v>1</v>
      </c>
      <c r="BN48" s="325">
        <v>0</v>
      </c>
      <c r="BO48" s="325">
        <v>1</v>
      </c>
      <c r="BP48" s="211">
        <f t="shared" si="17"/>
        <v>2</v>
      </c>
      <c r="BQ48" s="253">
        <f t="shared" si="18"/>
        <v>75</v>
      </c>
      <c r="BR48" s="99">
        <f t="shared" si="19"/>
        <v>0.75</v>
      </c>
      <c r="BS48" s="101">
        <f t="shared" si="20"/>
        <v>16.75</v>
      </c>
    </row>
    <row r="49" spans="1:71" x14ac:dyDescent="0.6">
      <c r="A49" s="373" t="s">
        <v>479</v>
      </c>
      <c r="B49" s="1" t="s">
        <v>2948</v>
      </c>
      <c r="C49" s="380" t="s">
        <v>907</v>
      </c>
      <c r="D49" s="351" t="s">
        <v>202</v>
      </c>
      <c r="E49" s="352" t="s">
        <v>950</v>
      </c>
      <c r="F49" s="352" t="s">
        <v>961</v>
      </c>
      <c r="G49" s="353">
        <v>35425</v>
      </c>
      <c r="H49" s="352" t="s">
        <v>830</v>
      </c>
      <c r="I49" s="352" t="s">
        <v>616</v>
      </c>
      <c r="J49" s="352" t="s">
        <v>1041</v>
      </c>
      <c r="K49" s="352" t="s">
        <v>690</v>
      </c>
      <c r="L49" s="381">
        <v>91800233000</v>
      </c>
      <c r="M49" s="376">
        <v>31637411000</v>
      </c>
      <c r="N49" s="376">
        <v>60162822000</v>
      </c>
      <c r="O49" s="376">
        <v>37878699000</v>
      </c>
      <c r="P49" s="376">
        <v>7660947000</v>
      </c>
      <c r="Q49" s="376">
        <v>4467040000</v>
      </c>
      <c r="R49" s="376">
        <v>2790457000</v>
      </c>
      <c r="S49" s="325">
        <v>1</v>
      </c>
      <c r="T49" s="246">
        <f t="shared" si="1"/>
        <v>50</v>
      </c>
      <c r="U49" s="77">
        <f t="shared" si="2"/>
        <v>1</v>
      </c>
      <c r="V49" s="377">
        <v>0</v>
      </c>
      <c r="W49" s="377">
        <v>0</v>
      </c>
      <c r="X49" s="377">
        <v>0</v>
      </c>
      <c r="Y49" s="377">
        <v>0</v>
      </c>
      <c r="Z49" s="377">
        <v>0</v>
      </c>
      <c r="AA49" s="377">
        <v>0</v>
      </c>
      <c r="AB49" s="377">
        <v>0</v>
      </c>
      <c r="AC49" s="247">
        <f t="shared" si="3"/>
        <v>0</v>
      </c>
      <c r="AD49" s="247">
        <f t="shared" si="4"/>
        <v>100</v>
      </c>
      <c r="AE49" s="82">
        <f t="shared" si="23"/>
        <v>5</v>
      </c>
      <c r="AF49" s="377">
        <v>0</v>
      </c>
      <c r="AG49" s="377">
        <v>0</v>
      </c>
      <c r="AH49" s="247">
        <f t="shared" si="5"/>
        <v>0</v>
      </c>
      <c r="AI49" s="247">
        <f t="shared" si="6"/>
        <v>100</v>
      </c>
      <c r="AJ49" s="82">
        <f t="shared" si="7"/>
        <v>3</v>
      </c>
      <c r="AK49" s="367" t="s">
        <v>2902</v>
      </c>
      <c r="AL49" s="367" t="s">
        <v>2902</v>
      </c>
      <c r="AM49" s="367" t="s">
        <v>2902</v>
      </c>
      <c r="AN49" s="367" t="s">
        <v>2902</v>
      </c>
      <c r="AO49" s="367" t="s">
        <v>2902</v>
      </c>
      <c r="AP49" s="296" t="s">
        <v>2326</v>
      </c>
      <c r="AQ49" s="296" t="s">
        <v>2326</v>
      </c>
      <c r="AR49" s="297"/>
      <c r="AS49" s="367" t="s">
        <v>2902</v>
      </c>
      <c r="AT49" s="367" t="s">
        <v>2902</v>
      </c>
      <c r="AU49" s="296" t="s">
        <v>2326</v>
      </c>
      <c r="AV49" s="297"/>
      <c r="AW49" s="325">
        <v>0</v>
      </c>
      <c r="AX49" s="247">
        <f t="shared" si="8"/>
        <v>50</v>
      </c>
      <c r="AY49" s="90">
        <f t="shared" si="9"/>
        <v>2</v>
      </c>
      <c r="AZ49" s="378">
        <v>0</v>
      </c>
      <c r="BA49" s="449" t="s">
        <v>3782</v>
      </c>
      <c r="BB49" s="247">
        <f t="shared" si="10"/>
        <v>100</v>
      </c>
      <c r="BC49" s="91">
        <f t="shared" si="11"/>
        <v>2</v>
      </c>
      <c r="BD49" s="325">
        <v>0</v>
      </c>
      <c r="BE49" s="325">
        <v>0</v>
      </c>
      <c r="BF49" s="325">
        <v>0</v>
      </c>
      <c r="BG49" s="252">
        <f t="shared" si="12"/>
        <v>0</v>
      </c>
      <c r="BH49" s="246">
        <f t="shared" si="13"/>
        <v>100</v>
      </c>
      <c r="BI49" s="90">
        <f t="shared" si="14"/>
        <v>1</v>
      </c>
      <c r="BJ49" s="325">
        <v>0</v>
      </c>
      <c r="BK49" s="247">
        <f t="shared" si="15"/>
        <v>100</v>
      </c>
      <c r="BL49" s="94">
        <f t="shared" si="16"/>
        <v>2</v>
      </c>
      <c r="BM49" s="325">
        <v>0</v>
      </c>
      <c r="BN49" s="325">
        <v>0</v>
      </c>
      <c r="BO49" s="325">
        <v>1</v>
      </c>
      <c r="BP49" s="211">
        <f t="shared" si="17"/>
        <v>1</v>
      </c>
      <c r="BQ49" s="253">
        <f t="shared" si="18"/>
        <v>50</v>
      </c>
      <c r="BR49" s="99">
        <f t="shared" si="19"/>
        <v>0.5</v>
      </c>
      <c r="BS49" s="101">
        <f t="shared" si="20"/>
        <v>16.5</v>
      </c>
    </row>
    <row r="50" spans="1:71" x14ac:dyDescent="0.6">
      <c r="A50" s="373" t="s">
        <v>1557</v>
      </c>
      <c r="B50" s="1" t="s">
        <v>2949</v>
      </c>
      <c r="C50" s="380" t="s">
        <v>1558</v>
      </c>
      <c r="D50" s="315" t="s">
        <v>202</v>
      </c>
      <c r="E50" s="352" t="s">
        <v>954</v>
      </c>
      <c r="F50" s="352" t="s">
        <v>1559</v>
      </c>
      <c r="G50" s="353">
        <v>27949</v>
      </c>
      <c r="H50" s="352" t="s">
        <v>830</v>
      </c>
      <c r="I50" s="352" t="s">
        <v>1560</v>
      </c>
      <c r="J50" s="352" t="s">
        <v>1561</v>
      </c>
      <c r="K50" s="352" t="s">
        <v>50</v>
      </c>
      <c r="L50" s="381">
        <v>913694578</v>
      </c>
      <c r="M50" s="376">
        <v>256815975</v>
      </c>
      <c r="N50" s="376">
        <v>656878603</v>
      </c>
      <c r="O50" s="376">
        <v>320369756</v>
      </c>
      <c r="P50" s="376">
        <v>25070424</v>
      </c>
      <c r="Q50" s="376">
        <v>28857902</v>
      </c>
      <c r="R50" s="376">
        <v>22824949</v>
      </c>
      <c r="S50" s="325">
        <v>0</v>
      </c>
      <c r="T50" s="246">
        <f t="shared" si="1"/>
        <v>100</v>
      </c>
      <c r="U50" s="77">
        <f t="shared" si="2"/>
        <v>2</v>
      </c>
      <c r="V50" s="377">
        <v>0</v>
      </c>
      <c r="W50" s="377">
        <v>0</v>
      </c>
      <c r="X50" s="377">
        <v>0</v>
      </c>
      <c r="Y50" s="377">
        <v>0</v>
      </c>
      <c r="Z50" s="377">
        <v>0</v>
      </c>
      <c r="AA50" s="377">
        <v>0</v>
      </c>
      <c r="AB50" s="377">
        <v>0</v>
      </c>
      <c r="AC50" s="247">
        <f t="shared" si="3"/>
        <v>0</v>
      </c>
      <c r="AD50" s="247">
        <f t="shared" si="4"/>
        <v>100</v>
      </c>
      <c r="AE50" s="82">
        <f t="shared" si="23"/>
        <v>5</v>
      </c>
      <c r="AF50" s="377">
        <v>0</v>
      </c>
      <c r="AG50" s="377">
        <v>0</v>
      </c>
      <c r="AH50" s="247">
        <f t="shared" si="5"/>
        <v>0</v>
      </c>
      <c r="AI50" s="247">
        <f t="shared" si="6"/>
        <v>100</v>
      </c>
      <c r="AJ50" s="82">
        <f t="shared" si="7"/>
        <v>3</v>
      </c>
      <c r="AK50" s="367" t="s">
        <v>2902</v>
      </c>
      <c r="AL50" s="367" t="s">
        <v>2902</v>
      </c>
      <c r="AM50" s="367" t="s">
        <v>2902</v>
      </c>
      <c r="AN50" s="367" t="s">
        <v>2902</v>
      </c>
      <c r="AO50" s="367" t="s">
        <v>2902</v>
      </c>
      <c r="AP50" s="296" t="s">
        <v>2326</v>
      </c>
      <c r="AQ50" s="296" t="s">
        <v>2326</v>
      </c>
      <c r="AR50" s="297"/>
      <c r="AS50" s="367" t="s">
        <v>2902</v>
      </c>
      <c r="AT50" s="367" t="s">
        <v>2902</v>
      </c>
      <c r="AU50" s="296" t="s">
        <v>2326</v>
      </c>
      <c r="AV50" s="297"/>
      <c r="AW50" s="325">
        <v>0</v>
      </c>
      <c r="AX50" s="247">
        <f t="shared" si="8"/>
        <v>50</v>
      </c>
      <c r="AY50" s="90">
        <f t="shared" si="9"/>
        <v>2</v>
      </c>
      <c r="AZ50" s="378">
        <v>0</v>
      </c>
      <c r="BA50" s="449" t="s">
        <v>3782</v>
      </c>
      <c r="BB50" s="247">
        <f t="shared" si="10"/>
        <v>100</v>
      </c>
      <c r="BC50" s="91">
        <f t="shared" si="11"/>
        <v>2</v>
      </c>
      <c r="BD50" s="325">
        <v>0</v>
      </c>
      <c r="BE50" s="325">
        <v>0</v>
      </c>
      <c r="BF50" s="325">
        <v>0</v>
      </c>
      <c r="BG50" s="252">
        <f t="shared" si="12"/>
        <v>0</v>
      </c>
      <c r="BH50" s="246">
        <f t="shared" si="13"/>
        <v>100</v>
      </c>
      <c r="BI50" s="90">
        <f t="shared" si="14"/>
        <v>1</v>
      </c>
      <c r="BJ50" s="325">
        <v>0</v>
      </c>
      <c r="BK50" s="247">
        <f t="shared" si="15"/>
        <v>100</v>
      </c>
      <c r="BL50" s="94">
        <f t="shared" si="16"/>
        <v>2</v>
      </c>
      <c r="BM50" s="325">
        <v>0</v>
      </c>
      <c r="BN50" s="325">
        <v>0</v>
      </c>
      <c r="BO50" s="325">
        <v>0</v>
      </c>
      <c r="BP50" s="211">
        <f t="shared" si="17"/>
        <v>0</v>
      </c>
      <c r="BQ50" s="253">
        <f t="shared" si="18"/>
        <v>25</v>
      </c>
      <c r="BR50" s="99">
        <f t="shared" si="19"/>
        <v>0.25</v>
      </c>
      <c r="BS50" s="101">
        <f t="shared" si="20"/>
        <v>17.25</v>
      </c>
    </row>
    <row r="51" spans="1:71" x14ac:dyDescent="0.6">
      <c r="A51" s="373" t="s">
        <v>338</v>
      </c>
      <c r="B51" s="1" t="s">
        <v>2950</v>
      </c>
      <c r="C51" s="380" t="s">
        <v>80</v>
      </c>
      <c r="D51" s="351" t="s">
        <v>202</v>
      </c>
      <c r="E51" s="352" t="s">
        <v>954</v>
      </c>
      <c r="F51" s="352" t="s">
        <v>146</v>
      </c>
      <c r="G51" s="353">
        <v>37326</v>
      </c>
      <c r="H51" s="352" t="s">
        <v>830</v>
      </c>
      <c r="I51" s="352" t="s">
        <v>1562</v>
      </c>
      <c r="J51" s="352" t="s">
        <v>1239</v>
      </c>
      <c r="K51" s="352" t="s">
        <v>484</v>
      </c>
      <c r="L51" s="381">
        <v>1219422735</v>
      </c>
      <c r="M51" s="376">
        <v>343607691</v>
      </c>
      <c r="N51" s="376">
        <v>875815044</v>
      </c>
      <c r="O51" s="376">
        <v>1004821817</v>
      </c>
      <c r="P51" s="376">
        <v>113170594</v>
      </c>
      <c r="Q51" s="376">
        <v>122466158</v>
      </c>
      <c r="R51" s="376">
        <v>91032057</v>
      </c>
      <c r="S51" s="325">
        <v>0</v>
      </c>
      <c r="T51" s="246">
        <f t="shared" si="1"/>
        <v>100</v>
      </c>
      <c r="U51" s="77">
        <f t="shared" si="2"/>
        <v>2</v>
      </c>
      <c r="V51" s="377">
        <v>0</v>
      </c>
      <c r="W51" s="377">
        <v>0</v>
      </c>
      <c r="X51" s="377">
        <v>0</v>
      </c>
      <c r="Y51" s="377">
        <v>0</v>
      </c>
      <c r="Z51" s="377">
        <v>0</v>
      </c>
      <c r="AA51" s="377">
        <v>0</v>
      </c>
      <c r="AB51" s="377">
        <v>0</v>
      </c>
      <c r="AC51" s="247">
        <f t="shared" si="3"/>
        <v>0</v>
      </c>
      <c r="AD51" s="247">
        <f t="shared" si="4"/>
        <v>100</v>
      </c>
      <c r="AE51" s="82">
        <f t="shared" si="23"/>
        <v>5</v>
      </c>
      <c r="AF51" s="377">
        <v>0</v>
      </c>
      <c r="AG51" s="377">
        <v>0</v>
      </c>
      <c r="AH51" s="247">
        <f t="shared" si="5"/>
        <v>0</v>
      </c>
      <c r="AI51" s="247">
        <f t="shared" si="6"/>
        <v>100</v>
      </c>
      <c r="AJ51" s="82">
        <f t="shared" si="7"/>
        <v>3</v>
      </c>
      <c r="AK51" s="367" t="s">
        <v>2902</v>
      </c>
      <c r="AL51" s="367" t="s">
        <v>2902</v>
      </c>
      <c r="AM51" s="367" t="s">
        <v>2902</v>
      </c>
      <c r="AN51" s="367" t="s">
        <v>2902</v>
      </c>
      <c r="AO51" s="367" t="s">
        <v>2902</v>
      </c>
      <c r="AP51" s="296" t="s">
        <v>2326</v>
      </c>
      <c r="AQ51" s="296" t="s">
        <v>2326</v>
      </c>
      <c r="AR51" s="297"/>
      <c r="AS51" s="367" t="s">
        <v>2902</v>
      </c>
      <c r="AT51" s="367" t="s">
        <v>2902</v>
      </c>
      <c r="AU51" s="296" t="s">
        <v>2326</v>
      </c>
      <c r="AV51" s="297"/>
      <c r="AW51" s="325">
        <v>0</v>
      </c>
      <c r="AX51" s="247">
        <f t="shared" si="8"/>
        <v>50</v>
      </c>
      <c r="AY51" s="90">
        <f t="shared" si="9"/>
        <v>2</v>
      </c>
      <c r="AZ51" s="378">
        <v>0</v>
      </c>
      <c r="BA51" s="449" t="s">
        <v>3782</v>
      </c>
      <c r="BB51" s="247">
        <f t="shared" si="10"/>
        <v>100</v>
      </c>
      <c r="BC51" s="91">
        <f t="shared" si="11"/>
        <v>2</v>
      </c>
      <c r="BD51" s="325">
        <v>0</v>
      </c>
      <c r="BE51" s="325">
        <v>0</v>
      </c>
      <c r="BF51" s="325">
        <v>0</v>
      </c>
      <c r="BG51" s="252">
        <f t="shared" si="12"/>
        <v>0</v>
      </c>
      <c r="BH51" s="246">
        <f t="shared" si="13"/>
        <v>100</v>
      </c>
      <c r="BI51" s="90">
        <f t="shared" si="14"/>
        <v>1</v>
      </c>
      <c r="BJ51" s="325">
        <v>0</v>
      </c>
      <c r="BK51" s="247">
        <f t="shared" si="15"/>
        <v>100</v>
      </c>
      <c r="BL51" s="94">
        <f t="shared" si="16"/>
        <v>2</v>
      </c>
      <c r="BM51" s="325">
        <v>0</v>
      </c>
      <c r="BN51" s="325">
        <v>0</v>
      </c>
      <c r="BO51" s="325">
        <v>0</v>
      </c>
      <c r="BP51" s="211">
        <f t="shared" si="17"/>
        <v>0</v>
      </c>
      <c r="BQ51" s="253">
        <f t="shared" si="18"/>
        <v>25</v>
      </c>
      <c r="BR51" s="99">
        <f t="shared" si="19"/>
        <v>0.25</v>
      </c>
      <c r="BS51" s="101">
        <f t="shared" si="20"/>
        <v>17.25</v>
      </c>
    </row>
    <row r="52" spans="1:71" x14ac:dyDescent="0.6">
      <c r="A52" s="373" t="s">
        <v>519</v>
      </c>
      <c r="B52" s="1" t="s">
        <v>2951</v>
      </c>
      <c r="C52" s="380" t="s">
        <v>33</v>
      </c>
      <c r="D52" s="351" t="s">
        <v>202</v>
      </c>
      <c r="E52" s="352" t="s">
        <v>613</v>
      </c>
      <c r="F52" s="352" t="s">
        <v>956</v>
      </c>
      <c r="G52" s="353">
        <v>31936</v>
      </c>
      <c r="H52" s="352" t="s">
        <v>830</v>
      </c>
      <c r="I52" s="352" t="s">
        <v>1563</v>
      </c>
      <c r="J52" s="352" t="s">
        <v>1165</v>
      </c>
      <c r="K52" s="352" t="s">
        <v>690</v>
      </c>
      <c r="L52" s="381">
        <v>692740658</v>
      </c>
      <c r="M52" s="376">
        <v>395155324</v>
      </c>
      <c r="N52" s="376">
        <v>297585335</v>
      </c>
      <c r="O52" s="376">
        <v>1186678750</v>
      </c>
      <c r="P52" s="376">
        <v>24052569</v>
      </c>
      <c r="Q52" s="376">
        <v>10186256</v>
      </c>
      <c r="R52" s="376">
        <v>7026979</v>
      </c>
      <c r="S52" s="325">
        <v>1</v>
      </c>
      <c r="T52" s="246">
        <f t="shared" si="1"/>
        <v>50</v>
      </c>
      <c r="U52" s="77">
        <f t="shared" si="2"/>
        <v>1</v>
      </c>
      <c r="V52" s="377">
        <v>0</v>
      </c>
      <c r="W52" s="377">
        <v>0</v>
      </c>
      <c r="X52" s="377">
        <v>0</v>
      </c>
      <c r="Y52" s="377">
        <v>0</v>
      </c>
      <c r="Z52" s="377">
        <v>0</v>
      </c>
      <c r="AA52" s="377">
        <v>0</v>
      </c>
      <c r="AB52" s="377">
        <v>0</v>
      </c>
      <c r="AC52" s="247">
        <f t="shared" si="3"/>
        <v>0</v>
      </c>
      <c r="AD52" s="247">
        <f t="shared" si="4"/>
        <v>100</v>
      </c>
      <c r="AE52" s="82">
        <f t="shared" si="23"/>
        <v>5</v>
      </c>
      <c r="AF52" s="377">
        <v>0</v>
      </c>
      <c r="AG52" s="377">
        <v>0</v>
      </c>
      <c r="AH52" s="247">
        <f t="shared" si="5"/>
        <v>0</v>
      </c>
      <c r="AI52" s="247">
        <f t="shared" si="6"/>
        <v>100</v>
      </c>
      <c r="AJ52" s="82">
        <f t="shared" si="7"/>
        <v>3</v>
      </c>
      <c r="AK52" s="367" t="s">
        <v>2902</v>
      </c>
      <c r="AL52" s="367" t="s">
        <v>2902</v>
      </c>
      <c r="AM52" s="367" t="s">
        <v>2902</v>
      </c>
      <c r="AN52" s="367" t="s">
        <v>2902</v>
      </c>
      <c r="AO52" s="367" t="s">
        <v>2902</v>
      </c>
      <c r="AP52" s="296" t="s">
        <v>2326</v>
      </c>
      <c r="AQ52" s="296" t="s">
        <v>2326</v>
      </c>
      <c r="AR52" s="297"/>
      <c r="AS52" s="367" t="s">
        <v>2902</v>
      </c>
      <c r="AT52" s="367" t="s">
        <v>2902</v>
      </c>
      <c r="AU52" s="296" t="s">
        <v>2326</v>
      </c>
      <c r="AV52" s="297"/>
      <c r="AW52" s="325">
        <v>0</v>
      </c>
      <c r="AX52" s="247">
        <f t="shared" si="8"/>
        <v>50</v>
      </c>
      <c r="AY52" s="90">
        <f t="shared" si="9"/>
        <v>2</v>
      </c>
      <c r="AZ52" s="378">
        <v>0</v>
      </c>
      <c r="BA52" s="449" t="s">
        <v>3782</v>
      </c>
      <c r="BB52" s="247">
        <f t="shared" si="10"/>
        <v>100</v>
      </c>
      <c r="BC52" s="91">
        <f t="shared" si="11"/>
        <v>2</v>
      </c>
      <c r="BD52" s="325">
        <v>0</v>
      </c>
      <c r="BE52" s="325">
        <v>0</v>
      </c>
      <c r="BF52" s="325">
        <v>0</v>
      </c>
      <c r="BG52" s="252">
        <f t="shared" si="12"/>
        <v>0</v>
      </c>
      <c r="BH52" s="246">
        <f t="shared" si="13"/>
        <v>100</v>
      </c>
      <c r="BI52" s="90">
        <f t="shared" si="14"/>
        <v>1</v>
      </c>
      <c r="BJ52" s="325">
        <v>0</v>
      </c>
      <c r="BK52" s="247">
        <f t="shared" si="15"/>
        <v>100</v>
      </c>
      <c r="BL52" s="94">
        <f t="shared" si="16"/>
        <v>2</v>
      </c>
      <c r="BM52" s="325">
        <v>0</v>
      </c>
      <c r="BN52" s="325">
        <v>0</v>
      </c>
      <c r="BO52" s="325">
        <v>1</v>
      </c>
      <c r="BP52" s="211">
        <f t="shared" si="17"/>
        <v>1</v>
      </c>
      <c r="BQ52" s="253">
        <f t="shared" si="18"/>
        <v>50</v>
      </c>
      <c r="BR52" s="99">
        <f t="shared" si="19"/>
        <v>0.5</v>
      </c>
      <c r="BS52" s="101">
        <f t="shared" si="20"/>
        <v>16.5</v>
      </c>
    </row>
    <row r="53" spans="1:71" x14ac:dyDescent="0.6">
      <c r="A53" s="373" t="s">
        <v>1564</v>
      </c>
      <c r="B53" s="13" t="s">
        <v>2952</v>
      </c>
      <c r="C53" s="380" t="s">
        <v>1565</v>
      </c>
      <c r="D53" s="315" t="s">
        <v>285</v>
      </c>
      <c r="E53" s="352" t="s">
        <v>1566</v>
      </c>
      <c r="F53" s="352" t="s">
        <v>1567</v>
      </c>
      <c r="G53" s="353">
        <v>32826</v>
      </c>
      <c r="H53" s="352" t="s">
        <v>830</v>
      </c>
      <c r="I53" s="352" t="s">
        <v>1568</v>
      </c>
      <c r="J53" s="352" t="s">
        <v>1569</v>
      </c>
      <c r="K53" s="352" t="s">
        <v>91</v>
      </c>
      <c r="L53" s="381">
        <v>57863012</v>
      </c>
      <c r="M53" s="376">
        <v>24529480</v>
      </c>
      <c r="N53" s="376">
        <v>33333532</v>
      </c>
      <c r="O53" s="376">
        <v>30093883</v>
      </c>
      <c r="P53" s="376">
        <v>4174665</v>
      </c>
      <c r="Q53" s="376">
        <v>4390397</v>
      </c>
      <c r="R53" s="376">
        <v>4613111</v>
      </c>
      <c r="S53" s="325">
        <v>1</v>
      </c>
      <c r="T53" s="246">
        <f t="shared" si="1"/>
        <v>50</v>
      </c>
      <c r="U53" s="77">
        <f t="shared" si="2"/>
        <v>1</v>
      </c>
      <c r="V53" s="377">
        <v>0</v>
      </c>
      <c r="W53" s="377">
        <v>0</v>
      </c>
      <c r="X53" s="377">
        <v>0</v>
      </c>
      <c r="Y53" s="377">
        <v>0</v>
      </c>
      <c r="Z53" s="377">
        <v>0</v>
      </c>
      <c r="AA53" s="377">
        <v>0</v>
      </c>
      <c r="AB53" s="377">
        <v>0</v>
      </c>
      <c r="AC53" s="247">
        <f t="shared" si="3"/>
        <v>0</v>
      </c>
      <c r="AD53" s="247">
        <f t="shared" si="4"/>
        <v>100</v>
      </c>
      <c r="AE53" s="82">
        <f t="shared" si="23"/>
        <v>5</v>
      </c>
      <c r="AF53" s="377">
        <v>0</v>
      </c>
      <c r="AG53" s="377">
        <v>0</v>
      </c>
      <c r="AH53" s="247">
        <f t="shared" si="5"/>
        <v>0</v>
      </c>
      <c r="AI53" s="247">
        <f t="shared" si="6"/>
        <v>100</v>
      </c>
      <c r="AJ53" s="82">
        <f t="shared" si="7"/>
        <v>3</v>
      </c>
      <c r="AK53" s="367" t="s">
        <v>2902</v>
      </c>
      <c r="AL53" s="367" t="s">
        <v>2902</v>
      </c>
      <c r="AM53" s="367" t="s">
        <v>2902</v>
      </c>
      <c r="AN53" s="367" t="s">
        <v>2902</v>
      </c>
      <c r="AO53" s="367" t="s">
        <v>2902</v>
      </c>
      <c r="AP53" s="296" t="s">
        <v>2326</v>
      </c>
      <c r="AQ53" s="296" t="s">
        <v>2326</v>
      </c>
      <c r="AR53" s="297"/>
      <c r="AS53" s="367" t="s">
        <v>2902</v>
      </c>
      <c r="AT53" s="367" t="s">
        <v>2902</v>
      </c>
      <c r="AU53" s="296" t="s">
        <v>2326</v>
      </c>
      <c r="AV53" s="297"/>
      <c r="AW53" s="325">
        <v>1</v>
      </c>
      <c r="AX53" s="247">
        <f t="shared" si="8"/>
        <v>100</v>
      </c>
      <c r="AY53" s="90">
        <f t="shared" si="9"/>
        <v>4</v>
      </c>
      <c r="AZ53" s="378">
        <v>0</v>
      </c>
      <c r="BA53" s="449" t="s">
        <v>3782</v>
      </c>
      <c r="BB53" s="247">
        <f t="shared" si="10"/>
        <v>100</v>
      </c>
      <c r="BC53" s="91">
        <f t="shared" si="11"/>
        <v>2</v>
      </c>
      <c r="BD53" s="325">
        <v>0</v>
      </c>
      <c r="BE53" s="325">
        <v>0</v>
      </c>
      <c r="BF53" s="325">
        <v>0</v>
      </c>
      <c r="BG53" s="252">
        <f t="shared" si="12"/>
        <v>0</v>
      </c>
      <c r="BH53" s="246">
        <f t="shared" si="13"/>
        <v>100</v>
      </c>
      <c r="BI53" s="90">
        <f t="shared" si="14"/>
        <v>1</v>
      </c>
      <c r="BJ53" s="325">
        <v>0</v>
      </c>
      <c r="BK53" s="247">
        <f t="shared" si="15"/>
        <v>100</v>
      </c>
      <c r="BL53" s="94">
        <f t="shared" si="16"/>
        <v>2</v>
      </c>
      <c r="BM53" s="325">
        <v>0</v>
      </c>
      <c r="BN53" s="325">
        <v>0</v>
      </c>
      <c r="BO53" s="325">
        <v>0</v>
      </c>
      <c r="BP53" s="211">
        <f t="shared" si="17"/>
        <v>0</v>
      </c>
      <c r="BQ53" s="253">
        <f t="shared" si="18"/>
        <v>25</v>
      </c>
      <c r="BR53" s="99">
        <f t="shared" si="19"/>
        <v>0.25</v>
      </c>
      <c r="BS53" s="101">
        <f t="shared" si="20"/>
        <v>18.25</v>
      </c>
    </row>
    <row r="54" spans="1:71" x14ac:dyDescent="0.6">
      <c r="A54" s="373" t="s">
        <v>1570</v>
      </c>
      <c r="B54" s="1" t="s">
        <v>2953</v>
      </c>
      <c r="C54" s="380" t="s">
        <v>1571</v>
      </c>
      <c r="D54" s="315" t="s">
        <v>203</v>
      </c>
      <c r="E54" s="352" t="s">
        <v>1067</v>
      </c>
      <c r="F54" s="352" t="s">
        <v>1572</v>
      </c>
      <c r="G54" s="353">
        <v>28306</v>
      </c>
      <c r="H54" s="352" t="s">
        <v>830</v>
      </c>
      <c r="I54" s="352" t="s">
        <v>1573</v>
      </c>
      <c r="J54" s="352" t="s">
        <v>1574</v>
      </c>
      <c r="K54" s="352" t="s">
        <v>91</v>
      </c>
      <c r="L54" s="381">
        <v>342108581</v>
      </c>
      <c r="M54" s="376">
        <v>116198537</v>
      </c>
      <c r="N54" s="376">
        <v>225910045</v>
      </c>
      <c r="O54" s="376">
        <v>202589425</v>
      </c>
      <c r="P54" s="376">
        <v>26820420</v>
      </c>
      <c r="Q54" s="376">
        <v>25169767</v>
      </c>
      <c r="R54" s="376">
        <v>18699263</v>
      </c>
      <c r="S54" s="325">
        <v>0</v>
      </c>
      <c r="T54" s="246">
        <f t="shared" si="1"/>
        <v>100</v>
      </c>
      <c r="U54" s="77">
        <f t="shared" si="2"/>
        <v>2</v>
      </c>
      <c r="V54" s="377">
        <v>0</v>
      </c>
      <c r="W54" s="377">
        <v>0</v>
      </c>
      <c r="X54" s="377">
        <v>0</v>
      </c>
      <c r="Y54" s="377">
        <v>0</v>
      </c>
      <c r="Z54" s="377">
        <v>0</v>
      </c>
      <c r="AA54" s="377">
        <v>0</v>
      </c>
      <c r="AB54" s="377">
        <v>0</v>
      </c>
      <c r="AC54" s="247">
        <f t="shared" si="3"/>
        <v>0</v>
      </c>
      <c r="AD54" s="247">
        <f t="shared" si="4"/>
        <v>100</v>
      </c>
      <c r="AE54" s="82">
        <f t="shared" si="23"/>
        <v>5</v>
      </c>
      <c r="AF54" s="377">
        <v>0</v>
      </c>
      <c r="AG54" s="377">
        <v>0</v>
      </c>
      <c r="AH54" s="247">
        <f t="shared" si="5"/>
        <v>0</v>
      </c>
      <c r="AI54" s="247">
        <f t="shared" si="6"/>
        <v>100</v>
      </c>
      <c r="AJ54" s="82">
        <f t="shared" si="7"/>
        <v>3</v>
      </c>
      <c r="AK54" s="367" t="s">
        <v>2902</v>
      </c>
      <c r="AL54" s="367" t="s">
        <v>2902</v>
      </c>
      <c r="AM54" s="367" t="s">
        <v>2902</v>
      </c>
      <c r="AN54" s="367" t="s">
        <v>2902</v>
      </c>
      <c r="AO54" s="367" t="s">
        <v>2902</v>
      </c>
      <c r="AP54" s="296" t="s">
        <v>2326</v>
      </c>
      <c r="AQ54" s="296" t="s">
        <v>2326</v>
      </c>
      <c r="AR54" s="297"/>
      <c r="AS54" s="367" t="s">
        <v>2902</v>
      </c>
      <c r="AT54" s="367" t="s">
        <v>2902</v>
      </c>
      <c r="AU54" s="296" t="s">
        <v>2326</v>
      </c>
      <c r="AV54" s="297"/>
      <c r="AW54" s="325">
        <v>1</v>
      </c>
      <c r="AX54" s="247">
        <f t="shared" si="8"/>
        <v>100</v>
      </c>
      <c r="AY54" s="90">
        <f t="shared" si="9"/>
        <v>4</v>
      </c>
      <c r="AZ54" s="378">
        <v>0</v>
      </c>
      <c r="BA54" s="449" t="s">
        <v>3782</v>
      </c>
      <c r="BB54" s="247">
        <f t="shared" si="10"/>
        <v>100</v>
      </c>
      <c r="BC54" s="91">
        <f t="shared" si="11"/>
        <v>2</v>
      </c>
      <c r="BD54" s="325">
        <v>0</v>
      </c>
      <c r="BE54" s="325">
        <v>0</v>
      </c>
      <c r="BF54" s="325">
        <v>0</v>
      </c>
      <c r="BG54" s="252">
        <f t="shared" si="12"/>
        <v>0</v>
      </c>
      <c r="BH54" s="246">
        <f t="shared" si="13"/>
        <v>100</v>
      </c>
      <c r="BI54" s="90">
        <f t="shared" si="14"/>
        <v>1</v>
      </c>
      <c r="BJ54" s="325">
        <v>0</v>
      </c>
      <c r="BK54" s="247">
        <f t="shared" si="15"/>
        <v>100</v>
      </c>
      <c r="BL54" s="94">
        <f t="shared" si="16"/>
        <v>2</v>
      </c>
      <c r="BM54" s="325">
        <v>0</v>
      </c>
      <c r="BN54" s="325">
        <v>0</v>
      </c>
      <c r="BO54" s="325">
        <v>1</v>
      </c>
      <c r="BP54" s="211">
        <f t="shared" si="17"/>
        <v>1</v>
      </c>
      <c r="BQ54" s="253">
        <f t="shared" si="18"/>
        <v>50</v>
      </c>
      <c r="BR54" s="99">
        <f t="shared" si="19"/>
        <v>0.5</v>
      </c>
      <c r="BS54" s="101">
        <f t="shared" si="20"/>
        <v>19.5</v>
      </c>
    </row>
    <row r="55" spans="1:71" x14ac:dyDescent="0.6">
      <c r="A55" s="373" t="s">
        <v>464</v>
      </c>
      <c r="B55" s="1" t="s">
        <v>2954</v>
      </c>
      <c r="C55" s="380" t="s">
        <v>314</v>
      </c>
      <c r="D55" s="351" t="s">
        <v>285</v>
      </c>
      <c r="E55" s="352" t="s">
        <v>978</v>
      </c>
      <c r="F55" s="352" t="s">
        <v>332</v>
      </c>
      <c r="G55" s="353">
        <v>42867</v>
      </c>
      <c r="H55" s="352" t="s">
        <v>830</v>
      </c>
      <c r="I55" s="352" t="s">
        <v>206</v>
      </c>
      <c r="J55" s="352" t="s">
        <v>1023</v>
      </c>
      <c r="K55" s="352" t="s">
        <v>407</v>
      </c>
      <c r="L55" s="381">
        <v>1064615087</v>
      </c>
      <c r="M55" s="376">
        <v>672093137</v>
      </c>
      <c r="N55" s="376">
        <v>392521950</v>
      </c>
      <c r="O55" s="376">
        <v>2304288140</v>
      </c>
      <c r="P55" s="376">
        <v>25053659</v>
      </c>
      <c r="Q55" s="376">
        <v>30627192</v>
      </c>
      <c r="R55" s="376">
        <v>23488574</v>
      </c>
      <c r="S55" s="325">
        <v>0</v>
      </c>
      <c r="T55" s="246">
        <f t="shared" si="1"/>
        <v>100</v>
      </c>
      <c r="U55" s="77">
        <f t="shared" si="2"/>
        <v>2</v>
      </c>
      <c r="V55" s="377">
        <v>0</v>
      </c>
      <c r="W55" s="377">
        <v>0</v>
      </c>
      <c r="X55" s="377">
        <v>0</v>
      </c>
      <c r="Y55" s="377">
        <v>0</v>
      </c>
      <c r="Z55" s="377">
        <v>0</v>
      </c>
      <c r="AA55" s="377">
        <v>0</v>
      </c>
      <c r="AB55" s="377">
        <v>0</v>
      </c>
      <c r="AC55" s="247">
        <f t="shared" si="3"/>
        <v>0</v>
      </c>
      <c r="AD55" s="247">
        <f t="shared" si="4"/>
        <v>100</v>
      </c>
      <c r="AE55" s="82">
        <f t="shared" si="23"/>
        <v>5</v>
      </c>
      <c r="AF55" s="377">
        <v>0</v>
      </c>
      <c r="AG55" s="377">
        <v>0</v>
      </c>
      <c r="AH55" s="247">
        <f t="shared" si="5"/>
        <v>0</v>
      </c>
      <c r="AI55" s="247">
        <f t="shared" si="6"/>
        <v>100</v>
      </c>
      <c r="AJ55" s="82">
        <f t="shared" si="7"/>
        <v>3</v>
      </c>
      <c r="AK55" s="367" t="s">
        <v>2902</v>
      </c>
      <c r="AL55" s="367" t="s">
        <v>2902</v>
      </c>
      <c r="AM55" s="367" t="s">
        <v>2902</v>
      </c>
      <c r="AN55" s="367" t="s">
        <v>2902</v>
      </c>
      <c r="AO55" s="367" t="s">
        <v>2902</v>
      </c>
      <c r="AP55" s="296" t="s">
        <v>2326</v>
      </c>
      <c r="AQ55" s="296" t="s">
        <v>2326</v>
      </c>
      <c r="AR55" s="297"/>
      <c r="AS55" s="367" t="s">
        <v>2902</v>
      </c>
      <c r="AT55" s="367" t="s">
        <v>2902</v>
      </c>
      <c r="AU55" s="296" t="s">
        <v>2326</v>
      </c>
      <c r="AV55" s="297"/>
      <c r="AW55" s="325">
        <v>1</v>
      </c>
      <c r="AX55" s="247">
        <f t="shared" si="8"/>
        <v>100</v>
      </c>
      <c r="AY55" s="90">
        <f t="shared" si="9"/>
        <v>4</v>
      </c>
      <c r="AZ55" s="378">
        <v>0</v>
      </c>
      <c r="BA55" s="449" t="s">
        <v>3782</v>
      </c>
      <c r="BB55" s="247">
        <f t="shared" si="10"/>
        <v>100</v>
      </c>
      <c r="BC55" s="91">
        <f t="shared" si="11"/>
        <v>2</v>
      </c>
      <c r="BD55" s="325">
        <v>0</v>
      </c>
      <c r="BE55" s="325">
        <v>0</v>
      </c>
      <c r="BF55" s="325">
        <v>0</v>
      </c>
      <c r="BG55" s="252">
        <f t="shared" si="12"/>
        <v>0</v>
      </c>
      <c r="BH55" s="246">
        <f t="shared" si="13"/>
        <v>100</v>
      </c>
      <c r="BI55" s="90">
        <f t="shared" si="14"/>
        <v>1</v>
      </c>
      <c r="BJ55" s="325">
        <v>0</v>
      </c>
      <c r="BK55" s="247">
        <f t="shared" si="15"/>
        <v>100</v>
      </c>
      <c r="BL55" s="94">
        <f t="shared" si="16"/>
        <v>2</v>
      </c>
      <c r="BM55" s="325">
        <v>0</v>
      </c>
      <c r="BN55" s="325">
        <v>0</v>
      </c>
      <c r="BO55" s="325">
        <v>1</v>
      </c>
      <c r="BP55" s="211">
        <f t="shared" si="17"/>
        <v>1</v>
      </c>
      <c r="BQ55" s="253">
        <f t="shared" si="18"/>
        <v>50</v>
      </c>
      <c r="BR55" s="99">
        <f t="shared" si="19"/>
        <v>0.5</v>
      </c>
      <c r="BS55" s="101">
        <f t="shared" si="20"/>
        <v>19.5</v>
      </c>
    </row>
    <row r="56" spans="1:71" x14ac:dyDescent="0.6">
      <c r="A56" s="373" t="s">
        <v>489</v>
      </c>
      <c r="B56" s="1" t="s">
        <v>2955</v>
      </c>
      <c r="C56" s="380" t="s">
        <v>474</v>
      </c>
      <c r="D56" s="351" t="s">
        <v>285</v>
      </c>
      <c r="E56" s="352" t="s">
        <v>867</v>
      </c>
      <c r="F56" s="352" t="s">
        <v>1225</v>
      </c>
      <c r="G56" s="353">
        <v>35094</v>
      </c>
      <c r="H56" s="352" t="s">
        <v>830</v>
      </c>
      <c r="I56" s="352" t="s">
        <v>1575</v>
      </c>
      <c r="J56" s="352" t="s">
        <v>1065</v>
      </c>
      <c r="K56" s="352" t="s">
        <v>934</v>
      </c>
      <c r="L56" s="381">
        <v>1800240035</v>
      </c>
      <c r="M56" s="376">
        <v>1098232792</v>
      </c>
      <c r="N56" s="376">
        <v>702007244</v>
      </c>
      <c r="O56" s="376">
        <v>2052333741</v>
      </c>
      <c r="P56" s="376">
        <v>96367097</v>
      </c>
      <c r="Q56" s="376">
        <v>87514929</v>
      </c>
      <c r="R56" s="376">
        <v>58220411</v>
      </c>
      <c r="S56" s="325">
        <v>0</v>
      </c>
      <c r="T56" s="246">
        <f t="shared" si="1"/>
        <v>100</v>
      </c>
      <c r="U56" s="77">
        <f t="shared" si="2"/>
        <v>2</v>
      </c>
      <c r="V56" s="377">
        <v>0</v>
      </c>
      <c r="W56" s="377">
        <v>0</v>
      </c>
      <c r="X56" s="377">
        <v>0</v>
      </c>
      <c r="Y56" s="377">
        <v>0</v>
      </c>
      <c r="Z56" s="377">
        <v>0</v>
      </c>
      <c r="AA56" s="377">
        <v>0</v>
      </c>
      <c r="AB56" s="377">
        <v>0</v>
      </c>
      <c r="AC56" s="247">
        <f t="shared" si="3"/>
        <v>0</v>
      </c>
      <c r="AD56" s="247">
        <f t="shared" si="4"/>
        <v>100</v>
      </c>
      <c r="AE56" s="82">
        <f t="shared" si="23"/>
        <v>5</v>
      </c>
      <c r="AF56" s="377">
        <v>0</v>
      </c>
      <c r="AG56" s="377">
        <v>0</v>
      </c>
      <c r="AH56" s="247">
        <f t="shared" si="5"/>
        <v>0</v>
      </c>
      <c r="AI56" s="247">
        <f t="shared" si="6"/>
        <v>100</v>
      </c>
      <c r="AJ56" s="82">
        <f t="shared" si="7"/>
        <v>3</v>
      </c>
      <c r="AK56" s="367" t="s">
        <v>2902</v>
      </c>
      <c r="AL56" s="367" t="s">
        <v>2902</v>
      </c>
      <c r="AM56" s="367" t="s">
        <v>2902</v>
      </c>
      <c r="AN56" s="367" t="s">
        <v>2902</v>
      </c>
      <c r="AO56" s="367" t="s">
        <v>2902</v>
      </c>
      <c r="AP56" s="296" t="s">
        <v>2326</v>
      </c>
      <c r="AQ56" s="296" t="s">
        <v>2326</v>
      </c>
      <c r="AR56" s="297"/>
      <c r="AS56" s="367" t="s">
        <v>2902</v>
      </c>
      <c r="AT56" s="367" t="s">
        <v>2902</v>
      </c>
      <c r="AU56" s="296" t="s">
        <v>2326</v>
      </c>
      <c r="AV56" s="297"/>
      <c r="AW56" s="325">
        <v>1</v>
      </c>
      <c r="AX56" s="247">
        <f t="shared" si="8"/>
        <v>100</v>
      </c>
      <c r="AY56" s="90">
        <f t="shared" si="9"/>
        <v>4</v>
      </c>
      <c r="AZ56" s="378">
        <v>0</v>
      </c>
      <c r="BA56" s="449" t="s">
        <v>3782</v>
      </c>
      <c r="BB56" s="247">
        <f t="shared" si="10"/>
        <v>100</v>
      </c>
      <c r="BC56" s="91">
        <f t="shared" si="11"/>
        <v>2</v>
      </c>
      <c r="BD56" s="325">
        <v>0</v>
      </c>
      <c r="BE56" s="325">
        <v>0</v>
      </c>
      <c r="BF56" s="325">
        <v>0</v>
      </c>
      <c r="BG56" s="252">
        <f t="shared" si="12"/>
        <v>0</v>
      </c>
      <c r="BH56" s="246">
        <f t="shared" si="13"/>
        <v>100</v>
      </c>
      <c r="BI56" s="90">
        <f t="shared" si="14"/>
        <v>1</v>
      </c>
      <c r="BJ56" s="325">
        <v>0</v>
      </c>
      <c r="BK56" s="247">
        <f t="shared" si="15"/>
        <v>100</v>
      </c>
      <c r="BL56" s="94">
        <f t="shared" si="16"/>
        <v>2</v>
      </c>
      <c r="BM56" s="325">
        <v>0</v>
      </c>
      <c r="BN56" s="325">
        <v>0</v>
      </c>
      <c r="BO56" s="325">
        <v>0</v>
      </c>
      <c r="BP56" s="211">
        <f t="shared" si="17"/>
        <v>0</v>
      </c>
      <c r="BQ56" s="253">
        <f t="shared" si="18"/>
        <v>25</v>
      </c>
      <c r="BR56" s="99">
        <f t="shared" si="19"/>
        <v>0.25</v>
      </c>
      <c r="BS56" s="101">
        <f t="shared" si="20"/>
        <v>19.25</v>
      </c>
    </row>
    <row r="57" spans="1:71" x14ac:dyDescent="0.6">
      <c r="A57" s="373" t="s">
        <v>5</v>
      </c>
      <c r="B57" s="1" t="s">
        <v>2956</v>
      </c>
      <c r="C57" s="380" t="s">
        <v>514</v>
      </c>
      <c r="D57" s="351" t="s">
        <v>191</v>
      </c>
      <c r="E57" s="352" t="s">
        <v>1020</v>
      </c>
      <c r="F57" s="352" t="s">
        <v>1078</v>
      </c>
      <c r="G57" s="353">
        <v>33252</v>
      </c>
      <c r="H57" s="352" t="s">
        <v>830</v>
      </c>
      <c r="I57" s="352" t="s">
        <v>994</v>
      </c>
      <c r="J57" s="352" t="s">
        <v>1021</v>
      </c>
      <c r="K57" s="352" t="s">
        <v>484</v>
      </c>
      <c r="L57" s="381">
        <v>252929703</v>
      </c>
      <c r="M57" s="376">
        <v>156846243</v>
      </c>
      <c r="N57" s="376">
        <v>96083460</v>
      </c>
      <c r="O57" s="376">
        <v>272260521</v>
      </c>
      <c r="P57" s="376">
        <v>5775173</v>
      </c>
      <c r="Q57" s="376">
        <v>1931650</v>
      </c>
      <c r="R57" s="376">
        <v>1853171</v>
      </c>
      <c r="S57" s="325">
        <v>0</v>
      </c>
      <c r="T57" s="246">
        <f t="shared" si="1"/>
        <v>100</v>
      </c>
      <c r="U57" s="77">
        <f t="shared" si="2"/>
        <v>2</v>
      </c>
      <c r="V57" s="377">
        <v>0</v>
      </c>
      <c r="W57" s="377">
        <v>0</v>
      </c>
      <c r="X57" s="377">
        <v>0</v>
      </c>
      <c r="Y57" s="377">
        <v>0</v>
      </c>
      <c r="Z57" s="377">
        <v>0</v>
      </c>
      <c r="AA57" s="377">
        <v>0</v>
      </c>
      <c r="AB57" s="377">
        <v>0</v>
      </c>
      <c r="AC57" s="247">
        <f t="shared" si="3"/>
        <v>0</v>
      </c>
      <c r="AD57" s="247">
        <f t="shared" si="4"/>
        <v>100</v>
      </c>
      <c r="AE57" s="82">
        <f t="shared" si="23"/>
        <v>5</v>
      </c>
      <c r="AF57" s="377">
        <v>0</v>
      </c>
      <c r="AG57" s="377">
        <v>0</v>
      </c>
      <c r="AH57" s="247">
        <f t="shared" si="5"/>
        <v>0</v>
      </c>
      <c r="AI57" s="247">
        <f t="shared" si="6"/>
        <v>100</v>
      </c>
      <c r="AJ57" s="82">
        <f t="shared" si="7"/>
        <v>3</v>
      </c>
      <c r="AK57" s="367" t="s">
        <v>2902</v>
      </c>
      <c r="AL57" s="367" t="s">
        <v>2902</v>
      </c>
      <c r="AM57" s="367" t="s">
        <v>2902</v>
      </c>
      <c r="AN57" s="367" t="s">
        <v>2902</v>
      </c>
      <c r="AO57" s="367" t="s">
        <v>2902</v>
      </c>
      <c r="AP57" s="296" t="s">
        <v>2326</v>
      </c>
      <c r="AQ57" s="296" t="s">
        <v>2326</v>
      </c>
      <c r="AR57" s="297"/>
      <c r="AS57" s="367" t="s">
        <v>2902</v>
      </c>
      <c r="AT57" s="367" t="s">
        <v>2902</v>
      </c>
      <c r="AU57" s="296" t="s">
        <v>2326</v>
      </c>
      <c r="AV57" s="297"/>
      <c r="AW57" s="325">
        <v>0</v>
      </c>
      <c r="AX57" s="247">
        <f t="shared" si="8"/>
        <v>50</v>
      </c>
      <c r="AY57" s="90">
        <f t="shared" si="9"/>
        <v>2</v>
      </c>
      <c r="AZ57" s="378">
        <v>0</v>
      </c>
      <c r="BA57" s="449" t="s">
        <v>3782</v>
      </c>
      <c r="BB57" s="247">
        <f t="shared" si="10"/>
        <v>100</v>
      </c>
      <c r="BC57" s="91">
        <f t="shared" si="11"/>
        <v>2</v>
      </c>
      <c r="BD57" s="325">
        <v>0</v>
      </c>
      <c r="BE57" s="325">
        <v>0</v>
      </c>
      <c r="BF57" s="325">
        <v>0</v>
      </c>
      <c r="BG57" s="252">
        <f t="shared" si="12"/>
        <v>0</v>
      </c>
      <c r="BH57" s="246">
        <f t="shared" si="13"/>
        <v>100</v>
      </c>
      <c r="BI57" s="90">
        <f t="shared" si="14"/>
        <v>1</v>
      </c>
      <c r="BJ57" s="325">
        <v>0</v>
      </c>
      <c r="BK57" s="247">
        <f t="shared" si="15"/>
        <v>100</v>
      </c>
      <c r="BL57" s="94">
        <f t="shared" si="16"/>
        <v>2</v>
      </c>
      <c r="BM57" s="325">
        <v>0</v>
      </c>
      <c r="BN57" s="325">
        <v>0</v>
      </c>
      <c r="BO57" s="325">
        <v>1</v>
      </c>
      <c r="BP57" s="211">
        <f t="shared" si="17"/>
        <v>1</v>
      </c>
      <c r="BQ57" s="253">
        <f t="shared" si="18"/>
        <v>50</v>
      </c>
      <c r="BR57" s="99">
        <f t="shared" si="19"/>
        <v>0.5</v>
      </c>
      <c r="BS57" s="101">
        <f t="shared" si="20"/>
        <v>17.5</v>
      </c>
    </row>
    <row r="58" spans="1:71" x14ac:dyDescent="0.6">
      <c r="A58" s="373" t="s">
        <v>896</v>
      </c>
      <c r="B58" s="1" t="s">
        <v>2957</v>
      </c>
      <c r="C58" s="380" t="s">
        <v>501</v>
      </c>
      <c r="D58" s="351" t="s">
        <v>203</v>
      </c>
      <c r="E58" s="352" t="s">
        <v>200</v>
      </c>
      <c r="F58" s="352" t="s">
        <v>173</v>
      </c>
      <c r="G58" s="353">
        <v>33082</v>
      </c>
      <c r="H58" s="352" t="s">
        <v>830</v>
      </c>
      <c r="I58" s="352" t="s">
        <v>1576</v>
      </c>
      <c r="J58" s="352" t="s">
        <v>1237</v>
      </c>
      <c r="K58" s="352" t="s">
        <v>91</v>
      </c>
      <c r="L58" s="381">
        <v>10091235345</v>
      </c>
      <c r="M58" s="376">
        <v>1690777750</v>
      </c>
      <c r="N58" s="376">
        <v>8400457595</v>
      </c>
      <c r="O58" s="376">
        <v>8081377635</v>
      </c>
      <c r="P58" s="376">
        <v>931364084</v>
      </c>
      <c r="Q58" s="376">
        <v>876898600</v>
      </c>
      <c r="R58" s="376">
        <v>656193706</v>
      </c>
      <c r="S58" s="325">
        <v>1</v>
      </c>
      <c r="T58" s="246">
        <f t="shared" si="1"/>
        <v>50</v>
      </c>
      <c r="U58" s="77">
        <f t="shared" si="2"/>
        <v>1</v>
      </c>
      <c r="V58" s="377">
        <v>0</v>
      </c>
      <c r="W58" s="377">
        <v>0</v>
      </c>
      <c r="X58" s="377">
        <v>0</v>
      </c>
      <c r="Y58" s="377">
        <v>0</v>
      </c>
      <c r="Z58" s="377">
        <v>0</v>
      </c>
      <c r="AA58" s="377">
        <v>0</v>
      </c>
      <c r="AB58" s="377">
        <v>0</v>
      </c>
      <c r="AC58" s="247">
        <f t="shared" si="3"/>
        <v>0</v>
      </c>
      <c r="AD58" s="247">
        <f t="shared" si="4"/>
        <v>100</v>
      </c>
      <c r="AE58" s="82">
        <f t="shared" si="23"/>
        <v>5</v>
      </c>
      <c r="AF58" s="377">
        <v>0</v>
      </c>
      <c r="AG58" s="377">
        <v>0</v>
      </c>
      <c r="AH58" s="247">
        <f t="shared" si="5"/>
        <v>0</v>
      </c>
      <c r="AI58" s="247">
        <f t="shared" si="6"/>
        <v>100</v>
      </c>
      <c r="AJ58" s="82">
        <f t="shared" si="7"/>
        <v>3</v>
      </c>
      <c r="AK58" s="367" t="s">
        <v>2902</v>
      </c>
      <c r="AL58" s="367" t="s">
        <v>2902</v>
      </c>
      <c r="AM58" s="367" t="s">
        <v>2902</v>
      </c>
      <c r="AN58" s="367" t="s">
        <v>2902</v>
      </c>
      <c r="AO58" s="367" t="s">
        <v>2902</v>
      </c>
      <c r="AP58" s="296" t="s">
        <v>2326</v>
      </c>
      <c r="AQ58" s="296" t="s">
        <v>2326</v>
      </c>
      <c r="AR58" s="297"/>
      <c r="AS58" s="367" t="s">
        <v>2902</v>
      </c>
      <c r="AT58" s="367" t="s">
        <v>2902</v>
      </c>
      <c r="AU58" s="296" t="s">
        <v>2326</v>
      </c>
      <c r="AV58" s="297"/>
      <c r="AW58" s="325">
        <v>1</v>
      </c>
      <c r="AX58" s="247">
        <f t="shared" si="8"/>
        <v>100</v>
      </c>
      <c r="AY58" s="90">
        <f t="shared" si="9"/>
        <v>4</v>
      </c>
      <c r="AZ58" s="378">
        <v>0</v>
      </c>
      <c r="BA58" s="449" t="s">
        <v>3782</v>
      </c>
      <c r="BB58" s="247">
        <f t="shared" si="10"/>
        <v>100</v>
      </c>
      <c r="BC58" s="91">
        <f t="shared" si="11"/>
        <v>2</v>
      </c>
      <c r="BD58" s="325">
        <v>0</v>
      </c>
      <c r="BE58" s="325">
        <v>0</v>
      </c>
      <c r="BF58" s="325">
        <v>0</v>
      </c>
      <c r="BG58" s="252">
        <f t="shared" si="12"/>
        <v>0</v>
      </c>
      <c r="BH58" s="246">
        <f t="shared" si="13"/>
        <v>100</v>
      </c>
      <c r="BI58" s="90">
        <f t="shared" si="14"/>
        <v>1</v>
      </c>
      <c r="BJ58" s="325">
        <v>0</v>
      </c>
      <c r="BK58" s="247">
        <f t="shared" si="15"/>
        <v>100</v>
      </c>
      <c r="BL58" s="94">
        <f t="shared" si="16"/>
        <v>2</v>
      </c>
      <c r="BM58" s="325">
        <v>0</v>
      </c>
      <c r="BN58" s="325">
        <v>0</v>
      </c>
      <c r="BO58" s="325">
        <v>1</v>
      </c>
      <c r="BP58" s="211">
        <f t="shared" si="17"/>
        <v>1</v>
      </c>
      <c r="BQ58" s="253">
        <f t="shared" si="18"/>
        <v>50</v>
      </c>
      <c r="BR58" s="99">
        <f t="shared" si="19"/>
        <v>0.5</v>
      </c>
      <c r="BS58" s="101">
        <f t="shared" si="20"/>
        <v>18.5</v>
      </c>
    </row>
    <row r="59" spans="1:71" x14ac:dyDescent="0.6">
      <c r="A59" s="373" t="s">
        <v>520</v>
      </c>
      <c r="B59" s="1" t="s">
        <v>2958</v>
      </c>
      <c r="C59" s="380" t="s">
        <v>401</v>
      </c>
      <c r="D59" s="351" t="s">
        <v>203</v>
      </c>
      <c r="E59" s="352" t="s">
        <v>195</v>
      </c>
      <c r="F59" s="352" t="s">
        <v>636</v>
      </c>
      <c r="G59" s="353">
        <v>27905</v>
      </c>
      <c r="H59" s="352" t="s">
        <v>830</v>
      </c>
      <c r="I59" s="352" t="s">
        <v>591</v>
      </c>
      <c r="J59" s="352" t="s">
        <v>1028</v>
      </c>
      <c r="K59" s="352" t="s">
        <v>484</v>
      </c>
      <c r="L59" s="381">
        <v>1426860291</v>
      </c>
      <c r="M59" s="376">
        <v>243570816</v>
      </c>
      <c r="N59" s="376">
        <v>1183289475</v>
      </c>
      <c r="O59" s="376">
        <v>559167200</v>
      </c>
      <c r="P59" s="376">
        <v>43001257</v>
      </c>
      <c r="Q59" s="376">
        <v>60233515</v>
      </c>
      <c r="R59" s="376">
        <v>45128788</v>
      </c>
      <c r="S59" s="325">
        <v>0</v>
      </c>
      <c r="T59" s="246">
        <f t="shared" si="1"/>
        <v>100</v>
      </c>
      <c r="U59" s="77">
        <f t="shared" si="2"/>
        <v>2</v>
      </c>
      <c r="V59" s="377">
        <v>0</v>
      </c>
      <c r="W59" s="377">
        <v>0</v>
      </c>
      <c r="X59" s="377">
        <v>0</v>
      </c>
      <c r="Y59" s="377">
        <v>0</v>
      </c>
      <c r="Z59" s="377">
        <v>0</v>
      </c>
      <c r="AA59" s="377">
        <v>0</v>
      </c>
      <c r="AB59" s="377">
        <v>0</v>
      </c>
      <c r="AC59" s="247">
        <f t="shared" si="3"/>
        <v>0</v>
      </c>
      <c r="AD59" s="247">
        <f t="shared" si="4"/>
        <v>100</v>
      </c>
      <c r="AE59" s="82">
        <f t="shared" si="23"/>
        <v>5</v>
      </c>
      <c r="AF59" s="377">
        <v>0</v>
      </c>
      <c r="AG59" s="377">
        <v>0</v>
      </c>
      <c r="AH59" s="247">
        <f t="shared" si="5"/>
        <v>0</v>
      </c>
      <c r="AI59" s="247">
        <f t="shared" si="6"/>
        <v>100</v>
      </c>
      <c r="AJ59" s="82">
        <f t="shared" si="7"/>
        <v>3</v>
      </c>
      <c r="AK59" s="367" t="s">
        <v>2902</v>
      </c>
      <c r="AL59" s="367" t="s">
        <v>2902</v>
      </c>
      <c r="AM59" s="367" t="s">
        <v>2902</v>
      </c>
      <c r="AN59" s="367" t="s">
        <v>2902</v>
      </c>
      <c r="AO59" s="367" t="s">
        <v>2902</v>
      </c>
      <c r="AP59" s="296" t="s">
        <v>2326</v>
      </c>
      <c r="AQ59" s="296" t="s">
        <v>2326</v>
      </c>
      <c r="AR59" s="297"/>
      <c r="AS59" s="367" t="s">
        <v>2902</v>
      </c>
      <c r="AT59" s="367" t="s">
        <v>2902</v>
      </c>
      <c r="AU59" s="296" t="s">
        <v>2326</v>
      </c>
      <c r="AV59" s="297"/>
      <c r="AW59" s="325">
        <v>1</v>
      </c>
      <c r="AX59" s="247">
        <f t="shared" si="8"/>
        <v>100</v>
      </c>
      <c r="AY59" s="90">
        <f t="shared" si="9"/>
        <v>4</v>
      </c>
      <c r="AZ59" s="378">
        <v>0</v>
      </c>
      <c r="BA59" s="449" t="s">
        <v>3782</v>
      </c>
      <c r="BB59" s="247">
        <f t="shared" si="10"/>
        <v>100</v>
      </c>
      <c r="BC59" s="91">
        <f t="shared" si="11"/>
        <v>2</v>
      </c>
      <c r="BD59" s="325">
        <v>0</v>
      </c>
      <c r="BE59" s="325">
        <v>0</v>
      </c>
      <c r="BF59" s="325">
        <v>0</v>
      </c>
      <c r="BG59" s="252">
        <f t="shared" si="12"/>
        <v>0</v>
      </c>
      <c r="BH59" s="246">
        <f t="shared" si="13"/>
        <v>100</v>
      </c>
      <c r="BI59" s="90">
        <f t="shared" si="14"/>
        <v>1</v>
      </c>
      <c r="BJ59" s="325">
        <v>0</v>
      </c>
      <c r="BK59" s="247">
        <f t="shared" si="15"/>
        <v>100</v>
      </c>
      <c r="BL59" s="94">
        <f t="shared" si="16"/>
        <v>2</v>
      </c>
      <c r="BM59" s="325">
        <v>0</v>
      </c>
      <c r="BN59" s="325">
        <v>0</v>
      </c>
      <c r="BO59" s="325">
        <v>0</v>
      </c>
      <c r="BP59" s="211">
        <f t="shared" si="17"/>
        <v>0</v>
      </c>
      <c r="BQ59" s="253">
        <f t="shared" si="18"/>
        <v>25</v>
      </c>
      <c r="BR59" s="99">
        <f t="shared" si="19"/>
        <v>0.25</v>
      </c>
      <c r="BS59" s="101">
        <f t="shared" si="20"/>
        <v>19.25</v>
      </c>
    </row>
    <row r="60" spans="1:71" x14ac:dyDescent="0.6">
      <c r="A60" s="373" t="s">
        <v>549</v>
      </c>
      <c r="B60" s="13" t="s">
        <v>2959</v>
      </c>
      <c r="C60" s="380" t="s">
        <v>365</v>
      </c>
      <c r="D60" s="351" t="s">
        <v>191</v>
      </c>
      <c r="E60" s="352" t="s">
        <v>34</v>
      </c>
      <c r="F60" s="352" t="s">
        <v>566</v>
      </c>
      <c r="G60" s="353">
        <v>32829</v>
      </c>
      <c r="H60" s="352" t="s">
        <v>830</v>
      </c>
      <c r="I60" s="352" t="s">
        <v>693</v>
      </c>
      <c r="J60" s="352" t="s">
        <v>974</v>
      </c>
      <c r="K60" s="352" t="s">
        <v>91</v>
      </c>
      <c r="L60" s="381">
        <v>767629606</v>
      </c>
      <c r="M60" s="376">
        <v>261642769</v>
      </c>
      <c r="N60" s="376">
        <v>505986838</v>
      </c>
      <c r="O60" s="376">
        <v>850526444</v>
      </c>
      <c r="P60" s="376">
        <v>33566313</v>
      </c>
      <c r="Q60" s="376">
        <v>31909767</v>
      </c>
      <c r="R60" s="376">
        <v>23739402</v>
      </c>
      <c r="S60" s="325">
        <v>0</v>
      </c>
      <c r="T60" s="246">
        <f t="shared" si="1"/>
        <v>100</v>
      </c>
      <c r="U60" s="77">
        <f t="shared" si="2"/>
        <v>2</v>
      </c>
      <c r="V60" s="377">
        <v>0</v>
      </c>
      <c r="W60" s="377">
        <v>0</v>
      </c>
      <c r="X60" s="377">
        <v>0</v>
      </c>
      <c r="Y60" s="377">
        <v>0</v>
      </c>
      <c r="Z60" s="377">
        <v>0</v>
      </c>
      <c r="AA60" s="377">
        <v>0</v>
      </c>
      <c r="AB60" s="377">
        <v>0</v>
      </c>
      <c r="AC60" s="247">
        <f t="shared" si="3"/>
        <v>0</v>
      </c>
      <c r="AD60" s="247">
        <f t="shared" si="4"/>
        <v>100</v>
      </c>
      <c r="AE60" s="82">
        <f t="shared" si="23"/>
        <v>5</v>
      </c>
      <c r="AF60" s="377">
        <v>0</v>
      </c>
      <c r="AG60" s="377">
        <v>0</v>
      </c>
      <c r="AH60" s="247">
        <f t="shared" si="5"/>
        <v>0</v>
      </c>
      <c r="AI60" s="247">
        <f t="shared" si="6"/>
        <v>100</v>
      </c>
      <c r="AJ60" s="82">
        <f t="shared" si="7"/>
        <v>3</v>
      </c>
      <c r="AK60" s="367" t="s">
        <v>2902</v>
      </c>
      <c r="AL60" s="367" t="s">
        <v>2902</v>
      </c>
      <c r="AM60" s="367" t="s">
        <v>2902</v>
      </c>
      <c r="AN60" s="367" t="s">
        <v>2902</v>
      </c>
      <c r="AO60" s="367" t="s">
        <v>2902</v>
      </c>
      <c r="AP60" s="296" t="s">
        <v>2326</v>
      </c>
      <c r="AQ60" s="296" t="s">
        <v>2326</v>
      </c>
      <c r="AR60" s="297"/>
      <c r="AS60" s="367" t="s">
        <v>2902</v>
      </c>
      <c r="AT60" s="367" t="s">
        <v>2902</v>
      </c>
      <c r="AU60" s="296" t="s">
        <v>2326</v>
      </c>
      <c r="AV60" s="297"/>
      <c r="AW60" s="325">
        <v>0</v>
      </c>
      <c r="AX60" s="247">
        <f t="shared" si="8"/>
        <v>50</v>
      </c>
      <c r="AY60" s="90">
        <f t="shared" si="9"/>
        <v>2</v>
      </c>
      <c r="AZ60" s="378">
        <v>0</v>
      </c>
      <c r="BA60" s="449" t="s">
        <v>3782</v>
      </c>
      <c r="BB60" s="247">
        <f t="shared" si="10"/>
        <v>100</v>
      </c>
      <c r="BC60" s="91">
        <f t="shared" si="11"/>
        <v>2</v>
      </c>
      <c r="BD60" s="325">
        <v>0</v>
      </c>
      <c r="BE60" s="325">
        <v>0</v>
      </c>
      <c r="BF60" s="325">
        <v>1</v>
      </c>
      <c r="BG60" s="252">
        <f t="shared" si="12"/>
        <v>1</v>
      </c>
      <c r="BH60" s="246">
        <f t="shared" si="13"/>
        <v>75</v>
      </c>
      <c r="BI60" s="90">
        <f t="shared" si="14"/>
        <v>0.75</v>
      </c>
      <c r="BJ60" s="325">
        <v>0</v>
      </c>
      <c r="BK60" s="247">
        <f t="shared" si="15"/>
        <v>100</v>
      </c>
      <c r="BL60" s="94">
        <f t="shared" si="16"/>
        <v>2</v>
      </c>
      <c r="BM60" s="325">
        <v>0</v>
      </c>
      <c r="BN60" s="325">
        <v>0</v>
      </c>
      <c r="BO60" s="325">
        <v>1</v>
      </c>
      <c r="BP60" s="211">
        <f t="shared" si="17"/>
        <v>1</v>
      </c>
      <c r="BQ60" s="253">
        <f t="shared" si="18"/>
        <v>50</v>
      </c>
      <c r="BR60" s="99">
        <f t="shared" si="19"/>
        <v>0.5</v>
      </c>
      <c r="BS60" s="101">
        <f t="shared" si="20"/>
        <v>17.25</v>
      </c>
    </row>
    <row r="61" spans="1:71" x14ac:dyDescent="0.6">
      <c r="A61" s="373" t="s">
        <v>1577</v>
      </c>
      <c r="B61" s="1" t="s">
        <v>2960</v>
      </c>
      <c r="C61" s="380" t="s">
        <v>101</v>
      </c>
      <c r="D61" s="351" t="s">
        <v>202</v>
      </c>
      <c r="E61" s="352" t="s">
        <v>382</v>
      </c>
      <c r="F61" s="352" t="s">
        <v>127</v>
      </c>
      <c r="G61" s="353">
        <v>33130</v>
      </c>
      <c r="H61" s="352" t="s">
        <v>830</v>
      </c>
      <c r="I61" s="352" t="s">
        <v>369</v>
      </c>
      <c r="J61" s="352" t="s">
        <v>1032</v>
      </c>
      <c r="K61" s="352" t="s">
        <v>690</v>
      </c>
      <c r="L61" s="381">
        <v>153664335</v>
      </c>
      <c r="M61" s="376">
        <v>48649816</v>
      </c>
      <c r="N61" s="376">
        <v>105014518</v>
      </c>
      <c r="O61" s="376">
        <v>130228176</v>
      </c>
      <c r="P61" s="376">
        <v>4340165</v>
      </c>
      <c r="Q61" s="376">
        <v>4654301</v>
      </c>
      <c r="R61" s="376">
        <v>4153557</v>
      </c>
      <c r="S61" s="325">
        <v>0</v>
      </c>
      <c r="T61" s="246">
        <f t="shared" si="1"/>
        <v>100</v>
      </c>
      <c r="U61" s="77">
        <f t="shared" si="2"/>
        <v>2</v>
      </c>
      <c r="V61" s="377">
        <v>0</v>
      </c>
      <c r="W61" s="377">
        <v>0</v>
      </c>
      <c r="X61" s="377">
        <v>0</v>
      </c>
      <c r="Y61" s="377">
        <v>0</v>
      </c>
      <c r="Z61" s="377">
        <v>0</v>
      </c>
      <c r="AA61" s="377">
        <v>0</v>
      </c>
      <c r="AB61" s="377">
        <v>0</v>
      </c>
      <c r="AC61" s="247">
        <f t="shared" si="3"/>
        <v>0</v>
      </c>
      <c r="AD61" s="247">
        <f t="shared" si="4"/>
        <v>100</v>
      </c>
      <c r="AE61" s="82">
        <f t="shared" si="23"/>
        <v>5</v>
      </c>
      <c r="AF61" s="377">
        <v>0</v>
      </c>
      <c r="AG61" s="377">
        <v>0</v>
      </c>
      <c r="AH61" s="247">
        <f t="shared" si="5"/>
        <v>0</v>
      </c>
      <c r="AI61" s="247">
        <f t="shared" si="6"/>
        <v>100</v>
      </c>
      <c r="AJ61" s="82">
        <f t="shared" si="7"/>
        <v>3</v>
      </c>
      <c r="AK61" s="367" t="s">
        <v>2902</v>
      </c>
      <c r="AL61" s="367" t="s">
        <v>2902</v>
      </c>
      <c r="AM61" s="367" t="s">
        <v>2902</v>
      </c>
      <c r="AN61" s="367" t="s">
        <v>2902</v>
      </c>
      <c r="AO61" s="367" t="s">
        <v>2902</v>
      </c>
      <c r="AP61" s="296" t="s">
        <v>2326</v>
      </c>
      <c r="AQ61" s="296" t="s">
        <v>2326</v>
      </c>
      <c r="AR61" s="297"/>
      <c r="AS61" s="367" t="s">
        <v>2902</v>
      </c>
      <c r="AT61" s="367" t="s">
        <v>2902</v>
      </c>
      <c r="AU61" s="296" t="s">
        <v>2326</v>
      </c>
      <c r="AV61" s="297"/>
      <c r="AW61" s="325">
        <v>1</v>
      </c>
      <c r="AX61" s="247">
        <f t="shared" si="8"/>
        <v>100</v>
      </c>
      <c r="AY61" s="90">
        <f t="shared" si="9"/>
        <v>4</v>
      </c>
      <c r="AZ61" s="378">
        <v>0</v>
      </c>
      <c r="BA61" s="449" t="s">
        <v>3782</v>
      </c>
      <c r="BB61" s="247">
        <f t="shared" si="10"/>
        <v>100</v>
      </c>
      <c r="BC61" s="91">
        <f t="shared" si="11"/>
        <v>2</v>
      </c>
      <c r="BD61" s="325">
        <v>0</v>
      </c>
      <c r="BE61" s="325">
        <v>0</v>
      </c>
      <c r="BF61" s="325">
        <v>0</v>
      </c>
      <c r="BG61" s="252">
        <f t="shared" si="12"/>
        <v>0</v>
      </c>
      <c r="BH61" s="246">
        <f t="shared" si="13"/>
        <v>100</v>
      </c>
      <c r="BI61" s="90">
        <f t="shared" si="14"/>
        <v>1</v>
      </c>
      <c r="BJ61" s="325">
        <v>0</v>
      </c>
      <c r="BK61" s="247">
        <f t="shared" si="15"/>
        <v>100</v>
      </c>
      <c r="BL61" s="94">
        <f t="shared" si="16"/>
        <v>2</v>
      </c>
      <c r="BM61" s="325">
        <v>0</v>
      </c>
      <c r="BN61" s="325">
        <v>0</v>
      </c>
      <c r="BO61" s="325">
        <v>1</v>
      </c>
      <c r="BP61" s="211">
        <f t="shared" si="17"/>
        <v>1</v>
      </c>
      <c r="BQ61" s="253">
        <f t="shared" si="18"/>
        <v>50</v>
      </c>
      <c r="BR61" s="99">
        <f t="shared" si="19"/>
        <v>0.5</v>
      </c>
      <c r="BS61" s="101">
        <f t="shared" si="20"/>
        <v>19.5</v>
      </c>
    </row>
    <row r="62" spans="1:71" x14ac:dyDescent="0.6">
      <c r="A62" s="373" t="s">
        <v>353</v>
      </c>
      <c r="B62" s="13" t="s">
        <v>2961</v>
      </c>
      <c r="C62" s="380" t="s">
        <v>492</v>
      </c>
      <c r="D62" s="351" t="s">
        <v>285</v>
      </c>
      <c r="E62" s="352" t="s">
        <v>504</v>
      </c>
      <c r="F62" s="352" t="s">
        <v>713</v>
      </c>
      <c r="G62" s="353">
        <v>37294</v>
      </c>
      <c r="H62" s="352" t="s">
        <v>830</v>
      </c>
      <c r="I62" s="352" t="s">
        <v>727</v>
      </c>
      <c r="J62" s="352" t="s">
        <v>1250</v>
      </c>
      <c r="K62" s="352" t="s">
        <v>487</v>
      </c>
      <c r="L62" s="381">
        <v>913454051</v>
      </c>
      <c r="M62" s="376">
        <v>123544315</v>
      </c>
      <c r="N62" s="376">
        <v>789909736</v>
      </c>
      <c r="O62" s="376">
        <v>184873955</v>
      </c>
      <c r="P62" s="376">
        <v>65584851</v>
      </c>
      <c r="Q62" s="376">
        <v>76860200</v>
      </c>
      <c r="R62" s="376">
        <v>56946615</v>
      </c>
      <c r="S62" s="325">
        <v>1</v>
      </c>
      <c r="T62" s="246">
        <f t="shared" si="1"/>
        <v>50</v>
      </c>
      <c r="U62" s="77">
        <f t="shared" si="2"/>
        <v>1</v>
      </c>
      <c r="V62" s="377">
        <v>0</v>
      </c>
      <c r="W62" s="377">
        <v>0</v>
      </c>
      <c r="X62" s="377">
        <v>0</v>
      </c>
      <c r="Y62" s="377">
        <v>0</v>
      </c>
      <c r="Z62" s="377">
        <v>0</v>
      </c>
      <c r="AA62" s="377">
        <v>0</v>
      </c>
      <c r="AB62" s="377">
        <v>0</v>
      </c>
      <c r="AC62" s="247">
        <f t="shared" si="3"/>
        <v>0</v>
      </c>
      <c r="AD62" s="247">
        <f t="shared" si="4"/>
        <v>100</v>
      </c>
      <c r="AE62" s="82">
        <f t="shared" si="23"/>
        <v>5</v>
      </c>
      <c r="AF62" s="377">
        <v>0</v>
      </c>
      <c r="AG62" s="377">
        <v>0</v>
      </c>
      <c r="AH62" s="247">
        <f t="shared" si="5"/>
        <v>0</v>
      </c>
      <c r="AI62" s="247">
        <f t="shared" si="6"/>
        <v>100</v>
      </c>
      <c r="AJ62" s="82">
        <f t="shared" si="7"/>
        <v>3</v>
      </c>
      <c r="AK62" s="367" t="s">
        <v>2902</v>
      </c>
      <c r="AL62" s="367" t="s">
        <v>2902</v>
      </c>
      <c r="AM62" s="367" t="s">
        <v>2902</v>
      </c>
      <c r="AN62" s="367" t="s">
        <v>2902</v>
      </c>
      <c r="AO62" s="367" t="s">
        <v>2902</v>
      </c>
      <c r="AP62" s="296" t="s">
        <v>2326</v>
      </c>
      <c r="AQ62" s="296" t="s">
        <v>2326</v>
      </c>
      <c r="AR62" s="297"/>
      <c r="AS62" s="367" t="s">
        <v>2902</v>
      </c>
      <c r="AT62" s="367" t="s">
        <v>2902</v>
      </c>
      <c r="AU62" s="296" t="s">
        <v>2326</v>
      </c>
      <c r="AV62" s="297"/>
      <c r="AW62" s="325">
        <v>0</v>
      </c>
      <c r="AX62" s="247">
        <f t="shared" si="8"/>
        <v>50</v>
      </c>
      <c r="AY62" s="90">
        <f t="shared" si="9"/>
        <v>2</v>
      </c>
      <c r="AZ62" s="378">
        <v>0</v>
      </c>
      <c r="BA62" s="449" t="s">
        <v>3782</v>
      </c>
      <c r="BB62" s="247">
        <f t="shared" si="10"/>
        <v>100</v>
      </c>
      <c r="BC62" s="91">
        <f t="shared" si="11"/>
        <v>2</v>
      </c>
      <c r="BD62" s="325">
        <v>0</v>
      </c>
      <c r="BE62" s="325">
        <v>0</v>
      </c>
      <c r="BF62" s="325">
        <v>0</v>
      </c>
      <c r="BG62" s="252">
        <f t="shared" si="12"/>
        <v>0</v>
      </c>
      <c r="BH62" s="246">
        <f t="shared" si="13"/>
        <v>100</v>
      </c>
      <c r="BI62" s="90">
        <f t="shared" si="14"/>
        <v>1</v>
      </c>
      <c r="BJ62" s="325">
        <v>0</v>
      </c>
      <c r="BK62" s="247">
        <f t="shared" si="15"/>
        <v>100</v>
      </c>
      <c r="BL62" s="94">
        <f t="shared" si="16"/>
        <v>2</v>
      </c>
      <c r="BM62" s="325">
        <v>1</v>
      </c>
      <c r="BN62" s="325">
        <v>0</v>
      </c>
      <c r="BO62" s="325">
        <v>1</v>
      </c>
      <c r="BP62" s="211">
        <f t="shared" si="17"/>
        <v>2</v>
      </c>
      <c r="BQ62" s="253">
        <f t="shared" si="18"/>
        <v>75</v>
      </c>
      <c r="BR62" s="99">
        <f t="shared" si="19"/>
        <v>0.75</v>
      </c>
      <c r="BS62" s="101">
        <f t="shared" si="20"/>
        <v>16.75</v>
      </c>
    </row>
    <row r="63" spans="1:71" x14ac:dyDescent="0.6">
      <c r="A63" s="373" t="s">
        <v>1578</v>
      </c>
      <c r="B63" s="1" t="s">
        <v>2962</v>
      </c>
      <c r="C63" s="380" t="s">
        <v>1579</v>
      </c>
      <c r="D63" s="328" t="s">
        <v>350</v>
      </c>
      <c r="E63" s="352" t="s">
        <v>179</v>
      </c>
      <c r="F63" s="352" t="s">
        <v>992</v>
      </c>
      <c r="G63" s="353">
        <v>37455</v>
      </c>
      <c r="H63" s="352" t="s">
        <v>830</v>
      </c>
      <c r="I63" s="352" t="s">
        <v>1580</v>
      </c>
      <c r="J63" s="352" t="s">
        <v>1581</v>
      </c>
      <c r="K63" s="352" t="s">
        <v>91</v>
      </c>
      <c r="L63" s="381">
        <v>12149139534</v>
      </c>
      <c r="M63" s="376">
        <v>10584274049</v>
      </c>
      <c r="N63" s="376">
        <v>1564865485</v>
      </c>
      <c r="O63" s="376">
        <v>4036211805</v>
      </c>
      <c r="P63" s="376">
        <v>90025670</v>
      </c>
      <c r="Q63" s="376">
        <v>63262018</v>
      </c>
      <c r="R63" s="376">
        <v>44599774</v>
      </c>
      <c r="S63" s="325">
        <v>1</v>
      </c>
      <c r="T63" s="246">
        <f t="shared" si="1"/>
        <v>50</v>
      </c>
      <c r="U63" s="77">
        <f t="shared" si="2"/>
        <v>1</v>
      </c>
      <c r="V63" s="377">
        <v>0</v>
      </c>
      <c r="W63" s="377">
        <v>0</v>
      </c>
      <c r="X63" s="377">
        <v>0</v>
      </c>
      <c r="Y63" s="377">
        <v>0</v>
      </c>
      <c r="Z63" s="377">
        <v>0</v>
      </c>
      <c r="AA63" s="377">
        <v>0</v>
      </c>
      <c r="AB63" s="377">
        <v>0</v>
      </c>
      <c r="AC63" s="247">
        <f t="shared" si="3"/>
        <v>0</v>
      </c>
      <c r="AD63" s="247">
        <f t="shared" si="4"/>
        <v>100</v>
      </c>
      <c r="AE63" s="81">
        <f>AD63*0.02</f>
        <v>2</v>
      </c>
      <c r="AF63" s="360" t="s">
        <v>2902</v>
      </c>
      <c r="AG63" s="360" t="s">
        <v>2902</v>
      </c>
      <c r="AH63" s="248" t="s">
        <v>2326</v>
      </c>
      <c r="AI63" s="248" t="s">
        <v>2326</v>
      </c>
      <c r="AJ63" s="248"/>
      <c r="AK63" s="373">
        <v>6</v>
      </c>
      <c r="AL63" s="373">
        <v>0</v>
      </c>
      <c r="AM63" s="373">
        <v>0</v>
      </c>
      <c r="AN63" s="373">
        <v>2</v>
      </c>
      <c r="AO63" s="391" t="s">
        <v>3239</v>
      </c>
      <c r="AP63" s="249">
        <f>SUM(AK63:AN63)</f>
        <v>8</v>
      </c>
      <c r="AQ63" s="250">
        <f>IF(AP63=0, 100, IF(AP63=1, 75, IF(AP63=2, 50, 25)))</f>
        <v>25</v>
      </c>
      <c r="AR63" s="83">
        <f>AQ63*0.05</f>
        <v>1.25</v>
      </c>
      <c r="AS63" s="395">
        <v>0</v>
      </c>
      <c r="AT63" s="370" t="s">
        <v>3240</v>
      </c>
      <c r="AU63" s="251">
        <f>IF(AS63=0, 100, IF(AS63=1, 200/3, IF(AS63&gt;=2, 100/3)))</f>
        <v>100</v>
      </c>
      <c r="AV63" s="87">
        <f>AU63*0.01</f>
        <v>1</v>
      </c>
      <c r="AW63" s="325">
        <v>0</v>
      </c>
      <c r="AX63" s="247">
        <f t="shared" si="8"/>
        <v>50</v>
      </c>
      <c r="AY63" s="90">
        <f t="shared" si="9"/>
        <v>2</v>
      </c>
      <c r="AZ63" s="378">
        <v>0</v>
      </c>
      <c r="BA63" s="449" t="s">
        <v>3782</v>
      </c>
      <c r="BB63" s="247">
        <f t="shared" si="10"/>
        <v>100</v>
      </c>
      <c r="BC63" s="91">
        <f t="shared" si="11"/>
        <v>2</v>
      </c>
      <c r="BD63" s="325">
        <v>0</v>
      </c>
      <c r="BE63" s="325">
        <v>0</v>
      </c>
      <c r="BF63" s="325">
        <v>0</v>
      </c>
      <c r="BG63" s="252">
        <f t="shared" si="12"/>
        <v>0</v>
      </c>
      <c r="BH63" s="246">
        <f t="shared" si="13"/>
        <v>100</v>
      </c>
      <c r="BI63" s="90">
        <f t="shared" si="14"/>
        <v>1</v>
      </c>
      <c r="BJ63" s="325">
        <v>0</v>
      </c>
      <c r="BK63" s="247">
        <f t="shared" si="15"/>
        <v>100</v>
      </c>
      <c r="BL63" s="94">
        <f t="shared" si="16"/>
        <v>2</v>
      </c>
      <c r="BM63" s="325">
        <v>0</v>
      </c>
      <c r="BN63" s="325">
        <v>0</v>
      </c>
      <c r="BO63" s="325">
        <v>1</v>
      </c>
      <c r="BP63" s="211">
        <f t="shared" si="17"/>
        <v>1</v>
      </c>
      <c r="BQ63" s="253">
        <f t="shared" si="18"/>
        <v>50</v>
      </c>
      <c r="BR63" s="99">
        <f t="shared" si="19"/>
        <v>0.5</v>
      </c>
      <c r="BS63" s="101">
        <f t="shared" si="20"/>
        <v>12.75</v>
      </c>
    </row>
    <row r="64" spans="1:71" x14ac:dyDescent="0.6">
      <c r="A64" s="373" t="s">
        <v>1582</v>
      </c>
      <c r="B64" s="1" t="s">
        <v>2963</v>
      </c>
      <c r="C64" s="380" t="s">
        <v>322</v>
      </c>
      <c r="D64" s="351" t="s">
        <v>191</v>
      </c>
      <c r="E64" s="352" t="s">
        <v>568</v>
      </c>
      <c r="F64" s="352" t="s">
        <v>176</v>
      </c>
      <c r="G64" s="353">
        <v>44147</v>
      </c>
      <c r="H64" s="352" t="s">
        <v>830</v>
      </c>
      <c r="I64" s="352" t="s">
        <v>719</v>
      </c>
      <c r="J64" s="352" t="s">
        <v>1045</v>
      </c>
      <c r="K64" s="352" t="s">
        <v>31</v>
      </c>
      <c r="L64" s="381">
        <v>262827323</v>
      </c>
      <c r="M64" s="376">
        <v>108764144</v>
      </c>
      <c r="N64" s="376">
        <v>154063179</v>
      </c>
      <c r="O64" s="376">
        <v>498874562</v>
      </c>
      <c r="P64" s="376">
        <v>2862765</v>
      </c>
      <c r="Q64" s="376">
        <v>2792639</v>
      </c>
      <c r="R64" s="376">
        <v>2643471</v>
      </c>
      <c r="S64" s="325">
        <v>0</v>
      </c>
      <c r="T64" s="246">
        <f t="shared" si="1"/>
        <v>100</v>
      </c>
      <c r="U64" s="77">
        <f t="shared" si="2"/>
        <v>2</v>
      </c>
      <c r="V64" s="377">
        <v>0</v>
      </c>
      <c r="W64" s="377">
        <v>0</v>
      </c>
      <c r="X64" s="377">
        <v>0</v>
      </c>
      <c r="Y64" s="377">
        <v>0</v>
      </c>
      <c r="Z64" s="377">
        <v>0</v>
      </c>
      <c r="AA64" s="377">
        <v>0</v>
      </c>
      <c r="AB64" s="377">
        <v>0</v>
      </c>
      <c r="AC64" s="247">
        <f t="shared" si="3"/>
        <v>0</v>
      </c>
      <c r="AD64" s="247">
        <f t="shared" si="4"/>
        <v>100</v>
      </c>
      <c r="AE64" s="82">
        <f t="shared" ref="AE64:AE75" si="24">AD64*0.05</f>
        <v>5</v>
      </c>
      <c r="AF64" s="377">
        <v>0</v>
      </c>
      <c r="AG64" s="377">
        <v>0</v>
      </c>
      <c r="AH64" s="247">
        <f t="shared" si="5"/>
        <v>0</v>
      </c>
      <c r="AI64" s="247">
        <f t="shared" si="6"/>
        <v>100</v>
      </c>
      <c r="AJ64" s="82">
        <f t="shared" si="7"/>
        <v>3</v>
      </c>
      <c r="AK64" s="367" t="s">
        <v>2902</v>
      </c>
      <c r="AL64" s="367" t="s">
        <v>2902</v>
      </c>
      <c r="AM64" s="367" t="s">
        <v>2902</v>
      </c>
      <c r="AN64" s="367" t="s">
        <v>2902</v>
      </c>
      <c r="AO64" s="367" t="s">
        <v>2902</v>
      </c>
      <c r="AP64" s="296" t="s">
        <v>2326</v>
      </c>
      <c r="AQ64" s="296" t="s">
        <v>2326</v>
      </c>
      <c r="AR64" s="297"/>
      <c r="AS64" s="367" t="s">
        <v>2902</v>
      </c>
      <c r="AT64" s="367" t="s">
        <v>2902</v>
      </c>
      <c r="AU64" s="296" t="s">
        <v>2326</v>
      </c>
      <c r="AV64" s="297"/>
      <c r="AW64" s="325">
        <v>0</v>
      </c>
      <c r="AX64" s="247">
        <f t="shared" si="8"/>
        <v>50</v>
      </c>
      <c r="AY64" s="90">
        <f t="shared" si="9"/>
        <v>2</v>
      </c>
      <c r="AZ64" s="378">
        <v>0</v>
      </c>
      <c r="BA64" s="449" t="s">
        <v>3782</v>
      </c>
      <c r="BB64" s="247">
        <f t="shared" si="10"/>
        <v>100</v>
      </c>
      <c r="BC64" s="91">
        <f t="shared" si="11"/>
        <v>2</v>
      </c>
      <c r="BD64" s="325">
        <v>0</v>
      </c>
      <c r="BE64" s="325">
        <v>0</v>
      </c>
      <c r="BF64" s="325">
        <v>0</v>
      </c>
      <c r="BG64" s="252">
        <f t="shared" si="12"/>
        <v>0</v>
      </c>
      <c r="BH64" s="246">
        <f t="shared" si="13"/>
        <v>100</v>
      </c>
      <c r="BI64" s="90">
        <f t="shared" si="14"/>
        <v>1</v>
      </c>
      <c r="BJ64" s="325">
        <v>1</v>
      </c>
      <c r="BK64" s="247">
        <f t="shared" si="15"/>
        <v>50</v>
      </c>
      <c r="BL64" s="94">
        <f t="shared" si="16"/>
        <v>1</v>
      </c>
      <c r="BM64" s="325">
        <v>0</v>
      </c>
      <c r="BN64" s="325">
        <v>0</v>
      </c>
      <c r="BO64" s="325">
        <v>1</v>
      </c>
      <c r="BP64" s="211">
        <f t="shared" si="17"/>
        <v>1</v>
      </c>
      <c r="BQ64" s="253">
        <f t="shared" si="18"/>
        <v>50</v>
      </c>
      <c r="BR64" s="99">
        <f t="shared" si="19"/>
        <v>0.5</v>
      </c>
      <c r="BS64" s="101">
        <f t="shared" si="20"/>
        <v>16.5</v>
      </c>
    </row>
    <row r="65" spans="1:71" x14ac:dyDescent="0.6">
      <c r="A65" s="373" t="s">
        <v>512</v>
      </c>
      <c r="B65" s="13" t="s">
        <v>2964</v>
      </c>
      <c r="C65" s="380" t="s">
        <v>14</v>
      </c>
      <c r="D65" s="351" t="s">
        <v>203</v>
      </c>
      <c r="E65" s="352" t="s">
        <v>188</v>
      </c>
      <c r="F65" s="352" t="s">
        <v>582</v>
      </c>
      <c r="G65" s="353">
        <v>38645</v>
      </c>
      <c r="H65" s="352" t="s">
        <v>830</v>
      </c>
      <c r="I65" s="352" t="s">
        <v>703</v>
      </c>
      <c r="J65" s="352" t="s">
        <v>1055</v>
      </c>
      <c r="K65" s="352" t="s">
        <v>425</v>
      </c>
      <c r="L65" s="381">
        <v>196645335</v>
      </c>
      <c r="M65" s="376">
        <v>74168153</v>
      </c>
      <c r="N65" s="376">
        <v>122477182</v>
      </c>
      <c r="O65" s="376">
        <v>324927356</v>
      </c>
      <c r="P65" s="376">
        <v>17219652</v>
      </c>
      <c r="Q65" s="376">
        <v>5989331</v>
      </c>
      <c r="R65" s="376">
        <v>2870341</v>
      </c>
      <c r="S65" s="325">
        <v>0</v>
      </c>
      <c r="T65" s="246">
        <f t="shared" si="1"/>
        <v>100</v>
      </c>
      <c r="U65" s="77">
        <f t="shared" si="2"/>
        <v>2</v>
      </c>
      <c r="V65" s="377">
        <v>0</v>
      </c>
      <c r="W65" s="377">
        <v>0</v>
      </c>
      <c r="X65" s="377">
        <v>0</v>
      </c>
      <c r="Y65" s="377">
        <v>0</v>
      </c>
      <c r="Z65" s="377">
        <v>0</v>
      </c>
      <c r="AA65" s="377">
        <v>0</v>
      </c>
      <c r="AB65" s="377">
        <v>0</v>
      </c>
      <c r="AC65" s="247">
        <f t="shared" si="3"/>
        <v>0</v>
      </c>
      <c r="AD65" s="247">
        <f t="shared" si="4"/>
        <v>100</v>
      </c>
      <c r="AE65" s="82">
        <f t="shared" si="24"/>
        <v>5</v>
      </c>
      <c r="AF65" s="377">
        <v>0</v>
      </c>
      <c r="AG65" s="377">
        <v>0</v>
      </c>
      <c r="AH65" s="247">
        <f t="shared" si="5"/>
        <v>0</v>
      </c>
      <c r="AI65" s="247">
        <f t="shared" si="6"/>
        <v>100</v>
      </c>
      <c r="AJ65" s="82">
        <f t="shared" si="7"/>
        <v>3</v>
      </c>
      <c r="AK65" s="367" t="s">
        <v>2902</v>
      </c>
      <c r="AL65" s="367" t="s">
        <v>2902</v>
      </c>
      <c r="AM65" s="367" t="s">
        <v>2902</v>
      </c>
      <c r="AN65" s="367" t="s">
        <v>2902</v>
      </c>
      <c r="AO65" s="367" t="s">
        <v>2902</v>
      </c>
      <c r="AP65" s="296" t="s">
        <v>2326</v>
      </c>
      <c r="AQ65" s="296" t="s">
        <v>2326</v>
      </c>
      <c r="AR65" s="297"/>
      <c r="AS65" s="367" t="s">
        <v>2902</v>
      </c>
      <c r="AT65" s="367" t="s">
        <v>2902</v>
      </c>
      <c r="AU65" s="296" t="s">
        <v>2326</v>
      </c>
      <c r="AV65" s="297"/>
      <c r="AW65" s="325">
        <v>0</v>
      </c>
      <c r="AX65" s="247">
        <f t="shared" si="8"/>
        <v>50</v>
      </c>
      <c r="AY65" s="90">
        <f t="shared" si="9"/>
        <v>2</v>
      </c>
      <c r="AZ65" s="378">
        <v>0</v>
      </c>
      <c r="BA65" s="449" t="s">
        <v>3782</v>
      </c>
      <c r="BB65" s="247">
        <f t="shared" si="10"/>
        <v>100</v>
      </c>
      <c r="BC65" s="91">
        <f t="shared" si="11"/>
        <v>2</v>
      </c>
      <c r="BD65" s="325">
        <v>0</v>
      </c>
      <c r="BE65" s="325">
        <v>0</v>
      </c>
      <c r="BF65" s="325">
        <v>0</v>
      </c>
      <c r="BG65" s="252">
        <f t="shared" si="12"/>
        <v>0</v>
      </c>
      <c r="BH65" s="246">
        <f t="shared" si="13"/>
        <v>100</v>
      </c>
      <c r="BI65" s="90">
        <f t="shared" si="14"/>
        <v>1</v>
      </c>
      <c r="BJ65" s="325">
        <v>0</v>
      </c>
      <c r="BK65" s="247">
        <f t="shared" si="15"/>
        <v>100</v>
      </c>
      <c r="BL65" s="94">
        <f t="shared" si="16"/>
        <v>2</v>
      </c>
      <c r="BM65" s="325">
        <v>0</v>
      </c>
      <c r="BN65" s="325">
        <v>0</v>
      </c>
      <c r="BO65" s="325">
        <v>1</v>
      </c>
      <c r="BP65" s="211">
        <f t="shared" si="17"/>
        <v>1</v>
      </c>
      <c r="BQ65" s="253">
        <f t="shared" si="18"/>
        <v>50</v>
      </c>
      <c r="BR65" s="99">
        <f t="shared" si="19"/>
        <v>0.5</v>
      </c>
      <c r="BS65" s="101">
        <f t="shared" si="20"/>
        <v>17.5</v>
      </c>
    </row>
    <row r="66" spans="1:71" x14ac:dyDescent="0.6">
      <c r="A66" s="373" t="s">
        <v>863</v>
      </c>
      <c r="B66" s="1" t="s">
        <v>2965</v>
      </c>
      <c r="C66" s="380" t="s">
        <v>106</v>
      </c>
      <c r="D66" s="351" t="s">
        <v>203</v>
      </c>
      <c r="E66" s="352" t="s">
        <v>187</v>
      </c>
      <c r="F66" s="352" t="s">
        <v>143</v>
      </c>
      <c r="G66" s="353">
        <v>33269</v>
      </c>
      <c r="H66" s="352" t="s">
        <v>830</v>
      </c>
      <c r="I66" s="352" t="s">
        <v>570</v>
      </c>
      <c r="J66" s="352" t="s">
        <v>1054</v>
      </c>
      <c r="K66" s="352" t="s">
        <v>50</v>
      </c>
      <c r="L66" s="381">
        <v>315529254</v>
      </c>
      <c r="M66" s="376">
        <v>128655873</v>
      </c>
      <c r="N66" s="376">
        <v>186873382</v>
      </c>
      <c r="O66" s="376">
        <v>1220548455</v>
      </c>
      <c r="P66" s="376">
        <v>27189227</v>
      </c>
      <c r="Q66" s="376">
        <v>23861778</v>
      </c>
      <c r="R66" s="376">
        <v>17593831</v>
      </c>
      <c r="S66" s="325">
        <v>0</v>
      </c>
      <c r="T66" s="246">
        <f t="shared" si="1"/>
        <v>100</v>
      </c>
      <c r="U66" s="77">
        <f t="shared" si="2"/>
        <v>2</v>
      </c>
      <c r="V66" s="377">
        <v>0</v>
      </c>
      <c r="W66" s="377">
        <v>0</v>
      </c>
      <c r="X66" s="377">
        <v>0</v>
      </c>
      <c r="Y66" s="377">
        <v>0</v>
      </c>
      <c r="Z66" s="377">
        <v>0</v>
      </c>
      <c r="AA66" s="377">
        <v>0</v>
      </c>
      <c r="AB66" s="377">
        <v>0</v>
      </c>
      <c r="AC66" s="247">
        <f t="shared" si="3"/>
        <v>0</v>
      </c>
      <c r="AD66" s="247">
        <f t="shared" si="4"/>
        <v>100</v>
      </c>
      <c r="AE66" s="82">
        <f t="shared" si="24"/>
        <v>5</v>
      </c>
      <c r="AF66" s="377">
        <v>0</v>
      </c>
      <c r="AG66" s="377">
        <v>0</v>
      </c>
      <c r="AH66" s="247">
        <f t="shared" si="5"/>
        <v>0</v>
      </c>
      <c r="AI66" s="247">
        <f t="shared" si="6"/>
        <v>100</v>
      </c>
      <c r="AJ66" s="82">
        <f t="shared" si="7"/>
        <v>3</v>
      </c>
      <c r="AK66" s="367" t="s">
        <v>2902</v>
      </c>
      <c r="AL66" s="367" t="s">
        <v>2902</v>
      </c>
      <c r="AM66" s="367" t="s">
        <v>2902</v>
      </c>
      <c r="AN66" s="367" t="s">
        <v>2902</v>
      </c>
      <c r="AO66" s="367" t="s">
        <v>2902</v>
      </c>
      <c r="AP66" s="296" t="s">
        <v>2326</v>
      </c>
      <c r="AQ66" s="296" t="s">
        <v>2326</v>
      </c>
      <c r="AR66" s="297"/>
      <c r="AS66" s="367" t="s">
        <v>2902</v>
      </c>
      <c r="AT66" s="367" t="s">
        <v>2902</v>
      </c>
      <c r="AU66" s="296" t="s">
        <v>2326</v>
      </c>
      <c r="AV66" s="297"/>
      <c r="AW66" s="325">
        <v>1</v>
      </c>
      <c r="AX66" s="247">
        <f t="shared" si="8"/>
        <v>100</v>
      </c>
      <c r="AY66" s="90">
        <f t="shared" si="9"/>
        <v>4</v>
      </c>
      <c r="AZ66" s="378">
        <v>0</v>
      </c>
      <c r="BA66" s="449" t="s">
        <v>3782</v>
      </c>
      <c r="BB66" s="247">
        <f t="shared" si="10"/>
        <v>100</v>
      </c>
      <c r="BC66" s="91">
        <f t="shared" si="11"/>
        <v>2</v>
      </c>
      <c r="BD66" s="325">
        <v>0</v>
      </c>
      <c r="BE66" s="325">
        <v>0</v>
      </c>
      <c r="BF66" s="325">
        <v>0</v>
      </c>
      <c r="BG66" s="252">
        <f t="shared" si="12"/>
        <v>0</v>
      </c>
      <c r="BH66" s="246">
        <f t="shared" si="13"/>
        <v>100</v>
      </c>
      <c r="BI66" s="90">
        <f t="shared" si="14"/>
        <v>1</v>
      </c>
      <c r="BJ66" s="325">
        <v>0</v>
      </c>
      <c r="BK66" s="247">
        <f t="shared" si="15"/>
        <v>100</v>
      </c>
      <c r="BL66" s="94">
        <f t="shared" si="16"/>
        <v>2</v>
      </c>
      <c r="BM66" s="325">
        <v>0</v>
      </c>
      <c r="BN66" s="325">
        <v>0</v>
      </c>
      <c r="BO66" s="325">
        <v>1</v>
      </c>
      <c r="BP66" s="211">
        <f t="shared" si="17"/>
        <v>1</v>
      </c>
      <c r="BQ66" s="253">
        <f t="shared" si="18"/>
        <v>50</v>
      </c>
      <c r="BR66" s="99">
        <f t="shared" si="19"/>
        <v>0.5</v>
      </c>
      <c r="BS66" s="101">
        <f t="shared" si="20"/>
        <v>19.5</v>
      </c>
    </row>
    <row r="67" spans="1:71" x14ac:dyDescent="0.6">
      <c r="A67" s="373" t="s">
        <v>941</v>
      </c>
      <c r="B67" s="13" t="s">
        <v>2966</v>
      </c>
      <c r="C67" s="380" t="s">
        <v>866</v>
      </c>
      <c r="D67" s="351" t="s">
        <v>285</v>
      </c>
      <c r="E67" s="352" t="s">
        <v>872</v>
      </c>
      <c r="F67" s="352" t="s">
        <v>1106</v>
      </c>
      <c r="G67" s="353">
        <v>27937</v>
      </c>
      <c r="H67" s="352" t="s">
        <v>830</v>
      </c>
      <c r="I67" s="352" t="s">
        <v>779</v>
      </c>
      <c r="J67" s="352" t="s">
        <v>1030</v>
      </c>
      <c r="K67" s="352" t="s">
        <v>341</v>
      </c>
      <c r="L67" s="381">
        <v>1690618825</v>
      </c>
      <c r="M67" s="376">
        <v>1132886300</v>
      </c>
      <c r="N67" s="376">
        <v>557732525</v>
      </c>
      <c r="O67" s="376">
        <v>2041695477</v>
      </c>
      <c r="P67" s="376">
        <v>55276798</v>
      </c>
      <c r="Q67" s="376">
        <v>60210595</v>
      </c>
      <c r="R67" s="376">
        <v>23918674</v>
      </c>
      <c r="S67" s="325">
        <v>1</v>
      </c>
      <c r="T67" s="246">
        <f t="shared" ref="T67:T130" si="25">IF(S67=1, 50, 100)</f>
        <v>50</v>
      </c>
      <c r="U67" s="77">
        <f t="shared" ref="U67:U130" si="26">T67*0.02</f>
        <v>1</v>
      </c>
      <c r="V67" s="377">
        <v>0</v>
      </c>
      <c r="W67" s="377">
        <v>0</v>
      </c>
      <c r="X67" s="377">
        <v>0</v>
      </c>
      <c r="Y67" s="377">
        <v>0</v>
      </c>
      <c r="Z67" s="377">
        <v>0</v>
      </c>
      <c r="AA67" s="377">
        <v>0</v>
      </c>
      <c r="AB67" s="377">
        <v>0</v>
      </c>
      <c r="AC67" s="247">
        <f t="shared" ref="AC67:AC130" si="27">SUM(V67:AB67)</f>
        <v>0</v>
      </c>
      <c r="AD67" s="247">
        <f t="shared" ref="AD67:AD130" si="28">IF(AC67=0, 100, IF(AC67=1, 75, IF(AC67=2, 50, 25)))</f>
        <v>100</v>
      </c>
      <c r="AE67" s="82">
        <f t="shared" si="24"/>
        <v>5</v>
      </c>
      <c r="AF67" s="377">
        <v>0</v>
      </c>
      <c r="AG67" s="377">
        <v>0</v>
      </c>
      <c r="AH67" s="247">
        <f t="shared" ref="AH67:AH130" si="29">SUM(AF67:AG67)</f>
        <v>0</v>
      </c>
      <c r="AI67" s="247">
        <f t="shared" ref="AI67:AI130" si="30">IF(AH67=0, 100, IF(AH67=1, 200/3, IF(AH67&gt;=2, 100/3)))</f>
        <v>100</v>
      </c>
      <c r="AJ67" s="82">
        <f t="shared" ref="AJ67:AJ130" si="31">AI67*0.03</f>
        <v>3</v>
      </c>
      <c r="AK67" s="367" t="s">
        <v>2902</v>
      </c>
      <c r="AL67" s="367" t="s">
        <v>2902</v>
      </c>
      <c r="AM67" s="367" t="s">
        <v>2902</v>
      </c>
      <c r="AN67" s="367" t="s">
        <v>2902</v>
      </c>
      <c r="AO67" s="367" t="s">
        <v>2902</v>
      </c>
      <c r="AP67" s="296" t="s">
        <v>2326</v>
      </c>
      <c r="AQ67" s="296" t="s">
        <v>2326</v>
      </c>
      <c r="AR67" s="297"/>
      <c r="AS67" s="367" t="s">
        <v>2902</v>
      </c>
      <c r="AT67" s="367" t="s">
        <v>2902</v>
      </c>
      <c r="AU67" s="296" t="s">
        <v>2326</v>
      </c>
      <c r="AV67" s="297"/>
      <c r="AW67" s="325">
        <v>0</v>
      </c>
      <c r="AX67" s="247">
        <f t="shared" ref="AX67:AX130" si="32">IF(AW67=1, 100, 50)</f>
        <v>50</v>
      </c>
      <c r="AY67" s="90">
        <f t="shared" ref="AY67:AY130" si="33">AX67*0.04</f>
        <v>2</v>
      </c>
      <c r="AZ67" s="378">
        <v>0</v>
      </c>
      <c r="BA67" s="449" t="s">
        <v>3782</v>
      </c>
      <c r="BB67" s="247">
        <f t="shared" ref="BB67:BB130" si="34">IF(AZ67=0, 100, IF(AZ67=1, 200/3, IF(AZ67&gt;=2, 100/3)))</f>
        <v>100</v>
      </c>
      <c r="BC67" s="91">
        <f t="shared" ref="BC67:BC130" si="35">BB67*0.02</f>
        <v>2</v>
      </c>
      <c r="BD67" s="325">
        <v>0</v>
      </c>
      <c r="BE67" s="325">
        <v>0</v>
      </c>
      <c r="BF67" s="325">
        <v>0</v>
      </c>
      <c r="BG67" s="252">
        <f t="shared" ref="BG67:BG130" si="36">SUM(BD67:BF67)</f>
        <v>0</v>
      </c>
      <c r="BH67" s="246">
        <f t="shared" ref="BH67:BH130" si="37">IF(BG67=0, 100, IF(BG67=1, 75, IF(BG67=2, 50, 25)))</f>
        <v>100</v>
      </c>
      <c r="BI67" s="90">
        <f t="shared" ref="BI67:BI130" si="38">BH67*0.01</f>
        <v>1</v>
      </c>
      <c r="BJ67" s="325">
        <v>0</v>
      </c>
      <c r="BK67" s="247">
        <f t="shared" ref="BK67:BK130" si="39">IF(BJ67=0, 100, 50)</f>
        <v>100</v>
      </c>
      <c r="BL67" s="94">
        <f t="shared" ref="BL67:BL130" si="40">BK67*0.02</f>
        <v>2</v>
      </c>
      <c r="BM67" s="325">
        <v>0</v>
      </c>
      <c r="BN67" s="325">
        <v>0</v>
      </c>
      <c r="BO67" s="325">
        <v>0</v>
      </c>
      <c r="BP67" s="211">
        <f t="shared" ref="BP67:BP130" si="41">SUM(BM67:BO67)</f>
        <v>0</v>
      </c>
      <c r="BQ67" s="253">
        <f t="shared" ref="BQ67:BQ130" si="42">IF(BP67=0, 25, IF(BP67=1, 50, IF(BP67=2, 75, IF(BP67=3, 100))))</f>
        <v>25</v>
      </c>
      <c r="BR67" s="99">
        <f t="shared" ref="BR67:BR130" si="43">BQ67*0.01</f>
        <v>0.25</v>
      </c>
      <c r="BS67" s="101">
        <f t="shared" ref="BS67:BS130" si="44">SUM(U67,AE67,AJ67,AR67,AV67,AY67,BC67,BI67,BL67,BR67)</f>
        <v>16.25</v>
      </c>
    </row>
    <row r="68" spans="1:71" x14ac:dyDescent="0.6">
      <c r="A68" s="373" t="s">
        <v>1583</v>
      </c>
      <c r="B68" s="1" t="s">
        <v>2967</v>
      </c>
      <c r="C68" s="380" t="s">
        <v>870</v>
      </c>
      <c r="D68" s="351" t="s">
        <v>203</v>
      </c>
      <c r="E68" s="352" t="s">
        <v>180</v>
      </c>
      <c r="F68" s="352" t="s">
        <v>141</v>
      </c>
      <c r="G68" s="353">
        <v>32164</v>
      </c>
      <c r="H68" s="352" t="s">
        <v>830</v>
      </c>
      <c r="I68" s="352" t="s">
        <v>735</v>
      </c>
      <c r="J68" s="352" t="s">
        <v>982</v>
      </c>
      <c r="K68" s="352" t="s">
        <v>91</v>
      </c>
      <c r="L68" s="381">
        <v>4278839838</v>
      </c>
      <c r="M68" s="376">
        <v>1085433049</v>
      </c>
      <c r="N68" s="376">
        <v>3193406789</v>
      </c>
      <c r="O68" s="376">
        <v>5086855586</v>
      </c>
      <c r="P68" s="376">
        <v>656205503</v>
      </c>
      <c r="Q68" s="376">
        <v>747318671</v>
      </c>
      <c r="R68" s="376">
        <v>575138552</v>
      </c>
      <c r="S68" s="325">
        <v>1</v>
      </c>
      <c r="T68" s="246">
        <f t="shared" si="25"/>
        <v>50</v>
      </c>
      <c r="U68" s="77">
        <f t="shared" si="26"/>
        <v>1</v>
      </c>
      <c r="V68" s="377">
        <v>0</v>
      </c>
      <c r="W68" s="377">
        <v>0</v>
      </c>
      <c r="X68" s="377">
        <v>0</v>
      </c>
      <c r="Y68" s="377">
        <v>0</v>
      </c>
      <c r="Z68" s="377">
        <v>0</v>
      </c>
      <c r="AA68" s="377">
        <v>0</v>
      </c>
      <c r="AB68" s="377">
        <v>0</v>
      </c>
      <c r="AC68" s="247">
        <f t="shared" si="27"/>
        <v>0</v>
      </c>
      <c r="AD68" s="247">
        <f t="shared" si="28"/>
        <v>100</v>
      </c>
      <c r="AE68" s="82">
        <f t="shared" si="24"/>
        <v>5</v>
      </c>
      <c r="AF68" s="377">
        <v>0</v>
      </c>
      <c r="AG68" s="377">
        <v>0</v>
      </c>
      <c r="AH68" s="247">
        <f t="shared" si="29"/>
        <v>0</v>
      </c>
      <c r="AI68" s="247">
        <f t="shared" si="30"/>
        <v>100</v>
      </c>
      <c r="AJ68" s="82">
        <f t="shared" si="31"/>
        <v>3</v>
      </c>
      <c r="AK68" s="367" t="s">
        <v>2902</v>
      </c>
      <c r="AL68" s="367" t="s">
        <v>2902</v>
      </c>
      <c r="AM68" s="367" t="s">
        <v>2902</v>
      </c>
      <c r="AN68" s="367" t="s">
        <v>2902</v>
      </c>
      <c r="AO68" s="367" t="s">
        <v>2902</v>
      </c>
      <c r="AP68" s="296" t="s">
        <v>2326</v>
      </c>
      <c r="AQ68" s="296" t="s">
        <v>2326</v>
      </c>
      <c r="AR68" s="297"/>
      <c r="AS68" s="367" t="s">
        <v>2902</v>
      </c>
      <c r="AT68" s="367" t="s">
        <v>2902</v>
      </c>
      <c r="AU68" s="296" t="s">
        <v>2326</v>
      </c>
      <c r="AV68" s="297"/>
      <c r="AW68" s="325">
        <v>1</v>
      </c>
      <c r="AX68" s="247">
        <f t="shared" si="32"/>
        <v>100</v>
      </c>
      <c r="AY68" s="90">
        <f t="shared" si="33"/>
        <v>4</v>
      </c>
      <c r="AZ68" s="378">
        <v>0</v>
      </c>
      <c r="BA68" s="449" t="s">
        <v>3782</v>
      </c>
      <c r="BB68" s="247">
        <f t="shared" si="34"/>
        <v>100</v>
      </c>
      <c r="BC68" s="91">
        <f t="shared" si="35"/>
        <v>2</v>
      </c>
      <c r="BD68" s="325">
        <v>0</v>
      </c>
      <c r="BE68" s="325">
        <v>0</v>
      </c>
      <c r="BF68" s="325">
        <v>0</v>
      </c>
      <c r="BG68" s="252">
        <f t="shared" si="36"/>
        <v>0</v>
      </c>
      <c r="BH68" s="246">
        <f t="shared" si="37"/>
        <v>100</v>
      </c>
      <c r="BI68" s="90">
        <f t="shared" si="38"/>
        <v>1</v>
      </c>
      <c r="BJ68" s="325">
        <v>0</v>
      </c>
      <c r="BK68" s="247">
        <f t="shared" si="39"/>
        <v>100</v>
      </c>
      <c r="BL68" s="94">
        <f t="shared" si="40"/>
        <v>2</v>
      </c>
      <c r="BM68" s="325">
        <v>0</v>
      </c>
      <c r="BN68" s="325">
        <v>0</v>
      </c>
      <c r="BO68" s="325">
        <v>0</v>
      </c>
      <c r="BP68" s="211">
        <f t="shared" si="41"/>
        <v>0</v>
      </c>
      <c r="BQ68" s="253">
        <f t="shared" si="42"/>
        <v>25</v>
      </c>
      <c r="BR68" s="99">
        <f t="shared" si="43"/>
        <v>0.25</v>
      </c>
      <c r="BS68" s="101">
        <f t="shared" si="44"/>
        <v>18.25</v>
      </c>
    </row>
    <row r="69" spans="1:71" x14ac:dyDescent="0.6">
      <c r="A69" s="373" t="s">
        <v>1584</v>
      </c>
      <c r="B69" s="13" t="s">
        <v>2968</v>
      </c>
      <c r="C69" s="380" t="s">
        <v>485</v>
      </c>
      <c r="D69" s="351" t="s">
        <v>202</v>
      </c>
      <c r="E69" s="352" t="s">
        <v>572</v>
      </c>
      <c r="F69" s="352" t="s">
        <v>1235</v>
      </c>
      <c r="G69" s="353">
        <v>39385</v>
      </c>
      <c r="H69" s="352" t="s">
        <v>746</v>
      </c>
      <c r="I69" s="352" t="s">
        <v>726</v>
      </c>
      <c r="J69" s="352" t="s">
        <v>1062</v>
      </c>
      <c r="K69" s="352" t="s">
        <v>346</v>
      </c>
      <c r="L69" s="381">
        <v>270299658</v>
      </c>
      <c r="M69" s="376">
        <v>18481909</v>
      </c>
      <c r="N69" s="376">
        <v>251817749</v>
      </c>
      <c r="O69" s="376">
        <v>116116871</v>
      </c>
      <c r="P69" s="376">
        <v>9240856</v>
      </c>
      <c r="Q69" s="376">
        <v>9598370</v>
      </c>
      <c r="R69" s="376">
        <v>7492215</v>
      </c>
      <c r="S69" s="325">
        <v>0</v>
      </c>
      <c r="T69" s="246">
        <f t="shared" si="25"/>
        <v>100</v>
      </c>
      <c r="U69" s="77">
        <f t="shared" si="26"/>
        <v>2</v>
      </c>
      <c r="V69" s="377">
        <v>0</v>
      </c>
      <c r="W69" s="377">
        <v>0</v>
      </c>
      <c r="X69" s="377">
        <v>0</v>
      </c>
      <c r="Y69" s="377">
        <v>0</v>
      </c>
      <c r="Z69" s="377">
        <v>0</v>
      </c>
      <c r="AA69" s="377">
        <v>0</v>
      </c>
      <c r="AB69" s="377">
        <v>0</v>
      </c>
      <c r="AC69" s="247">
        <f t="shared" si="27"/>
        <v>0</v>
      </c>
      <c r="AD69" s="247">
        <f t="shared" si="28"/>
        <v>100</v>
      </c>
      <c r="AE69" s="82">
        <f t="shared" si="24"/>
        <v>5</v>
      </c>
      <c r="AF69" s="377">
        <v>0</v>
      </c>
      <c r="AG69" s="377">
        <v>0</v>
      </c>
      <c r="AH69" s="247">
        <f t="shared" si="29"/>
        <v>0</v>
      </c>
      <c r="AI69" s="247">
        <f t="shared" si="30"/>
        <v>100</v>
      </c>
      <c r="AJ69" s="82">
        <f t="shared" si="31"/>
        <v>3</v>
      </c>
      <c r="AK69" s="367" t="s">
        <v>2902</v>
      </c>
      <c r="AL69" s="367" t="s">
        <v>2902</v>
      </c>
      <c r="AM69" s="367" t="s">
        <v>2902</v>
      </c>
      <c r="AN69" s="367" t="s">
        <v>2902</v>
      </c>
      <c r="AO69" s="367" t="s">
        <v>2902</v>
      </c>
      <c r="AP69" s="296" t="s">
        <v>2326</v>
      </c>
      <c r="AQ69" s="296" t="s">
        <v>2326</v>
      </c>
      <c r="AR69" s="297"/>
      <c r="AS69" s="367" t="s">
        <v>2902</v>
      </c>
      <c r="AT69" s="367" t="s">
        <v>2902</v>
      </c>
      <c r="AU69" s="296" t="s">
        <v>2326</v>
      </c>
      <c r="AV69" s="297"/>
      <c r="AW69" s="325">
        <v>1</v>
      </c>
      <c r="AX69" s="247">
        <f t="shared" si="32"/>
        <v>100</v>
      </c>
      <c r="AY69" s="90">
        <f t="shared" si="33"/>
        <v>4</v>
      </c>
      <c r="AZ69" s="378">
        <v>0</v>
      </c>
      <c r="BA69" s="449" t="s">
        <v>3782</v>
      </c>
      <c r="BB69" s="247">
        <f t="shared" si="34"/>
        <v>100</v>
      </c>
      <c r="BC69" s="91">
        <f t="shared" si="35"/>
        <v>2</v>
      </c>
      <c r="BD69" s="325">
        <v>0</v>
      </c>
      <c r="BE69" s="325">
        <v>0</v>
      </c>
      <c r="BF69" s="325">
        <v>0</v>
      </c>
      <c r="BG69" s="252">
        <f t="shared" si="36"/>
        <v>0</v>
      </c>
      <c r="BH69" s="246">
        <f t="shared" si="37"/>
        <v>100</v>
      </c>
      <c r="BI69" s="90">
        <f t="shared" si="38"/>
        <v>1</v>
      </c>
      <c r="BJ69" s="325">
        <v>0</v>
      </c>
      <c r="BK69" s="247">
        <f t="shared" si="39"/>
        <v>100</v>
      </c>
      <c r="BL69" s="94">
        <f t="shared" si="40"/>
        <v>2</v>
      </c>
      <c r="BM69" s="325">
        <v>0</v>
      </c>
      <c r="BN69" s="325">
        <v>0</v>
      </c>
      <c r="BO69" s="325">
        <v>1</v>
      </c>
      <c r="BP69" s="211">
        <f t="shared" si="41"/>
        <v>1</v>
      </c>
      <c r="BQ69" s="253">
        <f t="shared" si="42"/>
        <v>50</v>
      </c>
      <c r="BR69" s="99">
        <f t="shared" si="43"/>
        <v>0.5</v>
      </c>
      <c r="BS69" s="101">
        <f t="shared" si="44"/>
        <v>19.5</v>
      </c>
    </row>
    <row r="70" spans="1:71" x14ac:dyDescent="0.6">
      <c r="A70" s="373" t="s">
        <v>781</v>
      </c>
      <c r="B70" s="13" t="s">
        <v>2969</v>
      </c>
      <c r="C70" s="380" t="s">
        <v>503</v>
      </c>
      <c r="D70" s="351" t="s">
        <v>202</v>
      </c>
      <c r="E70" s="352" t="s">
        <v>996</v>
      </c>
      <c r="F70" s="352" t="s">
        <v>389</v>
      </c>
      <c r="G70" s="353">
        <v>26866</v>
      </c>
      <c r="H70" s="352" t="s">
        <v>830</v>
      </c>
      <c r="I70" s="352" t="s">
        <v>988</v>
      </c>
      <c r="J70" s="352" t="s">
        <v>1060</v>
      </c>
      <c r="K70" s="352" t="s">
        <v>91</v>
      </c>
      <c r="L70" s="381">
        <v>46715448000</v>
      </c>
      <c r="M70" s="376">
        <v>20245275000</v>
      </c>
      <c r="N70" s="376">
        <v>26470173000</v>
      </c>
      <c r="O70" s="376">
        <v>46409721000</v>
      </c>
      <c r="P70" s="376">
        <v>3000886000</v>
      </c>
      <c r="Q70" s="376">
        <v>2639370000</v>
      </c>
      <c r="R70" s="376">
        <v>1953513000</v>
      </c>
      <c r="S70" s="325">
        <v>1</v>
      </c>
      <c r="T70" s="246">
        <f t="shared" si="25"/>
        <v>50</v>
      </c>
      <c r="U70" s="77">
        <f t="shared" si="26"/>
        <v>1</v>
      </c>
      <c r="V70" s="377">
        <v>0</v>
      </c>
      <c r="W70" s="377">
        <v>0</v>
      </c>
      <c r="X70" s="377">
        <v>0</v>
      </c>
      <c r="Y70" s="377">
        <v>0</v>
      </c>
      <c r="Z70" s="377">
        <v>0</v>
      </c>
      <c r="AA70" s="377">
        <v>0</v>
      </c>
      <c r="AB70" s="377">
        <v>0</v>
      </c>
      <c r="AC70" s="247">
        <f t="shared" si="27"/>
        <v>0</v>
      </c>
      <c r="AD70" s="247">
        <f t="shared" si="28"/>
        <v>100</v>
      </c>
      <c r="AE70" s="82">
        <f t="shared" si="24"/>
        <v>5</v>
      </c>
      <c r="AF70" s="377">
        <v>0</v>
      </c>
      <c r="AG70" s="377">
        <v>0</v>
      </c>
      <c r="AH70" s="247">
        <f t="shared" si="29"/>
        <v>0</v>
      </c>
      <c r="AI70" s="247">
        <f t="shared" si="30"/>
        <v>100</v>
      </c>
      <c r="AJ70" s="82">
        <f t="shared" si="31"/>
        <v>3</v>
      </c>
      <c r="AK70" s="367" t="s">
        <v>2902</v>
      </c>
      <c r="AL70" s="367" t="s">
        <v>2902</v>
      </c>
      <c r="AM70" s="367" t="s">
        <v>2902</v>
      </c>
      <c r="AN70" s="367" t="s">
        <v>2902</v>
      </c>
      <c r="AO70" s="367" t="s">
        <v>2902</v>
      </c>
      <c r="AP70" s="296" t="s">
        <v>2326</v>
      </c>
      <c r="AQ70" s="296" t="s">
        <v>2326</v>
      </c>
      <c r="AR70" s="297"/>
      <c r="AS70" s="367" t="s">
        <v>2902</v>
      </c>
      <c r="AT70" s="367" t="s">
        <v>2902</v>
      </c>
      <c r="AU70" s="296" t="s">
        <v>2326</v>
      </c>
      <c r="AV70" s="297"/>
      <c r="AW70" s="325">
        <v>0</v>
      </c>
      <c r="AX70" s="247">
        <f t="shared" si="32"/>
        <v>50</v>
      </c>
      <c r="AY70" s="90">
        <f t="shared" si="33"/>
        <v>2</v>
      </c>
      <c r="AZ70" s="378">
        <v>0</v>
      </c>
      <c r="BA70" s="449" t="s">
        <v>3782</v>
      </c>
      <c r="BB70" s="247">
        <f t="shared" si="34"/>
        <v>100</v>
      </c>
      <c r="BC70" s="91">
        <f t="shared" si="35"/>
        <v>2</v>
      </c>
      <c r="BD70" s="325">
        <v>0</v>
      </c>
      <c r="BE70" s="325">
        <v>0</v>
      </c>
      <c r="BF70" s="325">
        <v>0</v>
      </c>
      <c r="BG70" s="252">
        <f t="shared" si="36"/>
        <v>0</v>
      </c>
      <c r="BH70" s="246">
        <f t="shared" si="37"/>
        <v>100</v>
      </c>
      <c r="BI70" s="90">
        <f t="shared" si="38"/>
        <v>1</v>
      </c>
      <c r="BJ70" s="325">
        <v>0</v>
      </c>
      <c r="BK70" s="247">
        <f t="shared" si="39"/>
        <v>100</v>
      </c>
      <c r="BL70" s="94">
        <f t="shared" si="40"/>
        <v>2</v>
      </c>
      <c r="BM70" s="325">
        <v>0</v>
      </c>
      <c r="BN70" s="325">
        <v>0</v>
      </c>
      <c r="BO70" s="325">
        <v>1</v>
      </c>
      <c r="BP70" s="211">
        <f t="shared" si="41"/>
        <v>1</v>
      </c>
      <c r="BQ70" s="253">
        <f t="shared" si="42"/>
        <v>50</v>
      </c>
      <c r="BR70" s="99">
        <f t="shared" si="43"/>
        <v>0.5</v>
      </c>
      <c r="BS70" s="101">
        <f t="shared" si="44"/>
        <v>16.5</v>
      </c>
    </row>
    <row r="71" spans="1:71" x14ac:dyDescent="0.6">
      <c r="A71" s="373" t="s">
        <v>99</v>
      </c>
      <c r="B71" s="13" t="s">
        <v>2970</v>
      </c>
      <c r="C71" s="380" t="s">
        <v>309</v>
      </c>
      <c r="D71" s="351" t="s">
        <v>285</v>
      </c>
      <c r="E71" s="352" t="s">
        <v>867</v>
      </c>
      <c r="F71" s="352" t="s">
        <v>397</v>
      </c>
      <c r="G71" s="353">
        <v>28122</v>
      </c>
      <c r="H71" s="352" t="s">
        <v>830</v>
      </c>
      <c r="I71" s="352" t="s">
        <v>725</v>
      </c>
      <c r="J71" s="352" t="s">
        <v>1249</v>
      </c>
      <c r="K71" s="352" t="s">
        <v>690</v>
      </c>
      <c r="L71" s="381">
        <v>345786655</v>
      </c>
      <c r="M71" s="376">
        <v>238784577</v>
      </c>
      <c r="N71" s="376">
        <v>107002078</v>
      </c>
      <c r="O71" s="376">
        <v>450379452</v>
      </c>
      <c r="P71" s="376">
        <v>11115820</v>
      </c>
      <c r="Q71" s="376">
        <v>15758165</v>
      </c>
      <c r="R71" s="376">
        <v>19332576</v>
      </c>
      <c r="S71" s="325">
        <v>1</v>
      </c>
      <c r="T71" s="246">
        <f t="shared" si="25"/>
        <v>50</v>
      </c>
      <c r="U71" s="77">
        <f t="shared" si="26"/>
        <v>1</v>
      </c>
      <c r="V71" s="377">
        <v>0</v>
      </c>
      <c r="W71" s="377">
        <v>0</v>
      </c>
      <c r="X71" s="377">
        <v>0</v>
      </c>
      <c r="Y71" s="377">
        <v>0</v>
      </c>
      <c r="Z71" s="377">
        <v>0</v>
      </c>
      <c r="AA71" s="377">
        <v>0</v>
      </c>
      <c r="AB71" s="377">
        <v>0</v>
      </c>
      <c r="AC71" s="247">
        <f t="shared" si="27"/>
        <v>0</v>
      </c>
      <c r="AD71" s="247">
        <f t="shared" si="28"/>
        <v>100</v>
      </c>
      <c r="AE71" s="82">
        <f t="shared" si="24"/>
        <v>5</v>
      </c>
      <c r="AF71" s="377">
        <v>0</v>
      </c>
      <c r="AG71" s="377">
        <v>0</v>
      </c>
      <c r="AH71" s="247">
        <f t="shared" si="29"/>
        <v>0</v>
      </c>
      <c r="AI71" s="247">
        <f t="shared" si="30"/>
        <v>100</v>
      </c>
      <c r="AJ71" s="82">
        <f t="shared" si="31"/>
        <v>3</v>
      </c>
      <c r="AK71" s="367" t="s">
        <v>2902</v>
      </c>
      <c r="AL71" s="367" t="s">
        <v>2902</v>
      </c>
      <c r="AM71" s="367" t="s">
        <v>2902</v>
      </c>
      <c r="AN71" s="367" t="s">
        <v>2902</v>
      </c>
      <c r="AO71" s="367" t="s">
        <v>2902</v>
      </c>
      <c r="AP71" s="296" t="s">
        <v>2326</v>
      </c>
      <c r="AQ71" s="296" t="s">
        <v>2326</v>
      </c>
      <c r="AR71" s="297"/>
      <c r="AS71" s="367" t="s">
        <v>2902</v>
      </c>
      <c r="AT71" s="367" t="s">
        <v>2902</v>
      </c>
      <c r="AU71" s="296" t="s">
        <v>2326</v>
      </c>
      <c r="AV71" s="297"/>
      <c r="AW71" s="325">
        <v>0</v>
      </c>
      <c r="AX71" s="247">
        <f t="shared" si="32"/>
        <v>50</v>
      </c>
      <c r="AY71" s="90">
        <f t="shared" si="33"/>
        <v>2</v>
      </c>
      <c r="AZ71" s="378">
        <v>0</v>
      </c>
      <c r="BA71" s="449" t="s">
        <v>3782</v>
      </c>
      <c r="BB71" s="247">
        <f t="shared" si="34"/>
        <v>100</v>
      </c>
      <c r="BC71" s="91">
        <f t="shared" si="35"/>
        <v>2</v>
      </c>
      <c r="BD71" s="325">
        <v>0</v>
      </c>
      <c r="BE71" s="325">
        <v>0</v>
      </c>
      <c r="BF71" s="325">
        <v>0</v>
      </c>
      <c r="BG71" s="252">
        <f t="shared" si="36"/>
        <v>0</v>
      </c>
      <c r="BH71" s="246">
        <f t="shared" si="37"/>
        <v>100</v>
      </c>
      <c r="BI71" s="90">
        <f t="shared" si="38"/>
        <v>1</v>
      </c>
      <c r="BJ71" s="325">
        <v>0</v>
      </c>
      <c r="BK71" s="247">
        <f t="shared" si="39"/>
        <v>100</v>
      </c>
      <c r="BL71" s="94">
        <f t="shared" si="40"/>
        <v>2</v>
      </c>
      <c r="BM71" s="325">
        <v>0</v>
      </c>
      <c r="BN71" s="325">
        <v>0</v>
      </c>
      <c r="BO71" s="325">
        <v>1</v>
      </c>
      <c r="BP71" s="211">
        <f t="shared" si="41"/>
        <v>1</v>
      </c>
      <c r="BQ71" s="253">
        <f t="shared" si="42"/>
        <v>50</v>
      </c>
      <c r="BR71" s="99">
        <f t="shared" si="43"/>
        <v>0.5</v>
      </c>
      <c r="BS71" s="101">
        <f t="shared" si="44"/>
        <v>16.5</v>
      </c>
    </row>
    <row r="72" spans="1:71" x14ac:dyDescent="0.6">
      <c r="A72" s="373" t="s">
        <v>81</v>
      </c>
      <c r="B72" s="1" t="s">
        <v>2971</v>
      </c>
      <c r="C72" s="380" t="s">
        <v>857</v>
      </c>
      <c r="D72" s="351" t="s">
        <v>203</v>
      </c>
      <c r="E72" s="352" t="s">
        <v>1067</v>
      </c>
      <c r="F72" s="352" t="s">
        <v>1246</v>
      </c>
      <c r="G72" s="353">
        <v>35013</v>
      </c>
      <c r="H72" s="352" t="s">
        <v>830</v>
      </c>
      <c r="I72" s="352" t="s">
        <v>701</v>
      </c>
      <c r="J72" s="352" t="s">
        <v>1080</v>
      </c>
      <c r="K72" s="352" t="s">
        <v>91</v>
      </c>
      <c r="L72" s="381">
        <v>883470621</v>
      </c>
      <c r="M72" s="376">
        <v>371844780</v>
      </c>
      <c r="N72" s="376">
        <v>511625841</v>
      </c>
      <c r="O72" s="376">
        <v>2169565871</v>
      </c>
      <c r="P72" s="376">
        <v>63633740</v>
      </c>
      <c r="Q72" s="376">
        <v>65632977</v>
      </c>
      <c r="R72" s="376">
        <v>47307536</v>
      </c>
      <c r="S72" s="325">
        <v>1</v>
      </c>
      <c r="T72" s="246">
        <f t="shared" si="25"/>
        <v>50</v>
      </c>
      <c r="U72" s="77">
        <f t="shared" si="26"/>
        <v>1</v>
      </c>
      <c r="V72" s="377">
        <v>0</v>
      </c>
      <c r="W72" s="377">
        <v>0</v>
      </c>
      <c r="X72" s="377">
        <v>0</v>
      </c>
      <c r="Y72" s="377">
        <v>0</v>
      </c>
      <c r="Z72" s="377">
        <v>0</v>
      </c>
      <c r="AA72" s="377">
        <v>0</v>
      </c>
      <c r="AB72" s="377">
        <v>0</v>
      </c>
      <c r="AC72" s="247">
        <f t="shared" si="27"/>
        <v>0</v>
      </c>
      <c r="AD72" s="247">
        <f t="shared" si="28"/>
        <v>100</v>
      </c>
      <c r="AE72" s="82">
        <f t="shared" si="24"/>
        <v>5</v>
      </c>
      <c r="AF72" s="377">
        <v>0</v>
      </c>
      <c r="AG72" s="377">
        <v>0</v>
      </c>
      <c r="AH72" s="247">
        <f t="shared" si="29"/>
        <v>0</v>
      </c>
      <c r="AI72" s="247">
        <f t="shared" si="30"/>
        <v>100</v>
      </c>
      <c r="AJ72" s="82">
        <f t="shared" si="31"/>
        <v>3</v>
      </c>
      <c r="AK72" s="367" t="s">
        <v>2902</v>
      </c>
      <c r="AL72" s="367" t="s">
        <v>2902</v>
      </c>
      <c r="AM72" s="367" t="s">
        <v>2902</v>
      </c>
      <c r="AN72" s="367" t="s">
        <v>2902</v>
      </c>
      <c r="AO72" s="367" t="s">
        <v>2902</v>
      </c>
      <c r="AP72" s="296" t="s">
        <v>2326</v>
      </c>
      <c r="AQ72" s="296" t="s">
        <v>2326</v>
      </c>
      <c r="AR72" s="297"/>
      <c r="AS72" s="367" t="s">
        <v>2902</v>
      </c>
      <c r="AT72" s="367" t="s">
        <v>2902</v>
      </c>
      <c r="AU72" s="296" t="s">
        <v>2326</v>
      </c>
      <c r="AV72" s="297"/>
      <c r="AW72" s="325">
        <v>0</v>
      </c>
      <c r="AX72" s="247">
        <f t="shared" si="32"/>
        <v>50</v>
      </c>
      <c r="AY72" s="90">
        <f t="shared" si="33"/>
        <v>2</v>
      </c>
      <c r="AZ72" s="378">
        <v>0</v>
      </c>
      <c r="BA72" s="449" t="s">
        <v>3782</v>
      </c>
      <c r="BB72" s="247">
        <f t="shared" si="34"/>
        <v>100</v>
      </c>
      <c r="BC72" s="91">
        <f t="shared" si="35"/>
        <v>2</v>
      </c>
      <c r="BD72" s="325">
        <v>0</v>
      </c>
      <c r="BE72" s="325">
        <v>0</v>
      </c>
      <c r="BF72" s="325">
        <v>0</v>
      </c>
      <c r="BG72" s="252">
        <f t="shared" si="36"/>
        <v>0</v>
      </c>
      <c r="BH72" s="246">
        <f t="shared" si="37"/>
        <v>100</v>
      </c>
      <c r="BI72" s="90">
        <f t="shared" si="38"/>
        <v>1</v>
      </c>
      <c r="BJ72" s="325">
        <v>0</v>
      </c>
      <c r="BK72" s="247">
        <f t="shared" si="39"/>
        <v>100</v>
      </c>
      <c r="BL72" s="94">
        <f t="shared" si="40"/>
        <v>2</v>
      </c>
      <c r="BM72" s="325">
        <v>0</v>
      </c>
      <c r="BN72" s="325">
        <v>0</v>
      </c>
      <c r="BO72" s="325">
        <v>1</v>
      </c>
      <c r="BP72" s="211">
        <f t="shared" si="41"/>
        <v>1</v>
      </c>
      <c r="BQ72" s="253">
        <f t="shared" si="42"/>
        <v>50</v>
      </c>
      <c r="BR72" s="99">
        <f t="shared" si="43"/>
        <v>0.5</v>
      </c>
      <c r="BS72" s="101">
        <f t="shared" si="44"/>
        <v>16.5</v>
      </c>
    </row>
    <row r="73" spans="1:71" x14ac:dyDescent="0.6">
      <c r="A73" s="373" t="s">
        <v>1586</v>
      </c>
      <c r="B73" s="13" t="s">
        <v>2972</v>
      </c>
      <c r="C73" s="380" t="s">
        <v>102</v>
      </c>
      <c r="D73" s="351" t="s">
        <v>203</v>
      </c>
      <c r="E73" s="352" t="s">
        <v>197</v>
      </c>
      <c r="F73" s="352" t="s">
        <v>117</v>
      </c>
      <c r="G73" s="353">
        <v>32130</v>
      </c>
      <c r="H73" s="352" t="s">
        <v>830</v>
      </c>
      <c r="I73" s="352" t="s">
        <v>951</v>
      </c>
      <c r="J73" s="352" t="s">
        <v>1157</v>
      </c>
      <c r="K73" s="352" t="s">
        <v>50</v>
      </c>
      <c r="L73" s="381">
        <v>736767227</v>
      </c>
      <c r="M73" s="376">
        <v>105463213</v>
      </c>
      <c r="N73" s="376">
        <v>631304014</v>
      </c>
      <c r="O73" s="376">
        <v>737876931</v>
      </c>
      <c r="P73" s="376">
        <v>30653869</v>
      </c>
      <c r="Q73" s="376">
        <v>35607383</v>
      </c>
      <c r="R73" s="376">
        <v>31223584</v>
      </c>
      <c r="S73" s="325">
        <v>0</v>
      </c>
      <c r="T73" s="246">
        <f t="shared" si="25"/>
        <v>100</v>
      </c>
      <c r="U73" s="77">
        <f t="shared" si="26"/>
        <v>2</v>
      </c>
      <c r="V73" s="377">
        <v>0</v>
      </c>
      <c r="W73" s="377">
        <v>0</v>
      </c>
      <c r="X73" s="377">
        <v>0</v>
      </c>
      <c r="Y73" s="377">
        <v>0</v>
      </c>
      <c r="Z73" s="377">
        <v>0</v>
      </c>
      <c r="AA73" s="377">
        <v>0</v>
      </c>
      <c r="AB73" s="377">
        <v>0</v>
      </c>
      <c r="AC73" s="247">
        <f t="shared" si="27"/>
        <v>0</v>
      </c>
      <c r="AD73" s="247">
        <f t="shared" si="28"/>
        <v>100</v>
      </c>
      <c r="AE73" s="82">
        <f t="shared" si="24"/>
        <v>5</v>
      </c>
      <c r="AF73" s="377">
        <v>0</v>
      </c>
      <c r="AG73" s="377">
        <v>0</v>
      </c>
      <c r="AH73" s="247">
        <f t="shared" si="29"/>
        <v>0</v>
      </c>
      <c r="AI73" s="247">
        <f t="shared" si="30"/>
        <v>100</v>
      </c>
      <c r="AJ73" s="82">
        <f t="shared" si="31"/>
        <v>3</v>
      </c>
      <c r="AK73" s="367" t="s">
        <v>2902</v>
      </c>
      <c r="AL73" s="367" t="s">
        <v>2902</v>
      </c>
      <c r="AM73" s="367" t="s">
        <v>2902</v>
      </c>
      <c r="AN73" s="367" t="s">
        <v>2902</v>
      </c>
      <c r="AO73" s="367" t="s">
        <v>2902</v>
      </c>
      <c r="AP73" s="296" t="s">
        <v>2326</v>
      </c>
      <c r="AQ73" s="296" t="s">
        <v>2326</v>
      </c>
      <c r="AR73" s="297"/>
      <c r="AS73" s="367" t="s">
        <v>2902</v>
      </c>
      <c r="AT73" s="367" t="s">
        <v>2902</v>
      </c>
      <c r="AU73" s="296" t="s">
        <v>2326</v>
      </c>
      <c r="AV73" s="297"/>
      <c r="AW73" s="325">
        <v>0</v>
      </c>
      <c r="AX73" s="247">
        <f t="shared" si="32"/>
        <v>50</v>
      </c>
      <c r="AY73" s="90">
        <f t="shared" si="33"/>
        <v>2</v>
      </c>
      <c r="AZ73" s="378">
        <v>0</v>
      </c>
      <c r="BA73" s="449" t="s">
        <v>3782</v>
      </c>
      <c r="BB73" s="247">
        <f t="shared" si="34"/>
        <v>100</v>
      </c>
      <c r="BC73" s="91">
        <f t="shared" si="35"/>
        <v>2</v>
      </c>
      <c r="BD73" s="325">
        <v>0</v>
      </c>
      <c r="BE73" s="325">
        <v>0</v>
      </c>
      <c r="BF73" s="325">
        <v>0</v>
      </c>
      <c r="BG73" s="252">
        <f t="shared" si="36"/>
        <v>0</v>
      </c>
      <c r="BH73" s="246">
        <f t="shared" si="37"/>
        <v>100</v>
      </c>
      <c r="BI73" s="90">
        <f t="shared" si="38"/>
        <v>1</v>
      </c>
      <c r="BJ73" s="325">
        <v>0</v>
      </c>
      <c r="BK73" s="247">
        <f t="shared" si="39"/>
        <v>100</v>
      </c>
      <c r="BL73" s="94">
        <f t="shared" si="40"/>
        <v>2</v>
      </c>
      <c r="BM73" s="325">
        <v>0</v>
      </c>
      <c r="BN73" s="325">
        <v>0</v>
      </c>
      <c r="BO73" s="325">
        <v>0</v>
      </c>
      <c r="BP73" s="211">
        <f t="shared" si="41"/>
        <v>0</v>
      </c>
      <c r="BQ73" s="253">
        <f t="shared" si="42"/>
        <v>25</v>
      </c>
      <c r="BR73" s="99">
        <f t="shared" si="43"/>
        <v>0.25</v>
      </c>
      <c r="BS73" s="101">
        <f t="shared" si="44"/>
        <v>17.25</v>
      </c>
    </row>
    <row r="74" spans="1:71" x14ac:dyDescent="0.6">
      <c r="A74" s="373" t="s">
        <v>28</v>
      </c>
      <c r="B74" s="1" t="s">
        <v>2973</v>
      </c>
      <c r="C74" s="380" t="s">
        <v>849</v>
      </c>
      <c r="D74" s="351" t="s">
        <v>203</v>
      </c>
      <c r="E74" s="352" t="s">
        <v>188</v>
      </c>
      <c r="F74" s="352" t="s">
        <v>442</v>
      </c>
      <c r="G74" s="353">
        <v>38901</v>
      </c>
      <c r="H74" s="352" t="s">
        <v>830</v>
      </c>
      <c r="I74" s="352" t="s">
        <v>738</v>
      </c>
      <c r="J74" s="13" t="s">
        <v>2974</v>
      </c>
      <c r="K74" s="352" t="s">
        <v>690</v>
      </c>
      <c r="L74" s="381">
        <v>593723438</v>
      </c>
      <c r="M74" s="376">
        <v>279635129</v>
      </c>
      <c r="N74" s="376">
        <v>314088309</v>
      </c>
      <c r="O74" s="376">
        <v>667825639</v>
      </c>
      <c r="P74" s="376">
        <v>18091323</v>
      </c>
      <c r="Q74" s="376">
        <v>10916465</v>
      </c>
      <c r="R74" s="376">
        <v>7428246</v>
      </c>
      <c r="S74" s="325">
        <v>0</v>
      </c>
      <c r="T74" s="246">
        <f t="shared" si="25"/>
        <v>100</v>
      </c>
      <c r="U74" s="77">
        <f t="shared" si="26"/>
        <v>2</v>
      </c>
      <c r="V74" s="377">
        <v>0</v>
      </c>
      <c r="W74" s="377">
        <v>0</v>
      </c>
      <c r="X74" s="377">
        <v>0</v>
      </c>
      <c r="Y74" s="377">
        <v>0</v>
      </c>
      <c r="Z74" s="377">
        <v>0</v>
      </c>
      <c r="AA74" s="377">
        <v>0</v>
      </c>
      <c r="AB74" s="377">
        <v>0</v>
      </c>
      <c r="AC74" s="247">
        <f t="shared" si="27"/>
        <v>0</v>
      </c>
      <c r="AD74" s="247">
        <f t="shared" si="28"/>
        <v>100</v>
      </c>
      <c r="AE74" s="82">
        <f t="shared" si="24"/>
        <v>5</v>
      </c>
      <c r="AF74" s="377">
        <v>0</v>
      </c>
      <c r="AG74" s="377">
        <v>0</v>
      </c>
      <c r="AH74" s="247">
        <f t="shared" si="29"/>
        <v>0</v>
      </c>
      <c r="AI74" s="247">
        <f t="shared" si="30"/>
        <v>100</v>
      </c>
      <c r="AJ74" s="82">
        <f t="shared" si="31"/>
        <v>3</v>
      </c>
      <c r="AK74" s="367" t="s">
        <v>2902</v>
      </c>
      <c r="AL74" s="367" t="s">
        <v>2902</v>
      </c>
      <c r="AM74" s="367" t="s">
        <v>2902</v>
      </c>
      <c r="AN74" s="367" t="s">
        <v>2902</v>
      </c>
      <c r="AO74" s="367" t="s">
        <v>2902</v>
      </c>
      <c r="AP74" s="296" t="s">
        <v>2326</v>
      </c>
      <c r="AQ74" s="296" t="s">
        <v>2326</v>
      </c>
      <c r="AR74" s="297"/>
      <c r="AS74" s="367" t="s">
        <v>2902</v>
      </c>
      <c r="AT74" s="367" t="s">
        <v>2902</v>
      </c>
      <c r="AU74" s="296" t="s">
        <v>2326</v>
      </c>
      <c r="AV74" s="297"/>
      <c r="AW74" s="325">
        <v>0</v>
      </c>
      <c r="AX74" s="247">
        <f t="shared" si="32"/>
        <v>50</v>
      </c>
      <c r="AY74" s="90">
        <f t="shared" si="33"/>
        <v>2</v>
      </c>
      <c r="AZ74" s="378">
        <v>0</v>
      </c>
      <c r="BA74" s="449" t="s">
        <v>3782</v>
      </c>
      <c r="BB74" s="247">
        <f t="shared" si="34"/>
        <v>100</v>
      </c>
      <c r="BC74" s="91">
        <f t="shared" si="35"/>
        <v>2</v>
      </c>
      <c r="BD74" s="325">
        <v>0</v>
      </c>
      <c r="BE74" s="325">
        <v>0</v>
      </c>
      <c r="BF74" s="325">
        <v>0</v>
      </c>
      <c r="BG74" s="252">
        <f t="shared" si="36"/>
        <v>0</v>
      </c>
      <c r="BH74" s="246">
        <f t="shared" si="37"/>
        <v>100</v>
      </c>
      <c r="BI74" s="90">
        <f t="shared" si="38"/>
        <v>1</v>
      </c>
      <c r="BJ74" s="325">
        <v>0</v>
      </c>
      <c r="BK74" s="247">
        <f t="shared" si="39"/>
        <v>100</v>
      </c>
      <c r="BL74" s="94">
        <f t="shared" si="40"/>
        <v>2</v>
      </c>
      <c r="BM74" s="325">
        <v>0</v>
      </c>
      <c r="BN74" s="325">
        <v>0</v>
      </c>
      <c r="BO74" s="325">
        <v>0</v>
      </c>
      <c r="BP74" s="211">
        <f t="shared" si="41"/>
        <v>0</v>
      </c>
      <c r="BQ74" s="253">
        <f t="shared" si="42"/>
        <v>25</v>
      </c>
      <c r="BR74" s="99">
        <f t="shared" si="43"/>
        <v>0.25</v>
      </c>
      <c r="BS74" s="101">
        <f t="shared" si="44"/>
        <v>17.25</v>
      </c>
    </row>
    <row r="75" spans="1:71" x14ac:dyDescent="0.6">
      <c r="A75" s="373" t="s">
        <v>729</v>
      </c>
      <c r="B75" s="13" t="s">
        <v>2975</v>
      </c>
      <c r="C75" s="380" t="s">
        <v>493</v>
      </c>
      <c r="D75" s="351" t="s">
        <v>191</v>
      </c>
      <c r="E75" s="352" t="s">
        <v>34</v>
      </c>
      <c r="F75" s="352" t="s">
        <v>184</v>
      </c>
      <c r="G75" s="353">
        <v>32721</v>
      </c>
      <c r="H75" s="352" t="s">
        <v>830</v>
      </c>
      <c r="I75" s="352" t="s">
        <v>776</v>
      </c>
      <c r="J75" s="352" t="s">
        <v>1058</v>
      </c>
      <c r="K75" s="352" t="s">
        <v>690</v>
      </c>
      <c r="L75" s="381">
        <v>1943161484</v>
      </c>
      <c r="M75" s="376">
        <v>692777309</v>
      </c>
      <c r="N75" s="376">
        <v>1250384175</v>
      </c>
      <c r="O75" s="376">
        <v>1244928840</v>
      </c>
      <c r="P75" s="376">
        <v>70305248</v>
      </c>
      <c r="Q75" s="376">
        <v>56807679</v>
      </c>
      <c r="R75" s="376">
        <v>54307547</v>
      </c>
      <c r="S75" s="325">
        <v>0</v>
      </c>
      <c r="T75" s="246">
        <f t="shared" si="25"/>
        <v>100</v>
      </c>
      <c r="U75" s="77">
        <f t="shared" si="26"/>
        <v>2</v>
      </c>
      <c r="V75" s="377">
        <v>0</v>
      </c>
      <c r="W75" s="377">
        <v>0</v>
      </c>
      <c r="X75" s="377">
        <v>0</v>
      </c>
      <c r="Y75" s="377">
        <v>0</v>
      </c>
      <c r="Z75" s="377">
        <v>0</v>
      </c>
      <c r="AA75" s="377">
        <v>0</v>
      </c>
      <c r="AB75" s="377">
        <v>0</v>
      </c>
      <c r="AC75" s="247">
        <f t="shared" si="27"/>
        <v>0</v>
      </c>
      <c r="AD75" s="247">
        <f t="shared" si="28"/>
        <v>100</v>
      </c>
      <c r="AE75" s="82">
        <f t="shared" si="24"/>
        <v>5</v>
      </c>
      <c r="AF75" s="377">
        <v>0</v>
      </c>
      <c r="AG75" s="377">
        <v>0</v>
      </c>
      <c r="AH75" s="247">
        <f t="shared" si="29"/>
        <v>0</v>
      </c>
      <c r="AI75" s="247">
        <f t="shared" si="30"/>
        <v>100</v>
      </c>
      <c r="AJ75" s="82">
        <f t="shared" si="31"/>
        <v>3</v>
      </c>
      <c r="AK75" s="367" t="s">
        <v>2902</v>
      </c>
      <c r="AL75" s="367" t="s">
        <v>2902</v>
      </c>
      <c r="AM75" s="367" t="s">
        <v>2902</v>
      </c>
      <c r="AN75" s="367" t="s">
        <v>2902</v>
      </c>
      <c r="AO75" s="367" t="s">
        <v>2902</v>
      </c>
      <c r="AP75" s="296" t="s">
        <v>2326</v>
      </c>
      <c r="AQ75" s="296" t="s">
        <v>2326</v>
      </c>
      <c r="AR75" s="297"/>
      <c r="AS75" s="367" t="s">
        <v>2902</v>
      </c>
      <c r="AT75" s="367" t="s">
        <v>2902</v>
      </c>
      <c r="AU75" s="296" t="s">
        <v>2326</v>
      </c>
      <c r="AV75" s="297"/>
      <c r="AW75" s="325">
        <v>1</v>
      </c>
      <c r="AX75" s="247">
        <f t="shared" si="32"/>
        <v>100</v>
      </c>
      <c r="AY75" s="90">
        <f t="shared" si="33"/>
        <v>4</v>
      </c>
      <c r="AZ75" s="378">
        <v>0</v>
      </c>
      <c r="BA75" s="449" t="s">
        <v>3782</v>
      </c>
      <c r="BB75" s="247">
        <f t="shared" si="34"/>
        <v>100</v>
      </c>
      <c r="BC75" s="91">
        <f t="shared" si="35"/>
        <v>2</v>
      </c>
      <c r="BD75" s="325">
        <v>0</v>
      </c>
      <c r="BE75" s="325">
        <v>0</v>
      </c>
      <c r="BF75" s="325">
        <v>0</v>
      </c>
      <c r="BG75" s="252">
        <f t="shared" si="36"/>
        <v>0</v>
      </c>
      <c r="BH75" s="246">
        <f t="shared" si="37"/>
        <v>100</v>
      </c>
      <c r="BI75" s="90">
        <f t="shared" si="38"/>
        <v>1</v>
      </c>
      <c r="BJ75" s="325">
        <v>0</v>
      </c>
      <c r="BK75" s="247">
        <f t="shared" si="39"/>
        <v>100</v>
      </c>
      <c r="BL75" s="94">
        <f t="shared" si="40"/>
        <v>2</v>
      </c>
      <c r="BM75" s="325">
        <v>0</v>
      </c>
      <c r="BN75" s="325">
        <v>0</v>
      </c>
      <c r="BO75" s="325">
        <v>1</v>
      </c>
      <c r="BP75" s="211">
        <f t="shared" si="41"/>
        <v>1</v>
      </c>
      <c r="BQ75" s="253">
        <f t="shared" si="42"/>
        <v>50</v>
      </c>
      <c r="BR75" s="99">
        <f t="shared" si="43"/>
        <v>0.5</v>
      </c>
      <c r="BS75" s="101">
        <f t="shared" si="44"/>
        <v>19.5</v>
      </c>
    </row>
    <row r="76" spans="1:71" x14ac:dyDescent="0.6">
      <c r="A76" s="373" t="s">
        <v>97</v>
      </c>
      <c r="B76" s="1" t="s">
        <v>2976</v>
      </c>
      <c r="C76" s="380" t="s">
        <v>404</v>
      </c>
      <c r="D76" s="354" t="s">
        <v>350</v>
      </c>
      <c r="E76" s="352" t="s">
        <v>179</v>
      </c>
      <c r="F76" s="352" t="s">
        <v>578</v>
      </c>
      <c r="G76" s="353">
        <v>35388</v>
      </c>
      <c r="H76" s="352" t="s">
        <v>830</v>
      </c>
      <c r="I76" s="352" t="s">
        <v>1587</v>
      </c>
      <c r="J76" s="352" t="s">
        <v>1038</v>
      </c>
      <c r="K76" s="352" t="s">
        <v>91</v>
      </c>
      <c r="L76" s="381">
        <v>3939974802</v>
      </c>
      <c r="M76" s="376">
        <v>3279267721</v>
      </c>
      <c r="N76" s="376">
        <v>660707081</v>
      </c>
      <c r="O76" s="376">
        <v>1268326077</v>
      </c>
      <c r="P76" s="376">
        <v>46098647</v>
      </c>
      <c r="Q76" s="376">
        <v>67910650</v>
      </c>
      <c r="R76" s="376">
        <v>48368439</v>
      </c>
      <c r="S76" s="325">
        <v>0</v>
      </c>
      <c r="T76" s="246">
        <f t="shared" si="25"/>
        <v>100</v>
      </c>
      <c r="U76" s="77">
        <f t="shared" si="26"/>
        <v>2</v>
      </c>
      <c r="V76" s="377">
        <v>0</v>
      </c>
      <c r="W76" s="377">
        <v>0</v>
      </c>
      <c r="X76" s="377">
        <v>0</v>
      </c>
      <c r="Y76" s="377">
        <v>0</v>
      </c>
      <c r="Z76" s="377">
        <v>0</v>
      </c>
      <c r="AA76" s="377">
        <v>0</v>
      </c>
      <c r="AB76" s="377">
        <v>0</v>
      </c>
      <c r="AC76" s="247">
        <f t="shared" si="27"/>
        <v>0</v>
      </c>
      <c r="AD76" s="247">
        <f t="shared" si="28"/>
        <v>100</v>
      </c>
      <c r="AE76" s="81">
        <f>AD76*0.02</f>
        <v>2</v>
      </c>
      <c r="AF76" s="360" t="s">
        <v>2902</v>
      </c>
      <c r="AG76" s="360" t="s">
        <v>2902</v>
      </c>
      <c r="AH76" s="248" t="s">
        <v>2326</v>
      </c>
      <c r="AI76" s="248" t="s">
        <v>2326</v>
      </c>
      <c r="AJ76" s="248"/>
      <c r="AK76" s="373">
        <v>0</v>
      </c>
      <c r="AL76" s="373">
        <v>0</v>
      </c>
      <c r="AM76" s="373">
        <v>0</v>
      </c>
      <c r="AN76" s="373">
        <v>0</v>
      </c>
      <c r="AO76" s="370" t="s">
        <v>3240</v>
      </c>
      <c r="AP76" s="249">
        <f>SUM(AK76:AN76)</f>
        <v>0</v>
      </c>
      <c r="AQ76" s="250">
        <f>IF(AP76=0, 100, IF(AP76=1, 75, IF(AP76=2, 50, 25)))</f>
        <v>100</v>
      </c>
      <c r="AR76" s="83">
        <f>AQ76*0.05</f>
        <v>5</v>
      </c>
      <c r="AS76" s="395">
        <v>0</v>
      </c>
      <c r="AT76" s="370" t="s">
        <v>3240</v>
      </c>
      <c r="AU76" s="251">
        <f>IF(AS76=0, 100, IF(AS76=1, 200/3, IF(AS76&gt;=2, 100/3)))</f>
        <v>100</v>
      </c>
      <c r="AV76" s="87">
        <f>AU76*0.01</f>
        <v>1</v>
      </c>
      <c r="AW76" s="325">
        <v>0</v>
      </c>
      <c r="AX76" s="247">
        <f t="shared" si="32"/>
        <v>50</v>
      </c>
      <c r="AY76" s="90">
        <f t="shared" si="33"/>
        <v>2</v>
      </c>
      <c r="AZ76" s="378">
        <v>0</v>
      </c>
      <c r="BA76" s="449" t="s">
        <v>3782</v>
      </c>
      <c r="BB76" s="247">
        <f t="shared" si="34"/>
        <v>100</v>
      </c>
      <c r="BC76" s="91">
        <f t="shared" si="35"/>
        <v>2</v>
      </c>
      <c r="BD76" s="325">
        <v>0</v>
      </c>
      <c r="BE76" s="325">
        <v>0</v>
      </c>
      <c r="BF76" s="325">
        <v>1</v>
      </c>
      <c r="BG76" s="252">
        <f t="shared" si="36"/>
        <v>1</v>
      </c>
      <c r="BH76" s="246">
        <f t="shared" si="37"/>
        <v>75</v>
      </c>
      <c r="BI76" s="90">
        <f t="shared" si="38"/>
        <v>0.75</v>
      </c>
      <c r="BJ76" s="325">
        <v>0</v>
      </c>
      <c r="BK76" s="247">
        <f t="shared" si="39"/>
        <v>100</v>
      </c>
      <c r="BL76" s="94">
        <f t="shared" si="40"/>
        <v>2</v>
      </c>
      <c r="BM76" s="325">
        <v>0</v>
      </c>
      <c r="BN76" s="325">
        <v>1</v>
      </c>
      <c r="BO76" s="325">
        <v>1</v>
      </c>
      <c r="BP76" s="211">
        <f t="shared" si="41"/>
        <v>2</v>
      </c>
      <c r="BQ76" s="253">
        <f t="shared" si="42"/>
        <v>75</v>
      </c>
      <c r="BR76" s="99">
        <f t="shared" si="43"/>
        <v>0.75</v>
      </c>
      <c r="BS76" s="101">
        <f t="shared" si="44"/>
        <v>17.5</v>
      </c>
    </row>
    <row r="77" spans="1:71" x14ac:dyDescent="0.6">
      <c r="A77" s="373" t="s">
        <v>1588</v>
      </c>
      <c r="B77" s="13" t="s">
        <v>2977</v>
      </c>
      <c r="C77" s="380" t="s">
        <v>1589</v>
      </c>
      <c r="D77" s="315" t="s">
        <v>202</v>
      </c>
      <c r="E77" s="352" t="s">
        <v>572</v>
      </c>
      <c r="F77" s="352" t="s">
        <v>1590</v>
      </c>
      <c r="G77" s="353">
        <v>27572</v>
      </c>
      <c r="H77" s="352" t="s">
        <v>830</v>
      </c>
      <c r="I77" s="352" t="s">
        <v>1591</v>
      </c>
      <c r="J77" s="352" t="s">
        <v>1592</v>
      </c>
      <c r="K77" s="352" t="s">
        <v>308</v>
      </c>
      <c r="L77" s="381">
        <v>1037444849</v>
      </c>
      <c r="M77" s="376">
        <v>756037859</v>
      </c>
      <c r="N77" s="376">
        <v>281406990</v>
      </c>
      <c r="O77" s="376">
        <v>1020419354</v>
      </c>
      <c r="P77" s="376">
        <v>62957426</v>
      </c>
      <c r="Q77" s="376">
        <v>23841777</v>
      </c>
      <c r="R77" s="376">
        <v>11209133</v>
      </c>
      <c r="S77" s="325">
        <v>0</v>
      </c>
      <c r="T77" s="246">
        <f t="shared" si="25"/>
        <v>100</v>
      </c>
      <c r="U77" s="77">
        <f t="shared" si="26"/>
        <v>2</v>
      </c>
      <c r="V77" s="377">
        <v>0</v>
      </c>
      <c r="W77" s="377">
        <v>0</v>
      </c>
      <c r="X77" s="377">
        <v>0</v>
      </c>
      <c r="Y77" s="377">
        <v>0</v>
      </c>
      <c r="Z77" s="377">
        <v>0</v>
      </c>
      <c r="AA77" s="377">
        <v>0</v>
      </c>
      <c r="AB77" s="377">
        <v>0</v>
      </c>
      <c r="AC77" s="247">
        <f t="shared" si="27"/>
        <v>0</v>
      </c>
      <c r="AD77" s="247">
        <f t="shared" si="28"/>
        <v>100</v>
      </c>
      <c r="AE77" s="82">
        <f t="shared" ref="AE77:AE101" si="45">AD77*0.05</f>
        <v>5</v>
      </c>
      <c r="AF77" s="377">
        <v>0</v>
      </c>
      <c r="AG77" s="377">
        <v>0</v>
      </c>
      <c r="AH77" s="247">
        <f t="shared" si="29"/>
        <v>0</v>
      </c>
      <c r="AI77" s="247">
        <f t="shared" si="30"/>
        <v>100</v>
      </c>
      <c r="AJ77" s="82">
        <f t="shared" si="31"/>
        <v>3</v>
      </c>
      <c r="AK77" s="367" t="s">
        <v>2902</v>
      </c>
      <c r="AL77" s="367" t="s">
        <v>2902</v>
      </c>
      <c r="AM77" s="367" t="s">
        <v>2902</v>
      </c>
      <c r="AN77" s="367" t="s">
        <v>2902</v>
      </c>
      <c r="AO77" s="367" t="s">
        <v>2902</v>
      </c>
      <c r="AP77" s="296" t="s">
        <v>2326</v>
      </c>
      <c r="AQ77" s="296" t="s">
        <v>2326</v>
      </c>
      <c r="AR77" s="297"/>
      <c r="AS77" s="367" t="s">
        <v>2902</v>
      </c>
      <c r="AT77" s="367" t="s">
        <v>2902</v>
      </c>
      <c r="AU77" s="296" t="s">
        <v>2326</v>
      </c>
      <c r="AV77" s="297"/>
      <c r="AW77" s="325">
        <v>1</v>
      </c>
      <c r="AX77" s="247">
        <f t="shared" si="32"/>
        <v>100</v>
      </c>
      <c r="AY77" s="90">
        <f t="shared" si="33"/>
        <v>4</v>
      </c>
      <c r="AZ77" s="378">
        <v>0</v>
      </c>
      <c r="BA77" s="449" t="s">
        <v>3782</v>
      </c>
      <c r="BB77" s="247">
        <f t="shared" si="34"/>
        <v>100</v>
      </c>
      <c r="BC77" s="91">
        <f t="shared" si="35"/>
        <v>2</v>
      </c>
      <c r="BD77" s="325">
        <v>0</v>
      </c>
      <c r="BE77" s="325">
        <v>0</v>
      </c>
      <c r="BF77" s="325">
        <v>0</v>
      </c>
      <c r="BG77" s="252">
        <f t="shared" si="36"/>
        <v>0</v>
      </c>
      <c r="BH77" s="246">
        <f t="shared" si="37"/>
        <v>100</v>
      </c>
      <c r="BI77" s="90">
        <f t="shared" si="38"/>
        <v>1</v>
      </c>
      <c r="BJ77" s="325">
        <v>0</v>
      </c>
      <c r="BK77" s="247">
        <f t="shared" si="39"/>
        <v>100</v>
      </c>
      <c r="BL77" s="94">
        <f t="shared" si="40"/>
        <v>2</v>
      </c>
      <c r="BM77" s="325">
        <v>0</v>
      </c>
      <c r="BN77" s="325">
        <v>0</v>
      </c>
      <c r="BO77" s="325">
        <v>0</v>
      </c>
      <c r="BP77" s="211">
        <f t="shared" si="41"/>
        <v>0</v>
      </c>
      <c r="BQ77" s="253">
        <f t="shared" si="42"/>
        <v>25</v>
      </c>
      <c r="BR77" s="99">
        <f t="shared" si="43"/>
        <v>0.25</v>
      </c>
      <c r="BS77" s="101">
        <f t="shared" si="44"/>
        <v>19.25</v>
      </c>
    </row>
    <row r="78" spans="1:71" x14ac:dyDescent="0.6">
      <c r="A78" s="373" t="s">
        <v>700</v>
      </c>
      <c r="B78" s="1" t="s">
        <v>2978</v>
      </c>
      <c r="C78" s="380" t="s">
        <v>545</v>
      </c>
      <c r="D78" s="351" t="s">
        <v>191</v>
      </c>
      <c r="E78" s="352" t="s">
        <v>178</v>
      </c>
      <c r="F78" s="352" t="s">
        <v>137</v>
      </c>
      <c r="G78" s="353">
        <v>25659</v>
      </c>
      <c r="H78" s="352" t="s">
        <v>830</v>
      </c>
      <c r="I78" s="352" t="s">
        <v>716</v>
      </c>
      <c r="J78" s="352" t="s">
        <v>1228</v>
      </c>
      <c r="K78" s="352" t="s">
        <v>91</v>
      </c>
      <c r="L78" s="381">
        <v>2858930432</v>
      </c>
      <c r="M78" s="376">
        <v>1570209001</v>
      </c>
      <c r="N78" s="376">
        <v>1288721432</v>
      </c>
      <c r="O78" s="376">
        <v>3289633814</v>
      </c>
      <c r="P78" s="376">
        <v>129259533</v>
      </c>
      <c r="Q78" s="376">
        <v>115619859</v>
      </c>
      <c r="R78" s="376">
        <v>84739843</v>
      </c>
      <c r="S78" s="325">
        <v>1</v>
      </c>
      <c r="T78" s="246">
        <f t="shared" si="25"/>
        <v>50</v>
      </c>
      <c r="U78" s="77">
        <f t="shared" si="26"/>
        <v>1</v>
      </c>
      <c r="V78" s="377">
        <v>0</v>
      </c>
      <c r="W78" s="377">
        <v>0</v>
      </c>
      <c r="X78" s="377">
        <v>0</v>
      </c>
      <c r="Y78" s="377">
        <v>0</v>
      </c>
      <c r="Z78" s="377">
        <v>0</v>
      </c>
      <c r="AA78" s="377">
        <v>0</v>
      </c>
      <c r="AB78" s="377">
        <v>0</v>
      </c>
      <c r="AC78" s="247">
        <f t="shared" si="27"/>
        <v>0</v>
      </c>
      <c r="AD78" s="247">
        <f t="shared" si="28"/>
        <v>100</v>
      </c>
      <c r="AE78" s="82">
        <f t="shared" si="45"/>
        <v>5</v>
      </c>
      <c r="AF78" s="377">
        <v>0</v>
      </c>
      <c r="AG78" s="377">
        <v>0</v>
      </c>
      <c r="AH78" s="247">
        <f t="shared" si="29"/>
        <v>0</v>
      </c>
      <c r="AI78" s="247">
        <f t="shared" si="30"/>
        <v>100</v>
      </c>
      <c r="AJ78" s="82">
        <f t="shared" si="31"/>
        <v>3</v>
      </c>
      <c r="AK78" s="367" t="s">
        <v>2902</v>
      </c>
      <c r="AL78" s="367" t="s">
        <v>2902</v>
      </c>
      <c r="AM78" s="367" t="s">
        <v>2902</v>
      </c>
      <c r="AN78" s="367" t="s">
        <v>2902</v>
      </c>
      <c r="AO78" s="367" t="s">
        <v>2902</v>
      </c>
      <c r="AP78" s="296" t="s">
        <v>2326</v>
      </c>
      <c r="AQ78" s="296" t="s">
        <v>2326</v>
      </c>
      <c r="AR78" s="297"/>
      <c r="AS78" s="367" t="s">
        <v>2902</v>
      </c>
      <c r="AT78" s="367" t="s">
        <v>2902</v>
      </c>
      <c r="AU78" s="296" t="s">
        <v>2326</v>
      </c>
      <c r="AV78" s="297"/>
      <c r="AW78" s="325">
        <v>0</v>
      </c>
      <c r="AX78" s="247">
        <f t="shared" si="32"/>
        <v>50</v>
      </c>
      <c r="AY78" s="90">
        <f t="shared" si="33"/>
        <v>2</v>
      </c>
      <c r="AZ78" s="378">
        <v>0</v>
      </c>
      <c r="BA78" s="449" t="s">
        <v>3782</v>
      </c>
      <c r="BB78" s="247">
        <f t="shared" si="34"/>
        <v>100</v>
      </c>
      <c r="BC78" s="91">
        <f t="shared" si="35"/>
        <v>2</v>
      </c>
      <c r="BD78" s="325">
        <v>0</v>
      </c>
      <c r="BE78" s="325">
        <v>0</v>
      </c>
      <c r="BF78" s="325">
        <v>0</v>
      </c>
      <c r="BG78" s="252">
        <f t="shared" si="36"/>
        <v>0</v>
      </c>
      <c r="BH78" s="246">
        <f t="shared" si="37"/>
        <v>100</v>
      </c>
      <c r="BI78" s="90">
        <f t="shared" si="38"/>
        <v>1</v>
      </c>
      <c r="BJ78" s="325">
        <v>0</v>
      </c>
      <c r="BK78" s="247">
        <f t="shared" si="39"/>
        <v>100</v>
      </c>
      <c r="BL78" s="94">
        <f t="shared" si="40"/>
        <v>2</v>
      </c>
      <c r="BM78" s="325">
        <v>0</v>
      </c>
      <c r="BN78" s="325">
        <v>0</v>
      </c>
      <c r="BO78" s="325">
        <v>1</v>
      </c>
      <c r="BP78" s="211">
        <f t="shared" si="41"/>
        <v>1</v>
      </c>
      <c r="BQ78" s="253">
        <f t="shared" si="42"/>
        <v>50</v>
      </c>
      <c r="BR78" s="99">
        <f t="shared" si="43"/>
        <v>0.5</v>
      </c>
      <c r="BS78" s="101">
        <f t="shared" si="44"/>
        <v>16.5</v>
      </c>
    </row>
    <row r="79" spans="1:71" x14ac:dyDescent="0.6">
      <c r="A79" s="373" t="s">
        <v>1593</v>
      </c>
      <c r="B79" s="1" t="s">
        <v>2979</v>
      </c>
      <c r="C79" s="380" t="s">
        <v>1594</v>
      </c>
      <c r="D79" s="315" t="s">
        <v>203</v>
      </c>
      <c r="E79" s="352" t="s">
        <v>1595</v>
      </c>
      <c r="F79" s="352" t="s">
        <v>1596</v>
      </c>
      <c r="G79" s="353">
        <v>40389</v>
      </c>
      <c r="H79" s="352" t="s">
        <v>830</v>
      </c>
      <c r="I79" s="352" t="s">
        <v>1597</v>
      </c>
      <c r="J79" s="13" t="s">
        <v>2980</v>
      </c>
      <c r="K79" s="352" t="s">
        <v>91</v>
      </c>
      <c r="L79" s="381">
        <v>991695975</v>
      </c>
      <c r="M79" s="376">
        <v>405389777</v>
      </c>
      <c r="N79" s="376">
        <v>586306198</v>
      </c>
      <c r="O79" s="376">
        <v>881208064</v>
      </c>
      <c r="P79" s="376">
        <v>14182419</v>
      </c>
      <c r="Q79" s="376">
        <v>20162956</v>
      </c>
      <c r="R79" s="376">
        <v>20025770</v>
      </c>
      <c r="S79" s="325">
        <v>1</v>
      </c>
      <c r="T79" s="246">
        <f t="shared" si="25"/>
        <v>50</v>
      </c>
      <c r="U79" s="77">
        <f t="shared" si="26"/>
        <v>1</v>
      </c>
      <c r="V79" s="377">
        <v>0</v>
      </c>
      <c r="W79" s="377">
        <v>0</v>
      </c>
      <c r="X79" s="377">
        <v>0</v>
      </c>
      <c r="Y79" s="377">
        <v>0</v>
      </c>
      <c r="Z79" s="377">
        <v>0</v>
      </c>
      <c r="AA79" s="377">
        <v>0</v>
      </c>
      <c r="AB79" s="377">
        <v>0</v>
      </c>
      <c r="AC79" s="247">
        <f t="shared" si="27"/>
        <v>0</v>
      </c>
      <c r="AD79" s="247">
        <f t="shared" si="28"/>
        <v>100</v>
      </c>
      <c r="AE79" s="82">
        <f t="shared" si="45"/>
        <v>5</v>
      </c>
      <c r="AF79" s="377">
        <v>0</v>
      </c>
      <c r="AG79" s="377">
        <v>0</v>
      </c>
      <c r="AH79" s="247">
        <f t="shared" si="29"/>
        <v>0</v>
      </c>
      <c r="AI79" s="247">
        <f t="shared" si="30"/>
        <v>100</v>
      </c>
      <c r="AJ79" s="82">
        <f t="shared" si="31"/>
        <v>3</v>
      </c>
      <c r="AK79" s="367" t="s">
        <v>2902</v>
      </c>
      <c r="AL79" s="367" t="s">
        <v>2902</v>
      </c>
      <c r="AM79" s="367" t="s">
        <v>2902</v>
      </c>
      <c r="AN79" s="367" t="s">
        <v>2902</v>
      </c>
      <c r="AO79" s="367" t="s">
        <v>2902</v>
      </c>
      <c r="AP79" s="296" t="s">
        <v>2326</v>
      </c>
      <c r="AQ79" s="296" t="s">
        <v>2326</v>
      </c>
      <c r="AR79" s="297"/>
      <c r="AS79" s="367" t="s">
        <v>2902</v>
      </c>
      <c r="AT79" s="367" t="s">
        <v>2902</v>
      </c>
      <c r="AU79" s="296" t="s">
        <v>2326</v>
      </c>
      <c r="AV79" s="297"/>
      <c r="AW79" s="325">
        <v>1</v>
      </c>
      <c r="AX79" s="247">
        <f t="shared" si="32"/>
        <v>100</v>
      </c>
      <c r="AY79" s="90">
        <f t="shared" si="33"/>
        <v>4</v>
      </c>
      <c r="AZ79" s="378">
        <v>0</v>
      </c>
      <c r="BA79" s="449" t="s">
        <v>3782</v>
      </c>
      <c r="BB79" s="247">
        <f t="shared" si="34"/>
        <v>100</v>
      </c>
      <c r="BC79" s="91">
        <f t="shared" si="35"/>
        <v>2</v>
      </c>
      <c r="BD79" s="325">
        <v>0</v>
      </c>
      <c r="BE79" s="325">
        <v>0</v>
      </c>
      <c r="BF79" s="325">
        <v>0</v>
      </c>
      <c r="BG79" s="252">
        <f t="shared" si="36"/>
        <v>0</v>
      </c>
      <c r="BH79" s="246">
        <f t="shared" si="37"/>
        <v>100</v>
      </c>
      <c r="BI79" s="90">
        <f t="shared" si="38"/>
        <v>1</v>
      </c>
      <c r="BJ79" s="325">
        <v>0</v>
      </c>
      <c r="BK79" s="247">
        <f t="shared" si="39"/>
        <v>100</v>
      </c>
      <c r="BL79" s="94">
        <f t="shared" si="40"/>
        <v>2</v>
      </c>
      <c r="BM79" s="325">
        <v>0</v>
      </c>
      <c r="BN79" s="325">
        <v>0</v>
      </c>
      <c r="BO79" s="325">
        <v>1</v>
      </c>
      <c r="BP79" s="211">
        <f t="shared" si="41"/>
        <v>1</v>
      </c>
      <c r="BQ79" s="253">
        <f t="shared" si="42"/>
        <v>50</v>
      </c>
      <c r="BR79" s="99">
        <f t="shared" si="43"/>
        <v>0.5</v>
      </c>
      <c r="BS79" s="101">
        <f t="shared" si="44"/>
        <v>18.5</v>
      </c>
    </row>
    <row r="80" spans="1:71" x14ac:dyDescent="0.6">
      <c r="A80" s="373" t="s">
        <v>82</v>
      </c>
      <c r="B80" s="1" t="s">
        <v>2981</v>
      </c>
      <c r="C80" s="380" t="s">
        <v>427</v>
      </c>
      <c r="D80" s="315" t="s">
        <v>203</v>
      </c>
      <c r="E80" s="352" t="s">
        <v>978</v>
      </c>
      <c r="F80" s="352" t="s">
        <v>556</v>
      </c>
      <c r="G80" s="353">
        <v>40536</v>
      </c>
      <c r="H80" s="352" t="s">
        <v>830</v>
      </c>
      <c r="I80" s="352" t="s">
        <v>972</v>
      </c>
      <c r="J80" s="352" t="s">
        <v>638</v>
      </c>
      <c r="K80" s="352" t="s">
        <v>308</v>
      </c>
      <c r="L80" s="381">
        <v>838882273</v>
      </c>
      <c r="M80" s="376">
        <v>521359056</v>
      </c>
      <c r="N80" s="376">
        <v>317523216</v>
      </c>
      <c r="O80" s="376">
        <v>1019977255</v>
      </c>
      <c r="P80" s="376">
        <v>1019269</v>
      </c>
      <c r="Q80" s="376">
        <v>1770357</v>
      </c>
      <c r="R80" s="376">
        <v>1219262</v>
      </c>
      <c r="S80" s="325">
        <v>1</v>
      </c>
      <c r="T80" s="246">
        <f t="shared" si="25"/>
        <v>50</v>
      </c>
      <c r="U80" s="77">
        <f t="shared" si="26"/>
        <v>1</v>
      </c>
      <c r="V80" s="377">
        <v>0</v>
      </c>
      <c r="W80" s="377">
        <v>0</v>
      </c>
      <c r="X80" s="377">
        <v>0</v>
      </c>
      <c r="Y80" s="377">
        <v>0</v>
      </c>
      <c r="Z80" s="377">
        <v>0</v>
      </c>
      <c r="AA80" s="377">
        <v>0</v>
      </c>
      <c r="AB80" s="377">
        <v>0</v>
      </c>
      <c r="AC80" s="247">
        <f t="shared" si="27"/>
        <v>0</v>
      </c>
      <c r="AD80" s="247">
        <f t="shared" si="28"/>
        <v>100</v>
      </c>
      <c r="AE80" s="82">
        <f t="shared" si="45"/>
        <v>5</v>
      </c>
      <c r="AF80" s="377">
        <v>0</v>
      </c>
      <c r="AG80" s="377">
        <v>0</v>
      </c>
      <c r="AH80" s="247">
        <f t="shared" si="29"/>
        <v>0</v>
      </c>
      <c r="AI80" s="247">
        <f t="shared" si="30"/>
        <v>100</v>
      </c>
      <c r="AJ80" s="82">
        <f t="shared" si="31"/>
        <v>3</v>
      </c>
      <c r="AK80" s="367" t="s">
        <v>2902</v>
      </c>
      <c r="AL80" s="367" t="s">
        <v>2902</v>
      </c>
      <c r="AM80" s="367" t="s">
        <v>2902</v>
      </c>
      <c r="AN80" s="367" t="s">
        <v>2902</v>
      </c>
      <c r="AO80" s="367" t="s">
        <v>2902</v>
      </c>
      <c r="AP80" s="296" t="s">
        <v>2326</v>
      </c>
      <c r="AQ80" s="296" t="s">
        <v>2326</v>
      </c>
      <c r="AR80" s="297"/>
      <c r="AS80" s="367" t="s">
        <v>2902</v>
      </c>
      <c r="AT80" s="367" t="s">
        <v>2902</v>
      </c>
      <c r="AU80" s="296" t="s">
        <v>2326</v>
      </c>
      <c r="AV80" s="297"/>
      <c r="AW80" s="325">
        <v>1</v>
      </c>
      <c r="AX80" s="247">
        <f t="shared" si="32"/>
        <v>100</v>
      </c>
      <c r="AY80" s="90">
        <f t="shared" si="33"/>
        <v>4</v>
      </c>
      <c r="AZ80" s="378">
        <v>0</v>
      </c>
      <c r="BA80" s="449" t="s">
        <v>3782</v>
      </c>
      <c r="BB80" s="247">
        <f t="shared" si="34"/>
        <v>100</v>
      </c>
      <c r="BC80" s="91">
        <f t="shared" si="35"/>
        <v>2</v>
      </c>
      <c r="BD80" s="325">
        <v>0</v>
      </c>
      <c r="BE80" s="325">
        <v>0</v>
      </c>
      <c r="BF80" s="325">
        <v>0</v>
      </c>
      <c r="BG80" s="252">
        <f t="shared" si="36"/>
        <v>0</v>
      </c>
      <c r="BH80" s="246">
        <f t="shared" si="37"/>
        <v>100</v>
      </c>
      <c r="BI80" s="90">
        <f t="shared" si="38"/>
        <v>1</v>
      </c>
      <c r="BJ80" s="325">
        <v>0</v>
      </c>
      <c r="BK80" s="247">
        <f t="shared" si="39"/>
        <v>100</v>
      </c>
      <c r="BL80" s="94">
        <f t="shared" si="40"/>
        <v>2</v>
      </c>
      <c r="BM80" s="325">
        <v>0</v>
      </c>
      <c r="BN80" s="325">
        <v>0</v>
      </c>
      <c r="BO80" s="325">
        <v>1</v>
      </c>
      <c r="BP80" s="211">
        <f t="shared" si="41"/>
        <v>1</v>
      </c>
      <c r="BQ80" s="253">
        <f t="shared" si="42"/>
        <v>50</v>
      </c>
      <c r="BR80" s="99">
        <f t="shared" si="43"/>
        <v>0.5</v>
      </c>
      <c r="BS80" s="101">
        <f t="shared" si="44"/>
        <v>18.5</v>
      </c>
    </row>
    <row r="81" spans="1:71" x14ac:dyDescent="0.6">
      <c r="A81" s="373" t="s">
        <v>932</v>
      </c>
      <c r="B81" s="13" t="s">
        <v>2982</v>
      </c>
      <c r="C81" s="380" t="s">
        <v>452</v>
      </c>
      <c r="D81" s="351" t="s">
        <v>285</v>
      </c>
      <c r="E81" s="352" t="s">
        <v>872</v>
      </c>
      <c r="F81" s="352" t="s">
        <v>286</v>
      </c>
      <c r="G81" s="353">
        <v>36973</v>
      </c>
      <c r="H81" s="352" t="s">
        <v>830</v>
      </c>
      <c r="I81" s="352" t="s">
        <v>771</v>
      </c>
      <c r="J81" s="352" t="s">
        <v>1598</v>
      </c>
      <c r="K81" s="352" t="s">
        <v>91</v>
      </c>
      <c r="L81" s="381">
        <v>9668849513</v>
      </c>
      <c r="M81" s="376">
        <v>6674852812</v>
      </c>
      <c r="N81" s="376">
        <v>2993996701</v>
      </c>
      <c r="O81" s="376">
        <v>9318914840</v>
      </c>
      <c r="P81" s="376">
        <v>433402928</v>
      </c>
      <c r="Q81" s="376">
        <v>364861645</v>
      </c>
      <c r="R81" s="376">
        <v>254741243</v>
      </c>
      <c r="S81" s="325">
        <v>1</v>
      </c>
      <c r="T81" s="246">
        <f t="shared" si="25"/>
        <v>50</v>
      </c>
      <c r="U81" s="77">
        <f t="shared" si="26"/>
        <v>1</v>
      </c>
      <c r="V81" s="377">
        <v>0</v>
      </c>
      <c r="W81" s="377">
        <v>0</v>
      </c>
      <c r="X81" s="377">
        <v>0</v>
      </c>
      <c r="Y81" s="377">
        <v>0</v>
      </c>
      <c r="Z81" s="377">
        <v>0</v>
      </c>
      <c r="AA81" s="377">
        <v>0</v>
      </c>
      <c r="AB81" s="377">
        <v>0</v>
      </c>
      <c r="AC81" s="247">
        <f t="shared" si="27"/>
        <v>0</v>
      </c>
      <c r="AD81" s="247">
        <f t="shared" si="28"/>
        <v>100</v>
      </c>
      <c r="AE81" s="82">
        <f t="shared" si="45"/>
        <v>5</v>
      </c>
      <c r="AF81" s="377">
        <v>1</v>
      </c>
      <c r="AG81" s="377">
        <v>0</v>
      </c>
      <c r="AH81" s="247">
        <f t="shared" si="29"/>
        <v>1</v>
      </c>
      <c r="AI81" s="247">
        <f t="shared" si="30"/>
        <v>66.666666666666671</v>
      </c>
      <c r="AJ81" s="82">
        <f t="shared" si="31"/>
        <v>2</v>
      </c>
      <c r="AK81" s="367" t="s">
        <v>2902</v>
      </c>
      <c r="AL81" s="367" t="s">
        <v>2902</v>
      </c>
      <c r="AM81" s="367" t="s">
        <v>2902</v>
      </c>
      <c r="AN81" s="367" t="s">
        <v>2902</v>
      </c>
      <c r="AO81" s="367" t="s">
        <v>2902</v>
      </c>
      <c r="AP81" s="296" t="s">
        <v>2326</v>
      </c>
      <c r="AQ81" s="296" t="s">
        <v>2326</v>
      </c>
      <c r="AR81" s="297"/>
      <c r="AS81" s="367" t="s">
        <v>2902</v>
      </c>
      <c r="AT81" s="367" t="s">
        <v>2902</v>
      </c>
      <c r="AU81" s="296" t="s">
        <v>2326</v>
      </c>
      <c r="AV81" s="297"/>
      <c r="AW81" s="325">
        <v>0</v>
      </c>
      <c r="AX81" s="247">
        <f t="shared" si="32"/>
        <v>50</v>
      </c>
      <c r="AY81" s="90">
        <f t="shared" si="33"/>
        <v>2</v>
      </c>
      <c r="AZ81" s="378">
        <v>0</v>
      </c>
      <c r="BA81" s="449" t="s">
        <v>3782</v>
      </c>
      <c r="BB81" s="247">
        <f t="shared" si="34"/>
        <v>100</v>
      </c>
      <c r="BC81" s="91">
        <f t="shared" si="35"/>
        <v>2</v>
      </c>
      <c r="BD81" s="325">
        <v>0</v>
      </c>
      <c r="BE81" s="325">
        <v>0</v>
      </c>
      <c r="BF81" s="325">
        <v>0</v>
      </c>
      <c r="BG81" s="252">
        <f t="shared" si="36"/>
        <v>0</v>
      </c>
      <c r="BH81" s="246">
        <f t="shared" si="37"/>
        <v>100</v>
      </c>
      <c r="BI81" s="90">
        <f t="shared" si="38"/>
        <v>1</v>
      </c>
      <c r="BJ81" s="325">
        <v>0</v>
      </c>
      <c r="BK81" s="247">
        <f t="shared" si="39"/>
        <v>100</v>
      </c>
      <c r="BL81" s="94">
        <f t="shared" si="40"/>
        <v>2</v>
      </c>
      <c r="BM81" s="325">
        <v>0</v>
      </c>
      <c r="BN81" s="325">
        <v>0</v>
      </c>
      <c r="BO81" s="325">
        <v>1</v>
      </c>
      <c r="BP81" s="211">
        <f t="shared" si="41"/>
        <v>1</v>
      </c>
      <c r="BQ81" s="253">
        <f t="shared" si="42"/>
        <v>50</v>
      </c>
      <c r="BR81" s="99">
        <f t="shared" si="43"/>
        <v>0.5</v>
      </c>
      <c r="BS81" s="101">
        <f t="shared" si="44"/>
        <v>15.5</v>
      </c>
    </row>
    <row r="82" spans="1:71" x14ac:dyDescent="0.6">
      <c r="A82" s="373" t="s">
        <v>761</v>
      </c>
      <c r="B82" s="1" t="s">
        <v>2983</v>
      </c>
      <c r="C82" s="380" t="s">
        <v>552</v>
      </c>
      <c r="D82" s="351" t="s">
        <v>191</v>
      </c>
      <c r="E82" s="352" t="s">
        <v>34</v>
      </c>
      <c r="F82" s="352" t="s">
        <v>131</v>
      </c>
      <c r="G82" s="353">
        <v>26841</v>
      </c>
      <c r="H82" s="352" t="s">
        <v>830</v>
      </c>
      <c r="I82" s="352" t="s">
        <v>739</v>
      </c>
      <c r="J82" s="352" t="s">
        <v>1247</v>
      </c>
      <c r="K82" s="352" t="s">
        <v>690</v>
      </c>
      <c r="L82" s="381">
        <v>467020461</v>
      </c>
      <c r="M82" s="376">
        <v>22242291</v>
      </c>
      <c r="N82" s="376">
        <v>444778170</v>
      </c>
      <c r="O82" s="376">
        <v>102401976</v>
      </c>
      <c r="P82" s="376">
        <v>54478995</v>
      </c>
      <c r="Q82" s="376">
        <v>56254195</v>
      </c>
      <c r="R82" s="376">
        <v>53906527</v>
      </c>
      <c r="S82" s="325">
        <v>0</v>
      </c>
      <c r="T82" s="246">
        <f t="shared" si="25"/>
        <v>100</v>
      </c>
      <c r="U82" s="77">
        <f t="shared" si="26"/>
        <v>2</v>
      </c>
      <c r="V82" s="377">
        <v>0</v>
      </c>
      <c r="W82" s="377">
        <v>0</v>
      </c>
      <c r="X82" s="377">
        <v>0</v>
      </c>
      <c r="Y82" s="377">
        <v>0</v>
      </c>
      <c r="Z82" s="377">
        <v>0</v>
      </c>
      <c r="AA82" s="377">
        <v>0</v>
      </c>
      <c r="AB82" s="377">
        <v>0</v>
      </c>
      <c r="AC82" s="247">
        <f t="shared" si="27"/>
        <v>0</v>
      </c>
      <c r="AD82" s="247">
        <f t="shared" si="28"/>
        <v>100</v>
      </c>
      <c r="AE82" s="82">
        <f t="shared" si="45"/>
        <v>5</v>
      </c>
      <c r="AF82" s="377">
        <v>0</v>
      </c>
      <c r="AG82" s="377">
        <v>0</v>
      </c>
      <c r="AH82" s="247">
        <f t="shared" si="29"/>
        <v>0</v>
      </c>
      <c r="AI82" s="247">
        <f t="shared" si="30"/>
        <v>100</v>
      </c>
      <c r="AJ82" s="82">
        <f t="shared" si="31"/>
        <v>3</v>
      </c>
      <c r="AK82" s="367" t="s">
        <v>2902</v>
      </c>
      <c r="AL82" s="367" t="s">
        <v>2902</v>
      </c>
      <c r="AM82" s="367" t="s">
        <v>2902</v>
      </c>
      <c r="AN82" s="367" t="s">
        <v>2902</v>
      </c>
      <c r="AO82" s="367" t="s">
        <v>2902</v>
      </c>
      <c r="AP82" s="296" t="s">
        <v>2326</v>
      </c>
      <c r="AQ82" s="296" t="s">
        <v>2326</v>
      </c>
      <c r="AR82" s="297"/>
      <c r="AS82" s="367" t="s">
        <v>2902</v>
      </c>
      <c r="AT82" s="367" t="s">
        <v>2902</v>
      </c>
      <c r="AU82" s="296" t="s">
        <v>2326</v>
      </c>
      <c r="AV82" s="297"/>
      <c r="AW82" s="325">
        <v>1</v>
      </c>
      <c r="AX82" s="247">
        <f t="shared" si="32"/>
        <v>100</v>
      </c>
      <c r="AY82" s="90">
        <f t="shared" si="33"/>
        <v>4</v>
      </c>
      <c r="AZ82" s="378">
        <v>0</v>
      </c>
      <c r="BA82" s="449" t="s">
        <v>3782</v>
      </c>
      <c r="BB82" s="247">
        <f t="shared" si="34"/>
        <v>100</v>
      </c>
      <c r="BC82" s="91">
        <f t="shared" si="35"/>
        <v>2</v>
      </c>
      <c r="BD82" s="325">
        <v>0</v>
      </c>
      <c r="BE82" s="325">
        <v>0</v>
      </c>
      <c r="BF82" s="325">
        <v>0</v>
      </c>
      <c r="BG82" s="252">
        <f t="shared" si="36"/>
        <v>0</v>
      </c>
      <c r="BH82" s="246">
        <f t="shared" si="37"/>
        <v>100</v>
      </c>
      <c r="BI82" s="90">
        <f t="shared" si="38"/>
        <v>1</v>
      </c>
      <c r="BJ82" s="325">
        <v>0</v>
      </c>
      <c r="BK82" s="247">
        <f t="shared" si="39"/>
        <v>100</v>
      </c>
      <c r="BL82" s="94">
        <f t="shared" si="40"/>
        <v>2</v>
      </c>
      <c r="BM82" s="325">
        <v>0</v>
      </c>
      <c r="BN82" s="325">
        <v>0</v>
      </c>
      <c r="BO82" s="325">
        <v>1</v>
      </c>
      <c r="BP82" s="211">
        <f t="shared" si="41"/>
        <v>1</v>
      </c>
      <c r="BQ82" s="253">
        <f t="shared" si="42"/>
        <v>50</v>
      </c>
      <c r="BR82" s="99">
        <f t="shared" si="43"/>
        <v>0.5</v>
      </c>
      <c r="BS82" s="101">
        <f t="shared" si="44"/>
        <v>19.5</v>
      </c>
    </row>
    <row r="83" spans="1:71" x14ac:dyDescent="0.6">
      <c r="A83" s="373" t="s">
        <v>1599</v>
      </c>
      <c r="B83" s="1" t="s">
        <v>2984</v>
      </c>
      <c r="C83" s="380" t="s">
        <v>1600</v>
      </c>
      <c r="D83" s="315" t="s">
        <v>191</v>
      </c>
      <c r="E83" s="352" t="s">
        <v>34</v>
      </c>
      <c r="F83" s="352" t="s">
        <v>1601</v>
      </c>
      <c r="G83" s="353">
        <v>37561</v>
      </c>
      <c r="H83" s="352" t="s">
        <v>830</v>
      </c>
      <c r="I83" s="352" t="s">
        <v>1602</v>
      </c>
      <c r="J83" s="352" t="s">
        <v>1603</v>
      </c>
      <c r="K83" s="352" t="s">
        <v>690</v>
      </c>
      <c r="L83" s="381">
        <v>1374022214</v>
      </c>
      <c r="M83" s="376">
        <v>714171561</v>
      </c>
      <c r="N83" s="376">
        <v>659850653</v>
      </c>
      <c r="O83" s="376">
        <v>1161253630</v>
      </c>
      <c r="P83" s="376">
        <v>105963323</v>
      </c>
      <c r="Q83" s="376">
        <v>44624254</v>
      </c>
      <c r="R83" s="376">
        <v>48561673</v>
      </c>
      <c r="S83" s="325">
        <v>0</v>
      </c>
      <c r="T83" s="246">
        <f t="shared" si="25"/>
        <v>100</v>
      </c>
      <c r="U83" s="77">
        <f t="shared" si="26"/>
        <v>2</v>
      </c>
      <c r="V83" s="377">
        <v>0</v>
      </c>
      <c r="W83" s="377">
        <v>0</v>
      </c>
      <c r="X83" s="377">
        <v>0</v>
      </c>
      <c r="Y83" s="377">
        <v>0</v>
      </c>
      <c r="Z83" s="377">
        <v>0</v>
      </c>
      <c r="AA83" s="377">
        <v>0</v>
      </c>
      <c r="AB83" s="377">
        <v>0</v>
      </c>
      <c r="AC83" s="247">
        <f t="shared" si="27"/>
        <v>0</v>
      </c>
      <c r="AD83" s="247">
        <f t="shared" si="28"/>
        <v>100</v>
      </c>
      <c r="AE83" s="82">
        <f t="shared" si="45"/>
        <v>5</v>
      </c>
      <c r="AF83" s="377">
        <v>0</v>
      </c>
      <c r="AG83" s="377">
        <v>0</v>
      </c>
      <c r="AH83" s="247">
        <f t="shared" si="29"/>
        <v>0</v>
      </c>
      <c r="AI83" s="247">
        <f t="shared" si="30"/>
        <v>100</v>
      </c>
      <c r="AJ83" s="82">
        <f t="shared" si="31"/>
        <v>3</v>
      </c>
      <c r="AK83" s="367" t="s">
        <v>2902</v>
      </c>
      <c r="AL83" s="367" t="s">
        <v>2902</v>
      </c>
      <c r="AM83" s="367" t="s">
        <v>2902</v>
      </c>
      <c r="AN83" s="367" t="s">
        <v>2902</v>
      </c>
      <c r="AO83" s="367" t="s">
        <v>2902</v>
      </c>
      <c r="AP83" s="296" t="s">
        <v>2326</v>
      </c>
      <c r="AQ83" s="296" t="s">
        <v>2326</v>
      </c>
      <c r="AR83" s="297"/>
      <c r="AS83" s="367" t="s">
        <v>2902</v>
      </c>
      <c r="AT83" s="367" t="s">
        <v>2902</v>
      </c>
      <c r="AU83" s="296" t="s">
        <v>2326</v>
      </c>
      <c r="AV83" s="297"/>
      <c r="AW83" s="325">
        <v>0</v>
      </c>
      <c r="AX83" s="247">
        <f t="shared" si="32"/>
        <v>50</v>
      </c>
      <c r="AY83" s="90">
        <f t="shared" si="33"/>
        <v>2</v>
      </c>
      <c r="AZ83" s="378">
        <v>0</v>
      </c>
      <c r="BA83" s="449" t="s">
        <v>3782</v>
      </c>
      <c r="BB83" s="247">
        <f t="shared" si="34"/>
        <v>100</v>
      </c>
      <c r="BC83" s="91">
        <f t="shared" si="35"/>
        <v>2</v>
      </c>
      <c r="BD83" s="325">
        <v>0</v>
      </c>
      <c r="BE83" s="325">
        <v>0</v>
      </c>
      <c r="BF83" s="325">
        <v>0</v>
      </c>
      <c r="BG83" s="252">
        <f t="shared" si="36"/>
        <v>0</v>
      </c>
      <c r="BH83" s="246">
        <f t="shared" si="37"/>
        <v>100</v>
      </c>
      <c r="BI83" s="90">
        <f t="shared" si="38"/>
        <v>1</v>
      </c>
      <c r="BJ83" s="325">
        <v>0</v>
      </c>
      <c r="BK83" s="247">
        <f t="shared" si="39"/>
        <v>100</v>
      </c>
      <c r="BL83" s="94">
        <f t="shared" si="40"/>
        <v>2</v>
      </c>
      <c r="BM83" s="325">
        <v>0</v>
      </c>
      <c r="BN83" s="325">
        <v>0</v>
      </c>
      <c r="BO83" s="325">
        <v>1</v>
      </c>
      <c r="BP83" s="211">
        <f t="shared" si="41"/>
        <v>1</v>
      </c>
      <c r="BQ83" s="253">
        <f t="shared" si="42"/>
        <v>50</v>
      </c>
      <c r="BR83" s="99">
        <f t="shared" si="43"/>
        <v>0.5</v>
      </c>
      <c r="BS83" s="101">
        <f t="shared" si="44"/>
        <v>17.5</v>
      </c>
    </row>
    <row r="84" spans="1:71" x14ac:dyDescent="0.6">
      <c r="A84" s="373" t="s">
        <v>559</v>
      </c>
      <c r="B84" s="1" t="s">
        <v>2985</v>
      </c>
      <c r="C84" s="380" t="s">
        <v>89</v>
      </c>
      <c r="D84" s="351" t="s">
        <v>202</v>
      </c>
      <c r="E84" s="352" t="s">
        <v>954</v>
      </c>
      <c r="F84" s="352" t="s">
        <v>122</v>
      </c>
      <c r="G84" s="353">
        <v>28298</v>
      </c>
      <c r="H84" s="352" t="s">
        <v>830</v>
      </c>
      <c r="I84" s="352" t="s">
        <v>1604</v>
      </c>
      <c r="J84" s="352" t="s">
        <v>1014</v>
      </c>
      <c r="K84" s="352" t="s">
        <v>425</v>
      </c>
      <c r="L84" s="381">
        <v>688386355</v>
      </c>
      <c r="M84" s="376">
        <v>261400791</v>
      </c>
      <c r="N84" s="376">
        <v>426985565</v>
      </c>
      <c r="O84" s="376">
        <v>696217415</v>
      </c>
      <c r="P84" s="376">
        <v>16849939</v>
      </c>
      <c r="Q84" s="376">
        <v>6695668</v>
      </c>
      <c r="R84" s="376">
        <v>10606180</v>
      </c>
      <c r="S84" s="325">
        <v>1</v>
      </c>
      <c r="T84" s="246">
        <f t="shared" si="25"/>
        <v>50</v>
      </c>
      <c r="U84" s="77">
        <f t="shared" si="26"/>
        <v>1</v>
      </c>
      <c r="V84" s="377">
        <v>0</v>
      </c>
      <c r="W84" s="377">
        <v>0</v>
      </c>
      <c r="X84" s="377">
        <v>0</v>
      </c>
      <c r="Y84" s="377">
        <v>0</v>
      </c>
      <c r="Z84" s="377">
        <v>0</v>
      </c>
      <c r="AA84" s="377">
        <v>0</v>
      </c>
      <c r="AB84" s="377">
        <v>0</v>
      </c>
      <c r="AC84" s="247">
        <f t="shared" si="27"/>
        <v>0</v>
      </c>
      <c r="AD84" s="247">
        <f t="shared" si="28"/>
        <v>100</v>
      </c>
      <c r="AE84" s="82">
        <f t="shared" si="45"/>
        <v>5</v>
      </c>
      <c r="AF84" s="377">
        <v>0</v>
      </c>
      <c r="AG84" s="377">
        <v>0</v>
      </c>
      <c r="AH84" s="247">
        <f t="shared" si="29"/>
        <v>0</v>
      </c>
      <c r="AI84" s="247">
        <f t="shared" si="30"/>
        <v>100</v>
      </c>
      <c r="AJ84" s="82">
        <f t="shared" si="31"/>
        <v>3</v>
      </c>
      <c r="AK84" s="367" t="s">
        <v>2902</v>
      </c>
      <c r="AL84" s="367" t="s">
        <v>2902</v>
      </c>
      <c r="AM84" s="367" t="s">
        <v>2902</v>
      </c>
      <c r="AN84" s="367" t="s">
        <v>2902</v>
      </c>
      <c r="AO84" s="367" t="s">
        <v>2902</v>
      </c>
      <c r="AP84" s="296" t="s">
        <v>2326</v>
      </c>
      <c r="AQ84" s="296" t="s">
        <v>2326</v>
      </c>
      <c r="AR84" s="297"/>
      <c r="AS84" s="367" t="s">
        <v>2902</v>
      </c>
      <c r="AT84" s="367" t="s">
        <v>2902</v>
      </c>
      <c r="AU84" s="296" t="s">
        <v>2326</v>
      </c>
      <c r="AV84" s="297"/>
      <c r="AW84" s="325">
        <v>1</v>
      </c>
      <c r="AX84" s="247">
        <f t="shared" si="32"/>
        <v>100</v>
      </c>
      <c r="AY84" s="90">
        <f t="shared" si="33"/>
        <v>4</v>
      </c>
      <c r="AZ84" s="378">
        <v>0</v>
      </c>
      <c r="BA84" s="449" t="s">
        <v>3782</v>
      </c>
      <c r="BB84" s="247">
        <f t="shared" si="34"/>
        <v>100</v>
      </c>
      <c r="BC84" s="91">
        <f t="shared" si="35"/>
        <v>2</v>
      </c>
      <c r="BD84" s="325">
        <v>0</v>
      </c>
      <c r="BE84" s="325">
        <v>0</v>
      </c>
      <c r="BF84" s="325">
        <v>1</v>
      </c>
      <c r="BG84" s="252">
        <f t="shared" si="36"/>
        <v>1</v>
      </c>
      <c r="BH84" s="246">
        <f t="shared" si="37"/>
        <v>75</v>
      </c>
      <c r="BI84" s="90">
        <f t="shared" si="38"/>
        <v>0.75</v>
      </c>
      <c r="BJ84" s="325">
        <v>0</v>
      </c>
      <c r="BK84" s="247">
        <f t="shared" si="39"/>
        <v>100</v>
      </c>
      <c r="BL84" s="94">
        <f t="shared" si="40"/>
        <v>2</v>
      </c>
      <c r="BM84" s="325">
        <v>0</v>
      </c>
      <c r="BN84" s="325">
        <v>0</v>
      </c>
      <c r="BO84" s="325">
        <v>0</v>
      </c>
      <c r="BP84" s="211">
        <f t="shared" si="41"/>
        <v>0</v>
      </c>
      <c r="BQ84" s="253">
        <f t="shared" si="42"/>
        <v>25</v>
      </c>
      <c r="BR84" s="99">
        <f t="shared" si="43"/>
        <v>0.25</v>
      </c>
      <c r="BS84" s="101">
        <f t="shared" si="44"/>
        <v>18</v>
      </c>
    </row>
    <row r="85" spans="1:71" x14ac:dyDescent="0.6">
      <c r="A85" s="373" t="s">
        <v>333</v>
      </c>
      <c r="B85" s="13" t="s">
        <v>2986</v>
      </c>
      <c r="C85" s="380" t="s">
        <v>40</v>
      </c>
      <c r="D85" s="351" t="s">
        <v>191</v>
      </c>
      <c r="E85" s="352" t="s">
        <v>34</v>
      </c>
      <c r="F85" s="352" t="s">
        <v>139</v>
      </c>
      <c r="G85" s="353">
        <v>36509</v>
      </c>
      <c r="H85" s="352" t="s">
        <v>830</v>
      </c>
      <c r="I85" s="352" t="s">
        <v>451</v>
      </c>
      <c r="J85" s="352" t="s">
        <v>1227</v>
      </c>
      <c r="K85" s="352" t="s">
        <v>91</v>
      </c>
      <c r="L85" s="381">
        <v>424552601</v>
      </c>
      <c r="M85" s="376">
        <v>177887391</v>
      </c>
      <c r="N85" s="376">
        <v>246665210</v>
      </c>
      <c r="O85" s="376">
        <v>452801417</v>
      </c>
      <c r="P85" s="376">
        <v>47688591</v>
      </c>
      <c r="Q85" s="376">
        <v>39855973</v>
      </c>
      <c r="R85" s="376">
        <v>31496020</v>
      </c>
      <c r="S85" s="325">
        <v>0</v>
      </c>
      <c r="T85" s="246">
        <f t="shared" si="25"/>
        <v>100</v>
      </c>
      <c r="U85" s="77">
        <f t="shared" si="26"/>
        <v>2</v>
      </c>
      <c r="V85" s="377">
        <v>0</v>
      </c>
      <c r="W85" s="377">
        <v>0</v>
      </c>
      <c r="X85" s="377">
        <v>0</v>
      </c>
      <c r="Y85" s="377">
        <v>0</v>
      </c>
      <c r="Z85" s="377">
        <v>0</v>
      </c>
      <c r="AA85" s="377">
        <v>0</v>
      </c>
      <c r="AB85" s="377">
        <v>0</v>
      </c>
      <c r="AC85" s="247">
        <f t="shared" si="27"/>
        <v>0</v>
      </c>
      <c r="AD85" s="247">
        <f t="shared" si="28"/>
        <v>100</v>
      </c>
      <c r="AE85" s="82">
        <f t="shared" si="45"/>
        <v>5</v>
      </c>
      <c r="AF85" s="377">
        <v>0</v>
      </c>
      <c r="AG85" s="377">
        <v>0</v>
      </c>
      <c r="AH85" s="247">
        <f t="shared" si="29"/>
        <v>0</v>
      </c>
      <c r="AI85" s="247">
        <f t="shared" si="30"/>
        <v>100</v>
      </c>
      <c r="AJ85" s="82">
        <f t="shared" si="31"/>
        <v>3</v>
      </c>
      <c r="AK85" s="367" t="s">
        <v>2902</v>
      </c>
      <c r="AL85" s="367" t="s">
        <v>2902</v>
      </c>
      <c r="AM85" s="367" t="s">
        <v>2902</v>
      </c>
      <c r="AN85" s="367" t="s">
        <v>2902</v>
      </c>
      <c r="AO85" s="367" t="s">
        <v>2902</v>
      </c>
      <c r="AP85" s="296" t="s">
        <v>2326</v>
      </c>
      <c r="AQ85" s="296" t="s">
        <v>2326</v>
      </c>
      <c r="AR85" s="297"/>
      <c r="AS85" s="367" t="s">
        <v>2902</v>
      </c>
      <c r="AT85" s="367" t="s">
        <v>2902</v>
      </c>
      <c r="AU85" s="296" t="s">
        <v>2326</v>
      </c>
      <c r="AV85" s="297"/>
      <c r="AW85" s="325">
        <v>0</v>
      </c>
      <c r="AX85" s="247">
        <f t="shared" si="32"/>
        <v>50</v>
      </c>
      <c r="AY85" s="90">
        <f t="shared" si="33"/>
        <v>2</v>
      </c>
      <c r="AZ85" s="378">
        <v>0</v>
      </c>
      <c r="BA85" s="449" t="s">
        <v>3782</v>
      </c>
      <c r="BB85" s="247">
        <f t="shared" si="34"/>
        <v>100</v>
      </c>
      <c r="BC85" s="91">
        <f t="shared" si="35"/>
        <v>2</v>
      </c>
      <c r="BD85" s="325">
        <v>0</v>
      </c>
      <c r="BE85" s="325">
        <v>0</v>
      </c>
      <c r="BF85" s="325">
        <v>0</v>
      </c>
      <c r="BG85" s="252">
        <f t="shared" si="36"/>
        <v>0</v>
      </c>
      <c r="BH85" s="246">
        <f t="shared" si="37"/>
        <v>100</v>
      </c>
      <c r="BI85" s="90">
        <f t="shared" si="38"/>
        <v>1</v>
      </c>
      <c r="BJ85" s="325">
        <v>1</v>
      </c>
      <c r="BK85" s="247">
        <f t="shared" si="39"/>
        <v>50</v>
      </c>
      <c r="BL85" s="94">
        <f t="shared" si="40"/>
        <v>1</v>
      </c>
      <c r="BM85" s="325">
        <v>0</v>
      </c>
      <c r="BN85" s="325">
        <v>0</v>
      </c>
      <c r="BO85" s="325">
        <v>0</v>
      </c>
      <c r="BP85" s="211">
        <f t="shared" si="41"/>
        <v>0</v>
      </c>
      <c r="BQ85" s="253">
        <f t="shared" si="42"/>
        <v>25</v>
      </c>
      <c r="BR85" s="99">
        <f t="shared" si="43"/>
        <v>0.25</v>
      </c>
      <c r="BS85" s="101">
        <f t="shared" si="44"/>
        <v>16.25</v>
      </c>
    </row>
    <row r="86" spans="1:71" x14ac:dyDescent="0.6">
      <c r="A86" s="373" t="s">
        <v>423</v>
      </c>
      <c r="B86" s="13" t="s">
        <v>2987</v>
      </c>
      <c r="C86" s="380" t="s">
        <v>316</v>
      </c>
      <c r="D86" s="351" t="s">
        <v>202</v>
      </c>
      <c r="E86" s="352" t="s">
        <v>954</v>
      </c>
      <c r="F86" s="352" t="s">
        <v>118</v>
      </c>
      <c r="G86" s="353">
        <v>32714</v>
      </c>
      <c r="H86" s="352" t="s">
        <v>830</v>
      </c>
      <c r="I86" s="352" t="s">
        <v>751</v>
      </c>
      <c r="J86" s="352" t="s">
        <v>1056</v>
      </c>
      <c r="K86" s="352" t="s">
        <v>50</v>
      </c>
      <c r="L86" s="381">
        <v>250352084</v>
      </c>
      <c r="M86" s="376">
        <v>48446955</v>
      </c>
      <c r="N86" s="376">
        <v>201905129</v>
      </c>
      <c r="O86" s="376">
        <v>318979683</v>
      </c>
      <c r="P86" s="376">
        <v>34727495</v>
      </c>
      <c r="Q86" s="376">
        <v>41272114</v>
      </c>
      <c r="R86" s="376">
        <v>31646295</v>
      </c>
      <c r="S86" s="325">
        <v>0</v>
      </c>
      <c r="T86" s="246">
        <f t="shared" si="25"/>
        <v>100</v>
      </c>
      <c r="U86" s="77">
        <f t="shared" si="26"/>
        <v>2</v>
      </c>
      <c r="V86" s="377">
        <v>0</v>
      </c>
      <c r="W86" s="377">
        <v>0</v>
      </c>
      <c r="X86" s="377">
        <v>0</v>
      </c>
      <c r="Y86" s="377">
        <v>0</v>
      </c>
      <c r="Z86" s="377">
        <v>0</v>
      </c>
      <c r="AA86" s="377">
        <v>0</v>
      </c>
      <c r="AB86" s="377">
        <v>0</v>
      </c>
      <c r="AC86" s="247">
        <f t="shared" si="27"/>
        <v>0</v>
      </c>
      <c r="AD86" s="247">
        <f t="shared" si="28"/>
        <v>100</v>
      </c>
      <c r="AE86" s="82">
        <f t="shared" si="45"/>
        <v>5</v>
      </c>
      <c r="AF86" s="377">
        <v>0</v>
      </c>
      <c r="AG86" s="377">
        <v>0</v>
      </c>
      <c r="AH86" s="247">
        <f t="shared" si="29"/>
        <v>0</v>
      </c>
      <c r="AI86" s="247">
        <f t="shared" si="30"/>
        <v>100</v>
      </c>
      <c r="AJ86" s="82">
        <f t="shared" si="31"/>
        <v>3</v>
      </c>
      <c r="AK86" s="367" t="s">
        <v>2902</v>
      </c>
      <c r="AL86" s="367" t="s">
        <v>2902</v>
      </c>
      <c r="AM86" s="367" t="s">
        <v>2902</v>
      </c>
      <c r="AN86" s="367" t="s">
        <v>2902</v>
      </c>
      <c r="AO86" s="367" t="s">
        <v>2902</v>
      </c>
      <c r="AP86" s="296" t="s">
        <v>2326</v>
      </c>
      <c r="AQ86" s="296" t="s">
        <v>2326</v>
      </c>
      <c r="AR86" s="297"/>
      <c r="AS86" s="367" t="s">
        <v>2902</v>
      </c>
      <c r="AT86" s="367" t="s">
        <v>2902</v>
      </c>
      <c r="AU86" s="296" t="s">
        <v>2326</v>
      </c>
      <c r="AV86" s="297"/>
      <c r="AW86" s="325">
        <v>0</v>
      </c>
      <c r="AX86" s="247">
        <f t="shared" si="32"/>
        <v>50</v>
      </c>
      <c r="AY86" s="90">
        <f t="shared" si="33"/>
        <v>2</v>
      </c>
      <c r="AZ86" s="378">
        <v>0</v>
      </c>
      <c r="BA86" s="449" t="s">
        <v>3782</v>
      </c>
      <c r="BB86" s="247">
        <f t="shared" si="34"/>
        <v>100</v>
      </c>
      <c r="BC86" s="91">
        <f t="shared" si="35"/>
        <v>2</v>
      </c>
      <c r="BD86" s="325">
        <v>0</v>
      </c>
      <c r="BE86" s="325">
        <v>0</v>
      </c>
      <c r="BF86" s="325">
        <v>0</v>
      </c>
      <c r="BG86" s="252">
        <f t="shared" si="36"/>
        <v>0</v>
      </c>
      <c r="BH86" s="246">
        <f t="shared" si="37"/>
        <v>100</v>
      </c>
      <c r="BI86" s="90">
        <f t="shared" si="38"/>
        <v>1</v>
      </c>
      <c r="BJ86" s="325">
        <v>0</v>
      </c>
      <c r="BK86" s="247">
        <f t="shared" si="39"/>
        <v>100</v>
      </c>
      <c r="BL86" s="94">
        <f t="shared" si="40"/>
        <v>2</v>
      </c>
      <c r="BM86" s="325">
        <v>0</v>
      </c>
      <c r="BN86" s="325">
        <v>0</v>
      </c>
      <c r="BO86" s="325">
        <v>0</v>
      </c>
      <c r="BP86" s="211">
        <f t="shared" si="41"/>
        <v>0</v>
      </c>
      <c r="BQ86" s="253">
        <f t="shared" si="42"/>
        <v>25</v>
      </c>
      <c r="BR86" s="99">
        <f t="shared" si="43"/>
        <v>0.25</v>
      </c>
      <c r="BS86" s="101">
        <f t="shared" si="44"/>
        <v>17.25</v>
      </c>
    </row>
    <row r="87" spans="1:71" x14ac:dyDescent="0.6">
      <c r="A87" s="373" t="s">
        <v>1605</v>
      </c>
      <c r="B87" s="1" t="s">
        <v>2988</v>
      </c>
      <c r="C87" s="380" t="s">
        <v>1606</v>
      </c>
      <c r="D87" s="315" t="s">
        <v>202</v>
      </c>
      <c r="E87" s="352" t="s">
        <v>613</v>
      </c>
      <c r="F87" s="352" t="s">
        <v>1607</v>
      </c>
      <c r="G87" s="353">
        <v>25199</v>
      </c>
      <c r="H87" s="352" t="s">
        <v>830</v>
      </c>
      <c r="I87" s="352" t="s">
        <v>1608</v>
      </c>
      <c r="J87" s="352" t="s">
        <v>1609</v>
      </c>
      <c r="K87" s="352" t="s">
        <v>690</v>
      </c>
      <c r="L87" s="381">
        <v>1552592143</v>
      </c>
      <c r="M87" s="376">
        <v>682188473</v>
      </c>
      <c r="N87" s="376">
        <v>870403670</v>
      </c>
      <c r="O87" s="376">
        <v>2199525188</v>
      </c>
      <c r="P87" s="376">
        <v>28784541</v>
      </c>
      <c r="Q87" s="376">
        <v>14593912</v>
      </c>
      <c r="R87" s="376">
        <v>8438935</v>
      </c>
      <c r="S87" s="325">
        <v>1</v>
      </c>
      <c r="T87" s="246">
        <f t="shared" si="25"/>
        <v>50</v>
      </c>
      <c r="U87" s="77">
        <f t="shared" si="26"/>
        <v>1</v>
      </c>
      <c r="V87" s="377">
        <v>0</v>
      </c>
      <c r="W87" s="377">
        <v>0</v>
      </c>
      <c r="X87" s="377">
        <v>0</v>
      </c>
      <c r="Y87" s="377">
        <v>0</v>
      </c>
      <c r="Z87" s="377">
        <v>0</v>
      </c>
      <c r="AA87" s="377">
        <v>0</v>
      </c>
      <c r="AB87" s="377">
        <v>0</v>
      </c>
      <c r="AC87" s="247">
        <f t="shared" si="27"/>
        <v>0</v>
      </c>
      <c r="AD87" s="247">
        <f t="shared" si="28"/>
        <v>100</v>
      </c>
      <c r="AE87" s="82">
        <f t="shared" si="45"/>
        <v>5</v>
      </c>
      <c r="AF87" s="377">
        <v>0</v>
      </c>
      <c r="AG87" s="377">
        <v>0</v>
      </c>
      <c r="AH87" s="247">
        <f t="shared" si="29"/>
        <v>0</v>
      </c>
      <c r="AI87" s="247">
        <f t="shared" si="30"/>
        <v>100</v>
      </c>
      <c r="AJ87" s="82">
        <f t="shared" si="31"/>
        <v>3</v>
      </c>
      <c r="AK87" s="367" t="s">
        <v>2902</v>
      </c>
      <c r="AL87" s="367" t="s">
        <v>2902</v>
      </c>
      <c r="AM87" s="367" t="s">
        <v>2902</v>
      </c>
      <c r="AN87" s="367" t="s">
        <v>2902</v>
      </c>
      <c r="AO87" s="367" t="s">
        <v>2902</v>
      </c>
      <c r="AP87" s="296" t="s">
        <v>2326</v>
      </c>
      <c r="AQ87" s="296" t="s">
        <v>2326</v>
      </c>
      <c r="AR87" s="297"/>
      <c r="AS87" s="367" t="s">
        <v>2902</v>
      </c>
      <c r="AT87" s="367" t="s">
        <v>2902</v>
      </c>
      <c r="AU87" s="296" t="s">
        <v>2326</v>
      </c>
      <c r="AV87" s="297"/>
      <c r="AW87" s="325">
        <v>0</v>
      </c>
      <c r="AX87" s="247">
        <f t="shared" si="32"/>
        <v>50</v>
      </c>
      <c r="AY87" s="90">
        <f t="shared" si="33"/>
        <v>2</v>
      </c>
      <c r="AZ87" s="378">
        <v>0</v>
      </c>
      <c r="BA87" s="449" t="s">
        <v>3782</v>
      </c>
      <c r="BB87" s="247">
        <f t="shared" si="34"/>
        <v>100</v>
      </c>
      <c r="BC87" s="91">
        <f t="shared" si="35"/>
        <v>2</v>
      </c>
      <c r="BD87" s="325">
        <v>0</v>
      </c>
      <c r="BE87" s="325">
        <v>0</v>
      </c>
      <c r="BF87" s="325">
        <v>0</v>
      </c>
      <c r="BG87" s="252">
        <f t="shared" si="36"/>
        <v>0</v>
      </c>
      <c r="BH87" s="246">
        <f t="shared" si="37"/>
        <v>100</v>
      </c>
      <c r="BI87" s="90">
        <f t="shared" si="38"/>
        <v>1</v>
      </c>
      <c r="BJ87" s="325">
        <v>0</v>
      </c>
      <c r="BK87" s="247">
        <f t="shared" si="39"/>
        <v>100</v>
      </c>
      <c r="BL87" s="94">
        <f t="shared" si="40"/>
        <v>2</v>
      </c>
      <c r="BM87" s="325">
        <v>0</v>
      </c>
      <c r="BN87" s="325">
        <v>0</v>
      </c>
      <c r="BO87" s="325">
        <v>1</v>
      </c>
      <c r="BP87" s="211">
        <f t="shared" si="41"/>
        <v>1</v>
      </c>
      <c r="BQ87" s="253">
        <f t="shared" si="42"/>
        <v>50</v>
      </c>
      <c r="BR87" s="99">
        <f t="shared" si="43"/>
        <v>0.5</v>
      </c>
      <c r="BS87" s="101">
        <f t="shared" si="44"/>
        <v>16.5</v>
      </c>
    </row>
    <row r="88" spans="1:71" x14ac:dyDescent="0.6">
      <c r="A88" s="373" t="s">
        <v>1610</v>
      </c>
      <c r="B88" s="13" t="s">
        <v>2989</v>
      </c>
      <c r="C88" s="380" t="s">
        <v>1611</v>
      </c>
      <c r="D88" s="315" t="s">
        <v>203</v>
      </c>
      <c r="E88" s="352" t="s">
        <v>195</v>
      </c>
      <c r="F88" s="352" t="s">
        <v>1612</v>
      </c>
      <c r="G88" s="353">
        <v>38656</v>
      </c>
      <c r="H88" s="352" t="s">
        <v>830</v>
      </c>
      <c r="I88" s="352" t="s">
        <v>1613</v>
      </c>
      <c r="J88" s="352" t="s">
        <v>1614</v>
      </c>
      <c r="K88" s="352" t="s">
        <v>484</v>
      </c>
      <c r="L88" s="381">
        <v>970387263</v>
      </c>
      <c r="M88" s="376">
        <v>262154054</v>
      </c>
      <c r="N88" s="376">
        <v>708233209</v>
      </c>
      <c r="O88" s="376">
        <v>1283527751</v>
      </c>
      <c r="P88" s="376">
        <v>140978130</v>
      </c>
      <c r="Q88" s="376">
        <v>164027486</v>
      </c>
      <c r="R88" s="376">
        <v>128769206</v>
      </c>
      <c r="S88" s="325">
        <v>0</v>
      </c>
      <c r="T88" s="246">
        <f t="shared" si="25"/>
        <v>100</v>
      </c>
      <c r="U88" s="77">
        <f t="shared" si="26"/>
        <v>2</v>
      </c>
      <c r="V88" s="377">
        <v>0</v>
      </c>
      <c r="W88" s="377">
        <v>0</v>
      </c>
      <c r="X88" s="377">
        <v>1</v>
      </c>
      <c r="Y88" s="377">
        <v>0</v>
      </c>
      <c r="Z88" s="377">
        <v>0</v>
      </c>
      <c r="AA88" s="377">
        <v>0</v>
      </c>
      <c r="AB88" s="377">
        <v>0</v>
      </c>
      <c r="AC88" s="247">
        <f t="shared" si="27"/>
        <v>1</v>
      </c>
      <c r="AD88" s="247">
        <f t="shared" si="28"/>
        <v>75</v>
      </c>
      <c r="AE88" s="82">
        <f t="shared" si="45"/>
        <v>3.75</v>
      </c>
      <c r="AF88" s="377">
        <v>0</v>
      </c>
      <c r="AG88" s="377">
        <v>0</v>
      </c>
      <c r="AH88" s="247">
        <f t="shared" si="29"/>
        <v>0</v>
      </c>
      <c r="AI88" s="247">
        <f t="shared" si="30"/>
        <v>100</v>
      </c>
      <c r="AJ88" s="82">
        <f t="shared" si="31"/>
        <v>3</v>
      </c>
      <c r="AK88" s="367" t="s">
        <v>2902</v>
      </c>
      <c r="AL88" s="367" t="s">
        <v>2902</v>
      </c>
      <c r="AM88" s="367" t="s">
        <v>2902</v>
      </c>
      <c r="AN88" s="367" t="s">
        <v>2902</v>
      </c>
      <c r="AO88" s="367" t="s">
        <v>2902</v>
      </c>
      <c r="AP88" s="296" t="s">
        <v>2326</v>
      </c>
      <c r="AQ88" s="296" t="s">
        <v>2326</v>
      </c>
      <c r="AR88" s="297"/>
      <c r="AS88" s="367" t="s">
        <v>2902</v>
      </c>
      <c r="AT88" s="367" t="s">
        <v>2902</v>
      </c>
      <c r="AU88" s="296" t="s">
        <v>2326</v>
      </c>
      <c r="AV88" s="297"/>
      <c r="AW88" s="325">
        <v>0</v>
      </c>
      <c r="AX88" s="247">
        <f t="shared" si="32"/>
        <v>50</v>
      </c>
      <c r="AY88" s="90">
        <f t="shared" si="33"/>
        <v>2</v>
      </c>
      <c r="AZ88" s="378">
        <v>0</v>
      </c>
      <c r="BA88" s="449" t="s">
        <v>3782</v>
      </c>
      <c r="BB88" s="247">
        <f t="shared" si="34"/>
        <v>100</v>
      </c>
      <c r="BC88" s="91">
        <f t="shared" si="35"/>
        <v>2</v>
      </c>
      <c r="BD88" s="325">
        <v>0</v>
      </c>
      <c r="BE88" s="325">
        <v>0</v>
      </c>
      <c r="BF88" s="325">
        <v>1</v>
      </c>
      <c r="BG88" s="252">
        <f t="shared" si="36"/>
        <v>1</v>
      </c>
      <c r="BH88" s="246">
        <f t="shared" si="37"/>
        <v>75</v>
      </c>
      <c r="BI88" s="90">
        <f t="shared" si="38"/>
        <v>0.75</v>
      </c>
      <c r="BJ88" s="325">
        <v>0</v>
      </c>
      <c r="BK88" s="247">
        <f t="shared" si="39"/>
        <v>100</v>
      </c>
      <c r="BL88" s="94">
        <f t="shared" si="40"/>
        <v>2</v>
      </c>
      <c r="BM88" s="325">
        <v>0</v>
      </c>
      <c r="BN88" s="325">
        <v>0</v>
      </c>
      <c r="BO88" s="325">
        <v>0</v>
      </c>
      <c r="BP88" s="211">
        <f t="shared" si="41"/>
        <v>0</v>
      </c>
      <c r="BQ88" s="253">
        <f t="shared" si="42"/>
        <v>25</v>
      </c>
      <c r="BR88" s="99">
        <f t="shared" si="43"/>
        <v>0.25</v>
      </c>
      <c r="BS88" s="101">
        <f t="shared" si="44"/>
        <v>15.75</v>
      </c>
    </row>
    <row r="89" spans="1:71" x14ac:dyDescent="0.6">
      <c r="A89" s="373" t="s">
        <v>913</v>
      </c>
      <c r="B89" s="1" t="s">
        <v>2990</v>
      </c>
      <c r="C89" s="380" t="s">
        <v>486</v>
      </c>
      <c r="D89" s="351" t="s">
        <v>191</v>
      </c>
      <c r="E89" s="352" t="s">
        <v>1020</v>
      </c>
      <c r="F89" s="352" t="s">
        <v>156</v>
      </c>
      <c r="G89" s="353">
        <v>25897</v>
      </c>
      <c r="H89" s="352" t="s">
        <v>830</v>
      </c>
      <c r="I89" s="352" t="s">
        <v>204</v>
      </c>
      <c r="J89" s="352" t="s">
        <v>1238</v>
      </c>
      <c r="K89" s="352" t="s">
        <v>91</v>
      </c>
      <c r="L89" s="381">
        <v>891133540</v>
      </c>
      <c r="M89" s="376">
        <v>131474747</v>
      </c>
      <c r="N89" s="376">
        <v>759658793</v>
      </c>
      <c r="O89" s="376">
        <v>462786649</v>
      </c>
      <c r="P89" s="376">
        <v>21452774</v>
      </c>
      <c r="Q89" s="376">
        <v>31309680</v>
      </c>
      <c r="R89" s="376">
        <v>23472409</v>
      </c>
      <c r="S89" s="325">
        <v>0</v>
      </c>
      <c r="T89" s="246">
        <f t="shared" si="25"/>
        <v>100</v>
      </c>
      <c r="U89" s="77">
        <f t="shared" si="26"/>
        <v>2</v>
      </c>
      <c r="V89" s="377">
        <v>0</v>
      </c>
      <c r="W89" s="377">
        <v>0</v>
      </c>
      <c r="X89" s="377">
        <v>0</v>
      </c>
      <c r="Y89" s="377">
        <v>0</v>
      </c>
      <c r="Z89" s="377">
        <v>0</v>
      </c>
      <c r="AA89" s="377">
        <v>0</v>
      </c>
      <c r="AB89" s="377">
        <v>0</v>
      </c>
      <c r="AC89" s="247">
        <f t="shared" si="27"/>
        <v>0</v>
      </c>
      <c r="AD89" s="247">
        <f t="shared" si="28"/>
        <v>100</v>
      </c>
      <c r="AE89" s="82">
        <f t="shared" si="45"/>
        <v>5</v>
      </c>
      <c r="AF89" s="377">
        <v>0</v>
      </c>
      <c r="AG89" s="377">
        <v>0</v>
      </c>
      <c r="AH89" s="247">
        <f t="shared" si="29"/>
        <v>0</v>
      </c>
      <c r="AI89" s="247">
        <f t="shared" si="30"/>
        <v>100</v>
      </c>
      <c r="AJ89" s="82">
        <f t="shared" si="31"/>
        <v>3</v>
      </c>
      <c r="AK89" s="367" t="s">
        <v>2902</v>
      </c>
      <c r="AL89" s="367" t="s">
        <v>2902</v>
      </c>
      <c r="AM89" s="367" t="s">
        <v>2902</v>
      </c>
      <c r="AN89" s="367" t="s">
        <v>2902</v>
      </c>
      <c r="AO89" s="367" t="s">
        <v>2902</v>
      </c>
      <c r="AP89" s="296" t="s">
        <v>2326</v>
      </c>
      <c r="AQ89" s="296" t="s">
        <v>2326</v>
      </c>
      <c r="AR89" s="297"/>
      <c r="AS89" s="367" t="s">
        <v>2902</v>
      </c>
      <c r="AT89" s="367" t="s">
        <v>2902</v>
      </c>
      <c r="AU89" s="296" t="s">
        <v>2326</v>
      </c>
      <c r="AV89" s="297"/>
      <c r="AW89" s="325">
        <v>0</v>
      </c>
      <c r="AX89" s="247">
        <f t="shared" si="32"/>
        <v>50</v>
      </c>
      <c r="AY89" s="90">
        <f t="shared" si="33"/>
        <v>2</v>
      </c>
      <c r="AZ89" s="378">
        <v>0</v>
      </c>
      <c r="BA89" s="449" t="s">
        <v>3782</v>
      </c>
      <c r="BB89" s="247">
        <f t="shared" si="34"/>
        <v>100</v>
      </c>
      <c r="BC89" s="91">
        <f t="shared" si="35"/>
        <v>2</v>
      </c>
      <c r="BD89" s="325">
        <v>0</v>
      </c>
      <c r="BE89" s="325">
        <v>0</v>
      </c>
      <c r="BF89" s="325">
        <v>0</v>
      </c>
      <c r="BG89" s="252">
        <f t="shared" si="36"/>
        <v>0</v>
      </c>
      <c r="BH89" s="246">
        <f t="shared" si="37"/>
        <v>100</v>
      </c>
      <c r="BI89" s="90">
        <f t="shared" si="38"/>
        <v>1</v>
      </c>
      <c r="BJ89" s="325">
        <v>0</v>
      </c>
      <c r="BK89" s="247">
        <f t="shared" si="39"/>
        <v>100</v>
      </c>
      <c r="BL89" s="94">
        <f t="shared" si="40"/>
        <v>2</v>
      </c>
      <c r="BM89" s="325">
        <v>0</v>
      </c>
      <c r="BN89" s="325">
        <v>0</v>
      </c>
      <c r="BO89" s="325">
        <v>0</v>
      </c>
      <c r="BP89" s="211">
        <f t="shared" si="41"/>
        <v>0</v>
      </c>
      <c r="BQ89" s="253">
        <f t="shared" si="42"/>
        <v>25</v>
      </c>
      <c r="BR89" s="99">
        <f t="shared" si="43"/>
        <v>0.25</v>
      </c>
      <c r="BS89" s="101">
        <f t="shared" si="44"/>
        <v>17.25</v>
      </c>
    </row>
    <row r="90" spans="1:71" x14ac:dyDescent="0.6">
      <c r="A90" s="373" t="s">
        <v>1615</v>
      </c>
      <c r="B90" s="1" t="s">
        <v>2991</v>
      </c>
      <c r="C90" s="380" t="s">
        <v>1616</v>
      </c>
      <c r="D90" s="315" t="s">
        <v>191</v>
      </c>
      <c r="E90" s="352" t="s">
        <v>240</v>
      </c>
      <c r="F90" s="352" t="s">
        <v>1617</v>
      </c>
      <c r="G90" s="353">
        <v>31404</v>
      </c>
      <c r="H90" s="352" t="s">
        <v>830</v>
      </c>
      <c r="I90" s="352" t="s">
        <v>1618</v>
      </c>
      <c r="J90" s="352" t="s">
        <v>1619</v>
      </c>
      <c r="K90" s="352" t="s">
        <v>91</v>
      </c>
      <c r="L90" s="381">
        <v>836764532</v>
      </c>
      <c r="M90" s="376">
        <v>122779865</v>
      </c>
      <c r="N90" s="376">
        <v>713984667</v>
      </c>
      <c r="O90" s="376">
        <v>150864212</v>
      </c>
      <c r="P90" s="376">
        <v>6382962</v>
      </c>
      <c r="Q90" s="376">
        <v>23763677</v>
      </c>
      <c r="R90" s="376">
        <v>33439084</v>
      </c>
      <c r="S90" s="325">
        <v>1</v>
      </c>
      <c r="T90" s="246">
        <f t="shared" si="25"/>
        <v>50</v>
      </c>
      <c r="U90" s="77">
        <f t="shared" si="26"/>
        <v>1</v>
      </c>
      <c r="V90" s="377">
        <v>0</v>
      </c>
      <c r="W90" s="377">
        <v>0</v>
      </c>
      <c r="X90" s="377">
        <v>0</v>
      </c>
      <c r="Y90" s="377">
        <v>0</v>
      </c>
      <c r="Z90" s="377">
        <v>0</v>
      </c>
      <c r="AA90" s="377">
        <v>0</v>
      </c>
      <c r="AB90" s="377">
        <v>0</v>
      </c>
      <c r="AC90" s="247">
        <f t="shared" si="27"/>
        <v>0</v>
      </c>
      <c r="AD90" s="247">
        <f t="shared" si="28"/>
        <v>100</v>
      </c>
      <c r="AE90" s="82">
        <f t="shared" si="45"/>
        <v>5</v>
      </c>
      <c r="AF90" s="377">
        <v>0</v>
      </c>
      <c r="AG90" s="377">
        <v>0</v>
      </c>
      <c r="AH90" s="247">
        <f t="shared" si="29"/>
        <v>0</v>
      </c>
      <c r="AI90" s="247">
        <f t="shared" si="30"/>
        <v>100</v>
      </c>
      <c r="AJ90" s="82">
        <f t="shared" si="31"/>
        <v>3</v>
      </c>
      <c r="AK90" s="367" t="s">
        <v>2902</v>
      </c>
      <c r="AL90" s="367" t="s">
        <v>2902</v>
      </c>
      <c r="AM90" s="367" t="s">
        <v>2902</v>
      </c>
      <c r="AN90" s="367" t="s">
        <v>2902</v>
      </c>
      <c r="AO90" s="367" t="s">
        <v>2902</v>
      </c>
      <c r="AP90" s="296" t="s">
        <v>2326</v>
      </c>
      <c r="AQ90" s="296" t="s">
        <v>2326</v>
      </c>
      <c r="AR90" s="297"/>
      <c r="AS90" s="367" t="s">
        <v>2902</v>
      </c>
      <c r="AT90" s="367" t="s">
        <v>2902</v>
      </c>
      <c r="AU90" s="296" t="s">
        <v>2326</v>
      </c>
      <c r="AV90" s="297"/>
      <c r="AW90" s="325">
        <v>0</v>
      </c>
      <c r="AX90" s="247">
        <f t="shared" si="32"/>
        <v>50</v>
      </c>
      <c r="AY90" s="90">
        <f t="shared" si="33"/>
        <v>2</v>
      </c>
      <c r="AZ90" s="378">
        <v>0</v>
      </c>
      <c r="BA90" s="449" t="s">
        <v>3782</v>
      </c>
      <c r="BB90" s="247">
        <f t="shared" si="34"/>
        <v>100</v>
      </c>
      <c r="BC90" s="91">
        <f t="shared" si="35"/>
        <v>2</v>
      </c>
      <c r="BD90" s="325">
        <v>0</v>
      </c>
      <c r="BE90" s="325">
        <v>0</v>
      </c>
      <c r="BF90" s="325">
        <v>0</v>
      </c>
      <c r="BG90" s="252">
        <f t="shared" si="36"/>
        <v>0</v>
      </c>
      <c r="BH90" s="246">
        <f t="shared" si="37"/>
        <v>100</v>
      </c>
      <c r="BI90" s="90">
        <f t="shared" si="38"/>
        <v>1</v>
      </c>
      <c r="BJ90" s="325">
        <v>0</v>
      </c>
      <c r="BK90" s="247">
        <f t="shared" si="39"/>
        <v>100</v>
      </c>
      <c r="BL90" s="94">
        <f t="shared" si="40"/>
        <v>2</v>
      </c>
      <c r="BM90" s="325">
        <v>0</v>
      </c>
      <c r="BN90" s="325">
        <v>0</v>
      </c>
      <c r="BO90" s="325">
        <v>0</v>
      </c>
      <c r="BP90" s="211">
        <f t="shared" si="41"/>
        <v>0</v>
      </c>
      <c r="BQ90" s="253">
        <f t="shared" si="42"/>
        <v>25</v>
      </c>
      <c r="BR90" s="99">
        <f t="shared" si="43"/>
        <v>0.25</v>
      </c>
      <c r="BS90" s="101">
        <f t="shared" si="44"/>
        <v>16.25</v>
      </c>
    </row>
    <row r="91" spans="1:71" x14ac:dyDescent="0.6">
      <c r="A91" s="373" t="s">
        <v>721</v>
      </c>
      <c r="B91" s="13" t="s">
        <v>2992</v>
      </c>
      <c r="C91" s="380" t="s">
        <v>875</v>
      </c>
      <c r="D91" s="351" t="s">
        <v>191</v>
      </c>
      <c r="E91" s="352" t="s">
        <v>190</v>
      </c>
      <c r="F91" s="352" t="s">
        <v>1241</v>
      </c>
      <c r="G91" s="353">
        <v>33136</v>
      </c>
      <c r="H91" s="352" t="s">
        <v>830</v>
      </c>
      <c r="I91" s="352" t="s">
        <v>736</v>
      </c>
      <c r="J91" s="352" t="s">
        <v>1150</v>
      </c>
      <c r="K91" s="352" t="s">
        <v>91</v>
      </c>
      <c r="L91" s="381">
        <v>297649820</v>
      </c>
      <c r="M91" s="376">
        <v>54998742</v>
      </c>
      <c r="N91" s="376">
        <v>242651079</v>
      </c>
      <c r="O91" s="376">
        <v>319305280</v>
      </c>
      <c r="P91" s="376">
        <v>30195182</v>
      </c>
      <c r="Q91" s="376">
        <v>31995216</v>
      </c>
      <c r="R91" s="376">
        <v>25431135</v>
      </c>
      <c r="S91" s="325">
        <v>0</v>
      </c>
      <c r="T91" s="246">
        <f t="shared" si="25"/>
        <v>100</v>
      </c>
      <c r="U91" s="77">
        <f t="shared" si="26"/>
        <v>2</v>
      </c>
      <c r="V91" s="377">
        <v>0</v>
      </c>
      <c r="W91" s="377">
        <v>0</v>
      </c>
      <c r="X91" s="377">
        <v>0</v>
      </c>
      <c r="Y91" s="377">
        <v>0</v>
      </c>
      <c r="Z91" s="377">
        <v>0</v>
      </c>
      <c r="AA91" s="377">
        <v>0</v>
      </c>
      <c r="AB91" s="377">
        <v>0</v>
      </c>
      <c r="AC91" s="247">
        <f t="shared" si="27"/>
        <v>0</v>
      </c>
      <c r="AD91" s="247">
        <f t="shared" si="28"/>
        <v>100</v>
      </c>
      <c r="AE91" s="82">
        <f t="shared" si="45"/>
        <v>5</v>
      </c>
      <c r="AF91" s="377">
        <v>0</v>
      </c>
      <c r="AG91" s="377">
        <v>0</v>
      </c>
      <c r="AH91" s="247">
        <f t="shared" si="29"/>
        <v>0</v>
      </c>
      <c r="AI91" s="247">
        <f t="shared" si="30"/>
        <v>100</v>
      </c>
      <c r="AJ91" s="82">
        <f t="shared" si="31"/>
        <v>3</v>
      </c>
      <c r="AK91" s="367" t="s">
        <v>2902</v>
      </c>
      <c r="AL91" s="367" t="s">
        <v>2902</v>
      </c>
      <c r="AM91" s="367" t="s">
        <v>2902</v>
      </c>
      <c r="AN91" s="367" t="s">
        <v>2902</v>
      </c>
      <c r="AO91" s="367" t="s">
        <v>2902</v>
      </c>
      <c r="AP91" s="296" t="s">
        <v>2326</v>
      </c>
      <c r="AQ91" s="296" t="s">
        <v>2326</v>
      </c>
      <c r="AR91" s="297"/>
      <c r="AS91" s="367" t="s">
        <v>2902</v>
      </c>
      <c r="AT91" s="367" t="s">
        <v>2902</v>
      </c>
      <c r="AU91" s="296" t="s">
        <v>2326</v>
      </c>
      <c r="AV91" s="297"/>
      <c r="AW91" s="325">
        <v>0</v>
      </c>
      <c r="AX91" s="247">
        <f t="shared" si="32"/>
        <v>50</v>
      </c>
      <c r="AY91" s="90">
        <f t="shared" si="33"/>
        <v>2</v>
      </c>
      <c r="AZ91" s="378">
        <v>0</v>
      </c>
      <c r="BA91" s="449" t="s">
        <v>3782</v>
      </c>
      <c r="BB91" s="247">
        <f t="shared" si="34"/>
        <v>100</v>
      </c>
      <c r="BC91" s="91">
        <f t="shared" si="35"/>
        <v>2</v>
      </c>
      <c r="BD91" s="325">
        <v>0</v>
      </c>
      <c r="BE91" s="325">
        <v>0</v>
      </c>
      <c r="BF91" s="325">
        <v>0</v>
      </c>
      <c r="BG91" s="252">
        <f t="shared" si="36"/>
        <v>0</v>
      </c>
      <c r="BH91" s="246">
        <f t="shared" si="37"/>
        <v>100</v>
      </c>
      <c r="BI91" s="90">
        <f t="shared" si="38"/>
        <v>1</v>
      </c>
      <c r="BJ91" s="325">
        <v>0</v>
      </c>
      <c r="BK91" s="247">
        <f t="shared" si="39"/>
        <v>100</v>
      </c>
      <c r="BL91" s="94">
        <f t="shared" si="40"/>
        <v>2</v>
      </c>
      <c r="BM91" s="325">
        <v>0</v>
      </c>
      <c r="BN91" s="325">
        <v>0</v>
      </c>
      <c r="BO91" s="325">
        <v>1</v>
      </c>
      <c r="BP91" s="211">
        <f t="shared" si="41"/>
        <v>1</v>
      </c>
      <c r="BQ91" s="253">
        <f t="shared" si="42"/>
        <v>50</v>
      </c>
      <c r="BR91" s="99">
        <f t="shared" si="43"/>
        <v>0.5</v>
      </c>
      <c r="BS91" s="101">
        <f t="shared" si="44"/>
        <v>17.5</v>
      </c>
    </row>
    <row r="92" spans="1:71" x14ac:dyDescent="0.6">
      <c r="A92" s="373" t="s">
        <v>408</v>
      </c>
      <c r="B92" s="1" t="s">
        <v>2993</v>
      </c>
      <c r="C92" s="380" t="s">
        <v>874</v>
      </c>
      <c r="D92" s="351" t="s">
        <v>285</v>
      </c>
      <c r="E92" s="352" t="s">
        <v>1034</v>
      </c>
      <c r="F92" s="352" t="s">
        <v>987</v>
      </c>
      <c r="G92" s="353">
        <v>32444</v>
      </c>
      <c r="H92" s="352" t="s">
        <v>830</v>
      </c>
      <c r="I92" s="352" t="s">
        <v>752</v>
      </c>
      <c r="J92" s="352" t="s">
        <v>1059</v>
      </c>
      <c r="K92" s="352" t="s">
        <v>1620</v>
      </c>
      <c r="L92" s="381">
        <v>823154130</v>
      </c>
      <c r="M92" s="376">
        <v>397729314</v>
      </c>
      <c r="N92" s="376">
        <v>425424816</v>
      </c>
      <c r="O92" s="376">
        <v>297680162</v>
      </c>
      <c r="P92" s="376">
        <v>45164807</v>
      </c>
      <c r="Q92" s="376">
        <v>31718775</v>
      </c>
      <c r="R92" s="376">
        <v>23212712</v>
      </c>
      <c r="S92" s="325">
        <v>0</v>
      </c>
      <c r="T92" s="246">
        <f t="shared" si="25"/>
        <v>100</v>
      </c>
      <c r="U92" s="77">
        <f t="shared" si="26"/>
        <v>2</v>
      </c>
      <c r="V92" s="377">
        <v>0</v>
      </c>
      <c r="W92" s="377">
        <v>0</v>
      </c>
      <c r="X92" s="377">
        <v>0</v>
      </c>
      <c r="Y92" s="377">
        <v>0</v>
      </c>
      <c r="Z92" s="377">
        <v>0</v>
      </c>
      <c r="AA92" s="377">
        <v>0</v>
      </c>
      <c r="AB92" s="377">
        <v>0</v>
      </c>
      <c r="AC92" s="247">
        <f t="shared" si="27"/>
        <v>0</v>
      </c>
      <c r="AD92" s="247">
        <f t="shared" si="28"/>
        <v>100</v>
      </c>
      <c r="AE92" s="82">
        <f t="shared" si="45"/>
        <v>5</v>
      </c>
      <c r="AF92" s="377">
        <v>0</v>
      </c>
      <c r="AG92" s="377">
        <v>0</v>
      </c>
      <c r="AH92" s="247">
        <f t="shared" si="29"/>
        <v>0</v>
      </c>
      <c r="AI92" s="247">
        <f t="shared" si="30"/>
        <v>100</v>
      </c>
      <c r="AJ92" s="82">
        <f t="shared" si="31"/>
        <v>3</v>
      </c>
      <c r="AK92" s="367" t="s">
        <v>2902</v>
      </c>
      <c r="AL92" s="367" t="s">
        <v>2902</v>
      </c>
      <c r="AM92" s="367" t="s">
        <v>2902</v>
      </c>
      <c r="AN92" s="367" t="s">
        <v>2902</v>
      </c>
      <c r="AO92" s="367" t="s">
        <v>2902</v>
      </c>
      <c r="AP92" s="296" t="s">
        <v>2326</v>
      </c>
      <c r="AQ92" s="296" t="s">
        <v>2326</v>
      </c>
      <c r="AR92" s="297"/>
      <c r="AS92" s="367" t="s">
        <v>2902</v>
      </c>
      <c r="AT92" s="367" t="s">
        <v>2902</v>
      </c>
      <c r="AU92" s="296" t="s">
        <v>2326</v>
      </c>
      <c r="AV92" s="297"/>
      <c r="AW92" s="325">
        <v>1</v>
      </c>
      <c r="AX92" s="247">
        <f t="shared" si="32"/>
        <v>100</v>
      </c>
      <c r="AY92" s="90">
        <f t="shared" si="33"/>
        <v>4</v>
      </c>
      <c r="AZ92" s="378">
        <v>0</v>
      </c>
      <c r="BA92" s="449" t="s">
        <v>3782</v>
      </c>
      <c r="BB92" s="247">
        <f t="shared" si="34"/>
        <v>100</v>
      </c>
      <c r="BC92" s="91">
        <f t="shared" si="35"/>
        <v>2</v>
      </c>
      <c r="BD92" s="325">
        <v>0</v>
      </c>
      <c r="BE92" s="325">
        <v>0</v>
      </c>
      <c r="BF92" s="325">
        <v>0</v>
      </c>
      <c r="BG92" s="252">
        <f t="shared" si="36"/>
        <v>0</v>
      </c>
      <c r="BH92" s="246">
        <f t="shared" si="37"/>
        <v>100</v>
      </c>
      <c r="BI92" s="90">
        <f t="shared" si="38"/>
        <v>1</v>
      </c>
      <c r="BJ92" s="325">
        <v>1</v>
      </c>
      <c r="BK92" s="247">
        <f t="shared" si="39"/>
        <v>50</v>
      </c>
      <c r="BL92" s="94">
        <f t="shared" si="40"/>
        <v>1</v>
      </c>
      <c r="BM92" s="325">
        <v>0</v>
      </c>
      <c r="BN92" s="325">
        <v>0</v>
      </c>
      <c r="BO92" s="325">
        <v>1</v>
      </c>
      <c r="BP92" s="211">
        <f t="shared" si="41"/>
        <v>1</v>
      </c>
      <c r="BQ92" s="253">
        <f t="shared" si="42"/>
        <v>50</v>
      </c>
      <c r="BR92" s="99">
        <f t="shared" si="43"/>
        <v>0.5</v>
      </c>
      <c r="BS92" s="101">
        <f t="shared" si="44"/>
        <v>18.5</v>
      </c>
    </row>
    <row r="93" spans="1:71" x14ac:dyDescent="0.6">
      <c r="A93" s="373" t="s">
        <v>1621</v>
      </c>
      <c r="B93" s="1" t="s">
        <v>2994</v>
      </c>
      <c r="C93" s="380" t="s">
        <v>1622</v>
      </c>
      <c r="D93" s="315" t="s">
        <v>203</v>
      </c>
      <c r="E93" s="352" t="s">
        <v>246</v>
      </c>
      <c r="F93" s="352" t="s">
        <v>1623</v>
      </c>
      <c r="G93" s="353">
        <v>32045</v>
      </c>
      <c r="H93" s="352" t="s">
        <v>830</v>
      </c>
      <c r="I93" s="352" t="s">
        <v>1624</v>
      </c>
      <c r="J93" s="352" t="s">
        <v>1625</v>
      </c>
      <c r="K93" s="352" t="s">
        <v>690</v>
      </c>
      <c r="L93" s="381">
        <v>120573135</v>
      </c>
      <c r="M93" s="376">
        <v>37891105</v>
      </c>
      <c r="N93" s="376">
        <v>82682030</v>
      </c>
      <c r="O93" s="376">
        <v>116399706</v>
      </c>
      <c r="P93" s="376">
        <v>4903685</v>
      </c>
      <c r="Q93" s="376">
        <v>6345779</v>
      </c>
      <c r="R93" s="376">
        <v>5059159</v>
      </c>
      <c r="S93" s="325">
        <v>0</v>
      </c>
      <c r="T93" s="246">
        <f t="shared" si="25"/>
        <v>100</v>
      </c>
      <c r="U93" s="77">
        <f t="shared" si="26"/>
        <v>2</v>
      </c>
      <c r="V93" s="377">
        <v>0</v>
      </c>
      <c r="W93" s="377">
        <v>0</v>
      </c>
      <c r="X93" s="377">
        <v>0</v>
      </c>
      <c r="Y93" s="377">
        <v>0</v>
      </c>
      <c r="Z93" s="377">
        <v>0</v>
      </c>
      <c r="AA93" s="377">
        <v>0</v>
      </c>
      <c r="AB93" s="377">
        <v>0</v>
      </c>
      <c r="AC93" s="247">
        <f t="shared" si="27"/>
        <v>0</v>
      </c>
      <c r="AD93" s="247">
        <f t="shared" si="28"/>
        <v>100</v>
      </c>
      <c r="AE93" s="82">
        <f t="shared" si="45"/>
        <v>5</v>
      </c>
      <c r="AF93" s="377">
        <v>0</v>
      </c>
      <c r="AG93" s="377">
        <v>0</v>
      </c>
      <c r="AH93" s="247">
        <f t="shared" si="29"/>
        <v>0</v>
      </c>
      <c r="AI93" s="247">
        <f t="shared" si="30"/>
        <v>100</v>
      </c>
      <c r="AJ93" s="82">
        <f t="shared" si="31"/>
        <v>3</v>
      </c>
      <c r="AK93" s="367" t="s">
        <v>2902</v>
      </c>
      <c r="AL93" s="367" t="s">
        <v>2902</v>
      </c>
      <c r="AM93" s="367" t="s">
        <v>2902</v>
      </c>
      <c r="AN93" s="367" t="s">
        <v>2902</v>
      </c>
      <c r="AO93" s="367" t="s">
        <v>2902</v>
      </c>
      <c r="AP93" s="296" t="s">
        <v>2326</v>
      </c>
      <c r="AQ93" s="296" t="s">
        <v>2326</v>
      </c>
      <c r="AR93" s="297"/>
      <c r="AS93" s="367" t="s">
        <v>2902</v>
      </c>
      <c r="AT93" s="367" t="s">
        <v>2902</v>
      </c>
      <c r="AU93" s="296" t="s">
        <v>2326</v>
      </c>
      <c r="AV93" s="297"/>
      <c r="AW93" s="325">
        <v>1</v>
      </c>
      <c r="AX93" s="247">
        <f t="shared" si="32"/>
        <v>100</v>
      </c>
      <c r="AY93" s="90">
        <f t="shared" si="33"/>
        <v>4</v>
      </c>
      <c r="AZ93" s="378">
        <v>0</v>
      </c>
      <c r="BA93" s="449" t="s">
        <v>3782</v>
      </c>
      <c r="BB93" s="247">
        <f t="shared" si="34"/>
        <v>100</v>
      </c>
      <c r="BC93" s="91">
        <f t="shared" si="35"/>
        <v>2</v>
      </c>
      <c r="BD93" s="325">
        <v>0</v>
      </c>
      <c r="BE93" s="325">
        <v>0</v>
      </c>
      <c r="BF93" s="325">
        <v>0</v>
      </c>
      <c r="BG93" s="252">
        <f t="shared" si="36"/>
        <v>0</v>
      </c>
      <c r="BH93" s="246">
        <f t="shared" si="37"/>
        <v>100</v>
      </c>
      <c r="BI93" s="90">
        <f t="shared" si="38"/>
        <v>1</v>
      </c>
      <c r="BJ93" s="325">
        <v>0</v>
      </c>
      <c r="BK93" s="247">
        <f t="shared" si="39"/>
        <v>100</v>
      </c>
      <c r="BL93" s="94">
        <f t="shared" si="40"/>
        <v>2</v>
      </c>
      <c r="BM93" s="325">
        <v>0</v>
      </c>
      <c r="BN93" s="325">
        <v>0</v>
      </c>
      <c r="BO93" s="325">
        <v>1</v>
      </c>
      <c r="BP93" s="211">
        <f t="shared" si="41"/>
        <v>1</v>
      </c>
      <c r="BQ93" s="253">
        <f t="shared" si="42"/>
        <v>50</v>
      </c>
      <c r="BR93" s="99">
        <f t="shared" si="43"/>
        <v>0.5</v>
      </c>
      <c r="BS93" s="101">
        <f t="shared" si="44"/>
        <v>19.5</v>
      </c>
    </row>
    <row r="94" spans="1:71" x14ac:dyDescent="0.6">
      <c r="A94" s="373" t="s">
        <v>767</v>
      </c>
      <c r="B94" s="13" t="s">
        <v>2995</v>
      </c>
      <c r="C94" s="380" t="s">
        <v>297</v>
      </c>
      <c r="D94" s="351" t="s">
        <v>202</v>
      </c>
      <c r="E94" s="352" t="s">
        <v>189</v>
      </c>
      <c r="F94" s="352" t="s">
        <v>177</v>
      </c>
      <c r="G94" s="353">
        <v>42809</v>
      </c>
      <c r="H94" s="352" t="s">
        <v>830</v>
      </c>
      <c r="I94" s="352" t="s">
        <v>714</v>
      </c>
      <c r="J94" s="352" t="s">
        <v>1154</v>
      </c>
      <c r="K94" s="352" t="s">
        <v>91</v>
      </c>
      <c r="L94" s="381">
        <v>605644843</v>
      </c>
      <c r="M94" s="376">
        <v>281549415</v>
      </c>
      <c r="N94" s="376">
        <v>324095428</v>
      </c>
      <c r="O94" s="376">
        <v>285310921</v>
      </c>
      <c r="P94" s="376">
        <v>109357470</v>
      </c>
      <c r="Q94" s="376">
        <v>87471331</v>
      </c>
      <c r="R94" s="376">
        <v>61496044</v>
      </c>
      <c r="S94" s="325">
        <v>0</v>
      </c>
      <c r="T94" s="246">
        <f t="shared" si="25"/>
        <v>100</v>
      </c>
      <c r="U94" s="77">
        <f t="shared" si="26"/>
        <v>2</v>
      </c>
      <c r="V94" s="377">
        <v>0</v>
      </c>
      <c r="W94" s="377">
        <v>0</v>
      </c>
      <c r="X94" s="377">
        <v>0</v>
      </c>
      <c r="Y94" s="377">
        <v>0</v>
      </c>
      <c r="Z94" s="377">
        <v>0</v>
      </c>
      <c r="AA94" s="377">
        <v>0</v>
      </c>
      <c r="AB94" s="377">
        <v>0</v>
      </c>
      <c r="AC94" s="247">
        <f t="shared" si="27"/>
        <v>0</v>
      </c>
      <c r="AD94" s="247">
        <f t="shared" si="28"/>
        <v>100</v>
      </c>
      <c r="AE94" s="82">
        <f t="shared" si="45"/>
        <v>5</v>
      </c>
      <c r="AF94" s="377">
        <v>0</v>
      </c>
      <c r="AG94" s="377">
        <v>0</v>
      </c>
      <c r="AH94" s="247">
        <f t="shared" si="29"/>
        <v>0</v>
      </c>
      <c r="AI94" s="247">
        <f t="shared" si="30"/>
        <v>100</v>
      </c>
      <c r="AJ94" s="82">
        <f t="shared" si="31"/>
        <v>3</v>
      </c>
      <c r="AK94" s="367" t="s">
        <v>2902</v>
      </c>
      <c r="AL94" s="367" t="s">
        <v>2902</v>
      </c>
      <c r="AM94" s="367" t="s">
        <v>2902</v>
      </c>
      <c r="AN94" s="367" t="s">
        <v>2902</v>
      </c>
      <c r="AO94" s="367" t="s">
        <v>2902</v>
      </c>
      <c r="AP94" s="296" t="s">
        <v>2326</v>
      </c>
      <c r="AQ94" s="296" t="s">
        <v>2326</v>
      </c>
      <c r="AR94" s="297"/>
      <c r="AS94" s="367" t="s">
        <v>2902</v>
      </c>
      <c r="AT94" s="367" t="s">
        <v>2902</v>
      </c>
      <c r="AU94" s="296" t="s">
        <v>2326</v>
      </c>
      <c r="AV94" s="297"/>
      <c r="AW94" s="325">
        <v>0</v>
      </c>
      <c r="AX94" s="247">
        <f t="shared" si="32"/>
        <v>50</v>
      </c>
      <c r="AY94" s="90">
        <f t="shared" si="33"/>
        <v>2</v>
      </c>
      <c r="AZ94" s="378">
        <v>0</v>
      </c>
      <c r="BA94" s="449" t="s">
        <v>3782</v>
      </c>
      <c r="BB94" s="247">
        <f t="shared" si="34"/>
        <v>100</v>
      </c>
      <c r="BC94" s="91">
        <f t="shared" si="35"/>
        <v>2</v>
      </c>
      <c r="BD94" s="325">
        <v>0</v>
      </c>
      <c r="BE94" s="325">
        <v>0</v>
      </c>
      <c r="BF94" s="325">
        <v>1</v>
      </c>
      <c r="BG94" s="252">
        <f t="shared" si="36"/>
        <v>1</v>
      </c>
      <c r="BH94" s="246">
        <f t="shared" si="37"/>
        <v>75</v>
      </c>
      <c r="BI94" s="90">
        <f t="shared" si="38"/>
        <v>0.75</v>
      </c>
      <c r="BJ94" s="325">
        <v>0</v>
      </c>
      <c r="BK94" s="247">
        <f t="shared" si="39"/>
        <v>100</v>
      </c>
      <c r="BL94" s="94">
        <f t="shared" si="40"/>
        <v>2</v>
      </c>
      <c r="BM94" s="325">
        <v>0</v>
      </c>
      <c r="BN94" s="325">
        <v>0</v>
      </c>
      <c r="BO94" s="325">
        <v>0</v>
      </c>
      <c r="BP94" s="211">
        <f t="shared" si="41"/>
        <v>0</v>
      </c>
      <c r="BQ94" s="253">
        <f t="shared" si="42"/>
        <v>25</v>
      </c>
      <c r="BR94" s="99">
        <f t="shared" si="43"/>
        <v>0.25</v>
      </c>
      <c r="BS94" s="101">
        <f t="shared" si="44"/>
        <v>17</v>
      </c>
    </row>
    <row r="95" spans="1:71" x14ac:dyDescent="0.6">
      <c r="A95" s="373" t="s">
        <v>468</v>
      </c>
      <c r="B95" s="1" t="s">
        <v>2996</v>
      </c>
      <c r="C95" s="380" t="s">
        <v>527</v>
      </c>
      <c r="D95" s="351" t="s">
        <v>285</v>
      </c>
      <c r="E95" s="352" t="s">
        <v>1167</v>
      </c>
      <c r="F95" s="352" t="s">
        <v>646</v>
      </c>
      <c r="G95" s="353">
        <v>40402</v>
      </c>
      <c r="H95" s="352" t="s">
        <v>830</v>
      </c>
      <c r="I95" s="352" t="s">
        <v>1626</v>
      </c>
      <c r="J95" s="352" t="s">
        <v>1063</v>
      </c>
      <c r="K95" s="352" t="s">
        <v>91</v>
      </c>
      <c r="L95" s="381">
        <v>495800634</v>
      </c>
      <c r="M95" s="376">
        <v>219426512</v>
      </c>
      <c r="N95" s="376">
        <v>276374122</v>
      </c>
      <c r="O95" s="376">
        <v>550919165</v>
      </c>
      <c r="P95" s="376">
        <v>10121946</v>
      </c>
      <c r="Q95" s="376">
        <v>5248704</v>
      </c>
      <c r="R95" s="376">
        <v>3912437</v>
      </c>
      <c r="S95" s="325">
        <v>0</v>
      </c>
      <c r="T95" s="246">
        <f t="shared" si="25"/>
        <v>100</v>
      </c>
      <c r="U95" s="77">
        <f t="shared" si="26"/>
        <v>2</v>
      </c>
      <c r="V95" s="377">
        <v>0</v>
      </c>
      <c r="W95" s="377">
        <v>0</v>
      </c>
      <c r="X95" s="377">
        <v>0</v>
      </c>
      <c r="Y95" s="377">
        <v>0</v>
      </c>
      <c r="Z95" s="377">
        <v>0</v>
      </c>
      <c r="AA95" s="377">
        <v>0</v>
      </c>
      <c r="AB95" s="377">
        <v>0</v>
      </c>
      <c r="AC95" s="247">
        <f t="shared" si="27"/>
        <v>0</v>
      </c>
      <c r="AD95" s="247">
        <f t="shared" si="28"/>
        <v>100</v>
      </c>
      <c r="AE95" s="82">
        <f t="shared" si="45"/>
        <v>5</v>
      </c>
      <c r="AF95" s="377">
        <v>0</v>
      </c>
      <c r="AG95" s="377">
        <v>0</v>
      </c>
      <c r="AH95" s="247">
        <f t="shared" si="29"/>
        <v>0</v>
      </c>
      <c r="AI95" s="247">
        <f t="shared" si="30"/>
        <v>100</v>
      </c>
      <c r="AJ95" s="82">
        <f t="shared" si="31"/>
        <v>3</v>
      </c>
      <c r="AK95" s="367" t="s">
        <v>2902</v>
      </c>
      <c r="AL95" s="367" t="s">
        <v>2902</v>
      </c>
      <c r="AM95" s="367" t="s">
        <v>2902</v>
      </c>
      <c r="AN95" s="367" t="s">
        <v>2902</v>
      </c>
      <c r="AO95" s="367" t="s">
        <v>2902</v>
      </c>
      <c r="AP95" s="296" t="s">
        <v>2326</v>
      </c>
      <c r="AQ95" s="296" t="s">
        <v>2326</v>
      </c>
      <c r="AR95" s="297"/>
      <c r="AS95" s="367" t="s">
        <v>2902</v>
      </c>
      <c r="AT95" s="367" t="s">
        <v>2902</v>
      </c>
      <c r="AU95" s="296" t="s">
        <v>2326</v>
      </c>
      <c r="AV95" s="297"/>
      <c r="AW95" s="325">
        <v>1</v>
      </c>
      <c r="AX95" s="247">
        <f t="shared" si="32"/>
        <v>100</v>
      </c>
      <c r="AY95" s="90">
        <f t="shared" si="33"/>
        <v>4</v>
      </c>
      <c r="AZ95" s="378">
        <v>0</v>
      </c>
      <c r="BA95" s="449" t="s">
        <v>3782</v>
      </c>
      <c r="BB95" s="247">
        <f t="shared" si="34"/>
        <v>100</v>
      </c>
      <c r="BC95" s="91">
        <f t="shared" si="35"/>
        <v>2</v>
      </c>
      <c r="BD95" s="325">
        <v>0</v>
      </c>
      <c r="BE95" s="325">
        <v>0</v>
      </c>
      <c r="BF95" s="325">
        <v>0</v>
      </c>
      <c r="BG95" s="252">
        <f t="shared" si="36"/>
        <v>0</v>
      </c>
      <c r="BH95" s="246">
        <f t="shared" si="37"/>
        <v>100</v>
      </c>
      <c r="BI95" s="90">
        <f t="shared" si="38"/>
        <v>1</v>
      </c>
      <c r="BJ95" s="325">
        <v>0</v>
      </c>
      <c r="BK95" s="247">
        <f t="shared" si="39"/>
        <v>100</v>
      </c>
      <c r="BL95" s="94">
        <f t="shared" si="40"/>
        <v>2</v>
      </c>
      <c r="BM95" s="325">
        <v>0</v>
      </c>
      <c r="BN95" s="325">
        <v>1</v>
      </c>
      <c r="BO95" s="325">
        <v>0</v>
      </c>
      <c r="BP95" s="211">
        <f t="shared" si="41"/>
        <v>1</v>
      </c>
      <c r="BQ95" s="253">
        <f t="shared" si="42"/>
        <v>50</v>
      </c>
      <c r="BR95" s="99">
        <f t="shared" si="43"/>
        <v>0.5</v>
      </c>
      <c r="BS95" s="101">
        <f t="shared" si="44"/>
        <v>19.5</v>
      </c>
    </row>
    <row r="96" spans="1:71" x14ac:dyDescent="0.6">
      <c r="A96" s="373" t="s">
        <v>507</v>
      </c>
      <c r="B96" s="1" t="s">
        <v>2997</v>
      </c>
      <c r="C96" s="380" t="s">
        <v>548</v>
      </c>
      <c r="D96" s="351" t="s">
        <v>203</v>
      </c>
      <c r="E96" s="352" t="s">
        <v>180</v>
      </c>
      <c r="F96" s="352" t="s">
        <v>1176</v>
      </c>
      <c r="G96" s="353">
        <v>35423</v>
      </c>
      <c r="H96" s="352" t="s">
        <v>830</v>
      </c>
      <c r="I96" s="352" t="s">
        <v>571</v>
      </c>
      <c r="J96" s="352" t="s">
        <v>1163</v>
      </c>
      <c r="K96" s="352" t="s">
        <v>425</v>
      </c>
      <c r="L96" s="381">
        <v>92085226</v>
      </c>
      <c r="M96" s="376">
        <v>42058880</v>
      </c>
      <c r="N96" s="376">
        <v>50026346</v>
      </c>
      <c r="O96" s="376">
        <v>193400697</v>
      </c>
      <c r="P96" s="376">
        <v>13461075</v>
      </c>
      <c r="Q96" s="376">
        <v>12948368</v>
      </c>
      <c r="R96" s="376">
        <v>10621743</v>
      </c>
      <c r="S96" s="325">
        <v>0</v>
      </c>
      <c r="T96" s="246">
        <f t="shared" si="25"/>
        <v>100</v>
      </c>
      <c r="U96" s="77">
        <f t="shared" si="26"/>
        <v>2</v>
      </c>
      <c r="V96" s="377">
        <v>0</v>
      </c>
      <c r="W96" s="377">
        <v>0</v>
      </c>
      <c r="X96" s="377">
        <v>0</v>
      </c>
      <c r="Y96" s="377">
        <v>0</v>
      </c>
      <c r="Z96" s="377">
        <v>0</v>
      </c>
      <c r="AA96" s="377">
        <v>0</v>
      </c>
      <c r="AB96" s="377">
        <v>0</v>
      </c>
      <c r="AC96" s="247">
        <f t="shared" si="27"/>
        <v>0</v>
      </c>
      <c r="AD96" s="247">
        <f t="shared" si="28"/>
        <v>100</v>
      </c>
      <c r="AE96" s="82">
        <f t="shared" si="45"/>
        <v>5</v>
      </c>
      <c r="AF96" s="377">
        <v>0</v>
      </c>
      <c r="AG96" s="377">
        <v>0</v>
      </c>
      <c r="AH96" s="247">
        <f t="shared" si="29"/>
        <v>0</v>
      </c>
      <c r="AI96" s="247">
        <f t="shared" si="30"/>
        <v>100</v>
      </c>
      <c r="AJ96" s="82">
        <f t="shared" si="31"/>
        <v>3</v>
      </c>
      <c r="AK96" s="367" t="s">
        <v>2902</v>
      </c>
      <c r="AL96" s="367" t="s">
        <v>2902</v>
      </c>
      <c r="AM96" s="367" t="s">
        <v>2902</v>
      </c>
      <c r="AN96" s="367" t="s">
        <v>2902</v>
      </c>
      <c r="AO96" s="367" t="s">
        <v>2902</v>
      </c>
      <c r="AP96" s="296" t="s">
        <v>2326</v>
      </c>
      <c r="AQ96" s="296" t="s">
        <v>2326</v>
      </c>
      <c r="AR96" s="297"/>
      <c r="AS96" s="367" t="s">
        <v>2902</v>
      </c>
      <c r="AT96" s="367" t="s">
        <v>2902</v>
      </c>
      <c r="AU96" s="296" t="s">
        <v>2326</v>
      </c>
      <c r="AV96" s="297"/>
      <c r="AW96" s="325">
        <v>0</v>
      </c>
      <c r="AX96" s="247">
        <f t="shared" si="32"/>
        <v>50</v>
      </c>
      <c r="AY96" s="90">
        <f t="shared" si="33"/>
        <v>2</v>
      </c>
      <c r="AZ96" s="378">
        <v>0</v>
      </c>
      <c r="BA96" s="449" t="s">
        <v>3782</v>
      </c>
      <c r="BB96" s="247">
        <f t="shared" si="34"/>
        <v>100</v>
      </c>
      <c r="BC96" s="91">
        <f t="shared" si="35"/>
        <v>2</v>
      </c>
      <c r="BD96" s="325">
        <v>0</v>
      </c>
      <c r="BE96" s="325">
        <v>0</v>
      </c>
      <c r="BF96" s="325">
        <v>0</v>
      </c>
      <c r="BG96" s="252">
        <f t="shared" si="36"/>
        <v>0</v>
      </c>
      <c r="BH96" s="246">
        <f t="shared" si="37"/>
        <v>100</v>
      </c>
      <c r="BI96" s="90">
        <f t="shared" si="38"/>
        <v>1</v>
      </c>
      <c r="BJ96" s="325">
        <v>0</v>
      </c>
      <c r="BK96" s="247">
        <f t="shared" si="39"/>
        <v>100</v>
      </c>
      <c r="BL96" s="94">
        <f t="shared" si="40"/>
        <v>2</v>
      </c>
      <c r="BM96" s="325">
        <v>0</v>
      </c>
      <c r="BN96" s="325">
        <v>0</v>
      </c>
      <c r="BO96" s="325">
        <v>0</v>
      </c>
      <c r="BP96" s="211">
        <f t="shared" si="41"/>
        <v>0</v>
      </c>
      <c r="BQ96" s="253">
        <f t="shared" si="42"/>
        <v>25</v>
      </c>
      <c r="BR96" s="99">
        <f t="shared" si="43"/>
        <v>0.25</v>
      </c>
      <c r="BS96" s="101">
        <f t="shared" si="44"/>
        <v>17.25</v>
      </c>
    </row>
    <row r="97" spans="1:71" x14ac:dyDescent="0.6">
      <c r="A97" s="373" t="s">
        <v>1627</v>
      </c>
      <c r="B97" s="1" t="s">
        <v>2998</v>
      </c>
      <c r="C97" s="380" t="s">
        <v>856</v>
      </c>
      <c r="D97" s="351" t="s">
        <v>203</v>
      </c>
      <c r="E97" s="352" t="s">
        <v>1067</v>
      </c>
      <c r="F97" s="352" t="s">
        <v>154</v>
      </c>
      <c r="G97" s="353">
        <v>28305</v>
      </c>
      <c r="H97" s="352" t="s">
        <v>830</v>
      </c>
      <c r="I97" s="352" t="s">
        <v>194</v>
      </c>
      <c r="J97" s="352" t="s">
        <v>665</v>
      </c>
      <c r="K97" s="352" t="s">
        <v>91</v>
      </c>
      <c r="L97" s="381">
        <v>215451170</v>
      </c>
      <c r="M97" s="376">
        <v>65681714</v>
      </c>
      <c r="N97" s="376">
        <v>149769456</v>
      </c>
      <c r="O97" s="376">
        <v>146246080</v>
      </c>
      <c r="P97" s="376">
        <v>9308222</v>
      </c>
      <c r="Q97" s="376">
        <v>8741705</v>
      </c>
      <c r="R97" s="376">
        <v>6752046</v>
      </c>
      <c r="S97" s="325">
        <v>0</v>
      </c>
      <c r="T97" s="246">
        <f t="shared" si="25"/>
        <v>100</v>
      </c>
      <c r="U97" s="77">
        <f t="shared" si="26"/>
        <v>2</v>
      </c>
      <c r="V97" s="377">
        <v>0</v>
      </c>
      <c r="W97" s="377">
        <v>0</v>
      </c>
      <c r="X97" s="377">
        <v>0</v>
      </c>
      <c r="Y97" s="377">
        <v>0</v>
      </c>
      <c r="Z97" s="377">
        <v>0</v>
      </c>
      <c r="AA97" s="377">
        <v>0</v>
      </c>
      <c r="AB97" s="377">
        <v>0</v>
      </c>
      <c r="AC97" s="247">
        <f t="shared" si="27"/>
        <v>0</v>
      </c>
      <c r="AD97" s="247">
        <f t="shared" si="28"/>
        <v>100</v>
      </c>
      <c r="AE97" s="82">
        <f t="shared" si="45"/>
        <v>5</v>
      </c>
      <c r="AF97" s="377">
        <v>0</v>
      </c>
      <c r="AG97" s="377">
        <v>0</v>
      </c>
      <c r="AH97" s="247">
        <f t="shared" si="29"/>
        <v>0</v>
      </c>
      <c r="AI97" s="247">
        <f t="shared" si="30"/>
        <v>100</v>
      </c>
      <c r="AJ97" s="82">
        <f t="shared" si="31"/>
        <v>3</v>
      </c>
      <c r="AK97" s="367" t="s">
        <v>2902</v>
      </c>
      <c r="AL97" s="367" t="s">
        <v>2902</v>
      </c>
      <c r="AM97" s="367" t="s">
        <v>2902</v>
      </c>
      <c r="AN97" s="367" t="s">
        <v>2902</v>
      </c>
      <c r="AO97" s="367" t="s">
        <v>2902</v>
      </c>
      <c r="AP97" s="296" t="s">
        <v>2326</v>
      </c>
      <c r="AQ97" s="296" t="s">
        <v>2326</v>
      </c>
      <c r="AR97" s="297"/>
      <c r="AS97" s="367" t="s">
        <v>2902</v>
      </c>
      <c r="AT97" s="367" t="s">
        <v>2902</v>
      </c>
      <c r="AU97" s="296" t="s">
        <v>2326</v>
      </c>
      <c r="AV97" s="297"/>
      <c r="AW97" s="325">
        <v>1</v>
      </c>
      <c r="AX97" s="247">
        <f t="shared" si="32"/>
        <v>100</v>
      </c>
      <c r="AY97" s="90">
        <f t="shared" si="33"/>
        <v>4</v>
      </c>
      <c r="AZ97" s="378">
        <v>0</v>
      </c>
      <c r="BA97" s="449" t="s">
        <v>3782</v>
      </c>
      <c r="BB97" s="247">
        <f t="shared" si="34"/>
        <v>100</v>
      </c>
      <c r="BC97" s="91">
        <f t="shared" si="35"/>
        <v>2</v>
      </c>
      <c r="BD97" s="325">
        <v>0</v>
      </c>
      <c r="BE97" s="325">
        <v>0</v>
      </c>
      <c r="BF97" s="325">
        <v>0</v>
      </c>
      <c r="BG97" s="252">
        <f t="shared" si="36"/>
        <v>0</v>
      </c>
      <c r="BH97" s="246">
        <f t="shared" si="37"/>
        <v>100</v>
      </c>
      <c r="BI97" s="90">
        <f t="shared" si="38"/>
        <v>1</v>
      </c>
      <c r="BJ97" s="325">
        <v>0</v>
      </c>
      <c r="BK97" s="247">
        <f t="shared" si="39"/>
        <v>100</v>
      </c>
      <c r="BL97" s="94">
        <f t="shared" si="40"/>
        <v>2</v>
      </c>
      <c r="BM97" s="325">
        <v>0</v>
      </c>
      <c r="BN97" s="325">
        <v>0</v>
      </c>
      <c r="BO97" s="325">
        <v>0</v>
      </c>
      <c r="BP97" s="211">
        <f t="shared" si="41"/>
        <v>0</v>
      </c>
      <c r="BQ97" s="253">
        <f t="shared" si="42"/>
        <v>25</v>
      </c>
      <c r="BR97" s="99">
        <f t="shared" si="43"/>
        <v>0.25</v>
      </c>
      <c r="BS97" s="101">
        <f t="shared" si="44"/>
        <v>19.25</v>
      </c>
    </row>
    <row r="98" spans="1:71" x14ac:dyDescent="0.6">
      <c r="A98" s="373" t="s">
        <v>868</v>
      </c>
      <c r="B98" s="13" t="s">
        <v>2999</v>
      </c>
      <c r="C98" s="380" t="s">
        <v>538</v>
      </c>
      <c r="D98" s="351" t="s">
        <v>285</v>
      </c>
      <c r="E98" s="352" t="s">
        <v>867</v>
      </c>
      <c r="F98" s="352" t="s">
        <v>149</v>
      </c>
      <c r="G98" s="353">
        <v>28793</v>
      </c>
      <c r="H98" s="352" t="s">
        <v>830</v>
      </c>
      <c r="I98" s="352" t="s">
        <v>1628</v>
      </c>
      <c r="J98" s="352" t="s">
        <v>1155</v>
      </c>
      <c r="K98" s="352" t="s">
        <v>91</v>
      </c>
      <c r="L98" s="381">
        <v>1256174707</v>
      </c>
      <c r="M98" s="376">
        <v>687867321</v>
      </c>
      <c r="N98" s="376">
        <v>568307386</v>
      </c>
      <c r="O98" s="376">
        <v>1300137418</v>
      </c>
      <c r="P98" s="376">
        <v>26971265</v>
      </c>
      <c r="Q98" s="376">
        <v>57193340</v>
      </c>
      <c r="R98" s="376">
        <v>46104412</v>
      </c>
      <c r="S98" s="325">
        <v>1</v>
      </c>
      <c r="T98" s="246">
        <f t="shared" si="25"/>
        <v>50</v>
      </c>
      <c r="U98" s="77">
        <f t="shared" si="26"/>
        <v>1</v>
      </c>
      <c r="V98" s="377">
        <v>0</v>
      </c>
      <c r="W98" s="377">
        <v>0</v>
      </c>
      <c r="X98" s="377">
        <v>0</v>
      </c>
      <c r="Y98" s="377">
        <v>0</v>
      </c>
      <c r="Z98" s="377">
        <v>0</v>
      </c>
      <c r="AA98" s="377">
        <v>0</v>
      </c>
      <c r="AB98" s="377">
        <v>0</v>
      </c>
      <c r="AC98" s="247">
        <f t="shared" si="27"/>
        <v>0</v>
      </c>
      <c r="AD98" s="247">
        <f t="shared" si="28"/>
        <v>100</v>
      </c>
      <c r="AE98" s="82">
        <f t="shared" si="45"/>
        <v>5</v>
      </c>
      <c r="AF98" s="377">
        <v>0</v>
      </c>
      <c r="AG98" s="377">
        <v>0</v>
      </c>
      <c r="AH98" s="247">
        <f t="shared" si="29"/>
        <v>0</v>
      </c>
      <c r="AI98" s="247">
        <f t="shared" si="30"/>
        <v>100</v>
      </c>
      <c r="AJ98" s="82">
        <f t="shared" si="31"/>
        <v>3</v>
      </c>
      <c r="AK98" s="367" t="s">
        <v>2902</v>
      </c>
      <c r="AL98" s="367" t="s">
        <v>2902</v>
      </c>
      <c r="AM98" s="367" t="s">
        <v>2902</v>
      </c>
      <c r="AN98" s="367" t="s">
        <v>2902</v>
      </c>
      <c r="AO98" s="367" t="s">
        <v>2902</v>
      </c>
      <c r="AP98" s="296" t="s">
        <v>2326</v>
      </c>
      <c r="AQ98" s="296" t="s">
        <v>2326</v>
      </c>
      <c r="AR98" s="297"/>
      <c r="AS98" s="367" t="s">
        <v>2902</v>
      </c>
      <c r="AT98" s="367" t="s">
        <v>2902</v>
      </c>
      <c r="AU98" s="296" t="s">
        <v>2326</v>
      </c>
      <c r="AV98" s="297"/>
      <c r="AW98" s="325">
        <v>0</v>
      </c>
      <c r="AX98" s="247">
        <f t="shared" si="32"/>
        <v>50</v>
      </c>
      <c r="AY98" s="90">
        <f t="shared" si="33"/>
        <v>2</v>
      </c>
      <c r="AZ98" s="378">
        <v>0</v>
      </c>
      <c r="BA98" s="449" t="s">
        <v>3782</v>
      </c>
      <c r="BB98" s="247">
        <f t="shared" si="34"/>
        <v>100</v>
      </c>
      <c r="BC98" s="91">
        <f t="shared" si="35"/>
        <v>2</v>
      </c>
      <c r="BD98" s="325">
        <v>0</v>
      </c>
      <c r="BE98" s="325">
        <v>0</v>
      </c>
      <c r="BF98" s="325">
        <v>0</v>
      </c>
      <c r="BG98" s="252">
        <f t="shared" si="36"/>
        <v>0</v>
      </c>
      <c r="BH98" s="246">
        <f t="shared" si="37"/>
        <v>100</v>
      </c>
      <c r="BI98" s="90">
        <f t="shared" si="38"/>
        <v>1</v>
      </c>
      <c r="BJ98" s="325">
        <v>0</v>
      </c>
      <c r="BK98" s="247">
        <f t="shared" si="39"/>
        <v>100</v>
      </c>
      <c r="BL98" s="94">
        <f t="shared" si="40"/>
        <v>2</v>
      </c>
      <c r="BM98" s="325">
        <v>0</v>
      </c>
      <c r="BN98" s="325">
        <v>0</v>
      </c>
      <c r="BO98" s="325">
        <v>1</v>
      </c>
      <c r="BP98" s="211">
        <f t="shared" si="41"/>
        <v>1</v>
      </c>
      <c r="BQ98" s="253">
        <f t="shared" si="42"/>
        <v>50</v>
      </c>
      <c r="BR98" s="99">
        <f t="shared" si="43"/>
        <v>0.5</v>
      </c>
      <c r="BS98" s="101">
        <f t="shared" si="44"/>
        <v>16.5</v>
      </c>
    </row>
    <row r="99" spans="1:71" x14ac:dyDescent="0.6">
      <c r="A99" s="373" t="s">
        <v>782</v>
      </c>
      <c r="B99" s="1" t="s">
        <v>3000</v>
      </c>
      <c r="C99" s="380" t="s">
        <v>431</v>
      </c>
      <c r="D99" s="351" t="s">
        <v>285</v>
      </c>
      <c r="E99" s="352" t="s">
        <v>568</v>
      </c>
      <c r="F99" s="352" t="s">
        <v>1036</v>
      </c>
      <c r="G99" s="353">
        <v>42566</v>
      </c>
      <c r="H99" s="352" t="s">
        <v>830</v>
      </c>
      <c r="I99" s="352" t="s">
        <v>699</v>
      </c>
      <c r="J99" s="352" t="s">
        <v>1022</v>
      </c>
      <c r="K99" s="352" t="s">
        <v>91</v>
      </c>
      <c r="L99" s="381">
        <v>1605210800</v>
      </c>
      <c r="M99" s="376">
        <v>74995068</v>
      </c>
      <c r="N99" s="376">
        <v>1530215732</v>
      </c>
      <c r="O99" s="376">
        <v>516898546</v>
      </c>
      <c r="P99" s="376">
        <v>34700109</v>
      </c>
      <c r="Q99" s="376">
        <v>126366266</v>
      </c>
      <c r="R99" s="376">
        <v>167855852</v>
      </c>
      <c r="S99" s="325">
        <v>0</v>
      </c>
      <c r="T99" s="246">
        <f t="shared" si="25"/>
        <v>100</v>
      </c>
      <c r="U99" s="77">
        <f t="shared" si="26"/>
        <v>2</v>
      </c>
      <c r="V99" s="377">
        <v>0</v>
      </c>
      <c r="W99" s="377">
        <v>0</v>
      </c>
      <c r="X99" s="377">
        <v>0</v>
      </c>
      <c r="Y99" s="377">
        <v>0</v>
      </c>
      <c r="Z99" s="377">
        <v>0</v>
      </c>
      <c r="AA99" s="377">
        <v>0</v>
      </c>
      <c r="AB99" s="377">
        <v>0</v>
      </c>
      <c r="AC99" s="247">
        <f t="shared" si="27"/>
        <v>0</v>
      </c>
      <c r="AD99" s="247">
        <f t="shared" si="28"/>
        <v>100</v>
      </c>
      <c r="AE99" s="82">
        <f t="shared" si="45"/>
        <v>5</v>
      </c>
      <c r="AF99" s="377">
        <v>0</v>
      </c>
      <c r="AG99" s="377">
        <v>0</v>
      </c>
      <c r="AH99" s="247">
        <f t="shared" si="29"/>
        <v>0</v>
      </c>
      <c r="AI99" s="247">
        <f t="shared" si="30"/>
        <v>100</v>
      </c>
      <c r="AJ99" s="82">
        <f t="shared" si="31"/>
        <v>3</v>
      </c>
      <c r="AK99" s="367" t="s">
        <v>2902</v>
      </c>
      <c r="AL99" s="367" t="s">
        <v>2902</v>
      </c>
      <c r="AM99" s="367" t="s">
        <v>2902</v>
      </c>
      <c r="AN99" s="367" t="s">
        <v>2902</v>
      </c>
      <c r="AO99" s="367" t="s">
        <v>2902</v>
      </c>
      <c r="AP99" s="296" t="s">
        <v>2326</v>
      </c>
      <c r="AQ99" s="296" t="s">
        <v>2326</v>
      </c>
      <c r="AR99" s="297"/>
      <c r="AS99" s="367" t="s">
        <v>2902</v>
      </c>
      <c r="AT99" s="367" t="s">
        <v>2902</v>
      </c>
      <c r="AU99" s="296" t="s">
        <v>2326</v>
      </c>
      <c r="AV99" s="297"/>
      <c r="AW99" s="325">
        <v>1</v>
      </c>
      <c r="AX99" s="247">
        <f t="shared" si="32"/>
        <v>100</v>
      </c>
      <c r="AY99" s="90">
        <f t="shared" si="33"/>
        <v>4</v>
      </c>
      <c r="AZ99" s="378">
        <v>0</v>
      </c>
      <c r="BA99" s="449" t="s">
        <v>3782</v>
      </c>
      <c r="BB99" s="247">
        <f t="shared" si="34"/>
        <v>100</v>
      </c>
      <c r="BC99" s="91">
        <f t="shared" si="35"/>
        <v>2</v>
      </c>
      <c r="BD99" s="325">
        <v>0</v>
      </c>
      <c r="BE99" s="325">
        <v>0</v>
      </c>
      <c r="BF99" s="325">
        <v>0</v>
      </c>
      <c r="BG99" s="252">
        <f t="shared" si="36"/>
        <v>0</v>
      </c>
      <c r="BH99" s="246">
        <f t="shared" si="37"/>
        <v>100</v>
      </c>
      <c r="BI99" s="90">
        <f t="shared" si="38"/>
        <v>1</v>
      </c>
      <c r="BJ99" s="325">
        <v>0</v>
      </c>
      <c r="BK99" s="247">
        <f t="shared" si="39"/>
        <v>100</v>
      </c>
      <c r="BL99" s="94">
        <f t="shared" si="40"/>
        <v>2</v>
      </c>
      <c r="BM99" s="325">
        <v>0</v>
      </c>
      <c r="BN99" s="325">
        <v>0</v>
      </c>
      <c r="BO99" s="325">
        <v>0</v>
      </c>
      <c r="BP99" s="211">
        <f t="shared" si="41"/>
        <v>0</v>
      </c>
      <c r="BQ99" s="253">
        <f t="shared" si="42"/>
        <v>25</v>
      </c>
      <c r="BR99" s="99">
        <f t="shared" si="43"/>
        <v>0.25</v>
      </c>
      <c r="BS99" s="101">
        <f t="shared" si="44"/>
        <v>19.25</v>
      </c>
    </row>
    <row r="100" spans="1:71" x14ac:dyDescent="0.6">
      <c r="A100" s="373" t="s">
        <v>440</v>
      </c>
      <c r="B100" s="13" t="s">
        <v>3001</v>
      </c>
      <c r="C100" s="380" t="s">
        <v>108</v>
      </c>
      <c r="D100" s="351" t="s">
        <v>191</v>
      </c>
      <c r="E100" s="352" t="s">
        <v>34</v>
      </c>
      <c r="F100" s="352" t="s">
        <v>242</v>
      </c>
      <c r="G100" s="353">
        <v>41372</v>
      </c>
      <c r="H100" s="352" t="s">
        <v>830</v>
      </c>
      <c r="I100" s="352" t="s">
        <v>768</v>
      </c>
      <c r="J100" s="352" t="s">
        <v>1057</v>
      </c>
      <c r="K100" s="352" t="s">
        <v>91</v>
      </c>
      <c r="L100" s="381">
        <v>1135143086</v>
      </c>
      <c r="M100" s="376">
        <v>463178728</v>
      </c>
      <c r="N100" s="376">
        <v>671964358</v>
      </c>
      <c r="O100" s="376">
        <v>635839633</v>
      </c>
      <c r="P100" s="376">
        <v>30527351</v>
      </c>
      <c r="Q100" s="376">
        <v>13547054</v>
      </c>
      <c r="R100" s="376">
        <v>9019750</v>
      </c>
      <c r="S100" s="325">
        <v>0</v>
      </c>
      <c r="T100" s="246">
        <f t="shared" si="25"/>
        <v>100</v>
      </c>
      <c r="U100" s="77">
        <f t="shared" si="26"/>
        <v>2</v>
      </c>
      <c r="V100" s="377">
        <v>0</v>
      </c>
      <c r="W100" s="377">
        <v>0</v>
      </c>
      <c r="X100" s="377">
        <v>0</v>
      </c>
      <c r="Y100" s="377">
        <v>0</v>
      </c>
      <c r="Z100" s="377">
        <v>0</v>
      </c>
      <c r="AA100" s="377">
        <v>0</v>
      </c>
      <c r="AB100" s="377">
        <v>0</v>
      </c>
      <c r="AC100" s="247">
        <f t="shared" si="27"/>
        <v>0</v>
      </c>
      <c r="AD100" s="247">
        <f t="shared" si="28"/>
        <v>100</v>
      </c>
      <c r="AE100" s="82">
        <f t="shared" si="45"/>
        <v>5</v>
      </c>
      <c r="AF100" s="377">
        <v>0</v>
      </c>
      <c r="AG100" s="377">
        <v>0</v>
      </c>
      <c r="AH100" s="247">
        <f t="shared" si="29"/>
        <v>0</v>
      </c>
      <c r="AI100" s="247">
        <f t="shared" si="30"/>
        <v>100</v>
      </c>
      <c r="AJ100" s="82">
        <f t="shared" si="31"/>
        <v>3</v>
      </c>
      <c r="AK100" s="367" t="s">
        <v>2902</v>
      </c>
      <c r="AL100" s="367" t="s">
        <v>2902</v>
      </c>
      <c r="AM100" s="367" t="s">
        <v>2902</v>
      </c>
      <c r="AN100" s="367" t="s">
        <v>2902</v>
      </c>
      <c r="AO100" s="367" t="s">
        <v>2902</v>
      </c>
      <c r="AP100" s="296" t="s">
        <v>2326</v>
      </c>
      <c r="AQ100" s="296" t="s">
        <v>2326</v>
      </c>
      <c r="AR100" s="297"/>
      <c r="AS100" s="367" t="s">
        <v>2902</v>
      </c>
      <c r="AT100" s="367" t="s">
        <v>2902</v>
      </c>
      <c r="AU100" s="296" t="s">
        <v>2326</v>
      </c>
      <c r="AV100" s="297"/>
      <c r="AW100" s="325">
        <v>0</v>
      </c>
      <c r="AX100" s="247">
        <f t="shared" si="32"/>
        <v>50</v>
      </c>
      <c r="AY100" s="90">
        <f t="shared" si="33"/>
        <v>2</v>
      </c>
      <c r="AZ100" s="378">
        <v>0</v>
      </c>
      <c r="BA100" s="449" t="s">
        <v>3782</v>
      </c>
      <c r="BB100" s="247">
        <f t="shared" si="34"/>
        <v>100</v>
      </c>
      <c r="BC100" s="91">
        <f t="shared" si="35"/>
        <v>2</v>
      </c>
      <c r="BD100" s="325">
        <v>0</v>
      </c>
      <c r="BE100" s="325">
        <v>0</v>
      </c>
      <c r="BF100" s="325">
        <v>0</v>
      </c>
      <c r="BG100" s="252">
        <f t="shared" si="36"/>
        <v>0</v>
      </c>
      <c r="BH100" s="246">
        <f t="shared" si="37"/>
        <v>100</v>
      </c>
      <c r="BI100" s="90">
        <f t="shared" si="38"/>
        <v>1</v>
      </c>
      <c r="BJ100" s="325">
        <v>0</v>
      </c>
      <c r="BK100" s="247">
        <f t="shared" si="39"/>
        <v>100</v>
      </c>
      <c r="BL100" s="94">
        <f t="shared" si="40"/>
        <v>2</v>
      </c>
      <c r="BM100" s="325">
        <v>0</v>
      </c>
      <c r="BN100" s="325">
        <v>0</v>
      </c>
      <c r="BO100" s="325">
        <v>1</v>
      </c>
      <c r="BP100" s="211">
        <f t="shared" si="41"/>
        <v>1</v>
      </c>
      <c r="BQ100" s="253">
        <f t="shared" si="42"/>
        <v>50</v>
      </c>
      <c r="BR100" s="99">
        <f t="shared" si="43"/>
        <v>0.5</v>
      </c>
      <c r="BS100" s="101">
        <f t="shared" si="44"/>
        <v>17.5</v>
      </c>
    </row>
    <row r="101" spans="1:71" x14ac:dyDescent="0.6">
      <c r="A101" s="373" t="s">
        <v>59</v>
      </c>
      <c r="B101" s="1" t="s">
        <v>3002</v>
      </c>
      <c r="C101" s="380" t="s">
        <v>521</v>
      </c>
      <c r="D101" s="351" t="s">
        <v>203</v>
      </c>
      <c r="E101" s="352" t="s">
        <v>197</v>
      </c>
      <c r="F101" s="352" t="s">
        <v>221</v>
      </c>
      <c r="G101" s="353">
        <v>43068</v>
      </c>
      <c r="H101" s="352" t="s">
        <v>830</v>
      </c>
      <c r="I101" s="352" t="s">
        <v>416</v>
      </c>
      <c r="J101" s="352" t="s">
        <v>1232</v>
      </c>
      <c r="K101" s="352" t="s">
        <v>50</v>
      </c>
      <c r="L101" s="381">
        <v>455083382</v>
      </c>
      <c r="M101" s="376">
        <v>77689901</v>
      </c>
      <c r="N101" s="376">
        <v>377393482</v>
      </c>
      <c r="O101" s="376">
        <v>201504926</v>
      </c>
      <c r="P101" s="376">
        <v>20813521</v>
      </c>
      <c r="Q101" s="376">
        <v>29530469</v>
      </c>
      <c r="R101" s="376">
        <v>23064473</v>
      </c>
      <c r="S101" s="325">
        <v>1</v>
      </c>
      <c r="T101" s="246">
        <f t="shared" si="25"/>
        <v>50</v>
      </c>
      <c r="U101" s="77">
        <f t="shared" si="26"/>
        <v>1</v>
      </c>
      <c r="V101" s="377">
        <v>0</v>
      </c>
      <c r="W101" s="377">
        <v>0</v>
      </c>
      <c r="X101" s="377">
        <v>0</v>
      </c>
      <c r="Y101" s="377">
        <v>0</v>
      </c>
      <c r="Z101" s="377">
        <v>0</v>
      </c>
      <c r="AA101" s="377">
        <v>0</v>
      </c>
      <c r="AB101" s="377">
        <v>0</v>
      </c>
      <c r="AC101" s="247">
        <f t="shared" si="27"/>
        <v>0</v>
      </c>
      <c r="AD101" s="247">
        <f t="shared" si="28"/>
        <v>100</v>
      </c>
      <c r="AE101" s="82">
        <f t="shared" si="45"/>
        <v>5</v>
      </c>
      <c r="AF101" s="377">
        <v>0</v>
      </c>
      <c r="AG101" s="377">
        <v>0</v>
      </c>
      <c r="AH101" s="247">
        <f t="shared" si="29"/>
        <v>0</v>
      </c>
      <c r="AI101" s="247">
        <f t="shared" si="30"/>
        <v>100</v>
      </c>
      <c r="AJ101" s="82">
        <f t="shared" si="31"/>
        <v>3</v>
      </c>
      <c r="AK101" s="367" t="s">
        <v>2902</v>
      </c>
      <c r="AL101" s="367" t="s">
        <v>2902</v>
      </c>
      <c r="AM101" s="367" t="s">
        <v>2902</v>
      </c>
      <c r="AN101" s="367" t="s">
        <v>2902</v>
      </c>
      <c r="AO101" s="367" t="s">
        <v>2902</v>
      </c>
      <c r="AP101" s="296" t="s">
        <v>2326</v>
      </c>
      <c r="AQ101" s="296" t="s">
        <v>2326</v>
      </c>
      <c r="AR101" s="297"/>
      <c r="AS101" s="367" t="s">
        <v>2902</v>
      </c>
      <c r="AT101" s="367" t="s">
        <v>2902</v>
      </c>
      <c r="AU101" s="296" t="s">
        <v>2326</v>
      </c>
      <c r="AV101" s="297"/>
      <c r="AW101" s="325">
        <v>0</v>
      </c>
      <c r="AX101" s="247">
        <f t="shared" si="32"/>
        <v>50</v>
      </c>
      <c r="AY101" s="90">
        <f t="shared" si="33"/>
        <v>2</v>
      </c>
      <c r="AZ101" s="378">
        <v>0</v>
      </c>
      <c r="BA101" s="449" t="s">
        <v>3782</v>
      </c>
      <c r="BB101" s="247">
        <f t="shared" si="34"/>
        <v>100</v>
      </c>
      <c r="BC101" s="91">
        <f t="shared" si="35"/>
        <v>2</v>
      </c>
      <c r="BD101" s="325">
        <v>0</v>
      </c>
      <c r="BE101" s="325">
        <v>0</v>
      </c>
      <c r="BF101" s="325">
        <v>0</v>
      </c>
      <c r="BG101" s="252">
        <f t="shared" si="36"/>
        <v>0</v>
      </c>
      <c r="BH101" s="246">
        <f t="shared" si="37"/>
        <v>100</v>
      </c>
      <c r="BI101" s="90">
        <f t="shared" si="38"/>
        <v>1</v>
      </c>
      <c r="BJ101" s="325">
        <v>0</v>
      </c>
      <c r="BK101" s="247">
        <f t="shared" si="39"/>
        <v>100</v>
      </c>
      <c r="BL101" s="94">
        <f t="shared" si="40"/>
        <v>2</v>
      </c>
      <c r="BM101" s="325">
        <v>0</v>
      </c>
      <c r="BN101" s="325">
        <v>0</v>
      </c>
      <c r="BO101" s="325">
        <v>0</v>
      </c>
      <c r="BP101" s="211">
        <f t="shared" si="41"/>
        <v>0</v>
      </c>
      <c r="BQ101" s="253">
        <f t="shared" si="42"/>
        <v>25</v>
      </c>
      <c r="BR101" s="99">
        <f t="shared" si="43"/>
        <v>0.25</v>
      </c>
      <c r="BS101" s="101">
        <f t="shared" si="44"/>
        <v>16.25</v>
      </c>
    </row>
    <row r="102" spans="1:71" x14ac:dyDescent="0.6">
      <c r="A102" s="373" t="s">
        <v>100</v>
      </c>
      <c r="B102" s="13" t="s">
        <v>3003</v>
      </c>
      <c r="C102" s="380" t="s">
        <v>32</v>
      </c>
      <c r="D102" s="354" t="s">
        <v>481</v>
      </c>
      <c r="E102" s="352" t="s">
        <v>704</v>
      </c>
      <c r="F102" s="352" t="s">
        <v>360</v>
      </c>
      <c r="G102" s="353">
        <v>40094</v>
      </c>
      <c r="H102" s="352" t="s">
        <v>830</v>
      </c>
      <c r="I102" s="352" t="s">
        <v>971</v>
      </c>
      <c r="J102" s="352" t="s">
        <v>1160</v>
      </c>
      <c r="K102" s="352" t="s">
        <v>91</v>
      </c>
      <c r="L102" s="381">
        <v>37434509044</v>
      </c>
      <c r="M102" s="376">
        <v>35502248501</v>
      </c>
      <c r="N102" s="376">
        <v>1932260544</v>
      </c>
      <c r="O102" s="376">
        <v>10262246106</v>
      </c>
      <c r="P102" s="376">
        <v>152919076</v>
      </c>
      <c r="Q102" s="376">
        <v>119769829</v>
      </c>
      <c r="R102" s="376">
        <v>97027738</v>
      </c>
      <c r="S102" s="325">
        <v>1</v>
      </c>
      <c r="T102" s="246">
        <f t="shared" si="25"/>
        <v>50</v>
      </c>
      <c r="U102" s="77">
        <f t="shared" si="26"/>
        <v>1</v>
      </c>
      <c r="V102" s="377">
        <v>0</v>
      </c>
      <c r="W102" s="377">
        <v>0</v>
      </c>
      <c r="X102" s="377">
        <v>0</v>
      </c>
      <c r="Y102" s="377">
        <v>0</v>
      </c>
      <c r="Z102" s="377">
        <v>0</v>
      </c>
      <c r="AA102" s="377">
        <v>0</v>
      </c>
      <c r="AB102" s="377">
        <v>0</v>
      </c>
      <c r="AC102" s="247">
        <f t="shared" si="27"/>
        <v>0</v>
      </c>
      <c r="AD102" s="247">
        <f t="shared" si="28"/>
        <v>100</v>
      </c>
      <c r="AE102" s="81">
        <f>AD102*0.02</f>
        <v>2</v>
      </c>
      <c r="AF102" s="360" t="s">
        <v>2902</v>
      </c>
      <c r="AG102" s="360" t="s">
        <v>2902</v>
      </c>
      <c r="AH102" s="248" t="s">
        <v>2326</v>
      </c>
      <c r="AI102" s="248" t="s">
        <v>2326</v>
      </c>
      <c r="AJ102" s="248"/>
      <c r="AK102" s="373">
        <v>0</v>
      </c>
      <c r="AL102" s="373">
        <v>0</v>
      </c>
      <c r="AM102" s="373">
        <v>0</v>
      </c>
      <c r="AN102" s="373">
        <v>0</v>
      </c>
      <c r="AO102" s="370" t="s">
        <v>3240</v>
      </c>
      <c r="AP102" s="249">
        <f>SUM(AK102:AN102)</f>
        <v>0</v>
      </c>
      <c r="AQ102" s="250">
        <f>IF(AP102=0, 100, IF(AP102=1, 75, IF(AP102=2, 50, 25)))</f>
        <v>100</v>
      </c>
      <c r="AR102" s="83">
        <f>AQ102*0.05</f>
        <v>5</v>
      </c>
      <c r="AS102" s="395">
        <v>0</v>
      </c>
      <c r="AT102" s="370" t="s">
        <v>3240</v>
      </c>
      <c r="AU102" s="251">
        <f>IF(AS102=0, 100, IF(AS102=1, 200/3, IF(AS102&gt;=2, 100/3)))</f>
        <v>100</v>
      </c>
      <c r="AV102" s="87">
        <f>AU102*0.01</f>
        <v>1</v>
      </c>
      <c r="AW102" s="325">
        <v>0</v>
      </c>
      <c r="AX102" s="247">
        <f t="shared" si="32"/>
        <v>50</v>
      </c>
      <c r="AY102" s="90">
        <f t="shared" si="33"/>
        <v>2</v>
      </c>
      <c r="AZ102" s="378">
        <v>0</v>
      </c>
      <c r="BA102" s="449" t="s">
        <v>3782</v>
      </c>
      <c r="BB102" s="247">
        <f t="shared" si="34"/>
        <v>100</v>
      </c>
      <c r="BC102" s="91">
        <f t="shared" si="35"/>
        <v>2</v>
      </c>
      <c r="BD102" s="325">
        <v>0</v>
      </c>
      <c r="BE102" s="325">
        <v>0</v>
      </c>
      <c r="BF102" s="325">
        <v>1</v>
      </c>
      <c r="BG102" s="252">
        <f t="shared" si="36"/>
        <v>1</v>
      </c>
      <c r="BH102" s="246">
        <f t="shared" si="37"/>
        <v>75</v>
      </c>
      <c r="BI102" s="90">
        <f t="shared" si="38"/>
        <v>0.75</v>
      </c>
      <c r="BJ102" s="325">
        <v>0</v>
      </c>
      <c r="BK102" s="247">
        <f t="shared" si="39"/>
        <v>100</v>
      </c>
      <c r="BL102" s="94">
        <f t="shared" si="40"/>
        <v>2</v>
      </c>
      <c r="BM102" s="325">
        <v>0</v>
      </c>
      <c r="BN102" s="325">
        <v>0</v>
      </c>
      <c r="BO102" s="325">
        <v>0</v>
      </c>
      <c r="BP102" s="211">
        <f t="shared" si="41"/>
        <v>0</v>
      </c>
      <c r="BQ102" s="253">
        <f t="shared" si="42"/>
        <v>25</v>
      </c>
      <c r="BR102" s="99">
        <f t="shared" si="43"/>
        <v>0.25</v>
      </c>
      <c r="BS102" s="101">
        <f t="shared" si="44"/>
        <v>16</v>
      </c>
    </row>
    <row r="103" spans="1:71" x14ac:dyDescent="0.6">
      <c r="A103" s="373" t="s">
        <v>1629</v>
      </c>
      <c r="B103" s="1" t="s">
        <v>3004</v>
      </c>
      <c r="C103" s="380" t="s">
        <v>1630</v>
      </c>
      <c r="D103" s="315" t="s">
        <v>191</v>
      </c>
      <c r="E103" s="352" t="s">
        <v>178</v>
      </c>
      <c r="F103" s="352" t="s">
        <v>1631</v>
      </c>
      <c r="G103" s="353">
        <v>36853</v>
      </c>
      <c r="H103" s="352" t="s">
        <v>830</v>
      </c>
      <c r="I103" s="352" t="s">
        <v>1632</v>
      </c>
      <c r="J103" s="352" t="s">
        <v>1633</v>
      </c>
      <c r="K103" s="352" t="s">
        <v>91</v>
      </c>
      <c r="L103" s="381">
        <v>1442896840</v>
      </c>
      <c r="M103" s="376">
        <v>718936776</v>
      </c>
      <c r="N103" s="376">
        <v>723960064</v>
      </c>
      <c r="O103" s="376">
        <v>1876232243</v>
      </c>
      <c r="P103" s="376">
        <v>86186465</v>
      </c>
      <c r="Q103" s="376">
        <v>91831146</v>
      </c>
      <c r="R103" s="376">
        <v>73560010</v>
      </c>
      <c r="S103" s="325">
        <v>1</v>
      </c>
      <c r="T103" s="246">
        <f t="shared" si="25"/>
        <v>50</v>
      </c>
      <c r="U103" s="77">
        <f t="shared" si="26"/>
        <v>1</v>
      </c>
      <c r="V103" s="377">
        <v>0</v>
      </c>
      <c r="W103" s="377">
        <v>0</v>
      </c>
      <c r="X103" s="377">
        <v>0</v>
      </c>
      <c r="Y103" s="377">
        <v>0</v>
      </c>
      <c r="Z103" s="377">
        <v>0</v>
      </c>
      <c r="AA103" s="377">
        <v>0</v>
      </c>
      <c r="AB103" s="377">
        <v>0</v>
      </c>
      <c r="AC103" s="247">
        <f t="shared" si="27"/>
        <v>0</v>
      </c>
      <c r="AD103" s="247">
        <f t="shared" si="28"/>
        <v>100</v>
      </c>
      <c r="AE103" s="82">
        <f t="shared" ref="AE103:AE121" si="46">AD103*0.05</f>
        <v>5</v>
      </c>
      <c r="AF103" s="377">
        <v>0</v>
      </c>
      <c r="AG103" s="377">
        <v>0</v>
      </c>
      <c r="AH103" s="247">
        <f t="shared" si="29"/>
        <v>0</v>
      </c>
      <c r="AI103" s="247">
        <f t="shared" si="30"/>
        <v>100</v>
      </c>
      <c r="AJ103" s="82">
        <f t="shared" si="31"/>
        <v>3</v>
      </c>
      <c r="AK103" s="367" t="s">
        <v>2902</v>
      </c>
      <c r="AL103" s="367" t="s">
        <v>2902</v>
      </c>
      <c r="AM103" s="367" t="s">
        <v>2902</v>
      </c>
      <c r="AN103" s="367" t="s">
        <v>2902</v>
      </c>
      <c r="AO103" s="367" t="s">
        <v>2902</v>
      </c>
      <c r="AP103" s="296" t="s">
        <v>2326</v>
      </c>
      <c r="AQ103" s="296" t="s">
        <v>2326</v>
      </c>
      <c r="AR103" s="297"/>
      <c r="AS103" s="367" t="s">
        <v>2902</v>
      </c>
      <c r="AT103" s="367" t="s">
        <v>2902</v>
      </c>
      <c r="AU103" s="296" t="s">
        <v>2326</v>
      </c>
      <c r="AV103" s="297"/>
      <c r="AW103" s="325">
        <v>1</v>
      </c>
      <c r="AX103" s="247">
        <f t="shared" si="32"/>
        <v>100</v>
      </c>
      <c r="AY103" s="90">
        <f t="shared" si="33"/>
        <v>4</v>
      </c>
      <c r="AZ103" s="378">
        <v>0</v>
      </c>
      <c r="BA103" s="449" t="s">
        <v>3782</v>
      </c>
      <c r="BB103" s="247">
        <f t="shared" si="34"/>
        <v>100</v>
      </c>
      <c r="BC103" s="91">
        <f t="shared" si="35"/>
        <v>2</v>
      </c>
      <c r="BD103" s="325">
        <v>0</v>
      </c>
      <c r="BE103" s="325">
        <v>0</v>
      </c>
      <c r="BF103" s="325">
        <v>1</v>
      </c>
      <c r="BG103" s="252">
        <f t="shared" si="36"/>
        <v>1</v>
      </c>
      <c r="BH103" s="246">
        <f t="shared" si="37"/>
        <v>75</v>
      </c>
      <c r="BI103" s="90">
        <f t="shared" si="38"/>
        <v>0.75</v>
      </c>
      <c r="BJ103" s="325">
        <v>0</v>
      </c>
      <c r="BK103" s="247">
        <f t="shared" si="39"/>
        <v>100</v>
      </c>
      <c r="BL103" s="94">
        <f t="shared" si="40"/>
        <v>2</v>
      </c>
      <c r="BM103" s="325">
        <v>0</v>
      </c>
      <c r="BN103" s="325">
        <v>0</v>
      </c>
      <c r="BO103" s="325">
        <v>0</v>
      </c>
      <c r="BP103" s="211">
        <f t="shared" si="41"/>
        <v>0</v>
      </c>
      <c r="BQ103" s="253">
        <f t="shared" si="42"/>
        <v>25</v>
      </c>
      <c r="BR103" s="99">
        <f t="shared" si="43"/>
        <v>0.25</v>
      </c>
      <c r="BS103" s="101">
        <f t="shared" si="44"/>
        <v>18</v>
      </c>
    </row>
    <row r="104" spans="1:71" x14ac:dyDescent="0.6">
      <c r="A104" s="373" t="s">
        <v>1634</v>
      </c>
      <c r="B104" s="13" t="s">
        <v>3005</v>
      </c>
      <c r="C104" s="380" t="s">
        <v>1635</v>
      </c>
      <c r="D104" s="315" t="s">
        <v>203</v>
      </c>
      <c r="E104" s="352" t="s">
        <v>246</v>
      </c>
      <c r="F104" s="352" t="s">
        <v>1636</v>
      </c>
      <c r="G104" s="353">
        <v>34422</v>
      </c>
      <c r="H104" s="352" t="s">
        <v>830</v>
      </c>
      <c r="I104" s="352" t="s">
        <v>1637</v>
      </c>
      <c r="J104" s="352" t="s">
        <v>1638</v>
      </c>
      <c r="K104" s="352" t="s">
        <v>425</v>
      </c>
      <c r="L104" s="381">
        <v>1380267325</v>
      </c>
      <c r="M104" s="376">
        <v>678125020</v>
      </c>
      <c r="N104" s="376">
        <v>702142305</v>
      </c>
      <c r="O104" s="376">
        <v>1300951533</v>
      </c>
      <c r="P104" s="376">
        <v>82521356</v>
      </c>
      <c r="Q104" s="376">
        <v>74612978</v>
      </c>
      <c r="R104" s="376">
        <v>59394229</v>
      </c>
      <c r="S104" s="325">
        <v>1</v>
      </c>
      <c r="T104" s="246">
        <f t="shared" si="25"/>
        <v>50</v>
      </c>
      <c r="U104" s="77">
        <f t="shared" si="26"/>
        <v>1</v>
      </c>
      <c r="V104" s="377">
        <v>0</v>
      </c>
      <c r="W104" s="377">
        <v>0</v>
      </c>
      <c r="X104" s="377">
        <v>0</v>
      </c>
      <c r="Y104" s="377">
        <v>0</v>
      </c>
      <c r="Z104" s="377">
        <v>0</v>
      </c>
      <c r="AA104" s="377">
        <v>0</v>
      </c>
      <c r="AB104" s="377">
        <v>0</v>
      </c>
      <c r="AC104" s="247">
        <f t="shared" si="27"/>
        <v>0</v>
      </c>
      <c r="AD104" s="247">
        <f t="shared" si="28"/>
        <v>100</v>
      </c>
      <c r="AE104" s="82">
        <f t="shared" si="46"/>
        <v>5</v>
      </c>
      <c r="AF104" s="377">
        <v>0</v>
      </c>
      <c r="AG104" s="377">
        <v>0</v>
      </c>
      <c r="AH104" s="247">
        <f t="shared" si="29"/>
        <v>0</v>
      </c>
      <c r="AI104" s="247">
        <f t="shared" si="30"/>
        <v>100</v>
      </c>
      <c r="AJ104" s="82">
        <f t="shared" si="31"/>
        <v>3</v>
      </c>
      <c r="AK104" s="367" t="s">
        <v>2902</v>
      </c>
      <c r="AL104" s="367" t="s">
        <v>2902</v>
      </c>
      <c r="AM104" s="367" t="s">
        <v>2902</v>
      </c>
      <c r="AN104" s="367" t="s">
        <v>2902</v>
      </c>
      <c r="AO104" s="367" t="s">
        <v>2902</v>
      </c>
      <c r="AP104" s="296" t="s">
        <v>2326</v>
      </c>
      <c r="AQ104" s="296" t="s">
        <v>2326</v>
      </c>
      <c r="AR104" s="297"/>
      <c r="AS104" s="367" t="s">
        <v>2902</v>
      </c>
      <c r="AT104" s="367" t="s">
        <v>2902</v>
      </c>
      <c r="AU104" s="296" t="s">
        <v>2326</v>
      </c>
      <c r="AV104" s="297"/>
      <c r="AW104" s="325">
        <v>1</v>
      </c>
      <c r="AX104" s="247">
        <f t="shared" si="32"/>
        <v>100</v>
      </c>
      <c r="AY104" s="90">
        <f t="shared" si="33"/>
        <v>4</v>
      </c>
      <c r="AZ104" s="378">
        <v>0</v>
      </c>
      <c r="BA104" s="449" t="s">
        <v>3782</v>
      </c>
      <c r="BB104" s="247">
        <f t="shared" si="34"/>
        <v>100</v>
      </c>
      <c r="BC104" s="91">
        <f t="shared" si="35"/>
        <v>2</v>
      </c>
      <c r="BD104" s="325">
        <v>0</v>
      </c>
      <c r="BE104" s="325">
        <v>0</v>
      </c>
      <c r="BF104" s="325">
        <v>0</v>
      </c>
      <c r="BG104" s="252">
        <f t="shared" si="36"/>
        <v>0</v>
      </c>
      <c r="BH104" s="246">
        <f t="shared" si="37"/>
        <v>100</v>
      </c>
      <c r="BI104" s="90">
        <f t="shared" si="38"/>
        <v>1</v>
      </c>
      <c r="BJ104" s="325">
        <v>0</v>
      </c>
      <c r="BK104" s="247">
        <f t="shared" si="39"/>
        <v>100</v>
      </c>
      <c r="BL104" s="94">
        <f t="shared" si="40"/>
        <v>2</v>
      </c>
      <c r="BM104" s="325">
        <v>0</v>
      </c>
      <c r="BN104" s="325">
        <v>0</v>
      </c>
      <c r="BO104" s="325">
        <v>1</v>
      </c>
      <c r="BP104" s="211">
        <f t="shared" si="41"/>
        <v>1</v>
      </c>
      <c r="BQ104" s="253">
        <f t="shared" si="42"/>
        <v>50</v>
      </c>
      <c r="BR104" s="99">
        <f t="shared" si="43"/>
        <v>0.5</v>
      </c>
      <c r="BS104" s="101">
        <f t="shared" si="44"/>
        <v>18.5</v>
      </c>
    </row>
    <row r="105" spans="1:71" x14ac:dyDescent="0.6">
      <c r="A105" s="373" t="s">
        <v>865</v>
      </c>
      <c r="B105" s="13" t="s">
        <v>3006</v>
      </c>
      <c r="C105" s="380" t="s">
        <v>852</v>
      </c>
      <c r="D105" s="351" t="s">
        <v>203</v>
      </c>
      <c r="E105" s="352" t="s">
        <v>197</v>
      </c>
      <c r="F105" s="352" t="s">
        <v>357</v>
      </c>
      <c r="G105" s="353">
        <v>41201</v>
      </c>
      <c r="H105" s="352" t="s">
        <v>830</v>
      </c>
      <c r="I105" s="352" t="s">
        <v>774</v>
      </c>
      <c r="J105" s="352" t="s">
        <v>1048</v>
      </c>
      <c r="K105" s="352" t="s">
        <v>484</v>
      </c>
      <c r="L105" s="381">
        <v>372451008</v>
      </c>
      <c r="M105" s="376">
        <v>160285008</v>
      </c>
      <c r="N105" s="376">
        <v>212166000</v>
      </c>
      <c r="O105" s="376">
        <v>382323241</v>
      </c>
      <c r="P105" s="376">
        <v>10643381</v>
      </c>
      <c r="Q105" s="376">
        <v>10453576</v>
      </c>
      <c r="R105" s="376">
        <v>9587170</v>
      </c>
      <c r="S105" s="325">
        <v>0</v>
      </c>
      <c r="T105" s="246">
        <f t="shared" si="25"/>
        <v>100</v>
      </c>
      <c r="U105" s="77">
        <f t="shared" si="26"/>
        <v>2</v>
      </c>
      <c r="V105" s="377">
        <v>0</v>
      </c>
      <c r="W105" s="377">
        <v>0</v>
      </c>
      <c r="X105" s="377">
        <v>0</v>
      </c>
      <c r="Y105" s="377">
        <v>0</v>
      </c>
      <c r="Z105" s="377">
        <v>0</v>
      </c>
      <c r="AA105" s="377">
        <v>0</v>
      </c>
      <c r="AB105" s="377">
        <v>0</v>
      </c>
      <c r="AC105" s="247">
        <f t="shared" si="27"/>
        <v>0</v>
      </c>
      <c r="AD105" s="247">
        <f t="shared" si="28"/>
        <v>100</v>
      </c>
      <c r="AE105" s="82">
        <f t="shared" si="46"/>
        <v>5</v>
      </c>
      <c r="AF105" s="377">
        <v>0</v>
      </c>
      <c r="AG105" s="377">
        <v>0</v>
      </c>
      <c r="AH105" s="247">
        <f t="shared" si="29"/>
        <v>0</v>
      </c>
      <c r="AI105" s="247">
        <f t="shared" si="30"/>
        <v>100</v>
      </c>
      <c r="AJ105" s="82">
        <f t="shared" si="31"/>
        <v>3</v>
      </c>
      <c r="AK105" s="367" t="s">
        <v>2902</v>
      </c>
      <c r="AL105" s="367" t="s">
        <v>2902</v>
      </c>
      <c r="AM105" s="367" t="s">
        <v>2902</v>
      </c>
      <c r="AN105" s="367" t="s">
        <v>2902</v>
      </c>
      <c r="AO105" s="367" t="s">
        <v>2902</v>
      </c>
      <c r="AP105" s="296" t="s">
        <v>2326</v>
      </c>
      <c r="AQ105" s="296" t="s">
        <v>2326</v>
      </c>
      <c r="AR105" s="297"/>
      <c r="AS105" s="367" t="s">
        <v>2902</v>
      </c>
      <c r="AT105" s="367" t="s">
        <v>2902</v>
      </c>
      <c r="AU105" s="296" t="s">
        <v>2326</v>
      </c>
      <c r="AV105" s="297"/>
      <c r="AW105" s="325">
        <v>1</v>
      </c>
      <c r="AX105" s="247">
        <f t="shared" si="32"/>
        <v>100</v>
      </c>
      <c r="AY105" s="90">
        <f t="shared" si="33"/>
        <v>4</v>
      </c>
      <c r="AZ105" s="378">
        <v>0</v>
      </c>
      <c r="BA105" s="449" t="s">
        <v>3782</v>
      </c>
      <c r="BB105" s="247">
        <f t="shared" si="34"/>
        <v>100</v>
      </c>
      <c r="BC105" s="91">
        <f t="shared" si="35"/>
        <v>2</v>
      </c>
      <c r="BD105" s="325">
        <v>0</v>
      </c>
      <c r="BE105" s="325">
        <v>0</v>
      </c>
      <c r="BF105" s="325">
        <v>0</v>
      </c>
      <c r="BG105" s="252">
        <f t="shared" si="36"/>
        <v>0</v>
      </c>
      <c r="BH105" s="246">
        <f t="shared" si="37"/>
        <v>100</v>
      </c>
      <c r="BI105" s="90">
        <f t="shared" si="38"/>
        <v>1</v>
      </c>
      <c r="BJ105" s="325">
        <v>1</v>
      </c>
      <c r="BK105" s="247">
        <f t="shared" si="39"/>
        <v>50</v>
      </c>
      <c r="BL105" s="94">
        <f t="shared" si="40"/>
        <v>1</v>
      </c>
      <c r="BM105" s="325">
        <v>0</v>
      </c>
      <c r="BN105" s="325">
        <v>0</v>
      </c>
      <c r="BO105" s="325">
        <v>1</v>
      </c>
      <c r="BP105" s="211">
        <f t="shared" si="41"/>
        <v>1</v>
      </c>
      <c r="BQ105" s="253">
        <f t="shared" si="42"/>
        <v>50</v>
      </c>
      <c r="BR105" s="99">
        <f t="shared" si="43"/>
        <v>0.5</v>
      </c>
      <c r="BS105" s="101">
        <f t="shared" si="44"/>
        <v>18.5</v>
      </c>
    </row>
    <row r="106" spans="1:71" x14ac:dyDescent="0.6">
      <c r="A106" s="373" t="s">
        <v>48</v>
      </c>
      <c r="B106" s="1" t="s">
        <v>3007</v>
      </c>
      <c r="C106" s="380" t="s">
        <v>432</v>
      </c>
      <c r="D106" s="351" t="s">
        <v>203</v>
      </c>
      <c r="E106" s="352" t="s">
        <v>195</v>
      </c>
      <c r="F106" s="352" t="s">
        <v>128</v>
      </c>
      <c r="G106" s="353">
        <v>38533</v>
      </c>
      <c r="H106" s="352" t="s">
        <v>830</v>
      </c>
      <c r="I106" s="352" t="s">
        <v>193</v>
      </c>
      <c r="J106" s="352" t="s">
        <v>1044</v>
      </c>
      <c r="K106" s="352" t="s">
        <v>31</v>
      </c>
      <c r="L106" s="381">
        <v>457877289</v>
      </c>
      <c r="M106" s="376">
        <v>52176470</v>
      </c>
      <c r="N106" s="376">
        <v>405700820</v>
      </c>
      <c r="O106" s="376">
        <v>441052792</v>
      </c>
      <c r="P106" s="376">
        <v>20091259</v>
      </c>
      <c r="Q106" s="376">
        <v>24421805</v>
      </c>
      <c r="R106" s="376">
        <v>18622026</v>
      </c>
      <c r="S106" s="325">
        <v>0</v>
      </c>
      <c r="T106" s="246">
        <f t="shared" si="25"/>
        <v>100</v>
      </c>
      <c r="U106" s="77">
        <f t="shared" si="26"/>
        <v>2</v>
      </c>
      <c r="V106" s="377">
        <v>0</v>
      </c>
      <c r="W106" s="377">
        <v>0</v>
      </c>
      <c r="X106" s="377">
        <v>1</v>
      </c>
      <c r="Y106" s="377">
        <v>0</v>
      </c>
      <c r="Z106" s="377">
        <v>0</v>
      </c>
      <c r="AA106" s="377">
        <v>0</v>
      </c>
      <c r="AB106" s="377">
        <v>0</v>
      </c>
      <c r="AC106" s="247">
        <f t="shared" si="27"/>
        <v>1</v>
      </c>
      <c r="AD106" s="247">
        <f t="shared" si="28"/>
        <v>75</v>
      </c>
      <c r="AE106" s="82">
        <f t="shared" si="46"/>
        <v>3.75</v>
      </c>
      <c r="AF106" s="377">
        <v>0</v>
      </c>
      <c r="AG106" s="377">
        <v>0</v>
      </c>
      <c r="AH106" s="247">
        <f t="shared" si="29"/>
        <v>0</v>
      </c>
      <c r="AI106" s="247">
        <f t="shared" si="30"/>
        <v>100</v>
      </c>
      <c r="AJ106" s="82">
        <f t="shared" si="31"/>
        <v>3</v>
      </c>
      <c r="AK106" s="367" t="s">
        <v>2902</v>
      </c>
      <c r="AL106" s="367" t="s">
        <v>2902</v>
      </c>
      <c r="AM106" s="367" t="s">
        <v>2902</v>
      </c>
      <c r="AN106" s="367" t="s">
        <v>2902</v>
      </c>
      <c r="AO106" s="367" t="s">
        <v>2902</v>
      </c>
      <c r="AP106" s="296" t="s">
        <v>2326</v>
      </c>
      <c r="AQ106" s="296" t="s">
        <v>2326</v>
      </c>
      <c r="AR106" s="297"/>
      <c r="AS106" s="367" t="s">
        <v>2902</v>
      </c>
      <c r="AT106" s="367" t="s">
        <v>2902</v>
      </c>
      <c r="AU106" s="296" t="s">
        <v>2326</v>
      </c>
      <c r="AV106" s="297"/>
      <c r="AW106" s="325">
        <v>1</v>
      </c>
      <c r="AX106" s="247">
        <f t="shared" si="32"/>
        <v>100</v>
      </c>
      <c r="AY106" s="90">
        <f t="shared" si="33"/>
        <v>4</v>
      </c>
      <c r="AZ106" s="378">
        <v>0</v>
      </c>
      <c r="BA106" s="449" t="s">
        <v>3782</v>
      </c>
      <c r="BB106" s="247">
        <f t="shared" si="34"/>
        <v>100</v>
      </c>
      <c r="BC106" s="91">
        <f t="shared" si="35"/>
        <v>2</v>
      </c>
      <c r="BD106" s="325">
        <v>0</v>
      </c>
      <c r="BE106" s="325">
        <v>0</v>
      </c>
      <c r="BF106" s="325">
        <v>1</v>
      </c>
      <c r="BG106" s="252">
        <f t="shared" si="36"/>
        <v>1</v>
      </c>
      <c r="BH106" s="246">
        <f t="shared" si="37"/>
        <v>75</v>
      </c>
      <c r="BI106" s="90">
        <f t="shared" si="38"/>
        <v>0.75</v>
      </c>
      <c r="BJ106" s="325">
        <v>0</v>
      </c>
      <c r="BK106" s="247">
        <f t="shared" si="39"/>
        <v>100</v>
      </c>
      <c r="BL106" s="94">
        <f t="shared" si="40"/>
        <v>2</v>
      </c>
      <c r="BM106" s="325">
        <v>0</v>
      </c>
      <c r="BN106" s="325">
        <v>0</v>
      </c>
      <c r="BO106" s="325">
        <v>0</v>
      </c>
      <c r="BP106" s="211">
        <f t="shared" si="41"/>
        <v>0</v>
      </c>
      <c r="BQ106" s="253">
        <f t="shared" si="42"/>
        <v>25</v>
      </c>
      <c r="BR106" s="99">
        <f t="shared" si="43"/>
        <v>0.25</v>
      </c>
      <c r="BS106" s="101">
        <f t="shared" si="44"/>
        <v>17.75</v>
      </c>
    </row>
    <row r="107" spans="1:71" x14ac:dyDescent="0.6">
      <c r="A107" s="373" t="s">
        <v>1639</v>
      </c>
      <c r="B107" s="1" t="s">
        <v>3008</v>
      </c>
      <c r="C107" s="380" t="s">
        <v>873</v>
      </c>
      <c r="D107" s="351" t="s">
        <v>203</v>
      </c>
      <c r="E107" s="352" t="s">
        <v>195</v>
      </c>
      <c r="F107" s="352" t="s">
        <v>1075</v>
      </c>
      <c r="G107" s="353">
        <v>42271</v>
      </c>
      <c r="H107" s="352" t="s">
        <v>830</v>
      </c>
      <c r="I107" s="352" t="s">
        <v>1640</v>
      </c>
      <c r="J107" s="352" t="s">
        <v>1172</v>
      </c>
      <c r="K107" s="352" t="s">
        <v>690</v>
      </c>
      <c r="L107" s="381">
        <v>179708719</v>
      </c>
      <c r="M107" s="376">
        <v>22028248</v>
      </c>
      <c r="N107" s="376">
        <v>157680471</v>
      </c>
      <c r="O107" s="376">
        <v>196757615</v>
      </c>
      <c r="P107" s="376">
        <v>2456930</v>
      </c>
      <c r="Q107" s="376">
        <v>3926033</v>
      </c>
      <c r="R107" s="376">
        <v>3345149</v>
      </c>
      <c r="S107" s="325">
        <v>0</v>
      </c>
      <c r="T107" s="246">
        <f t="shared" si="25"/>
        <v>100</v>
      </c>
      <c r="U107" s="77">
        <f t="shared" si="26"/>
        <v>2</v>
      </c>
      <c r="V107" s="377">
        <v>0</v>
      </c>
      <c r="W107" s="377">
        <v>0</v>
      </c>
      <c r="X107" s="377">
        <v>0</v>
      </c>
      <c r="Y107" s="377">
        <v>0</v>
      </c>
      <c r="Z107" s="377">
        <v>0</v>
      </c>
      <c r="AA107" s="377">
        <v>0</v>
      </c>
      <c r="AB107" s="377">
        <v>0</v>
      </c>
      <c r="AC107" s="247">
        <f t="shared" si="27"/>
        <v>0</v>
      </c>
      <c r="AD107" s="247">
        <f t="shared" si="28"/>
        <v>100</v>
      </c>
      <c r="AE107" s="82">
        <f t="shared" si="46"/>
        <v>5</v>
      </c>
      <c r="AF107" s="377">
        <v>0</v>
      </c>
      <c r="AG107" s="377">
        <v>0</v>
      </c>
      <c r="AH107" s="247">
        <f t="shared" si="29"/>
        <v>0</v>
      </c>
      <c r="AI107" s="247">
        <f t="shared" si="30"/>
        <v>100</v>
      </c>
      <c r="AJ107" s="82">
        <f t="shared" si="31"/>
        <v>3</v>
      </c>
      <c r="AK107" s="367" t="s">
        <v>2902</v>
      </c>
      <c r="AL107" s="367" t="s">
        <v>2902</v>
      </c>
      <c r="AM107" s="367" t="s">
        <v>2902</v>
      </c>
      <c r="AN107" s="367" t="s">
        <v>2902</v>
      </c>
      <c r="AO107" s="367" t="s">
        <v>2902</v>
      </c>
      <c r="AP107" s="296" t="s">
        <v>2326</v>
      </c>
      <c r="AQ107" s="296" t="s">
        <v>2326</v>
      </c>
      <c r="AR107" s="297"/>
      <c r="AS107" s="367" t="s">
        <v>2902</v>
      </c>
      <c r="AT107" s="367" t="s">
        <v>2902</v>
      </c>
      <c r="AU107" s="296" t="s">
        <v>2326</v>
      </c>
      <c r="AV107" s="297"/>
      <c r="AW107" s="325">
        <v>1</v>
      </c>
      <c r="AX107" s="247">
        <f t="shared" si="32"/>
        <v>100</v>
      </c>
      <c r="AY107" s="90">
        <f t="shared" si="33"/>
        <v>4</v>
      </c>
      <c r="AZ107" s="378">
        <v>0</v>
      </c>
      <c r="BA107" s="449" t="s">
        <v>3782</v>
      </c>
      <c r="BB107" s="247">
        <f t="shared" si="34"/>
        <v>100</v>
      </c>
      <c r="BC107" s="91">
        <f t="shared" si="35"/>
        <v>2</v>
      </c>
      <c r="BD107" s="325">
        <v>0</v>
      </c>
      <c r="BE107" s="325">
        <v>0</v>
      </c>
      <c r="BF107" s="325">
        <v>0</v>
      </c>
      <c r="BG107" s="252">
        <f t="shared" si="36"/>
        <v>0</v>
      </c>
      <c r="BH107" s="246">
        <f t="shared" si="37"/>
        <v>100</v>
      </c>
      <c r="BI107" s="90">
        <f t="shared" si="38"/>
        <v>1</v>
      </c>
      <c r="BJ107" s="325">
        <v>0</v>
      </c>
      <c r="BK107" s="247">
        <f t="shared" si="39"/>
        <v>100</v>
      </c>
      <c r="BL107" s="94">
        <f t="shared" si="40"/>
        <v>2</v>
      </c>
      <c r="BM107" s="325">
        <v>0</v>
      </c>
      <c r="BN107" s="325">
        <v>0</v>
      </c>
      <c r="BO107" s="325">
        <v>0</v>
      </c>
      <c r="BP107" s="211">
        <f t="shared" si="41"/>
        <v>0</v>
      </c>
      <c r="BQ107" s="253">
        <f t="shared" si="42"/>
        <v>25</v>
      </c>
      <c r="BR107" s="99">
        <f t="shared" si="43"/>
        <v>0.25</v>
      </c>
      <c r="BS107" s="101">
        <f t="shared" si="44"/>
        <v>19.25</v>
      </c>
    </row>
    <row r="108" spans="1:71" x14ac:dyDescent="0.6">
      <c r="A108" s="373" t="s">
        <v>370</v>
      </c>
      <c r="B108" s="13" t="s">
        <v>3009</v>
      </c>
      <c r="C108" s="380" t="s">
        <v>319</v>
      </c>
      <c r="D108" s="351" t="s">
        <v>191</v>
      </c>
      <c r="E108" s="352" t="s">
        <v>34</v>
      </c>
      <c r="F108" s="352" t="s">
        <v>567</v>
      </c>
      <c r="G108" s="353">
        <v>27843</v>
      </c>
      <c r="H108" s="352" t="s">
        <v>830</v>
      </c>
      <c r="I108" s="352" t="s">
        <v>1641</v>
      </c>
      <c r="J108" s="352" t="s">
        <v>1191</v>
      </c>
      <c r="K108" s="352" t="s">
        <v>91</v>
      </c>
      <c r="L108" s="381">
        <v>429874042</v>
      </c>
      <c r="M108" s="376">
        <v>70083130</v>
      </c>
      <c r="N108" s="376">
        <v>359790911</v>
      </c>
      <c r="O108" s="376">
        <v>315927932</v>
      </c>
      <c r="P108" s="376">
        <v>26579957</v>
      </c>
      <c r="Q108" s="376">
        <v>20948525</v>
      </c>
      <c r="R108" s="376">
        <v>18208234</v>
      </c>
      <c r="S108" s="325">
        <v>0</v>
      </c>
      <c r="T108" s="246">
        <f t="shared" si="25"/>
        <v>100</v>
      </c>
      <c r="U108" s="77">
        <f t="shared" si="26"/>
        <v>2</v>
      </c>
      <c r="V108" s="377">
        <v>0</v>
      </c>
      <c r="W108" s="377">
        <v>0</v>
      </c>
      <c r="X108" s="377">
        <v>0</v>
      </c>
      <c r="Y108" s="377">
        <v>0</v>
      </c>
      <c r="Z108" s="377">
        <v>0</v>
      </c>
      <c r="AA108" s="377">
        <v>0</v>
      </c>
      <c r="AB108" s="377">
        <v>0</v>
      </c>
      <c r="AC108" s="247">
        <f t="shared" si="27"/>
        <v>0</v>
      </c>
      <c r="AD108" s="247">
        <f t="shared" si="28"/>
        <v>100</v>
      </c>
      <c r="AE108" s="82">
        <f t="shared" si="46"/>
        <v>5</v>
      </c>
      <c r="AF108" s="377">
        <v>0</v>
      </c>
      <c r="AG108" s="377">
        <v>0</v>
      </c>
      <c r="AH108" s="247">
        <f t="shared" si="29"/>
        <v>0</v>
      </c>
      <c r="AI108" s="247">
        <f t="shared" si="30"/>
        <v>100</v>
      </c>
      <c r="AJ108" s="82">
        <f t="shared" si="31"/>
        <v>3</v>
      </c>
      <c r="AK108" s="367" t="s">
        <v>2902</v>
      </c>
      <c r="AL108" s="367" t="s">
        <v>2902</v>
      </c>
      <c r="AM108" s="367" t="s">
        <v>2902</v>
      </c>
      <c r="AN108" s="367" t="s">
        <v>2902</v>
      </c>
      <c r="AO108" s="367" t="s">
        <v>2902</v>
      </c>
      <c r="AP108" s="296" t="s">
        <v>2326</v>
      </c>
      <c r="AQ108" s="296" t="s">
        <v>2326</v>
      </c>
      <c r="AR108" s="297"/>
      <c r="AS108" s="367" t="s">
        <v>2902</v>
      </c>
      <c r="AT108" s="367" t="s">
        <v>2902</v>
      </c>
      <c r="AU108" s="296" t="s">
        <v>2326</v>
      </c>
      <c r="AV108" s="297"/>
      <c r="AW108" s="325">
        <v>0</v>
      </c>
      <c r="AX108" s="247">
        <f t="shared" si="32"/>
        <v>50</v>
      </c>
      <c r="AY108" s="90">
        <f t="shared" si="33"/>
        <v>2</v>
      </c>
      <c r="AZ108" s="378">
        <v>0</v>
      </c>
      <c r="BA108" s="449" t="s">
        <v>3782</v>
      </c>
      <c r="BB108" s="247">
        <f t="shared" si="34"/>
        <v>100</v>
      </c>
      <c r="BC108" s="91">
        <f t="shared" si="35"/>
        <v>2</v>
      </c>
      <c r="BD108" s="325">
        <v>0</v>
      </c>
      <c r="BE108" s="325">
        <v>0</v>
      </c>
      <c r="BF108" s="325">
        <v>0</v>
      </c>
      <c r="BG108" s="252">
        <f t="shared" si="36"/>
        <v>0</v>
      </c>
      <c r="BH108" s="246">
        <f t="shared" si="37"/>
        <v>100</v>
      </c>
      <c r="BI108" s="90">
        <f t="shared" si="38"/>
        <v>1</v>
      </c>
      <c r="BJ108" s="325">
        <v>0</v>
      </c>
      <c r="BK108" s="247">
        <f t="shared" si="39"/>
        <v>100</v>
      </c>
      <c r="BL108" s="94">
        <f t="shared" si="40"/>
        <v>2</v>
      </c>
      <c r="BM108" s="325">
        <v>0</v>
      </c>
      <c r="BN108" s="325">
        <v>0</v>
      </c>
      <c r="BO108" s="325">
        <v>1</v>
      </c>
      <c r="BP108" s="211">
        <f t="shared" si="41"/>
        <v>1</v>
      </c>
      <c r="BQ108" s="253">
        <f t="shared" si="42"/>
        <v>50</v>
      </c>
      <c r="BR108" s="99">
        <f t="shared" si="43"/>
        <v>0.5</v>
      </c>
      <c r="BS108" s="101">
        <f t="shared" si="44"/>
        <v>17.5</v>
      </c>
    </row>
    <row r="109" spans="1:71" x14ac:dyDescent="0.6">
      <c r="A109" s="373" t="s">
        <v>446</v>
      </c>
      <c r="B109" s="1" t="s">
        <v>3010</v>
      </c>
      <c r="C109" s="380" t="s">
        <v>523</v>
      </c>
      <c r="D109" s="351" t="s">
        <v>202</v>
      </c>
      <c r="E109" s="352" t="s">
        <v>382</v>
      </c>
      <c r="F109" s="352" t="s">
        <v>443</v>
      </c>
      <c r="G109" s="353">
        <v>43756</v>
      </c>
      <c r="H109" s="352" t="s">
        <v>830</v>
      </c>
      <c r="I109" s="352" t="s">
        <v>1001</v>
      </c>
      <c r="J109" s="352" t="s">
        <v>676</v>
      </c>
      <c r="K109" s="352" t="s">
        <v>320</v>
      </c>
      <c r="L109" s="381">
        <v>1026929716</v>
      </c>
      <c r="M109" s="376">
        <v>503865290</v>
      </c>
      <c r="N109" s="376">
        <v>523064426</v>
      </c>
      <c r="O109" s="376">
        <v>312148721</v>
      </c>
      <c r="P109" s="376">
        <v>7221936</v>
      </c>
      <c r="Q109" s="376">
        <v>4276527</v>
      </c>
      <c r="R109" s="376">
        <v>3863590</v>
      </c>
      <c r="S109" s="325">
        <v>1</v>
      </c>
      <c r="T109" s="246">
        <f t="shared" si="25"/>
        <v>50</v>
      </c>
      <c r="U109" s="77">
        <f t="shared" si="26"/>
        <v>1</v>
      </c>
      <c r="V109" s="377">
        <v>0</v>
      </c>
      <c r="W109" s="377">
        <v>0</v>
      </c>
      <c r="X109" s="377">
        <v>0</v>
      </c>
      <c r="Y109" s="377">
        <v>0</v>
      </c>
      <c r="Z109" s="377">
        <v>0</v>
      </c>
      <c r="AA109" s="377">
        <v>0</v>
      </c>
      <c r="AB109" s="377">
        <v>0</v>
      </c>
      <c r="AC109" s="247">
        <f t="shared" si="27"/>
        <v>0</v>
      </c>
      <c r="AD109" s="247">
        <f t="shared" si="28"/>
        <v>100</v>
      </c>
      <c r="AE109" s="82">
        <f t="shared" si="46"/>
        <v>5</v>
      </c>
      <c r="AF109" s="377">
        <v>0</v>
      </c>
      <c r="AG109" s="377">
        <v>0</v>
      </c>
      <c r="AH109" s="247">
        <f t="shared" si="29"/>
        <v>0</v>
      </c>
      <c r="AI109" s="247">
        <f t="shared" si="30"/>
        <v>100</v>
      </c>
      <c r="AJ109" s="82">
        <f t="shared" si="31"/>
        <v>3</v>
      </c>
      <c r="AK109" s="367" t="s">
        <v>2902</v>
      </c>
      <c r="AL109" s="367" t="s">
        <v>2902</v>
      </c>
      <c r="AM109" s="367" t="s">
        <v>2902</v>
      </c>
      <c r="AN109" s="367" t="s">
        <v>2902</v>
      </c>
      <c r="AO109" s="367" t="s">
        <v>2902</v>
      </c>
      <c r="AP109" s="296" t="s">
        <v>2326</v>
      </c>
      <c r="AQ109" s="296" t="s">
        <v>2326</v>
      </c>
      <c r="AR109" s="297"/>
      <c r="AS109" s="367" t="s">
        <v>2902</v>
      </c>
      <c r="AT109" s="367" t="s">
        <v>2902</v>
      </c>
      <c r="AU109" s="296" t="s">
        <v>2326</v>
      </c>
      <c r="AV109" s="297"/>
      <c r="AW109" s="325">
        <v>0</v>
      </c>
      <c r="AX109" s="247">
        <f t="shared" si="32"/>
        <v>50</v>
      </c>
      <c r="AY109" s="90">
        <f t="shared" si="33"/>
        <v>2</v>
      </c>
      <c r="AZ109" s="378">
        <v>0</v>
      </c>
      <c r="BA109" s="449" t="s">
        <v>3782</v>
      </c>
      <c r="BB109" s="247">
        <f t="shared" si="34"/>
        <v>100</v>
      </c>
      <c r="BC109" s="91">
        <f t="shared" si="35"/>
        <v>2</v>
      </c>
      <c r="BD109" s="325">
        <v>0</v>
      </c>
      <c r="BE109" s="325">
        <v>0</v>
      </c>
      <c r="BF109" s="325">
        <v>0</v>
      </c>
      <c r="BG109" s="252">
        <f t="shared" si="36"/>
        <v>0</v>
      </c>
      <c r="BH109" s="246">
        <f t="shared" si="37"/>
        <v>100</v>
      </c>
      <c r="BI109" s="90">
        <f t="shared" si="38"/>
        <v>1</v>
      </c>
      <c r="BJ109" s="325">
        <v>0</v>
      </c>
      <c r="BK109" s="247">
        <f t="shared" si="39"/>
        <v>100</v>
      </c>
      <c r="BL109" s="94">
        <f t="shared" si="40"/>
        <v>2</v>
      </c>
      <c r="BM109" s="325">
        <v>0</v>
      </c>
      <c r="BN109" s="325">
        <v>1</v>
      </c>
      <c r="BO109" s="325">
        <v>1</v>
      </c>
      <c r="BP109" s="211">
        <f t="shared" si="41"/>
        <v>2</v>
      </c>
      <c r="BQ109" s="253">
        <f t="shared" si="42"/>
        <v>75</v>
      </c>
      <c r="BR109" s="99">
        <f t="shared" si="43"/>
        <v>0.75</v>
      </c>
      <c r="BS109" s="101">
        <f t="shared" si="44"/>
        <v>16.75</v>
      </c>
    </row>
    <row r="110" spans="1:71" x14ac:dyDescent="0.6">
      <c r="A110" s="373" t="s">
        <v>748</v>
      </c>
      <c r="B110" s="1" t="s">
        <v>3011</v>
      </c>
      <c r="C110" s="380" t="s">
        <v>98</v>
      </c>
      <c r="D110" s="351" t="s">
        <v>202</v>
      </c>
      <c r="E110" s="352" t="s">
        <v>954</v>
      </c>
      <c r="F110" s="352" t="s">
        <v>625</v>
      </c>
      <c r="G110" s="353">
        <v>42580</v>
      </c>
      <c r="H110" s="352" t="s">
        <v>830</v>
      </c>
      <c r="I110" s="352" t="s">
        <v>261</v>
      </c>
      <c r="J110" s="352" t="s">
        <v>1053</v>
      </c>
      <c r="K110" s="352" t="s">
        <v>91</v>
      </c>
      <c r="L110" s="381">
        <v>287289681</v>
      </c>
      <c r="M110" s="376">
        <v>116203289</v>
      </c>
      <c r="N110" s="376">
        <v>171086392</v>
      </c>
      <c r="O110" s="376">
        <v>227240330</v>
      </c>
      <c r="P110" s="376">
        <v>10840684</v>
      </c>
      <c r="Q110" s="376">
        <v>18488363</v>
      </c>
      <c r="R110" s="376">
        <v>14109027</v>
      </c>
      <c r="S110" s="325">
        <v>0</v>
      </c>
      <c r="T110" s="246">
        <f t="shared" si="25"/>
        <v>100</v>
      </c>
      <c r="U110" s="77">
        <f t="shared" si="26"/>
        <v>2</v>
      </c>
      <c r="V110" s="377">
        <v>0</v>
      </c>
      <c r="W110" s="377">
        <v>0</v>
      </c>
      <c r="X110" s="377">
        <v>0</v>
      </c>
      <c r="Y110" s="377">
        <v>0</v>
      </c>
      <c r="Z110" s="377">
        <v>0</v>
      </c>
      <c r="AA110" s="377">
        <v>0</v>
      </c>
      <c r="AB110" s="377">
        <v>0</v>
      </c>
      <c r="AC110" s="247">
        <f t="shared" si="27"/>
        <v>0</v>
      </c>
      <c r="AD110" s="247">
        <f t="shared" si="28"/>
        <v>100</v>
      </c>
      <c r="AE110" s="82">
        <f t="shared" si="46"/>
        <v>5</v>
      </c>
      <c r="AF110" s="377">
        <v>0</v>
      </c>
      <c r="AG110" s="377">
        <v>0</v>
      </c>
      <c r="AH110" s="247">
        <f t="shared" si="29"/>
        <v>0</v>
      </c>
      <c r="AI110" s="247">
        <f t="shared" si="30"/>
        <v>100</v>
      </c>
      <c r="AJ110" s="82">
        <f t="shared" si="31"/>
        <v>3</v>
      </c>
      <c r="AK110" s="367" t="s">
        <v>2902</v>
      </c>
      <c r="AL110" s="367" t="s">
        <v>2902</v>
      </c>
      <c r="AM110" s="367" t="s">
        <v>2902</v>
      </c>
      <c r="AN110" s="367" t="s">
        <v>2902</v>
      </c>
      <c r="AO110" s="367" t="s">
        <v>2902</v>
      </c>
      <c r="AP110" s="296" t="s">
        <v>2326</v>
      </c>
      <c r="AQ110" s="296" t="s">
        <v>2326</v>
      </c>
      <c r="AR110" s="297"/>
      <c r="AS110" s="367" t="s">
        <v>2902</v>
      </c>
      <c r="AT110" s="367" t="s">
        <v>2902</v>
      </c>
      <c r="AU110" s="296" t="s">
        <v>2326</v>
      </c>
      <c r="AV110" s="297"/>
      <c r="AW110" s="325">
        <v>1</v>
      </c>
      <c r="AX110" s="247">
        <f t="shared" si="32"/>
        <v>100</v>
      </c>
      <c r="AY110" s="90">
        <f t="shared" si="33"/>
        <v>4</v>
      </c>
      <c r="AZ110" s="378">
        <v>0</v>
      </c>
      <c r="BA110" s="449" t="s">
        <v>3782</v>
      </c>
      <c r="BB110" s="247">
        <f t="shared" si="34"/>
        <v>100</v>
      </c>
      <c r="BC110" s="91">
        <f t="shared" si="35"/>
        <v>2</v>
      </c>
      <c r="BD110" s="325">
        <v>0</v>
      </c>
      <c r="BE110" s="325">
        <v>0</v>
      </c>
      <c r="BF110" s="325">
        <v>1</v>
      </c>
      <c r="BG110" s="252">
        <f t="shared" si="36"/>
        <v>1</v>
      </c>
      <c r="BH110" s="246">
        <f t="shared" si="37"/>
        <v>75</v>
      </c>
      <c r="BI110" s="90">
        <f t="shared" si="38"/>
        <v>0.75</v>
      </c>
      <c r="BJ110" s="325">
        <v>0</v>
      </c>
      <c r="BK110" s="247">
        <f t="shared" si="39"/>
        <v>100</v>
      </c>
      <c r="BL110" s="94">
        <f t="shared" si="40"/>
        <v>2</v>
      </c>
      <c r="BM110" s="325">
        <v>0</v>
      </c>
      <c r="BN110" s="325">
        <v>0</v>
      </c>
      <c r="BO110" s="325">
        <v>0</v>
      </c>
      <c r="BP110" s="211">
        <f t="shared" si="41"/>
        <v>0</v>
      </c>
      <c r="BQ110" s="253">
        <f t="shared" si="42"/>
        <v>25</v>
      </c>
      <c r="BR110" s="99">
        <f t="shared" si="43"/>
        <v>0.25</v>
      </c>
      <c r="BS110" s="101">
        <f t="shared" si="44"/>
        <v>19</v>
      </c>
    </row>
    <row r="111" spans="1:71" x14ac:dyDescent="0.6">
      <c r="A111" s="373" t="s">
        <v>688</v>
      </c>
      <c r="B111" s="13" t="s">
        <v>3012</v>
      </c>
      <c r="C111" s="380" t="s">
        <v>21</v>
      </c>
      <c r="D111" s="351" t="s">
        <v>203</v>
      </c>
      <c r="E111" s="352" t="s">
        <v>195</v>
      </c>
      <c r="F111" s="352" t="s">
        <v>640</v>
      </c>
      <c r="G111" s="353">
        <v>36390</v>
      </c>
      <c r="H111" s="352" t="s">
        <v>830</v>
      </c>
      <c r="I111" s="352" t="s">
        <v>621</v>
      </c>
      <c r="J111" s="352" t="s">
        <v>1193</v>
      </c>
      <c r="K111" s="352" t="s">
        <v>50</v>
      </c>
      <c r="L111" s="381">
        <v>306956323</v>
      </c>
      <c r="M111" s="376">
        <v>41595074</v>
      </c>
      <c r="N111" s="376">
        <v>265361249</v>
      </c>
      <c r="O111" s="376">
        <v>240604203</v>
      </c>
      <c r="P111" s="376">
        <v>24501432</v>
      </c>
      <c r="Q111" s="376">
        <v>44413864</v>
      </c>
      <c r="R111" s="376">
        <v>37642494</v>
      </c>
      <c r="S111" s="325">
        <v>0</v>
      </c>
      <c r="T111" s="246">
        <f t="shared" si="25"/>
        <v>100</v>
      </c>
      <c r="U111" s="77">
        <f t="shared" si="26"/>
        <v>2</v>
      </c>
      <c r="V111" s="377">
        <v>0</v>
      </c>
      <c r="W111" s="377">
        <v>0</v>
      </c>
      <c r="X111" s="377">
        <v>0</v>
      </c>
      <c r="Y111" s="377">
        <v>0</v>
      </c>
      <c r="Z111" s="377">
        <v>0</v>
      </c>
      <c r="AA111" s="377">
        <v>0</v>
      </c>
      <c r="AB111" s="377">
        <v>0</v>
      </c>
      <c r="AC111" s="247">
        <f t="shared" si="27"/>
        <v>0</v>
      </c>
      <c r="AD111" s="247">
        <f t="shared" si="28"/>
        <v>100</v>
      </c>
      <c r="AE111" s="82">
        <f t="shared" si="46"/>
        <v>5</v>
      </c>
      <c r="AF111" s="377">
        <v>0</v>
      </c>
      <c r="AG111" s="377">
        <v>0</v>
      </c>
      <c r="AH111" s="247">
        <f t="shared" si="29"/>
        <v>0</v>
      </c>
      <c r="AI111" s="247">
        <f t="shared" si="30"/>
        <v>100</v>
      </c>
      <c r="AJ111" s="82">
        <f t="shared" si="31"/>
        <v>3</v>
      </c>
      <c r="AK111" s="367" t="s">
        <v>2902</v>
      </c>
      <c r="AL111" s="367" t="s">
        <v>2902</v>
      </c>
      <c r="AM111" s="367" t="s">
        <v>2902</v>
      </c>
      <c r="AN111" s="367" t="s">
        <v>2902</v>
      </c>
      <c r="AO111" s="367" t="s">
        <v>2902</v>
      </c>
      <c r="AP111" s="296" t="s">
        <v>2326</v>
      </c>
      <c r="AQ111" s="296" t="s">
        <v>2326</v>
      </c>
      <c r="AR111" s="297"/>
      <c r="AS111" s="367" t="s">
        <v>2902</v>
      </c>
      <c r="AT111" s="367" t="s">
        <v>2902</v>
      </c>
      <c r="AU111" s="296" t="s">
        <v>2326</v>
      </c>
      <c r="AV111" s="297"/>
      <c r="AW111" s="325">
        <v>1</v>
      </c>
      <c r="AX111" s="247">
        <f t="shared" si="32"/>
        <v>100</v>
      </c>
      <c r="AY111" s="90">
        <f t="shared" si="33"/>
        <v>4</v>
      </c>
      <c r="AZ111" s="378">
        <v>0</v>
      </c>
      <c r="BA111" s="449" t="s">
        <v>3782</v>
      </c>
      <c r="BB111" s="247">
        <f t="shared" si="34"/>
        <v>100</v>
      </c>
      <c r="BC111" s="91">
        <f t="shared" si="35"/>
        <v>2</v>
      </c>
      <c r="BD111" s="325">
        <v>0</v>
      </c>
      <c r="BE111" s="325">
        <v>0</v>
      </c>
      <c r="BF111" s="325">
        <v>0</v>
      </c>
      <c r="BG111" s="252">
        <f t="shared" si="36"/>
        <v>0</v>
      </c>
      <c r="BH111" s="246">
        <f t="shared" si="37"/>
        <v>100</v>
      </c>
      <c r="BI111" s="90">
        <f t="shared" si="38"/>
        <v>1</v>
      </c>
      <c r="BJ111" s="325">
        <v>0</v>
      </c>
      <c r="BK111" s="247">
        <f t="shared" si="39"/>
        <v>100</v>
      </c>
      <c r="BL111" s="94">
        <f t="shared" si="40"/>
        <v>2</v>
      </c>
      <c r="BM111" s="325">
        <v>0</v>
      </c>
      <c r="BN111" s="325">
        <v>0</v>
      </c>
      <c r="BO111" s="325">
        <v>0</v>
      </c>
      <c r="BP111" s="211">
        <f t="shared" si="41"/>
        <v>0</v>
      </c>
      <c r="BQ111" s="253">
        <f t="shared" si="42"/>
        <v>25</v>
      </c>
      <c r="BR111" s="99">
        <f t="shared" si="43"/>
        <v>0.25</v>
      </c>
      <c r="BS111" s="101">
        <f t="shared" si="44"/>
        <v>19.25</v>
      </c>
    </row>
    <row r="112" spans="1:71" x14ac:dyDescent="0.6">
      <c r="A112" s="373" t="s">
        <v>681</v>
      </c>
      <c r="B112" s="1" t="s">
        <v>3013</v>
      </c>
      <c r="C112" s="380" t="s">
        <v>321</v>
      </c>
      <c r="D112" s="351" t="s">
        <v>202</v>
      </c>
      <c r="E112" s="352" t="s">
        <v>161</v>
      </c>
      <c r="F112" s="352" t="s">
        <v>158</v>
      </c>
      <c r="G112" s="353">
        <v>35277</v>
      </c>
      <c r="H112" s="352" t="s">
        <v>830</v>
      </c>
      <c r="I112" s="352" t="s">
        <v>77</v>
      </c>
      <c r="J112" s="352" t="s">
        <v>958</v>
      </c>
      <c r="K112" s="352" t="s">
        <v>91</v>
      </c>
      <c r="L112" s="381">
        <v>217873583</v>
      </c>
      <c r="M112" s="376">
        <v>87027381</v>
      </c>
      <c r="N112" s="376">
        <v>130846203</v>
      </c>
      <c r="O112" s="376">
        <v>151824315</v>
      </c>
      <c r="P112" s="376">
        <v>7759514</v>
      </c>
      <c r="Q112" s="376">
        <v>12802990</v>
      </c>
      <c r="R112" s="376">
        <v>10828940</v>
      </c>
      <c r="S112" s="325">
        <v>0</v>
      </c>
      <c r="T112" s="246">
        <f t="shared" si="25"/>
        <v>100</v>
      </c>
      <c r="U112" s="77">
        <f t="shared" si="26"/>
        <v>2</v>
      </c>
      <c r="V112" s="377">
        <v>0</v>
      </c>
      <c r="W112" s="377">
        <v>0</v>
      </c>
      <c r="X112" s="377">
        <v>0</v>
      </c>
      <c r="Y112" s="377">
        <v>0</v>
      </c>
      <c r="Z112" s="377">
        <v>0</v>
      </c>
      <c r="AA112" s="377">
        <v>0</v>
      </c>
      <c r="AB112" s="377">
        <v>0</v>
      </c>
      <c r="AC112" s="247">
        <f t="shared" si="27"/>
        <v>0</v>
      </c>
      <c r="AD112" s="247">
        <f t="shared" si="28"/>
        <v>100</v>
      </c>
      <c r="AE112" s="82">
        <f t="shared" si="46"/>
        <v>5</v>
      </c>
      <c r="AF112" s="377">
        <v>0</v>
      </c>
      <c r="AG112" s="377">
        <v>0</v>
      </c>
      <c r="AH112" s="247">
        <f t="shared" si="29"/>
        <v>0</v>
      </c>
      <c r="AI112" s="247">
        <f t="shared" si="30"/>
        <v>100</v>
      </c>
      <c r="AJ112" s="82">
        <f t="shared" si="31"/>
        <v>3</v>
      </c>
      <c r="AK112" s="367" t="s">
        <v>2902</v>
      </c>
      <c r="AL112" s="367" t="s">
        <v>2902</v>
      </c>
      <c r="AM112" s="367" t="s">
        <v>2902</v>
      </c>
      <c r="AN112" s="367" t="s">
        <v>2902</v>
      </c>
      <c r="AO112" s="367" t="s">
        <v>2902</v>
      </c>
      <c r="AP112" s="296" t="s">
        <v>2326</v>
      </c>
      <c r="AQ112" s="296" t="s">
        <v>2326</v>
      </c>
      <c r="AR112" s="297"/>
      <c r="AS112" s="367" t="s">
        <v>2902</v>
      </c>
      <c r="AT112" s="367" t="s">
        <v>2902</v>
      </c>
      <c r="AU112" s="296" t="s">
        <v>2326</v>
      </c>
      <c r="AV112" s="297"/>
      <c r="AW112" s="325">
        <v>1</v>
      </c>
      <c r="AX112" s="247">
        <f t="shared" si="32"/>
        <v>100</v>
      </c>
      <c r="AY112" s="90">
        <f t="shared" si="33"/>
        <v>4</v>
      </c>
      <c r="AZ112" s="378">
        <v>0</v>
      </c>
      <c r="BA112" s="449" t="s">
        <v>3782</v>
      </c>
      <c r="BB112" s="247">
        <f t="shared" si="34"/>
        <v>100</v>
      </c>
      <c r="BC112" s="91">
        <f t="shared" si="35"/>
        <v>2</v>
      </c>
      <c r="BD112" s="325">
        <v>0</v>
      </c>
      <c r="BE112" s="325">
        <v>0</v>
      </c>
      <c r="BF112" s="325">
        <v>0</v>
      </c>
      <c r="BG112" s="252">
        <f t="shared" si="36"/>
        <v>0</v>
      </c>
      <c r="BH112" s="246">
        <f t="shared" si="37"/>
        <v>100</v>
      </c>
      <c r="BI112" s="90">
        <f t="shared" si="38"/>
        <v>1</v>
      </c>
      <c r="BJ112" s="325">
        <v>0</v>
      </c>
      <c r="BK112" s="247">
        <f t="shared" si="39"/>
        <v>100</v>
      </c>
      <c r="BL112" s="94">
        <f t="shared" si="40"/>
        <v>2</v>
      </c>
      <c r="BM112" s="325">
        <v>0</v>
      </c>
      <c r="BN112" s="325">
        <v>0</v>
      </c>
      <c r="BO112" s="325">
        <v>1</v>
      </c>
      <c r="BP112" s="211">
        <f t="shared" si="41"/>
        <v>1</v>
      </c>
      <c r="BQ112" s="253">
        <f t="shared" si="42"/>
        <v>50</v>
      </c>
      <c r="BR112" s="99">
        <f t="shared" si="43"/>
        <v>0.5</v>
      </c>
      <c r="BS112" s="101">
        <f t="shared" si="44"/>
        <v>19.5</v>
      </c>
    </row>
    <row r="113" spans="1:71" x14ac:dyDescent="0.6">
      <c r="A113" s="373" t="s">
        <v>898</v>
      </c>
      <c r="B113" s="1" t="s">
        <v>3014</v>
      </c>
      <c r="C113" s="380" t="s">
        <v>342</v>
      </c>
      <c r="D113" s="351" t="s">
        <v>202</v>
      </c>
      <c r="E113" s="352" t="s">
        <v>572</v>
      </c>
      <c r="F113" s="352" t="s">
        <v>557</v>
      </c>
      <c r="G113" s="353">
        <v>42019</v>
      </c>
      <c r="H113" s="352" t="s">
        <v>830</v>
      </c>
      <c r="I113" s="352" t="s">
        <v>745</v>
      </c>
      <c r="J113" s="352" t="s">
        <v>1049</v>
      </c>
      <c r="K113" s="352" t="s">
        <v>50</v>
      </c>
      <c r="L113" s="381">
        <v>254037930</v>
      </c>
      <c r="M113" s="376">
        <v>46334209</v>
      </c>
      <c r="N113" s="376">
        <v>207703722</v>
      </c>
      <c r="O113" s="376">
        <v>296998154</v>
      </c>
      <c r="P113" s="376">
        <v>11495556</v>
      </c>
      <c r="Q113" s="376">
        <v>30484094</v>
      </c>
      <c r="R113" s="376">
        <v>29253768</v>
      </c>
      <c r="S113" s="325">
        <v>0</v>
      </c>
      <c r="T113" s="246">
        <f t="shared" si="25"/>
        <v>100</v>
      </c>
      <c r="U113" s="77">
        <f t="shared" si="26"/>
        <v>2</v>
      </c>
      <c r="V113" s="377">
        <v>0</v>
      </c>
      <c r="W113" s="377">
        <v>0</v>
      </c>
      <c r="X113" s="377">
        <v>0</v>
      </c>
      <c r="Y113" s="377">
        <v>0</v>
      </c>
      <c r="Z113" s="377">
        <v>0</v>
      </c>
      <c r="AA113" s="377">
        <v>0</v>
      </c>
      <c r="AB113" s="377">
        <v>0</v>
      </c>
      <c r="AC113" s="247">
        <f t="shared" si="27"/>
        <v>0</v>
      </c>
      <c r="AD113" s="247">
        <f t="shared" si="28"/>
        <v>100</v>
      </c>
      <c r="AE113" s="82">
        <f t="shared" si="46"/>
        <v>5</v>
      </c>
      <c r="AF113" s="377">
        <v>0</v>
      </c>
      <c r="AG113" s="377">
        <v>0</v>
      </c>
      <c r="AH113" s="247">
        <f t="shared" si="29"/>
        <v>0</v>
      </c>
      <c r="AI113" s="247">
        <f t="shared" si="30"/>
        <v>100</v>
      </c>
      <c r="AJ113" s="82">
        <f t="shared" si="31"/>
        <v>3</v>
      </c>
      <c r="AK113" s="367" t="s">
        <v>2902</v>
      </c>
      <c r="AL113" s="367" t="s">
        <v>2902</v>
      </c>
      <c r="AM113" s="367" t="s">
        <v>2902</v>
      </c>
      <c r="AN113" s="367" t="s">
        <v>2902</v>
      </c>
      <c r="AO113" s="367" t="s">
        <v>2902</v>
      </c>
      <c r="AP113" s="296" t="s">
        <v>2326</v>
      </c>
      <c r="AQ113" s="296" t="s">
        <v>2326</v>
      </c>
      <c r="AR113" s="297"/>
      <c r="AS113" s="367" t="s">
        <v>2902</v>
      </c>
      <c r="AT113" s="367" t="s">
        <v>2902</v>
      </c>
      <c r="AU113" s="296" t="s">
        <v>2326</v>
      </c>
      <c r="AV113" s="297"/>
      <c r="AW113" s="325">
        <v>1</v>
      </c>
      <c r="AX113" s="247">
        <f t="shared" si="32"/>
        <v>100</v>
      </c>
      <c r="AY113" s="90">
        <f t="shared" si="33"/>
        <v>4</v>
      </c>
      <c r="AZ113" s="378">
        <v>0</v>
      </c>
      <c r="BA113" s="449" t="s">
        <v>3782</v>
      </c>
      <c r="BB113" s="247">
        <f t="shared" si="34"/>
        <v>100</v>
      </c>
      <c r="BC113" s="91">
        <f t="shared" si="35"/>
        <v>2</v>
      </c>
      <c r="BD113" s="325">
        <v>0</v>
      </c>
      <c r="BE113" s="325">
        <v>0</v>
      </c>
      <c r="BF113" s="325">
        <v>0</v>
      </c>
      <c r="BG113" s="252">
        <f t="shared" si="36"/>
        <v>0</v>
      </c>
      <c r="BH113" s="246">
        <f t="shared" si="37"/>
        <v>100</v>
      </c>
      <c r="BI113" s="90">
        <f t="shared" si="38"/>
        <v>1</v>
      </c>
      <c r="BJ113" s="325">
        <v>0</v>
      </c>
      <c r="BK113" s="247">
        <f t="shared" si="39"/>
        <v>100</v>
      </c>
      <c r="BL113" s="94">
        <f t="shared" si="40"/>
        <v>2</v>
      </c>
      <c r="BM113" s="325">
        <v>0</v>
      </c>
      <c r="BN113" s="325">
        <v>0</v>
      </c>
      <c r="BO113" s="325">
        <v>1</v>
      </c>
      <c r="BP113" s="211">
        <f t="shared" si="41"/>
        <v>1</v>
      </c>
      <c r="BQ113" s="253">
        <f t="shared" si="42"/>
        <v>50</v>
      </c>
      <c r="BR113" s="99">
        <f t="shared" si="43"/>
        <v>0.5</v>
      </c>
      <c r="BS113" s="101">
        <f t="shared" si="44"/>
        <v>19.5</v>
      </c>
    </row>
    <row r="114" spans="1:71" x14ac:dyDescent="0.6">
      <c r="A114" s="373" t="s">
        <v>1642</v>
      </c>
      <c r="B114" s="13" t="s">
        <v>3015</v>
      </c>
      <c r="C114" s="380" t="s">
        <v>1643</v>
      </c>
      <c r="D114" s="315" t="s">
        <v>285</v>
      </c>
      <c r="E114" s="352" t="s">
        <v>185</v>
      </c>
      <c r="F114" s="352" t="s">
        <v>1644</v>
      </c>
      <c r="G114" s="353">
        <v>44427</v>
      </c>
      <c r="H114" s="352" t="s">
        <v>830</v>
      </c>
      <c r="I114" s="352" t="s">
        <v>1645</v>
      </c>
      <c r="J114" s="352" t="s">
        <v>1646</v>
      </c>
      <c r="K114" s="352" t="s">
        <v>690</v>
      </c>
      <c r="L114" s="381">
        <v>6047349340</v>
      </c>
      <c r="M114" s="376">
        <v>4946497236</v>
      </c>
      <c r="N114" s="376">
        <v>1100852104</v>
      </c>
      <c r="O114" s="376">
        <v>2522065710</v>
      </c>
      <c r="P114" s="376">
        <v>286357383</v>
      </c>
      <c r="Q114" s="376">
        <v>120975036</v>
      </c>
      <c r="R114" s="376">
        <v>78010954</v>
      </c>
      <c r="S114" s="325">
        <v>1</v>
      </c>
      <c r="T114" s="246">
        <f t="shared" si="25"/>
        <v>50</v>
      </c>
      <c r="U114" s="77">
        <f t="shared" si="26"/>
        <v>1</v>
      </c>
      <c r="V114" s="377">
        <v>0</v>
      </c>
      <c r="W114" s="377">
        <v>0</v>
      </c>
      <c r="X114" s="377">
        <v>0</v>
      </c>
      <c r="Y114" s="377">
        <v>0</v>
      </c>
      <c r="Z114" s="377">
        <v>0</v>
      </c>
      <c r="AA114" s="377">
        <v>0</v>
      </c>
      <c r="AB114" s="377">
        <v>0</v>
      </c>
      <c r="AC114" s="247">
        <f t="shared" si="27"/>
        <v>0</v>
      </c>
      <c r="AD114" s="247">
        <f t="shared" si="28"/>
        <v>100</v>
      </c>
      <c r="AE114" s="82">
        <f t="shared" si="46"/>
        <v>5</v>
      </c>
      <c r="AF114" s="377">
        <v>0</v>
      </c>
      <c r="AG114" s="377">
        <v>0</v>
      </c>
      <c r="AH114" s="247">
        <f t="shared" si="29"/>
        <v>0</v>
      </c>
      <c r="AI114" s="247">
        <f t="shared" si="30"/>
        <v>100</v>
      </c>
      <c r="AJ114" s="82">
        <f t="shared" si="31"/>
        <v>3</v>
      </c>
      <c r="AK114" s="367" t="s">
        <v>2902</v>
      </c>
      <c r="AL114" s="367" t="s">
        <v>2902</v>
      </c>
      <c r="AM114" s="367" t="s">
        <v>2902</v>
      </c>
      <c r="AN114" s="367" t="s">
        <v>2902</v>
      </c>
      <c r="AO114" s="367" t="s">
        <v>2902</v>
      </c>
      <c r="AP114" s="296" t="s">
        <v>2326</v>
      </c>
      <c r="AQ114" s="296" t="s">
        <v>2326</v>
      </c>
      <c r="AR114" s="297"/>
      <c r="AS114" s="367" t="s">
        <v>2902</v>
      </c>
      <c r="AT114" s="367" t="s">
        <v>2902</v>
      </c>
      <c r="AU114" s="296" t="s">
        <v>2326</v>
      </c>
      <c r="AV114" s="297"/>
      <c r="AW114" s="325">
        <v>0</v>
      </c>
      <c r="AX114" s="247">
        <f t="shared" si="32"/>
        <v>50</v>
      </c>
      <c r="AY114" s="90">
        <f t="shared" si="33"/>
        <v>2</v>
      </c>
      <c r="AZ114" s="378">
        <v>0</v>
      </c>
      <c r="BA114" s="449" t="s">
        <v>3782</v>
      </c>
      <c r="BB114" s="247">
        <f t="shared" si="34"/>
        <v>100</v>
      </c>
      <c r="BC114" s="91">
        <f t="shared" si="35"/>
        <v>2</v>
      </c>
      <c r="BD114" s="325">
        <v>0</v>
      </c>
      <c r="BE114" s="325">
        <v>0</v>
      </c>
      <c r="BF114" s="325">
        <v>1</v>
      </c>
      <c r="BG114" s="252">
        <f t="shared" si="36"/>
        <v>1</v>
      </c>
      <c r="BH114" s="246">
        <f t="shared" si="37"/>
        <v>75</v>
      </c>
      <c r="BI114" s="90">
        <f t="shared" si="38"/>
        <v>0.75</v>
      </c>
      <c r="BJ114" s="325">
        <v>0</v>
      </c>
      <c r="BK114" s="247">
        <f t="shared" si="39"/>
        <v>100</v>
      </c>
      <c r="BL114" s="94">
        <f t="shared" si="40"/>
        <v>2</v>
      </c>
      <c r="BM114" s="325">
        <v>0</v>
      </c>
      <c r="BN114" s="325">
        <v>1</v>
      </c>
      <c r="BO114" s="325">
        <v>1</v>
      </c>
      <c r="BP114" s="211">
        <f t="shared" si="41"/>
        <v>2</v>
      </c>
      <c r="BQ114" s="253">
        <f t="shared" si="42"/>
        <v>75</v>
      </c>
      <c r="BR114" s="99">
        <f t="shared" si="43"/>
        <v>0.75</v>
      </c>
      <c r="BS114" s="101">
        <f t="shared" si="44"/>
        <v>16.5</v>
      </c>
    </row>
    <row r="115" spans="1:71" x14ac:dyDescent="0.6">
      <c r="A115" s="373" t="s">
        <v>1647</v>
      </c>
      <c r="B115" s="13" t="s">
        <v>3016</v>
      </c>
      <c r="C115" s="380" t="s">
        <v>303</v>
      </c>
      <c r="D115" s="351" t="s">
        <v>202</v>
      </c>
      <c r="E115" s="352" t="s">
        <v>205</v>
      </c>
      <c r="F115" s="352" t="s">
        <v>136</v>
      </c>
      <c r="G115" s="353">
        <v>40606</v>
      </c>
      <c r="H115" s="352" t="s">
        <v>830</v>
      </c>
      <c r="I115" s="352" t="s">
        <v>1648</v>
      </c>
      <c r="J115" s="352" t="s">
        <v>1649</v>
      </c>
      <c r="K115" s="352" t="s">
        <v>320</v>
      </c>
      <c r="L115" s="381">
        <v>835420294</v>
      </c>
      <c r="M115" s="376">
        <v>225524201</v>
      </c>
      <c r="N115" s="376">
        <v>609896093</v>
      </c>
      <c r="O115" s="376">
        <v>312422244</v>
      </c>
      <c r="P115" s="376">
        <v>22539859</v>
      </c>
      <c r="Q115" s="376">
        <v>7001542</v>
      </c>
      <c r="R115" s="376">
        <v>4884512</v>
      </c>
      <c r="S115" s="325">
        <v>1</v>
      </c>
      <c r="T115" s="246">
        <f t="shared" si="25"/>
        <v>50</v>
      </c>
      <c r="U115" s="77">
        <f t="shared" si="26"/>
        <v>1</v>
      </c>
      <c r="V115" s="377">
        <v>0</v>
      </c>
      <c r="W115" s="377">
        <v>0</v>
      </c>
      <c r="X115" s="377">
        <v>0</v>
      </c>
      <c r="Y115" s="377">
        <v>0</v>
      </c>
      <c r="Z115" s="377">
        <v>0</v>
      </c>
      <c r="AA115" s="377">
        <v>0</v>
      </c>
      <c r="AB115" s="377">
        <v>0</v>
      </c>
      <c r="AC115" s="247">
        <f t="shared" si="27"/>
        <v>0</v>
      </c>
      <c r="AD115" s="247">
        <f t="shared" si="28"/>
        <v>100</v>
      </c>
      <c r="AE115" s="82">
        <f t="shared" si="46"/>
        <v>5</v>
      </c>
      <c r="AF115" s="377">
        <v>0</v>
      </c>
      <c r="AG115" s="377">
        <v>0</v>
      </c>
      <c r="AH115" s="247">
        <f t="shared" si="29"/>
        <v>0</v>
      </c>
      <c r="AI115" s="247">
        <f t="shared" si="30"/>
        <v>100</v>
      </c>
      <c r="AJ115" s="82">
        <f t="shared" si="31"/>
        <v>3</v>
      </c>
      <c r="AK115" s="367" t="s">
        <v>2902</v>
      </c>
      <c r="AL115" s="367" t="s">
        <v>2902</v>
      </c>
      <c r="AM115" s="367" t="s">
        <v>2902</v>
      </c>
      <c r="AN115" s="367" t="s">
        <v>2902</v>
      </c>
      <c r="AO115" s="367" t="s">
        <v>2902</v>
      </c>
      <c r="AP115" s="296" t="s">
        <v>2326</v>
      </c>
      <c r="AQ115" s="296" t="s">
        <v>2326</v>
      </c>
      <c r="AR115" s="297"/>
      <c r="AS115" s="367" t="s">
        <v>2902</v>
      </c>
      <c r="AT115" s="367" t="s">
        <v>2902</v>
      </c>
      <c r="AU115" s="296" t="s">
        <v>2326</v>
      </c>
      <c r="AV115" s="297"/>
      <c r="AW115" s="325">
        <v>0</v>
      </c>
      <c r="AX115" s="247">
        <f t="shared" si="32"/>
        <v>50</v>
      </c>
      <c r="AY115" s="90">
        <f t="shared" si="33"/>
        <v>2</v>
      </c>
      <c r="AZ115" s="378">
        <v>0</v>
      </c>
      <c r="BA115" s="449" t="s">
        <v>3782</v>
      </c>
      <c r="BB115" s="247">
        <f t="shared" si="34"/>
        <v>100</v>
      </c>
      <c r="BC115" s="91">
        <f t="shared" si="35"/>
        <v>2</v>
      </c>
      <c r="BD115" s="325">
        <v>0</v>
      </c>
      <c r="BE115" s="325">
        <v>0</v>
      </c>
      <c r="BF115" s="325">
        <v>0</v>
      </c>
      <c r="BG115" s="252">
        <f t="shared" si="36"/>
        <v>0</v>
      </c>
      <c r="BH115" s="246">
        <f t="shared" si="37"/>
        <v>100</v>
      </c>
      <c r="BI115" s="90">
        <f t="shared" si="38"/>
        <v>1</v>
      </c>
      <c r="BJ115" s="325">
        <v>1</v>
      </c>
      <c r="BK115" s="247">
        <f t="shared" si="39"/>
        <v>50</v>
      </c>
      <c r="BL115" s="94">
        <f t="shared" si="40"/>
        <v>1</v>
      </c>
      <c r="BM115" s="325">
        <v>0</v>
      </c>
      <c r="BN115" s="325">
        <v>0</v>
      </c>
      <c r="BO115" s="325">
        <v>1</v>
      </c>
      <c r="BP115" s="211">
        <f t="shared" si="41"/>
        <v>1</v>
      </c>
      <c r="BQ115" s="253">
        <f t="shared" si="42"/>
        <v>50</v>
      </c>
      <c r="BR115" s="99">
        <f t="shared" si="43"/>
        <v>0.5</v>
      </c>
      <c r="BS115" s="101">
        <f t="shared" si="44"/>
        <v>15.5</v>
      </c>
    </row>
    <row r="116" spans="1:71" x14ac:dyDescent="0.6">
      <c r="A116" s="373" t="s">
        <v>1650</v>
      </c>
      <c r="B116" s="1" t="s">
        <v>3017</v>
      </c>
      <c r="C116" s="380" t="s">
        <v>375</v>
      </c>
      <c r="D116" s="351" t="s">
        <v>191</v>
      </c>
      <c r="E116" s="352" t="s">
        <v>178</v>
      </c>
      <c r="F116" s="352" t="s">
        <v>635</v>
      </c>
      <c r="G116" s="353">
        <v>43038</v>
      </c>
      <c r="H116" s="352" t="s">
        <v>830</v>
      </c>
      <c r="I116" s="352" t="s">
        <v>1651</v>
      </c>
      <c r="J116" s="352" t="s">
        <v>1652</v>
      </c>
      <c r="K116" s="352" t="s">
        <v>91</v>
      </c>
      <c r="L116" s="381">
        <v>3758489001</v>
      </c>
      <c r="M116" s="376">
        <v>1736640152</v>
      </c>
      <c r="N116" s="376">
        <v>2021848848</v>
      </c>
      <c r="O116" s="376">
        <v>2443855289</v>
      </c>
      <c r="P116" s="376">
        <v>80897560</v>
      </c>
      <c r="Q116" s="376">
        <v>19509459</v>
      </c>
      <c r="R116" s="376">
        <v>18708119</v>
      </c>
      <c r="S116" s="325">
        <v>0</v>
      </c>
      <c r="T116" s="246">
        <f t="shared" si="25"/>
        <v>100</v>
      </c>
      <c r="U116" s="77">
        <f t="shared" si="26"/>
        <v>2</v>
      </c>
      <c r="V116" s="377">
        <v>0</v>
      </c>
      <c r="W116" s="377">
        <v>0</v>
      </c>
      <c r="X116" s="377">
        <v>2</v>
      </c>
      <c r="Y116" s="377">
        <v>0</v>
      </c>
      <c r="Z116" s="377">
        <v>0</v>
      </c>
      <c r="AA116" s="377">
        <v>0</v>
      </c>
      <c r="AB116" s="377">
        <v>0</v>
      </c>
      <c r="AC116" s="247">
        <f t="shared" si="27"/>
        <v>2</v>
      </c>
      <c r="AD116" s="247">
        <f t="shared" si="28"/>
        <v>50</v>
      </c>
      <c r="AE116" s="82">
        <f t="shared" si="46"/>
        <v>2.5</v>
      </c>
      <c r="AF116" s="377">
        <v>0</v>
      </c>
      <c r="AG116" s="377">
        <v>0</v>
      </c>
      <c r="AH116" s="247">
        <f t="shared" si="29"/>
        <v>0</v>
      </c>
      <c r="AI116" s="247">
        <f t="shared" si="30"/>
        <v>100</v>
      </c>
      <c r="AJ116" s="82">
        <f t="shared" si="31"/>
        <v>3</v>
      </c>
      <c r="AK116" s="367" t="s">
        <v>2902</v>
      </c>
      <c r="AL116" s="367" t="s">
        <v>2902</v>
      </c>
      <c r="AM116" s="367" t="s">
        <v>2902</v>
      </c>
      <c r="AN116" s="367" t="s">
        <v>2902</v>
      </c>
      <c r="AO116" s="367" t="s">
        <v>2902</v>
      </c>
      <c r="AP116" s="296" t="s">
        <v>2326</v>
      </c>
      <c r="AQ116" s="296" t="s">
        <v>2326</v>
      </c>
      <c r="AR116" s="297"/>
      <c r="AS116" s="367" t="s">
        <v>2902</v>
      </c>
      <c r="AT116" s="367" t="s">
        <v>2902</v>
      </c>
      <c r="AU116" s="296" t="s">
        <v>2326</v>
      </c>
      <c r="AV116" s="297"/>
      <c r="AW116" s="325">
        <v>0</v>
      </c>
      <c r="AX116" s="247">
        <f t="shared" si="32"/>
        <v>50</v>
      </c>
      <c r="AY116" s="90">
        <f t="shared" si="33"/>
        <v>2</v>
      </c>
      <c r="AZ116" s="378">
        <v>0</v>
      </c>
      <c r="BA116" s="449" t="s">
        <v>3782</v>
      </c>
      <c r="BB116" s="247">
        <f t="shared" si="34"/>
        <v>100</v>
      </c>
      <c r="BC116" s="91">
        <f t="shared" si="35"/>
        <v>2</v>
      </c>
      <c r="BD116" s="325">
        <v>0</v>
      </c>
      <c r="BE116" s="325">
        <v>0</v>
      </c>
      <c r="BF116" s="325">
        <v>0</v>
      </c>
      <c r="BG116" s="252">
        <f t="shared" si="36"/>
        <v>0</v>
      </c>
      <c r="BH116" s="246">
        <f t="shared" si="37"/>
        <v>100</v>
      </c>
      <c r="BI116" s="90">
        <f t="shared" si="38"/>
        <v>1</v>
      </c>
      <c r="BJ116" s="325">
        <v>0</v>
      </c>
      <c r="BK116" s="247">
        <f t="shared" si="39"/>
        <v>100</v>
      </c>
      <c r="BL116" s="94">
        <f t="shared" si="40"/>
        <v>2</v>
      </c>
      <c r="BM116" s="325">
        <v>0</v>
      </c>
      <c r="BN116" s="325">
        <v>0</v>
      </c>
      <c r="BO116" s="325">
        <v>1</v>
      </c>
      <c r="BP116" s="211">
        <f t="shared" si="41"/>
        <v>1</v>
      </c>
      <c r="BQ116" s="253">
        <f t="shared" si="42"/>
        <v>50</v>
      </c>
      <c r="BR116" s="99">
        <f t="shared" si="43"/>
        <v>0.5</v>
      </c>
      <c r="BS116" s="101">
        <f t="shared" si="44"/>
        <v>15</v>
      </c>
    </row>
    <row r="117" spans="1:71" x14ac:dyDescent="0.6">
      <c r="A117" s="373" t="s">
        <v>511</v>
      </c>
      <c r="B117" s="1" t="s">
        <v>3018</v>
      </c>
      <c r="C117" s="380" t="s">
        <v>515</v>
      </c>
      <c r="D117" s="351" t="s">
        <v>203</v>
      </c>
      <c r="E117" s="352" t="s">
        <v>180</v>
      </c>
      <c r="F117" s="352" t="s">
        <v>391</v>
      </c>
      <c r="G117" s="353">
        <v>27865</v>
      </c>
      <c r="H117" s="352" t="s">
        <v>830</v>
      </c>
      <c r="I117" s="352" t="s">
        <v>742</v>
      </c>
      <c r="J117" s="352" t="s">
        <v>671</v>
      </c>
      <c r="K117" s="352" t="s">
        <v>407</v>
      </c>
      <c r="L117" s="381">
        <v>2511638063</v>
      </c>
      <c r="M117" s="376">
        <v>407361084</v>
      </c>
      <c r="N117" s="376">
        <v>2104276979</v>
      </c>
      <c r="O117" s="376">
        <v>2461065167</v>
      </c>
      <c r="P117" s="376">
        <v>406388582</v>
      </c>
      <c r="Q117" s="376">
        <v>513833216</v>
      </c>
      <c r="R117" s="376">
        <v>386538587</v>
      </c>
      <c r="S117" s="325">
        <v>1</v>
      </c>
      <c r="T117" s="246">
        <f t="shared" si="25"/>
        <v>50</v>
      </c>
      <c r="U117" s="77">
        <f t="shared" si="26"/>
        <v>1</v>
      </c>
      <c r="V117" s="377">
        <v>0</v>
      </c>
      <c r="W117" s="377">
        <v>0</v>
      </c>
      <c r="X117" s="377">
        <v>0</v>
      </c>
      <c r="Y117" s="377">
        <v>0</v>
      </c>
      <c r="Z117" s="377">
        <v>0</v>
      </c>
      <c r="AA117" s="377">
        <v>0</v>
      </c>
      <c r="AB117" s="377">
        <v>0</v>
      </c>
      <c r="AC117" s="247">
        <f t="shared" si="27"/>
        <v>0</v>
      </c>
      <c r="AD117" s="247">
        <f t="shared" si="28"/>
        <v>100</v>
      </c>
      <c r="AE117" s="82">
        <f t="shared" si="46"/>
        <v>5</v>
      </c>
      <c r="AF117" s="377">
        <v>0</v>
      </c>
      <c r="AG117" s="377">
        <v>0</v>
      </c>
      <c r="AH117" s="247">
        <f t="shared" si="29"/>
        <v>0</v>
      </c>
      <c r="AI117" s="247">
        <f t="shared" si="30"/>
        <v>100</v>
      </c>
      <c r="AJ117" s="82">
        <f t="shared" si="31"/>
        <v>3</v>
      </c>
      <c r="AK117" s="367" t="s">
        <v>2902</v>
      </c>
      <c r="AL117" s="367" t="s">
        <v>2902</v>
      </c>
      <c r="AM117" s="367" t="s">
        <v>2902</v>
      </c>
      <c r="AN117" s="367" t="s">
        <v>2902</v>
      </c>
      <c r="AO117" s="367" t="s">
        <v>2902</v>
      </c>
      <c r="AP117" s="296" t="s">
        <v>2326</v>
      </c>
      <c r="AQ117" s="296" t="s">
        <v>2326</v>
      </c>
      <c r="AR117" s="297"/>
      <c r="AS117" s="367" t="s">
        <v>2902</v>
      </c>
      <c r="AT117" s="367" t="s">
        <v>2902</v>
      </c>
      <c r="AU117" s="296" t="s">
        <v>2326</v>
      </c>
      <c r="AV117" s="297"/>
      <c r="AW117" s="325">
        <v>0</v>
      </c>
      <c r="AX117" s="247">
        <f t="shared" si="32"/>
        <v>50</v>
      </c>
      <c r="AY117" s="90">
        <f t="shared" si="33"/>
        <v>2</v>
      </c>
      <c r="AZ117" s="378">
        <v>0</v>
      </c>
      <c r="BA117" s="449" t="s">
        <v>3782</v>
      </c>
      <c r="BB117" s="247">
        <f t="shared" si="34"/>
        <v>100</v>
      </c>
      <c r="BC117" s="91">
        <f t="shared" si="35"/>
        <v>2</v>
      </c>
      <c r="BD117" s="325">
        <v>0</v>
      </c>
      <c r="BE117" s="325">
        <v>0</v>
      </c>
      <c r="BF117" s="325">
        <v>0</v>
      </c>
      <c r="BG117" s="252">
        <f t="shared" si="36"/>
        <v>0</v>
      </c>
      <c r="BH117" s="246">
        <f t="shared" si="37"/>
        <v>100</v>
      </c>
      <c r="BI117" s="90">
        <f t="shared" si="38"/>
        <v>1</v>
      </c>
      <c r="BJ117" s="325">
        <v>0</v>
      </c>
      <c r="BK117" s="247">
        <f t="shared" si="39"/>
        <v>100</v>
      </c>
      <c r="BL117" s="94">
        <f t="shared" si="40"/>
        <v>2</v>
      </c>
      <c r="BM117" s="325">
        <v>0</v>
      </c>
      <c r="BN117" s="325">
        <v>0</v>
      </c>
      <c r="BO117" s="325">
        <v>1</v>
      </c>
      <c r="BP117" s="211">
        <f t="shared" si="41"/>
        <v>1</v>
      </c>
      <c r="BQ117" s="253">
        <f t="shared" si="42"/>
        <v>50</v>
      </c>
      <c r="BR117" s="99">
        <f t="shared" si="43"/>
        <v>0.5</v>
      </c>
      <c r="BS117" s="101">
        <f t="shared" si="44"/>
        <v>16.5</v>
      </c>
    </row>
    <row r="118" spans="1:71" x14ac:dyDescent="0.6">
      <c r="A118" s="373" t="s">
        <v>15</v>
      </c>
      <c r="B118" s="1" t="s">
        <v>3019</v>
      </c>
      <c r="C118" s="380" t="s">
        <v>71</v>
      </c>
      <c r="D118" s="351" t="s">
        <v>203</v>
      </c>
      <c r="E118" s="352" t="s">
        <v>195</v>
      </c>
      <c r="F118" s="352" t="s">
        <v>1162</v>
      </c>
      <c r="G118" s="353">
        <v>28294</v>
      </c>
      <c r="H118" s="352" t="s">
        <v>755</v>
      </c>
      <c r="I118" s="352" t="s">
        <v>765</v>
      </c>
      <c r="J118" s="352" t="s">
        <v>1159</v>
      </c>
      <c r="K118" s="352" t="s">
        <v>484</v>
      </c>
      <c r="L118" s="381">
        <v>257003015</v>
      </c>
      <c r="M118" s="376">
        <v>25657000</v>
      </c>
      <c r="N118" s="376">
        <v>231346015</v>
      </c>
      <c r="O118" s="376">
        <v>253705017</v>
      </c>
      <c r="P118" s="376">
        <v>209474</v>
      </c>
      <c r="Q118" s="376">
        <v>8220332</v>
      </c>
      <c r="R118" s="376">
        <v>6363937</v>
      </c>
      <c r="S118" s="325">
        <v>0</v>
      </c>
      <c r="T118" s="246">
        <f t="shared" si="25"/>
        <v>100</v>
      </c>
      <c r="U118" s="77">
        <f t="shared" si="26"/>
        <v>2</v>
      </c>
      <c r="V118" s="377">
        <v>0</v>
      </c>
      <c r="W118" s="377">
        <v>0</v>
      </c>
      <c r="X118" s="377">
        <v>0</v>
      </c>
      <c r="Y118" s="377">
        <v>0</v>
      </c>
      <c r="Z118" s="377">
        <v>0</v>
      </c>
      <c r="AA118" s="377">
        <v>0</v>
      </c>
      <c r="AB118" s="377">
        <v>0</v>
      </c>
      <c r="AC118" s="247">
        <f t="shared" si="27"/>
        <v>0</v>
      </c>
      <c r="AD118" s="247">
        <f t="shared" si="28"/>
        <v>100</v>
      </c>
      <c r="AE118" s="82">
        <f t="shared" si="46"/>
        <v>5</v>
      </c>
      <c r="AF118" s="377">
        <v>0</v>
      </c>
      <c r="AG118" s="377">
        <v>0</v>
      </c>
      <c r="AH118" s="247">
        <f t="shared" si="29"/>
        <v>0</v>
      </c>
      <c r="AI118" s="247">
        <f t="shared" si="30"/>
        <v>100</v>
      </c>
      <c r="AJ118" s="82">
        <f t="shared" si="31"/>
        <v>3</v>
      </c>
      <c r="AK118" s="367" t="s">
        <v>2902</v>
      </c>
      <c r="AL118" s="367" t="s">
        <v>2902</v>
      </c>
      <c r="AM118" s="367" t="s">
        <v>2902</v>
      </c>
      <c r="AN118" s="367" t="s">
        <v>2902</v>
      </c>
      <c r="AO118" s="367" t="s">
        <v>2902</v>
      </c>
      <c r="AP118" s="296" t="s">
        <v>2326</v>
      </c>
      <c r="AQ118" s="296" t="s">
        <v>2326</v>
      </c>
      <c r="AR118" s="297"/>
      <c r="AS118" s="367" t="s">
        <v>2902</v>
      </c>
      <c r="AT118" s="367" t="s">
        <v>2902</v>
      </c>
      <c r="AU118" s="296" t="s">
        <v>2326</v>
      </c>
      <c r="AV118" s="297"/>
      <c r="AW118" s="325">
        <v>1</v>
      </c>
      <c r="AX118" s="247">
        <f t="shared" si="32"/>
        <v>100</v>
      </c>
      <c r="AY118" s="90">
        <f t="shared" si="33"/>
        <v>4</v>
      </c>
      <c r="AZ118" s="378">
        <v>0</v>
      </c>
      <c r="BA118" s="449" t="s">
        <v>3782</v>
      </c>
      <c r="BB118" s="247">
        <f t="shared" si="34"/>
        <v>100</v>
      </c>
      <c r="BC118" s="91">
        <f t="shared" si="35"/>
        <v>2</v>
      </c>
      <c r="BD118" s="325">
        <v>0</v>
      </c>
      <c r="BE118" s="325">
        <v>0</v>
      </c>
      <c r="BF118" s="325">
        <v>0</v>
      </c>
      <c r="BG118" s="252">
        <f t="shared" si="36"/>
        <v>0</v>
      </c>
      <c r="BH118" s="246">
        <f t="shared" si="37"/>
        <v>100</v>
      </c>
      <c r="BI118" s="90">
        <f t="shared" si="38"/>
        <v>1</v>
      </c>
      <c r="BJ118" s="325">
        <v>0</v>
      </c>
      <c r="BK118" s="247">
        <f t="shared" si="39"/>
        <v>100</v>
      </c>
      <c r="BL118" s="94">
        <f t="shared" si="40"/>
        <v>2</v>
      </c>
      <c r="BM118" s="325">
        <v>0</v>
      </c>
      <c r="BN118" s="325">
        <v>0</v>
      </c>
      <c r="BO118" s="325">
        <v>0</v>
      </c>
      <c r="BP118" s="211">
        <f t="shared" si="41"/>
        <v>0</v>
      </c>
      <c r="BQ118" s="253">
        <f t="shared" si="42"/>
        <v>25</v>
      </c>
      <c r="BR118" s="99">
        <f t="shared" si="43"/>
        <v>0.25</v>
      </c>
      <c r="BS118" s="101">
        <f t="shared" si="44"/>
        <v>19.25</v>
      </c>
    </row>
    <row r="119" spans="1:71" x14ac:dyDescent="0.6">
      <c r="A119" s="373" t="s">
        <v>1653</v>
      </c>
      <c r="B119" s="1" t="s">
        <v>3020</v>
      </c>
      <c r="C119" s="380" t="s">
        <v>1654</v>
      </c>
      <c r="D119" s="315" t="s">
        <v>285</v>
      </c>
      <c r="E119" s="352" t="s">
        <v>626</v>
      </c>
      <c r="F119" s="352" t="s">
        <v>1655</v>
      </c>
      <c r="G119" s="353">
        <v>42635</v>
      </c>
      <c r="H119" s="352" t="s">
        <v>830</v>
      </c>
      <c r="I119" s="352" t="s">
        <v>1656</v>
      </c>
      <c r="J119" s="352" t="s">
        <v>1657</v>
      </c>
      <c r="K119" s="352" t="s">
        <v>91</v>
      </c>
      <c r="L119" s="381">
        <v>103350760</v>
      </c>
      <c r="M119" s="376">
        <v>49413398</v>
      </c>
      <c r="N119" s="376">
        <v>53937361</v>
      </c>
      <c r="O119" s="376">
        <v>5282773</v>
      </c>
      <c r="P119" s="376">
        <v>2547153</v>
      </c>
      <c r="Q119" s="376">
        <v>1129465</v>
      </c>
      <c r="R119" s="376">
        <v>10500826</v>
      </c>
      <c r="S119" s="325">
        <v>0</v>
      </c>
      <c r="T119" s="246">
        <f t="shared" si="25"/>
        <v>100</v>
      </c>
      <c r="U119" s="77">
        <f t="shared" si="26"/>
        <v>2</v>
      </c>
      <c r="V119" s="377">
        <v>0</v>
      </c>
      <c r="W119" s="377">
        <v>0</v>
      </c>
      <c r="X119" s="377">
        <v>0</v>
      </c>
      <c r="Y119" s="377">
        <v>0</v>
      </c>
      <c r="Z119" s="377">
        <v>0</v>
      </c>
      <c r="AA119" s="377">
        <v>0</v>
      </c>
      <c r="AB119" s="377">
        <v>0</v>
      </c>
      <c r="AC119" s="247">
        <f t="shared" si="27"/>
        <v>0</v>
      </c>
      <c r="AD119" s="247">
        <f t="shared" si="28"/>
        <v>100</v>
      </c>
      <c r="AE119" s="82">
        <f t="shared" si="46"/>
        <v>5</v>
      </c>
      <c r="AF119" s="377">
        <v>0</v>
      </c>
      <c r="AG119" s="377">
        <v>0</v>
      </c>
      <c r="AH119" s="247">
        <f t="shared" si="29"/>
        <v>0</v>
      </c>
      <c r="AI119" s="247">
        <f t="shared" si="30"/>
        <v>100</v>
      </c>
      <c r="AJ119" s="82">
        <f t="shared" si="31"/>
        <v>3</v>
      </c>
      <c r="AK119" s="367" t="s">
        <v>2902</v>
      </c>
      <c r="AL119" s="367" t="s">
        <v>2902</v>
      </c>
      <c r="AM119" s="367" t="s">
        <v>2902</v>
      </c>
      <c r="AN119" s="367" t="s">
        <v>2902</v>
      </c>
      <c r="AO119" s="367" t="s">
        <v>2902</v>
      </c>
      <c r="AP119" s="296" t="s">
        <v>2326</v>
      </c>
      <c r="AQ119" s="296" t="s">
        <v>2326</v>
      </c>
      <c r="AR119" s="297"/>
      <c r="AS119" s="367" t="s">
        <v>2902</v>
      </c>
      <c r="AT119" s="367" t="s">
        <v>2902</v>
      </c>
      <c r="AU119" s="296" t="s">
        <v>2326</v>
      </c>
      <c r="AV119" s="297"/>
      <c r="AW119" s="325">
        <v>0</v>
      </c>
      <c r="AX119" s="247">
        <f t="shared" si="32"/>
        <v>50</v>
      </c>
      <c r="AY119" s="90">
        <f t="shared" si="33"/>
        <v>2</v>
      </c>
      <c r="AZ119" s="378">
        <v>0</v>
      </c>
      <c r="BA119" s="449" t="s">
        <v>3782</v>
      </c>
      <c r="BB119" s="247">
        <f t="shared" si="34"/>
        <v>100</v>
      </c>
      <c r="BC119" s="91">
        <f t="shared" si="35"/>
        <v>2</v>
      </c>
      <c r="BD119" s="325">
        <v>0</v>
      </c>
      <c r="BE119" s="325">
        <v>0</v>
      </c>
      <c r="BF119" s="325">
        <v>0</v>
      </c>
      <c r="BG119" s="252">
        <f t="shared" si="36"/>
        <v>0</v>
      </c>
      <c r="BH119" s="246">
        <f t="shared" si="37"/>
        <v>100</v>
      </c>
      <c r="BI119" s="90">
        <f t="shared" si="38"/>
        <v>1</v>
      </c>
      <c r="BJ119" s="325">
        <v>0</v>
      </c>
      <c r="BK119" s="247">
        <f t="shared" si="39"/>
        <v>100</v>
      </c>
      <c r="BL119" s="94">
        <f t="shared" si="40"/>
        <v>2</v>
      </c>
      <c r="BM119" s="325">
        <v>0</v>
      </c>
      <c r="BN119" s="325">
        <v>1</v>
      </c>
      <c r="BO119" s="325">
        <v>0</v>
      </c>
      <c r="BP119" s="211">
        <f t="shared" si="41"/>
        <v>1</v>
      </c>
      <c r="BQ119" s="253">
        <f t="shared" si="42"/>
        <v>50</v>
      </c>
      <c r="BR119" s="99">
        <f t="shared" si="43"/>
        <v>0.5</v>
      </c>
      <c r="BS119" s="101">
        <f t="shared" si="44"/>
        <v>17.5</v>
      </c>
    </row>
    <row r="120" spans="1:71" x14ac:dyDescent="0.6">
      <c r="A120" s="373" t="s">
        <v>753</v>
      </c>
      <c r="B120" s="1" t="s">
        <v>3021</v>
      </c>
      <c r="C120" s="380" t="s">
        <v>430</v>
      </c>
      <c r="D120" s="351" t="s">
        <v>202</v>
      </c>
      <c r="E120" s="352" t="s">
        <v>954</v>
      </c>
      <c r="F120" s="352" t="s">
        <v>647</v>
      </c>
      <c r="G120" s="353">
        <v>34348</v>
      </c>
      <c r="H120" s="352" t="s">
        <v>830</v>
      </c>
      <c r="I120" s="352" t="s">
        <v>966</v>
      </c>
      <c r="J120" s="352" t="s">
        <v>1151</v>
      </c>
      <c r="K120" s="352" t="s">
        <v>91</v>
      </c>
      <c r="L120" s="381">
        <v>463199227</v>
      </c>
      <c r="M120" s="376">
        <v>33561119</v>
      </c>
      <c r="N120" s="376">
        <v>429638109</v>
      </c>
      <c r="O120" s="376">
        <v>223860213</v>
      </c>
      <c r="P120" s="376">
        <v>14271412</v>
      </c>
      <c r="Q120" s="376">
        <v>23103260</v>
      </c>
      <c r="R120" s="376">
        <v>17789582</v>
      </c>
      <c r="S120" s="325">
        <v>0</v>
      </c>
      <c r="T120" s="246">
        <f t="shared" si="25"/>
        <v>100</v>
      </c>
      <c r="U120" s="77">
        <f t="shared" si="26"/>
        <v>2</v>
      </c>
      <c r="V120" s="377">
        <v>0</v>
      </c>
      <c r="W120" s="377">
        <v>0</v>
      </c>
      <c r="X120" s="377">
        <v>0</v>
      </c>
      <c r="Y120" s="377">
        <v>0</v>
      </c>
      <c r="Z120" s="377">
        <v>0</v>
      </c>
      <c r="AA120" s="377">
        <v>0</v>
      </c>
      <c r="AB120" s="377">
        <v>0</v>
      </c>
      <c r="AC120" s="247">
        <f t="shared" si="27"/>
        <v>0</v>
      </c>
      <c r="AD120" s="247">
        <f t="shared" si="28"/>
        <v>100</v>
      </c>
      <c r="AE120" s="82">
        <f t="shared" si="46"/>
        <v>5</v>
      </c>
      <c r="AF120" s="377">
        <v>0</v>
      </c>
      <c r="AG120" s="377">
        <v>0</v>
      </c>
      <c r="AH120" s="247">
        <f t="shared" si="29"/>
        <v>0</v>
      </c>
      <c r="AI120" s="247">
        <f t="shared" si="30"/>
        <v>100</v>
      </c>
      <c r="AJ120" s="82">
        <f t="shared" si="31"/>
        <v>3</v>
      </c>
      <c r="AK120" s="367" t="s">
        <v>2902</v>
      </c>
      <c r="AL120" s="367" t="s">
        <v>2902</v>
      </c>
      <c r="AM120" s="367" t="s">
        <v>2902</v>
      </c>
      <c r="AN120" s="367" t="s">
        <v>2902</v>
      </c>
      <c r="AO120" s="367" t="s">
        <v>2902</v>
      </c>
      <c r="AP120" s="296" t="s">
        <v>2326</v>
      </c>
      <c r="AQ120" s="296" t="s">
        <v>2326</v>
      </c>
      <c r="AR120" s="297"/>
      <c r="AS120" s="367" t="s">
        <v>2902</v>
      </c>
      <c r="AT120" s="367" t="s">
        <v>2902</v>
      </c>
      <c r="AU120" s="296" t="s">
        <v>2326</v>
      </c>
      <c r="AV120" s="297"/>
      <c r="AW120" s="325">
        <v>1</v>
      </c>
      <c r="AX120" s="247">
        <f t="shared" si="32"/>
        <v>100</v>
      </c>
      <c r="AY120" s="90">
        <f t="shared" si="33"/>
        <v>4</v>
      </c>
      <c r="AZ120" s="378">
        <v>0</v>
      </c>
      <c r="BA120" s="449" t="s">
        <v>3782</v>
      </c>
      <c r="BB120" s="247">
        <f t="shared" si="34"/>
        <v>100</v>
      </c>
      <c r="BC120" s="91">
        <f t="shared" si="35"/>
        <v>2</v>
      </c>
      <c r="BD120" s="325">
        <v>0</v>
      </c>
      <c r="BE120" s="325">
        <v>0</v>
      </c>
      <c r="BF120" s="325">
        <v>0</v>
      </c>
      <c r="BG120" s="252">
        <f t="shared" si="36"/>
        <v>0</v>
      </c>
      <c r="BH120" s="246">
        <f t="shared" si="37"/>
        <v>100</v>
      </c>
      <c r="BI120" s="90">
        <f t="shared" si="38"/>
        <v>1</v>
      </c>
      <c r="BJ120" s="325">
        <v>0</v>
      </c>
      <c r="BK120" s="247">
        <f t="shared" si="39"/>
        <v>100</v>
      </c>
      <c r="BL120" s="94">
        <f t="shared" si="40"/>
        <v>2</v>
      </c>
      <c r="BM120" s="325">
        <v>0</v>
      </c>
      <c r="BN120" s="325">
        <v>0</v>
      </c>
      <c r="BO120" s="325">
        <v>0</v>
      </c>
      <c r="BP120" s="211">
        <f t="shared" si="41"/>
        <v>0</v>
      </c>
      <c r="BQ120" s="253">
        <f t="shared" si="42"/>
        <v>25</v>
      </c>
      <c r="BR120" s="99">
        <f t="shared" si="43"/>
        <v>0.25</v>
      </c>
      <c r="BS120" s="101">
        <f t="shared" si="44"/>
        <v>19.25</v>
      </c>
    </row>
    <row r="121" spans="1:71" x14ac:dyDescent="0.6">
      <c r="A121" s="373" t="s">
        <v>1658</v>
      </c>
      <c r="B121" s="1" t="s">
        <v>3022</v>
      </c>
      <c r="C121" s="380" t="s">
        <v>420</v>
      </c>
      <c r="D121" s="351" t="s">
        <v>203</v>
      </c>
      <c r="E121" s="352" t="s">
        <v>195</v>
      </c>
      <c r="F121" s="352" t="s">
        <v>1188</v>
      </c>
      <c r="G121" s="353">
        <v>34643</v>
      </c>
      <c r="H121" s="352" t="s">
        <v>830</v>
      </c>
      <c r="I121" s="352" t="s">
        <v>1515</v>
      </c>
      <c r="J121" s="352" t="s">
        <v>673</v>
      </c>
      <c r="K121" s="352" t="s">
        <v>91</v>
      </c>
      <c r="L121" s="381">
        <v>206906858</v>
      </c>
      <c r="M121" s="376">
        <v>39013430</v>
      </c>
      <c r="N121" s="376">
        <v>167893428</v>
      </c>
      <c r="O121" s="376">
        <v>192206731</v>
      </c>
      <c r="P121" s="376">
        <v>3006102</v>
      </c>
      <c r="Q121" s="376">
        <v>24358747</v>
      </c>
      <c r="R121" s="376">
        <v>26217228</v>
      </c>
      <c r="S121" s="325">
        <v>0</v>
      </c>
      <c r="T121" s="246">
        <f t="shared" si="25"/>
        <v>100</v>
      </c>
      <c r="U121" s="77">
        <f t="shared" si="26"/>
        <v>2</v>
      </c>
      <c r="V121" s="377">
        <v>0</v>
      </c>
      <c r="W121" s="377">
        <v>0</v>
      </c>
      <c r="X121" s="377">
        <v>0</v>
      </c>
      <c r="Y121" s="377">
        <v>0</v>
      </c>
      <c r="Z121" s="377">
        <v>0</v>
      </c>
      <c r="AA121" s="377">
        <v>0</v>
      </c>
      <c r="AB121" s="377">
        <v>0</v>
      </c>
      <c r="AC121" s="247">
        <f t="shared" si="27"/>
        <v>0</v>
      </c>
      <c r="AD121" s="247">
        <f t="shared" si="28"/>
        <v>100</v>
      </c>
      <c r="AE121" s="82">
        <f t="shared" si="46"/>
        <v>5</v>
      </c>
      <c r="AF121" s="377">
        <v>0</v>
      </c>
      <c r="AG121" s="377">
        <v>0</v>
      </c>
      <c r="AH121" s="247">
        <f t="shared" si="29"/>
        <v>0</v>
      </c>
      <c r="AI121" s="247">
        <f t="shared" si="30"/>
        <v>100</v>
      </c>
      <c r="AJ121" s="82">
        <f t="shared" si="31"/>
        <v>3</v>
      </c>
      <c r="AK121" s="367" t="s">
        <v>2902</v>
      </c>
      <c r="AL121" s="367" t="s">
        <v>2902</v>
      </c>
      <c r="AM121" s="367" t="s">
        <v>2902</v>
      </c>
      <c r="AN121" s="367" t="s">
        <v>2902</v>
      </c>
      <c r="AO121" s="367" t="s">
        <v>2902</v>
      </c>
      <c r="AP121" s="296" t="s">
        <v>2326</v>
      </c>
      <c r="AQ121" s="296" t="s">
        <v>2326</v>
      </c>
      <c r="AR121" s="297"/>
      <c r="AS121" s="367" t="s">
        <v>2902</v>
      </c>
      <c r="AT121" s="367" t="s">
        <v>2902</v>
      </c>
      <c r="AU121" s="296" t="s">
        <v>2326</v>
      </c>
      <c r="AV121" s="297"/>
      <c r="AW121" s="325">
        <v>1</v>
      </c>
      <c r="AX121" s="247">
        <f t="shared" si="32"/>
        <v>100</v>
      </c>
      <c r="AY121" s="90">
        <f t="shared" si="33"/>
        <v>4</v>
      </c>
      <c r="AZ121" s="378">
        <v>0</v>
      </c>
      <c r="BA121" s="449" t="s">
        <v>3782</v>
      </c>
      <c r="BB121" s="247">
        <f t="shared" si="34"/>
        <v>100</v>
      </c>
      <c r="BC121" s="91">
        <f t="shared" si="35"/>
        <v>2</v>
      </c>
      <c r="BD121" s="325">
        <v>0</v>
      </c>
      <c r="BE121" s="325">
        <v>0</v>
      </c>
      <c r="BF121" s="325">
        <v>0</v>
      </c>
      <c r="BG121" s="252">
        <f t="shared" si="36"/>
        <v>0</v>
      </c>
      <c r="BH121" s="246">
        <f t="shared" si="37"/>
        <v>100</v>
      </c>
      <c r="BI121" s="90">
        <f t="shared" si="38"/>
        <v>1</v>
      </c>
      <c r="BJ121" s="325">
        <v>0</v>
      </c>
      <c r="BK121" s="247">
        <f t="shared" si="39"/>
        <v>100</v>
      </c>
      <c r="BL121" s="94">
        <f t="shared" si="40"/>
        <v>2</v>
      </c>
      <c r="BM121" s="325">
        <v>0</v>
      </c>
      <c r="BN121" s="325">
        <v>0</v>
      </c>
      <c r="BO121" s="325">
        <v>0</v>
      </c>
      <c r="BP121" s="211">
        <f t="shared" si="41"/>
        <v>0</v>
      </c>
      <c r="BQ121" s="253">
        <f t="shared" si="42"/>
        <v>25</v>
      </c>
      <c r="BR121" s="99">
        <f t="shared" si="43"/>
        <v>0.25</v>
      </c>
      <c r="BS121" s="101">
        <f t="shared" si="44"/>
        <v>19.25</v>
      </c>
    </row>
    <row r="122" spans="1:71" x14ac:dyDescent="0.6">
      <c r="A122" s="373" t="s">
        <v>1659</v>
      </c>
      <c r="B122" s="1" t="s">
        <v>3023</v>
      </c>
      <c r="C122" s="380" t="s">
        <v>476</v>
      </c>
      <c r="D122" s="354" t="s">
        <v>481</v>
      </c>
      <c r="E122" s="352" t="s">
        <v>704</v>
      </c>
      <c r="F122" s="352" t="s">
        <v>57</v>
      </c>
      <c r="G122" s="353">
        <v>42193</v>
      </c>
      <c r="H122" s="352" t="s">
        <v>830</v>
      </c>
      <c r="I122" s="352" t="s">
        <v>271</v>
      </c>
      <c r="J122" s="352" t="s">
        <v>1171</v>
      </c>
      <c r="K122" s="352" t="s">
        <v>91</v>
      </c>
      <c r="L122" s="381">
        <v>37208616897</v>
      </c>
      <c r="M122" s="376">
        <v>35852992352</v>
      </c>
      <c r="N122" s="376">
        <v>1355624545</v>
      </c>
      <c r="O122" s="376">
        <v>3209343241</v>
      </c>
      <c r="P122" s="376">
        <v>76354621</v>
      </c>
      <c r="Q122" s="376">
        <v>78489213</v>
      </c>
      <c r="R122" s="376">
        <v>56143790</v>
      </c>
      <c r="S122" s="325">
        <v>1</v>
      </c>
      <c r="T122" s="246">
        <f t="shared" si="25"/>
        <v>50</v>
      </c>
      <c r="U122" s="77">
        <f t="shared" si="26"/>
        <v>1</v>
      </c>
      <c r="V122" s="377">
        <v>0</v>
      </c>
      <c r="W122" s="377">
        <v>0</v>
      </c>
      <c r="X122" s="377">
        <v>0</v>
      </c>
      <c r="Y122" s="377">
        <v>0</v>
      </c>
      <c r="Z122" s="377">
        <v>0</v>
      </c>
      <c r="AA122" s="377">
        <v>0</v>
      </c>
      <c r="AB122" s="377">
        <v>0</v>
      </c>
      <c r="AC122" s="247">
        <f t="shared" si="27"/>
        <v>0</v>
      </c>
      <c r="AD122" s="247">
        <f t="shared" si="28"/>
        <v>100</v>
      </c>
      <c r="AE122" s="81">
        <f>AD122*0.02</f>
        <v>2</v>
      </c>
      <c r="AF122" s="360" t="s">
        <v>2902</v>
      </c>
      <c r="AG122" s="360" t="s">
        <v>2902</v>
      </c>
      <c r="AH122" s="248" t="s">
        <v>2326</v>
      </c>
      <c r="AI122" s="248" t="s">
        <v>2326</v>
      </c>
      <c r="AJ122" s="248"/>
      <c r="AK122" s="373">
        <v>0</v>
      </c>
      <c r="AL122" s="373">
        <v>0</v>
      </c>
      <c r="AM122" s="373">
        <v>0</v>
      </c>
      <c r="AN122" s="373">
        <v>0</v>
      </c>
      <c r="AO122" s="370" t="s">
        <v>3240</v>
      </c>
      <c r="AP122" s="249">
        <f>SUM(AK122:AN122)</f>
        <v>0</v>
      </c>
      <c r="AQ122" s="250">
        <f t="shared" ref="AQ122:AQ123" si="47">IF(AP122=0, 100, IF(AP122=1, 75, IF(AP122=2, 50, 25)))</f>
        <v>100</v>
      </c>
      <c r="AR122" s="83">
        <f>AQ122*0.05</f>
        <v>5</v>
      </c>
      <c r="AS122" s="395">
        <v>0</v>
      </c>
      <c r="AT122" s="370" t="s">
        <v>3240</v>
      </c>
      <c r="AU122" s="251">
        <f>IF(AS122=0, 100, IF(AS122=1, 200/3, IF(AS122&gt;=2, 100/3)))</f>
        <v>100</v>
      </c>
      <c r="AV122" s="87">
        <f>AU122*0.01</f>
        <v>1</v>
      </c>
      <c r="AW122" s="325">
        <v>0</v>
      </c>
      <c r="AX122" s="247">
        <f t="shared" si="32"/>
        <v>50</v>
      </c>
      <c r="AY122" s="90">
        <f t="shared" si="33"/>
        <v>2</v>
      </c>
      <c r="AZ122" s="378">
        <v>0</v>
      </c>
      <c r="BA122" s="449" t="s">
        <v>3782</v>
      </c>
      <c r="BB122" s="247">
        <f t="shared" si="34"/>
        <v>100</v>
      </c>
      <c r="BC122" s="91">
        <f t="shared" si="35"/>
        <v>2</v>
      </c>
      <c r="BD122" s="325">
        <v>0</v>
      </c>
      <c r="BE122" s="325">
        <v>0</v>
      </c>
      <c r="BF122" s="325">
        <v>0</v>
      </c>
      <c r="BG122" s="252">
        <f t="shared" si="36"/>
        <v>0</v>
      </c>
      <c r="BH122" s="246">
        <f t="shared" si="37"/>
        <v>100</v>
      </c>
      <c r="BI122" s="90">
        <f t="shared" si="38"/>
        <v>1</v>
      </c>
      <c r="BJ122" s="325">
        <v>1</v>
      </c>
      <c r="BK122" s="247">
        <f t="shared" si="39"/>
        <v>50</v>
      </c>
      <c r="BL122" s="94">
        <f t="shared" si="40"/>
        <v>1</v>
      </c>
      <c r="BM122" s="325">
        <v>0</v>
      </c>
      <c r="BN122" s="325">
        <v>0</v>
      </c>
      <c r="BO122" s="325">
        <v>1</v>
      </c>
      <c r="BP122" s="211">
        <f t="shared" si="41"/>
        <v>1</v>
      </c>
      <c r="BQ122" s="253">
        <f t="shared" si="42"/>
        <v>50</v>
      </c>
      <c r="BR122" s="99">
        <f t="shared" si="43"/>
        <v>0.5</v>
      </c>
      <c r="BS122" s="101">
        <f t="shared" si="44"/>
        <v>15.5</v>
      </c>
    </row>
    <row r="123" spans="1:71" x14ac:dyDescent="0.6">
      <c r="A123" s="373" t="s">
        <v>92</v>
      </c>
      <c r="B123" s="1" t="s">
        <v>3024</v>
      </c>
      <c r="C123" s="380" t="s">
        <v>900</v>
      </c>
      <c r="D123" s="354" t="s">
        <v>350</v>
      </c>
      <c r="E123" s="352" t="s">
        <v>179</v>
      </c>
      <c r="F123" s="352" t="s">
        <v>1076</v>
      </c>
      <c r="G123" s="353">
        <v>27667</v>
      </c>
      <c r="H123" s="352" t="s">
        <v>830</v>
      </c>
      <c r="I123" s="352" t="s">
        <v>217</v>
      </c>
      <c r="J123" s="352" t="s">
        <v>289</v>
      </c>
      <c r="K123" s="352" t="s">
        <v>91</v>
      </c>
      <c r="L123" s="381">
        <v>77528737937</v>
      </c>
      <c r="M123" s="376">
        <v>68433158478</v>
      </c>
      <c r="N123" s="376">
        <v>9095579460</v>
      </c>
      <c r="O123" s="376">
        <v>16761431115</v>
      </c>
      <c r="P123" s="376">
        <v>548389982</v>
      </c>
      <c r="Q123" s="376">
        <v>553208432</v>
      </c>
      <c r="R123" s="376">
        <v>397574440</v>
      </c>
      <c r="S123" s="325">
        <v>1</v>
      </c>
      <c r="T123" s="246">
        <f t="shared" si="25"/>
        <v>50</v>
      </c>
      <c r="U123" s="77">
        <f t="shared" si="26"/>
        <v>1</v>
      </c>
      <c r="V123" s="377">
        <v>0</v>
      </c>
      <c r="W123" s="377">
        <v>0</v>
      </c>
      <c r="X123" s="377">
        <v>0</v>
      </c>
      <c r="Y123" s="377">
        <v>0</v>
      </c>
      <c r="Z123" s="377">
        <v>0</v>
      </c>
      <c r="AA123" s="377">
        <v>0</v>
      </c>
      <c r="AB123" s="377">
        <v>0</v>
      </c>
      <c r="AC123" s="247">
        <f t="shared" si="27"/>
        <v>0</v>
      </c>
      <c r="AD123" s="247">
        <f t="shared" si="28"/>
        <v>100</v>
      </c>
      <c r="AE123" s="81">
        <f>AD123*0.02</f>
        <v>2</v>
      </c>
      <c r="AF123" s="360" t="s">
        <v>2902</v>
      </c>
      <c r="AG123" s="360" t="s">
        <v>2902</v>
      </c>
      <c r="AH123" s="248" t="s">
        <v>2326</v>
      </c>
      <c r="AI123" s="248" t="s">
        <v>2326</v>
      </c>
      <c r="AJ123" s="248"/>
      <c r="AK123" s="373">
        <v>0</v>
      </c>
      <c r="AL123" s="373">
        <v>0</v>
      </c>
      <c r="AM123" s="373">
        <v>0</v>
      </c>
      <c r="AN123" s="373">
        <v>0</v>
      </c>
      <c r="AO123" s="370" t="s">
        <v>3240</v>
      </c>
      <c r="AP123" s="249">
        <f>SUM(AK123:AN123)</f>
        <v>0</v>
      </c>
      <c r="AQ123" s="250">
        <f t="shared" si="47"/>
        <v>100</v>
      </c>
      <c r="AR123" s="83">
        <f>AQ123*0.05</f>
        <v>5</v>
      </c>
      <c r="AS123" s="395">
        <v>0</v>
      </c>
      <c r="AT123" s="370" t="s">
        <v>3240</v>
      </c>
      <c r="AU123" s="251">
        <f>IF(AS123=0, 100, IF(AS123=1, 200/3, IF(AS123&gt;=2, 100/3)))</f>
        <v>100</v>
      </c>
      <c r="AV123" s="87">
        <f>AU123*0.01</f>
        <v>1</v>
      </c>
      <c r="AW123" s="325">
        <v>0</v>
      </c>
      <c r="AX123" s="247">
        <f t="shared" si="32"/>
        <v>50</v>
      </c>
      <c r="AY123" s="90">
        <f t="shared" si="33"/>
        <v>2</v>
      </c>
      <c r="AZ123" s="378">
        <v>0</v>
      </c>
      <c r="BA123" s="449" t="s">
        <v>3782</v>
      </c>
      <c r="BB123" s="247">
        <f t="shared" si="34"/>
        <v>100</v>
      </c>
      <c r="BC123" s="91">
        <f t="shared" si="35"/>
        <v>2</v>
      </c>
      <c r="BD123" s="325">
        <v>0</v>
      </c>
      <c r="BE123" s="325">
        <v>0</v>
      </c>
      <c r="BF123" s="325">
        <v>0</v>
      </c>
      <c r="BG123" s="252">
        <f t="shared" si="36"/>
        <v>0</v>
      </c>
      <c r="BH123" s="246">
        <f t="shared" si="37"/>
        <v>100</v>
      </c>
      <c r="BI123" s="90">
        <f t="shared" si="38"/>
        <v>1</v>
      </c>
      <c r="BJ123" s="325">
        <v>0</v>
      </c>
      <c r="BK123" s="247">
        <f t="shared" si="39"/>
        <v>100</v>
      </c>
      <c r="BL123" s="94">
        <f t="shared" si="40"/>
        <v>2</v>
      </c>
      <c r="BM123" s="325">
        <v>0</v>
      </c>
      <c r="BN123" s="325">
        <v>0</v>
      </c>
      <c r="BO123" s="325">
        <v>1</v>
      </c>
      <c r="BP123" s="211">
        <f t="shared" si="41"/>
        <v>1</v>
      </c>
      <c r="BQ123" s="253">
        <f t="shared" si="42"/>
        <v>50</v>
      </c>
      <c r="BR123" s="99">
        <f t="shared" si="43"/>
        <v>0.5</v>
      </c>
      <c r="BS123" s="101">
        <f t="shared" si="44"/>
        <v>16.5</v>
      </c>
    </row>
    <row r="124" spans="1:71" x14ac:dyDescent="0.6">
      <c r="A124" s="373" t="s">
        <v>339</v>
      </c>
      <c r="B124" s="1" t="s">
        <v>3025</v>
      </c>
      <c r="C124" s="380" t="s">
        <v>461</v>
      </c>
      <c r="D124" s="351" t="s">
        <v>203</v>
      </c>
      <c r="E124" s="352" t="s">
        <v>188</v>
      </c>
      <c r="F124" s="352" t="s">
        <v>652</v>
      </c>
      <c r="G124" s="353">
        <v>32776</v>
      </c>
      <c r="H124" s="352" t="s">
        <v>830</v>
      </c>
      <c r="I124" s="352" t="s">
        <v>1660</v>
      </c>
      <c r="J124" s="352" t="s">
        <v>1052</v>
      </c>
      <c r="K124" s="352" t="s">
        <v>690</v>
      </c>
      <c r="L124" s="381">
        <v>391399991</v>
      </c>
      <c r="M124" s="376">
        <v>70411675</v>
      </c>
      <c r="N124" s="376">
        <v>320988317</v>
      </c>
      <c r="O124" s="376">
        <v>425547908</v>
      </c>
      <c r="P124" s="376">
        <v>77084280</v>
      </c>
      <c r="Q124" s="376">
        <v>83250609</v>
      </c>
      <c r="R124" s="376">
        <v>65769136</v>
      </c>
      <c r="S124" s="325">
        <v>0</v>
      </c>
      <c r="T124" s="246">
        <f t="shared" si="25"/>
        <v>100</v>
      </c>
      <c r="U124" s="77">
        <f t="shared" si="26"/>
        <v>2</v>
      </c>
      <c r="V124" s="377">
        <v>0</v>
      </c>
      <c r="W124" s="377">
        <v>0</v>
      </c>
      <c r="X124" s="377">
        <v>0</v>
      </c>
      <c r="Y124" s="377">
        <v>0</v>
      </c>
      <c r="Z124" s="377">
        <v>0</v>
      </c>
      <c r="AA124" s="377">
        <v>0</v>
      </c>
      <c r="AB124" s="377">
        <v>0</v>
      </c>
      <c r="AC124" s="247">
        <f t="shared" si="27"/>
        <v>0</v>
      </c>
      <c r="AD124" s="247">
        <f t="shared" si="28"/>
        <v>100</v>
      </c>
      <c r="AE124" s="82">
        <f t="shared" ref="AE124:AE130" si="48">AD124*0.05</f>
        <v>5</v>
      </c>
      <c r="AF124" s="377">
        <v>0</v>
      </c>
      <c r="AG124" s="377">
        <v>0</v>
      </c>
      <c r="AH124" s="247">
        <f t="shared" si="29"/>
        <v>0</v>
      </c>
      <c r="AI124" s="247">
        <f t="shared" si="30"/>
        <v>100</v>
      </c>
      <c r="AJ124" s="82">
        <f t="shared" si="31"/>
        <v>3</v>
      </c>
      <c r="AK124" s="367" t="s">
        <v>2902</v>
      </c>
      <c r="AL124" s="367" t="s">
        <v>2902</v>
      </c>
      <c r="AM124" s="367" t="s">
        <v>2902</v>
      </c>
      <c r="AN124" s="367" t="s">
        <v>2902</v>
      </c>
      <c r="AO124" s="367" t="s">
        <v>2902</v>
      </c>
      <c r="AP124" s="296" t="s">
        <v>2326</v>
      </c>
      <c r="AQ124" s="296" t="s">
        <v>2326</v>
      </c>
      <c r="AR124" s="297"/>
      <c r="AS124" s="367" t="s">
        <v>2902</v>
      </c>
      <c r="AT124" s="367" t="s">
        <v>2902</v>
      </c>
      <c r="AU124" s="296" t="s">
        <v>2326</v>
      </c>
      <c r="AV124" s="297"/>
      <c r="AW124" s="325">
        <v>1</v>
      </c>
      <c r="AX124" s="247">
        <f t="shared" si="32"/>
        <v>100</v>
      </c>
      <c r="AY124" s="90">
        <f t="shared" si="33"/>
        <v>4</v>
      </c>
      <c r="AZ124" s="378">
        <v>0</v>
      </c>
      <c r="BA124" s="449" t="s">
        <v>3782</v>
      </c>
      <c r="BB124" s="247">
        <f t="shared" si="34"/>
        <v>100</v>
      </c>
      <c r="BC124" s="91">
        <f t="shared" si="35"/>
        <v>2</v>
      </c>
      <c r="BD124" s="325">
        <v>0</v>
      </c>
      <c r="BE124" s="325">
        <v>0</v>
      </c>
      <c r="BF124" s="325">
        <v>0</v>
      </c>
      <c r="BG124" s="252">
        <f t="shared" si="36"/>
        <v>0</v>
      </c>
      <c r="BH124" s="246">
        <f t="shared" si="37"/>
        <v>100</v>
      </c>
      <c r="BI124" s="90">
        <f t="shared" si="38"/>
        <v>1</v>
      </c>
      <c r="BJ124" s="325">
        <v>0</v>
      </c>
      <c r="BK124" s="247">
        <f t="shared" si="39"/>
        <v>100</v>
      </c>
      <c r="BL124" s="94">
        <f t="shared" si="40"/>
        <v>2</v>
      </c>
      <c r="BM124" s="325">
        <v>0</v>
      </c>
      <c r="BN124" s="325">
        <v>0</v>
      </c>
      <c r="BO124" s="325">
        <v>0</v>
      </c>
      <c r="BP124" s="211">
        <f t="shared" si="41"/>
        <v>0</v>
      </c>
      <c r="BQ124" s="253">
        <f t="shared" si="42"/>
        <v>25</v>
      </c>
      <c r="BR124" s="99">
        <f t="shared" si="43"/>
        <v>0.25</v>
      </c>
      <c r="BS124" s="101">
        <f t="shared" si="44"/>
        <v>19.25</v>
      </c>
    </row>
    <row r="125" spans="1:71" x14ac:dyDescent="0.6">
      <c r="A125" s="373" t="s">
        <v>1661</v>
      </c>
      <c r="B125" s="13" t="s">
        <v>3026</v>
      </c>
      <c r="C125" s="380" t="s">
        <v>933</v>
      </c>
      <c r="D125" s="351" t="s">
        <v>203</v>
      </c>
      <c r="E125" s="352" t="s">
        <v>180</v>
      </c>
      <c r="F125" s="352" t="s">
        <v>87</v>
      </c>
      <c r="G125" s="353">
        <v>42877</v>
      </c>
      <c r="H125" s="352" t="s">
        <v>830</v>
      </c>
      <c r="I125" s="352" t="s">
        <v>921</v>
      </c>
      <c r="J125" s="352" t="s">
        <v>1161</v>
      </c>
      <c r="K125" s="352" t="s">
        <v>320</v>
      </c>
      <c r="L125" s="381">
        <v>448351412</v>
      </c>
      <c r="M125" s="376">
        <v>63280350</v>
      </c>
      <c r="N125" s="376">
        <v>385071063</v>
      </c>
      <c r="O125" s="376">
        <v>611355371</v>
      </c>
      <c r="P125" s="376">
        <v>85525773</v>
      </c>
      <c r="Q125" s="376">
        <v>90825472</v>
      </c>
      <c r="R125" s="376">
        <v>70423830</v>
      </c>
      <c r="S125" s="325">
        <v>0</v>
      </c>
      <c r="T125" s="246">
        <f t="shared" si="25"/>
        <v>100</v>
      </c>
      <c r="U125" s="77">
        <f t="shared" si="26"/>
        <v>2</v>
      </c>
      <c r="V125" s="377">
        <v>0</v>
      </c>
      <c r="W125" s="377">
        <v>0</v>
      </c>
      <c r="X125" s="377">
        <v>0</v>
      </c>
      <c r="Y125" s="377">
        <v>0</v>
      </c>
      <c r="Z125" s="377">
        <v>0</v>
      </c>
      <c r="AA125" s="377">
        <v>0</v>
      </c>
      <c r="AB125" s="377">
        <v>0</v>
      </c>
      <c r="AC125" s="247">
        <f t="shared" si="27"/>
        <v>0</v>
      </c>
      <c r="AD125" s="247">
        <f t="shared" si="28"/>
        <v>100</v>
      </c>
      <c r="AE125" s="82">
        <f t="shared" si="48"/>
        <v>5</v>
      </c>
      <c r="AF125" s="377">
        <v>0</v>
      </c>
      <c r="AG125" s="377">
        <v>0</v>
      </c>
      <c r="AH125" s="247">
        <f t="shared" si="29"/>
        <v>0</v>
      </c>
      <c r="AI125" s="247">
        <f t="shared" si="30"/>
        <v>100</v>
      </c>
      <c r="AJ125" s="82">
        <f t="shared" si="31"/>
        <v>3</v>
      </c>
      <c r="AK125" s="367" t="s">
        <v>2902</v>
      </c>
      <c r="AL125" s="367" t="s">
        <v>2902</v>
      </c>
      <c r="AM125" s="367" t="s">
        <v>2902</v>
      </c>
      <c r="AN125" s="367" t="s">
        <v>2902</v>
      </c>
      <c r="AO125" s="367" t="s">
        <v>2902</v>
      </c>
      <c r="AP125" s="296" t="s">
        <v>2326</v>
      </c>
      <c r="AQ125" s="296" t="s">
        <v>2326</v>
      </c>
      <c r="AR125" s="297"/>
      <c r="AS125" s="367" t="s">
        <v>2902</v>
      </c>
      <c r="AT125" s="367" t="s">
        <v>2902</v>
      </c>
      <c r="AU125" s="296" t="s">
        <v>2326</v>
      </c>
      <c r="AV125" s="297"/>
      <c r="AW125" s="325">
        <v>1</v>
      </c>
      <c r="AX125" s="247">
        <f t="shared" si="32"/>
        <v>100</v>
      </c>
      <c r="AY125" s="90">
        <f t="shared" si="33"/>
        <v>4</v>
      </c>
      <c r="AZ125" s="378">
        <v>0</v>
      </c>
      <c r="BA125" s="449" t="s">
        <v>3782</v>
      </c>
      <c r="BB125" s="247">
        <f t="shared" si="34"/>
        <v>100</v>
      </c>
      <c r="BC125" s="91">
        <f t="shared" si="35"/>
        <v>2</v>
      </c>
      <c r="BD125" s="325">
        <v>0</v>
      </c>
      <c r="BE125" s="325">
        <v>0</v>
      </c>
      <c r="BF125" s="325">
        <v>0</v>
      </c>
      <c r="BG125" s="252">
        <f t="shared" si="36"/>
        <v>0</v>
      </c>
      <c r="BH125" s="246">
        <f t="shared" si="37"/>
        <v>100</v>
      </c>
      <c r="BI125" s="90">
        <f t="shared" si="38"/>
        <v>1</v>
      </c>
      <c r="BJ125" s="325">
        <v>0</v>
      </c>
      <c r="BK125" s="247">
        <f t="shared" si="39"/>
        <v>100</v>
      </c>
      <c r="BL125" s="94">
        <f t="shared" si="40"/>
        <v>2</v>
      </c>
      <c r="BM125" s="325">
        <v>0</v>
      </c>
      <c r="BN125" s="325">
        <v>0</v>
      </c>
      <c r="BO125" s="325">
        <v>0</v>
      </c>
      <c r="BP125" s="211">
        <f t="shared" si="41"/>
        <v>0</v>
      </c>
      <c r="BQ125" s="253">
        <f t="shared" si="42"/>
        <v>25</v>
      </c>
      <c r="BR125" s="99">
        <f t="shared" si="43"/>
        <v>0.25</v>
      </c>
      <c r="BS125" s="101">
        <f t="shared" si="44"/>
        <v>19.25</v>
      </c>
    </row>
    <row r="126" spans="1:71" x14ac:dyDescent="0.6">
      <c r="A126" s="373" t="s">
        <v>878</v>
      </c>
      <c r="B126" s="13" t="s">
        <v>3027</v>
      </c>
      <c r="C126" s="380" t="s">
        <v>437</v>
      </c>
      <c r="D126" s="351" t="s">
        <v>203</v>
      </c>
      <c r="E126" s="352" t="s">
        <v>188</v>
      </c>
      <c r="F126" s="352" t="s">
        <v>376</v>
      </c>
      <c r="G126" s="353">
        <v>40589</v>
      </c>
      <c r="H126" s="352" t="s">
        <v>830</v>
      </c>
      <c r="I126" s="352" t="s">
        <v>1662</v>
      </c>
      <c r="J126" s="352" t="s">
        <v>672</v>
      </c>
      <c r="K126" s="352" t="s">
        <v>407</v>
      </c>
      <c r="L126" s="381">
        <v>147864036</v>
      </c>
      <c r="M126" s="376">
        <v>15155439</v>
      </c>
      <c r="N126" s="376">
        <v>132708596</v>
      </c>
      <c r="O126" s="376">
        <v>235165568</v>
      </c>
      <c r="P126" s="376">
        <v>18983200</v>
      </c>
      <c r="Q126" s="376">
        <v>20938723</v>
      </c>
      <c r="R126" s="376">
        <v>16260515</v>
      </c>
      <c r="S126" s="325">
        <v>0</v>
      </c>
      <c r="T126" s="246">
        <f t="shared" si="25"/>
        <v>100</v>
      </c>
      <c r="U126" s="77">
        <f t="shared" si="26"/>
        <v>2</v>
      </c>
      <c r="V126" s="377">
        <v>0</v>
      </c>
      <c r="W126" s="377">
        <v>0</v>
      </c>
      <c r="X126" s="377">
        <v>0</v>
      </c>
      <c r="Y126" s="377">
        <v>0</v>
      </c>
      <c r="Z126" s="377">
        <v>0</v>
      </c>
      <c r="AA126" s="377">
        <v>0</v>
      </c>
      <c r="AB126" s="377">
        <v>0</v>
      </c>
      <c r="AC126" s="247">
        <f t="shared" si="27"/>
        <v>0</v>
      </c>
      <c r="AD126" s="247">
        <f t="shared" si="28"/>
        <v>100</v>
      </c>
      <c r="AE126" s="82">
        <f t="shared" si="48"/>
        <v>5</v>
      </c>
      <c r="AF126" s="377">
        <v>0</v>
      </c>
      <c r="AG126" s="377">
        <v>0</v>
      </c>
      <c r="AH126" s="247">
        <f t="shared" si="29"/>
        <v>0</v>
      </c>
      <c r="AI126" s="247">
        <f t="shared" si="30"/>
        <v>100</v>
      </c>
      <c r="AJ126" s="82">
        <f t="shared" si="31"/>
        <v>3</v>
      </c>
      <c r="AK126" s="367" t="s">
        <v>2902</v>
      </c>
      <c r="AL126" s="367" t="s">
        <v>2902</v>
      </c>
      <c r="AM126" s="367" t="s">
        <v>2902</v>
      </c>
      <c r="AN126" s="367" t="s">
        <v>2902</v>
      </c>
      <c r="AO126" s="367" t="s">
        <v>2902</v>
      </c>
      <c r="AP126" s="296" t="s">
        <v>2326</v>
      </c>
      <c r="AQ126" s="296" t="s">
        <v>2326</v>
      </c>
      <c r="AR126" s="297"/>
      <c r="AS126" s="367" t="s">
        <v>2902</v>
      </c>
      <c r="AT126" s="367" t="s">
        <v>2902</v>
      </c>
      <c r="AU126" s="296" t="s">
        <v>2326</v>
      </c>
      <c r="AV126" s="297"/>
      <c r="AW126" s="325">
        <v>1</v>
      </c>
      <c r="AX126" s="247">
        <f t="shared" si="32"/>
        <v>100</v>
      </c>
      <c r="AY126" s="90">
        <f t="shared" si="33"/>
        <v>4</v>
      </c>
      <c r="AZ126" s="378">
        <v>0</v>
      </c>
      <c r="BA126" s="449" t="s">
        <v>3782</v>
      </c>
      <c r="BB126" s="247">
        <f t="shared" si="34"/>
        <v>100</v>
      </c>
      <c r="BC126" s="91">
        <f t="shared" si="35"/>
        <v>2</v>
      </c>
      <c r="BD126" s="325">
        <v>0</v>
      </c>
      <c r="BE126" s="325">
        <v>0</v>
      </c>
      <c r="BF126" s="325">
        <v>0</v>
      </c>
      <c r="BG126" s="252">
        <f t="shared" si="36"/>
        <v>0</v>
      </c>
      <c r="BH126" s="246">
        <f t="shared" si="37"/>
        <v>100</v>
      </c>
      <c r="BI126" s="90">
        <f t="shared" si="38"/>
        <v>1</v>
      </c>
      <c r="BJ126" s="325">
        <v>0</v>
      </c>
      <c r="BK126" s="247">
        <f t="shared" si="39"/>
        <v>100</v>
      </c>
      <c r="BL126" s="94">
        <f t="shared" si="40"/>
        <v>2</v>
      </c>
      <c r="BM126" s="325">
        <v>0</v>
      </c>
      <c r="BN126" s="325">
        <v>0</v>
      </c>
      <c r="BO126" s="325">
        <v>0</v>
      </c>
      <c r="BP126" s="211">
        <f t="shared" si="41"/>
        <v>0</v>
      </c>
      <c r="BQ126" s="253">
        <f t="shared" si="42"/>
        <v>25</v>
      </c>
      <c r="BR126" s="99">
        <f t="shared" si="43"/>
        <v>0.25</v>
      </c>
      <c r="BS126" s="101">
        <f t="shared" si="44"/>
        <v>19.25</v>
      </c>
    </row>
    <row r="127" spans="1:71" x14ac:dyDescent="0.6">
      <c r="A127" s="373" t="s">
        <v>938</v>
      </c>
      <c r="B127" s="1" t="s">
        <v>3028</v>
      </c>
      <c r="C127" s="380" t="s">
        <v>52</v>
      </c>
      <c r="D127" s="351" t="s">
        <v>203</v>
      </c>
      <c r="E127" s="352" t="s">
        <v>187</v>
      </c>
      <c r="F127" s="352" t="s">
        <v>1170</v>
      </c>
      <c r="G127" s="353">
        <v>32778</v>
      </c>
      <c r="H127" s="352" t="s">
        <v>830</v>
      </c>
      <c r="I127" s="352" t="s">
        <v>708</v>
      </c>
      <c r="J127" s="352" t="s">
        <v>1173</v>
      </c>
      <c r="K127" s="352" t="s">
        <v>484</v>
      </c>
      <c r="L127" s="381">
        <v>342398880</v>
      </c>
      <c r="M127" s="376">
        <v>36181307</v>
      </c>
      <c r="N127" s="376">
        <v>306217573</v>
      </c>
      <c r="O127" s="376">
        <v>418789690</v>
      </c>
      <c r="P127" s="376">
        <v>44057917</v>
      </c>
      <c r="Q127" s="376">
        <v>28817308</v>
      </c>
      <c r="R127" s="376">
        <v>20885280</v>
      </c>
      <c r="S127" s="325">
        <v>0</v>
      </c>
      <c r="T127" s="246">
        <f t="shared" si="25"/>
        <v>100</v>
      </c>
      <c r="U127" s="77">
        <f t="shared" si="26"/>
        <v>2</v>
      </c>
      <c r="V127" s="377">
        <v>0</v>
      </c>
      <c r="W127" s="377">
        <v>0</v>
      </c>
      <c r="X127" s="377">
        <v>0</v>
      </c>
      <c r="Y127" s="377">
        <v>0</v>
      </c>
      <c r="Z127" s="377">
        <v>0</v>
      </c>
      <c r="AA127" s="377">
        <v>0</v>
      </c>
      <c r="AB127" s="377">
        <v>0</v>
      </c>
      <c r="AC127" s="247">
        <f t="shared" si="27"/>
        <v>0</v>
      </c>
      <c r="AD127" s="247">
        <f t="shared" si="28"/>
        <v>100</v>
      </c>
      <c r="AE127" s="82">
        <f t="shared" si="48"/>
        <v>5</v>
      </c>
      <c r="AF127" s="377">
        <v>0</v>
      </c>
      <c r="AG127" s="377">
        <v>0</v>
      </c>
      <c r="AH127" s="247">
        <f t="shared" si="29"/>
        <v>0</v>
      </c>
      <c r="AI127" s="247">
        <f t="shared" si="30"/>
        <v>100</v>
      </c>
      <c r="AJ127" s="82">
        <f t="shared" si="31"/>
        <v>3</v>
      </c>
      <c r="AK127" s="367" t="s">
        <v>2902</v>
      </c>
      <c r="AL127" s="367" t="s">
        <v>2902</v>
      </c>
      <c r="AM127" s="367" t="s">
        <v>2902</v>
      </c>
      <c r="AN127" s="367" t="s">
        <v>2902</v>
      </c>
      <c r="AO127" s="367" t="s">
        <v>2902</v>
      </c>
      <c r="AP127" s="296" t="s">
        <v>2326</v>
      </c>
      <c r="AQ127" s="296" t="s">
        <v>2326</v>
      </c>
      <c r="AR127" s="297"/>
      <c r="AS127" s="367" t="s">
        <v>2902</v>
      </c>
      <c r="AT127" s="367" t="s">
        <v>2902</v>
      </c>
      <c r="AU127" s="296" t="s">
        <v>2326</v>
      </c>
      <c r="AV127" s="297"/>
      <c r="AW127" s="325">
        <v>1</v>
      </c>
      <c r="AX127" s="247">
        <f t="shared" si="32"/>
        <v>100</v>
      </c>
      <c r="AY127" s="90">
        <f t="shared" si="33"/>
        <v>4</v>
      </c>
      <c r="AZ127" s="378">
        <v>0</v>
      </c>
      <c r="BA127" s="449" t="s">
        <v>3782</v>
      </c>
      <c r="BB127" s="247">
        <f t="shared" si="34"/>
        <v>100</v>
      </c>
      <c r="BC127" s="91">
        <f t="shared" si="35"/>
        <v>2</v>
      </c>
      <c r="BD127" s="325">
        <v>0</v>
      </c>
      <c r="BE127" s="325">
        <v>0</v>
      </c>
      <c r="BF127" s="325">
        <v>0</v>
      </c>
      <c r="BG127" s="252">
        <f t="shared" si="36"/>
        <v>0</v>
      </c>
      <c r="BH127" s="246">
        <f t="shared" si="37"/>
        <v>100</v>
      </c>
      <c r="BI127" s="90">
        <f t="shared" si="38"/>
        <v>1</v>
      </c>
      <c r="BJ127" s="325">
        <v>0</v>
      </c>
      <c r="BK127" s="247">
        <f t="shared" si="39"/>
        <v>100</v>
      </c>
      <c r="BL127" s="94">
        <f t="shared" si="40"/>
        <v>2</v>
      </c>
      <c r="BM127" s="325">
        <v>0</v>
      </c>
      <c r="BN127" s="325">
        <v>0</v>
      </c>
      <c r="BO127" s="325">
        <v>1</v>
      </c>
      <c r="BP127" s="211">
        <f t="shared" si="41"/>
        <v>1</v>
      </c>
      <c r="BQ127" s="253">
        <f t="shared" si="42"/>
        <v>50</v>
      </c>
      <c r="BR127" s="99">
        <f t="shared" si="43"/>
        <v>0.5</v>
      </c>
      <c r="BS127" s="101">
        <f t="shared" si="44"/>
        <v>19.5</v>
      </c>
    </row>
    <row r="128" spans="1:71" x14ac:dyDescent="0.6">
      <c r="A128" s="373" t="s">
        <v>743</v>
      </c>
      <c r="B128" s="1" t="s">
        <v>3029</v>
      </c>
      <c r="C128" s="380" t="s">
        <v>880</v>
      </c>
      <c r="D128" s="351" t="s">
        <v>191</v>
      </c>
      <c r="E128" s="352" t="s">
        <v>633</v>
      </c>
      <c r="F128" s="352" t="s">
        <v>1156</v>
      </c>
      <c r="G128" s="353">
        <v>32658</v>
      </c>
      <c r="H128" s="352" t="s">
        <v>712</v>
      </c>
      <c r="I128" s="352" t="s">
        <v>264</v>
      </c>
      <c r="J128" s="352" t="s">
        <v>1109</v>
      </c>
      <c r="K128" s="352" t="s">
        <v>91</v>
      </c>
      <c r="L128" s="381">
        <v>241989773</v>
      </c>
      <c r="M128" s="376">
        <v>40624252</v>
      </c>
      <c r="N128" s="376">
        <v>201365521</v>
      </c>
      <c r="O128" s="376">
        <v>93315362</v>
      </c>
      <c r="P128" s="376">
        <v>2071431</v>
      </c>
      <c r="Q128" s="376">
        <v>7052481</v>
      </c>
      <c r="R128" s="376">
        <v>5569068</v>
      </c>
      <c r="S128" s="325">
        <v>0</v>
      </c>
      <c r="T128" s="246">
        <f t="shared" si="25"/>
        <v>100</v>
      </c>
      <c r="U128" s="77">
        <f t="shared" si="26"/>
        <v>2</v>
      </c>
      <c r="V128" s="377">
        <v>0</v>
      </c>
      <c r="W128" s="377">
        <v>0</v>
      </c>
      <c r="X128" s="377">
        <v>0</v>
      </c>
      <c r="Y128" s="377">
        <v>0</v>
      </c>
      <c r="Z128" s="377">
        <v>0</v>
      </c>
      <c r="AA128" s="377">
        <v>0</v>
      </c>
      <c r="AB128" s="377">
        <v>0</v>
      </c>
      <c r="AC128" s="247">
        <f t="shared" si="27"/>
        <v>0</v>
      </c>
      <c r="AD128" s="247">
        <f t="shared" si="28"/>
        <v>100</v>
      </c>
      <c r="AE128" s="82">
        <f t="shared" si="48"/>
        <v>5</v>
      </c>
      <c r="AF128" s="377">
        <v>0</v>
      </c>
      <c r="AG128" s="377">
        <v>0</v>
      </c>
      <c r="AH128" s="247">
        <f t="shared" si="29"/>
        <v>0</v>
      </c>
      <c r="AI128" s="247">
        <f t="shared" si="30"/>
        <v>100</v>
      </c>
      <c r="AJ128" s="82">
        <f t="shared" si="31"/>
        <v>3</v>
      </c>
      <c r="AK128" s="367" t="s">
        <v>2902</v>
      </c>
      <c r="AL128" s="367" t="s">
        <v>2902</v>
      </c>
      <c r="AM128" s="367" t="s">
        <v>2902</v>
      </c>
      <c r="AN128" s="367" t="s">
        <v>2902</v>
      </c>
      <c r="AO128" s="367" t="s">
        <v>2902</v>
      </c>
      <c r="AP128" s="296" t="s">
        <v>2326</v>
      </c>
      <c r="AQ128" s="296" t="s">
        <v>2326</v>
      </c>
      <c r="AR128" s="297"/>
      <c r="AS128" s="367" t="s">
        <v>2902</v>
      </c>
      <c r="AT128" s="367" t="s">
        <v>2902</v>
      </c>
      <c r="AU128" s="296" t="s">
        <v>2326</v>
      </c>
      <c r="AV128" s="297"/>
      <c r="AW128" s="325">
        <v>1</v>
      </c>
      <c r="AX128" s="247">
        <f t="shared" si="32"/>
        <v>100</v>
      </c>
      <c r="AY128" s="90">
        <f t="shared" si="33"/>
        <v>4</v>
      </c>
      <c r="AZ128" s="378">
        <v>0</v>
      </c>
      <c r="BA128" s="449" t="s">
        <v>3782</v>
      </c>
      <c r="BB128" s="247">
        <f t="shared" si="34"/>
        <v>100</v>
      </c>
      <c r="BC128" s="91">
        <f t="shared" si="35"/>
        <v>2</v>
      </c>
      <c r="BD128" s="325">
        <v>0</v>
      </c>
      <c r="BE128" s="325">
        <v>0</v>
      </c>
      <c r="BF128" s="325">
        <v>1</v>
      </c>
      <c r="BG128" s="252">
        <f t="shared" si="36"/>
        <v>1</v>
      </c>
      <c r="BH128" s="246">
        <f t="shared" si="37"/>
        <v>75</v>
      </c>
      <c r="BI128" s="90">
        <f t="shared" si="38"/>
        <v>0.75</v>
      </c>
      <c r="BJ128" s="325">
        <v>0</v>
      </c>
      <c r="BK128" s="247">
        <f t="shared" si="39"/>
        <v>100</v>
      </c>
      <c r="BL128" s="94">
        <f t="shared" si="40"/>
        <v>2</v>
      </c>
      <c r="BM128" s="325">
        <v>0</v>
      </c>
      <c r="BN128" s="325">
        <v>0</v>
      </c>
      <c r="BO128" s="325">
        <v>0</v>
      </c>
      <c r="BP128" s="211">
        <f t="shared" si="41"/>
        <v>0</v>
      </c>
      <c r="BQ128" s="253">
        <f t="shared" si="42"/>
        <v>25</v>
      </c>
      <c r="BR128" s="99">
        <f t="shared" si="43"/>
        <v>0.25</v>
      </c>
      <c r="BS128" s="101">
        <f t="shared" si="44"/>
        <v>19</v>
      </c>
    </row>
    <row r="129" spans="1:71" x14ac:dyDescent="0.6">
      <c r="A129" s="373" t="s">
        <v>883</v>
      </c>
      <c r="B129" s="1" t="s">
        <v>3030</v>
      </c>
      <c r="C129" s="380" t="s">
        <v>937</v>
      </c>
      <c r="D129" s="351" t="s">
        <v>203</v>
      </c>
      <c r="E129" s="352" t="s">
        <v>180</v>
      </c>
      <c r="F129" s="352" t="s">
        <v>565</v>
      </c>
      <c r="G129" s="353">
        <v>27921</v>
      </c>
      <c r="H129" s="352" t="s">
        <v>830</v>
      </c>
      <c r="I129" s="352" t="s">
        <v>1663</v>
      </c>
      <c r="J129" s="352" t="s">
        <v>1051</v>
      </c>
      <c r="K129" s="352" t="s">
        <v>320</v>
      </c>
      <c r="L129" s="381">
        <v>404942084</v>
      </c>
      <c r="M129" s="376">
        <v>194159798</v>
      </c>
      <c r="N129" s="376">
        <v>210782285</v>
      </c>
      <c r="O129" s="376">
        <v>232326917</v>
      </c>
      <c r="P129" s="376">
        <v>28484556</v>
      </c>
      <c r="Q129" s="376">
        <v>25121503</v>
      </c>
      <c r="R129" s="376">
        <v>22437303</v>
      </c>
      <c r="S129" s="325">
        <v>0</v>
      </c>
      <c r="T129" s="246">
        <f t="shared" si="25"/>
        <v>100</v>
      </c>
      <c r="U129" s="77">
        <f t="shared" si="26"/>
        <v>2</v>
      </c>
      <c r="V129" s="377">
        <v>0</v>
      </c>
      <c r="W129" s="377">
        <v>0</v>
      </c>
      <c r="X129" s="377">
        <v>0</v>
      </c>
      <c r="Y129" s="377">
        <v>0</v>
      </c>
      <c r="Z129" s="377">
        <v>0</v>
      </c>
      <c r="AA129" s="377">
        <v>0</v>
      </c>
      <c r="AB129" s="377">
        <v>0</v>
      </c>
      <c r="AC129" s="247">
        <f t="shared" si="27"/>
        <v>0</v>
      </c>
      <c r="AD129" s="247">
        <f t="shared" si="28"/>
        <v>100</v>
      </c>
      <c r="AE129" s="82">
        <f t="shared" si="48"/>
        <v>5</v>
      </c>
      <c r="AF129" s="377">
        <v>0</v>
      </c>
      <c r="AG129" s="377">
        <v>0</v>
      </c>
      <c r="AH129" s="247">
        <f t="shared" si="29"/>
        <v>0</v>
      </c>
      <c r="AI129" s="247">
        <f t="shared" si="30"/>
        <v>100</v>
      </c>
      <c r="AJ129" s="82">
        <f t="shared" si="31"/>
        <v>3</v>
      </c>
      <c r="AK129" s="367" t="s">
        <v>2902</v>
      </c>
      <c r="AL129" s="367" t="s">
        <v>2902</v>
      </c>
      <c r="AM129" s="367" t="s">
        <v>2902</v>
      </c>
      <c r="AN129" s="367" t="s">
        <v>2902</v>
      </c>
      <c r="AO129" s="367" t="s">
        <v>2902</v>
      </c>
      <c r="AP129" s="296" t="s">
        <v>2326</v>
      </c>
      <c r="AQ129" s="296" t="s">
        <v>2326</v>
      </c>
      <c r="AR129" s="297"/>
      <c r="AS129" s="367" t="s">
        <v>2902</v>
      </c>
      <c r="AT129" s="367" t="s">
        <v>2902</v>
      </c>
      <c r="AU129" s="296" t="s">
        <v>2326</v>
      </c>
      <c r="AV129" s="297"/>
      <c r="AW129" s="325">
        <v>1</v>
      </c>
      <c r="AX129" s="247">
        <f t="shared" si="32"/>
        <v>100</v>
      </c>
      <c r="AY129" s="90">
        <f t="shared" si="33"/>
        <v>4</v>
      </c>
      <c r="AZ129" s="378">
        <v>0</v>
      </c>
      <c r="BA129" s="449" t="s">
        <v>3782</v>
      </c>
      <c r="BB129" s="247">
        <f t="shared" si="34"/>
        <v>100</v>
      </c>
      <c r="BC129" s="91">
        <f t="shared" si="35"/>
        <v>2</v>
      </c>
      <c r="BD129" s="325">
        <v>0</v>
      </c>
      <c r="BE129" s="325">
        <v>0</v>
      </c>
      <c r="BF129" s="325">
        <v>0</v>
      </c>
      <c r="BG129" s="252">
        <f t="shared" si="36"/>
        <v>0</v>
      </c>
      <c r="BH129" s="246">
        <f t="shared" si="37"/>
        <v>100</v>
      </c>
      <c r="BI129" s="90">
        <f t="shared" si="38"/>
        <v>1</v>
      </c>
      <c r="BJ129" s="325">
        <v>0</v>
      </c>
      <c r="BK129" s="247">
        <f t="shared" si="39"/>
        <v>100</v>
      </c>
      <c r="BL129" s="94">
        <f t="shared" si="40"/>
        <v>2</v>
      </c>
      <c r="BM129" s="325">
        <v>0</v>
      </c>
      <c r="BN129" s="325">
        <v>1</v>
      </c>
      <c r="BO129" s="325">
        <v>1</v>
      </c>
      <c r="BP129" s="211">
        <f t="shared" si="41"/>
        <v>2</v>
      </c>
      <c r="BQ129" s="253">
        <f t="shared" si="42"/>
        <v>75</v>
      </c>
      <c r="BR129" s="99">
        <f t="shared" si="43"/>
        <v>0.75</v>
      </c>
      <c r="BS129" s="101">
        <f t="shared" si="44"/>
        <v>19.75</v>
      </c>
    </row>
    <row r="130" spans="1:71" x14ac:dyDescent="0.6">
      <c r="A130" s="373" t="s">
        <v>689</v>
      </c>
      <c r="B130" s="1" t="s">
        <v>3031</v>
      </c>
      <c r="C130" s="380" t="s">
        <v>46</v>
      </c>
      <c r="D130" s="351" t="s">
        <v>203</v>
      </c>
      <c r="E130" s="352" t="s">
        <v>188</v>
      </c>
      <c r="F130" s="352" t="s">
        <v>119</v>
      </c>
      <c r="G130" s="353">
        <v>32842</v>
      </c>
      <c r="H130" s="352" t="s">
        <v>830</v>
      </c>
      <c r="I130" s="352" t="s">
        <v>717</v>
      </c>
      <c r="J130" s="352" t="s">
        <v>1088</v>
      </c>
      <c r="K130" s="352" t="s">
        <v>690</v>
      </c>
      <c r="L130" s="381">
        <v>60912252</v>
      </c>
      <c r="M130" s="376">
        <v>12528504</v>
      </c>
      <c r="N130" s="376">
        <v>48383747</v>
      </c>
      <c r="O130" s="376">
        <v>48434716</v>
      </c>
      <c r="P130" s="376">
        <v>3282892</v>
      </c>
      <c r="Q130" s="376">
        <v>3389050</v>
      </c>
      <c r="R130" s="376">
        <v>3069106</v>
      </c>
      <c r="S130" s="325">
        <v>0</v>
      </c>
      <c r="T130" s="246">
        <f t="shared" si="25"/>
        <v>100</v>
      </c>
      <c r="U130" s="77">
        <f t="shared" si="26"/>
        <v>2</v>
      </c>
      <c r="V130" s="377">
        <v>0</v>
      </c>
      <c r="W130" s="377">
        <v>0</v>
      </c>
      <c r="X130" s="377">
        <v>0</v>
      </c>
      <c r="Y130" s="377">
        <v>0</v>
      </c>
      <c r="Z130" s="377">
        <v>0</v>
      </c>
      <c r="AA130" s="377">
        <v>0</v>
      </c>
      <c r="AB130" s="377">
        <v>0</v>
      </c>
      <c r="AC130" s="247">
        <f t="shared" si="27"/>
        <v>0</v>
      </c>
      <c r="AD130" s="247">
        <f t="shared" si="28"/>
        <v>100</v>
      </c>
      <c r="AE130" s="82">
        <f t="shared" si="48"/>
        <v>5</v>
      </c>
      <c r="AF130" s="377">
        <v>0</v>
      </c>
      <c r="AG130" s="377">
        <v>0</v>
      </c>
      <c r="AH130" s="247">
        <f t="shared" si="29"/>
        <v>0</v>
      </c>
      <c r="AI130" s="247">
        <f t="shared" si="30"/>
        <v>100</v>
      </c>
      <c r="AJ130" s="82">
        <f t="shared" si="31"/>
        <v>3</v>
      </c>
      <c r="AK130" s="367" t="s">
        <v>2902</v>
      </c>
      <c r="AL130" s="367" t="s">
        <v>2902</v>
      </c>
      <c r="AM130" s="367" t="s">
        <v>2902</v>
      </c>
      <c r="AN130" s="367" t="s">
        <v>2902</v>
      </c>
      <c r="AO130" s="367" t="s">
        <v>2902</v>
      </c>
      <c r="AP130" s="296" t="s">
        <v>2326</v>
      </c>
      <c r="AQ130" s="296" t="s">
        <v>2326</v>
      </c>
      <c r="AR130" s="297"/>
      <c r="AS130" s="367" t="s">
        <v>2902</v>
      </c>
      <c r="AT130" s="367" t="s">
        <v>2902</v>
      </c>
      <c r="AU130" s="296" t="s">
        <v>2326</v>
      </c>
      <c r="AV130" s="297"/>
      <c r="AW130" s="325">
        <v>1</v>
      </c>
      <c r="AX130" s="247">
        <f t="shared" si="32"/>
        <v>100</v>
      </c>
      <c r="AY130" s="90">
        <f t="shared" si="33"/>
        <v>4</v>
      </c>
      <c r="AZ130" s="378">
        <v>0</v>
      </c>
      <c r="BA130" s="449" t="s">
        <v>3782</v>
      </c>
      <c r="BB130" s="247">
        <f t="shared" si="34"/>
        <v>100</v>
      </c>
      <c r="BC130" s="91">
        <f t="shared" si="35"/>
        <v>2</v>
      </c>
      <c r="BD130" s="325">
        <v>0</v>
      </c>
      <c r="BE130" s="325">
        <v>0</v>
      </c>
      <c r="BF130" s="325">
        <v>0</v>
      </c>
      <c r="BG130" s="252">
        <f t="shared" si="36"/>
        <v>0</v>
      </c>
      <c r="BH130" s="246">
        <f t="shared" si="37"/>
        <v>100</v>
      </c>
      <c r="BI130" s="90">
        <f t="shared" si="38"/>
        <v>1</v>
      </c>
      <c r="BJ130" s="325">
        <v>0</v>
      </c>
      <c r="BK130" s="247">
        <f t="shared" si="39"/>
        <v>100</v>
      </c>
      <c r="BL130" s="94">
        <f t="shared" si="40"/>
        <v>2</v>
      </c>
      <c r="BM130" s="325">
        <v>0</v>
      </c>
      <c r="BN130" s="325">
        <v>0</v>
      </c>
      <c r="BO130" s="325">
        <v>1</v>
      </c>
      <c r="BP130" s="211">
        <f t="shared" si="41"/>
        <v>1</v>
      </c>
      <c r="BQ130" s="253">
        <f t="shared" si="42"/>
        <v>50</v>
      </c>
      <c r="BR130" s="99">
        <f t="shared" si="43"/>
        <v>0.5</v>
      </c>
      <c r="BS130" s="101">
        <f t="shared" si="44"/>
        <v>19.5</v>
      </c>
    </row>
    <row r="131" spans="1:71" x14ac:dyDescent="0.6">
      <c r="A131" s="373" t="s">
        <v>1664</v>
      </c>
      <c r="B131" s="1" t="s">
        <v>3032</v>
      </c>
      <c r="C131" s="380" t="s">
        <v>79</v>
      </c>
      <c r="D131" s="354" t="s">
        <v>350</v>
      </c>
      <c r="E131" s="352" t="s">
        <v>179</v>
      </c>
      <c r="F131" s="352" t="s">
        <v>965</v>
      </c>
      <c r="G131" s="353">
        <v>32343</v>
      </c>
      <c r="H131" s="352" t="s">
        <v>830</v>
      </c>
      <c r="I131" s="352" t="s">
        <v>763</v>
      </c>
      <c r="J131" s="352" t="s">
        <v>1169</v>
      </c>
      <c r="K131" s="352" t="s">
        <v>91</v>
      </c>
      <c r="L131" s="381">
        <v>1427244316</v>
      </c>
      <c r="M131" s="376">
        <v>761201192</v>
      </c>
      <c r="N131" s="376">
        <v>666043124</v>
      </c>
      <c r="O131" s="376">
        <v>962455644</v>
      </c>
      <c r="P131" s="376">
        <v>61833345</v>
      </c>
      <c r="Q131" s="376">
        <v>63808418</v>
      </c>
      <c r="R131" s="376">
        <v>45756353</v>
      </c>
      <c r="S131" s="325">
        <v>0</v>
      </c>
      <c r="T131" s="246">
        <f t="shared" ref="T131:T194" si="49">IF(S131=1, 50, 100)</f>
        <v>100</v>
      </c>
      <c r="U131" s="77">
        <f t="shared" ref="U131:U194" si="50">T131*0.02</f>
        <v>2</v>
      </c>
      <c r="V131" s="377">
        <v>0</v>
      </c>
      <c r="W131" s="377">
        <v>0</v>
      </c>
      <c r="X131" s="377">
        <v>0</v>
      </c>
      <c r="Y131" s="377">
        <v>0</v>
      </c>
      <c r="Z131" s="377">
        <v>0</v>
      </c>
      <c r="AA131" s="377">
        <v>0</v>
      </c>
      <c r="AB131" s="377">
        <v>0</v>
      </c>
      <c r="AC131" s="247">
        <f t="shared" ref="AC131:AC194" si="51">SUM(V131:AB131)</f>
        <v>0</v>
      </c>
      <c r="AD131" s="247">
        <f t="shared" ref="AD131:AD194" si="52">IF(AC131=0, 100, IF(AC131=1, 75, IF(AC131=2, 50, 25)))</f>
        <v>100</v>
      </c>
      <c r="AE131" s="81">
        <f>AD131*0.02</f>
        <v>2</v>
      </c>
      <c r="AF131" s="360" t="s">
        <v>2902</v>
      </c>
      <c r="AG131" s="360" t="s">
        <v>2902</v>
      </c>
      <c r="AH131" s="248" t="s">
        <v>2326</v>
      </c>
      <c r="AI131" s="248" t="s">
        <v>2326</v>
      </c>
      <c r="AJ131" s="248"/>
      <c r="AK131" s="373">
        <v>0</v>
      </c>
      <c r="AL131" s="373">
        <v>0</v>
      </c>
      <c r="AM131" s="373">
        <v>0</v>
      </c>
      <c r="AN131" s="373">
        <v>1</v>
      </c>
      <c r="AO131" s="370" t="s">
        <v>3240</v>
      </c>
      <c r="AP131" s="249">
        <f>SUM(AK131:AN131)</f>
        <v>1</v>
      </c>
      <c r="AQ131" s="250">
        <f>IF(AP131=0, 100, IF(AP131=1, 75, IF(AP131=2, 50, 25)))</f>
        <v>75</v>
      </c>
      <c r="AR131" s="83">
        <f>AQ131*0.05</f>
        <v>3.75</v>
      </c>
      <c r="AS131" s="395">
        <v>0</v>
      </c>
      <c r="AT131" s="370" t="s">
        <v>3240</v>
      </c>
      <c r="AU131" s="251">
        <f>IF(AS131=0, 100, IF(AS131=1, 200/3, IF(AS131&gt;=2, 100/3)))</f>
        <v>100</v>
      </c>
      <c r="AV131" s="87">
        <f>AU131*0.01</f>
        <v>1</v>
      </c>
      <c r="AW131" s="325">
        <v>1</v>
      </c>
      <c r="AX131" s="247">
        <f t="shared" ref="AX131:AX194" si="53">IF(AW131=1, 100, 50)</f>
        <v>100</v>
      </c>
      <c r="AY131" s="90">
        <f t="shared" ref="AY131:AY194" si="54">AX131*0.04</f>
        <v>4</v>
      </c>
      <c r="AZ131" s="378">
        <v>0</v>
      </c>
      <c r="BA131" s="449" t="s">
        <v>3782</v>
      </c>
      <c r="BB131" s="247">
        <f t="shared" ref="BB131:BB194" si="55">IF(AZ131=0, 100, IF(AZ131=1, 200/3, IF(AZ131&gt;=2, 100/3)))</f>
        <v>100</v>
      </c>
      <c r="BC131" s="91">
        <f t="shared" ref="BC131:BC194" si="56">BB131*0.02</f>
        <v>2</v>
      </c>
      <c r="BD131" s="325">
        <v>0</v>
      </c>
      <c r="BE131" s="325">
        <v>0</v>
      </c>
      <c r="BF131" s="325">
        <v>1</v>
      </c>
      <c r="BG131" s="252">
        <f t="shared" ref="BG131:BG194" si="57">SUM(BD131:BF131)</f>
        <v>1</v>
      </c>
      <c r="BH131" s="246">
        <f t="shared" ref="BH131:BH194" si="58">IF(BG131=0, 100, IF(BG131=1, 75, IF(BG131=2, 50, 25)))</f>
        <v>75</v>
      </c>
      <c r="BI131" s="90">
        <f t="shared" ref="BI131:BI194" si="59">BH131*0.01</f>
        <v>0.75</v>
      </c>
      <c r="BJ131" s="325">
        <v>0</v>
      </c>
      <c r="BK131" s="247">
        <f t="shared" ref="BK131:BK194" si="60">IF(BJ131=0, 100, 50)</f>
        <v>100</v>
      </c>
      <c r="BL131" s="94">
        <f t="shared" ref="BL131:BL194" si="61">BK131*0.02</f>
        <v>2</v>
      </c>
      <c r="BM131" s="325">
        <v>0</v>
      </c>
      <c r="BN131" s="325">
        <v>0</v>
      </c>
      <c r="BO131" s="325">
        <v>0</v>
      </c>
      <c r="BP131" s="211">
        <f t="shared" ref="BP131:BP194" si="62">SUM(BM131:BO131)</f>
        <v>0</v>
      </c>
      <c r="BQ131" s="253">
        <f t="shared" ref="BQ131:BQ194" si="63">IF(BP131=0, 25, IF(BP131=1, 50, IF(BP131=2, 75, IF(BP131=3, 100))))</f>
        <v>25</v>
      </c>
      <c r="BR131" s="99">
        <f t="shared" ref="BR131:BR194" si="64">BQ131*0.01</f>
        <v>0.25</v>
      </c>
      <c r="BS131" s="101">
        <f t="shared" ref="BS131:BS194" si="65">SUM(U131,AE131,AJ131,AR131,AV131,AY131,BC131,BI131,BL131,BR131)</f>
        <v>17.75</v>
      </c>
    </row>
    <row r="132" spans="1:71" x14ac:dyDescent="0.6">
      <c r="A132" s="373" t="s">
        <v>1665</v>
      </c>
      <c r="B132" s="13" t="s">
        <v>3033</v>
      </c>
      <c r="C132" s="380" t="s">
        <v>62</v>
      </c>
      <c r="D132" s="351" t="s">
        <v>203</v>
      </c>
      <c r="E132" s="352" t="s">
        <v>195</v>
      </c>
      <c r="F132" s="352" t="s">
        <v>731</v>
      </c>
      <c r="G132" s="353">
        <v>39735</v>
      </c>
      <c r="H132" s="352" t="s">
        <v>830</v>
      </c>
      <c r="I132" s="352" t="s">
        <v>3</v>
      </c>
      <c r="J132" s="352" t="s">
        <v>1082</v>
      </c>
      <c r="K132" s="352" t="s">
        <v>487</v>
      </c>
      <c r="L132" s="381">
        <v>153622004</v>
      </c>
      <c r="M132" s="376">
        <v>27614064</v>
      </c>
      <c r="N132" s="376">
        <v>126007940</v>
      </c>
      <c r="O132" s="376">
        <v>209727336</v>
      </c>
      <c r="P132" s="376">
        <v>5922306</v>
      </c>
      <c r="Q132" s="376">
        <v>9227725</v>
      </c>
      <c r="R132" s="376">
        <v>7102656</v>
      </c>
      <c r="S132" s="325">
        <v>0</v>
      </c>
      <c r="T132" s="246">
        <f t="shared" si="49"/>
        <v>100</v>
      </c>
      <c r="U132" s="77">
        <f t="shared" si="50"/>
        <v>2</v>
      </c>
      <c r="V132" s="377">
        <v>0</v>
      </c>
      <c r="W132" s="377">
        <v>0</v>
      </c>
      <c r="X132" s="377">
        <v>0</v>
      </c>
      <c r="Y132" s="377">
        <v>0</v>
      </c>
      <c r="Z132" s="377">
        <v>0</v>
      </c>
      <c r="AA132" s="377">
        <v>0</v>
      </c>
      <c r="AB132" s="377">
        <v>0</v>
      </c>
      <c r="AC132" s="247">
        <f t="shared" si="51"/>
        <v>0</v>
      </c>
      <c r="AD132" s="247">
        <f t="shared" si="52"/>
        <v>100</v>
      </c>
      <c r="AE132" s="82">
        <f>AD132*0.05</f>
        <v>5</v>
      </c>
      <c r="AF132" s="377">
        <v>0</v>
      </c>
      <c r="AG132" s="377">
        <v>0</v>
      </c>
      <c r="AH132" s="247">
        <f t="shared" ref="AH132:AH194" si="66">SUM(AF132:AG132)</f>
        <v>0</v>
      </c>
      <c r="AI132" s="247">
        <f t="shared" ref="AI132:AI194" si="67">IF(AH132=0, 100, IF(AH132=1, 200/3, IF(AH132&gt;=2, 100/3)))</f>
        <v>100</v>
      </c>
      <c r="AJ132" s="82">
        <f t="shared" ref="AJ132:AJ194" si="68">AI132*0.03</f>
        <v>3</v>
      </c>
      <c r="AK132" s="367" t="s">
        <v>2902</v>
      </c>
      <c r="AL132" s="367" t="s">
        <v>2902</v>
      </c>
      <c r="AM132" s="367" t="s">
        <v>2902</v>
      </c>
      <c r="AN132" s="367" t="s">
        <v>2902</v>
      </c>
      <c r="AO132" s="367" t="s">
        <v>2902</v>
      </c>
      <c r="AP132" s="296" t="s">
        <v>2326</v>
      </c>
      <c r="AQ132" s="296" t="s">
        <v>2326</v>
      </c>
      <c r="AR132" s="297"/>
      <c r="AS132" s="367" t="s">
        <v>2902</v>
      </c>
      <c r="AT132" s="367" t="s">
        <v>2902</v>
      </c>
      <c r="AU132" s="296" t="s">
        <v>2326</v>
      </c>
      <c r="AV132" s="297"/>
      <c r="AW132" s="325">
        <v>1</v>
      </c>
      <c r="AX132" s="247">
        <f t="shared" si="53"/>
        <v>100</v>
      </c>
      <c r="AY132" s="90">
        <f t="shared" si="54"/>
        <v>4</v>
      </c>
      <c r="AZ132" s="378">
        <v>0</v>
      </c>
      <c r="BA132" s="449" t="s">
        <v>3782</v>
      </c>
      <c r="BB132" s="247">
        <f t="shared" si="55"/>
        <v>100</v>
      </c>
      <c r="BC132" s="91">
        <f t="shared" si="56"/>
        <v>2</v>
      </c>
      <c r="BD132" s="325">
        <v>0</v>
      </c>
      <c r="BE132" s="325">
        <v>0</v>
      </c>
      <c r="BF132" s="325">
        <v>0</v>
      </c>
      <c r="BG132" s="252">
        <f t="shared" si="57"/>
        <v>0</v>
      </c>
      <c r="BH132" s="246">
        <f t="shared" si="58"/>
        <v>100</v>
      </c>
      <c r="BI132" s="90">
        <f t="shared" si="59"/>
        <v>1</v>
      </c>
      <c r="BJ132" s="325">
        <v>0</v>
      </c>
      <c r="BK132" s="247">
        <f t="shared" si="60"/>
        <v>100</v>
      </c>
      <c r="BL132" s="94">
        <f t="shared" si="61"/>
        <v>2</v>
      </c>
      <c r="BM132" s="325">
        <v>0</v>
      </c>
      <c r="BN132" s="325">
        <v>0</v>
      </c>
      <c r="BO132" s="325">
        <v>1</v>
      </c>
      <c r="BP132" s="211">
        <f t="shared" si="62"/>
        <v>1</v>
      </c>
      <c r="BQ132" s="253">
        <f t="shared" si="63"/>
        <v>50</v>
      </c>
      <c r="BR132" s="99">
        <f t="shared" si="64"/>
        <v>0.5</v>
      </c>
      <c r="BS132" s="101">
        <f t="shared" si="65"/>
        <v>19.5</v>
      </c>
    </row>
    <row r="133" spans="1:71" x14ac:dyDescent="0.6">
      <c r="A133" s="373" t="s">
        <v>1666</v>
      </c>
      <c r="B133" s="13" t="s">
        <v>3034</v>
      </c>
      <c r="C133" s="380" t="s">
        <v>1667</v>
      </c>
      <c r="D133" s="315" t="s">
        <v>191</v>
      </c>
      <c r="E133" s="352" t="s">
        <v>952</v>
      </c>
      <c r="F133" s="352" t="s">
        <v>1668</v>
      </c>
      <c r="G133" s="353">
        <v>41089</v>
      </c>
      <c r="H133" s="352" t="s">
        <v>830</v>
      </c>
      <c r="I133" s="352" t="s">
        <v>1669</v>
      </c>
      <c r="J133" s="352" t="s">
        <v>1670</v>
      </c>
      <c r="K133" s="352" t="s">
        <v>91</v>
      </c>
      <c r="L133" s="381">
        <v>350700455</v>
      </c>
      <c r="M133" s="376">
        <v>111544269</v>
      </c>
      <c r="N133" s="376">
        <v>239156186</v>
      </c>
      <c r="O133" s="376">
        <v>201116170</v>
      </c>
      <c r="P133" s="376">
        <v>13584493</v>
      </c>
      <c r="Q133" s="376">
        <v>10414124</v>
      </c>
      <c r="R133" s="376">
        <v>8295233</v>
      </c>
      <c r="S133" s="325">
        <v>0</v>
      </c>
      <c r="T133" s="246">
        <f t="shared" si="49"/>
        <v>100</v>
      </c>
      <c r="U133" s="77">
        <f t="shared" si="50"/>
        <v>2</v>
      </c>
      <c r="V133" s="377">
        <v>0</v>
      </c>
      <c r="W133" s="377">
        <v>0</v>
      </c>
      <c r="X133" s="377">
        <v>0</v>
      </c>
      <c r="Y133" s="377">
        <v>0</v>
      </c>
      <c r="Z133" s="377">
        <v>0</v>
      </c>
      <c r="AA133" s="377">
        <v>0</v>
      </c>
      <c r="AB133" s="377">
        <v>0</v>
      </c>
      <c r="AC133" s="247">
        <f t="shared" si="51"/>
        <v>0</v>
      </c>
      <c r="AD133" s="247">
        <f t="shared" si="52"/>
        <v>100</v>
      </c>
      <c r="AE133" s="82">
        <f>AD133*0.05</f>
        <v>5</v>
      </c>
      <c r="AF133" s="377">
        <v>0</v>
      </c>
      <c r="AG133" s="377">
        <v>0</v>
      </c>
      <c r="AH133" s="247">
        <f t="shared" si="66"/>
        <v>0</v>
      </c>
      <c r="AI133" s="247">
        <f t="shared" si="67"/>
        <v>100</v>
      </c>
      <c r="AJ133" s="82">
        <f t="shared" si="68"/>
        <v>3</v>
      </c>
      <c r="AK133" s="367" t="s">
        <v>2902</v>
      </c>
      <c r="AL133" s="367" t="s">
        <v>2902</v>
      </c>
      <c r="AM133" s="367" t="s">
        <v>2902</v>
      </c>
      <c r="AN133" s="367" t="s">
        <v>2902</v>
      </c>
      <c r="AO133" s="367" t="s">
        <v>2902</v>
      </c>
      <c r="AP133" s="296" t="s">
        <v>2326</v>
      </c>
      <c r="AQ133" s="296" t="s">
        <v>2326</v>
      </c>
      <c r="AR133" s="297"/>
      <c r="AS133" s="367" t="s">
        <v>2902</v>
      </c>
      <c r="AT133" s="367" t="s">
        <v>2902</v>
      </c>
      <c r="AU133" s="296" t="s">
        <v>2326</v>
      </c>
      <c r="AV133" s="297"/>
      <c r="AW133" s="325">
        <v>1</v>
      </c>
      <c r="AX133" s="247">
        <f t="shared" si="53"/>
        <v>100</v>
      </c>
      <c r="AY133" s="90">
        <f t="shared" si="54"/>
        <v>4</v>
      </c>
      <c r="AZ133" s="378">
        <v>0</v>
      </c>
      <c r="BA133" s="449" t="s">
        <v>3782</v>
      </c>
      <c r="BB133" s="247">
        <f t="shared" si="55"/>
        <v>100</v>
      </c>
      <c r="BC133" s="91">
        <f t="shared" si="56"/>
        <v>2</v>
      </c>
      <c r="BD133" s="325">
        <v>0</v>
      </c>
      <c r="BE133" s="325">
        <v>0</v>
      </c>
      <c r="BF133" s="325">
        <v>0</v>
      </c>
      <c r="BG133" s="252">
        <f t="shared" si="57"/>
        <v>0</v>
      </c>
      <c r="BH133" s="246">
        <f t="shared" si="58"/>
        <v>100</v>
      </c>
      <c r="BI133" s="90">
        <f t="shared" si="59"/>
        <v>1</v>
      </c>
      <c r="BJ133" s="325">
        <v>0</v>
      </c>
      <c r="BK133" s="247">
        <f t="shared" si="60"/>
        <v>100</v>
      </c>
      <c r="BL133" s="94">
        <f t="shared" si="61"/>
        <v>2</v>
      </c>
      <c r="BM133" s="325">
        <v>0</v>
      </c>
      <c r="BN133" s="325">
        <v>0</v>
      </c>
      <c r="BO133" s="325">
        <v>1</v>
      </c>
      <c r="BP133" s="211">
        <f t="shared" si="62"/>
        <v>1</v>
      </c>
      <c r="BQ133" s="253">
        <f t="shared" si="63"/>
        <v>50</v>
      </c>
      <c r="BR133" s="99">
        <f t="shared" si="64"/>
        <v>0.5</v>
      </c>
      <c r="BS133" s="101">
        <f t="shared" si="65"/>
        <v>19.5</v>
      </c>
    </row>
    <row r="134" spans="1:71" x14ac:dyDescent="0.6">
      <c r="A134" s="373" t="s">
        <v>73</v>
      </c>
      <c r="B134" s="1" t="s">
        <v>3035</v>
      </c>
      <c r="C134" s="380" t="s">
        <v>65</v>
      </c>
      <c r="D134" s="351" t="s">
        <v>191</v>
      </c>
      <c r="E134" s="352" t="s">
        <v>952</v>
      </c>
      <c r="F134" s="352" t="s">
        <v>166</v>
      </c>
      <c r="G134" s="353">
        <v>31770</v>
      </c>
      <c r="H134" s="352" t="s">
        <v>830</v>
      </c>
      <c r="I134" s="352" t="s">
        <v>1671</v>
      </c>
      <c r="J134" s="352" t="s">
        <v>1115</v>
      </c>
      <c r="K134" s="352" t="s">
        <v>91</v>
      </c>
      <c r="L134" s="381">
        <v>343207955</v>
      </c>
      <c r="M134" s="376">
        <v>137261542</v>
      </c>
      <c r="N134" s="376">
        <v>205946413</v>
      </c>
      <c r="O134" s="376">
        <v>369125207</v>
      </c>
      <c r="P134" s="376">
        <v>10201023</v>
      </c>
      <c r="Q134" s="376">
        <v>10693290</v>
      </c>
      <c r="R134" s="376">
        <v>8526794</v>
      </c>
      <c r="S134" s="325">
        <v>0</v>
      </c>
      <c r="T134" s="246">
        <f t="shared" si="49"/>
        <v>100</v>
      </c>
      <c r="U134" s="77">
        <f t="shared" si="50"/>
        <v>2</v>
      </c>
      <c r="V134" s="377">
        <v>0</v>
      </c>
      <c r="W134" s="377">
        <v>0</v>
      </c>
      <c r="X134" s="377">
        <v>0</v>
      </c>
      <c r="Y134" s="377">
        <v>0</v>
      </c>
      <c r="Z134" s="377">
        <v>0</v>
      </c>
      <c r="AA134" s="377">
        <v>0</v>
      </c>
      <c r="AB134" s="377">
        <v>0</v>
      </c>
      <c r="AC134" s="247">
        <f t="shared" si="51"/>
        <v>0</v>
      </c>
      <c r="AD134" s="247">
        <f t="shared" si="52"/>
        <v>100</v>
      </c>
      <c r="AE134" s="82">
        <f>AD134*0.05</f>
        <v>5</v>
      </c>
      <c r="AF134" s="377">
        <v>0</v>
      </c>
      <c r="AG134" s="377">
        <v>0</v>
      </c>
      <c r="AH134" s="247">
        <f t="shared" si="66"/>
        <v>0</v>
      </c>
      <c r="AI134" s="247">
        <f t="shared" si="67"/>
        <v>100</v>
      </c>
      <c r="AJ134" s="82">
        <f t="shared" si="68"/>
        <v>3</v>
      </c>
      <c r="AK134" s="367" t="s">
        <v>2902</v>
      </c>
      <c r="AL134" s="367" t="s">
        <v>2902</v>
      </c>
      <c r="AM134" s="367" t="s">
        <v>2902</v>
      </c>
      <c r="AN134" s="367" t="s">
        <v>2902</v>
      </c>
      <c r="AO134" s="367" t="s">
        <v>2902</v>
      </c>
      <c r="AP134" s="296" t="s">
        <v>2326</v>
      </c>
      <c r="AQ134" s="296" t="s">
        <v>2326</v>
      </c>
      <c r="AR134" s="297"/>
      <c r="AS134" s="367" t="s">
        <v>2902</v>
      </c>
      <c r="AT134" s="367" t="s">
        <v>2902</v>
      </c>
      <c r="AU134" s="296" t="s">
        <v>2326</v>
      </c>
      <c r="AV134" s="297"/>
      <c r="AW134" s="325">
        <v>1</v>
      </c>
      <c r="AX134" s="247">
        <f t="shared" si="53"/>
        <v>100</v>
      </c>
      <c r="AY134" s="90">
        <f t="shared" si="54"/>
        <v>4</v>
      </c>
      <c r="AZ134" s="378">
        <v>0</v>
      </c>
      <c r="BA134" s="449" t="s">
        <v>3782</v>
      </c>
      <c r="BB134" s="247">
        <f t="shared" si="55"/>
        <v>100</v>
      </c>
      <c r="BC134" s="91">
        <f t="shared" si="56"/>
        <v>2</v>
      </c>
      <c r="BD134" s="325">
        <v>0</v>
      </c>
      <c r="BE134" s="325">
        <v>0</v>
      </c>
      <c r="BF134" s="325">
        <v>0</v>
      </c>
      <c r="BG134" s="252">
        <f t="shared" si="57"/>
        <v>0</v>
      </c>
      <c r="BH134" s="246">
        <f t="shared" si="58"/>
        <v>100</v>
      </c>
      <c r="BI134" s="90">
        <f t="shared" si="59"/>
        <v>1</v>
      </c>
      <c r="BJ134" s="325">
        <v>0</v>
      </c>
      <c r="BK134" s="247">
        <f t="shared" si="60"/>
        <v>100</v>
      </c>
      <c r="BL134" s="94">
        <f t="shared" si="61"/>
        <v>2</v>
      </c>
      <c r="BM134" s="325">
        <v>0</v>
      </c>
      <c r="BN134" s="325">
        <v>0</v>
      </c>
      <c r="BO134" s="325">
        <v>1</v>
      </c>
      <c r="BP134" s="211">
        <f t="shared" si="62"/>
        <v>1</v>
      </c>
      <c r="BQ134" s="253">
        <f t="shared" si="63"/>
        <v>50</v>
      </c>
      <c r="BR134" s="99">
        <f t="shared" si="64"/>
        <v>0.5</v>
      </c>
      <c r="BS134" s="101">
        <f t="shared" si="65"/>
        <v>19.5</v>
      </c>
    </row>
    <row r="135" spans="1:71" x14ac:dyDescent="0.6">
      <c r="A135" s="373" t="s">
        <v>1672</v>
      </c>
      <c r="B135" s="1" t="s">
        <v>3036</v>
      </c>
      <c r="C135" s="380" t="s">
        <v>1673</v>
      </c>
      <c r="D135" s="315" t="s">
        <v>203</v>
      </c>
      <c r="E135" s="356" t="s">
        <v>617</v>
      </c>
      <c r="F135" s="356" t="s">
        <v>1674</v>
      </c>
      <c r="G135" s="357">
        <v>28913</v>
      </c>
      <c r="H135" s="356" t="s">
        <v>830</v>
      </c>
      <c r="I135" s="356" t="s">
        <v>1675</v>
      </c>
      <c r="J135" s="356" t="s">
        <v>1676</v>
      </c>
      <c r="K135" s="356" t="s">
        <v>690</v>
      </c>
      <c r="L135" s="383">
        <v>18848886743</v>
      </c>
      <c r="M135" s="384">
        <v>6192868704</v>
      </c>
      <c r="N135" s="384">
        <v>12656018039</v>
      </c>
      <c r="O135" s="384">
        <v>17458293610</v>
      </c>
      <c r="P135" s="384">
        <v>1010874359</v>
      </c>
      <c r="Q135" s="384">
        <v>1064689936</v>
      </c>
      <c r="R135" s="384">
        <v>865838207</v>
      </c>
      <c r="S135" s="325">
        <v>1</v>
      </c>
      <c r="T135" s="246">
        <f t="shared" si="49"/>
        <v>50</v>
      </c>
      <c r="U135" s="77">
        <f t="shared" si="50"/>
        <v>1</v>
      </c>
      <c r="V135" s="377">
        <v>0</v>
      </c>
      <c r="W135" s="377">
        <v>0</v>
      </c>
      <c r="X135" s="377">
        <v>0</v>
      </c>
      <c r="Y135" s="377">
        <v>0</v>
      </c>
      <c r="Z135" s="377">
        <v>0</v>
      </c>
      <c r="AA135" s="377">
        <v>0</v>
      </c>
      <c r="AB135" s="377">
        <v>0</v>
      </c>
      <c r="AC135" s="247">
        <f t="shared" si="51"/>
        <v>0</v>
      </c>
      <c r="AD135" s="247">
        <f t="shared" si="52"/>
        <v>100</v>
      </c>
      <c r="AE135" s="82">
        <f>AD135*0.05</f>
        <v>5</v>
      </c>
      <c r="AF135" s="377">
        <v>1</v>
      </c>
      <c r="AG135" s="377">
        <v>0</v>
      </c>
      <c r="AH135" s="247">
        <f t="shared" si="66"/>
        <v>1</v>
      </c>
      <c r="AI135" s="247">
        <f t="shared" si="67"/>
        <v>66.666666666666671</v>
      </c>
      <c r="AJ135" s="82">
        <f t="shared" si="68"/>
        <v>2</v>
      </c>
      <c r="AK135" s="367" t="s">
        <v>2902</v>
      </c>
      <c r="AL135" s="367" t="s">
        <v>2902</v>
      </c>
      <c r="AM135" s="367" t="s">
        <v>2902</v>
      </c>
      <c r="AN135" s="367" t="s">
        <v>2902</v>
      </c>
      <c r="AO135" s="367" t="s">
        <v>2902</v>
      </c>
      <c r="AP135" s="296" t="s">
        <v>2326</v>
      </c>
      <c r="AQ135" s="296" t="s">
        <v>2326</v>
      </c>
      <c r="AR135" s="297"/>
      <c r="AS135" s="367" t="s">
        <v>2902</v>
      </c>
      <c r="AT135" s="367" t="s">
        <v>2902</v>
      </c>
      <c r="AU135" s="296" t="s">
        <v>2326</v>
      </c>
      <c r="AV135" s="297"/>
      <c r="AW135" s="325">
        <v>0</v>
      </c>
      <c r="AX135" s="247">
        <f t="shared" si="53"/>
        <v>50</v>
      </c>
      <c r="AY135" s="90">
        <f t="shared" si="54"/>
        <v>2</v>
      </c>
      <c r="AZ135" s="378">
        <v>0</v>
      </c>
      <c r="BA135" s="449" t="s">
        <v>3782</v>
      </c>
      <c r="BB135" s="247">
        <f t="shared" si="55"/>
        <v>100</v>
      </c>
      <c r="BC135" s="91">
        <f t="shared" si="56"/>
        <v>2</v>
      </c>
      <c r="BD135" s="325">
        <v>0</v>
      </c>
      <c r="BE135" s="325">
        <v>0</v>
      </c>
      <c r="BF135" s="325">
        <v>1</v>
      </c>
      <c r="BG135" s="252">
        <f t="shared" si="57"/>
        <v>1</v>
      </c>
      <c r="BH135" s="246">
        <f t="shared" si="58"/>
        <v>75</v>
      </c>
      <c r="BI135" s="90">
        <f t="shared" si="59"/>
        <v>0.75</v>
      </c>
      <c r="BJ135" s="325">
        <v>0</v>
      </c>
      <c r="BK135" s="247">
        <f t="shared" si="60"/>
        <v>100</v>
      </c>
      <c r="BL135" s="94">
        <f t="shared" si="61"/>
        <v>2</v>
      </c>
      <c r="BM135" s="325">
        <v>0</v>
      </c>
      <c r="BN135" s="325">
        <v>0</v>
      </c>
      <c r="BO135" s="325">
        <v>1</v>
      </c>
      <c r="BP135" s="211">
        <f t="shared" si="62"/>
        <v>1</v>
      </c>
      <c r="BQ135" s="253">
        <f t="shared" si="63"/>
        <v>50</v>
      </c>
      <c r="BR135" s="99">
        <f t="shared" si="64"/>
        <v>0.5</v>
      </c>
      <c r="BS135" s="101">
        <f t="shared" si="65"/>
        <v>15.25</v>
      </c>
    </row>
    <row r="136" spans="1:71" x14ac:dyDescent="0.6">
      <c r="A136" s="373" t="s">
        <v>2549</v>
      </c>
      <c r="B136" s="1" t="s">
        <v>3037</v>
      </c>
      <c r="C136" s="385" t="s">
        <v>1677</v>
      </c>
      <c r="D136" s="313" t="s">
        <v>285</v>
      </c>
      <c r="E136" s="352" t="s">
        <v>171</v>
      </c>
      <c r="F136" s="352" t="s">
        <v>1678</v>
      </c>
      <c r="G136" s="353">
        <v>41991</v>
      </c>
      <c r="H136" s="352" t="s">
        <v>830</v>
      </c>
      <c r="I136" s="352" t="s">
        <v>1679</v>
      </c>
      <c r="J136" s="352" t="s">
        <v>1680</v>
      </c>
      <c r="K136" s="352" t="s">
        <v>91</v>
      </c>
      <c r="L136" s="386">
        <v>39636329822</v>
      </c>
      <c r="M136" s="386">
        <v>15712704458</v>
      </c>
      <c r="N136" s="386">
        <v>23923625364</v>
      </c>
      <c r="O136" s="386">
        <v>26406560657</v>
      </c>
      <c r="P136" s="386">
        <v>939411977</v>
      </c>
      <c r="Q136" s="386">
        <v>1886089047</v>
      </c>
      <c r="R136" s="386">
        <v>1461807709</v>
      </c>
      <c r="S136" s="325">
        <v>1</v>
      </c>
      <c r="T136" s="246">
        <f t="shared" si="49"/>
        <v>50</v>
      </c>
      <c r="U136" s="77">
        <f t="shared" si="50"/>
        <v>1</v>
      </c>
      <c r="V136" s="377">
        <v>0</v>
      </c>
      <c r="W136" s="377">
        <v>0</v>
      </c>
      <c r="X136" s="377">
        <v>0</v>
      </c>
      <c r="Y136" s="377">
        <v>0</v>
      </c>
      <c r="Z136" s="377">
        <v>0</v>
      </c>
      <c r="AA136" s="377">
        <v>0</v>
      </c>
      <c r="AB136" s="377">
        <v>0</v>
      </c>
      <c r="AC136" s="247">
        <f t="shared" si="51"/>
        <v>0</v>
      </c>
      <c r="AD136" s="247">
        <f t="shared" si="52"/>
        <v>100</v>
      </c>
      <c r="AE136" s="82">
        <f>AD136*0.05</f>
        <v>5</v>
      </c>
      <c r="AF136" s="377">
        <v>0</v>
      </c>
      <c r="AG136" s="377">
        <v>0</v>
      </c>
      <c r="AH136" s="247">
        <f t="shared" si="66"/>
        <v>0</v>
      </c>
      <c r="AI136" s="247">
        <f t="shared" si="67"/>
        <v>100</v>
      </c>
      <c r="AJ136" s="82">
        <f t="shared" si="68"/>
        <v>3</v>
      </c>
      <c r="AK136" s="367" t="s">
        <v>2902</v>
      </c>
      <c r="AL136" s="367" t="s">
        <v>2902</v>
      </c>
      <c r="AM136" s="367" t="s">
        <v>2902</v>
      </c>
      <c r="AN136" s="367" t="s">
        <v>2902</v>
      </c>
      <c r="AO136" s="367" t="s">
        <v>2902</v>
      </c>
      <c r="AP136" s="296" t="s">
        <v>2326</v>
      </c>
      <c r="AQ136" s="296" t="s">
        <v>2326</v>
      </c>
      <c r="AR136" s="297"/>
      <c r="AS136" s="367" t="s">
        <v>2902</v>
      </c>
      <c r="AT136" s="367" t="s">
        <v>2902</v>
      </c>
      <c r="AU136" s="296" t="s">
        <v>2326</v>
      </c>
      <c r="AV136" s="297"/>
      <c r="AW136" s="325">
        <v>0</v>
      </c>
      <c r="AX136" s="247">
        <f t="shared" si="53"/>
        <v>50</v>
      </c>
      <c r="AY136" s="90">
        <f t="shared" si="54"/>
        <v>2</v>
      </c>
      <c r="AZ136" s="378">
        <v>0</v>
      </c>
      <c r="BA136" s="449" t="s">
        <v>3782</v>
      </c>
      <c r="BB136" s="247">
        <f t="shared" si="55"/>
        <v>100</v>
      </c>
      <c r="BC136" s="91">
        <f t="shared" si="56"/>
        <v>2</v>
      </c>
      <c r="BD136" s="325">
        <v>0</v>
      </c>
      <c r="BE136" s="325">
        <v>0</v>
      </c>
      <c r="BF136" s="325">
        <v>0</v>
      </c>
      <c r="BG136" s="252">
        <f t="shared" si="57"/>
        <v>0</v>
      </c>
      <c r="BH136" s="246">
        <f t="shared" si="58"/>
        <v>100</v>
      </c>
      <c r="BI136" s="90">
        <f t="shared" si="59"/>
        <v>1</v>
      </c>
      <c r="BJ136" s="325">
        <v>0</v>
      </c>
      <c r="BK136" s="247">
        <f t="shared" si="60"/>
        <v>100</v>
      </c>
      <c r="BL136" s="94">
        <f t="shared" si="61"/>
        <v>2</v>
      </c>
      <c r="BM136" s="325">
        <v>0</v>
      </c>
      <c r="BN136" s="325">
        <v>0</v>
      </c>
      <c r="BO136" s="325">
        <v>1</v>
      </c>
      <c r="BP136" s="211">
        <v>1</v>
      </c>
      <c r="BQ136" s="253">
        <f t="shared" si="63"/>
        <v>50</v>
      </c>
      <c r="BR136" s="99">
        <f t="shared" si="64"/>
        <v>0.5</v>
      </c>
      <c r="BS136" s="101">
        <f t="shared" si="65"/>
        <v>16.5</v>
      </c>
    </row>
    <row r="137" spans="1:71" x14ac:dyDescent="0.6">
      <c r="A137" s="373" t="s">
        <v>406</v>
      </c>
      <c r="B137" s="1" t="s">
        <v>3038</v>
      </c>
      <c r="C137" s="380" t="s">
        <v>24</v>
      </c>
      <c r="D137" s="354" t="s">
        <v>481</v>
      </c>
      <c r="E137" s="358" t="s">
        <v>704</v>
      </c>
      <c r="F137" s="358" t="s">
        <v>270</v>
      </c>
      <c r="G137" s="359">
        <v>40310</v>
      </c>
      <c r="H137" s="358" t="s">
        <v>830</v>
      </c>
      <c r="I137" s="358" t="s">
        <v>711</v>
      </c>
      <c r="J137" s="358" t="s">
        <v>1185</v>
      </c>
      <c r="K137" s="358" t="s">
        <v>91</v>
      </c>
      <c r="L137" s="387">
        <v>281498132000</v>
      </c>
      <c r="M137" s="388">
        <v>263811626000</v>
      </c>
      <c r="N137" s="388">
        <v>17686506000</v>
      </c>
      <c r="O137" s="388">
        <v>34485080000</v>
      </c>
      <c r="P137" s="388">
        <v>214616000</v>
      </c>
      <c r="Q137" s="388">
        <v>784965000</v>
      </c>
      <c r="R137" s="388">
        <v>616696000</v>
      </c>
      <c r="S137" s="325">
        <v>1</v>
      </c>
      <c r="T137" s="246">
        <f t="shared" si="49"/>
        <v>50</v>
      </c>
      <c r="U137" s="77">
        <f t="shared" si="50"/>
        <v>1</v>
      </c>
      <c r="V137" s="377">
        <v>0</v>
      </c>
      <c r="W137" s="377">
        <v>0</v>
      </c>
      <c r="X137" s="377">
        <v>0</v>
      </c>
      <c r="Y137" s="377">
        <v>0</v>
      </c>
      <c r="Z137" s="377">
        <v>0</v>
      </c>
      <c r="AA137" s="377">
        <v>0</v>
      </c>
      <c r="AB137" s="377">
        <v>0</v>
      </c>
      <c r="AC137" s="247">
        <f t="shared" si="51"/>
        <v>0</v>
      </c>
      <c r="AD137" s="247">
        <f t="shared" si="52"/>
        <v>100</v>
      </c>
      <c r="AE137" s="81">
        <f>AD137*0.02</f>
        <v>2</v>
      </c>
      <c r="AF137" s="360" t="s">
        <v>2902</v>
      </c>
      <c r="AG137" s="360" t="s">
        <v>2902</v>
      </c>
      <c r="AH137" s="248" t="s">
        <v>2326</v>
      </c>
      <c r="AI137" s="248" t="s">
        <v>2326</v>
      </c>
      <c r="AJ137" s="248"/>
      <c r="AK137" s="373">
        <v>0</v>
      </c>
      <c r="AL137" s="373">
        <v>0</v>
      </c>
      <c r="AM137" s="373">
        <v>7</v>
      </c>
      <c r="AN137" s="373">
        <v>0</v>
      </c>
      <c r="AO137" s="370" t="s">
        <v>3240</v>
      </c>
      <c r="AP137" s="249">
        <f>SUM(AK137:AN137)</f>
        <v>7</v>
      </c>
      <c r="AQ137" s="250">
        <f>IF(AP137=0, 100, IF(AP137=1, 75, IF(AP137=2, 50, 25)))</f>
        <v>25</v>
      </c>
      <c r="AR137" s="83">
        <f>AQ137*0.05</f>
        <v>1.25</v>
      </c>
      <c r="AS137" s="395">
        <v>0</v>
      </c>
      <c r="AT137" s="370" t="s">
        <v>3240</v>
      </c>
      <c r="AU137" s="251">
        <f>IF(AS137=0, 100, IF(AS137=1, 200/3, IF(AS137&gt;=2, 100/3)))</f>
        <v>100</v>
      </c>
      <c r="AV137" s="87">
        <f>AU137*0.01</f>
        <v>1</v>
      </c>
      <c r="AW137" s="325">
        <v>0</v>
      </c>
      <c r="AX137" s="247">
        <f t="shared" si="53"/>
        <v>50</v>
      </c>
      <c r="AY137" s="90">
        <f t="shared" si="54"/>
        <v>2</v>
      </c>
      <c r="AZ137" s="378">
        <v>0</v>
      </c>
      <c r="BA137" s="449" t="s">
        <v>3782</v>
      </c>
      <c r="BB137" s="247">
        <f t="shared" si="55"/>
        <v>100</v>
      </c>
      <c r="BC137" s="91">
        <f t="shared" si="56"/>
        <v>2</v>
      </c>
      <c r="BD137" s="325">
        <v>0</v>
      </c>
      <c r="BE137" s="325">
        <v>0</v>
      </c>
      <c r="BF137" s="325">
        <v>0</v>
      </c>
      <c r="BG137" s="252">
        <f t="shared" si="57"/>
        <v>0</v>
      </c>
      <c r="BH137" s="246">
        <f t="shared" si="58"/>
        <v>100</v>
      </c>
      <c r="BI137" s="90">
        <f t="shared" si="59"/>
        <v>1</v>
      </c>
      <c r="BJ137" s="325">
        <v>0</v>
      </c>
      <c r="BK137" s="247">
        <f t="shared" si="60"/>
        <v>100</v>
      </c>
      <c r="BL137" s="94">
        <f t="shared" si="61"/>
        <v>2</v>
      </c>
      <c r="BM137" s="325">
        <v>0</v>
      </c>
      <c r="BN137" s="325">
        <v>0</v>
      </c>
      <c r="BO137" s="325">
        <v>1</v>
      </c>
      <c r="BP137" s="211">
        <f t="shared" si="62"/>
        <v>1</v>
      </c>
      <c r="BQ137" s="253">
        <f t="shared" si="63"/>
        <v>50</v>
      </c>
      <c r="BR137" s="99">
        <f t="shared" si="64"/>
        <v>0.5</v>
      </c>
      <c r="BS137" s="101">
        <f t="shared" si="65"/>
        <v>12.75</v>
      </c>
    </row>
    <row r="138" spans="1:71" x14ac:dyDescent="0.6">
      <c r="A138" s="373" t="s">
        <v>372</v>
      </c>
      <c r="B138" s="1" t="s">
        <v>3039</v>
      </c>
      <c r="C138" s="380" t="s">
        <v>470</v>
      </c>
      <c r="D138" s="351" t="s">
        <v>285</v>
      </c>
      <c r="E138" s="352" t="s">
        <v>1034</v>
      </c>
      <c r="F138" s="352" t="s">
        <v>380</v>
      </c>
      <c r="G138" s="353">
        <v>41957</v>
      </c>
      <c r="H138" s="352" t="s">
        <v>830</v>
      </c>
      <c r="I138" s="352" t="s">
        <v>832</v>
      </c>
      <c r="J138" s="352" t="s">
        <v>1178</v>
      </c>
      <c r="K138" s="352" t="s">
        <v>91</v>
      </c>
      <c r="L138" s="381">
        <v>7628899434</v>
      </c>
      <c r="M138" s="376">
        <v>1614217740</v>
      </c>
      <c r="N138" s="376">
        <v>6014681694</v>
      </c>
      <c r="O138" s="376">
        <v>5174554118</v>
      </c>
      <c r="P138" s="376">
        <v>296153499</v>
      </c>
      <c r="Q138" s="376">
        <v>482313799</v>
      </c>
      <c r="R138" s="376">
        <v>530145587</v>
      </c>
      <c r="S138" s="325">
        <v>1</v>
      </c>
      <c r="T138" s="246">
        <f t="shared" si="49"/>
        <v>50</v>
      </c>
      <c r="U138" s="77">
        <f t="shared" si="50"/>
        <v>1</v>
      </c>
      <c r="V138" s="377">
        <v>0</v>
      </c>
      <c r="W138" s="377">
        <v>0</v>
      </c>
      <c r="X138" s="377">
        <v>0</v>
      </c>
      <c r="Y138" s="377">
        <v>0</v>
      </c>
      <c r="Z138" s="377">
        <v>0</v>
      </c>
      <c r="AA138" s="377">
        <v>0</v>
      </c>
      <c r="AB138" s="377">
        <v>0</v>
      </c>
      <c r="AC138" s="247">
        <f t="shared" si="51"/>
        <v>0</v>
      </c>
      <c r="AD138" s="247">
        <f t="shared" si="52"/>
        <v>100</v>
      </c>
      <c r="AE138" s="82">
        <f>AD138*0.05</f>
        <v>5</v>
      </c>
      <c r="AF138" s="377">
        <v>0</v>
      </c>
      <c r="AG138" s="377">
        <v>0</v>
      </c>
      <c r="AH138" s="247">
        <f t="shared" si="66"/>
        <v>0</v>
      </c>
      <c r="AI138" s="247">
        <f t="shared" si="67"/>
        <v>100</v>
      </c>
      <c r="AJ138" s="82">
        <f t="shared" si="68"/>
        <v>3</v>
      </c>
      <c r="AK138" s="367" t="s">
        <v>2902</v>
      </c>
      <c r="AL138" s="367" t="s">
        <v>2902</v>
      </c>
      <c r="AM138" s="367" t="s">
        <v>2902</v>
      </c>
      <c r="AN138" s="367" t="s">
        <v>2902</v>
      </c>
      <c r="AO138" s="367" t="s">
        <v>2902</v>
      </c>
      <c r="AP138" s="296" t="s">
        <v>2326</v>
      </c>
      <c r="AQ138" s="296" t="s">
        <v>2326</v>
      </c>
      <c r="AR138" s="297"/>
      <c r="AS138" s="367" t="s">
        <v>2902</v>
      </c>
      <c r="AT138" s="367" t="s">
        <v>2902</v>
      </c>
      <c r="AU138" s="296" t="s">
        <v>2326</v>
      </c>
      <c r="AV138" s="297"/>
      <c r="AW138" s="325">
        <v>0</v>
      </c>
      <c r="AX138" s="247">
        <f t="shared" si="53"/>
        <v>50</v>
      </c>
      <c r="AY138" s="90">
        <f t="shared" si="54"/>
        <v>2</v>
      </c>
      <c r="AZ138" s="378">
        <v>0</v>
      </c>
      <c r="BA138" s="449" t="s">
        <v>3782</v>
      </c>
      <c r="BB138" s="247">
        <f t="shared" si="55"/>
        <v>100</v>
      </c>
      <c r="BC138" s="91">
        <f t="shared" si="56"/>
        <v>2</v>
      </c>
      <c r="BD138" s="325">
        <v>0</v>
      </c>
      <c r="BE138" s="325">
        <v>0</v>
      </c>
      <c r="BF138" s="325">
        <v>0</v>
      </c>
      <c r="BG138" s="252">
        <f t="shared" si="57"/>
        <v>0</v>
      </c>
      <c r="BH138" s="246">
        <f t="shared" si="58"/>
        <v>100</v>
      </c>
      <c r="BI138" s="90">
        <f t="shared" si="59"/>
        <v>1</v>
      </c>
      <c r="BJ138" s="325">
        <v>0</v>
      </c>
      <c r="BK138" s="247">
        <f t="shared" si="60"/>
        <v>100</v>
      </c>
      <c r="BL138" s="94">
        <f t="shared" si="61"/>
        <v>2</v>
      </c>
      <c r="BM138" s="325">
        <v>0</v>
      </c>
      <c r="BN138" s="325">
        <v>0</v>
      </c>
      <c r="BO138" s="325">
        <v>1</v>
      </c>
      <c r="BP138" s="211">
        <f t="shared" si="62"/>
        <v>1</v>
      </c>
      <c r="BQ138" s="253">
        <f t="shared" si="63"/>
        <v>50</v>
      </c>
      <c r="BR138" s="99">
        <f t="shared" si="64"/>
        <v>0.5</v>
      </c>
      <c r="BS138" s="101">
        <f t="shared" si="65"/>
        <v>16.5</v>
      </c>
    </row>
    <row r="139" spans="1:71" x14ac:dyDescent="0.6">
      <c r="A139" s="373" t="s">
        <v>1681</v>
      </c>
      <c r="B139" s="13" t="s">
        <v>3040</v>
      </c>
      <c r="C139" s="380" t="s">
        <v>884</v>
      </c>
      <c r="D139" s="315" t="s">
        <v>202</v>
      </c>
      <c r="E139" s="352" t="s">
        <v>1167</v>
      </c>
      <c r="F139" s="352" t="s">
        <v>658</v>
      </c>
      <c r="G139" s="353">
        <v>35423</v>
      </c>
      <c r="H139" s="352" t="s">
        <v>830</v>
      </c>
      <c r="I139" s="352" t="s">
        <v>1682</v>
      </c>
      <c r="J139" s="352" t="s">
        <v>384</v>
      </c>
      <c r="K139" s="352" t="s">
        <v>91</v>
      </c>
      <c r="L139" s="381">
        <v>5165940385</v>
      </c>
      <c r="M139" s="376">
        <v>3460358420</v>
      </c>
      <c r="N139" s="376">
        <v>1705581965</v>
      </c>
      <c r="O139" s="376">
        <v>6673315540</v>
      </c>
      <c r="P139" s="376">
        <v>504880672</v>
      </c>
      <c r="Q139" s="376">
        <v>403831051</v>
      </c>
      <c r="R139" s="376">
        <v>307787439</v>
      </c>
      <c r="S139" s="325">
        <v>1</v>
      </c>
      <c r="T139" s="246">
        <f t="shared" si="49"/>
        <v>50</v>
      </c>
      <c r="U139" s="77">
        <f t="shared" si="50"/>
        <v>1</v>
      </c>
      <c r="V139" s="377">
        <v>0</v>
      </c>
      <c r="W139" s="377">
        <v>0</v>
      </c>
      <c r="X139" s="377">
        <v>0</v>
      </c>
      <c r="Y139" s="377">
        <v>0</v>
      </c>
      <c r="Z139" s="377">
        <v>0</v>
      </c>
      <c r="AA139" s="377">
        <v>0</v>
      </c>
      <c r="AB139" s="377">
        <v>0</v>
      </c>
      <c r="AC139" s="247">
        <f t="shared" si="51"/>
        <v>0</v>
      </c>
      <c r="AD139" s="247">
        <f t="shared" si="52"/>
        <v>100</v>
      </c>
      <c r="AE139" s="82">
        <f>AD139*0.05</f>
        <v>5</v>
      </c>
      <c r="AF139" s="377">
        <v>0</v>
      </c>
      <c r="AG139" s="377">
        <v>0</v>
      </c>
      <c r="AH139" s="247">
        <f t="shared" si="66"/>
        <v>0</v>
      </c>
      <c r="AI139" s="247">
        <f t="shared" si="67"/>
        <v>100</v>
      </c>
      <c r="AJ139" s="82">
        <f t="shared" si="68"/>
        <v>3</v>
      </c>
      <c r="AK139" s="367" t="s">
        <v>2902</v>
      </c>
      <c r="AL139" s="367" t="s">
        <v>2902</v>
      </c>
      <c r="AM139" s="367" t="s">
        <v>2902</v>
      </c>
      <c r="AN139" s="367" t="s">
        <v>2902</v>
      </c>
      <c r="AO139" s="367" t="s">
        <v>2902</v>
      </c>
      <c r="AP139" s="296" t="s">
        <v>2326</v>
      </c>
      <c r="AQ139" s="296" t="s">
        <v>2326</v>
      </c>
      <c r="AR139" s="297"/>
      <c r="AS139" s="367" t="s">
        <v>2902</v>
      </c>
      <c r="AT139" s="367" t="s">
        <v>2902</v>
      </c>
      <c r="AU139" s="296" t="s">
        <v>2326</v>
      </c>
      <c r="AV139" s="297"/>
      <c r="AW139" s="325">
        <v>0</v>
      </c>
      <c r="AX139" s="247">
        <f t="shared" si="53"/>
        <v>50</v>
      </c>
      <c r="AY139" s="90">
        <f t="shared" si="54"/>
        <v>2</v>
      </c>
      <c r="AZ139" s="378">
        <v>0</v>
      </c>
      <c r="BA139" s="449" t="s">
        <v>3782</v>
      </c>
      <c r="BB139" s="247">
        <f t="shared" si="55"/>
        <v>100</v>
      </c>
      <c r="BC139" s="91">
        <f t="shared" si="56"/>
        <v>2</v>
      </c>
      <c r="BD139" s="325">
        <v>0</v>
      </c>
      <c r="BE139" s="325">
        <v>0</v>
      </c>
      <c r="BF139" s="325">
        <v>1</v>
      </c>
      <c r="BG139" s="252">
        <f t="shared" si="57"/>
        <v>1</v>
      </c>
      <c r="BH139" s="246">
        <f t="shared" si="58"/>
        <v>75</v>
      </c>
      <c r="BI139" s="90">
        <f t="shared" si="59"/>
        <v>0.75</v>
      </c>
      <c r="BJ139" s="325">
        <v>0</v>
      </c>
      <c r="BK139" s="247">
        <f t="shared" si="60"/>
        <v>100</v>
      </c>
      <c r="BL139" s="94">
        <f t="shared" si="61"/>
        <v>2</v>
      </c>
      <c r="BM139" s="325">
        <v>0</v>
      </c>
      <c r="BN139" s="325">
        <v>0</v>
      </c>
      <c r="BO139" s="325">
        <v>1</v>
      </c>
      <c r="BP139" s="211">
        <f t="shared" si="62"/>
        <v>1</v>
      </c>
      <c r="BQ139" s="253">
        <f t="shared" si="63"/>
        <v>50</v>
      </c>
      <c r="BR139" s="99">
        <f t="shared" si="64"/>
        <v>0.5</v>
      </c>
      <c r="BS139" s="101">
        <f t="shared" si="65"/>
        <v>16.25</v>
      </c>
    </row>
    <row r="140" spans="1:71" x14ac:dyDescent="0.6">
      <c r="A140" s="373" t="s">
        <v>1683</v>
      </c>
      <c r="B140" s="13" t="s">
        <v>3041</v>
      </c>
      <c r="C140" s="380" t="s">
        <v>1684</v>
      </c>
      <c r="D140" s="315" t="s">
        <v>202</v>
      </c>
      <c r="E140" s="352" t="s">
        <v>205</v>
      </c>
      <c r="F140" s="352" t="s">
        <v>1685</v>
      </c>
      <c r="G140" s="353">
        <v>28913</v>
      </c>
      <c r="H140" s="352" t="s">
        <v>830</v>
      </c>
      <c r="I140" s="352" t="s">
        <v>1686</v>
      </c>
      <c r="J140" s="352" t="s">
        <v>1687</v>
      </c>
      <c r="K140" s="352" t="s">
        <v>690</v>
      </c>
      <c r="L140" s="381">
        <v>7910256817</v>
      </c>
      <c r="M140" s="376">
        <v>2124391740</v>
      </c>
      <c r="N140" s="376">
        <v>5785865077</v>
      </c>
      <c r="O140" s="376">
        <v>7244994321</v>
      </c>
      <c r="P140" s="376">
        <v>799695030</v>
      </c>
      <c r="Q140" s="376">
        <v>929802982</v>
      </c>
      <c r="R140" s="376">
        <v>701357778</v>
      </c>
      <c r="S140" s="325">
        <v>1</v>
      </c>
      <c r="T140" s="246">
        <f t="shared" si="49"/>
        <v>50</v>
      </c>
      <c r="U140" s="77">
        <f t="shared" si="50"/>
        <v>1</v>
      </c>
      <c r="V140" s="377">
        <v>0</v>
      </c>
      <c r="W140" s="377">
        <v>0</v>
      </c>
      <c r="X140" s="377">
        <v>0</v>
      </c>
      <c r="Y140" s="377">
        <v>0</v>
      </c>
      <c r="Z140" s="377">
        <v>0</v>
      </c>
      <c r="AA140" s="377">
        <v>0</v>
      </c>
      <c r="AB140" s="377">
        <v>0</v>
      </c>
      <c r="AC140" s="247">
        <f t="shared" si="51"/>
        <v>0</v>
      </c>
      <c r="AD140" s="247">
        <f t="shared" si="52"/>
        <v>100</v>
      </c>
      <c r="AE140" s="82">
        <f>AD140*0.05</f>
        <v>5</v>
      </c>
      <c r="AF140" s="377">
        <v>0</v>
      </c>
      <c r="AG140" s="377">
        <v>0</v>
      </c>
      <c r="AH140" s="247">
        <f t="shared" si="66"/>
        <v>0</v>
      </c>
      <c r="AI140" s="247">
        <f t="shared" si="67"/>
        <v>100</v>
      </c>
      <c r="AJ140" s="82">
        <f t="shared" si="68"/>
        <v>3</v>
      </c>
      <c r="AK140" s="367" t="s">
        <v>2902</v>
      </c>
      <c r="AL140" s="367" t="s">
        <v>2902</v>
      </c>
      <c r="AM140" s="367" t="s">
        <v>2902</v>
      </c>
      <c r="AN140" s="367" t="s">
        <v>2902</v>
      </c>
      <c r="AO140" s="367" t="s">
        <v>2902</v>
      </c>
      <c r="AP140" s="296" t="s">
        <v>2326</v>
      </c>
      <c r="AQ140" s="296" t="s">
        <v>2326</v>
      </c>
      <c r="AR140" s="297"/>
      <c r="AS140" s="367" t="s">
        <v>2902</v>
      </c>
      <c r="AT140" s="367" t="s">
        <v>2902</v>
      </c>
      <c r="AU140" s="296" t="s">
        <v>2326</v>
      </c>
      <c r="AV140" s="297"/>
      <c r="AW140" s="325">
        <v>0</v>
      </c>
      <c r="AX140" s="247">
        <f t="shared" si="53"/>
        <v>50</v>
      </c>
      <c r="AY140" s="90">
        <f t="shared" si="54"/>
        <v>2</v>
      </c>
      <c r="AZ140" s="378">
        <v>0</v>
      </c>
      <c r="BA140" s="449" t="s">
        <v>3782</v>
      </c>
      <c r="BB140" s="247">
        <f t="shared" si="55"/>
        <v>100</v>
      </c>
      <c r="BC140" s="91">
        <f t="shared" si="56"/>
        <v>2</v>
      </c>
      <c r="BD140" s="325">
        <v>0</v>
      </c>
      <c r="BE140" s="325">
        <v>0</v>
      </c>
      <c r="BF140" s="325">
        <v>0</v>
      </c>
      <c r="BG140" s="252">
        <f t="shared" si="57"/>
        <v>0</v>
      </c>
      <c r="BH140" s="246">
        <f t="shared" si="58"/>
        <v>100</v>
      </c>
      <c r="BI140" s="90">
        <f t="shared" si="59"/>
        <v>1</v>
      </c>
      <c r="BJ140" s="325">
        <v>0</v>
      </c>
      <c r="BK140" s="247">
        <f t="shared" si="60"/>
        <v>100</v>
      </c>
      <c r="BL140" s="94">
        <f t="shared" si="61"/>
        <v>2</v>
      </c>
      <c r="BM140" s="325">
        <v>0</v>
      </c>
      <c r="BN140" s="325">
        <v>0</v>
      </c>
      <c r="BO140" s="325">
        <v>1</v>
      </c>
      <c r="BP140" s="211">
        <f t="shared" si="62"/>
        <v>1</v>
      </c>
      <c r="BQ140" s="253">
        <f t="shared" si="63"/>
        <v>50</v>
      </c>
      <c r="BR140" s="99">
        <f t="shared" si="64"/>
        <v>0.5</v>
      </c>
      <c r="BS140" s="101">
        <f t="shared" si="65"/>
        <v>16.5</v>
      </c>
    </row>
    <row r="141" spans="1:71" x14ac:dyDescent="0.6">
      <c r="A141" s="373" t="s">
        <v>1688</v>
      </c>
      <c r="B141" s="13" t="s">
        <v>3042</v>
      </c>
      <c r="C141" s="380" t="s">
        <v>1689</v>
      </c>
      <c r="D141" s="315" t="s">
        <v>202</v>
      </c>
      <c r="E141" s="352" t="s">
        <v>623</v>
      </c>
      <c r="F141" s="352" t="s">
        <v>1690</v>
      </c>
      <c r="G141" s="353">
        <v>27556</v>
      </c>
      <c r="H141" s="352" t="s">
        <v>830</v>
      </c>
      <c r="I141" s="352" t="s">
        <v>1691</v>
      </c>
      <c r="J141" s="352" t="s">
        <v>1692</v>
      </c>
      <c r="K141" s="352" t="s">
        <v>690</v>
      </c>
      <c r="L141" s="381">
        <v>260083750000</v>
      </c>
      <c r="M141" s="376">
        <v>50667559000</v>
      </c>
      <c r="N141" s="376">
        <v>209416191000</v>
      </c>
      <c r="O141" s="376">
        <v>211867483000</v>
      </c>
      <c r="P141" s="376">
        <v>25319329000</v>
      </c>
      <c r="Q141" s="376">
        <v>29691920000</v>
      </c>
      <c r="R141" s="376">
        <v>25418778000</v>
      </c>
      <c r="S141" s="325">
        <v>1</v>
      </c>
      <c r="T141" s="246">
        <f t="shared" si="49"/>
        <v>50</v>
      </c>
      <c r="U141" s="77">
        <f t="shared" si="50"/>
        <v>1</v>
      </c>
      <c r="V141" s="377">
        <v>0</v>
      </c>
      <c r="W141" s="377">
        <v>0</v>
      </c>
      <c r="X141" s="377">
        <v>0</v>
      </c>
      <c r="Y141" s="377">
        <v>0</v>
      </c>
      <c r="Z141" s="377">
        <v>0</v>
      </c>
      <c r="AA141" s="377">
        <v>0</v>
      </c>
      <c r="AB141" s="377">
        <v>0</v>
      </c>
      <c r="AC141" s="247">
        <f t="shared" si="51"/>
        <v>0</v>
      </c>
      <c r="AD141" s="247">
        <f t="shared" si="52"/>
        <v>100</v>
      </c>
      <c r="AE141" s="82">
        <f>AD141*0.05</f>
        <v>5</v>
      </c>
      <c r="AF141" s="377">
        <v>0</v>
      </c>
      <c r="AG141" s="377">
        <v>0</v>
      </c>
      <c r="AH141" s="247">
        <f t="shared" si="66"/>
        <v>0</v>
      </c>
      <c r="AI141" s="247">
        <f t="shared" si="67"/>
        <v>100</v>
      </c>
      <c r="AJ141" s="82">
        <f t="shared" si="68"/>
        <v>3</v>
      </c>
      <c r="AK141" s="367" t="s">
        <v>2902</v>
      </c>
      <c r="AL141" s="367" t="s">
        <v>2902</v>
      </c>
      <c r="AM141" s="367" t="s">
        <v>2902</v>
      </c>
      <c r="AN141" s="367" t="s">
        <v>2902</v>
      </c>
      <c r="AO141" s="367" t="s">
        <v>2902</v>
      </c>
      <c r="AP141" s="296" t="s">
        <v>2326</v>
      </c>
      <c r="AQ141" s="296" t="s">
        <v>2326</v>
      </c>
      <c r="AR141" s="297"/>
      <c r="AS141" s="367" t="s">
        <v>2902</v>
      </c>
      <c r="AT141" s="367" t="s">
        <v>2902</v>
      </c>
      <c r="AU141" s="296" t="s">
        <v>2326</v>
      </c>
      <c r="AV141" s="297"/>
      <c r="AW141" s="325">
        <v>0</v>
      </c>
      <c r="AX141" s="247">
        <f t="shared" si="53"/>
        <v>50</v>
      </c>
      <c r="AY141" s="90">
        <f t="shared" si="54"/>
        <v>2</v>
      </c>
      <c r="AZ141" s="378">
        <v>0</v>
      </c>
      <c r="BA141" s="449" t="s">
        <v>3782</v>
      </c>
      <c r="BB141" s="247">
        <f t="shared" si="55"/>
        <v>100</v>
      </c>
      <c r="BC141" s="91">
        <f t="shared" si="56"/>
        <v>2</v>
      </c>
      <c r="BD141" s="325">
        <v>0</v>
      </c>
      <c r="BE141" s="325">
        <v>0</v>
      </c>
      <c r="BF141" s="325">
        <v>0</v>
      </c>
      <c r="BG141" s="252">
        <f t="shared" si="57"/>
        <v>0</v>
      </c>
      <c r="BH141" s="246">
        <f t="shared" si="58"/>
        <v>100</v>
      </c>
      <c r="BI141" s="90">
        <f t="shared" si="59"/>
        <v>1</v>
      </c>
      <c r="BJ141" s="325">
        <v>0</v>
      </c>
      <c r="BK141" s="247">
        <f t="shared" si="60"/>
        <v>100</v>
      </c>
      <c r="BL141" s="94">
        <f t="shared" si="61"/>
        <v>2</v>
      </c>
      <c r="BM141" s="325">
        <v>0</v>
      </c>
      <c r="BN141" s="325">
        <v>0</v>
      </c>
      <c r="BO141" s="325">
        <v>1</v>
      </c>
      <c r="BP141" s="211">
        <f t="shared" si="62"/>
        <v>1</v>
      </c>
      <c r="BQ141" s="253">
        <f t="shared" si="63"/>
        <v>50</v>
      </c>
      <c r="BR141" s="99">
        <f t="shared" si="64"/>
        <v>0.5</v>
      </c>
      <c r="BS141" s="101">
        <f t="shared" si="65"/>
        <v>16.5</v>
      </c>
    </row>
    <row r="142" spans="1:71" x14ac:dyDescent="0.6">
      <c r="A142" s="373" t="s">
        <v>531</v>
      </c>
      <c r="B142" s="1" t="s">
        <v>3043</v>
      </c>
      <c r="C142" s="380" t="s">
        <v>422</v>
      </c>
      <c r="D142" s="354" t="s">
        <v>350</v>
      </c>
      <c r="E142" s="352" t="s">
        <v>179</v>
      </c>
      <c r="F142" s="352" t="s">
        <v>993</v>
      </c>
      <c r="G142" s="353">
        <v>32230</v>
      </c>
      <c r="H142" s="352" t="s">
        <v>830</v>
      </c>
      <c r="I142" s="352" t="s">
        <v>756</v>
      </c>
      <c r="J142" s="352" t="s">
        <v>1174</v>
      </c>
      <c r="K142" s="352" t="s">
        <v>91</v>
      </c>
      <c r="L142" s="381">
        <v>47708236386</v>
      </c>
      <c r="M142" s="376">
        <v>41728539853</v>
      </c>
      <c r="N142" s="376">
        <v>5979696533</v>
      </c>
      <c r="O142" s="376">
        <v>13122029972</v>
      </c>
      <c r="P142" s="376">
        <v>522368891</v>
      </c>
      <c r="Q142" s="376">
        <v>514777360</v>
      </c>
      <c r="R142" s="376">
        <v>377508788</v>
      </c>
      <c r="S142" s="325">
        <v>1</v>
      </c>
      <c r="T142" s="246">
        <f t="shared" si="49"/>
        <v>50</v>
      </c>
      <c r="U142" s="77">
        <f t="shared" si="50"/>
        <v>1</v>
      </c>
      <c r="V142" s="377">
        <v>0</v>
      </c>
      <c r="W142" s="377">
        <v>0</v>
      </c>
      <c r="X142" s="377">
        <v>0</v>
      </c>
      <c r="Y142" s="377">
        <v>0</v>
      </c>
      <c r="Z142" s="377">
        <v>0</v>
      </c>
      <c r="AA142" s="377">
        <v>0</v>
      </c>
      <c r="AB142" s="377">
        <v>0</v>
      </c>
      <c r="AC142" s="247">
        <f t="shared" si="51"/>
        <v>0</v>
      </c>
      <c r="AD142" s="247">
        <f t="shared" si="52"/>
        <v>100</v>
      </c>
      <c r="AE142" s="81">
        <f>AD142*0.02</f>
        <v>2</v>
      </c>
      <c r="AF142" s="360" t="s">
        <v>2902</v>
      </c>
      <c r="AG142" s="360" t="s">
        <v>2902</v>
      </c>
      <c r="AH142" s="248" t="s">
        <v>2326</v>
      </c>
      <c r="AI142" s="248" t="s">
        <v>2326</v>
      </c>
      <c r="AJ142" s="248"/>
      <c r="AK142" s="373">
        <v>10</v>
      </c>
      <c r="AL142" s="373">
        <v>0</v>
      </c>
      <c r="AM142" s="373">
        <v>0</v>
      </c>
      <c r="AN142" s="373">
        <v>5</v>
      </c>
      <c r="AO142" s="370" t="s">
        <v>3240</v>
      </c>
      <c r="AP142" s="249">
        <f>SUM(AK142:AN142)</f>
        <v>15</v>
      </c>
      <c r="AQ142" s="250">
        <f t="shared" ref="AQ142:AQ144" si="69">IF(AP142=0, 100, IF(AP142=1, 75, IF(AP142=2, 50, 25)))</f>
        <v>25</v>
      </c>
      <c r="AR142" s="83">
        <f>AQ142*0.05</f>
        <v>1.25</v>
      </c>
      <c r="AS142" s="395">
        <v>2</v>
      </c>
      <c r="AT142" s="389" t="s">
        <v>3044</v>
      </c>
      <c r="AU142" s="251">
        <f>IF(AS142=0, 100, IF(AS142=1, 200/3, IF(AS142&gt;=2, 100/3)))</f>
        <v>33.333333333333336</v>
      </c>
      <c r="AV142" s="87">
        <f>AU142*0.01</f>
        <v>0.33333333333333337</v>
      </c>
      <c r="AW142" s="325">
        <v>0</v>
      </c>
      <c r="AX142" s="247">
        <f t="shared" si="53"/>
        <v>50</v>
      </c>
      <c r="AY142" s="90">
        <f t="shared" si="54"/>
        <v>2</v>
      </c>
      <c r="AZ142" s="378">
        <v>0</v>
      </c>
      <c r="BA142" s="449" t="s">
        <v>3782</v>
      </c>
      <c r="BB142" s="247">
        <f t="shared" si="55"/>
        <v>100</v>
      </c>
      <c r="BC142" s="91">
        <f t="shared" si="56"/>
        <v>2</v>
      </c>
      <c r="BD142" s="325">
        <v>0</v>
      </c>
      <c r="BE142" s="325">
        <v>0</v>
      </c>
      <c r="BF142" s="325">
        <v>0</v>
      </c>
      <c r="BG142" s="252">
        <f t="shared" si="57"/>
        <v>0</v>
      </c>
      <c r="BH142" s="246">
        <f t="shared" si="58"/>
        <v>100</v>
      </c>
      <c r="BI142" s="90">
        <f t="shared" si="59"/>
        <v>1</v>
      </c>
      <c r="BJ142" s="325">
        <v>0</v>
      </c>
      <c r="BK142" s="247">
        <f t="shared" si="60"/>
        <v>100</v>
      </c>
      <c r="BL142" s="94">
        <f t="shared" si="61"/>
        <v>2</v>
      </c>
      <c r="BM142" s="325">
        <v>0</v>
      </c>
      <c r="BN142" s="325">
        <v>0</v>
      </c>
      <c r="BO142" s="325">
        <v>1</v>
      </c>
      <c r="BP142" s="211">
        <f t="shared" si="62"/>
        <v>1</v>
      </c>
      <c r="BQ142" s="253">
        <f t="shared" si="63"/>
        <v>50</v>
      </c>
      <c r="BR142" s="99">
        <f t="shared" si="64"/>
        <v>0.5</v>
      </c>
      <c r="BS142" s="101">
        <f t="shared" si="65"/>
        <v>12.083333333333332</v>
      </c>
    </row>
    <row r="143" spans="1:71" x14ac:dyDescent="0.6">
      <c r="A143" s="373" t="s">
        <v>891</v>
      </c>
      <c r="B143" s="13" t="s">
        <v>3045</v>
      </c>
      <c r="C143" s="380" t="s">
        <v>336</v>
      </c>
      <c r="D143" s="354" t="s">
        <v>88</v>
      </c>
      <c r="E143" s="352" t="s">
        <v>61</v>
      </c>
      <c r="F143" s="352" t="s">
        <v>1</v>
      </c>
      <c r="G143" s="353">
        <v>39260</v>
      </c>
      <c r="H143" s="352" t="s">
        <v>830</v>
      </c>
      <c r="I143" s="352" t="s">
        <v>816</v>
      </c>
      <c r="J143" s="352" t="s">
        <v>666</v>
      </c>
      <c r="K143" s="352" t="s">
        <v>91</v>
      </c>
      <c r="L143" s="381">
        <v>29407344093</v>
      </c>
      <c r="M143" s="376">
        <v>21565863258</v>
      </c>
      <c r="N143" s="376">
        <v>7841480835</v>
      </c>
      <c r="O143" s="376">
        <v>3641606365</v>
      </c>
      <c r="P143" s="376">
        <v>846324379</v>
      </c>
      <c r="Q143" s="376">
        <v>843940009</v>
      </c>
      <c r="R143" s="376">
        <v>617150148</v>
      </c>
      <c r="S143" s="325">
        <v>1</v>
      </c>
      <c r="T143" s="246">
        <f t="shared" si="49"/>
        <v>50</v>
      </c>
      <c r="U143" s="77">
        <f t="shared" si="50"/>
        <v>1</v>
      </c>
      <c r="V143" s="377">
        <v>0</v>
      </c>
      <c r="W143" s="377">
        <v>0</v>
      </c>
      <c r="X143" s="377">
        <v>0</v>
      </c>
      <c r="Y143" s="377">
        <v>0</v>
      </c>
      <c r="Z143" s="377">
        <v>0</v>
      </c>
      <c r="AA143" s="377">
        <v>0</v>
      </c>
      <c r="AB143" s="377">
        <v>0</v>
      </c>
      <c r="AC143" s="247">
        <f t="shared" si="51"/>
        <v>0</v>
      </c>
      <c r="AD143" s="247">
        <f t="shared" si="52"/>
        <v>100</v>
      </c>
      <c r="AE143" s="81">
        <f>AD143*0.02</f>
        <v>2</v>
      </c>
      <c r="AF143" s="360" t="s">
        <v>2902</v>
      </c>
      <c r="AG143" s="360" t="s">
        <v>2902</v>
      </c>
      <c r="AH143" s="248" t="s">
        <v>2326</v>
      </c>
      <c r="AI143" s="248" t="s">
        <v>2326</v>
      </c>
      <c r="AJ143" s="248"/>
      <c r="AK143" s="373">
        <v>0</v>
      </c>
      <c r="AL143" s="373">
        <v>0</v>
      </c>
      <c r="AM143" s="373">
        <v>0</v>
      </c>
      <c r="AN143" s="373">
        <v>0</v>
      </c>
      <c r="AO143" s="370" t="s">
        <v>3240</v>
      </c>
      <c r="AP143" s="249">
        <f>SUM(AK143:AN143)</f>
        <v>0</v>
      </c>
      <c r="AQ143" s="250">
        <f t="shared" si="69"/>
        <v>100</v>
      </c>
      <c r="AR143" s="83">
        <f>AQ143*0.05</f>
        <v>5</v>
      </c>
      <c r="AS143" s="395">
        <v>0</v>
      </c>
      <c r="AT143" s="370" t="s">
        <v>3240</v>
      </c>
      <c r="AU143" s="251">
        <f>IF(AS143=0, 100, IF(AS143=1, 200/3, IF(AS143&gt;=2, 100/3)))</f>
        <v>100</v>
      </c>
      <c r="AV143" s="87">
        <f>AU143*0.01</f>
        <v>1</v>
      </c>
      <c r="AW143" s="325">
        <v>0</v>
      </c>
      <c r="AX143" s="247">
        <f t="shared" si="53"/>
        <v>50</v>
      </c>
      <c r="AY143" s="90">
        <f t="shared" si="54"/>
        <v>2</v>
      </c>
      <c r="AZ143" s="378">
        <v>0</v>
      </c>
      <c r="BA143" s="449" t="s">
        <v>3782</v>
      </c>
      <c r="BB143" s="247">
        <f t="shared" si="55"/>
        <v>100</v>
      </c>
      <c r="BC143" s="91">
        <f t="shared" si="56"/>
        <v>2</v>
      </c>
      <c r="BD143" s="325">
        <v>0</v>
      </c>
      <c r="BE143" s="325">
        <v>0</v>
      </c>
      <c r="BF143" s="325">
        <v>0</v>
      </c>
      <c r="BG143" s="252">
        <f t="shared" si="57"/>
        <v>0</v>
      </c>
      <c r="BH143" s="246">
        <f t="shared" si="58"/>
        <v>100</v>
      </c>
      <c r="BI143" s="90">
        <f t="shared" si="59"/>
        <v>1</v>
      </c>
      <c r="BJ143" s="325">
        <v>0</v>
      </c>
      <c r="BK143" s="247">
        <f t="shared" si="60"/>
        <v>100</v>
      </c>
      <c r="BL143" s="94">
        <f t="shared" si="61"/>
        <v>2</v>
      </c>
      <c r="BM143" s="325">
        <v>0</v>
      </c>
      <c r="BN143" s="325">
        <v>0</v>
      </c>
      <c r="BO143" s="325">
        <v>1</v>
      </c>
      <c r="BP143" s="211">
        <f t="shared" si="62"/>
        <v>1</v>
      </c>
      <c r="BQ143" s="253">
        <f t="shared" si="63"/>
        <v>50</v>
      </c>
      <c r="BR143" s="99">
        <f t="shared" si="64"/>
        <v>0.5</v>
      </c>
      <c r="BS143" s="101">
        <f t="shared" si="65"/>
        <v>16.5</v>
      </c>
    </row>
    <row r="144" spans="1:71" x14ac:dyDescent="0.6">
      <c r="A144" s="373" t="s">
        <v>262</v>
      </c>
      <c r="B144" s="1" t="s">
        <v>3046</v>
      </c>
      <c r="C144" s="380" t="s">
        <v>919</v>
      </c>
      <c r="D144" s="354" t="s">
        <v>481</v>
      </c>
      <c r="E144" s="352" t="s">
        <v>704</v>
      </c>
      <c r="F144" s="352" t="s">
        <v>1118</v>
      </c>
      <c r="G144" s="353">
        <v>27575</v>
      </c>
      <c r="H144" s="352" t="s">
        <v>830</v>
      </c>
      <c r="I144" s="352" t="s">
        <v>773</v>
      </c>
      <c r="J144" s="352" t="s">
        <v>1166</v>
      </c>
      <c r="K144" s="352" t="s">
        <v>91</v>
      </c>
      <c r="L144" s="381">
        <v>86856870802</v>
      </c>
      <c r="M144" s="376">
        <v>76041738670</v>
      </c>
      <c r="N144" s="376">
        <v>10815132132</v>
      </c>
      <c r="O144" s="376">
        <v>18511997130</v>
      </c>
      <c r="P144" s="376">
        <v>1524131094</v>
      </c>
      <c r="Q144" s="376">
        <v>1536847185</v>
      </c>
      <c r="R144" s="376">
        <v>1141384899</v>
      </c>
      <c r="S144" s="325">
        <v>1</v>
      </c>
      <c r="T144" s="246">
        <f t="shared" si="49"/>
        <v>50</v>
      </c>
      <c r="U144" s="77">
        <f t="shared" si="50"/>
        <v>1</v>
      </c>
      <c r="V144" s="377">
        <v>0</v>
      </c>
      <c r="W144" s="377">
        <v>0</v>
      </c>
      <c r="X144" s="377">
        <v>1</v>
      </c>
      <c r="Y144" s="377">
        <v>0</v>
      </c>
      <c r="Z144" s="377">
        <v>0</v>
      </c>
      <c r="AA144" s="377">
        <v>0</v>
      </c>
      <c r="AB144" s="377">
        <v>0</v>
      </c>
      <c r="AC144" s="247">
        <f t="shared" si="51"/>
        <v>1</v>
      </c>
      <c r="AD144" s="247">
        <f t="shared" si="52"/>
        <v>75</v>
      </c>
      <c r="AE144" s="81">
        <f>AD144*0.02</f>
        <v>1.5</v>
      </c>
      <c r="AF144" s="360" t="s">
        <v>2902</v>
      </c>
      <c r="AG144" s="360" t="s">
        <v>2902</v>
      </c>
      <c r="AH144" s="248" t="s">
        <v>2326</v>
      </c>
      <c r="AI144" s="248" t="s">
        <v>2326</v>
      </c>
      <c r="AJ144" s="248"/>
      <c r="AK144" s="373">
        <v>0</v>
      </c>
      <c r="AL144" s="373">
        <v>0</v>
      </c>
      <c r="AM144" s="373">
        <v>0</v>
      </c>
      <c r="AN144" s="373">
        <v>2</v>
      </c>
      <c r="AO144" s="370" t="s">
        <v>3047</v>
      </c>
      <c r="AP144" s="249">
        <f>SUM(AK144:AN144)</f>
        <v>2</v>
      </c>
      <c r="AQ144" s="250">
        <f t="shared" si="69"/>
        <v>50</v>
      </c>
      <c r="AR144" s="83">
        <f>AQ144*0.05</f>
        <v>2.5</v>
      </c>
      <c r="AS144" s="395">
        <v>0</v>
      </c>
      <c r="AT144" s="370" t="s">
        <v>3240</v>
      </c>
      <c r="AU144" s="251">
        <f>IF(AS144=0, 100, IF(AS144=1, 200/3, IF(AS144&gt;=2, 100/3)))</f>
        <v>100</v>
      </c>
      <c r="AV144" s="87">
        <f>AU144*0.01</f>
        <v>1</v>
      </c>
      <c r="AW144" s="325">
        <v>0</v>
      </c>
      <c r="AX144" s="247">
        <f t="shared" si="53"/>
        <v>50</v>
      </c>
      <c r="AY144" s="90">
        <f t="shared" si="54"/>
        <v>2</v>
      </c>
      <c r="AZ144" s="378">
        <v>0</v>
      </c>
      <c r="BA144" s="449" t="s">
        <v>3782</v>
      </c>
      <c r="BB144" s="247">
        <f t="shared" si="55"/>
        <v>100</v>
      </c>
      <c r="BC144" s="91">
        <f t="shared" si="56"/>
        <v>2</v>
      </c>
      <c r="BD144" s="325">
        <v>0</v>
      </c>
      <c r="BE144" s="325">
        <v>0</v>
      </c>
      <c r="BF144" s="325">
        <v>0</v>
      </c>
      <c r="BG144" s="252">
        <f t="shared" si="57"/>
        <v>0</v>
      </c>
      <c r="BH144" s="246">
        <f t="shared" si="58"/>
        <v>100</v>
      </c>
      <c r="BI144" s="90">
        <f t="shared" si="59"/>
        <v>1</v>
      </c>
      <c r="BJ144" s="325">
        <v>0</v>
      </c>
      <c r="BK144" s="247">
        <f t="shared" si="60"/>
        <v>100</v>
      </c>
      <c r="BL144" s="94">
        <f t="shared" si="61"/>
        <v>2</v>
      </c>
      <c r="BM144" s="325">
        <v>0</v>
      </c>
      <c r="BN144" s="325">
        <v>0</v>
      </c>
      <c r="BO144" s="325">
        <v>1</v>
      </c>
      <c r="BP144" s="211">
        <f t="shared" si="62"/>
        <v>1</v>
      </c>
      <c r="BQ144" s="253">
        <f t="shared" si="63"/>
        <v>50</v>
      </c>
      <c r="BR144" s="99">
        <f t="shared" si="64"/>
        <v>0.5</v>
      </c>
      <c r="BS144" s="101">
        <f t="shared" si="65"/>
        <v>13.5</v>
      </c>
    </row>
    <row r="145" spans="1:71" x14ac:dyDescent="0.6">
      <c r="A145" s="373" t="s">
        <v>7</v>
      </c>
      <c r="B145" s="1" t="s">
        <v>3048</v>
      </c>
      <c r="C145" s="380" t="s">
        <v>42</v>
      </c>
      <c r="D145" s="351" t="s">
        <v>203</v>
      </c>
      <c r="E145" s="352" t="s">
        <v>200</v>
      </c>
      <c r="F145" s="352" t="s">
        <v>661</v>
      </c>
      <c r="G145" s="353">
        <v>29560</v>
      </c>
      <c r="H145" s="352" t="s">
        <v>830</v>
      </c>
      <c r="I145" s="352" t="s">
        <v>903</v>
      </c>
      <c r="J145" s="352" t="s">
        <v>1064</v>
      </c>
      <c r="K145" s="352" t="s">
        <v>690</v>
      </c>
      <c r="L145" s="381">
        <v>287810418</v>
      </c>
      <c r="M145" s="376">
        <v>149871483</v>
      </c>
      <c r="N145" s="376">
        <v>137938935</v>
      </c>
      <c r="O145" s="376">
        <v>272706610</v>
      </c>
      <c r="P145" s="376">
        <v>22413049</v>
      </c>
      <c r="Q145" s="376">
        <v>21027374</v>
      </c>
      <c r="R145" s="376">
        <v>17206656</v>
      </c>
      <c r="S145" s="325">
        <v>0</v>
      </c>
      <c r="T145" s="246">
        <f t="shared" si="49"/>
        <v>100</v>
      </c>
      <c r="U145" s="77">
        <f t="shared" si="50"/>
        <v>2</v>
      </c>
      <c r="V145" s="377">
        <v>0</v>
      </c>
      <c r="W145" s="377">
        <v>0</v>
      </c>
      <c r="X145" s="377">
        <v>0</v>
      </c>
      <c r="Y145" s="377">
        <v>0</v>
      </c>
      <c r="Z145" s="377">
        <v>0</v>
      </c>
      <c r="AA145" s="377">
        <v>0</v>
      </c>
      <c r="AB145" s="377">
        <v>0</v>
      </c>
      <c r="AC145" s="247">
        <f t="shared" si="51"/>
        <v>0</v>
      </c>
      <c r="AD145" s="247">
        <f t="shared" si="52"/>
        <v>100</v>
      </c>
      <c r="AE145" s="82">
        <f t="shared" ref="AE145:AE179" si="70">AD145*0.05</f>
        <v>5</v>
      </c>
      <c r="AF145" s="377">
        <v>0</v>
      </c>
      <c r="AG145" s="377">
        <v>0</v>
      </c>
      <c r="AH145" s="247">
        <f t="shared" si="66"/>
        <v>0</v>
      </c>
      <c r="AI145" s="247">
        <f t="shared" si="67"/>
        <v>100</v>
      </c>
      <c r="AJ145" s="82">
        <f t="shared" si="68"/>
        <v>3</v>
      </c>
      <c r="AK145" s="367" t="s">
        <v>2902</v>
      </c>
      <c r="AL145" s="367" t="s">
        <v>2902</v>
      </c>
      <c r="AM145" s="367" t="s">
        <v>2902</v>
      </c>
      <c r="AN145" s="367" t="s">
        <v>2902</v>
      </c>
      <c r="AO145" s="367" t="s">
        <v>2902</v>
      </c>
      <c r="AP145" s="296" t="s">
        <v>2326</v>
      </c>
      <c r="AQ145" s="296" t="s">
        <v>2326</v>
      </c>
      <c r="AR145" s="297"/>
      <c r="AS145" s="367" t="s">
        <v>2902</v>
      </c>
      <c r="AT145" s="367" t="s">
        <v>2902</v>
      </c>
      <c r="AU145" s="296" t="s">
        <v>2326</v>
      </c>
      <c r="AV145" s="297"/>
      <c r="AW145" s="325">
        <v>1</v>
      </c>
      <c r="AX145" s="247">
        <f t="shared" si="53"/>
        <v>100</v>
      </c>
      <c r="AY145" s="90">
        <f t="shared" si="54"/>
        <v>4</v>
      </c>
      <c r="AZ145" s="378">
        <v>0</v>
      </c>
      <c r="BA145" s="449" t="s">
        <v>3782</v>
      </c>
      <c r="BB145" s="247">
        <f t="shared" si="55"/>
        <v>100</v>
      </c>
      <c r="BC145" s="91">
        <f t="shared" si="56"/>
        <v>2</v>
      </c>
      <c r="BD145" s="325">
        <v>0</v>
      </c>
      <c r="BE145" s="325">
        <v>0</v>
      </c>
      <c r="BF145" s="325">
        <v>0</v>
      </c>
      <c r="BG145" s="252">
        <f t="shared" si="57"/>
        <v>0</v>
      </c>
      <c r="BH145" s="246">
        <f t="shared" si="58"/>
        <v>100</v>
      </c>
      <c r="BI145" s="90">
        <f t="shared" si="59"/>
        <v>1</v>
      </c>
      <c r="BJ145" s="325">
        <v>0</v>
      </c>
      <c r="BK145" s="247">
        <f t="shared" si="60"/>
        <v>100</v>
      </c>
      <c r="BL145" s="94">
        <f t="shared" si="61"/>
        <v>2</v>
      </c>
      <c r="BM145" s="325">
        <v>0</v>
      </c>
      <c r="BN145" s="325">
        <v>0</v>
      </c>
      <c r="BO145" s="325">
        <v>0</v>
      </c>
      <c r="BP145" s="211">
        <f t="shared" si="62"/>
        <v>0</v>
      </c>
      <c r="BQ145" s="253">
        <f t="shared" si="63"/>
        <v>25</v>
      </c>
      <c r="BR145" s="99">
        <f t="shared" si="64"/>
        <v>0.25</v>
      </c>
      <c r="BS145" s="101">
        <f t="shared" si="65"/>
        <v>19.25</v>
      </c>
    </row>
    <row r="146" spans="1:71" x14ac:dyDescent="0.6">
      <c r="A146" s="373" t="s">
        <v>741</v>
      </c>
      <c r="B146" s="13" t="s">
        <v>3049</v>
      </c>
      <c r="C146" s="380" t="s">
        <v>909</v>
      </c>
      <c r="D146" s="351" t="s">
        <v>191</v>
      </c>
      <c r="E146" s="352" t="s">
        <v>178</v>
      </c>
      <c r="F146" s="352" t="s">
        <v>809</v>
      </c>
      <c r="G146" s="353">
        <v>40882</v>
      </c>
      <c r="H146" s="352" t="s">
        <v>830</v>
      </c>
      <c r="I146" s="352" t="s">
        <v>239</v>
      </c>
      <c r="J146" s="352" t="s">
        <v>1153</v>
      </c>
      <c r="K146" s="352" t="s">
        <v>91</v>
      </c>
      <c r="L146" s="381">
        <v>2278458050</v>
      </c>
      <c r="M146" s="376">
        <v>1056955250</v>
      </c>
      <c r="N146" s="376">
        <v>1221502799</v>
      </c>
      <c r="O146" s="376">
        <v>1998768182</v>
      </c>
      <c r="P146" s="376">
        <v>37795019</v>
      </c>
      <c r="Q146" s="376">
        <v>66850204</v>
      </c>
      <c r="R146" s="376">
        <v>55711450</v>
      </c>
      <c r="S146" s="325">
        <v>1</v>
      </c>
      <c r="T146" s="246">
        <f t="shared" si="49"/>
        <v>50</v>
      </c>
      <c r="U146" s="77">
        <f t="shared" si="50"/>
        <v>1</v>
      </c>
      <c r="V146" s="377">
        <v>0</v>
      </c>
      <c r="W146" s="377">
        <v>0</v>
      </c>
      <c r="X146" s="377">
        <v>0</v>
      </c>
      <c r="Y146" s="377">
        <v>0</v>
      </c>
      <c r="Z146" s="377">
        <v>0</v>
      </c>
      <c r="AA146" s="377">
        <v>0</v>
      </c>
      <c r="AB146" s="377">
        <v>0</v>
      </c>
      <c r="AC146" s="247">
        <f t="shared" si="51"/>
        <v>0</v>
      </c>
      <c r="AD146" s="247">
        <f t="shared" si="52"/>
        <v>100</v>
      </c>
      <c r="AE146" s="82">
        <f t="shared" si="70"/>
        <v>5</v>
      </c>
      <c r="AF146" s="377">
        <v>0</v>
      </c>
      <c r="AG146" s="377">
        <v>0</v>
      </c>
      <c r="AH146" s="247">
        <f t="shared" si="66"/>
        <v>0</v>
      </c>
      <c r="AI146" s="247">
        <f t="shared" si="67"/>
        <v>100</v>
      </c>
      <c r="AJ146" s="82">
        <f t="shared" si="68"/>
        <v>3</v>
      </c>
      <c r="AK146" s="367" t="s">
        <v>2902</v>
      </c>
      <c r="AL146" s="367" t="s">
        <v>2902</v>
      </c>
      <c r="AM146" s="367" t="s">
        <v>2902</v>
      </c>
      <c r="AN146" s="367" t="s">
        <v>2902</v>
      </c>
      <c r="AO146" s="367" t="s">
        <v>2902</v>
      </c>
      <c r="AP146" s="296" t="s">
        <v>2326</v>
      </c>
      <c r="AQ146" s="296" t="s">
        <v>2326</v>
      </c>
      <c r="AR146" s="297"/>
      <c r="AS146" s="367" t="s">
        <v>2902</v>
      </c>
      <c r="AT146" s="367" t="s">
        <v>2902</v>
      </c>
      <c r="AU146" s="296" t="s">
        <v>2326</v>
      </c>
      <c r="AV146" s="297"/>
      <c r="AW146" s="325">
        <v>1</v>
      </c>
      <c r="AX146" s="247">
        <f t="shared" si="53"/>
        <v>100</v>
      </c>
      <c r="AY146" s="90">
        <f t="shared" si="54"/>
        <v>4</v>
      </c>
      <c r="AZ146" s="378">
        <v>0</v>
      </c>
      <c r="BA146" s="449" t="s">
        <v>3782</v>
      </c>
      <c r="BB146" s="247">
        <f t="shared" si="55"/>
        <v>100</v>
      </c>
      <c r="BC146" s="91">
        <f t="shared" si="56"/>
        <v>2</v>
      </c>
      <c r="BD146" s="325">
        <v>0</v>
      </c>
      <c r="BE146" s="325">
        <v>0</v>
      </c>
      <c r="BF146" s="325">
        <v>0</v>
      </c>
      <c r="BG146" s="252">
        <f t="shared" si="57"/>
        <v>0</v>
      </c>
      <c r="BH146" s="246">
        <f t="shared" si="58"/>
        <v>100</v>
      </c>
      <c r="BI146" s="90">
        <f t="shared" si="59"/>
        <v>1</v>
      </c>
      <c r="BJ146" s="325">
        <v>0</v>
      </c>
      <c r="BK146" s="247">
        <f t="shared" si="60"/>
        <v>100</v>
      </c>
      <c r="BL146" s="94">
        <f t="shared" si="61"/>
        <v>2</v>
      </c>
      <c r="BM146" s="325">
        <v>0</v>
      </c>
      <c r="BN146" s="325">
        <v>0</v>
      </c>
      <c r="BO146" s="325">
        <v>1</v>
      </c>
      <c r="BP146" s="211">
        <f t="shared" si="62"/>
        <v>1</v>
      </c>
      <c r="BQ146" s="253">
        <f t="shared" si="63"/>
        <v>50</v>
      </c>
      <c r="BR146" s="99">
        <f t="shared" si="64"/>
        <v>0.5</v>
      </c>
      <c r="BS146" s="101">
        <f t="shared" si="65"/>
        <v>18.5</v>
      </c>
    </row>
    <row r="147" spans="1:71" x14ac:dyDescent="0.6">
      <c r="A147" s="373" t="s">
        <v>363</v>
      </c>
      <c r="B147" s="1" t="s">
        <v>3050</v>
      </c>
      <c r="C147" s="380" t="s">
        <v>105</v>
      </c>
      <c r="D147" s="351" t="s">
        <v>191</v>
      </c>
      <c r="E147" s="352" t="s">
        <v>178</v>
      </c>
      <c r="F147" s="352" t="s">
        <v>563</v>
      </c>
      <c r="G147" s="353">
        <v>27575</v>
      </c>
      <c r="H147" s="352" t="s">
        <v>830</v>
      </c>
      <c r="I147" s="352" t="s">
        <v>1693</v>
      </c>
      <c r="J147" s="352" t="s">
        <v>1183</v>
      </c>
      <c r="K147" s="352" t="s">
        <v>91</v>
      </c>
      <c r="L147" s="381">
        <v>857127709</v>
      </c>
      <c r="M147" s="376">
        <v>439493133</v>
      </c>
      <c r="N147" s="376">
        <v>417634577</v>
      </c>
      <c r="O147" s="376">
        <v>833227370</v>
      </c>
      <c r="P147" s="376">
        <v>86234040</v>
      </c>
      <c r="Q147" s="376">
        <v>96322163</v>
      </c>
      <c r="R147" s="376">
        <v>75455528</v>
      </c>
      <c r="S147" s="325">
        <v>0</v>
      </c>
      <c r="T147" s="246">
        <f t="shared" si="49"/>
        <v>100</v>
      </c>
      <c r="U147" s="77">
        <f t="shared" si="50"/>
        <v>2</v>
      </c>
      <c r="V147" s="377">
        <v>0</v>
      </c>
      <c r="W147" s="377">
        <v>0</v>
      </c>
      <c r="X147" s="377">
        <v>0</v>
      </c>
      <c r="Y147" s="377">
        <v>0</v>
      </c>
      <c r="Z147" s="377">
        <v>0</v>
      </c>
      <c r="AA147" s="377">
        <v>0</v>
      </c>
      <c r="AB147" s="377">
        <v>0</v>
      </c>
      <c r="AC147" s="247">
        <f t="shared" si="51"/>
        <v>0</v>
      </c>
      <c r="AD147" s="247">
        <f t="shared" si="52"/>
        <v>100</v>
      </c>
      <c r="AE147" s="82">
        <f t="shared" si="70"/>
        <v>5</v>
      </c>
      <c r="AF147" s="377">
        <v>0</v>
      </c>
      <c r="AG147" s="377">
        <v>0</v>
      </c>
      <c r="AH147" s="247">
        <f t="shared" si="66"/>
        <v>0</v>
      </c>
      <c r="AI147" s="247">
        <f t="shared" si="67"/>
        <v>100</v>
      </c>
      <c r="AJ147" s="82">
        <f t="shared" si="68"/>
        <v>3</v>
      </c>
      <c r="AK147" s="367" t="s">
        <v>2902</v>
      </c>
      <c r="AL147" s="367" t="s">
        <v>2902</v>
      </c>
      <c r="AM147" s="367" t="s">
        <v>2902</v>
      </c>
      <c r="AN147" s="367" t="s">
        <v>2902</v>
      </c>
      <c r="AO147" s="367" t="s">
        <v>2902</v>
      </c>
      <c r="AP147" s="296" t="s">
        <v>2326</v>
      </c>
      <c r="AQ147" s="296" t="s">
        <v>2326</v>
      </c>
      <c r="AR147" s="297"/>
      <c r="AS147" s="367" t="s">
        <v>2902</v>
      </c>
      <c r="AT147" s="367" t="s">
        <v>2902</v>
      </c>
      <c r="AU147" s="296" t="s">
        <v>2326</v>
      </c>
      <c r="AV147" s="297"/>
      <c r="AW147" s="325">
        <v>1</v>
      </c>
      <c r="AX147" s="247">
        <f t="shared" si="53"/>
        <v>100</v>
      </c>
      <c r="AY147" s="90">
        <f t="shared" si="54"/>
        <v>4</v>
      </c>
      <c r="AZ147" s="378">
        <v>0</v>
      </c>
      <c r="BA147" s="449" t="s">
        <v>3782</v>
      </c>
      <c r="BB147" s="247">
        <f t="shared" si="55"/>
        <v>100</v>
      </c>
      <c r="BC147" s="91">
        <f t="shared" si="56"/>
        <v>2</v>
      </c>
      <c r="BD147" s="325">
        <v>0</v>
      </c>
      <c r="BE147" s="325">
        <v>0</v>
      </c>
      <c r="BF147" s="325">
        <v>0</v>
      </c>
      <c r="BG147" s="252">
        <f t="shared" si="57"/>
        <v>0</v>
      </c>
      <c r="BH147" s="246">
        <f t="shared" si="58"/>
        <v>100</v>
      </c>
      <c r="BI147" s="90">
        <f t="shared" si="59"/>
        <v>1</v>
      </c>
      <c r="BJ147" s="325">
        <v>0</v>
      </c>
      <c r="BK147" s="247">
        <f t="shared" si="60"/>
        <v>100</v>
      </c>
      <c r="BL147" s="94">
        <f t="shared" si="61"/>
        <v>2</v>
      </c>
      <c r="BM147" s="325">
        <v>0</v>
      </c>
      <c r="BN147" s="325">
        <v>0</v>
      </c>
      <c r="BO147" s="325">
        <v>1</v>
      </c>
      <c r="BP147" s="211">
        <f t="shared" si="62"/>
        <v>1</v>
      </c>
      <c r="BQ147" s="253">
        <f t="shared" si="63"/>
        <v>50</v>
      </c>
      <c r="BR147" s="99">
        <f t="shared" si="64"/>
        <v>0.5</v>
      </c>
      <c r="BS147" s="101">
        <f t="shared" si="65"/>
        <v>19.5</v>
      </c>
    </row>
    <row r="148" spans="1:71" x14ac:dyDescent="0.6">
      <c r="A148" s="373" t="s">
        <v>885</v>
      </c>
      <c r="B148" s="13" t="s">
        <v>3051</v>
      </c>
      <c r="C148" s="380" t="s">
        <v>311</v>
      </c>
      <c r="D148" s="351" t="s">
        <v>191</v>
      </c>
      <c r="E148" s="352" t="s">
        <v>977</v>
      </c>
      <c r="F148" s="352" t="s">
        <v>393</v>
      </c>
      <c r="G148" s="353">
        <v>32822</v>
      </c>
      <c r="H148" s="352" t="s">
        <v>830</v>
      </c>
      <c r="I148" s="352" t="s">
        <v>1103</v>
      </c>
      <c r="J148" s="352" t="s">
        <v>1200</v>
      </c>
      <c r="K148" s="352" t="s">
        <v>91</v>
      </c>
      <c r="L148" s="381">
        <v>443969944</v>
      </c>
      <c r="M148" s="376">
        <v>38559474</v>
      </c>
      <c r="N148" s="376">
        <v>405410470</v>
      </c>
      <c r="O148" s="376">
        <v>177572920</v>
      </c>
      <c r="P148" s="376">
        <v>14182631</v>
      </c>
      <c r="Q148" s="376">
        <v>16901598</v>
      </c>
      <c r="R148" s="376">
        <v>12822855</v>
      </c>
      <c r="S148" s="325">
        <v>1</v>
      </c>
      <c r="T148" s="246">
        <f t="shared" si="49"/>
        <v>50</v>
      </c>
      <c r="U148" s="77">
        <f t="shared" si="50"/>
        <v>1</v>
      </c>
      <c r="V148" s="377">
        <v>0</v>
      </c>
      <c r="W148" s="377">
        <v>0</v>
      </c>
      <c r="X148" s="377">
        <v>0</v>
      </c>
      <c r="Y148" s="377">
        <v>0</v>
      </c>
      <c r="Z148" s="377">
        <v>0</v>
      </c>
      <c r="AA148" s="377">
        <v>0</v>
      </c>
      <c r="AB148" s="377">
        <v>0</v>
      </c>
      <c r="AC148" s="247">
        <f t="shared" si="51"/>
        <v>0</v>
      </c>
      <c r="AD148" s="247">
        <f t="shared" si="52"/>
        <v>100</v>
      </c>
      <c r="AE148" s="82">
        <f t="shared" si="70"/>
        <v>5</v>
      </c>
      <c r="AF148" s="377">
        <v>0</v>
      </c>
      <c r="AG148" s="377">
        <v>0</v>
      </c>
      <c r="AH148" s="247">
        <f t="shared" si="66"/>
        <v>0</v>
      </c>
      <c r="AI148" s="247">
        <f t="shared" si="67"/>
        <v>100</v>
      </c>
      <c r="AJ148" s="82">
        <f t="shared" si="68"/>
        <v>3</v>
      </c>
      <c r="AK148" s="367" t="s">
        <v>2902</v>
      </c>
      <c r="AL148" s="367" t="s">
        <v>2902</v>
      </c>
      <c r="AM148" s="367" t="s">
        <v>2902</v>
      </c>
      <c r="AN148" s="367" t="s">
        <v>2902</v>
      </c>
      <c r="AO148" s="367" t="s">
        <v>2902</v>
      </c>
      <c r="AP148" s="296" t="s">
        <v>2326</v>
      </c>
      <c r="AQ148" s="296" t="s">
        <v>2326</v>
      </c>
      <c r="AR148" s="297"/>
      <c r="AS148" s="367" t="s">
        <v>2902</v>
      </c>
      <c r="AT148" s="367" t="s">
        <v>2902</v>
      </c>
      <c r="AU148" s="296" t="s">
        <v>2326</v>
      </c>
      <c r="AV148" s="297"/>
      <c r="AW148" s="325">
        <v>0</v>
      </c>
      <c r="AX148" s="247">
        <f t="shared" si="53"/>
        <v>50</v>
      </c>
      <c r="AY148" s="90">
        <f t="shared" si="54"/>
        <v>2</v>
      </c>
      <c r="AZ148" s="378">
        <v>0</v>
      </c>
      <c r="BA148" s="449" t="s">
        <v>3782</v>
      </c>
      <c r="BB148" s="247">
        <f t="shared" si="55"/>
        <v>100</v>
      </c>
      <c r="BC148" s="91">
        <f t="shared" si="56"/>
        <v>2</v>
      </c>
      <c r="BD148" s="325">
        <v>0</v>
      </c>
      <c r="BE148" s="325">
        <v>0</v>
      </c>
      <c r="BF148" s="325">
        <v>0</v>
      </c>
      <c r="BG148" s="252">
        <f t="shared" si="57"/>
        <v>0</v>
      </c>
      <c r="BH148" s="246">
        <f t="shared" si="58"/>
        <v>100</v>
      </c>
      <c r="BI148" s="90">
        <f t="shared" si="59"/>
        <v>1</v>
      </c>
      <c r="BJ148" s="325">
        <v>0</v>
      </c>
      <c r="BK148" s="247">
        <f t="shared" si="60"/>
        <v>100</v>
      </c>
      <c r="BL148" s="94">
        <f t="shared" si="61"/>
        <v>2</v>
      </c>
      <c r="BM148" s="325">
        <v>0</v>
      </c>
      <c r="BN148" s="325">
        <v>0</v>
      </c>
      <c r="BO148" s="325">
        <v>1</v>
      </c>
      <c r="BP148" s="211">
        <f t="shared" si="62"/>
        <v>1</v>
      </c>
      <c r="BQ148" s="253">
        <f t="shared" si="63"/>
        <v>50</v>
      </c>
      <c r="BR148" s="99">
        <f t="shared" si="64"/>
        <v>0.5</v>
      </c>
      <c r="BS148" s="101">
        <f t="shared" si="65"/>
        <v>16.5</v>
      </c>
    </row>
    <row r="149" spans="1:71" x14ac:dyDescent="0.6">
      <c r="A149" s="373" t="s">
        <v>1694</v>
      </c>
      <c r="B149" s="1" t="s">
        <v>3052</v>
      </c>
      <c r="C149" s="380" t="s">
        <v>1695</v>
      </c>
      <c r="D149" s="315" t="s">
        <v>203</v>
      </c>
      <c r="E149" s="352" t="s">
        <v>246</v>
      </c>
      <c r="F149" s="352" t="s">
        <v>1696</v>
      </c>
      <c r="G149" s="353">
        <v>27941</v>
      </c>
      <c r="H149" s="352" t="s">
        <v>830</v>
      </c>
      <c r="I149" s="352" t="s">
        <v>1697</v>
      </c>
      <c r="J149" s="352" t="s">
        <v>1698</v>
      </c>
      <c r="K149" s="352" t="s">
        <v>91</v>
      </c>
      <c r="L149" s="381">
        <v>98509521</v>
      </c>
      <c r="M149" s="376">
        <v>46664469</v>
      </c>
      <c r="N149" s="376">
        <v>51845052</v>
      </c>
      <c r="O149" s="376">
        <v>115386329</v>
      </c>
      <c r="P149" s="376">
        <v>2879227</v>
      </c>
      <c r="Q149" s="376">
        <v>2393878</v>
      </c>
      <c r="R149" s="376">
        <v>2701762</v>
      </c>
      <c r="S149" s="325">
        <v>0</v>
      </c>
      <c r="T149" s="246">
        <f t="shared" si="49"/>
        <v>100</v>
      </c>
      <c r="U149" s="77">
        <f t="shared" si="50"/>
        <v>2</v>
      </c>
      <c r="V149" s="377">
        <v>0</v>
      </c>
      <c r="W149" s="377">
        <v>0</v>
      </c>
      <c r="X149" s="377">
        <v>0</v>
      </c>
      <c r="Y149" s="377">
        <v>0</v>
      </c>
      <c r="Z149" s="377">
        <v>0</v>
      </c>
      <c r="AA149" s="377">
        <v>0</v>
      </c>
      <c r="AB149" s="377">
        <v>0</v>
      </c>
      <c r="AC149" s="247">
        <f t="shared" si="51"/>
        <v>0</v>
      </c>
      <c r="AD149" s="247">
        <f t="shared" si="52"/>
        <v>100</v>
      </c>
      <c r="AE149" s="82">
        <f t="shared" si="70"/>
        <v>5</v>
      </c>
      <c r="AF149" s="377">
        <v>0</v>
      </c>
      <c r="AG149" s="377">
        <v>0</v>
      </c>
      <c r="AH149" s="247">
        <f t="shared" si="66"/>
        <v>0</v>
      </c>
      <c r="AI149" s="247">
        <f t="shared" si="67"/>
        <v>100</v>
      </c>
      <c r="AJ149" s="82">
        <f t="shared" si="68"/>
        <v>3</v>
      </c>
      <c r="AK149" s="367" t="s">
        <v>2902</v>
      </c>
      <c r="AL149" s="367" t="s">
        <v>2902</v>
      </c>
      <c r="AM149" s="367" t="s">
        <v>2902</v>
      </c>
      <c r="AN149" s="367" t="s">
        <v>2902</v>
      </c>
      <c r="AO149" s="367" t="s">
        <v>2902</v>
      </c>
      <c r="AP149" s="296" t="s">
        <v>2326</v>
      </c>
      <c r="AQ149" s="296" t="s">
        <v>2326</v>
      </c>
      <c r="AR149" s="297"/>
      <c r="AS149" s="367" t="s">
        <v>2902</v>
      </c>
      <c r="AT149" s="367" t="s">
        <v>2902</v>
      </c>
      <c r="AU149" s="296" t="s">
        <v>2326</v>
      </c>
      <c r="AV149" s="297"/>
      <c r="AW149" s="325">
        <v>1</v>
      </c>
      <c r="AX149" s="247">
        <f t="shared" si="53"/>
        <v>100</v>
      </c>
      <c r="AY149" s="90">
        <f t="shared" si="54"/>
        <v>4</v>
      </c>
      <c r="AZ149" s="378">
        <v>0</v>
      </c>
      <c r="BA149" s="449" t="s">
        <v>3782</v>
      </c>
      <c r="BB149" s="247">
        <f t="shared" si="55"/>
        <v>100</v>
      </c>
      <c r="BC149" s="91">
        <f t="shared" si="56"/>
        <v>2</v>
      </c>
      <c r="BD149" s="325">
        <v>0</v>
      </c>
      <c r="BE149" s="325">
        <v>0</v>
      </c>
      <c r="BF149" s="325">
        <v>1</v>
      </c>
      <c r="BG149" s="252">
        <f t="shared" si="57"/>
        <v>1</v>
      </c>
      <c r="BH149" s="246">
        <f t="shared" si="58"/>
        <v>75</v>
      </c>
      <c r="BI149" s="90">
        <f t="shared" si="59"/>
        <v>0.75</v>
      </c>
      <c r="BJ149" s="325">
        <v>0</v>
      </c>
      <c r="BK149" s="247">
        <f t="shared" si="60"/>
        <v>100</v>
      </c>
      <c r="BL149" s="94">
        <f t="shared" si="61"/>
        <v>2</v>
      </c>
      <c r="BM149" s="325">
        <v>0</v>
      </c>
      <c r="BN149" s="325">
        <v>0</v>
      </c>
      <c r="BO149" s="325">
        <v>1</v>
      </c>
      <c r="BP149" s="211">
        <f t="shared" si="62"/>
        <v>1</v>
      </c>
      <c r="BQ149" s="253">
        <f t="shared" si="63"/>
        <v>50</v>
      </c>
      <c r="BR149" s="99">
        <f t="shared" si="64"/>
        <v>0.5</v>
      </c>
      <c r="BS149" s="101">
        <f t="shared" si="65"/>
        <v>19.25</v>
      </c>
    </row>
    <row r="150" spans="1:71" x14ac:dyDescent="0.6">
      <c r="A150" s="373" t="s">
        <v>911</v>
      </c>
      <c r="B150" s="1" t="s">
        <v>3053</v>
      </c>
      <c r="C150" s="380" t="s">
        <v>439</v>
      </c>
      <c r="D150" s="351" t="s">
        <v>285</v>
      </c>
      <c r="E150" s="352" t="s">
        <v>171</v>
      </c>
      <c r="F150" s="352" t="s">
        <v>259</v>
      </c>
      <c r="G150" s="353">
        <v>32230</v>
      </c>
      <c r="H150" s="352" t="s">
        <v>830</v>
      </c>
      <c r="I150" s="352" t="s">
        <v>793</v>
      </c>
      <c r="J150" s="352" t="s">
        <v>1216</v>
      </c>
      <c r="K150" s="352" t="s">
        <v>91</v>
      </c>
      <c r="L150" s="381">
        <v>395346619</v>
      </c>
      <c r="M150" s="376">
        <v>33864968</v>
      </c>
      <c r="N150" s="376">
        <v>361481651</v>
      </c>
      <c r="O150" s="376">
        <v>285742678</v>
      </c>
      <c r="P150" s="376">
        <v>9710082</v>
      </c>
      <c r="Q150" s="376">
        <v>36912471</v>
      </c>
      <c r="R150" s="376">
        <v>33624974</v>
      </c>
      <c r="S150" s="325">
        <v>0</v>
      </c>
      <c r="T150" s="246">
        <f t="shared" si="49"/>
        <v>100</v>
      </c>
      <c r="U150" s="77">
        <f t="shared" si="50"/>
        <v>2</v>
      </c>
      <c r="V150" s="377">
        <v>0</v>
      </c>
      <c r="W150" s="377">
        <v>0</v>
      </c>
      <c r="X150" s="377">
        <v>0</v>
      </c>
      <c r="Y150" s="377">
        <v>0</v>
      </c>
      <c r="Z150" s="377">
        <v>0</v>
      </c>
      <c r="AA150" s="377">
        <v>0</v>
      </c>
      <c r="AB150" s="377">
        <v>0</v>
      </c>
      <c r="AC150" s="247">
        <f t="shared" si="51"/>
        <v>0</v>
      </c>
      <c r="AD150" s="247">
        <f t="shared" si="52"/>
        <v>100</v>
      </c>
      <c r="AE150" s="82">
        <f t="shared" si="70"/>
        <v>5</v>
      </c>
      <c r="AF150" s="377">
        <v>0</v>
      </c>
      <c r="AG150" s="377">
        <v>0</v>
      </c>
      <c r="AH150" s="247">
        <f t="shared" si="66"/>
        <v>0</v>
      </c>
      <c r="AI150" s="247">
        <f t="shared" si="67"/>
        <v>100</v>
      </c>
      <c r="AJ150" s="82">
        <f t="shared" si="68"/>
        <v>3</v>
      </c>
      <c r="AK150" s="367" t="s">
        <v>2902</v>
      </c>
      <c r="AL150" s="367" t="s">
        <v>2902</v>
      </c>
      <c r="AM150" s="367" t="s">
        <v>2902</v>
      </c>
      <c r="AN150" s="367" t="s">
        <v>2902</v>
      </c>
      <c r="AO150" s="367" t="s">
        <v>2902</v>
      </c>
      <c r="AP150" s="296" t="s">
        <v>2326</v>
      </c>
      <c r="AQ150" s="296" t="s">
        <v>2326</v>
      </c>
      <c r="AR150" s="297"/>
      <c r="AS150" s="367" t="s">
        <v>2902</v>
      </c>
      <c r="AT150" s="367" t="s">
        <v>2902</v>
      </c>
      <c r="AU150" s="296" t="s">
        <v>2326</v>
      </c>
      <c r="AV150" s="297"/>
      <c r="AW150" s="325">
        <v>1</v>
      </c>
      <c r="AX150" s="247">
        <f t="shared" si="53"/>
        <v>100</v>
      </c>
      <c r="AY150" s="90">
        <f t="shared" si="54"/>
        <v>4</v>
      </c>
      <c r="AZ150" s="378">
        <v>0</v>
      </c>
      <c r="BA150" s="449" t="s">
        <v>3782</v>
      </c>
      <c r="BB150" s="247">
        <f t="shared" si="55"/>
        <v>100</v>
      </c>
      <c r="BC150" s="91">
        <f t="shared" si="56"/>
        <v>2</v>
      </c>
      <c r="BD150" s="325">
        <v>0</v>
      </c>
      <c r="BE150" s="325">
        <v>0</v>
      </c>
      <c r="BF150" s="325">
        <v>1</v>
      </c>
      <c r="BG150" s="252">
        <f t="shared" si="57"/>
        <v>1</v>
      </c>
      <c r="BH150" s="246">
        <f t="shared" si="58"/>
        <v>75</v>
      </c>
      <c r="BI150" s="90">
        <f t="shared" si="59"/>
        <v>0.75</v>
      </c>
      <c r="BJ150" s="325">
        <v>0</v>
      </c>
      <c r="BK150" s="247">
        <f t="shared" si="60"/>
        <v>100</v>
      </c>
      <c r="BL150" s="94">
        <f t="shared" si="61"/>
        <v>2</v>
      </c>
      <c r="BM150" s="325">
        <v>0</v>
      </c>
      <c r="BN150" s="325">
        <v>0</v>
      </c>
      <c r="BO150" s="325">
        <v>0</v>
      </c>
      <c r="BP150" s="211">
        <f t="shared" si="62"/>
        <v>0</v>
      </c>
      <c r="BQ150" s="253">
        <f t="shared" si="63"/>
        <v>25</v>
      </c>
      <c r="BR150" s="99">
        <f t="shared" si="64"/>
        <v>0.25</v>
      </c>
      <c r="BS150" s="101">
        <f t="shared" si="65"/>
        <v>19</v>
      </c>
    </row>
    <row r="151" spans="1:71" x14ac:dyDescent="0.6">
      <c r="A151" s="373" t="s">
        <v>940</v>
      </c>
      <c r="B151" s="13" t="s">
        <v>3054</v>
      </c>
      <c r="C151" s="380" t="s">
        <v>888</v>
      </c>
      <c r="D151" s="351" t="s">
        <v>202</v>
      </c>
      <c r="E151" s="352" t="s">
        <v>205</v>
      </c>
      <c r="F151" s="352" t="s">
        <v>387</v>
      </c>
      <c r="G151" s="353">
        <v>28122</v>
      </c>
      <c r="H151" s="352" t="s">
        <v>830</v>
      </c>
      <c r="I151" s="352" t="s">
        <v>986</v>
      </c>
      <c r="J151" s="352" t="s">
        <v>1213</v>
      </c>
      <c r="K151" s="352" t="s">
        <v>690</v>
      </c>
      <c r="L151" s="381">
        <v>486680110</v>
      </c>
      <c r="M151" s="376">
        <v>12024987</v>
      </c>
      <c r="N151" s="376">
        <v>474655123</v>
      </c>
      <c r="O151" s="376">
        <v>196500716</v>
      </c>
      <c r="P151" s="376">
        <v>14583438</v>
      </c>
      <c r="Q151" s="376">
        <v>24138425</v>
      </c>
      <c r="R151" s="376">
        <v>18484244</v>
      </c>
      <c r="S151" s="325">
        <v>0</v>
      </c>
      <c r="T151" s="246">
        <f t="shared" si="49"/>
        <v>100</v>
      </c>
      <c r="U151" s="77">
        <f t="shared" si="50"/>
        <v>2</v>
      </c>
      <c r="V151" s="377">
        <v>0</v>
      </c>
      <c r="W151" s="377">
        <v>0</v>
      </c>
      <c r="X151" s="377">
        <v>0</v>
      </c>
      <c r="Y151" s="377">
        <v>0</v>
      </c>
      <c r="Z151" s="377">
        <v>0</v>
      </c>
      <c r="AA151" s="377">
        <v>0</v>
      </c>
      <c r="AB151" s="377">
        <v>0</v>
      </c>
      <c r="AC151" s="247">
        <f t="shared" si="51"/>
        <v>0</v>
      </c>
      <c r="AD151" s="247">
        <f t="shared" si="52"/>
        <v>100</v>
      </c>
      <c r="AE151" s="82">
        <f t="shared" si="70"/>
        <v>5</v>
      </c>
      <c r="AF151" s="377">
        <v>0</v>
      </c>
      <c r="AG151" s="377">
        <v>0</v>
      </c>
      <c r="AH151" s="247">
        <f t="shared" si="66"/>
        <v>0</v>
      </c>
      <c r="AI151" s="247">
        <f t="shared" si="67"/>
        <v>100</v>
      </c>
      <c r="AJ151" s="82">
        <f t="shared" si="68"/>
        <v>3</v>
      </c>
      <c r="AK151" s="367" t="s">
        <v>2902</v>
      </c>
      <c r="AL151" s="367" t="s">
        <v>2902</v>
      </c>
      <c r="AM151" s="367" t="s">
        <v>2902</v>
      </c>
      <c r="AN151" s="367" t="s">
        <v>2902</v>
      </c>
      <c r="AO151" s="367" t="s">
        <v>2902</v>
      </c>
      <c r="AP151" s="296" t="s">
        <v>2326</v>
      </c>
      <c r="AQ151" s="296" t="s">
        <v>2326</v>
      </c>
      <c r="AR151" s="297"/>
      <c r="AS151" s="367" t="s">
        <v>2902</v>
      </c>
      <c r="AT151" s="367" t="s">
        <v>2902</v>
      </c>
      <c r="AU151" s="296" t="s">
        <v>2326</v>
      </c>
      <c r="AV151" s="297"/>
      <c r="AW151" s="325">
        <v>1</v>
      </c>
      <c r="AX151" s="247">
        <f t="shared" si="53"/>
        <v>100</v>
      </c>
      <c r="AY151" s="90">
        <f t="shared" si="54"/>
        <v>4</v>
      </c>
      <c r="AZ151" s="378">
        <v>0</v>
      </c>
      <c r="BA151" s="449" t="s">
        <v>3782</v>
      </c>
      <c r="BB151" s="247">
        <f t="shared" si="55"/>
        <v>100</v>
      </c>
      <c r="BC151" s="91">
        <f t="shared" si="56"/>
        <v>2</v>
      </c>
      <c r="BD151" s="325">
        <v>0</v>
      </c>
      <c r="BE151" s="325">
        <v>0</v>
      </c>
      <c r="BF151" s="325">
        <v>0</v>
      </c>
      <c r="BG151" s="252">
        <f t="shared" si="57"/>
        <v>0</v>
      </c>
      <c r="BH151" s="246">
        <f t="shared" si="58"/>
        <v>100</v>
      </c>
      <c r="BI151" s="90">
        <f t="shared" si="59"/>
        <v>1</v>
      </c>
      <c r="BJ151" s="325">
        <v>1</v>
      </c>
      <c r="BK151" s="247">
        <f t="shared" si="60"/>
        <v>50</v>
      </c>
      <c r="BL151" s="94">
        <f t="shared" si="61"/>
        <v>1</v>
      </c>
      <c r="BM151" s="325">
        <v>0</v>
      </c>
      <c r="BN151" s="325">
        <v>0</v>
      </c>
      <c r="BO151" s="325">
        <v>1</v>
      </c>
      <c r="BP151" s="211">
        <f t="shared" si="62"/>
        <v>1</v>
      </c>
      <c r="BQ151" s="253">
        <f t="shared" si="63"/>
        <v>50</v>
      </c>
      <c r="BR151" s="99">
        <f t="shared" si="64"/>
        <v>0.5</v>
      </c>
      <c r="BS151" s="101">
        <f t="shared" si="65"/>
        <v>18.5</v>
      </c>
    </row>
    <row r="152" spans="1:71" x14ac:dyDescent="0.6">
      <c r="A152" s="373" t="s">
        <v>94</v>
      </c>
      <c r="B152" s="13" t="s">
        <v>3055</v>
      </c>
      <c r="C152" s="380" t="s">
        <v>943</v>
      </c>
      <c r="D152" s="351" t="s">
        <v>202</v>
      </c>
      <c r="E152" s="352" t="s">
        <v>954</v>
      </c>
      <c r="F152" s="352" t="s">
        <v>152</v>
      </c>
      <c r="G152" s="353">
        <v>40746</v>
      </c>
      <c r="H152" s="352" t="s">
        <v>830</v>
      </c>
      <c r="I152" s="352" t="s">
        <v>1699</v>
      </c>
      <c r="J152" s="352" t="s">
        <v>644</v>
      </c>
      <c r="K152" s="352" t="s">
        <v>31</v>
      </c>
      <c r="L152" s="381">
        <v>293690103</v>
      </c>
      <c r="M152" s="376">
        <v>62909269</v>
      </c>
      <c r="N152" s="376">
        <v>230780834</v>
      </c>
      <c r="O152" s="376">
        <v>364111086</v>
      </c>
      <c r="P152" s="376">
        <v>16532526</v>
      </c>
      <c r="Q152" s="376">
        <v>16979269</v>
      </c>
      <c r="R152" s="376">
        <v>13013318</v>
      </c>
      <c r="S152" s="325">
        <v>1</v>
      </c>
      <c r="T152" s="246">
        <f t="shared" si="49"/>
        <v>50</v>
      </c>
      <c r="U152" s="77">
        <f t="shared" si="50"/>
        <v>1</v>
      </c>
      <c r="V152" s="377">
        <v>0</v>
      </c>
      <c r="W152" s="377">
        <v>0</v>
      </c>
      <c r="X152" s="377">
        <v>0</v>
      </c>
      <c r="Y152" s="377">
        <v>0</v>
      </c>
      <c r="Z152" s="377">
        <v>0</v>
      </c>
      <c r="AA152" s="377">
        <v>0</v>
      </c>
      <c r="AB152" s="377">
        <v>0</v>
      </c>
      <c r="AC152" s="247">
        <f t="shared" si="51"/>
        <v>0</v>
      </c>
      <c r="AD152" s="247">
        <f t="shared" si="52"/>
        <v>100</v>
      </c>
      <c r="AE152" s="82">
        <f t="shared" si="70"/>
        <v>5</v>
      </c>
      <c r="AF152" s="377">
        <v>0</v>
      </c>
      <c r="AG152" s="377">
        <v>0</v>
      </c>
      <c r="AH152" s="247">
        <f t="shared" si="66"/>
        <v>0</v>
      </c>
      <c r="AI152" s="247">
        <f t="shared" si="67"/>
        <v>100</v>
      </c>
      <c r="AJ152" s="82">
        <f t="shared" si="68"/>
        <v>3</v>
      </c>
      <c r="AK152" s="367" t="s">
        <v>2902</v>
      </c>
      <c r="AL152" s="367" t="s">
        <v>2902</v>
      </c>
      <c r="AM152" s="367" t="s">
        <v>2902</v>
      </c>
      <c r="AN152" s="367" t="s">
        <v>2902</v>
      </c>
      <c r="AO152" s="367" t="s">
        <v>2902</v>
      </c>
      <c r="AP152" s="296" t="s">
        <v>2326</v>
      </c>
      <c r="AQ152" s="296" t="s">
        <v>2326</v>
      </c>
      <c r="AR152" s="297"/>
      <c r="AS152" s="367" t="s">
        <v>2902</v>
      </c>
      <c r="AT152" s="367" t="s">
        <v>2902</v>
      </c>
      <c r="AU152" s="296" t="s">
        <v>2326</v>
      </c>
      <c r="AV152" s="297"/>
      <c r="AW152" s="325">
        <v>1</v>
      </c>
      <c r="AX152" s="247">
        <f t="shared" si="53"/>
        <v>100</v>
      </c>
      <c r="AY152" s="90">
        <f t="shared" si="54"/>
        <v>4</v>
      </c>
      <c r="AZ152" s="378">
        <v>0</v>
      </c>
      <c r="BA152" s="449" t="s">
        <v>3782</v>
      </c>
      <c r="BB152" s="247">
        <f t="shared" si="55"/>
        <v>100</v>
      </c>
      <c r="BC152" s="91">
        <f t="shared" si="56"/>
        <v>2</v>
      </c>
      <c r="BD152" s="325">
        <v>0</v>
      </c>
      <c r="BE152" s="325">
        <v>0</v>
      </c>
      <c r="BF152" s="325">
        <v>0</v>
      </c>
      <c r="BG152" s="252">
        <f t="shared" si="57"/>
        <v>0</v>
      </c>
      <c r="BH152" s="246">
        <f t="shared" si="58"/>
        <v>100</v>
      </c>
      <c r="BI152" s="90">
        <f t="shared" si="59"/>
        <v>1</v>
      </c>
      <c r="BJ152" s="325">
        <v>0</v>
      </c>
      <c r="BK152" s="247">
        <f t="shared" si="60"/>
        <v>100</v>
      </c>
      <c r="BL152" s="94">
        <f t="shared" si="61"/>
        <v>2</v>
      </c>
      <c r="BM152" s="325">
        <v>0</v>
      </c>
      <c r="BN152" s="325">
        <v>0</v>
      </c>
      <c r="BO152" s="325">
        <v>0</v>
      </c>
      <c r="BP152" s="211">
        <f t="shared" si="62"/>
        <v>0</v>
      </c>
      <c r="BQ152" s="253">
        <f t="shared" si="63"/>
        <v>25</v>
      </c>
      <c r="BR152" s="99">
        <f t="shared" si="64"/>
        <v>0.25</v>
      </c>
      <c r="BS152" s="101">
        <f t="shared" si="65"/>
        <v>18.25</v>
      </c>
    </row>
    <row r="153" spans="1:71" x14ac:dyDescent="0.6">
      <c r="A153" s="373" t="s">
        <v>371</v>
      </c>
      <c r="B153" s="1" t="s">
        <v>3056</v>
      </c>
      <c r="C153" s="380" t="s">
        <v>930</v>
      </c>
      <c r="D153" s="351" t="s">
        <v>202</v>
      </c>
      <c r="E153" s="352" t="s">
        <v>575</v>
      </c>
      <c r="F153" s="352" t="s">
        <v>123</v>
      </c>
      <c r="G153" s="353">
        <v>32777</v>
      </c>
      <c r="H153" s="352" t="s">
        <v>830</v>
      </c>
      <c r="I153" s="352" t="s">
        <v>279</v>
      </c>
      <c r="J153" s="352" t="s">
        <v>1177</v>
      </c>
      <c r="K153" s="352" t="s">
        <v>308</v>
      </c>
      <c r="L153" s="381">
        <v>439293006</v>
      </c>
      <c r="M153" s="376">
        <v>233301117</v>
      </c>
      <c r="N153" s="376">
        <v>205991889</v>
      </c>
      <c r="O153" s="376">
        <v>339133931</v>
      </c>
      <c r="P153" s="376">
        <v>20669671</v>
      </c>
      <c r="Q153" s="376">
        <v>19430527</v>
      </c>
      <c r="R153" s="376">
        <v>16418030</v>
      </c>
      <c r="S153" s="325">
        <v>0</v>
      </c>
      <c r="T153" s="246">
        <f t="shared" si="49"/>
        <v>100</v>
      </c>
      <c r="U153" s="77">
        <f t="shared" si="50"/>
        <v>2</v>
      </c>
      <c r="V153" s="377">
        <v>0</v>
      </c>
      <c r="W153" s="377">
        <v>0</v>
      </c>
      <c r="X153" s="377">
        <v>0</v>
      </c>
      <c r="Y153" s="377">
        <v>0</v>
      </c>
      <c r="Z153" s="377">
        <v>0</v>
      </c>
      <c r="AA153" s="377">
        <v>0</v>
      </c>
      <c r="AB153" s="377">
        <v>0</v>
      </c>
      <c r="AC153" s="247">
        <f t="shared" si="51"/>
        <v>0</v>
      </c>
      <c r="AD153" s="247">
        <f t="shared" si="52"/>
        <v>100</v>
      </c>
      <c r="AE153" s="82">
        <f t="shared" si="70"/>
        <v>5</v>
      </c>
      <c r="AF153" s="377">
        <v>0</v>
      </c>
      <c r="AG153" s="377">
        <v>0</v>
      </c>
      <c r="AH153" s="247">
        <f t="shared" si="66"/>
        <v>0</v>
      </c>
      <c r="AI153" s="247">
        <f t="shared" si="67"/>
        <v>100</v>
      </c>
      <c r="AJ153" s="82">
        <f t="shared" si="68"/>
        <v>3</v>
      </c>
      <c r="AK153" s="367" t="s">
        <v>2902</v>
      </c>
      <c r="AL153" s="367" t="s">
        <v>2902</v>
      </c>
      <c r="AM153" s="367" t="s">
        <v>2902</v>
      </c>
      <c r="AN153" s="367" t="s">
        <v>2902</v>
      </c>
      <c r="AO153" s="367" t="s">
        <v>2902</v>
      </c>
      <c r="AP153" s="296" t="s">
        <v>2326</v>
      </c>
      <c r="AQ153" s="296" t="s">
        <v>2326</v>
      </c>
      <c r="AR153" s="297"/>
      <c r="AS153" s="367" t="s">
        <v>2902</v>
      </c>
      <c r="AT153" s="367" t="s">
        <v>2902</v>
      </c>
      <c r="AU153" s="296" t="s">
        <v>2326</v>
      </c>
      <c r="AV153" s="297"/>
      <c r="AW153" s="325">
        <v>1</v>
      </c>
      <c r="AX153" s="247">
        <f t="shared" si="53"/>
        <v>100</v>
      </c>
      <c r="AY153" s="90">
        <f t="shared" si="54"/>
        <v>4</v>
      </c>
      <c r="AZ153" s="378">
        <v>0</v>
      </c>
      <c r="BA153" s="449" t="s">
        <v>3782</v>
      </c>
      <c r="BB153" s="247">
        <f t="shared" si="55"/>
        <v>100</v>
      </c>
      <c r="BC153" s="91">
        <f t="shared" si="56"/>
        <v>2</v>
      </c>
      <c r="BD153" s="325">
        <v>0</v>
      </c>
      <c r="BE153" s="325">
        <v>0</v>
      </c>
      <c r="BF153" s="325">
        <v>0</v>
      </c>
      <c r="BG153" s="252">
        <f t="shared" si="57"/>
        <v>0</v>
      </c>
      <c r="BH153" s="246">
        <f t="shared" si="58"/>
        <v>100</v>
      </c>
      <c r="BI153" s="90">
        <f t="shared" si="59"/>
        <v>1</v>
      </c>
      <c r="BJ153" s="325">
        <v>0</v>
      </c>
      <c r="BK153" s="247">
        <f t="shared" si="60"/>
        <v>100</v>
      </c>
      <c r="BL153" s="94">
        <f t="shared" si="61"/>
        <v>2</v>
      </c>
      <c r="BM153" s="325">
        <v>0</v>
      </c>
      <c r="BN153" s="325">
        <v>0</v>
      </c>
      <c r="BO153" s="325">
        <v>0</v>
      </c>
      <c r="BP153" s="211">
        <f t="shared" si="62"/>
        <v>0</v>
      </c>
      <c r="BQ153" s="253">
        <f t="shared" si="63"/>
        <v>25</v>
      </c>
      <c r="BR153" s="99">
        <f t="shared" si="64"/>
        <v>0.25</v>
      </c>
      <c r="BS153" s="101">
        <f t="shared" si="65"/>
        <v>19.25</v>
      </c>
    </row>
    <row r="154" spans="1:71" x14ac:dyDescent="0.6">
      <c r="A154" s="373" t="s">
        <v>1700</v>
      </c>
      <c r="B154" s="1" t="s">
        <v>3057</v>
      </c>
      <c r="C154" s="380" t="s">
        <v>1701</v>
      </c>
      <c r="D154" s="315" t="s">
        <v>191</v>
      </c>
      <c r="E154" s="352" t="s">
        <v>1702</v>
      </c>
      <c r="F154" s="352" t="s">
        <v>1703</v>
      </c>
      <c r="G154" s="353">
        <v>32416</v>
      </c>
      <c r="H154" s="352" t="s">
        <v>830</v>
      </c>
      <c r="I154" s="352" t="s">
        <v>1704</v>
      </c>
      <c r="J154" s="352" t="s">
        <v>1705</v>
      </c>
      <c r="K154" s="352" t="s">
        <v>317</v>
      </c>
      <c r="L154" s="381">
        <v>292340683</v>
      </c>
      <c r="M154" s="376">
        <v>98908853</v>
      </c>
      <c r="N154" s="376">
        <v>193431830</v>
      </c>
      <c r="O154" s="376">
        <v>135261634</v>
      </c>
      <c r="P154" s="376">
        <v>10418758</v>
      </c>
      <c r="Q154" s="376">
        <v>6051762</v>
      </c>
      <c r="R154" s="376">
        <v>3276434</v>
      </c>
      <c r="S154" s="325">
        <v>0</v>
      </c>
      <c r="T154" s="246">
        <f t="shared" si="49"/>
        <v>100</v>
      </c>
      <c r="U154" s="77">
        <f t="shared" si="50"/>
        <v>2</v>
      </c>
      <c r="V154" s="377">
        <v>0</v>
      </c>
      <c r="W154" s="377">
        <v>0</v>
      </c>
      <c r="X154" s="377">
        <v>0</v>
      </c>
      <c r="Y154" s="377">
        <v>0</v>
      </c>
      <c r="Z154" s="377">
        <v>0</v>
      </c>
      <c r="AA154" s="377">
        <v>0</v>
      </c>
      <c r="AB154" s="377">
        <v>0</v>
      </c>
      <c r="AC154" s="247">
        <f t="shared" si="51"/>
        <v>0</v>
      </c>
      <c r="AD154" s="247">
        <f t="shared" si="52"/>
        <v>100</v>
      </c>
      <c r="AE154" s="82">
        <f t="shared" si="70"/>
        <v>5</v>
      </c>
      <c r="AF154" s="377">
        <v>0</v>
      </c>
      <c r="AG154" s="377">
        <v>0</v>
      </c>
      <c r="AH154" s="247">
        <f t="shared" si="66"/>
        <v>0</v>
      </c>
      <c r="AI154" s="247">
        <f t="shared" si="67"/>
        <v>100</v>
      </c>
      <c r="AJ154" s="82">
        <f t="shared" si="68"/>
        <v>3</v>
      </c>
      <c r="AK154" s="367" t="s">
        <v>2902</v>
      </c>
      <c r="AL154" s="367" t="s">
        <v>2902</v>
      </c>
      <c r="AM154" s="367" t="s">
        <v>2902</v>
      </c>
      <c r="AN154" s="367" t="s">
        <v>2902</v>
      </c>
      <c r="AO154" s="367" t="s">
        <v>2902</v>
      </c>
      <c r="AP154" s="296" t="s">
        <v>2326</v>
      </c>
      <c r="AQ154" s="296" t="s">
        <v>2326</v>
      </c>
      <c r="AR154" s="297"/>
      <c r="AS154" s="367" t="s">
        <v>2902</v>
      </c>
      <c r="AT154" s="367" t="s">
        <v>2902</v>
      </c>
      <c r="AU154" s="296" t="s">
        <v>2326</v>
      </c>
      <c r="AV154" s="297"/>
      <c r="AW154" s="325">
        <v>1</v>
      </c>
      <c r="AX154" s="247">
        <f t="shared" si="53"/>
        <v>100</v>
      </c>
      <c r="AY154" s="90">
        <f t="shared" si="54"/>
        <v>4</v>
      </c>
      <c r="AZ154" s="378">
        <v>0</v>
      </c>
      <c r="BA154" s="449" t="s">
        <v>3782</v>
      </c>
      <c r="BB154" s="247">
        <f t="shared" si="55"/>
        <v>100</v>
      </c>
      <c r="BC154" s="91">
        <f t="shared" si="56"/>
        <v>2</v>
      </c>
      <c r="BD154" s="325">
        <v>0</v>
      </c>
      <c r="BE154" s="325">
        <v>0</v>
      </c>
      <c r="BF154" s="325">
        <v>0</v>
      </c>
      <c r="BG154" s="252">
        <f t="shared" si="57"/>
        <v>0</v>
      </c>
      <c r="BH154" s="246">
        <f t="shared" si="58"/>
        <v>100</v>
      </c>
      <c r="BI154" s="90">
        <f t="shared" si="59"/>
        <v>1</v>
      </c>
      <c r="BJ154" s="325">
        <v>0</v>
      </c>
      <c r="BK154" s="247">
        <f t="shared" si="60"/>
        <v>100</v>
      </c>
      <c r="BL154" s="94">
        <f t="shared" si="61"/>
        <v>2</v>
      </c>
      <c r="BM154" s="325">
        <v>0</v>
      </c>
      <c r="BN154" s="325">
        <v>1</v>
      </c>
      <c r="BO154" s="325">
        <v>1</v>
      </c>
      <c r="BP154" s="211">
        <f t="shared" si="62"/>
        <v>2</v>
      </c>
      <c r="BQ154" s="253">
        <f t="shared" si="63"/>
        <v>75</v>
      </c>
      <c r="BR154" s="99">
        <f t="shared" si="64"/>
        <v>0.75</v>
      </c>
      <c r="BS154" s="101">
        <f t="shared" si="65"/>
        <v>19.75</v>
      </c>
    </row>
    <row r="155" spans="1:71" x14ac:dyDescent="0.6">
      <c r="A155" s="373" t="s">
        <v>906</v>
      </c>
      <c r="B155" s="1" t="s">
        <v>3058</v>
      </c>
      <c r="C155" s="380" t="s">
        <v>300</v>
      </c>
      <c r="D155" s="351" t="s">
        <v>191</v>
      </c>
      <c r="E155" s="352" t="s">
        <v>34</v>
      </c>
      <c r="F155" s="352" t="s">
        <v>395</v>
      </c>
      <c r="G155" s="353">
        <v>32312</v>
      </c>
      <c r="H155" s="352" t="s">
        <v>830</v>
      </c>
      <c r="I155" s="352" t="s">
        <v>730</v>
      </c>
      <c r="J155" s="352" t="s">
        <v>675</v>
      </c>
      <c r="K155" s="352" t="s">
        <v>91</v>
      </c>
      <c r="L155" s="381">
        <v>404796609</v>
      </c>
      <c r="M155" s="376">
        <v>130234655</v>
      </c>
      <c r="N155" s="376">
        <v>274561954</v>
      </c>
      <c r="O155" s="376">
        <v>274031808</v>
      </c>
      <c r="P155" s="376">
        <v>23292333</v>
      </c>
      <c r="Q155" s="376">
        <v>24312301</v>
      </c>
      <c r="R155" s="376">
        <v>21111758</v>
      </c>
      <c r="S155" s="325">
        <v>0</v>
      </c>
      <c r="T155" s="246">
        <f t="shared" si="49"/>
        <v>100</v>
      </c>
      <c r="U155" s="77">
        <f t="shared" si="50"/>
        <v>2</v>
      </c>
      <c r="V155" s="377">
        <v>0</v>
      </c>
      <c r="W155" s="377">
        <v>0</v>
      </c>
      <c r="X155" s="377">
        <v>0</v>
      </c>
      <c r="Y155" s="377">
        <v>0</v>
      </c>
      <c r="Z155" s="377">
        <v>0</v>
      </c>
      <c r="AA155" s="377">
        <v>0</v>
      </c>
      <c r="AB155" s="377">
        <v>0</v>
      </c>
      <c r="AC155" s="247">
        <f t="shared" si="51"/>
        <v>0</v>
      </c>
      <c r="AD155" s="247">
        <f t="shared" si="52"/>
        <v>100</v>
      </c>
      <c r="AE155" s="82">
        <f t="shared" si="70"/>
        <v>5</v>
      </c>
      <c r="AF155" s="377">
        <v>0</v>
      </c>
      <c r="AG155" s="377">
        <v>0</v>
      </c>
      <c r="AH155" s="247">
        <f t="shared" si="66"/>
        <v>0</v>
      </c>
      <c r="AI155" s="247">
        <f t="shared" si="67"/>
        <v>100</v>
      </c>
      <c r="AJ155" s="82">
        <f t="shared" si="68"/>
        <v>3</v>
      </c>
      <c r="AK155" s="367" t="s">
        <v>2902</v>
      </c>
      <c r="AL155" s="367" t="s">
        <v>2902</v>
      </c>
      <c r="AM155" s="367" t="s">
        <v>2902</v>
      </c>
      <c r="AN155" s="367" t="s">
        <v>2902</v>
      </c>
      <c r="AO155" s="367" t="s">
        <v>2902</v>
      </c>
      <c r="AP155" s="296" t="s">
        <v>2326</v>
      </c>
      <c r="AQ155" s="296" t="s">
        <v>2326</v>
      </c>
      <c r="AR155" s="297"/>
      <c r="AS155" s="367" t="s">
        <v>2902</v>
      </c>
      <c r="AT155" s="367" t="s">
        <v>2902</v>
      </c>
      <c r="AU155" s="296" t="s">
        <v>2326</v>
      </c>
      <c r="AV155" s="297"/>
      <c r="AW155" s="325">
        <v>0</v>
      </c>
      <c r="AX155" s="247">
        <f t="shared" si="53"/>
        <v>50</v>
      </c>
      <c r="AY155" s="90">
        <f t="shared" si="54"/>
        <v>2</v>
      </c>
      <c r="AZ155" s="378">
        <v>0</v>
      </c>
      <c r="BA155" s="449" t="s">
        <v>3782</v>
      </c>
      <c r="BB155" s="247">
        <f t="shared" si="55"/>
        <v>100</v>
      </c>
      <c r="BC155" s="91">
        <f t="shared" si="56"/>
        <v>2</v>
      </c>
      <c r="BD155" s="325">
        <v>0</v>
      </c>
      <c r="BE155" s="325">
        <v>0</v>
      </c>
      <c r="BF155" s="325">
        <v>1</v>
      </c>
      <c r="BG155" s="252">
        <f t="shared" si="57"/>
        <v>1</v>
      </c>
      <c r="BH155" s="246">
        <f t="shared" si="58"/>
        <v>75</v>
      </c>
      <c r="BI155" s="90">
        <f t="shared" si="59"/>
        <v>0.75</v>
      </c>
      <c r="BJ155" s="325">
        <v>0</v>
      </c>
      <c r="BK155" s="247">
        <f t="shared" si="60"/>
        <v>100</v>
      </c>
      <c r="BL155" s="94">
        <f t="shared" si="61"/>
        <v>2</v>
      </c>
      <c r="BM155" s="325">
        <v>0</v>
      </c>
      <c r="BN155" s="325">
        <v>0</v>
      </c>
      <c r="BO155" s="325">
        <v>0</v>
      </c>
      <c r="BP155" s="211">
        <f t="shared" si="62"/>
        <v>0</v>
      </c>
      <c r="BQ155" s="253">
        <f t="shared" si="63"/>
        <v>25</v>
      </c>
      <c r="BR155" s="99">
        <f t="shared" si="64"/>
        <v>0.25</v>
      </c>
      <c r="BS155" s="101">
        <f t="shared" si="65"/>
        <v>17</v>
      </c>
    </row>
    <row r="156" spans="1:71" x14ac:dyDescent="0.6">
      <c r="A156" s="373" t="s">
        <v>329</v>
      </c>
      <c r="B156" s="1" t="s">
        <v>3059</v>
      </c>
      <c r="C156" s="380" t="s">
        <v>858</v>
      </c>
      <c r="D156" s="351" t="s">
        <v>285</v>
      </c>
      <c r="E156" s="352" t="s">
        <v>1061</v>
      </c>
      <c r="F156" s="352" t="s">
        <v>124</v>
      </c>
      <c r="G156" s="353">
        <v>38484</v>
      </c>
      <c r="H156" s="352" t="s">
        <v>830</v>
      </c>
      <c r="I156" s="352" t="s">
        <v>734</v>
      </c>
      <c r="J156" s="352" t="s">
        <v>1197</v>
      </c>
      <c r="K156" s="352" t="s">
        <v>425</v>
      </c>
      <c r="L156" s="381">
        <v>278609820</v>
      </c>
      <c r="M156" s="376">
        <v>60662564</v>
      </c>
      <c r="N156" s="376">
        <v>217947256</v>
      </c>
      <c r="O156" s="376">
        <v>300844920</v>
      </c>
      <c r="P156" s="376">
        <v>2168970</v>
      </c>
      <c r="Q156" s="376">
        <v>5936019</v>
      </c>
      <c r="R156" s="376">
        <v>4978376</v>
      </c>
      <c r="S156" s="325">
        <v>0</v>
      </c>
      <c r="T156" s="246">
        <f t="shared" si="49"/>
        <v>100</v>
      </c>
      <c r="U156" s="77">
        <f t="shared" si="50"/>
        <v>2</v>
      </c>
      <c r="V156" s="377">
        <v>0</v>
      </c>
      <c r="W156" s="377">
        <v>0</v>
      </c>
      <c r="X156" s="377">
        <v>0</v>
      </c>
      <c r="Y156" s="377">
        <v>0</v>
      </c>
      <c r="Z156" s="377">
        <v>0</v>
      </c>
      <c r="AA156" s="377">
        <v>0</v>
      </c>
      <c r="AB156" s="377">
        <v>0</v>
      </c>
      <c r="AC156" s="247">
        <f t="shared" si="51"/>
        <v>0</v>
      </c>
      <c r="AD156" s="247">
        <f t="shared" si="52"/>
        <v>100</v>
      </c>
      <c r="AE156" s="82">
        <f t="shared" si="70"/>
        <v>5</v>
      </c>
      <c r="AF156" s="377">
        <v>0</v>
      </c>
      <c r="AG156" s="377">
        <v>0</v>
      </c>
      <c r="AH156" s="247">
        <f t="shared" si="66"/>
        <v>0</v>
      </c>
      <c r="AI156" s="247">
        <f t="shared" si="67"/>
        <v>100</v>
      </c>
      <c r="AJ156" s="82">
        <f t="shared" si="68"/>
        <v>3</v>
      </c>
      <c r="AK156" s="367" t="s">
        <v>2902</v>
      </c>
      <c r="AL156" s="367" t="s">
        <v>2902</v>
      </c>
      <c r="AM156" s="367" t="s">
        <v>2902</v>
      </c>
      <c r="AN156" s="367" t="s">
        <v>2902</v>
      </c>
      <c r="AO156" s="367" t="s">
        <v>2902</v>
      </c>
      <c r="AP156" s="296" t="s">
        <v>2326</v>
      </c>
      <c r="AQ156" s="296" t="s">
        <v>2326</v>
      </c>
      <c r="AR156" s="297"/>
      <c r="AS156" s="367" t="s">
        <v>2902</v>
      </c>
      <c r="AT156" s="367" t="s">
        <v>2902</v>
      </c>
      <c r="AU156" s="296" t="s">
        <v>2326</v>
      </c>
      <c r="AV156" s="297"/>
      <c r="AW156" s="325">
        <v>0</v>
      </c>
      <c r="AX156" s="247">
        <f t="shared" si="53"/>
        <v>50</v>
      </c>
      <c r="AY156" s="90">
        <f t="shared" si="54"/>
        <v>2</v>
      </c>
      <c r="AZ156" s="378">
        <v>0</v>
      </c>
      <c r="BA156" s="449" t="s">
        <v>3782</v>
      </c>
      <c r="BB156" s="247">
        <f t="shared" si="55"/>
        <v>100</v>
      </c>
      <c r="BC156" s="91">
        <f t="shared" si="56"/>
        <v>2</v>
      </c>
      <c r="BD156" s="325">
        <v>0</v>
      </c>
      <c r="BE156" s="325">
        <v>0</v>
      </c>
      <c r="BF156" s="325">
        <v>0</v>
      </c>
      <c r="BG156" s="252">
        <f t="shared" si="57"/>
        <v>0</v>
      </c>
      <c r="BH156" s="246">
        <f t="shared" si="58"/>
        <v>100</v>
      </c>
      <c r="BI156" s="90">
        <f t="shared" si="59"/>
        <v>1</v>
      </c>
      <c r="BJ156" s="325">
        <v>0</v>
      </c>
      <c r="BK156" s="247">
        <f t="shared" si="60"/>
        <v>100</v>
      </c>
      <c r="BL156" s="94">
        <f t="shared" si="61"/>
        <v>2</v>
      </c>
      <c r="BM156" s="325">
        <v>0</v>
      </c>
      <c r="BN156" s="325">
        <v>0</v>
      </c>
      <c r="BO156" s="325">
        <v>1</v>
      </c>
      <c r="BP156" s="211">
        <f t="shared" si="62"/>
        <v>1</v>
      </c>
      <c r="BQ156" s="253">
        <f t="shared" si="63"/>
        <v>50</v>
      </c>
      <c r="BR156" s="99">
        <f t="shared" si="64"/>
        <v>0.5</v>
      </c>
      <c r="BS156" s="101">
        <f t="shared" si="65"/>
        <v>17.5</v>
      </c>
    </row>
    <row r="157" spans="1:71" x14ac:dyDescent="0.6">
      <c r="A157" s="373" t="s">
        <v>27</v>
      </c>
      <c r="B157" s="13" t="s">
        <v>3060</v>
      </c>
      <c r="C157" s="380" t="s">
        <v>312</v>
      </c>
      <c r="D157" s="351" t="s">
        <v>202</v>
      </c>
      <c r="E157" s="352" t="s">
        <v>205</v>
      </c>
      <c r="F157" s="352" t="s">
        <v>260</v>
      </c>
      <c r="G157" s="353">
        <v>31740</v>
      </c>
      <c r="H157" s="352" t="s">
        <v>830</v>
      </c>
      <c r="I157" s="352" t="s">
        <v>250</v>
      </c>
      <c r="J157" s="352" t="s">
        <v>1086</v>
      </c>
      <c r="K157" s="352" t="s">
        <v>317</v>
      </c>
      <c r="L157" s="381">
        <v>110962184</v>
      </c>
      <c r="M157" s="376">
        <v>49075760</v>
      </c>
      <c r="N157" s="376">
        <v>61886424</v>
      </c>
      <c r="O157" s="376">
        <v>192666638</v>
      </c>
      <c r="P157" s="376">
        <v>14593397</v>
      </c>
      <c r="Q157" s="376">
        <v>13329040</v>
      </c>
      <c r="R157" s="376">
        <v>11131018</v>
      </c>
      <c r="S157" s="325">
        <v>0</v>
      </c>
      <c r="T157" s="246">
        <f t="shared" si="49"/>
        <v>100</v>
      </c>
      <c r="U157" s="77">
        <f t="shared" si="50"/>
        <v>2</v>
      </c>
      <c r="V157" s="377">
        <v>0</v>
      </c>
      <c r="W157" s="377">
        <v>0</v>
      </c>
      <c r="X157" s="377">
        <v>0</v>
      </c>
      <c r="Y157" s="377">
        <v>0</v>
      </c>
      <c r="Z157" s="377">
        <v>0</v>
      </c>
      <c r="AA157" s="377">
        <v>0</v>
      </c>
      <c r="AB157" s="377">
        <v>0</v>
      </c>
      <c r="AC157" s="247">
        <f t="shared" si="51"/>
        <v>0</v>
      </c>
      <c r="AD157" s="247">
        <f t="shared" si="52"/>
        <v>100</v>
      </c>
      <c r="AE157" s="82">
        <f t="shared" si="70"/>
        <v>5</v>
      </c>
      <c r="AF157" s="377">
        <v>0</v>
      </c>
      <c r="AG157" s="377">
        <v>0</v>
      </c>
      <c r="AH157" s="247">
        <f t="shared" si="66"/>
        <v>0</v>
      </c>
      <c r="AI157" s="247">
        <f t="shared" si="67"/>
        <v>100</v>
      </c>
      <c r="AJ157" s="82">
        <f t="shared" si="68"/>
        <v>3</v>
      </c>
      <c r="AK157" s="367" t="s">
        <v>2902</v>
      </c>
      <c r="AL157" s="367" t="s">
        <v>2902</v>
      </c>
      <c r="AM157" s="367" t="s">
        <v>2902</v>
      </c>
      <c r="AN157" s="367" t="s">
        <v>2902</v>
      </c>
      <c r="AO157" s="367" t="s">
        <v>2902</v>
      </c>
      <c r="AP157" s="296" t="s">
        <v>2326</v>
      </c>
      <c r="AQ157" s="296" t="s">
        <v>2326</v>
      </c>
      <c r="AR157" s="297"/>
      <c r="AS157" s="367" t="s">
        <v>2902</v>
      </c>
      <c r="AT157" s="367" t="s">
        <v>2902</v>
      </c>
      <c r="AU157" s="296" t="s">
        <v>2326</v>
      </c>
      <c r="AV157" s="297"/>
      <c r="AW157" s="325">
        <v>1</v>
      </c>
      <c r="AX157" s="247">
        <f t="shared" si="53"/>
        <v>100</v>
      </c>
      <c r="AY157" s="90">
        <f t="shared" si="54"/>
        <v>4</v>
      </c>
      <c r="AZ157" s="378">
        <v>0</v>
      </c>
      <c r="BA157" s="449" t="s">
        <v>3782</v>
      </c>
      <c r="BB157" s="247">
        <f t="shared" si="55"/>
        <v>100</v>
      </c>
      <c r="BC157" s="91">
        <f t="shared" si="56"/>
        <v>2</v>
      </c>
      <c r="BD157" s="325">
        <v>0</v>
      </c>
      <c r="BE157" s="325">
        <v>0</v>
      </c>
      <c r="BF157" s="325">
        <v>0</v>
      </c>
      <c r="BG157" s="252">
        <f t="shared" si="57"/>
        <v>0</v>
      </c>
      <c r="BH157" s="246">
        <f t="shared" si="58"/>
        <v>100</v>
      </c>
      <c r="BI157" s="90">
        <f t="shared" si="59"/>
        <v>1</v>
      </c>
      <c r="BJ157" s="325">
        <v>0</v>
      </c>
      <c r="BK157" s="247">
        <f t="shared" si="60"/>
        <v>100</v>
      </c>
      <c r="BL157" s="94">
        <f t="shared" si="61"/>
        <v>2</v>
      </c>
      <c r="BM157" s="325">
        <v>0</v>
      </c>
      <c r="BN157" s="325">
        <v>1</v>
      </c>
      <c r="BO157" s="325">
        <v>1</v>
      </c>
      <c r="BP157" s="211">
        <f t="shared" si="62"/>
        <v>2</v>
      </c>
      <c r="BQ157" s="253">
        <f t="shared" si="63"/>
        <v>75</v>
      </c>
      <c r="BR157" s="99">
        <f t="shared" si="64"/>
        <v>0.75</v>
      </c>
      <c r="BS157" s="101">
        <f t="shared" si="65"/>
        <v>19.75</v>
      </c>
    </row>
    <row r="158" spans="1:71" x14ac:dyDescent="0.6">
      <c r="A158" s="373" t="s">
        <v>70</v>
      </c>
      <c r="B158" s="1" t="s">
        <v>3061</v>
      </c>
      <c r="C158" s="380" t="s">
        <v>328</v>
      </c>
      <c r="D158" s="351" t="s">
        <v>202</v>
      </c>
      <c r="E158" s="352" t="s">
        <v>205</v>
      </c>
      <c r="F158" s="352" t="s">
        <v>249</v>
      </c>
      <c r="G158" s="353">
        <v>27937</v>
      </c>
      <c r="H158" s="352" t="s">
        <v>830</v>
      </c>
      <c r="I158" s="352" t="s">
        <v>908</v>
      </c>
      <c r="J158" s="352" t="s">
        <v>1079</v>
      </c>
      <c r="K158" s="352" t="s">
        <v>690</v>
      </c>
      <c r="L158" s="381">
        <v>258833722</v>
      </c>
      <c r="M158" s="376">
        <v>56671294</v>
      </c>
      <c r="N158" s="376">
        <v>202162428</v>
      </c>
      <c r="O158" s="376">
        <v>211265922</v>
      </c>
      <c r="P158" s="376">
        <v>24633492</v>
      </c>
      <c r="Q158" s="376">
        <v>27322194</v>
      </c>
      <c r="R158" s="376">
        <v>21624124</v>
      </c>
      <c r="S158" s="325">
        <v>0</v>
      </c>
      <c r="T158" s="246">
        <f t="shared" si="49"/>
        <v>100</v>
      </c>
      <c r="U158" s="77">
        <f t="shared" si="50"/>
        <v>2</v>
      </c>
      <c r="V158" s="377">
        <v>0</v>
      </c>
      <c r="W158" s="377">
        <v>0</v>
      </c>
      <c r="X158" s="377">
        <v>0</v>
      </c>
      <c r="Y158" s="377">
        <v>0</v>
      </c>
      <c r="Z158" s="377">
        <v>0</v>
      </c>
      <c r="AA158" s="377">
        <v>0</v>
      </c>
      <c r="AB158" s="377">
        <v>0</v>
      </c>
      <c r="AC158" s="247">
        <f t="shared" si="51"/>
        <v>0</v>
      </c>
      <c r="AD158" s="247">
        <f t="shared" si="52"/>
        <v>100</v>
      </c>
      <c r="AE158" s="82">
        <f t="shared" si="70"/>
        <v>5</v>
      </c>
      <c r="AF158" s="377">
        <v>0</v>
      </c>
      <c r="AG158" s="377">
        <v>0</v>
      </c>
      <c r="AH158" s="247">
        <f t="shared" si="66"/>
        <v>0</v>
      </c>
      <c r="AI158" s="247">
        <f t="shared" si="67"/>
        <v>100</v>
      </c>
      <c r="AJ158" s="82">
        <f t="shared" si="68"/>
        <v>3</v>
      </c>
      <c r="AK158" s="367" t="s">
        <v>2902</v>
      </c>
      <c r="AL158" s="367" t="s">
        <v>2902</v>
      </c>
      <c r="AM158" s="367" t="s">
        <v>2902</v>
      </c>
      <c r="AN158" s="367" t="s">
        <v>2902</v>
      </c>
      <c r="AO158" s="367" t="s">
        <v>2902</v>
      </c>
      <c r="AP158" s="296" t="s">
        <v>2326</v>
      </c>
      <c r="AQ158" s="296" t="s">
        <v>2326</v>
      </c>
      <c r="AR158" s="297"/>
      <c r="AS158" s="367" t="s">
        <v>2902</v>
      </c>
      <c r="AT158" s="367" t="s">
        <v>2902</v>
      </c>
      <c r="AU158" s="296" t="s">
        <v>2326</v>
      </c>
      <c r="AV158" s="297"/>
      <c r="AW158" s="325">
        <v>1</v>
      </c>
      <c r="AX158" s="247">
        <f t="shared" si="53"/>
        <v>100</v>
      </c>
      <c r="AY158" s="90">
        <f t="shared" si="54"/>
        <v>4</v>
      </c>
      <c r="AZ158" s="378">
        <v>0</v>
      </c>
      <c r="BA158" s="449" t="s">
        <v>3782</v>
      </c>
      <c r="BB158" s="247">
        <f t="shared" si="55"/>
        <v>100</v>
      </c>
      <c r="BC158" s="91">
        <f t="shared" si="56"/>
        <v>2</v>
      </c>
      <c r="BD158" s="325">
        <v>0</v>
      </c>
      <c r="BE158" s="325">
        <v>0</v>
      </c>
      <c r="BF158" s="325">
        <v>0</v>
      </c>
      <c r="BG158" s="252">
        <f t="shared" si="57"/>
        <v>0</v>
      </c>
      <c r="BH158" s="246">
        <f t="shared" si="58"/>
        <v>100</v>
      </c>
      <c r="BI158" s="90">
        <f t="shared" si="59"/>
        <v>1</v>
      </c>
      <c r="BJ158" s="325">
        <v>0</v>
      </c>
      <c r="BK158" s="247">
        <f t="shared" si="60"/>
        <v>100</v>
      </c>
      <c r="BL158" s="94">
        <f t="shared" si="61"/>
        <v>2</v>
      </c>
      <c r="BM158" s="325">
        <v>0</v>
      </c>
      <c r="BN158" s="325">
        <v>1</v>
      </c>
      <c r="BO158" s="325">
        <v>1</v>
      </c>
      <c r="BP158" s="211">
        <f t="shared" si="62"/>
        <v>2</v>
      </c>
      <c r="BQ158" s="253">
        <f t="shared" si="63"/>
        <v>75</v>
      </c>
      <c r="BR158" s="99">
        <f t="shared" si="64"/>
        <v>0.75</v>
      </c>
      <c r="BS158" s="101">
        <f t="shared" si="65"/>
        <v>19.75</v>
      </c>
    </row>
    <row r="159" spans="1:71" x14ac:dyDescent="0.6">
      <c r="A159" s="373" t="s">
        <v>45</v>
      </c>
      <c r="B159" s="1" t="s">
        <v>3062</v>
      </c>
      <c r="C159" s="380" t="s">
        <v>95</v>
      </c>
      <c r="D159" s="351" t="s">
        <v>202</v>
      </c>
      <c r="E159" s="352" t="s">
        <v>954</v>
      </c>
      <c r="F159" s="352" t="s">
        <v>162</v>
      </c>
      <c r="G159" s="353">
        <v>38287</v>
      </c>
      <c r="H159" s="352" t="s">
        <v>830</v>
      </c>
      <c r="I159" s="352" t="s">
        <v>247</v>
      </c>
      <c r="J159" s="352" t="s">
        <v>1066</v>
      </c>
      <c r="K159" s="352" t="s">
        <v>308</v>
      </c>
      <c r="L159" s="381">
        <v>425929471</v>
      </c>
      <c r="M159" s="376">
        <v>214344538</v>
      </c>
      <c r="N159" s="376">
        <v>211584933</v>
      </c>
      <c r="O159" s="376">
        <v>373474666</v>
      </c>
      <c r="P159" s="376">
        <v>26834891</v>
      </c>
      <c r="Q159" s="376">
        <v>16665875</v>
      </c>
      <c r="R159" s="376">
        <v>11131495</v>
      </c>
      <c r="S159" s="325">
        <v>0</v>
      </c>
      <c r="T159" s="246">
        <f t="shared" si="49"/>
        <v>100</v>
      </c>
      <c r="U159" s="77">
        <f t="shared" si="50"/>
        <v>2</v>
      </c>
      <c r="V159" s="377">
        <v>0</v>
      </c>
      <c r="W159" s="377">
        <v>0</v>
      </c>
      <c r="X159" s="377">
        <v>0</v>
      </c>
      <c r="Y159" s="377">
        <v>0</v>
      </c>
      <c r="Z159" s="377">
        <v>0</v>
      </c>
      <c r="AA159" s="377">
        <v>0</v>
      </c>
      <c r="AB159" s="377">
        <v>0</v>
      </c>
      <c r="AC159" s="247">
        <f t="shared" si="51"/>
        <v>0</v>
      </c>
      <c r="AD159" s="247">
        <f t="shared" si="52"/>
        <v>100</v>
      </c>
      <c r="AE159" s="82">
        <f t="shared" si="70"/>
        <v>5</v>
      </c>
      <c r="AF159" s="377">
        <v>0</v>
      </c>
      <c r="AG159" s="377">
        <v>0</v>
      </c>
      <c r="AH159" s="247">
        <f t="shared" si="66"/>
        <v>0</v>
      </c>
      <c r="AI159" s="247">
        <f t="shared" si="67"/>
        <v>100</v>
      </c>
      <c r="AJ159" s="82">
        <f t="shared" si="68"/>
        <v>3</v>
      </c>
      <c r="AK159" s="367" t="s">
        <v>2902</v>
      </c>
      <c r="AL159" s="367" t="s">
        <v>2902</v>
      </c>
      <c r="AM159" s="367" t="s">
        <v>2902</v>
      </c>
      <c r="AN159" s="367" t="s">
        <v>2902</v>
      </c>
      <c r="AO159" s="367" t="s">
        <v>2902</v>
      </c>
      <c r="AP159" s="296" t="s">
        <v>2326</v>
      </c>
      <c r="AQ159" s="296" t="s">
        <v>2326</v>
      </c>
      <c r="AR159" s="297"/>
      <c r="AS159" s="367" t="s">
        <v>2902</v>
      </c>
      <c r="AT159" s="367" t="s">
        <v>2902</v>
      </c>
      <c r="AU159" s="296" t="s">
        <v>2326</v>
      </c>
      <c r="AV159" s="297"/>
      <c r="AW159" s="325">
        <v>1</v>
      </c>
      <c r="AX159" s="247">
        <f t="shared" si="53"/>
        <v>100</v>
      </c>
      <c r="AY159" s="90">
        <f t="shared" si="54"/>
        <v>4</v>
      </c>
      <c r="AZ159" s="378">
        <v>0</v>
      </c>
      <c r="BA159" s="449" t="s">
        <v>3782</v>
      </c>
      <c r="BB159" s="247">
        <f t="shared" si="55"/>
        <v>100</v>
      </c>
      <c r="BC159" s="91">
        <f t="shared" si="56"/>
        <v>2</v>
      </c>
      <c r="BD159" s="325">
        <v>0</v>
      </c>
      <c r="BE159" s="325">
        <v>0</v>
      </c>
      <c r="BF159" s="325">
        <v>0</v>
      </c>
      <c r="BG159" s="252">
        <f t="shared" si="57"/>
        <v>0</v>
      </c>
      <c r="BH159" s="246">
        <f t="shared" si="58"/>
        <v>100</v>
      </c>
      <c r="BI159" s="90">
        <f t="shared" si="59"/>
        <v>1</v>
      </c>
      <c r="BJ159" s="325">
        <v>0</v>
      </c>
      <c r="BK159" s="247">
        <f t="shared" si="60"/>
        <v>100</v>
      </c>
      <c r="BL159" s="94">
        <f t="shared" si="61"/>
        <v>2</v>
      </c>
      <c r="BM159" s="325">
        <v>0</v>
      </c>
      <c r="BN159" s="325">
        <v>1</v>
      </c>
      <c r="BO159" s="325">
        <v>0</v>
      </c>
      <c r="BP159" s="211">
        <f t="shared" si="62"/>
        <v>1</v>
      </c>
      <c r="BQ159" s="253">
        <f t="shared" si="63"/>
        <v>50</v>
      </c>
      <c r="BR159" s="99">
        <f t="shared" si="64"/>
        <v>0.5</v>
      </c>
      <c r="BS159" s="101">
        <f t="shared" si="65"/>
        <v>19.5</v>
      </c>
    </row>
    <row r="160" spans="1:71" x14ac:dyDescent="0.6">
      <c r="A160" s="373" t="s">
        <v>25</v>
      </c>
      <c r="B160" s="1" t="s">
        <v>3063</v>
      </c>
      <c r="C160" s="380" t="s">
        <v>39</v>
      </c>
      <c r="D160" s="351" t="s">
        <v>191</v>
      </c>
      <c r="E160" s="352" t="s">
        <v>178</v>
      </c>
      <c r="F160" s="352" t="s">
        <v>749</v>
      </c>
      <c r="G160" s="353">
        <v>42591</v>
      </c>
      <c r="H160" s="352" t="s">
        <v>830</v>
      </c>
      <c r="I160" s="352" t="s">
        <v>758</v>
      </c>
      <c r="J160" s="352" t="s">
        <v>1117</v>
      </c>
      <c r="K160" s="352" t="s">
        <v>91</v>
      </c>
      <c r="L160" s="381">
        <v>323958042</v>
      </c>
      <c r="M160" s="376">
        <v>108746469</v>
      </c>
      <c r="N160" s="376">
        <v>215211573</v>
      </c>
      <c r="O160" s="376">
        <v>362553052</v>
      </c>
      <c r="P160" s="376">
        <v>8643494</v>
      </c>
      <c r="Q160" s="376">
        <v>12941595</v>
      </c>
      <c r="R160" s="376">
        <v>11435933</v>
      </c>
      <c r="S160" s="325">
        <v>0</v>
      </c>
      <c r="T160" s="246">
        <f t="shared" si="49"/>
        <v>100</v>
      </c>
      <c r="U160" s="77">
        <f t="shared" si="50"/>
        <v>2</v>
      </c>
      <c r="V160" s="377">
        <v>0</v>
      </c>
      <c r="W160" s="377">
        <v>0</v>
      </c>
      <c r="X160" s="377">
        <v>0</v>
      </c>
      <c r="Y160" s="377">
        <v>0</v>
      </c>
      <c r="Z160" s="377">
        <v>0</v>
      </c>
      <c r="AA160" s="377">
        <v>0</v>
      </c>
      <c r="AB160" s="377">
        <v>0</v>
      </c>
      <c r="AC160" s="247">
        <f t="shared" si="51"/>
        <v>0</v>
      </c>
      <c r="AD160" s="247">
        <f t="shared" si="52"/>
        <v>100</v>
      </c>
      <c r="AE160" s="82">
        <f t="shared" si="70"/>
        <v>5</v>
      </c>
      <c r="AF160" s="377">
        <v>0</v>
      </c>
      <c r="AG160" s="377">
        <v>0</v>
      </c>
      <c r="AH160" s="247">
        <f t="shared" si="66"/>
        <v>0</v>
      </c>
      <c r="AI160" s="247">
        <f t="shared" si="67"/>
        <v>100</v>
      </c>
      <c r="AJ160" s="82">
        <f t="shared" si="68"/>
        <v>3</v>
      </c>
      <c r="AK160" s="367" t="s">
        <v>2902</v>
      </c>
      <c r="AL160" s="367" t="s">
        <v>2902</v>
      </c>
      <c r="AM160" s="367" t="s">
        <v>2902</v>
      </c>
      <c r="AN160" s="367" t="s">
        <v>2902</v>
      </c>
      <c r="AO160" s="367" t="s">
        <v>2902</v>
      </c>
      <c r="AP160" s="296" t="s">
        <v>2326</v>
      </c>
      <c r="AQ160" s="296" t="s">
        <v>2326</v>
      </c>
      <c r="AR160" s="297"/>
      <c r="AS160" s="367" t="s">
        <v>2902</v>
      </c>
      <c r="AT160" s="367" t="s">
        <v>2902</v>
      </c>
      <c r="AU160" s="296" t="s">
        <v>2326</v>
      </c>
      <c r="AV160" s="297"/>
      <c r="AW160" s="325">
        <v>1</v>
      </c>
      <c r="AX160" s="247">
        <f t="shared" si="53"/>
        <v>100</v>
      </c>
      <c r="AY160" s="90">
        <f t="shared" si="54"/>
        <v>4</v>
      </c>
      <c r="AZ160" s="378">
        <v>0</v>
      </c>
      <c r="BA160" s="449" t="s">
        <v>3782</v>
      </c>
      <c r="BB160" s="247">
        <f t="shared" si="55"/>
        <v>100</v>
      </c>
      <c r="BC160" s="91">
        <f t="shared" si="56"/>
        <v>2</v>
      </c>
      <c r="BD160" s="325">
        <v>0</v>
      </c>
      <c r="BE160" s="325">
        <v>0</v>
      </c>
      <c r="BF160" s="325">
        <v>0</v>
      </c>
      <c r="BG160" s="252">
        <f t="shared" si="57"/>
        <v>0</v>
      </c>
      <c r="BH160" s="246">
        <f t="shared" si="58"/>
        <v>100</v>
      </c>
      <c r="BI160" s="90">
        <f t="shared" si="59"/>
        <v>1</v>
      </c>
      <c r="BJ160" s="325">
        <v>0</v>
      </c>
      <c r="BK160" s="247">
        <f t="shared" si="60"/>
        <v>100</v>
      </c>
      <c r="BL160" s="94">
        <f t="shared" si="61"/>
        <v>2</v>
      </c>
      <c r="BM160" s="325">
        <v>0</v>
      </c>
      <c r="BN160" s="325">
        <v>0</v>
      </c>
      <c r="BO160" s="325">
        <v>1</v>
      </c>
      <c r="BP160" s="211">
        <f t="shared" si="62"/>
        <v>1</v>
      </c>
      <c r="BQ160" s="253">
        <f t="shared" si="63"/>
        <v>50</v>
      </c>
      <c r="BR160" s="99">
        <f t="shared" si="64"/>
        <v>0.5</v>
      </c>
      <c r="BS160" s="101">
        <f t="shared" si="65"/>
        <v>19.5</v>
      </c>
    </row>
    <row r="161" spans="1:71" x14ac:dyDescent="0.6">
      <c r="A161" s="373" t="s">
        <v>1706</v>
      </c>
      <c r="B161" s="13" t="s">
        <v>3064</v>
      </c>
      <c r="C161" s="380" t="s">
        <v>1707</v>
      </c>
      <c r="D161" s="315" t="s">
        <v>203</v>
      </c>
      <c r="E161" s="352" t="s">
        <v>978</v>
      </c>
      <c r="F161" s="352" t="s">
        <v>1708</v>
      </c>
      <c r="G161" s="353">
        <v>34929</v>
      </c>
      <c r="H161" s="352" t="s">
        <v>830</v>
      </c>
      <c r="I161" s="352" t="s">
        <v>1709</v>
      </c>
      <c r="J161" s="352" t="s">
        <v>1710</v>
      </c>
      <c r="K161" s="352" t="s">
        <v>91</v>
      </c>
      <c r="L161" s="381">
        <v>1847155998</v>
      </c>
      <c r="M161" s="376">
        <v>810732237</v>
      </c>
      <c r="N161" s="376">
        <v>1036423762</v>
      </c>
      <c r="O161" s="376">
        <v>1716610303</v>
      </c>
      <c r="P161" s="376">
        <v>2873932</v>
      </c>
      <c r="Q161" s="376">
        <v>21741733</v>
      </c>
      <c r="R161" s="376">
        <v>17341286</v>
      </c>
      <c r="S161" s="325">
        <v>1</v>
      </c>
      <c r="T161" s="246">
        <f t="shared" si="49"/>
        <v>50</v>
      </c>
      <c r="U161" s="77">
        <f t="shared" si="50"/>
        <v>1</v>
      </c>
      <c r="V161" s="377">
        <v>0</v>
      </c>
      <c r="W161" s="377">
        <v>0</v>
      </c>
      <c r="X161" s="377">
        <v>0</v>
      </c>
      <c r="Y161" s="377">
        <v>0</v>
      </c>
      <c r="Z161" s="377">
        <v>0</v>
      </c>
      <c r="AA161" s="377">
        <v>0</v>
      </c>
      <c r="AB161" s="377">
        <v>0</v>
      </c>
      <c r="AC161" s="247">
        <f t="shared" si="51"/>
        <v>0</v>
      </c>
      <c r="AD161" s="247">
        <f t="shared" si="52"/>
        <v>100</v>
      </c>
      <c r="AE161" s="82">
        <f t="shared" si="70"/>
        <v>5</v>
      </c>
      <c r="AF161" s="377">
        <v>0</v>
      </c>
      <c r="AG161" s="377">
        <v>0</v>
      </c>
      <c r="AH161" s="247">
        <f t="shared" si="66"/>
        <v>0</v>
      </c>
      <c r="AI161" s="247">
        <f t="shared" si="67"/>
        <v>100</v>
      </c>
      <c r="AJ161" s="82">
        <f t="shared" si="68"/>
        <v>3</v>
      </c>
      <c r="AK161" s="367" t="s">
        <v>2902</v>
      </c>
      <c r="AL161" s="367" t="s">
        <v>2902</v>
      </c>
      <c r="AM161" s="367" t="s">
        <v>2902</v>
      </c>
      <c r="AN161" s="367" t="s">
        <v>2902</v>
      </c>
      <c r="AO161" s="367" t="s">
        <v>2902</v>
      </c>
      <c r="AP161" s="296" t="s">
        <v>2326</v>
      </c>
      <c r="AQ161" s="296" t="s">
        <v>2326</v>
      </c>
      <c r="AR161" s="297"/>
      <c r="AS161" s="367" t="s">
        <v>2902</v>
      </c>
      <c r="AT161" s="367" t="s">
        <v>2902</v>
      </c>
      <c r="AU161" s="296" t="s">
        <v>2326</v>
      </c>
      <c r="AV161" s="297"/>
      <c r="AW161" s="325">
        <v>1</v>
      </c>
      <c r="AX161" s="247">
        <f t="shared" si="53"/>
        <v>100</v>
      </c>
      <c r="AY161" s="90">
        <f t="shared" si="54"/>
        <v>4</v>
      </c>
      <c r="AZ161" s="378">
        <v>0</v>
      </c>
      <c r="BA161" s="449" t="s">
        <v>3782</v>
      </c>
      <c r="BB161" s="247">
        <f t="shared" si="55"/>
        <v>100</v>
      </c>
      <c r="BC161" s="91">
        <f t="shared" si="56"/>
        <v>2</v>
      </c>
      <c r="BD161" s="325">
        <v>0</v>
      </c>
      <c r="BE161" s="325">
        <v>0</v>
      </c>
      <c r="BF161" s="325">
        <v>0</v>
      </c>
      <c r="BG161" s="252">
        <f t="shared" si="57"/>
        <v>0</v>
      </c>
      <c r="BH161" s="246">
        <f t="shared" si="58"/>
        <v>100</v>
      </c>
      <c r="BI161" s="90">
        <f t="shared" si="59"/>
        <v>1</v>
      </c>
      <c r="BJ161" s="325">
        <v>0</v>
      </c>
      <c r="BK161" s="247">
        <f t="shared" si="60"/>
        <v>100</v>
      </c>
      <c r="BL161" s="94">
        <f t="shared" si="61"/>
        <v>2</v>
      </c>
      <c r="BM161" s="325">
        <v>0</v>
      </c>
      <c r="BN161" s="325">
        <v>0</v>
      </c>
      <c r="BO161" s="325">
        <v>0</v>
      </c>
      <c r="BP161" s="211">
        <f t="shared" si="62"/>
        <v>0</v>
      </c>
      <c r="BQ161" s="253">
        <f t="shared" si="63"/>
        <v>25</v>
      </c>
      <c r="BR161" s="99">
        <f t="shared" si="64"/>
        <v>0.25</v>
      </c>
      <c r="BS161" s="101">
        <f t="shared" si="65"/>
        <v>18.25</v>
      </c>
    </row>
    <row r="162" spans="1:71" x14ac:dyDescent="0.6">
      <c r="A162" s="373" t="s">
        <v>1711</v>
      </c>
      <c r="B162" s="13" t="s">
        <v>3065</v>
      </c>
      <c r="C162" s="380" t="s">
        <v>1712</v>
      </c>
      <c r="D162" s="315" t="s">
        <v>191</v>
      </c>
      <c r="E162" s="352" t="s">
        <v>1713</v>
      </c>
      <c r="F162" s="352" t="s">
        <v>1714</v>
      </c>
      <c r="G162" s="353">
        <v>40590</v>
      </c>
      <c r="H162" s="352" t="s">
        <v>830</v>
      </c>
      <c r="I162" s="352" t="s">
        <v>1715</v>
      </c>
      <c r="J162" s="1" t="s">
        <v>3066</v>
      </c>
      <c r="K162" s="352" t="s">
        <v>690</v>
      </c>
      <c r="L162" s="381">
        <v>915554063</v>
      </c>
      <c r="M162" s="376">
        <v>489216440</v>
      </c>
      <c r="N162" s="376">
        <v>426337623</v>
      </c>
      <c r="O162" s="376">
        <v>1198282787</v>
      </c>
      <c r="P162" s="376">
        <v>30096580</v>
      </c>
      <c r="Q162" s="376">
        <v>53117187</v>
      </c>
      <c r="R162" s="376">
        <v>41094963</v>
      </c>
      <c r="S162" s="325">
        <v>0</v>
      </c>
      <c r="T162" s="246">
        <f t="shared" si="49"/>
        <v>100</v>
      </c>
      <c r="U162" s="77">
        <f t="shared" si="50"/>
        <v>2</v>
      </c>
      <c r="V162" s="377">
        <v>0</v>
      </c>
      <c r="W162" s="377">
        <v>0</v>
      </c>
      <c r="X162" s="377">
        <v>0</v>
      </c>
      <c r="Y162" s="377">
        <v>0</v>
      </c>
      <c r="Z162" s="377">
        <v>0</v>
      </c>
      <c r="AA162" s="377">
        <v>1</v>
      </c>
      <c r="AB162" s="377">
        <v>0</v>
      </c>
      <c r="AC162" s="247">
        <f t="shared" si="51"/>
        <v>1</v>
      </c>
      <c r="AD162" s="247">
        <f t="shared" si="52"/>
        <v>75</v>
      </c>
      <c r="AE162" s="82">
        <f t="shared" si="70"/>
        <v>3.75</v>
      </c>
      <c r="AF162" s="377">
        <v>0</v>
      </c>
      <c r="AG162" s="377">
        <v>0</v>
      </c>
      <c r="AH162" s="247">
        <f t="shared" si="66"/>
        <v>0</v>
      </c>
      <c r="AI162" s="247">
        <f t="shared" si="67"/>
        <v>100</v>
      </c>
      <c r="AJ162" s="82">
        <f t="shared" si="68"/>
        <v>3</v>
      </c>
      <c r="AK162" s="367" t="s">
        <v>2902</v>
      </c>
      <c r="AL162" s="367" t="s">
        <v>2902</v>
      </c>
      <c r="AM162" s="367" t="s">
        <v>2902</v>
      </c>
      <c r="AN162" s="367" t="s">
        <v>2902</v>
      </c>
      <c r="AO162" s="367" t="s">
        <v>2902</v>
      </c>
      <c r="AP162" s="296" t="s">
        <v>2326</v>
      </c>
      <c r="AQ162" s="296" t="s">
        <v>2326</v>
      </c>
      <c r="AR162" s="297"/>
      <c r="AS162" s="367" t="s">
        <v>2902</v>
      </c>
      <c r="AT162" s="367" t="s">
        <v>2902</v>
      </c>
      <c r="AU162" s="296" t="s">
        <v>2326</v>
      </c>
      <c r="AV162" s="297"/>
      <c r="AW162" s="325">
        <v>1</v>
      </c>
      <c r="AX162" s="247">
        <f t="shared" si="53"/>
        <v>100</v>
      </c>
      <c r="AY162" s="90">
        <f t="shared" si="54"/>
        <v>4</v>
      </c>
      <c r="AZ162" s="378">
        <v>0</v>
      </c>
      <c r="BA162" s="449" t="s">
        <v>3782</v>
      </c>
      <c r="BB162" s="247">
        <f t="shared" si="55"/>
        <v>100</v>
      </c>
      <c r="BC162" s="91">
        <f t="shared" si="56"/>
        <v>2</v>
      </c>
      <c r="BD162" s="325">
        <v>0</v>
      </c>
      <c r="BE162" s="325">
        <v>0</v>
      </c>
      <c r="BF162" s="325">
        <v>0</v>
      </c>
      <c r="BG162" s="252">
        <f t="shared" si="57"/>
        <v>0</v>
      </c>
      <c r="BH162" s="246">
        <f t="shared" si="58"/>
        <v>100</v>
      </c>
      <c r="BI162" s="90">
        <f t="shared" si="59"/>
        <v>1</v>
      </c>
      <c r="BJ162" s="325">
        <v>0</v>
      </c>
      <c r="BK162" s="247">
        <f t="shared" si="60"/>
        <v>100</v>
      </c>
      <c r="BL162" s="94">
        <f t="shared" si="61"/>
        <v>2</v>
      </c>
      <c r="BM162" s="325">
        <v>0</v>
      </c>
      <c r="BN162" s="325">
        <v>0</v>
      </c>
      <c r="BO162" s="325">
        <v>1</v>
      </c>
      <c r="BP162" s="211">
        <f t="shared" si="62"/>
        <v>1</v>
      </c>
      <c r="BQ162" s="253">
        <f t="shared" si="63"/>
        <v>50</v>
      </c>
      <c r="BR162" s="99">
        <f t="shared" si="64"/>
        <v>0.5</v>
      </c>
      <c r="BS162" s="101">
        <f t="shared" si="65"/>
        <v>18.25</v>
      </c>
    </row>
    <row r="163" spans="1:71" x14ac:dyDescent="0.6">
      <c r="A163" s="373" t="s">
        <v>1716</v>
      </c>
      <c r="B163" s="1" t="s">
        <v>3067</v>
      </c>
      <c r="C163" s="380" t="s">
        <v>1717</v>
      </c>
      <c r="D163" s="315" t="s">
        <v>285</v>
      </c>
      <c r="E163" s="352" t="s">
        <v>1432</v>
      </c>
      <c r="F163" s="352" t="s">
        <v>1718</v>
      </c>
      <c r="G163" s="353">
        <v>28264</v>
      </c>
      <c r="H163" s="352" t="s">
        <v>830</v>
      </c>
      <c r="I163" s="352" t="s">
        <v>1719</v>
      </c>
      <c r="J163" s="352" t="s">
        <v>1720</v>
      </c>
      <c r="K163" s="352" t="s">
        <v>484</v>
      </c>
      <c r="L163" s="381">
        <v>818244152</v>
      </c>
      <c r="M163" s="376">
        <v>212287560</v>
      </c>
      <c r="N163" s="376">
        <v>605956593</v>
      </c>
      <c r="O163" s="376">
        <v>708635837</v>
      </c>
      <c r="P163" s="376">
        <v>24543012</v>
      </c>
      <c r="Q163" s="376">
        <v>35564999</v>
      </c>
      <c r="R163" s="376">
        <v>39359123</v>
      </c>
      <c r="S163" s="325">
        <v>0</v>
      </c>
      <c r="T163" s="246">
        <f t="shared" si="49"/>
        <v>100</v>
      </c>
      <c r="U163" s="77">
        <f t="shared" si="50"/>
        <v>2</v>
      </c>
      <c r="V163" s="377">
        <v>0</v>
      </c>
      <c r="W163" s="377">
        <v>0</v>
      </c>
      <c r="X163" s="377">
        <v>1</v>
      </c>
      <c r="Y163" s="377">
        <v>0</v>
      </c>
      <c r="Z163" s="377">
        <v>0</v>
      </c>
      <c r="AA163" s="377">
        <v>0</v>
      </c>
      <c r="AB163" s="377">
        <v>0</v>
      </c>
      <c r="AC163" s="247">
        <f t="shared" si="51"/>
        <v>1</v>
      </c>
      <c r="AD163" s="247">
        <f t="shared" si="52"/>
        <v>75</v>
      </c>
      <c r="AE163" s="82">
        <f t="shared" si="70"/>
        <v>3.75</v>
      </c>
      <c r="AF163" s="377">
        <v>0</v>
      </c>
      <c r="AG163" s="377">
        <v>0</v>
      </c>
      <c r="AH163" s="247">
        <f t="shared" si="66"/>
        <v>0</v>
      </c>
      <c r="AI163" s="247">
        <f t="shared" si="67"/>
        <v>100</v>
      </c>
      <c r="AJ163" s="82">
        <f t="shared" si="68"/>
        <v>3</v>
      </c>
      <c r="AK163" s="367" t="s">
        <v>2902</v>
      </c>
      <c r="AL163" s="367" t="s">
        <v>2902</v>
      </c>
      <c r="AM163" s="367" t="s">
        <v>2902</v>
      </c>
      <c r="AN163" s="367" t="s">
        <v>2902</v>
      </c>
      <c r="AO163" s="367" t="s">
        <v>2902</v>
      </c>
      <c r="AP163" s="296" t="s">
        <v>2326</v>
      </c>
      <c r="AQ163" s="296" t="s">
        <v>2326</v>
      </c>
      <c r="AR163" s="297"/>
      <c r="AS163" s="367" t="s">
        <v>2902</v>
      </c>
      <c r="AT163" s="367" t="s">
        <v>2902</v>
      </c>
      <c r="AU163" s="296" t="s">
        <v>2326</v>
      </c>
      <c r="AV163" s="297"/>
      <c r="AW163" s="325">
        <v>1</v>
      </c>
      <c r="AX163" s="247">
        <f t="shared" si="53"/>
        <v>100</v>
      </c>
      <c r="AY163" s="90">
        <f t="shared" si="54"/>
        <v>4</v>
      </c>
      <c r="AZ163" s="378">
        <v>0</v>
      </c>
      <c r="BA163" s="449" t="s">
        <v>3782</v>
      </c>
      <c r="BB163" s="247">
        <f t="shared" si="55"/>
        <v>100</v>
      </c>
      <c r="BC163" s="91">
        <f t="shared" si="56"/>
        <v>2</v>
      </c>
      <c r="BD163" s="325">
        <v>0</v>
      </c>
      <c r="BE163" s="325">
        <v>0</v>
      </c>
      <c r="BF163" s="325">
        <v>0</v>
      </c>
      <c r="BG163" s="252">
        <f t="shared" si="57"/>
        <v>0</v>
      </c>
      <c r="BH163" s="246">
        <f t="shared" si="58"/>
        <v>100</v>
      </c>
      <c r="BI163" s="90">
        <f t="shared" si="59"/>
        <v>1</v>
      </c>
      <c r="BJ163" s="325">
        <v>0</v>
      </c>
      <c r="BK163" s="247">
        <f t="shared" si="60"/>
        <v>100</v>
      </c>
      <c r="BL163" s="94">
        <f t="shared" si="61"/>
        <v>2</v>
      </c>
      <c r="BM163" s="325">
        <v>0</v>
      </c>
      <c r="BN163" s="325">
        <v>0</v>
      </c>
      <c r="BO163" s="325">
        <v>1</v>
      </c>
      <c r="BP163" s="211">
        <f t="shared" si="62"/>
        <v>1</v>
      </c>
      <c r="BQ163" s="253">
        <f t="shared" si="63"/>
        <v>50</v>
      </c>
      <c r="BR163" s="99">
        <f t="shared" si="64"/>
        <v>0.5</v>
      </c>
      <c r="BS163" s="101">
        <f t="shared" si="65"/>
        <v>18.25</v>
      </c>
    </row>
    <row r="164" spans="1:71" x14ac:dyDescent="0.6">
      <c r="A164" s="373" t="s">
        <v>1721</v>
      </c>
      <c r="B164" s="1" t="s">
        <v>3068</v>
      </c>
      <c r="C164" s="380" t="s">
        <v>500</v>
      </c>
      <c r="D164" s="351" t="s">
        <v>202</v>
      </c>
      <c r="E164" s="352" t="s">
        <v>617</v>
      </c>
      <c r="F164" s="352" t="s">
        <v>1194</v>
      </c>
      <c r="G164" s="353">
        <v>32109</v>
      </c>
      <c r="H164" s="352" t="s">
        <v>830</v>
      </c>
      <c r="I164" s="352" t="s">
        <v>1722</v>
      </c>
      <c r="J164" s="352" t="s">
        <v>1087</v>
      </c>
      <c r="K164" s="352" t="s">
        <v>91</v>
      </c>
      <c r="L164" s="381">
        <v>1482320425</v>
      </c>
      <c r="M164" s="376">
        <v>264349343</v>
      </c>
      <c r="N164" s="376">
        <v>1217971082</v>
      </c>
      <c r="O164" s="376">
        <v>1278383546</v>
      </c>
      <c r="P164" s="376">
        <v>73366427</v>
      </c>
      <c r="Q164" s="376">
        <v>70696990</v>
      </c>
      <c r="R164" s="376">
        <v>48458346</v>
      </c>
      <c r="S164" s="325">
        <v>0</v>
      </c>
      <c r="T164" s="246">
        <f t="shared" si="49"/>
        <v>100</v>
      </c>
      <c r="U164" s="77">
        <f t="shared" si="50"/>
        <v>2</v>
      </c>
      <c r="V164" s="377">
        <v>0</v>
      </c>
      <c r="W164" s="377">
        <v>0</v>
      </c>
      <c r="X164" s="377">
        <v>0</v>
      </c>
      <c r="Y164" s="377">
        <v>0</v>
      </c>
      <c r="Z164" s="377">
        <v>0</v>
      </c>
      <c r="AA164" s="377">
        <v>0</v>
      </c>
      <c r="AB164" s="377">
        <v>0</v>
      </c>
      <c r="AC164" s="247">
        <f t="shared" si="51"/>
        <v>0</v>
      </c>
      <c r="AD164" s="247">
        <f t="shared" si="52"/>
        <v>100</v>
      </c>
      <c r="AE164" s="82">
        <f t="shared" si="70"/>
        <v>5</v>
      </c>
      <c r="AF164" s="377">
        <v>1</v>
      </c>
      <c r="AG164" s="377">
        <v>0</v>
      </c>
      <c r="AH164" s="247">
        <f t="shared" si="66"/>
        <v>1</v>
      </c>
      <c r="AI164" s="247">
        <f t="shared" si="67"/>
        <v>66.666666666666671</v>
      </c>
      <c r="AJ164" s="82">
        <f t="shared" si="68"/>
        <v>2</v>
      </c>
      <c r="AK164" s="367" t="s">
        <v>2902</v>
      </c>
      <c r="AL164" s="367" t="s">
        <v>2902</v>
      </c>
      <c r="AM164" s="367" t="s">
        <v>2902</v>
      </c>
      <c r="AN164" s="367" t="s">
        <v>2902</v>
      </c>
      <c r="AO164" s="367" t="s">
        <v>2902</v>
      </c>
      <c r="AP164" s="296" t="s">
        <v>2326</v>
      </c>
      <c r="AQ164" s="296" t="s">
        <v>2326</v>
      </c>
      <c r="AR164" s="297"/>
      <c r="AS164" s="367" t="s">
        <v>2902</v>
      </c>
      <c r="AT164" s="367" t="s">
        <v>2902</v>
      </c>
      <c r="AU164" s="296" t="s">
        <v>2326</v>
      </c>
      <c r="AV164" s="297"/>
      <c r="AW164" s="325">
        <v>1</v>
      </c>
      <c r="AX164" s="247">
        <f t="shared" si="53"/>
        <v>100</v>
      </c>
      <c r="AY164" s="90">
        <f t="shared" si="54"/>
        <v>4</v>
      </c>
      <c r="AZ164" s="378">
        <v>0</v>
      </c>
      <c r="BA164" s="449" t="s">
        <v>3782</v>
      </c>
      <c r="BB164" s="247">
        <f t="shared" si="55"/>
        <v>100</v>
      </c>
      <c r="BC164" s="91">
        <f t="shared" si="56"/>
        <v>2</v>
      </c>
      <c r="BD164" s="325">
        <v>0</v>
      </c>
      <c r="BE164" s="325">
        <v>0</v>
      </c>
      <c r="BF164" s="325">
        <v>0</v>
      </c>
      <c r="BG164" s="252">
        <f t="shared" si="57"/>
        <v>0</v>
      </c>
      <c r="BH164" s="246">
        <f t="shared" si="58"/>
        <v>100</v>
      </c>
      <c r="BI164" s="90">
        <f t="shared" si="59"/>
        <v>1</v>
      </c>
      <c r="BJ164" s="325">
        <v>0</v>
      </c>
      <c r="BK164" s="247">
        <f t="shared" si="60"/>
        <v>100</v>
      </c>
      <c r="BL164" s="94">
        <f t="shared" si="61"/>
        <v>2</v>
      </c>
      <c r="BM164" s="325">
        <v>0</v>
      </c>
      <c r="BN164" s="325">
        <v>0</v>
      </c>
      <c r="BO164" s="325">
        <v>1</v>
      </c>
      <c r="BP164" s="211">
        <f t="shared" si="62"/>
        <v>1</v>
      </c>
      <c r="BQ164" s="253">
        <f t="shared" si="63"/>
        <v>50</v>
      </c>
      <c r="BR164" s="99">
        <f t="shared" si="64"/>
        <v>0.5</v>
      </c>
      <c r="BS164" s="101">
        <f t="shared" si="65"/>
        <v>18.5</v>
      </c>
    </row>
    <row r="165" spans="1:71" x14ac:dyDescent="0.6">
      <c r="A165" s="373" t="s">
        <v>12</v>
      </c>
      <c r="B165" s="1" t="s">
        <v>3069</v>
      </c>
      <c r="C165" s="380" t="s">
        <v>301</v>
      </c>
      <c r="D165" s="351" t="s">
        <v>203</v>
      </c>
      <c r="E165" s="352" t="s">
        <v>195</v>
      </c>
      <c r="F165" s="352" t="s">
        <v>757</v>
      </c>
      <c r="G165" s="353">
        <v>43378</v>
      </c>
      <c r="H165" s="352" t="s">
        <v>830</v>
      </c>
      <c r="I165" s="352" t="s">
        <v>267</v>
      </c>
      <c r="J165" s="352" t="s">
        <v>1196</v>
      </c>
      <c r="K165" s="352" t="s">
        <v>91</v>
      </c>
      <c r="L165" s="381">
        <v>1465129429</v>
      </c>
      <c r="M165" s="376">
        <v>636127563</v>
      </c>
      <c r="N165" s="376">
        <v>829001866</v>
      </c>
      <c r="O165" s="376">
        <v>1801835090</v>
      </c>
      <c r="P165" s="376">
        <v>215165658</v>
      </c>
      <c r="Q165" s="376">
        <v>211145518</v>
      </c>
      <c r="R165" s="376">
        <v>159294293</v>
      </c>
      <c r="S165" s="325">
        <v>1</v>
      </c>
      <c r="T165" s="246">
        <f t="shared" si="49"/>
        <v>50</v>
      </c>
      <c r="U165" s="77">
        <f t="shared" si="50"/>
        <v>1</v>
      </c>
      <c r="V165" s="377">
        <v>0</v>
      </c>
      <c r="W165" s="377">
        <v>0</v>
      </c>
      <c r="X165" s="377">
        <v>0</v>
      </c>
      <c r="Y165" s="377">
        <v>0</v>
      </c>
      <c r="Z165" s="377">
        <v>0</v>
      </c>
      <c r="AA165" s="377">
        <v>0</v>
      </c>
      <c r="AB165" s="377">
        <v>0</v>
      </c>
      <c r="AC165" s="247">
        <f t="shared" si="51"/>
        <v>0</v>
      </c>
      <c r="AD165" s="247">
        <f t="shared" si="52"/>
        <v>100</v>
      </c>
      <c r="AE165" s="82">
        <f t="shared" si="70"/>
        <v>5</v>
      </c>
      <c r="AF165" s="377">
        <v>0</v>
      </c>
      <c r="AG165" s="377">
        <v>0</v>
      </c>
      <c r="AH165" s="247">
        <f t="shared" si="66"/>
        <v>0</v>
      </c>
      <c r="AI165" s="247">
        <f t="shared" si="67"/>
        <v>100</v>
      </c>
      <c r="AJ165" s="82">
        <f t="shared" si="68"/>
        <v>3</v>
      </c>
      <c r="AK165" s="367" t="s">
        <v>2902</v>
      </c>
      <c r="AL165" s="367" t="s">
        <v>2902</v>
      </c>
      <c r="AM165" s="367" t="s">
        <v>2902</v>
      </c>
      <c r="AN165" s="367" t="s">
        <v>2902</v>
      </c>
      <c r="AO165" s="367" t="s">
        <v>2902</v>
      </c>
      <c r="AP165" s="296" t="s">
        <v>2326</v>
      </c>
      <c r="AQ165" s="296" t="s">
        <v>2326</v>
      </c>
      <c r="AR165" s="297"/>
      <c r="AS165" s="367" t="s">
        <v>2902</v>
      </c>
      <c r="AT165" s="367" t="s">
        <v>2902</v>
      </c>
      <c r="AU165" s="296" t="s">
        <v>2326</v>
      </c>
      <c r="AV165" s="297"/>
      <c r="AW165" s="325">
        <v>0</v>
      </c>
      <c r="AX165" s="247">
        <f t="shared" si="53"/>
        <v>50</v>
      </c>
      <c r="AY165" s="90">
        <f t="shared" si="54"/>
        <v>2</v>
      </c>
      <c r="AZ165" s="378">
        <v>0</v>
      </c>
      <c r="BA165" s="449" t="s">
        <v>3782</v>
      </c>
      <c r="BB165" s="247">
        <f t="shared" si="55"/>
        <v>100</v>
      </c>
      <c r="BC165" s="91">
        <f t="shared" si="56"/>
        <v>2</v>
      </c>
      <c r="BD165" s="325">
        <v>0</v>
      </c>
      <c r="BE165" s="325">
        <v>0</v>
      </c>
      <c r="BF165" s="325">
        <v>0</v>
      </c>
      <c r="BG165" s="252">
        <f t="shared" si="57"/>
        <v>0</v>
      </c>
      <c r="BH165" s="246">
        <f t="shared" si="58"/>
        <v>100</v>
      </c>
      <c r="BI165" s="90">
        <f t="shared" si="59"/>
        <v>1</v>
      </c>
      <c r="BJ165" s="325">
        <v>0</v>
      </c>
      <c r="BK165" s="247">
        <f t="shared" si="60"/>
        <v>100</v>
      </c>
      <c r="BL165" s="94">
        <f t="shared" si="61"/>
        <v>2</v>
      </c>
      <c r="BM165" s="325">
        <v>0</v>
      </c>
      <c r="BN165" s="325">
        <v>0</v>
      </c>
      <c r="BO165" s="325">
        <v>1</v>
      </c>
      <c r="BP165" s="211">
        <f t="shared" si="62"/>
        <v>1</v>
      </c>
      <c r="BQ165" s="253">
        <f t="shared" si="63"/>
        <v>50</v>
      </c>
      <c r="BR165" s="99">
        <f t="shared" si="64"/>
        <v>0.5</v>
      </c>
      <c r="BS165" s="101">
        <f t="shared" si="65"/>
        <v>16.5</v>
      </c>
    </row>
    <row r="166" spans="1:71" x14ac:dyDescent="0.6">
      <c r="A166" s="373" t="s">
        <v>869</v>
      </c>
      <c r="B166" s="1" t="s">
        <v>3070</v>
      </c>
      <c r="C166" s="380" t="s">
        <v>478</v>
      </c>
      <c r="D166" s="351" t="s">
        <v>285</v>
      </c>
      <c r="E166" s="352" t="s">
        <v>171</v>
      </c>
      <c r="F166" s="352" t="s">
        <v>144</v>
      </c>
      <c r="G166" s="353">
        <v>32756</v>
      </c>
      <c r="H166" s="352" t="s">
        <v>830</v>
      </c>
      <c r="I166" s="352" t="s">
        <v>1723</v>
      </c>
      <c r="J166" s="352" t="s">
        <v>1182</v>
      </c>
      <c r="K166" s="352" t="s">
        <v>346</v>
      </c>
      <c r="L166" s="381">
        <v>49842667</v>
      </c>
      <c r="M166" s="376">
        <v>4029139</v>
      </c>
      <c r="N166" s="376">
        <v>45813528</v>
      </c>
      <c r="O166" s="376">
        <v>28065827</v>
      </c>
      <c r="P166" s="376">
        <v>1582371</v>
      </c>
      <c r="Q166" s="376">
        <v>2149604</v>
      </c>
      <c r="R166" s="376">
        <v>1307423</v>
      </c>
      <c r="S166" s="325">
        <v>0</v>
      </c>
      <c r="T166" s="246">
        <f t="shared" si="49"/>
        <v>100</v>
      </c>
      <c r="U166" s="77">
        <f t="shared" si="50"/>
        <v>2</v>
      </c>
      <c r="V166" s="377">
        <v>0</v>
      </c>
      <c r="W166" s="377">
        <v>0</v>
      </c>
      <c r="X166" s="377">
        <v>0</v>
      </c>
      <c r="Y166" s="377">
        <v>0</v>
      </c>
      <c r="Z166" s="377">
        <v>0</v>
      </c>
      <c r="AA166" s="377">
        <v>0</v>
      </c>
      <c r="AB166" s="377">
        <v>0</v>
      </c>
      <c r="AC166" s="247">
        <f t="shared" si="51"/>
        <v>0</v>
      </c>
      <c r="AD166" s="247">
        <f t="shared" si="52"/>
        <v>100</v>
      </c>
      <c r="AE166" s="82">
        <f t="shared" si="70"/>
        <v>5</v>
      </c>
      <c r="AF166" s="377">
        <v>0</v>
      </c>
      <c r="AG166" s="377">
        <v>0</v>
      </c>
      <c r="AH166" s="247">
        <f t="shared" si="66"/>
        <v>0</v>
      </c>
      <c r="AI166" s="247">
        <f t="shared" si="67"/>
        <v>100</v>
      </c>
      <c r="AJ166" s="82">
        <f t="shared" si="68"/>
        <v>3</v>
      </c>
      <c r="AK166" s="367" t="s">
        <v>2902</v>
      </c>
      <c r="AL166" s="367" t="s">
        <v>2902</v>
      </c>
      <c r="AM166" s="367" t="s">
        <v>2902</v>
      </c>
      <c r="AN166" s="367" t="s">
        <v>2902</v>
      </c>
      <c r="AO166" s="367" t="s">
        <v>2902</v>
      </c>
      <c r="AP166" s="296" t="s">
        <v>2326</v>
      </c>
      <c r="AQ166" s="296" t="s">
        <v>2326</v>
      </c>
      <c r="AR166" s="297"/>
      <c r="AS166" s="367" t="s">
        <v>2902</v>
      </c>
      <c r="AT166" s="367" t="s">
        <v>2902</v>
      </c>
      <c r="AU166" s="296" t="s">
        <v>2326</v>
      </c>
      <c r="AV166" s="297"/>
      <c r="AW166" s="325">
        <v>1</v>
      </c>
      <c r="AX166" s="247">
        <f t="shared" si="53"/>
        <v>100</v>
      </c>
      <c r="AY166" s="90">
        <f t="shared" si="54"/>
        <v>4</v>
      </c>
      <c r="AZ166" s="378">
        <v>0</v>
      </c>
      <c r="BA166" s="449" t="s">
        <v>3782</v>
      </c>
      <c r="BB166" s="247">
        <f t="shared" si="55"/>
        <v>100</v>
      </c>
      <c r="BC166" s="91">
        <f t="shared" si="56"/>
        <v>2</v>
      </c>
      <c r="BD166" s="325">
        <v>0</v>
      </c>
      <c r="BE166" s="325">
        <v>0</v>
      </c>
      <c r="BF166" s="325">
        <v>1</v>
      </c>
      <c r="BG166" s="252">
        <f t="shared" si="57"/>
        <v>1</v>
      </c>
      <c r="BH166" s="246">
        <f t="shared" si="58"/>
        <v>75</v>
      </c>
      <c r="BI166" s="90">
        <f t="shared" si="59"/>
        <v>0.75</v>
      </c>
      <c r="BJ166" s="325">
        <v>0</v>
      </c>
      <c r="BK166" s="247">
        <f t="shared" si="60"/>
        <v>100</v>
      </c>
      <c r="BL166" s="94">
        <f t="shared" si="61"/>
        <v>2</v>
      </c>
      <c r="BM166" s="325">
        <v>0</v>
      </c>
      <c r="BN166" s="325">
        <v>0</v>
      </c>
      <c r="BO166" s="325">
        <v>0</v>
      </c>
      <c r="BP166" s="211">
        <f t="shared" si="62"/>
        <v>0</v>
      </c>
      <c r="BQ166" s="253">
        <f t="shared" si="63"/>
        <v>25</v>
      </c>
      <c r="BR166" s="99">
        <f t="shared" si="64"/>
        <v>0.25</v>
      </c>
      <c r="BS166" s="101">
        <f t="shared" si="65"/>
        <v>19</v>
      </c>
    </row>
    <row r="167" spans="1:71" x14ac:dyDescent="0.6">
      <c r="A167" s="373" t="s">
        <v>19</v>
      </c>
      <c r="B167" s="13" t="s">
        <v>3071</v>
      </c>
      <c r="C167" s="380" t="s">
        <v>927</v>
      </c>
      <c r="D167" s="351" t="s">
        <v>202</v>
      </c>
      <c r="E167" s="352" t="s">
        <v>954</v>
      </c>
      <c r="F167" s="352" t="s">
        <v>968</v>
      </c>
      <c r="G167" s="353">
        <v>35249</v>
      </c>
      <c r="H167" s="352" t="s">
        <v>755</v>
      </c>
      <c r="I167" s="352" t="s">
        <v>733</v>
      </c>
      <c r="J167" s="352" t="s">
        <v>1026</v>
      </c>
      <c r="K167" s="352" t="s">
        <v>308</v>
      </c>
      <c r="L167" s="381">
        <v>298109844</v>
      </c>
      <c r="M167" s="376">
        <v>31806382</v>
      </c>
      <c r="N167" s="376">
        <v>266303462</v>
      </c>
      <c r="O167" s="376">
        <v>55615777</v>
      </c>
      <c r="P167" s="376">
        <v>4744809</v>
      </c>
      <c r="Q167" s="376">
        <v>9739774</v>
      </c>
      <c r="R167" s="376">
        <v>7926239</v>
      </c>
      <c r="S167" s="325">
        <v>0</v>
      </c>
      <c r="T167" s="246">
        <f t="shared" si="49"/>
        <v>100</v>
      </c>
      <c r="U167" s="77">
        <f t="shared" si="50"/>
        <v>2</v>
      </c>
      <c r="V167" s="377">
        <v>0</v>
      </c>
      <c r="W167" s="377">
        <v>0</v>
      </c>
      <c r="X167" s="377">
        <v>0</v>
      </c>
      <c r="Y167" s="377">
        <v>0</v>
      </c>
      <c r="Z167" s="377">
        <v>0</v>
      </c>
      <c r="AA167" s="377">
        <v>0</v>
      </c>
      <c r="AB167" s="377">
        <v>0</v>
      </c>
      <c r="AC167" s="247">
        <f t="shared" si="51"/>
        <v>0</v>
      </c>
      <c r="AD167" s="247">
        <f t="shared" si="52"/>
        <v>100</v>
      </c>
      <c r="AE167" s="82">
        <f t="shared" si="70"/>
        <v>5</v>
      </c>
      <c r="AF167" s="377">
        <v>0</v>
      </c>
      <c r="AG167" s="377">
        <v>0</v>
      </c>
      <c r="AH167" s="247">
        <f t="shared" si="66"/>
        <v>0</v>
      </c>
      <c r="AI167" s="247">
        <f t="shared" si="67"/>
        <v>100</v>
      </c>
      <c r="AJ167" s="82">
        <f t="shared" si="68"/>
        <v>3</v>
      </c>
      <c r="AK167" s="367" t="s">
        <v>2902</v>
      </c>
      <c r="AL167" s="367" t="s">
        <v>2902</v>
      </c>
      <c r="AM167" s="367" t="s">
        <v>2902</v>
      </c>
      <c r="AN167" s="367" t="s">
        <v>2902</v>
      </c>
      <c r="AO167" s="367" t="s">
        <v>2902</v>
      </c>
      <c r="AP167" s="296" t="s">
        <v>2326</v>
      </c>
      <c r="AQ167" s="296" t="s">
        <v>2326</v>
      </c>
      <c r="AR167" s="297"/>
      <c r="AS167" s="367" t="s">
        <v>2902</v>
      </c>
      <c r="AT167" s="367" t="s">
        <v>2902</v>
      </c>
      <c r="AU167" s="296" t="s">
        <v>2326</v>
      </c>
      <c r="AV167" s="297"/>
      <c r="AW167" s="325">
        <v>1</v>
      </c>
      <c r="AX167" s="247">
        <f t="shared" si="53"/>
        <v>100</v>
      </c>
      <c r="AY167" s="90">
        <f t="shared" si="54"/>
        <v>4</v>
      </c>
      <c r="AZ167" s="378">
        <v>0</v>
      </c>
      <c r="BA167" s="449" t="s">
        <v>3782</v>
      </c>
      <c r="BB167" s="247">
        <f t="shared" si="55"/>
        <v>100</v>
      </c>
      <c r="BC167" s="91">
        <f t="shared" si="56"/>
        <v>2</v>
      </c>
      <c r="BD167" s="325">
        <v>0</v>
      </c>
      <c r="BE167" s="325">
        <v>0</v>
      </c>
      <c r="BF167" s="325">
        <v>1</v>
      </c>
      <c r="BG167" s="252">
        <f t="shared" si="57"/>
        <v>1</v>
      </c>
      <c r="BH167" s="246">
        <f t="shared" si="58"/>
        <v>75</v>
      </c>
      <c r="BI167" s="90">
        <f t="shared" si="59"/>
        <v>0.75</v>
      </c>
      <c r="BJ167" s="325">
        <v>0</v>
      </c>
      <c r="BK167" s="247">
        <f t="shared" si="60"/>
        <v>100</v>
      </c>
      <c r="BL167" s="94">
        <f t="shared" si="61"/>
        <v>2</v>
      </c>
      <c r="BM167" s="325">
        <v>0</v>
      </c>
      <c r="BN167" s="325">
        <v>1</v>
      </c>
      <c r="BO167" s="325">
        <v>0</v>
      </c>
      <c r="BP167" s="211">
        <f t="shared" si="62"/>
        <v>1</v>
      </c>
      <c r="BQ167" s="253">
        <f t="shared" si="63"/>
        <v>50</v>
      </c>
      <c r="BR167" s="99">
        <f t="shared" si="64"/>
        <v>0.5</v>
      </c>
      <c r="BS167" s="101">
        <f t="shared" si="65"/>
        <v>19.25</v>
      </c>
    </row>
    <row r="168" spans="1:71" x14ac:dyDescent="0.6">
      <c r="A168" s="373" t="s">
        <v>361</v>
      </c>
      <c r="B168" s="1" t="s">
        <v>3072</v>
      </c>
      <c r="C168" s="380" t="s">
        <v>949</v>
      </c>
      <c r="D168" s="351" t="s">
        <v>285</v>
      </c>
      <c r="E168" s="352" t="s">
        <v>504</v>
      </c>
      <c r="F168" s="352" t="s">
        <v>650</v>
      </c>
      <c r="G168" s="353">
        <v>37462</v>
      </c>
      <c r="H168" s="352" t="s">
        <v>830</v>
      </c>
      <c r="I168" s="352" t="s">
        <v>1724</v>
      </c>
      <c r="J168" s="352" t="s">
        <v>1175</v>
      </c>
      <c r="K168" s="352" t="s">
        <v>91</v>
      </c>
      <c r="L168" s="381">
        <v>573569548</v>
      </c>
      <c r="M168" s="376">
        <v>109458880</v>
      </c>
      <c r="N168" s="376">
        <v>464110668</v>
      </c>
      <c r="O168" s="376">
        <v>119350275</v>
      </c>
      <c r="P168" s="376">
        <v>9219026</v>
      </c>
      <c r="Q168" s="376">
        <v>8486086</v>
      </c>
      <c r="R168" s="376">
        <v>9179410</v>
      </c>
      <c r="S168" s="325">
        <v>0</v>
      </c>
      <c r="T168" s="246">
        <f t="shared" si="49"/>
        <v>100</v>
      </c>
      <c r="U168" s="77">
        <f t="shared" si="50"/>
        <v>2</v>
      </c>
      <c r="V168" s="377">
        <v>0</v>
      </c>
      <c r="W168" s="377">
        <v>0</v>
      </c>
      <c r="X168" s="377">
        <v>0</v>
      </c>
      <c r="Y168" s="377">
        <v>0</v>
      </c>
      <c r="Z168" s="377">
        <v>0</v>
      </c>
      <c r="AA168" s="377">
        <v>0</v>
      </c>
      <c r="AB168" s="377">
        <v>0</v>
      </c>
      <c r="AC168" s="247">
        <f t="shared" si="51"/>
        <v>0</v>
      </c>
      <c r="AD168" s="247">
        <f t="shared" si="52"/>
        <v>100</v>
      </c>
      <c r="AE168" s="82">
        <f t="shared" si="70"/>
        <v>5</v>
      </c>
      <c r="AF168" s="377">
        <v>0</v>
      </c>
      <c r="AG168" s="377">
        <v>0</v>
      </c>
      <c r="AH168" s="247">
        <f t="shared" si="66"/>
        <v>0</v>
      </c>
      <c r="AI168" s="247">
        <f t="shared" si="67"/>
        <v>100</v>
      </c>
      <c r="AJ168" s="82">
        <f t="shared" si="68"/>
        <v>3</v>
      </c>
      <c r="AK168" s="367" t="s">
        <v>2902</v>
      </c>
      <c r="AL168" s="367" t="s">
        <v>2902</v>
      </c>
      <c r="AM168" s="367" t="s">
        <v>2902</v>
      </c>
      <c r="AN168" s="367" t="s">
        <v>2902</v>
      </c>
      <c r="AO168" s="367" t="s">
        <v>2902</v>
      </c>
      <c r="AP168" s="296" t="s">
        <v>2326</v>
      </c>
      <c r="AQ168" s="296" t="s">
        <v>2326</v>
      </c>
      <c r="AR168" s="297"/>
      <c r="AS168" s="367" t="s">
        <v>2902</v>
      </c>
      <c r="AT168" s="367" t="s">
        <v>2902</v>
      </c>
      <c r="AU168" s="296" t="s">
        <v>2326</v>
      </c>
      <c r="AV168" s="297"/>
      <c r="AW168" s="325">
        <v>1</v>
      </c>
      <c r="AX168" s="247">
        <f t="shared" si="53"/>
        <v>100</v>
      </c>
      <c r="AY168" s="90">
        <f t="shared" si="54"/>
        <v>4</v>
      </c>
      <c r="AZ168" s="378">
        <v>0</v>
      </c>
      <c r="BA168" s="449" t="s">
        <v>3782</v>
      </c>
      <c r="BB168" s="247">
        <f t="shared" si="55"/>
        <v>100</v>
      </c>
      <c r="BC168" s="91">
        <f t="shared" si="56"/>
        <v>2</v>
      </c>
      <c r="BD168" s="325">
        <v>0</v>
      </c>
      <c r="BE168" s="325">
        <v>0</v>
      </c>
      <c r="BF168" s="325">
        <v>0</v>
      </c>
      <c r="BG168" s="252">
        <f t="shared" si="57"/>
        <v>0</v>
      </c>
      <c r="BH168" s="246">
        <f t="shared" si="58"/>
        <v>100</v>
      </c>
      <c r="BI168" s="90">
        <f t="shared" si="59"/>
        <v>1</v>
      </c>
      <c r="BJ168" s="325">
        <v>0</v>
      </c>
      <c r="BK168" s="247">
        <f t="shared" si="60"/>
        <v>100</v>
      </c>
      <c r="BL168" s="94">
        <f t="shared" si="61"/>
        <v>2</v>
      </c>
      <c r="BM168" s="325">
        <v>0</v>
      </c>
      <c r="BN168" s="325">
        <v>0</v>
      </c>
      <c r="BO168" s="325">
        <v>0</v>
      </c>
      <c r="BP168" s="211">
        <f t="shared" si="62"/>
        <v>0</v>
      </c>
      <c r="BQ168" s="253">
        <f t="shared" si="63"/>
        <v>25</v>
      </c>
      <c r="BR168" s="99">
        <f t="shared" si="64"/>
        <v>0.25</v>
      </c>
      <c r="BS168" s="101">
        <f t="shared" si="65"/>
        <v>19.25</v>
      </c>
    </row>
    <row r="169" spans="1:71" x14ac:dyDescent="0.6">
      <c r="A169" s="373" t="s">
        <v>1725</v>
      </c>
      <c r="B169" s="1" t="s">
        <v>3073</v>
      </c>
      <c r="C169" s="380" t="s">
        <v>351</v>
      </c>
      <c r="D169" s="351" t="s">
        <v>191</v>
      </c>
      <c r="E169" s="352" t="s">
        <v>1091</v>
      </c>
      <c r="F169" s="352" t="s">
        <v>584</v>
      </c>
      <c r="G169" s="353">
        <v>43140</v>
      </c>
      <c r="H169" s="352" t="s">
        <v>830</v>
      </c>
      <c r="I169" s="352" t="s">
        <v>804</v>
      </c>
      <c r="J169" s="352" t="s">
        <v>1164</v>
      </c>
      <c r="K169" s="352" t="s">
        <v>346</v>
      </c>
      <c r="L169" s="381">
        <v>5571483130</v>
      </c>
      <c r="M169" s="376">
        <v>1401534327</v>
      </c>
      <c r="N169" s="376">
        <v>4169948803</v>
      </c>
      <c r="O169" s="376">
        <v>1937469297</v>
      </c>
      <c r="P169" s="376">
        <v>618890773</v>
      </c>
      <c r="Q169" s="376">
        <v>606389938</v>
      </c>
      <c r="R169" s="376">
        <v>511383102</v>
      </c>
      <c r="S169" s="325">
        <v>1</v>
      </c>
      <c r="T169" s="246">
        <f t="shared" si="49"/>
        <v>50</v>
      </c>
      <c r="U169" s="77">
        <f t="shared" si="50"/>
        <v>1</v>
      </c>
      <c r="V169" s="377">
        <v>0</v>
      </c>
      <c r="W169" s="377">
        <v>0</v>
      </c>
      <c r="X169" s="377">
        <v>0</v>
      </c>
      <c r="Y169" s="377">
        <v>0</v>
      </c>
      <c r="Z169" s="377">
        <v>0</v>
      </c>
      <c r="AA169" s="377">
        <v>0</v>
      </c>
      <c r="AB169" s="377">
        <v>0</v>
      </c>
      <c r="AC169" s="247">
        <f t="shared" si="51"/>
        <v>0</v>
      </c>
      <c r="AD169" s="247">
        <f t="shared" si="52"/>
        <v>100</v>
      </c>
      <c r="AE169" s="82">
        <f t="shared" si="70"/>
        <v>5</v>
      </c>
      <c r="AF169" s="377">
        <v>0</v>
      </c>
      <c r="AG169" s="377">
        <v>0</v>
      </c>
      <c r="AH169" s="247">
        <f t="shared" si="66"/>
        <v>0</v>
      </c>
      <c r="AI169" s="247">
        <f t="shared" si="67"/>
        <v>100</v>
      </c>
      <c r="AJ169" s="82">
        <f t="shared" si="68"/>
        <v>3</v>
      </c>
      <c r="AK169" s="367" t="s">
        <v>2902</v>
      </c>
      <c r="AL169" s="367" t="s">
        <v>2902</v>
      </c>
      <c r="AM169" s="367" t="s">
        <v>2902</v>
      </c>
      <c r="AN169" s="367" t="s">
        <v>2902</v>
      </c>
      <c r="AO169" s="367" t="s">
        <v>2902</v>
      </c>
      <c r="AP169" s="296" t="s">
        <v>2326</v>
      </c>
      <c r="AQ169" s="296" t="s">
        <v>2326</v>
      </c>
      <c r="AR169" s="297"/>
      <c r="AS169" s="367" t="s">
        <v>2902</v>
      </c>
      <c r="AT169" s="367" t="s">
        <v>2902</v>
      </c>
      <c r="AU169" s="296" t="s">
        <v>2326</v>
      </c>
      <c r="AV169" s="297"/>
      <c r="AW169" s="325">
        <v>1</v>
      </c>
      <c r="AX169" s="247">
        <f t="shared" si="53"/>
        <v>100</v>
      </c>
      <c r="AY169" s="90">
        <f t="shared" si="54"/>
        <v>4</v>
      </c>
      <c r="AZ169" s="378">
        <v>0</v>
      </c>
      <c r="BA169" s="449" t="s">
        <v>3782</v>
      </c>
      <c r="BB169" s="247">
        <f t="shared" si="55"/>
        <v>100</v>
      </c>
      <c r="BC169" s="91">
        <f t="shared" si="56"/>
        <v>2</v>
      </c>
      <c r="BD169" s="325">
        <v>0</v>
      </c>
      <c r="BE169" s="325">
        <v>0</v>
      </c>
      <c r="BF169" s="325">
        <v>0</v>
      </c>
      <c r="BG169" s="252">
        <f t="shared" si="57"/>
        <v>0</v>
      </c>
      <c r="BH169" s="246">
        <f t="shared" si="58"/>
        <v>100</v>
      </c>
      <c r="BI169" s="90">
        <f t="shared" si="59"/>
        <v>1</v>
      </c>
      <c r="BJ169" s="325">
        <v>0</v>
      </c>
      <c r="BK169" s="247">
        <f t="shared" si="60"/>
        <v>100</v>
      </c>
      <c r="BL169" s="94">
        <f t="shared" si="61"/>
        <v>2</v>
      </c>
      <c r="BM169" s="325">
        <v>0</v>
      </c>
      <c r="BN169" s="325">
        <v>0</v>
      </c>
      <c r="BO169" s="325">
        <v>1</v>
      </c>
      <c r="BP169" s="211">
        <f t="shared" si="62"/>
        <v>1</v>
      </c>
      <c r="BQ169" s="253">
        <f t="shared" si="63"/>
        <v>50</v>
      </c>
      <c r="BR169" s="99">
        <f t="shared" si="64"/>
        <v>0.5</v>
      </c>
      <c r="BS169" s="101">
        <f t="shared" si="65"/>
        <v>18.5</v>
      </c>
    </row>
    <row r="170" spans="1:71" x14ac:dyDescent="0.6">
      <c r="A170" s="373" t="s">
        <v>1726</v>
      </c>
      <c r="B170" s="1" t="s">
        <v>3074</v>
      </c>
      <c r="C170" s="380" t="s">
        <v>1727</v>
      </c>
      <c r="D170" s="315" t="s">
        <v>202</v>
      </c>
      <c r="E170" s="352" t="s">
        <v>205</v>
      </c>
      <c r="F170" s="352" t="s">
        <v>1728</v>
      </c>
      <c r="G170" s="353">
        <v>44229</v>
      </c>
      <c r="H170" s="352" t="s">
        <v>830</v>
      </c>
      <c r="I170" s="352" t="s">
        <v>1729</v>
      </c>
      <c r="J170" s="352" t="s">
        <v>1730</v>
      </c>
      <c r="K170" s="352" t="s">
        <v>690</v>
      </c>
      <c r="L170" s="381">
        <v>487384549</v>
      </c>
      <c r="M170" s="376">
        <v>250541994</v>
      </c>
      <c r="N170" s="376">
        <v>236842555</v>
      </c>
      <c r="O170" s="376">
        <v>931449231</v>
      </c>
      <c r="P170" s="376">
        <v>44671754</v>
      </c>
      <c r="Q170" s="376">
        <v>50417620</v>
      </c>
      <c r="R170" s="376">
        <v>39493848</v>
      </c>
      <c r="S170" s="325">
        <v>0</v>
      </c>
      <c r="T170" s="246">
        <f t="shared" si="49"/>
        <v>100</v>
      </c>
      <c r="U170" s="77">
        <f t="shared" si="50"/>
        <v>2</v>
      </c>
      <c r="V170" s="377">
        <v>0</v>
      </c>
      <c r="W170" s="377">
        <v>0</v>
      </c>
      <c r="X170" s="377">
        <v>0</v>
      </c>
      <c r="Y170" s="377">
        <v>0</v>
      </c>
      <c r="Z170" s="377">
        <v>0</v>
      </c>
      <c r="AA170" s="377">
        <v>0</v>
      </c>
      <c r="AB170" s="377">
        <v>0</v>
      </c>
      <c r="AC170" s="247">
        <f t="shared" si="51"/>
        <v>0</v>
      </c>
      <c r="AD170" s="247">
        <f t="shared" si="52"/>
        <v>100</v>
      </c>
      <c r="AE170" s="82">
        <f t="shared" si="70"/>
        <v>5</v>
      </c>
      <c r="AF170" s="377">
        <v>0</v>
      </c>
      <c r="AG170" s="377">
        <v>0</v>
      </c>
      <c r="AH170" s="247">
        <f t="shared" si="66"/>
        <v>0</v>
      </c>
      <c r="AI170" s="247">
        <f t="shared" si="67"/>
        <v>100</v>
      </c>
      <c r="AJ170" s="82">
        <f t="shared" si="68"/>
        <v>3</v>
      </c>
      <c r="AK170" s="367" t="s">
        <v>2902</v>
      </c>
      <c r="AL170" s="367" t="s">
        <v>2902</v>
      </c>
      <c r="AM170" s="367" t="s">
        <v>2902</v>
      </c>
      <c r="AN170" s="367" t="s">
        <v>2902</v>
      </c>
      <c r="AO170" s="367" t="s">
        <v>2902</v>
      </c>
      <c r="AP170" s="296" t="s">
        <v>2326</v>
      </c>
      <c r="AQ170" s="296" t="s">
        <v>2326</v>
      </c>
      <c r="AR170" s="297"/>
      <c r="AS170" s="367" t="s">
        <v>2902</v>
      </c>
      <c r="AT170" s="367" t="s">
        <v>2902</v>
      </c>
      <c r="AU170" s="296" t="s">
        <v>2326</v>
      </c>
      <c r="AV170" s="297"/>
      <c r="AW170" s="325">
        <v>1</v>
      </c>
      <c r="AX170" s="247">
        <f t="shared" si="53"/>
        <v>100</v>
      </c>
      <c r="AY170" s="90">
        <f t="shared" si="54"/>
        <v>4</v>
      </c>
      <c r="AZ170" s="378">
        <v>0</v>
      </c>
      <c r="BA170" s="449" t="s">
        <v>3782</v>
      </c>
      <c r="BB170" s="247">
        <f t="shared" si="55"/>
        <v>100</v>
      </c>
      <c r="BC170" s="91">
        <f t="shared" si="56"/>
        <v>2</v>
      </c>
      <c r="BD170" s="325">
        <v>0</v>
      </c>
      <c r="BE170" s="325">
        <v>0</v>
      </c>
      <c r="BF170" s="325">
        <v>0</v>
      </c>
      <c r="BG170" s="252">
        <f t="shared" si="57"/>
        <v>0</v>
      </c>
      <c r="BH170" s="246">
        <f t="shared" si="58"/>
        <v>100</v>
      </c>
      <c r="BI170" s="90">
        <f t="shared" si="59"/>
        <v>1</v>
      </c>
      <c r="BJ170" s="325">
        <v>0</v>
      </c>
      <c r="BK170" s="247">
        <f t="shared" si="60"/>
        <v>100</v>
      </c>
      <c r="BL170" s="94">
        <f t="shared" si="61"/>
        <v>2</v>
      </c>
      <c r="BM170" s="325">
        <v>0</v>
      </c>
      <c r="BN170" s="325">
        <v>0</v>
      </c>
      <c r="BO170" s="325">
        <v>1</v>
      </c>
      <c r="BP170" s="211">
        <f t="shared" si="62"/>
        <v>1</v>
      </c>
      <c r="BQ170" s="253">
        <f t="shared" si="63"/>
        <v>50</v>
      </c>
      <c r="BR170" s="99">
        <f t="shared" si="64"/>
        <v>0.5</v>
      </c>
      <c r="BS170" s="101">
        <f t="shared" si="65"/>
        <v>19.5</v>
      </c>
    </row>
    <row r="171" spans="1:71" x14ac:dyDescent="0.6">
      <c r="A171" s="373" t="s">
        <v>945</v>
      </c>
      <c r="B171" s="1" t="s">
        <v>3075</v>
      </c>
      <c r="C171" s="380" t="s">
        <v>51</v>
      </c>
      <c r="D171" s="351" t="s">
        <v>203</v>
      </c>
      <c r="E171" s="352" t="s">
        <v>188</v>
      </c>
      <c r="F171" s="352" t="s">
        <v>160</v>
      </c>
      <c r="G171" s="353">
        <v>28301</v>
      </c>
      <c r="H171" s="352" t="s">
        <v>830</v>
      </c>
      <c r="I171" s="352" t="s">
        <v>253</v>
      </c>
      <c r="J171" s="352" t="s">
        <v>1050</v>
      </c>
      <c r="K171" s="352" t="s">
        <v>407</v>
      </c>
      <c r="L171" s="381">
        <v>1117980000</v>
      </c>
      <c r="M171" s="376">
        <v>475314000</v>
      </c>
      <c r="N171" s="376">
        <v>642666000</v>
      </c>
      <c r="O171" s="376">
        <v>1145427000</v>
      </c>
      <c r="P171" s="376">
        <v>167535000</v>
      </c>
      <c r="Q171" s="376">
        <v>168668000</v>
      </c>
      <c r="R171" s="376">
        <v>122873000</v>
      </c>
      <c r="S171" s="325">
        <v>0</v>
      </c>
      <c r="T171" s="246">
        <f t="shared" si="49"/>
        <v>100</v>
      </c>
      <c r="U171" s="77">
        <f t="shared" si="50"/>
        <v>2</v>
      </c>
      <c r="V171" s="377">
        <v>0</v>
      </c>
      <c r="W171" s="377">
        <v>0</v>
      </c>
      <c r="X171" s="377">
        <v>0</v>
      </c>
      <c r="Y171" s="377">
        <v>0</v>
      </c>
      <c r="Z171" s="377">
        <v>0</v>
      </c>
      <c r="AA171" s="377">
        <v>0</v>
      </c>
      <c r="AB171" s="377">
        <v>0</v>
      </c>
      <c r="AC171" s="247">
        <f t="shared" si="51"/>
        <v>0</v>
      </c>
      <c r="AD171" s="247">
        <f t="shared" si="52"/>
        <v>100</v>
      </c>
      <c r="AE171" s="82">
        <f t="shared" si="70"/>
        <v>5</v>
      </c>
      <c r="AF171" s="377">
        <v>0</v>
      </c>
      <c r="AG171" s="377">
        <v>0</v>
      </c>
      <c r="AH171" s="247">
        <f t="shared" si="66"/>
        <v>0</v>
      </c>
      <c r="AI171" s="247">
        <f t="shared" si="67"/>
        <v>100</v>
      </c>
      <c r="AJ171" s="82">
        <f t="shared" si="68"/>
        <v>3</v>
      </c>
      <c r="AK171" s="367" t="s">
        <v>2902</v>
      </c>
      <c r="AL171" s="367" t="s">
        <v>2902</v>
      </c>
      <c r="AM171" s="367" t="s">
        <v>2902</v>
      </c>
      <c r="AN171" s="367" t="s">
        <v>2902</v>
      </c>
      <c r="AO171" s="367" t="s">
        <v>2902</v>
      </c>
      <c r="AP171" s="296" t="s">
        <v>2326</v>
      </c>
      <c r="AQ171" s="296" t="s">
        <v>2326</v>
      </c>
      <c r="AR171" s="297"/>
      <c r="AS171" s="367" t="s">
        <v>2902</v>
      </c>
      <c r="AT171" s="367" t="s">
        <v>2902</v>
      </c>
      <c r="AU171" s="296" t="s">
        <v>2326</v>
      </c>
      <c r="AV171" s="297"/>
      <c r="AW171" s="325">
        <v>1</v>
      </c>
      <c r="AX171" s="247">
        <f t="shared" si="53"/>
        <v>100</v>
      </c>
      <c r="AY171" s="90">
        <f t="shared" si="54"/>
        <v>4</v>
      </c>
      <c r="AZ171" s="378">
        <v>0</v>
      </c>
      <c r="BA171" s="449" t="s">
        <v>3782</v>
      </c>
      <c r="BB171" s="247">
        <f t="shared" si="55"/>
        <v>100</v>
      </c>
      <c r="BC171" s="91">
        <f t="shared" si="56"/>
        <v>2</v>
      </c>
      <c r="BD171" s="325">
        <v>0</v>
      </c>
      <c r="BE171" s="325">
        <v>0</v>
      </c>
      <c r="BF171" s="325">
        <v>0</v>
      </c>
      <c r="BG171" s="252">
        <f t="shared" si="57"/>
        <v>0</v>
      </c>
      <c r="BH171" s="246">
        <f t="shared" si="58"/>
        <v>100</v>
      </c>
      <c r="BI171" s="90">
        <f t="shared" si="59"/>
        <v>1</v>
      </c>
      <c r="BJ171" s="325">
        <v>0</v>
      </c>
      <c r="BK171" s="247">
        <f t="shared" si="60"/>
        <v>100</v>
      </c>
      <c r="BL171" s="94">
        <f t="shared" si="61"/>
        <v>2</v>
      </c>
      <c r="BM171" s="325">
        <v>0</v>
      </c>
      <c r="BN171" s="325">
        <v>0</v>
      </c>
      <c r="BO171" s="325">
        <v>1</v>
      </c>
      <c r="BP171" s="211">
        <f t="shared" si="62"/>
        <v>1</v>
      </c>
      <c r="BQ171" s="253">
        <f t="shared" si="63"/>
        <v>50</v>
      </c>
      <c r="BR171" s="99">
        <f t="shared" si="64"/>
        <v>0.5</v>
      </c>
      <c r="BS171" s="101">
        <f t="shared" si="65"/>
        <v>19.5</v>
      </c>
    </row>
    <row r="172" spans="1:71" x14ac:dyDescent="0.6">
      <c r="A172" s="373" t="s">
        <v>1731</v>
      </c>
      <c r="B172" s="1" t="s">
        <v>3076</v>
      </c>
      <c r="C172" s="380" t="s">
        <v>1732</v>
      </c>
      <c r="D172" s="315" t="s">
        <v>202</v>
      </c>
      <c r="E172" s="352" t="s">
        <v>572</v>
      </c>
      <c r="F172" s="352" t="s">
        <v>1733</v>
      </c>
      <c r="G172" s="353">
        <v>33480</v>
      </c>
      <c r="H172" s="352" t="s">
        <v>830</v>
      </c>
      <c r="I172" s="352" t="s">
        <v>1734</v>
      </c>
      <c r="J172" s="352" t="s">
        <v>1735</v>
      </c>
      <c r="K172" s="352" t="s">
        <v>690</v>
      </c>
      <c r="L172" s="381">
        <v>181493057</v>
      </c>
      <c r="M172" s="376">
        <v>70279714</v>
      </c>
      <c r="N172" s="376">
        <v>111213342</v>
      </c>
      <c r="O172" s="376">
        <v>120360819</v>
      </c>
      <c r="P172" s="376">
        <v>9391620</v>
      </c>
      <c r="Q172" s="376">
        <v>7726840</v>
      </c>
      <c r="R172" s="376">
        <v>5939402</v>
      </c>
      <c r="S172" s="325">
        <v>0</v>
      </c>
      <c r="T172" s="246">
        <f t="shared" si="49"/>
        <v>100</v>
      </c>
      <c r="U172" s="77">
        <f t="shared" si="50"/>
        <v>2</v>
      </c>
      <c r="V172" s="377">
        <v>0</v>
      </c>
      <c r="W172" s="377">
        <v>0</v>
      </c>
      <c r="X172" s="377">
        <v>0</v>
      </c>
      <c r="Y172" s="377">
        <v>0</v>
      </c>
      <c r="Z172" s="377">
        <v>0</v>
      </c>
      <c r="AA172" s="377">
        <v>0</v>
      </c>
      <c r="AB172" s="377">
        <v>0</v>
      </c>
      <c r="AC172" s="247">
        <f t="shared" si="51"/>
        <v>0</v>
      </c>
      <c r="AD172" s="247">
        <f t="shared" si="52"/>
        <v>100</v>
      </c>
      <c r="AE172" s="82">
        <f t="shared" si="70"/>
        <v>5</v>
      </c>
      <c r="AF172" s="377">
        <v>0</v>
      </c>
      <c r="AG172" s="377">
        <v>0</v>
      </c>
      <c r="AH172" s="247">
        <f t="shared" si="66"/>
        <v>0</v>
      </c>
      <c r="AI172" s="247">
        <f t="shared" si="67"/>
        <v>100</v>
      </c>
      <c r="AJ172" s="82">
        <f t="shared" si="68"/>
        <v>3</v>
      </c>
      <c r="AK172" s="367" t="s">
        <v>2902</v>
      </c>
      <c r="AL172" s="367" t="s">
        <v>2902</v>
      </c>
      <c r="AM172" s="367" t="s">
        <v>2902</v>
      </c>
      <c r="AN172" s="367" t="s">
        <v>2902</v>
      </c>
      <c r="AO172" s="367" t="s">
        <v>2902</v>
      </c>
      <c r="AP172" s="296" t="s">
        <v>2326</v>
      </c>
      <c r="AQ172" s="296" t="s">
        <v>2326</v>
      </c>
      <c r="AR172" s="297"/>
      <c r="AS172" s="367" t="s">
        <v>2902</v>
      </c>
      <c r="AT172" s="367" t="s">
        <v>2902</v>
      </c>
      <c r="AU172" s="296" t="s">
        <v>2326</v>
      </c>
      <c r="AV172" s="297"/>
      <c r="AW172" s="325">
        <v>1</v>
      </c>
      <c r="AX172" s="247">
        <f t="shared" si="53"/>
        <v>100</v>
      </c>
      <c r="AY172" s="90">
        <f t="shared" si="54"/>
        <v>4</v>
      </c>
      <c r="AZ172" s="378">
        <v>0</v>
      </c>
      <c r="BA172" s="449" t="s">
        <v>3782</v>
      </c>
      <c r="BB172" s="247">
        <f t="shared" si="55"/>
        <v>100</v>
      </c>
      <c r="BC172" s="91">
        <f t="shared" si="56"/>
        <v>2</v>
      </c>
      <c r="BD172" s="325">
        <v>0</v>
      </c>
      <c r="BE172" s="325">
        <v>0</v>
      </c>
      <c r="BF172" s="325">
        <v>0</v>
      </c>
      <c r="BG172" s="252">
        <f t="shared" si="57"/>
        <v>0</v>
      </c>
      <c r="BH172" s="246">
        <f t="shared" si="58"/>
        <v>100</v>
      </c>
      <c r="BI172" s="90">
        <f t="shared" si="59"/>
        <v>1</v>
      </c>
      <c r="BJ172" s="325">
        <v>0</v>
      </c>
      <c r="BK172" s="247">
        <f t="shared" si="60"/>
        <v>100</v>
      </c>
      <c r="BL172" s="94">
        <f t="shared" si="61"/>
        <v>2</v>
      </c>
      <c r="BM172" s="325">
        <v>0</v>
      </c>
      <c r="BN172" s="325">
        <v>0</v>
      </c>
      <c r="BO172" s="325">
        <v>1</v>
      </c>
      <c r="BP172" s="211">
        <f t="shared" si="62"/>
        <v>1</v>
      </c>
      <c r="BQ172" s="253">
        <f t="shared" si="63"/>
        <v>50</v>
      </c>
      <c r="BR172" s="99">
        <f t="shared" si="64"/>
        <v>0.5</v>
      </c>
      <c r="BS172" s="101">
        <f t="shared" si="65"/>
        <v>19.5</v>
      </c>
    </row>
    <row r="173" spans="1:71" x14ac:dyDescent="0.6">
      <c r="A173" s="373" t="s">
        <v>762</v>
      </c>
      <c r="B173" s="1" t="s">
        <v>3077</v>
      </c>
      <c r="C173" s="380" t="s">
        <v>103</v>
      </c>
      <c r="D173" s="351" t="s">
        <v>191</v>
      </c>
      <c r="E173" s="352" t="s">
        <v>554</v>
      </c>
      <c r="F173" s="352" t="s">
        <v>777</v>
      </c>
      <c r="G173" s="353">
        <v>40568</v>
      </c>
      <c r="H173" s="352" t="s">
        <v>830</v>
      </c>
      <c r="I173" s="352" t="s">
        <v>1736</v>
      </c>
      <c r="J173" s="352" t="s">
        <v>1081</v>
      </c>
      <c r="K173" s="352" t="s">
        <v>690</v>
      </c>
      <c r="L173" s="381">
        <v>84677096</v>
      </c>
      <c r="M173" s="376">
        <v>21426870</v>
      </c>
      <c r="N173" s="376">
        <v>63250226</v>
      </c>
      <c r="O173" s="376">
        <v>241730925</v>
      </c>
      <c r="P173" s="376">
        <v>412795</v>
      </c>
      <c r="Q173" s="376">
        <v>2901178</v>
      </c>
      <c r="R173" s="376">
        <v>2331137</v>
      </c>
      <c r="S173" s="325">
        <v>0</v>
      </c>
      <c r="T173" s="246">
        <f t="shared" si="49"/>
        <v>100</v>
      </c>
      <c r="U173" s="77">
        <f t="shared" si="50"/>
        <v>2</v>
      </c>
      <c r="V173" s="377">
        <v>0</v>
      </c>
      <c r="W173" s="377">
        <v>0</v>
      </c>
      <c r="X173" s="377">
        <v>0</v>
      </c>
      <c r="Y173" s="377">
        <v>0</v>
      </c>
      <c r="Z173" s="377">
        <v>0</v>
      </c>
      <c r="AA173" s="377">
        <v>0</v>
      </c>
      <c r="AB173" s="377">
        <v>0</v>
      </c>
      <c r="AC173" s="247">
        <f t="shared" si="51"/>
        <v>0</v>
      </c>
      <c r="AD173" s="247">
        <f t="shared" si="52"/>
        <v>100</v>
      </c>
      <c r="AE173" s="82">
        <f t="shared" si="70"/>
        <v>5</v>
      </c>
      <c r="AF173" s="377">
        <v>0</v>
      </c>
      <c r="AG173" s="377">
        <v>0</v>
      </c>
      <c r="AH173" s="247">
        <f t="shared" si="66"/>
        <v>0</v>
      </c>
      <c r="AI173" s="247">
        <f t="shared" si="67"/>
        <v>100</v>
      </c>
      <c r="AJ173" s="82">
        <f t="shared" si="68"/>
        <v>3</v>
      </c>
      <c r="AK173" s="367" t="s">
        <v>2902</v>
      </c>
      <c r="AL173" s="367" t="s">
        <v>2902</v>
      </c>
      <c r="AM173" s="367" t="s">
        <v>2902</v>
      </c>
      <c r="AN173" s="367" t="s">
        <v>2902</v>
      </c>
      <c r="AO173" s="367" t="s">
        <v>2902</v>
      </c>
      <c r="AP173" s="296" t="s">
        <v>2326</v>
      </c>
      <c r="AQ173" s="296" t="s">
        <v>2326</v>
      </c>
      <c r="AR173" s="297"/>
      <c r="AS173" s="367" t="s">
        <v>2902</v>
      </c>
      <c r="AT173" s="367" t="s">
        <v>2902</v>
      </c>
      <c r="AU173" s="296" t="s">
        <v>2326</v>
      </c>
      <c r="AV173" s="297"/>
      <c r="AW173" s="325">
        <v>1</v>
      </c>
      <c r="AX173" s="247">
        <f t="shared" si="53"/>
        <v>100</v>
      </c>
      <c r="AY173" s="90">
        <f t="shared" si="54"/>
        <v>4</v>
      </c>
      <c r="AZ173" s="378">
        <v>0</v>
      </c>
      <c r="BA173" s="449" t="s">
        <v>3782</v>
      </c>
      <c r="BB173" s="247">
        <f t="shared" si="55"/>
        <v>100</v>
      </c>
      <c r="BC173" s="91">
        <f t="shared" si="56"/>
        <v>2</v>
      </c>
      <c r="BD173" s="325">
        <v>0</v>
      </c>
      <c r="BE173" s="325">
        <v>0</v>
      </c>
      <c r="BF173" s="325">
        <v>0</v>
      </c>
      <c r="BG173" s="252">
        <f t="shared" si="57"/>
        <v>0</v>
      </c>
      <c r="BH173" s="246">
        <f t="shared" si="58"/>
        <v>100</v>
      </c>
      <c r="BI173" s="90">
        <f t="shared" si="59"/>
        <v>1</v>
      </c>
      <c r="BJ173" s="325">
        <v>0</v>
      </c>
      <c r="BK173" s="247">
        <f t="shared" si="60"/>
        <v>100</v>
      </c>
      <c r="BL173" s="94">
        <f t="shared" si="61"/>
        <v>2</v>
      </c>
      <c r="BM173" s="325">
        <v>0</v>
      </c>
      <c r="BN173" s="325">
        <v>0</v>
      </c>
      <c r="BO173" s="325">
        <v>0</v>
      </c>
      <c r="BP173" s="211">
        <f t="shared" si="62"/>
        <v>0</v>
      </c>
      <c r="BQ173" s="253">
        <f t="shared" si="63"/>
        <v>25</v>
      </c>
      <c r="BR173" s="99">
        <f t="shared" si="64"/>
        <v>0.25</v>
      </c>
      <c r="BS173" s="101">
        <f t="shared" si="65"/>
        <v>19.25</v>
      </c>
    </row>
    <row r="174" spans="1:71" x14ac:dyDescent="0.6">
      <c r="A174" s="373" t="s">
        <v>899</v>
      </c>
      <c r="B174" s="1" t="s">
        <v>3078</v>
      </c>
      <c r="C174" s="380" t="s">
        <v>862</v>
      </c>
      <c r="D174" s="351" t="s">
        <v>191</v>
      </c>
      <c r="E174" s="352" t="s">
        <v>1029</v>
      </c>
      <c r="F174" s="352" t="s">
        <v>1107</v>
      </c>
      <c r="G174" s="353">
        <v>35054</v>
      </c>
      <c r="H174" s="352" t="s">
        <v>830</v>
      </c>
      <c r="I174" s="352" t="s">
        <v>975</v>
      </c>
      <c r="J174" s="352" t="s">
        <v>1215</v>
      </c>
      <c r="K174" s="352" t="s">
        <v>690</v>
      </c>
      <c r="L174" s="381">
        <v>426922360</v>
      </c>
      <c r="M174" s="376">
        <v>43331711</v>
      </c>
      <c r="N174" s="376">
        <v>383590648</v>
      </c>
      <c r="O174" s="376">
        <v>226067372</v>
      </c>
      <c r="P174" s="376">
        <v>21433375</v>
      </c>
      <c r="Q174" s="376">
        <v>24456144</v>
      </c>
      <c r="R174" s="376">
        <v>20262547</v>
      </c>
      <c r="S174" s="325">
        <v>0</v>
      </c>
      <c r="T174" s="246">
        <f t="shared" si="49"/>
        <v>100</v>
      </c>
      <c r="U174" s="77">
        <f t="shared" si="50"/>
        <v>2</v>
      </c>
      <c r="V174" s="377">
        <v>0</v>
      </c>
      <c r="W174" s="377">
        <v>0</v>
      </c>
      <c r="X174" s="377">
        <v>0</v>
      </c>
      <c r="Y174" s="377">
        <v>0</v>
      </c>
      <c r="Z174" s="377">
        <v>0</v>
      </c>
      <c r="AA174" s="377">
        <v>0</v>
      </c>
      <c r="AB174" s="377">
        <v>0</v>
      </c>
      <c r="AC174" s="247">
        <f t="shared" si="51"/>
        <v>0</v>
      </c>
      <c r="AD174" s="247">
        <f t="shared" si="52"/>
        <v>100</v>
      </c>
      <c r="AE174" s="82">
        <f t="shared" si="70"/>
        <v>5</v>
      </c>
      <c r="AF174" s="377">
        <v>0</v>
      </c>
      <c r="AG174" s="377">
        <v>0</v>
      </c>
      <c r="AH174" s="247">
        <f t="shared" si="66"/>
        <v>0</v>
      </c>
      <c r="AI174" s="247">
        <f t="shared" si="67"/>
        <v>100</v>
      </c>
      <c r="AJ174" s="82">
        <f t="shared" si="68"/>
        <v>3</v>
      </c>
      <c r="AK174" s="367" t="s">
        <v>2902</v>
      </c>
      <c r="AL174" s="367" t="s">
        <v>2902</v>
      </c>
      <c r="AM174" s="367" t="s">
        <v>2902</v>
      </c>
      <c r="AN174" s="367" t="s">
        <v>2902</v>
      </c>
      <c r="AO174" s="367" t="s">
        <v>2902</v>
      </c>
      <c r="AP174" s="296" t="s">
        <v>2326</v>
      </c>
      <c r="AQ174" s="296" t="s">
        <v>2326</v>
      </c>
      <c r="AR174" s="297"/>
      <c r="AS174" s="367" t="s">
        <v>2902</v>
      </c>
      <c r="AT174" s="367" t="s">
        <v>2902</v>
      </c>
      <c r="AU174" s="296" t="s">
        <v>2326</v>
      </c>
      <c r="AV174" s="297"/>
      <c r="AW174" s="325">
        <v>1</v>
      </c>
      <c r="AX174" s="247">
        <f t="shared" si="53"/>
        <v>100</v>
      </c>
      <c r="AY174" s="90">
        <f t="shared" si="54"/>
        <v>4</v>
      </c>
      <c r="AZ174" s="378">
        <v>0</v>
      </c>
      <c r="BA174" s="449" t="s">
        <v>3782</v>
      </c>
      <c r="BB174" s="247">
        <f t="shared" si="55"/>
        <v>100</v>
      </c>
      <c r="BC174" s="91">
        <f t="shared" si="56"/>
        <v>2</v>
      </c>
      <c r="BD174" s="325">
        <v>1</v>
      </c>
      <c r="BE174" s="325">
        <v>0</v>
      </c>
      <c r="BF174" s="325">
        <v>1</v>
      </c>
      <c r="BG174" s="252">
        <f t="shared" si="57"/>
        <v>2</v>
      </c>
      <c r="BH174" s="246">
        <f t="shared" si="58"/>
        <v>50</v>
      </c>
      <c r="BI174" s="90">
        <f t="shared" si="59"/>
        <v>0.5</v>
      </c>
      <c r="BJ174" s="325">
        <v>0</v>
      </c>
      <c r="BK174" s="247">
        <f t="shared" si="60"/>
        <v>100</v>
      </c>
      <c r="BL174" s="94">
        <f t="shared" si="61"/>
        <v>2</v>
      </c>
      <c r="BM174" s="325">
        <v>0</v>
      </c>
      <c r="BN174" s="325">
        <v>0</v>
      </c>
      <c r="BO174" s="325">
        <v>0</v>
      </c>
      <c r="BP174" s="211">
        <f t="shared" si="62"/>
        <v>0</v>
      </c>
      <c r="BQ174" s="253">
        <f t="shared" si="63"/>
        <v>25</v>
      </c>
      <c r="BR174" s="99">
        <f t="shared" si="64"/>
        <v>0.25</v>
      </c>
      <c r="BS174" s="101">
        <f t="shared" si="65"/>
        <v>18.75</v>
      </c>
    </row>
    <row r="175" spans="1:71" x14ac:dyDescent="0.6">
      <c r="A175" s="373" t="s">
        <v>881</v>
      </c>
      <c r="B175" s="1" t="s">
        <v>3079</v>
      </c>
      <c r="C175" s="380" t="s">
        <v>547</v>
      </c>
      <c r="D175" s="351" t="s">
        <v>191</v>
      </c>
      <c r="E175" s="352" t="s">
        <v>403</v>
      </c>
      <c r="F175" s="352" t="s">
        <v>159</v>
      </c>
      <c r="G175" s="353">
        <v>27941</v>
      </c>
      <c r="H175" s="352" t="s">
        <v>830</v>
      </c>
      <c r="I175" s="352" t="s">
        <v>800</v>
      </c>
      <c r="J175" s="352" t="s">
        <v>1077</v>
      </c>
      <c r="K175" s="352" t="s">
        <v>91</v>
      </c>
      <c r="L175" s="381">
        <v>692320507</v>
      </c>
      <c r="M175" s="376">
        <v>130333252</v>
      </c>
      <c r="N175" s="376">
        <v>561987255</v>
      </c>
      <c r="O175" s="376">
        <v>383845600</v>
      </c>
      <c r="P175" s="376">
        <v>10768868</v>
      </c>
      <c r="Q175" s="376">
        <v>19845163</v>
      </c>
      <c r="R175" s="376">
        <v>15665849</v>
      </c>
      <c r="S175" s="325">
        <v>0</v>
      </c>
      <c r="T175" s="246">
        <f t="shared" si="49"/>
        <v>100</v>
      </c>
      <c r="U175" s="77">
        <f t="shared" si="50"/>
        <v>2</v>
      </c>
      <c r="V175" s="377">
        <v>0</v>
      </c>
      <c r="W175" s="377">
        <v>0</v>
      </c>
      <c r="X175" s="377">
        <v>0</v>
      </c>
      <c r="Y175" s="377">
        <v>0</v>
      </c>
      <c r="Z175" s="377">
        <v>0</v>
      </c>
      <c r="AA175" s="377">
        <v>0</v>
      </c>
      <c r="AB175" s="377">
        <v>0</v>
      </c>
      <c r="AC175" s="247">
        <f t="shared" si="51"/>
        <v>0</v>
      </c>
      <c r="AD175" s="247">
        <f t="shared" si="52"/>
        <v>100</v>
      </c>
      <c r="AE175" s="82">
        <f t="shared" si="70"/>
        <v>5</v>
      </c>
      <c r="AF175" s="377">
        <v>0</v>
      </c>
      <c r="AG175" s="377">
        <v>0</v>
      </c>
      <c r="AH175" s="247">
        <f t="shared" si="66"/>
        <v>0</v>
      </c>
      <c r="AI175" s="247">
        <f t="shared" si="67"/>
        <v>100</v>
      </c>
      <c r="AJ175" s="82">
        <f t="shared" si="68"/>
        <v>3</v>
      </c>
      <c r="AK175" s="367" t="s">
        <v>2902</v>
      </c>
      <c r="AL175" s="367" t="s">
        <v>2902</v>
      </c>
      <c r="AM175" s="367" t="s">
        <v>2902</v>
      </c>
      <c r="AN175" s="367" t="s">
        <v>2902</v>
      </c>
      <c r="AO175" s="367" t="s">
        <v>2902</v>
      </c>
      <c r="AP175" s="296" t="s">
        <v>2326</v>
      </c>
      <c r="AQ175" s="296" t="s">
        <v>2326</v>
      </c>
      <c r="AR175" s="297"/>
      <c r="AS175" s="367" t="s">
        <v>2902</v>
      </c>
      <c r="AT175" s="367" t="s">
        <v>2902</v>
      </c>
      <c r="AU175" s="296" t="s">
        <v>2326</v>
      </c>
      <c r="AV175" s="297"/>
      <c r="AW175" s="325">
        <v>1</v>
      </c>
      <c r="AX175" s="247">
        <f t="shared" si="53"/>
        <v>100</v>
      </c>
      <c r="AY175" s="90">
        <f t="shared" si="54"/>
        <v>4</v>
      </c>
      <c r="AZ175" s="378">
        <v>0</v>
      </c>
      <c r="BA175" s="449" t="s">
        <v>3782</v>
      </c>
      <c r="BB175" s="247">
        <f t="shared" si="55"/>
        <v>100</v>
      </c>
      <c r="BC175" s="91">
        <f t="shared" si="56"/>
        <v>2</v>
      </c>
      <c r="BD175" s="325">
        <v>0</v>
      </c>
      <c r="BE175" s="325">
        <v>0</v>
      </c>
      <c r="BF175" s="325">
        <v>0</v>
      </c>
      <c r="BG175" s="252">
        <f t="shared" si="57"/>
        <v>0</v>
      </c>
      <c r="BH175" s="246">
        <f t="shared" si="58"/>
        <v>100</v>
      </c>
      <c r="BI175" s="90">
        <f t="shared" si="59"/>
        <v>1</v>
      </c>
      <c r="BJ175" s="325">
        <v>0</v>
      </c>
      <c r="BK175" s="247">
        <f t="shared" si="60"/>
        <v>100</v>
      </c>
      <c r="BL175" s="94">
        <f t="shared" si="61"/>
        <v>2</v>
      </c>
      <c r="BM175" s="325">
        <v>0</v>
      </c>
      <c r="BN175" s="325">
        <v>0</v>
      </c>
      <c r="BO175" s="325">
        <v>1</v>
      </c>
      <c r="BP175" s="211">
        <f t="shared" si="62"/>
        <v>1</v>
      </c>
      <c r="BQ175" s="253">
        <f t="shared" si="63"/>
        <v>50</v>
      </c>
      <c r="BR175" s="99">
        <f t="shared" si="64"/>
        <v>0.5</v>
      </c>
      <c r="BS175" s="101">
        <f t="shared" si="65"/>
        <v>19.5</v>
      </c>
    </row>
    <row r="176" spans="1:71" x14ac:dyDescent="0.6">
      <c r="A176" s="373" t="s">
        <v>330</v>
      </c>
      <c r="B176" s="1" t="s">
        <v>3080</v>
      </c>
      <c r="C176" s="380" t="s">
        <v>78</v>
      </c>
      <c r="D176" s="351" t="s">
        <v>285</v>
      </c>
      <c r="E176" s="352" t="s">
        <v>171</v>
      </c>
      <c r="F176" s="352" t="s">
        <v>1205</v>
      </c>
      <c r="G176" s="353">
        <v>27750</v>
      </c>
      <c r="H176" s="352" t="s">
        <v>755</v>
      </c>
      <c r="I176" s="352" t="s">
        <v>232</v>
      </c>
      <c r="J176" s="352" t="s">
        <v>1093</v>
      </c>
      <c r="K176" s="352" t="s">
        <v>91</v>
      </c>
      <c r="L176" s="381">
        <v>993336394</v>
      </c>
      <c r="M176" s="376">
        <v>651630168</v>
      </c>
      <c r="N176" s="376">
        <v>341706226</v>
      </c>
      <c r="O176" s="376">
        <v>1463883744</v>
      </c>
      <c r="P176" s="376">
        <v>144479752</v>
      </c>
      <c r="Q176" s="376">
        <v>118763976</v>
      </c>
      <c r="R176" s="376">
        <v>84457579</v>
      </c>
      <c r="S176" s="325">
        <v>0</v>
      </c>
      <c r="T176" s="246">
        <f t="shared" si="49"/>
        <v>100</v>
      </c>
      <c r="U176" s="77">
        <f t="shared" si="50"/>
        <v>2</v>
      </c>
      <c r="V176" s="377">
        <v>0</v>
      </c>
      <c r="W176" s="377">
        <v>0</v>
      </c>
      <c r="X176" s="377">
        <v>0</v>
      </c>
      <c r="Y176" s="377">
        <v>0</v>
      </c>
      <c r="Z176" s="377">
        <v>0</v>
      </c>
      <c r="AA176" s="377">
        <v>0</v>
      </c>
      <c r="AB176" s="377">
        <v>0</v>
      </c>
      <c r="AC176" s="247">
        <f t="shared" si="51"/>
        <v>0</v>
      </c>
      <c r="AD176" s="247">
        <f t="shared" si="52"/>
        <v>100</v>
      </c>
      <c r="AE176" s="82">
        <f t="shared" si="70"/>
        <v>5</v>
      </c>
      <c r="AF176" s="377">
        <v>0</v>
      </c>
      <c r="AG176" s="377">
        <v>0</v>
      </c>
      <c r="AH176" s="247">
        <f t="shared" si="66"/>
        <v>0</v>
      </c>
      <c r="AI176" s="247">
        <f t="shared" si="67"/>
        <v>100</v>
      </c>
      <c r="AJ176" s="82">
        <f t="shared" si="68"/>
        <v>3</v>
      </c>
      <c r="AK176" s="367" t="s">
        <v>2902</v>
      </c>
      <c r="AL176" s="367" t="s">
        <v>2902</v>
      </c>
      <c r="AM176" s="367" t="s">
        <v>2902</v>
      </c>
      <c r="AN176" s="367" t="s">
        <v>2902</v>
      </c>
      <c r="AO176" s="367" t="s">
        <v>2902</v>
      </c>
      <c r="AP176" s="296" t="s">
        <v>2326</v>
      </c>
      <c r="AQ176" s="296" t="s">
        <v>2326</v>
      </c>
      <c r="AR176" s="297"/>
      <c r="AS176" s="367" t="s">
        <v>2902</v>
      </c>
      <c r="AT176" s="367" t="s">
        <v>2902</v>
      </c>
      <c r="AU176" s="296" t="s">
        <v>2326</v>
      </c>
      <c r="AV176" s="297"/>
      <c r="AW176" s="325">
        <v>1</v>
      </c>
      <c r="AX176" s="247">
        <f t="shared" si="53"/>
        <v>100</v>
      </c>
      <c r="AY176" s="90">
        <f t="shared" si="54"/>
        <v>4</v>
      </c>
      <c r="AZ176" s="378">
        <v>0</v>
      </c>
      <c r="BA176" s="449" t="s">
        <v>3782</v>
      </c>
      <c r="BB176" s="247">
        <f t="shared" si="55"/>
        <v>100</v>
      </c>
      <c r="BC176" s="91">
        <f t="shared" si="56"/>
        <v>2</v>
      </c>
      <c r="BD176" s="325">
        <v>0</v>
      </c>
      <c r="BE176" s="325">
        <v>0</v>
      </c>
      <c r="BF176" s="325">
        <v>0</v>
      </c>
      <c r="BG176" s="252">
        <f t="shared" si="57"/>
        <v>0</v>
      </c>
      <c r="BH176" s="246">
        <f t="shared" si="58"/>
        <v>100</v>
      </c>
      <c r="BI176" s="90">
        <f t="shared" si="59"/>
        <v>1</v>
      </c>
      <c r="BJ176" s="325">
        <v>0</v>
      </c>
      <c r="BK176" s="247">
        <f t="shared" si="60"/>
        <v>100</v>
      </c>
      <c r="BL176" s="94">
        <f t="shared" si="61"/>
        <v>2</v>
      </c>
      <c r="BM176" s="325">
        <v>0</v>
      </c>
      <c r="BN176" s="325">
        <v>1</v>
      </c>
      <c r="BO176" s="325">
        <v>1</v>
      </c>
      <c r="BP176" s="211">
        <f t="shared" si="62"/>
        <v>2</v>
      </c>
      <c r="BQ176" s="253">
        <f t="shared" si="63"/>
        <v>75</v>
      </c>
      <c r="BR176" s="99">
        <f t="shared" si="64"/>
        <v>0.75</v>
      </c>
      <c r="BS176" s="101">
        <f t="shared" si="65"/>
        <v>19.75</v>
      </c>
    </row>
    <row r="177" spans="1:71" x14ac:dyDescent="0.6">
      <c r="A177" s="373" t="s">
        <v>707</v>
      </c>
      <c r="B177" s="13" t="s">
        <v>3081</v>
      </c>
      <c r="C177" s="380" t="s">
        <v>4</v>
      </c>
      <c r="D177" s="351" t="s">
        <v>285</v>
      </c>
      <c r="E177" s="352" t="s">
        <v>504</v>
      </c>
      <c r="F177" s="352" t="s">
        <v>594</v>
      </c>
      <c r="G177" s="353">
        <v>31278</v>
      </c>
      <c r="H177" s="352" t="s">
        <v>830</v>
      </c>
      <c r="I177" s="352" t="s">
        <v>798</v>
      </c>
      <c r="J177" s="352" t="s">
        <v>1199</v>
      </c>
      <c r="K177" s="352" t="s">
        <v>91</v>
      </c>
      <c r="L177" s="381">
        <v>8345250728</v>
      </c>
      <c r="M177" s="376">
        <v>4385916580</v>
      </c>
      <c r="N177" s="376">
        <v>3959334148</v>
      </c>
      <c r="O177" s="376">
        <v>1865707316</v>
      </c>
      <c r="P177" s="376">
        <v>348026286</v>
      </c>
      <c r="Q177" s="376">
        <v>294941948</v>
      </c>
      <c r="R177" s="376">
        <v>247588341</v>
      </c>
      <c r="S177" s="325">
        <v>1</v>
      </c>
      <c r="T177" s="246">
        <f t="shared" si="49"/>
        <v>50</v>
      </c>
      <c r="U177" s="77">
        <f t="shared" si="50"/>
        <v>1</v>
      </c>
      <c r="V177" s="377">
        <v>0</v>
      </c>
      <c r="W177" s="377">
        <v>0</v>
      </c>
      <c r="X177" s="377">
        <v>0</v>
      </c>
      <c r="Y177" s="377">
        <v>0</v>
      </c>
      <c r="Z177" s="377">
        <v>0</v>
      </c>
      <c r="AA177" s="377">
        <v>0</v>
      </c>
      <c r="AB177" s="377">
        <v>0</v>
      </c>
      <c r="AC177" s="247">
        <f t="shared" si="51"/>
        <v>0</v>
      </c>
      <c r="AD177" s="247">
        <f t="shared" si="52"/>
        <v>100</v>
      </c>
      <c r="AE177" s="82">
        <f t="shared" si="70"/>
        <v>5</v>
      </c>
      <c r="AF177" s="377">
        <v>0</v>
      </c>
      <c r="AG177" s="377">
        <v>0</v>
      </c>
      <c r="AH177" s="247">
        <f t="shared" si="66"/>
        <v>0</v>
      </c>
      <c r="AI177" s="247">
        <f t="shared" si="67"/>
        <v>100</v>
      </c>
      <c r="AJ177" s="82">
        <f t="shared" si="68"/>
        <v>3</v>
      </c>
      <c r="AK177" s="367" t="s">
        <v>2902</v>
      </c>
      <c r="AL177" s="367" t="s">
        <v>2902</v>
      </c>
      <c r="AM177" s="367" t="s">
        <v>2902</v>
      </c>
      <c r="AN177" s="367" t="s">
        <v>2902</v>
      </c>
      <c r="AO177" s="367" t="s">
        <v>2902</v>
      </c>
      <c r="AP177" s="296" t="s">
        <v>2326</v>
      </c>
      <c r="AQ177" s="296" t="s">
        <v>2326</v>
      </c>
      <c r="AR177" s="297"/>
      <c r="AS177" s="367" t="s">
        <v>2902</v>
      </c>
      <c r="AT177" s="367" t="s">
        <v>2902</v>
      </c>
      <c r="AU177" s="296" t="s">
        <v>2326</v>
      </c>
      <c r="AV177" s="297"/>
      <c r="AW177" s="325">
        <v>0</v>
      </c>
      <c r="AX177" s="247">
        <f t="shared" si="53"/>
        <v>50</v>
      </c>
      <c r="AY177" s="90">
        <f t="shared" si="54"/>
        <v>2</v>
      </c>
      <c r="AZ177" s="378">
        <v>0</v>
      </c>
      <c r="BA177" s="449" t="s">
        <v>3782</v>
      </c>
      <c r="BB177" s="247">
        <f t="shared" si="55"/>
        <v>100</v>
      </c>
      <c r="BC177" s="91">
        <f t="shared" si="56"/>
        <v>2</v>
      </c>
      <c r="BD177" s="325">
        <v>0</v>
      </c>
      <c r="BE177" s="325">
        <v>0</v>
      </c>
      <c r="BF177" s="325">
        <v>0</v>
      </c>
      <c r="BG177" s="252">
        <f t="shared" si="57"/>
        <v>0</v>
      </c>
      <c r="BH177" s="246">
        <f t="shared" si="58"/>
        <v>100</v>
      </c>
      <c r="BI177" s="90">
        <f t="shared" si="59"/>
        <v>1</v>
      </c>
      <c r="BJ177" s="325">
        <v>0</v>
      </c>
      <c r="BK177" s="247">
        <f t="shared" si="60"/>
        <v>100</v>
      </c>
      <c r="BL177" s="94">
        <f t="shared" si="61"/>
        <v>2</v>
      </c>
      <c r="BM177" s="325">
        <v>0</v>
      </c>
      <c r="BN177" s="325">
        <v>0</v>
      </c>
      <c r="BO177" s="325">
        <v>1</v>
      </c>
      <c r="BP177" s="211">
        <f t="shared" si="62"/>
        <v>1</v>
      </c>
      <c r="BQ177" s="253">
        <f t="shared" si="63"/>
        <v>50</v>
      </c>
      <c r="BR177" s="99">
        <f t="shared" si="64"/>
        <v>0.5</v>
      </c>
      <c r="BS177" s="101">
        <f t="shared" si="65"/>
        <v>16.5</v>
      </c>
    </row>
    <row r="178" spans="1:71" x14ac:dyDescent="0.6">
      <c r="A178" s="373" t="s">
        <v>231</v>
      </c>
      <c r="B178" s="1" t="s">
        <v>3082</v>
      </c>
      <c r="C178" s="380" t="s">
        <v>413</v>
      </c>
      <c r="D178" s="351" t="s">
        <v>285</v>
      </c>
      <c r="E178" s="352" t="s">
        <v>1039</v>
      </c>
      <c r="F178" s="352" t="s">
        <v>1072</v>
      </c>
      <c r="G178" s="353">
        <v>40738</v>
      </c>
      <c r="H178" s="352" t="s">
        <v>830</v>
      </c>
      <c r="I178" s="352" t="s">
        <v>1737</v>
      </c>
      <c r="J178" s="352" t="s">
        <v>1187</v>
      </c>
      <c r="K178" s="352" t="s">
        <v>91</v>
      </c>
      <c r="L178" s="381">
        <v>1134250211</v>
      </c>
      <c r="M178" s="376">
        <v>421706641</v>
      </c>
      <c r="N178" s="376">
        <v>712543570</v>
      </c>
      <c r="O178" s="376">
        <v>1430631262</v>
      </c>
      <c r="P178" s="376">
        <v>99554619</v>
      </c>
      <c r="Q178" s="376">
        <v>116211296</v>
      </c>
      <c r="R178" s="376">
        <v>89493182</v>
      </c>
      <c r="S178" s="325">
        <v>1</v>
      </c>
      <c r="T178" s="246">
        <f t="shared" si="49"/>
        <v>50</v>
      </c>
      <c r="U178" s="77">
        <f t="shared" si="50"/>
        <v>1</v>
      </c>
      <c r="V178" s="377">
        <v>0</v>
      </c>
      <c r="W178" s="377">
        <v>0</v>
      </c>
      <c r="X178" s="377">
        <v>0</v>
      </c>
      <c r="Y178" s="377">
        <v>0</v>
      </c>
      <c r="Z178" s="377">
        <v>0</v>
      </c>
      <c r="AA178" s="377">
        <v>0</v>
      </c>
      <c r="AB178" s="377">
        <v>0</v>
      </c>
      <c r="AC178" s="247">
        <f t="shared" si="51"/>
        <v>0</v>
      </c>
      <c r="AD178" s="247">
        <f t="shared" si="52"/>
        <v>100</v>
      </c>
      <c r="AE178" s="82">
        <f t="shared" si="70"/>
        <v>5</v>
      </c>
      <c r="AF178" s="377">
        <v>0</v>
      </c>
      <c r="AG178" s="377">
        <v>0</v>
      </c>
      <c r="AH178" s="247">
        <f t="shared" si="66"/>
        <v>0</v>
      </c>
      <c r="AI178" s="247">
        <f t="shared" si="67"/>
        <v>100</v>
      </c>
      <c r="AJ178" s="82">
        <f t="shared" si="68"/>
        <v>3</v>
      </c>
      <c r="AK178" s="367" t="s">
        <v>2902</v>
      </c>
      <c r="AL178" s="367" t="s">
        <v>2902</v>
      </c>
      <c r="AM178" s="367" t="s">
        <v>2902</v>
      </c>
      <c r="AN178" s="367" t="s">
        <v>2902</v>
      </c>
      <c r="AO178" s="367" t="s">
        <v>2902</v>
      </c>
      <c r="AP178" s="296" t="s">
        <v>2326</v>
      </c>
      <c r="AQ178" s="296" t="s">
        <v>2326</v>
      </c>
      <c r="AR178" s="297"/>
      <c r="AS178" s="367" t="s">
        <v>2902</v>
      </c>
      <c r="AT178" s="367" t="s">
        <v>2902</v>
      </c>
      <c r="AU178" s="296" t="s">
        <v>2326</v>
      </c>
      <c r="AV178" s="297"/>
      <c r="AW178" s="325">
        <v>0</v>
      </c>
      <c r="AX178" s="247">
        <f t="shared" si="53"/>
        <v>50</v>
      </c>
      <c r="AY178" s="90">
        <f t="shared" si="54"/>
        <v>2</v>
      </c>
      <c r="AZ178" s="378">
        <v>0</v>
      </c>
      <c r="BA178" s="449" t="s">
        <v>3782</v>
      </c>
      <c r="BB178" s="247">
        <f t="shared" si="55"/>
        <v>100</v>
      </c>
      <c r="BC178" s="91">
        <f t="shared" si="56"/>
        <v>2</v>
      </c>
      <c r="BD178" s="325">
        <v>0</v>
      </c>
      <c r="BE178" s="325">
        <v>0</v>
      </c>
      <c r="BF178" s="325">
        <v>0</v>
      </c>
      <c r="BG178" s="252">
        <f t="shared" si="57"/>
        <v>0</v>
      </c>
      <c r="BH178" s="246">
        <f t="shared" si="58"/>
        <v>100</v>
      </c>
      <c r="BI178" s="90">
        <f t="shared" si="59"/>
        <v>1</v>
      </c>
      <c r="BJ178" s="325">
        <v>0</v>
      </c>
      <c r="BK178" s="247">
        <f t="shared" si="60"/>
        <v>100</v>
      </c>
      <c r="BL178" s="94">
        <f t="shared" si="61"/>
        <v>2</v>
      </c>
      <c r="BM178" s="325">
        <v>0</v>
      </c>
      <c r="BN178" s="325">
        <v>0</v>
      </c>
      <c r="BO178" s="325">
        <v>1</v>
      </c>
      <c r="BP178" s="211">
        <f t="shared" si="62"/>
        <v>1</v>
      </c>
      <c r="BQ178" s="253">
        <f t="shared" si="63"/>
        <v>50</v>
      </c>
      <c r="BR178" s="99">
        <f t="shared" si="64"/>
        <v>0.5</v>
      </c>
      <c r="BS178" s="101">
        <f t="shared" si="65"/>
        <v>16.5</v>
      </c>
    </row>
    <row r="179" spans="1:71" x14ac:dyDescent="0.6">
      <c r="A179" s="373" t="s">
        <v>1738</v>
      </c>
      <c r="B179" s="13" t="s">
        <v>3083</v>
      </c>
      <c r="C179" s="380" t="s">
        <v>374</v>
      </c>
      <c r="D179" s="351" t="s">
        <v>191</v>
      </c>
      <c r="E179" s="352" t="s">
        <v>190</v>
      </c>
      <c r="F179" s="352" t="s">
        <v>125</v>
      </c>
      <c r="G179" s="353">
        <v>28122</v>
      </c>
      <c r="H179" s="352" t="s">
        <v>830</v>
      </c>
      <c r="I179" s="352" t="s">
        <v>251</v>
      </c>
      <c r="J179" s="352" t="s">
        <v>287</v>
      </c>
      <c r="K179" s="352" t="s">
        <v>91</v>
      </c>
      <c r="L179" s="381">
        <v>385696451</v>
      </c>
      <c r="M179" s="376">
        <v>57970889</v>
      </c>
      <c r="N179" s="376">
        <v>327725561</v>
      </c>
      <c r="O179" s="376">
        <v>201337780</v>
      </c>
      <c r="P179" s="376">
        <v>7473489</v>
      </c>
      <c r="Q179" s="376">
        <v>11002724</v>
      </c>
      <c r="R179" s="376">
        <v>11593733</v>
      </c>
      <c r="S179" s="325">
        <v>0</v>
      </c>
      <c r="T179" s="246">
        <f t="shared" si="49"/>
        <v>100</v>
      </c>
      <c r="U179" s="77">
        <f t="shared" si="50"/>
        <v>2</v>
      </c>
      <c r="V179" s="377">
        <v>0</v>
      </c>
      <c r="W179" s="377">
        <v>0</v>
      </c>
      <c r="X179" s="377">
        <v>0</v>
      </c>
      <c r="Y179" s="377">
        <v>0</v>
      </c>
      <c r="Z179" s="377">
        <v>0</v>
      </c>
      <c r="AA179" s="377">
        <v>0</v>
      </c>
      <c r="AB179" s="377">
        <v>0</v>
      </c>
      <c r="AC179" s="247">
        <f t="shared" si="51"/>
        <v>0</v>
      </c>
      <c r="AD179" s="247">
        <f t="shared" si="52"/>
        <v>100</v>
      </c>
      <c r="AE179" s="82">
        <f t="shared" si="70"/>
        <v>5</v>
      </c>
      <c r="AF179" s="377">
        <v>0</v>
      </c>
      <c r="AG179" s="377">
        <v>0</v>
      </c>
      <c r="AH179" s="247">
        <f t="shared" si="66"/>
        <v>0</v>
      </c>
      <c r="AI179" s="247">
        <f t="shared" si="67"/>
        <v>100</v>
      </c>
      <c r="AJ179" s="82">
        <f t="shared" si="68"/>
        <v>3</v>
      </c>
      <c r="AK179" s="367" t="s">
        <v>2902</v>
      </c>
      <c r="AL179" s="367" t="s">
        <v>2902</v>
      </c>
      <c r="AM179" s="367" t="s">
        <v>2902</v>
      </c>
      <c r="AN179" s="367" t="s">
        <v>2902</v>
      </c>
      <c r="AO179" s="367" t="s">
        <v>2902</v>
      </c>
      <c r="AP179" s="296" t="s">
        <v>2326</v>
      </c>
      <c r="AQ179" s="296" t="s">
        <v>2326</v>
      </c>
      <c r="AR179" s="297"/>
      <c r="AS179" s="367" t="s">
        <v>2902</v>
      </c>
      <c r="AT179" s="367" t="s">
        <v>2902</v>
      </c>
      <c r="AU179" s="296" t="s">
        <v>2326</v>
      </c>
      <c r="AV179" s="297"/>
      <c r="AW179" s="325">
        <v>1</v>
      </c>
      <c r="AX179" s="247">
        <f t="shared" si="53"/>
        <v>100</v>
      </c>
      <c r="AY179" s="90">
        <f t="shared" si="54"/>
        <v>4</v>
      </c>
      <c r="AZ179" s="378">
        <v>0</v>
      </c>
      <c r="BA179" s="449" t="s">
        <v>3782</v>
      </c>
      <c r="BB179" s="247">
        <f t="shared" si="55"/>
        <v>100</v>
      </c>
      <c r="BC179" s="91">
        <f t="shared" si="56"/>
        <v>2</v>
      </c>
      <c r="BD179" s="325">
        <v>0</v>
      </c>
      <c r="BE179" s="325">
        <v>0</v>
      </c>
      <c r="BF179" s="325">
        <v>0</v>
      </c>
      <c r="BG179" s="252">
        <f t="shared" si="57"/>
        <v>0</v>
      </c>
      <c r="BH179" s="246">
        <f t="shared" si="58"/>
        <v>100</v>
      </c>
      <c r="BI179" s="90">
        <f t="shared" si="59"/>
        <v>1</v>
      </c>
      <c r="BJ179" s="325">
        <v>0</v>
      </c>
      <c r="BK179" s="247">
        <f t="shared" si="60"/>
        <v>100</v>
      </c>
      <c r="BL179" s="94">
        <f t="shared" si="61"/>
        <v>2</v>
      </c>
      <c r="BM179" s="325">
        <v>0</v>
      </c>
      <c r="BN179" s="325">
        <v>0</v>
      </c>
      <c r="BO179" s="325">
        <v>0</v>
      </c>
      <c r="BP179" s="211">
        <f t="shared" si="62"/>
        <v>0</v>
      </c>
      <c r="BQ179" s="253">
        <f t="shared" si="63"/>
        <v>25</v>
      </c>
      <c r="BR179" s="99">
        <f t="shared" si="64"/>
        <v>0.25</v>
      </c>
      <c r="BS179" s="101">
        <f t="shared" si="65"/>
        <v>19.25</v>
      </c>
    </row>
    <row r="180" spans="1:71" x14ac:dyDescent="0.6">
      <c r="A180" s="373" t="s">
        <v>414</v>
      </c>
      <c r="B180" s="1" t="s">
        <v>3084</v>
      </c>
      <c r="C180" s="380" t="s">
        <v>411</v>
      </c>
      <c r="D180" s="354" t="s">
        <v>350</v>
      </c>
      <c r="E180" s="352" t="s">
        <v>179</v>
      </c>
      <c r="F180" s="352" t="s">
        <v>808</v>
      </c>
      <c r="G180" s="353">
        <v>32013</v>
      </c>
      <c r="H180" s="352" t="s">
        <v>746</v>
      </c>
      <c r="I180" s="352" t="s">
        <v>266</v>
      </c>
      <c r="J180" s="352" t="s">
        <v>1192</v>
      </c>
      <c r="K180" s="352" t="s">
        <v>91</v>
      </c>
      <c r="L180" s="381">
        <v>10400472991</v>
      </c>
      <c r="M180" s="376">
        <v>9031560866</v>
      </c>
      <c r="N180" s="376">
        <v>1368912125</v>
      </c>
      <c r="O180" s="376">
        <v>2043938653</v>
      </c>
      <c r="P180" s="376">
        <v>111260253</v>
      </c>
      <c r="Q180" s="376">
        <v>121787342</v>
      </c>
      <c r="R180" s="376">
        <v>93015535</v>
      </c>
      <c r="S180" s="325">
        <v>0</v>
      </c>
      <c r="T180" s="246">
        <f t="shared" si="49"/>
        <v>100</v>
      </c>
      <c r="U180" s="77">
        <f t="shared" si="50"/>
        <v>2</v>
      </c>
      <c r="V180" s="377">
        <v>0</v>
      </c>
      <c r="W180" s="377">
        <v>0</v>
      </c>
      <c r="X180" s="377">
        <v>0</v>
      </c>
      <c r="Y180" s="377">
        <v>0</v>
      </c>
      <c r="Z180" s="377">
        <v>0</v>
      </c>
      <c r="AA180" s="377">
        <v>0</v>
      </c>
      <c r="AB180" s="377">
        <v>0</v>
      </c>
      <c r="AC180" s="247">
        <f t="shared" si="51"/>
        <v>0</v>
      </c>
      <c r="AD180" s="247">
        <f t="shared" si="52"/>
        <v>100</v>
      </c>
      <c r="AE180" s="81">
        <f>AD180*0.02</f>
        <v>2</v>
      </c>
      <c r="AF180" s="360" t="s">
        <v>2902</v>
      </c>
      <c r="AG180" s="360" t="s">
        <v>2902</v>
      </c>
      <c r="AH180" s="248" t="s">
        <v>2326</v>
      </c>
      <c r="AI180" s="248" t="s">
        <v>2326</v>
      </c>
      <c r="AJ180" s="248"/>
      <c r="AK180" s="373">
        <v>0</v>
      </c>
      <c r="AL180" s="373">
        <v>0</v>
      </c>
      <c r="AM180" s="373">
        <v>0</v>
      </c>
      <c r="AN180" s="373">
        <v>1</v>
      </c>
      <c r="AO180" s="389" t="s">
        <v>3241</v>
      </c>
      <c r="AP180" s="249">
        <f>SUM(AK180:AN180)</f>
        <v>1</v>
      </c>
      <c r="AQ180" s="250">
        <f>IF(AP180=0, 100, IF(AP180=1, 75, IF(AP180=2, 50, 25)))</f>
        <v>75</v>
      </c>
      <c r="AR180" s="83">
        <f>AQ180*0.05</f>
        <v>3.75</v>
      </c>
      <c r="AS180" s="395">
        <v>0</v>
      </c>
      <c r="AT180" s="370" t="s">
        <v>3240</v>
      </c>
      <c r="AU180" s="251">
        <f>IF(AS180=0, 100, IF(AS180=1, 200/3, IF(AS180&gt;=2, 100/3)))</f>
        <v>100</v>
      </c>
      <c r="AV180" s="87">
        <f>AU180*0.01</f>
        <v>1</v>
      </c>
      <c r="AW180" s="325">
        <v>1</v>
      </c>
      <c r="AX180" s="247">
        <f t="shared" si="53"/>
        <v>100</v>
      </c>
      <c r="AY180" s="90">
        <f t="shared" si="54"/>
        <v>4</v>
      </c>
      <c r="AZ180" s="378">
        <v>0</v>
      </c>
      <c r="BA180" s="449" t="s">
        <v>3782</v>
      </c>
      <c r="BB180" s="247">
        <f t="shared" si="55"/>
        <v>100</v>
      </c>
      <c r="BC180" s="91">
        <f t="shared" si="56"/>
        <v>2</v>
      </c>
      <c r="BD180" s="325">
        <v>0</v>
      </c>
      <c r="BE180" s="325">
        <v>0</v>
      </c>
      <c r="BF180" s="325">
        <v>0</v>
      </c>
      <c r="BG180" s="252">
        <f t="shared" si="57"/>
        <v>0</v>
      </c>
      <c r="BH180" s="246">
        <f t="shared" si="58"/>
        <v>100</v>
      </c>
      <c r="BI180" s="90">
        <f t="shared" si="59"/>
        <v>1</v>
      </c>
      <c r="BJ180" s="325">
        <v>0</v>
      </c>
      <c r="BK180" s="247">
        <f t="shared" si="60"/>
        <v>100</v>
      </c>
      <c r="BL180" s="94">
        <f t="shared" si="61"/>
        <v>2</v>
      </c>
      <c r="BM180" s="325">
        <v>0</v>
      </c>
      <c r="BN180" s="325">
        <v>0</v>
      </c>
      <c r="BO180" s="325">
        <v>0</v>
      </c>
      <c r="BP180" s="211">
        <f t="shared" si="62"/>
        <v>0</v>
      </c>
      <c r="BQ180" s="253">
        <f t="shared" si="63"/>
        <v>25</v>
      </c>
      <c r="BR180" s="99">
        <f t="shared" si="64"/>
        <v>0.25</v>
      </c>
      <c r="BS180" s="101">
        <f t="shared" si="65"/>
        <v>18</v>
      </c>
    </row>
    <row r="181" spans="1:71" x14ac:dyDescent="0.6">
      <c r="A181" s="373" t="s">
        <v>9</v>
      </c>
      <c r="B181" s="13" t="s">
        <v>3085</v>
      </c>
      <c r="C181" s="380" t="s">
        <v>505</v>
      </c>
      <c r="D181" s="351" t="s">
        <v>285</v>
      </c>
      <c r="E181" s="352" t="s">
        <v>999</v>
      </c>
      <c r="F181" s="352" t="s">
        <v>165</v>
      </c>
      <c r="G181" s="353">
        <v>27667</v>
      </c>
      <c r="H181" s="352" t="s">
        <v>830</v>
      </c>
      <c r="I181" s="352" t="s">
        <v>754</v>
      </c>
      <c r="J181" s="352" t="s">
        <v>1089</v>
      </c>
      <c r="K181" s="352" t="s">
        <v>425</v>
      </c>
      <c r="L181" s="381">
        <v>152880655</v>
      </c>
      <c r="M181" s="376">
        <v>70989813</v>
      </c>
      <c r="N181" s="376">
        <v>81890843</v>
      </c>
      <c r="O181" s="376">
        <v>202728990</v>
      </c>
      <c r="P181" s="376">
        <v>2828954</v>
      </c>
      <c r="Q181" s="376">
        <v>1737125</v>
      </c>
      <c r="R181" s="376">
        <v>1041713</v>
      </c>
      <c r="S181" s="325">
        <v>0</v>
      </c>
      <c r="T181" s="246">
        <f t="shared" si="49"/>
        <v>100</v>
      </c>
      <c r="U181" s="77">
        <f t="shared" si="50"/>
        <v>2</v>
      </c>
      <c r="V181" s="377">
        <v>0</v>
      </c>
      <c r="W181" s="377">
        <v>0</v>
      </c>
      <c r="X181" s="377">
        <v>0</v>
      </c>
      <c r="Y181" s="377">
        <v>0</v>
      </c>
      <c r="Z181" s="377">
        <v>0</v>
      </c>
      <c r="AA181" s="377">
        <v>0</v>
      </c>
      <c r="AB181" s="377">
        <v>0</v>
      </c>
      <c r="AC181" s="247">
        <f t="shared" si="51"/>
        <v>0</v>
      </c>
      <c r="AD181" s="247">
        <f t="shared" si="52"/>
        <v>100</v>
      </c>
      <c r="AE181" s="82">
        <f t="shared" ref="AE181:AE194" si="71">AD181*0.05</f>
        <v>5</v>
      </c>
      <c r="AF181" s="377">
        <v>0</v>
      </c>
      <c r="AG181" s="377">
        <v>0</v>
      </c>
      <c r="AH181" s="247">
        <f t="shared" si="66"/>
        <v>0</v>
      </c>
      <c r="AI181" s="247">
        <f t="shared" si="67"/>
        <v>100</v>
      </c>
      <c r="AJ181" s="82">
        <f t="shared" si="68"/>
        <v>3</v>
      </c>
      <c r="AK181" s="367" t="s">
        <v>2902</v>
      </c>
      <c r="AL181" s="367" t="s">
        <v>2902</v>
      </c>
      <c r="AM181" s="367" t="s">
        <v>2902</v>
      </c>
      <c r="AN181" s="367" t="s">
        <v>2902</v>
      </c>
      <c r="AO181" s="367" t="s">
        <v>2902</v>
      </c>
      <c r="AP181" s="296" t="s">
        <v>2326</v>
      </c>
      <c r="AQ181" s="296" t="s">
        <v>2326</v>
      </c>
      <c r="AR181" s="297"/>
      <c r="AS181" s="367" t="s">
        <v>2902</v>
      </c>
      <c r="AT181" s="367" t="s">
        <v>2902</v>
      </c>
      <c r="AU181" s="296" t="s">
        <v>2326</v>
      </c>
      <c r="AV181" s="297"/>
      <c r="AW181" s="325">
        <v>1</v>
      </c>
      <c r="AX181" s="247">
        <f t="shared" si="53"/>
        <v>100</v>
      </c>
      <c r="AY181" s="90">
        <f t="shared" si="54"/>
        <v>4</v>
      </c>
      <c r="AZ181" s="378">
        <v>0</v>
      </c>
      <c r="BA181" s="449" t="s">
        <v>3782</v>
      </c>
      <c r="BB181" s="247">
        <f t="shared" si="55"/>
        <v>100</v>
      </c>
      <c r="BC181" s="91">
        <f t="shared" si="56"/>
        <v>2</v>
      </c>
      <c r="BD181" s="325">
        <v>0</v>
      </c>
      <c r="BE181" s="325">
        <v>0</v>
      </c>
      <c r="BF181" s="325">
        <v>0</v>
      </c>
      <c r="BG181" s="252">
        <f t="shared" si="57"/>
        <v>0</v>
      </c>
      <c r="BH181" s="246">
        <f t="shared" si="58"/>
        <v>100</v>
      </c>
      <c r="BI181" s="90">
        <f t="shared" si="59"/>
        <v>1</v>
      </c>
      <c r="BJ181" s="325">
        <v>0</v>
      </c>
      <c r="BK181" s="247">
        <f t="shared" si="60"/>
        <v>100</v>
      </c>
      <c r="BL181" s="94">
        <f t="shared" si="61"/>
        <v>2</v>
      </c>
      <c r="BM181" s="325">
        <v>0</v>
      </c>
      <c r="BN181" s="325">
        <v>0</v>
      </c>
      <c r="BO181" s="325">
        <v>0</v>
      </c>
      <c r="BP181" s="211">
        <f t="shared" si="62"/>
        <v>0</v>
      </c>
      <c r="BQ181" s="253">
        <f t="shared" si="63"/>
        <v>25</v>
      </c>
      <c r="BR181" s="99">
        <f t="shared" si="64"/>
        <v>0.25</v>
      </c>
      <c r="BS181" s="101">
        <f t="shared" si="65"/>
        <v>19.25</v>
      </c>
    </row>
    <row r="182" spans="1:71" x14ac:dyDescent="0.6">
      <c r="A182" s="373" t="s">
        <v>821</v>
      </c>
      <c r="B182" s="13" t="s">
        <v>3086</v>
      </c>
      <c r="C182" s="380" t="s">
        <v>86</v>
      </c>
      <c r="D182" s="351" t="s">
        <v>285</v>
      </c>
      <c r="E182" s="352" t="s">
        <v>999</v>
      </c>
      <c r="F182" s="352" t="s">
        <v>153</v>
      </c>
      <c r="G182" s="353">
        <v>33277</v>
      </c>
      <c r="H182" s="352" t="s">
        <v>830</v>
      </c>
      <c r="I182" s="352" t="s">
        <v>787</v>
      </c>
      <c r="J182" s="352" t="s">
        <v>1245</v>
      </c>
      <c r="K182" s="352" t="s">
        <v>91</v>
      </c>
      <c r="L182" s="381">
        <v>131824972</v>
      </c>
      <c r="M182" s="376">
        <v>27592356</v>
      </c>
      <c r="N182" s="376">
        <v>104232616</v>
      </c>
      <c r="O182" s="376">
        <v>117958170</v>
      </c>
      <c r="P182" s="376">
        <v>9678013</v>
      </c>
      <c r="Q182" s="376">
        <v>10111802</v>
      </c>
      <c r="R182" s="376">
        <v>8289001</v>
      </c>
      <c r="S182" s="325">
        <v>0</v>
      </c>
      <c r="T182" s="246">
        <f t="shared" si="49"/>
        <v>100</v>
      </c>
      <c r="U182" s="77">
        <f t="shared" si="50"/>
        <v>2</v>
      </c>
      <c r="V182" s="377">
        <v>0</v>
      </c>
      <c r="W182" s="377">
        <v>0</v>
      </c>
      <c r="X182" s="377">
        <v>1</v>
      </c>
      <c r="Y182" s="377">
        <v>0</v>
      </c>
      <c r="Z182" s="377">
        <v>0</v>
      </c>
      <c r="AA182" s="377">
        <v>0</v>
      </c>
      <c r="AB182" s="377">
        <v>0</v>
      </c>
      <c r="AC182" s="247">
        <f t="shared" si="51"/>
        <v>1</v>
      </c>
      <c r="AD182" s="247">
        <f t="shared" si="52"/>
        <v>75</v>
      </c>
      <c r="AE182" s="82">
        <f t="shared" si="71"/>
        <v>3.75</v>
      </c>
      <c r="AF182" s="377">
        <v>0</v>
      </c>
      <c r="AG182" s="377">
        <v>0</v>
      </c>
      <c r="AH182" s="247">
        <f t="shared" si="66"/>
        <v>0</v>
      </c>
      <c r="AI182" s="247">
        <f t="shared" si="67"/>
        <v>100</v>
      </c>
      <c r="AJ182" s="82">
        <f t="shared" si="68"/>
        <v>3</v>
      </c>
      <c r="AK182" s="367" t="s">
        <v>2902</v>
      </c>
      <c r="AL182" s="367" t="s">
        <v>2902</v>
      </c>
      <c r="AM182" s="367" t="s">
        <v>2902</v>
      </c>
      <c r="AN182" s="367" t="s">
        <v>2902</v>
      </c>
      <c r="AO182" s="367" t="s">
        <v>2902</v>
      </c>
      <c r="AP182" s="296" t="s">
        <v>2326</v>
      </c>
      <c r="AQ182" s="296" t="s">
        <v>2326</v>
      </c>
      <c r="AR182" s="297"/>
      <c r="AS182" s="367" t="s">
        <v>2902</v>
      </c>
      <c r="AT182" s="367" t="s">
        <v>2902</v>
      </c>
      <c r="AU182" s="296" t="s">
        <v>2326</v>
      </c>
      <c r="AV182" s="297"/>
      <c r="AW182" s="325">
        <v>0</v>
      </c>
      <c r="AX182" s="247">
        <f t="shared" si="53"/>
        <v>50</v>
      </c>
      <c r="AY182" s="90">
        <f t="shared" si="54"/>
        <v>2</v>
      </c>
      <c r="AZ182" s="378">
        <v>0</v>
      </c>
      <c r="BA182" s="449" t="s">
        <v>3782</v>
      </c>
      <c r="BB182" s="247">
        <f t="shared" si="55"/>
        <v>100</v>
      </c>
      <c r="BC182" s="91">
        <f t="shared" si="56"/>
        <v>2</v>
      </c>
      <c r="BD182" s="325">
        <v>0</v>
      </c>
      <c r="BE182" s="325">
        <v>0</v>
      </c>
      <c r="BF182" s="325">
        <v>1</v>
      </c>
      <c r="BG182" s="252">
        <f t="shared" si="57"/>
        <v>1</v>
      </c>
      <c r="BH182" s="246">
        <f t="shared" si="58"/>
        <v>75</v>
      </c>
      <c r="BI182" s="90">
        <f t="shared" si="59"/>
        <v>0.75</v>
      </c>
      <c r="BJ182" s="325">
        <v>0</v>
      </c>
      <c r="BK182" s="247">
        <f t="shared" si="60"/>
        <v>100</v>
      </c>
      <c r="BL182" s="94">
        <f t="shared" si="61"/>
        <v>2</v>
      </c>
      <c r="BM182" s="325">
        <v>0</v>
      </c>
      <c r="BN182" s="325">
        <v>0</v>
      </c>
      <c r="BO182" s="325">
        <v>0</v>
      </c>
      <c r="BP182" s="211">
        <f t="shared" si="62"/>
        <v>0</v>
      </c>
      <c r="BQ182" s="253">
        <f t="shared" si="63"/>
        <v>25</v>
      </c>
      <c r="BR182" s="99">
        <f t="shared" si="64"/>
        <v>0.25</v>
      </c>
      <c r="BS182" s="101">
        <f t="shared" si="65"/>
        <v>15.75</v>
      </c>
    </row>
    <row r="183" spans="1:71" x14ac:dyDescent="0.6">
      <c r="A183" s="373" t="s">
        <v>553</v>
      </c>
      <c r="B183" s="13" t="s">
        <v>3087</v>
      </c>
      <c r="C183" s="380" t="s">
        <v>47</v>
      </c>
      <c r="D183" s="351" t="s">
        <v>203</v>
      </c>
      <c r="E183" s="352" t="s">
        <v>1179</v>
      </c>
      <c r="F183" s="352" t="s">
        <v>211</v>
      </c>
      <c r="G183" s="353">
        <v>27517</v>
      </c>
      <c r="H183" s="352" t="s">
        <v>830</v>
      </c>
      <c r="I183" s="352" t="s">
        <v>973</v>
      </c>
      <c r="J183" s="352" t="s">
        <v>381</v>
      </c>
      <c r="K183" s="352" t="s">
        <v>91</v>
      </c>
      <c r="L183" s="381">
        <v>3324252824</v>
      </c>
      <c r="M183" s="376">
        <v>1744378392</v>
      </c>
      <c r="N183" s="376">
        <v>1579874432</v>
      </c>
      <c r="O183" s="376">
        <v>1329446841</v>
      </c>
      <c r="P183" s="376">
        <v>132736708</v>
      </c>
      <c r="Q183" s="376">
        <v>169634745</v>
      </c>
      <c r="R183" s="376">
        <v>144326674</v>
      </c>
      <c r="S183" s="325">
        <v>0</v>
      </c>
      <c r="T183" s="246">
        <f t="shared" si="49"/>
        <v>100</v>
      </c>
      <c r="U183" s="77">
        <f t="shared" si="50"/>
        <v>2</v>
      </c>
      <c r="V183" s="377">
        <v>0</v>
      </c>
      <c r="W183" s="377">
        <v>0</v>
      </c>
      <c r="X183" s="377">
        <v>0</v>
      </c>
      <c r="Y183" s="377">
        <v>0</v>
      </c>
      <c r="Z183" s="377">
        <v>0</v>
      </c>
      <c r="AA183" s="377">
        <v>0</v>
      </c>
      <c r="AB183" s="377">
        <v>0</v>
      </c>
      <c r="AC183" s="247">
        <f t="shared" si="51"/>
        <v>0</v>
      </c>
      <c r="AD183" s="247">
        <f t="shared" si="52"/>
        <v>100</v>
      </c>
      <c r="AE183" s="82">
        <f t="shared" si="71"/>
        <v>5</v>
      </c>
      <c r="AF183" s="377">
        <v>0</v>
      </c>
      <c r="AG183" s="377">
        <v>0</v>
      </c>
      <c r="AH183" s="247">
        <f t="shared" si="66"/>
        <v>0</v>
      </c>
      <c r="AI183" s="247">
        <f t="shared" si="67"/>
        <v>100</v>
      </c>
      <c r="AJ183" s="82">
        <f t="shared" si="68"/>
        <v>3</v>
      </c>
      <c r="AK183" s="367" t="s">
        <v>2902</v>
      </c>
      <c r="AL183" s="367" t="s">
        <v>2902</v>
      </c>
      <c r="AM183" s="367" t="s">
        <v>2902</v>
      </c>
      <c r="AN183" s="367" t="s">
        <v>2902</v>
      </c>
      <c r="AO183" s="367" t="s">
        <v>2902</v>
      </c>
      <c r="AP183" s="296" t="s">
        <v>2326</v>
      </c>
      <c r="AQ183" s="296" t="s">
        <v>2326</v>
      </c>
      <c r="AR183" s="297"/>
      <c r="AS183" s="367" t="s">
        <v>2902</v>
      </c>
      <c r="AT183" s="367" t="s">
        <v>2902</v>
      </c>
      <c r="AU183" s="296" t="s">
        <v>2326</v>
      </c>
      <c r="AV183" s="297"/>
      <c r="AW183" s="325">
        <v>1</v>
      </c>
      <c r="AX183" s="247">
        <f t="shared" si="53"/>
        <v>100</v>
      </c>
      <c r="AY183" s="90">
        <f t="shared" si="54"/>
        <v>4</v>
      </c>
      <c r="AZ183" s="378">
        <v>0</v>
      </c>
      <c r="BA183" s="449" t="s">
        <v>3782</v>
      </c>
      <c r="BB183" s="247">
        <f t="shared" si="55"/>
        <v>100</v>
      </c>
      <c r="BC183" s="91">
        <f t="shared" si="56"/>
        <v>2</v>
      </c>
      <c r="BD183" s="325">
        <v>0</v>
      </c>
      <c r="BE183" s="325">
        <v>0</v>
      </c>
      <c r="BF183" s="325">
        <v>0</v>
      </c>
      <c r="BG183" s="252">
        <f t="shared" si="57"/>
        <v>0</v>
      </c>
      <c r="BH183" s="246">
        <f t="shared" si="58"/>
        <v>100</v>
      </c>
      <c r="BI183" s="90">
        <f t="shared" si="59"/>
        <v>1</v>
      </c>
      <c r="BJ183" s="325">
        <v>0</v>
      </c>
      <c r="BK183" s="247">
        <f t="shared" si="60"/>
        <v>100</v>
      </c>
      <c r="BL183" s="94">
        <f t="shared" si="61"/>
        <v>2</v>
      </c>
      <c r="BM183" s="325">
        <v>0</v>
      </c>
      <c r="BN183" s="325">
        <v>0</v>
      </c>
      <c r="BO183" s="325">
        <v>1</v>
      </c>
      <c r="BP183" s="211">
        <f t="shared" si="62"/>
        <v>1</v>
      </c>
      <c r="BQ183" s="253">
        <f t="shared" si="63"/>
        <v>50</v>
      </c>
      <c r="BR183" s="99">
        <f t="shared" si="64"/>
        <v>0.5</v>
      </c>
      <c r="BS183" s="101">
        <f t="shared" si="65"/>
        <v>19.5</v>
      </c>
    </row>
    <row r="184" spans="1:71" x14ac:dyDescent="0.6">
      <c r="A184" s="373" t="s">
        <v>290</v>
      </c>
      <c r="B184" s="13" t="s">
        <v>3088</v>
      </c>
      <c r="C184" s="380" t="s">
        <v>325</v>
      </c>
      <c r="D184" s="351" t="s">
        <v>202</v>
      </c>
      <c r="E184" s="352" t="s">
        <v>205</v>
      </c>
      <c r="F184" s="352" t="s">
        <v>164</v>
      </c>
      <c r="G184" s="353">
        <v>31889</v>
      </c>
      <c r="H184" s="352" t="s">
        <v>830</v>
      </c>
      <c r="I184" s="352" t="s">
        <v>710</v>
      </c>
      <c r="J184" s="352" t="s">
        <v>1095</v>
      </c>
      <c r="K184" s="352" t="s">
        <v>317</v>
      </c>
      <c r="L184" s="381">
        <v>75722188</v>
      </c>
      <c r="M184" s="376">
        <v>2498635</v>
      </c>
      <c r="N184" s="376">
        <v>73223553</v>
      </c>
      <c r="O184" s="376">
        <v>17441063</v>
      </c>
      <c r="P184" s="376">
        <v>2055789</v>
      </c>
      <c r="Q184" s="376">
        <v>4418292</v>
      </c>
      <c r="R184" s="376">
        <v>5632855</v>
      </c>
      <c r="S184" s="325">
        <v>0</v>
      </c>
      <c r="T184" s="246">
        <f t="shared" si="49"/>
        <v>100</v>
      </c>
      <c r="U184" s="77">
        <f t="shared" si="50"/>
        <v>2</v>
      </c>
      <c r="V184" s="377">
        <v>0</v>
      </c>
      <c r="W184" s="377">
        <v>0</v>
      </c>
      <c r="X184" s="377">
        <v>0</v>
      </c>
      <c r="Y184" s="377">
        <v>0</v>
      </c>
      <c r="Z184" s="377">
        <v>0</v>
      </c>
      <c r="AA184" s="377">
        <v>0</v>
      </c>
      <c r="AB184" s="377">
        <v>0</v>
      </c>
      <c r="AC184" s="247">
        <f t="shared" si="51"/>
        <v>0</v>
      </c>
      <c r="AD184" s="247">
        <f t="shared" si="52"/>
        <v>100</v>
      </c>
      <c r="AE184" s="82">
        <f t="shared" si="71"/>
        <v>5</v>
      </c>
      <c r="AF184" s="377">
        <v>0</v>
      </c>
      <c r="AG184" s="377">
        <v>0</v>
      </c>
      <c r="AH184" s="247">
        <f t="shared" si="66"/>
        <v>0</v>
      </c>
      <c r="AI184" s="247">
        <f t="shared" si="67"/>
        <v>100</v>
      </c>
      <c r="AJ184" s="82">
        <f t="shared" si="68"/>
        <v>3</v>
      </c>
      <c r="AK184" s="367" t="s">
        <v>2902</v>
      </c>
      <c r="AL184" s="367" t="s">
        <v>2902</v>
      </c>
      <c r="AM184" s="367" t="s">
        <v>2902</v>
      </c>
      <c r="AN184" s="367" t="s">
        <v>2902</v>
      </c>
      <c r="AO184" s="367" t="s">
        <v>2902</v>
      </c>
      <c r="AP184" s="296" t="s">
        <v>2326</v>
      </c>
      <c r="AQ184" s="296" t="s">
        <v>2326</v>
      </c>
      <c r="AR184" s="297"/>
      <c r="AS184" s="367" t="s">
        <v>2902</v>
      </c>
      <c r="AT184" s="367" t="s">
        <v>2902</v>
      </c>
      <c r="AU184" s="296" t="s">
        <v>2326</v>
      </c>
      <c r="AV184" s="297"/>
      <c r="AW184" s="325">
        <v>1</v>
      </c>
      <c r="AX184" s="247">
        <f t="shared" si="53"/>
        <v>100</v>
      </c>
      <c r="AY184" s="90">
        <f t="shared" si="54"/>
        <v>4</v>
      </c>
      <c r="AZ184" s="378">
        <v>0</v>
      </c>
      <c r="BA184" s="449" t="s">
        <v>3782</v>
      </c>
      <c r="BB184" s="247">
        <f t="shared" si="55"/>
        <v>100</v>
      </c>
      <c r="BC184" s="91">
        <f t="shared" si="56"/>
        <v>2</v>
      </c>
      <c r="BD184" s="325">
        <v>0</v>
      </c>
      <c r="BE184" s="325">
        <v>0</v>
      </c>
      <c r="BF184" s="325">
        <v>0</v>
      </c>
      <c r="BG184" s="252">
        <f t="shared" si="57"/>
        <v>0</v>
      </c>
      <c r="BH184" s="246">
        <f t="shared" si="58"/>
        <v>100</v>
      </c>
      <c r="BI184" s="90">
        <f t="shared" si="59"/>
        <v>1</v>
      </c>
      <c r="BJ184" s="325">
        <v>0</v>
      </c>
      <c r="BK184" s="247">
        <f t="shared" si="60"/>
        <v>100</v>
      </c>
      <c r="BL184" s="94">
        <f t="shared" si="61"/>
        <v>2</v>
      </c>
      <c r="BM184" s="325">
        <v>0</v>
      </c>
      <c r="BN184" s="325">
        <v>1</v>
      </c>
      <c r="BO184" s="325">
        <v>1</v>
      </c>
      <c r="BP184" s="211">
        <f t="shared" si="62"/>
        <v>2</v>
      </c>
      <c r="BQ184" s="253">
        <f t="shared" si="63"/>
        <v>75</v>
      </c>
      <c r="BR184" s="99">
        <f t="shared" si="64"/>
        <v>0.75</v>
      </c>
      <c r="BS184" s="101">
        <f t="shared" si="65"/>
        <v>19.75</v>
      </c>
    </row>
    <row r="185" spans="1:71" x14ac:dyDescent="0.6">
      <c r="A185" s="373" t="s">
        <v>1739</v>
      </c>
      <c r="B185" s="1" t="s">
        <v>3089</v>
      </c>
      <c r="C185" s="380" t="s">
        <v>922</v>
      </c>
      <c r="D185" s="351" t="s">
        <v>202</v>
      </c>
      <c r="E185" s="352" t="s">
        <v>593</v>
      </c>
      <c r="F185" s="352" t="s">
        <v>991</v>
      </c>
      <c r="G185" s="353">
        <v>30905</v>
      </c>
      <c r="H185" s="352" t="s">
        <v>830</v>
      </c>
      <c r="I185" s="352" t="s">
        <v>759</v>
      </c>
      <c r="J185" s="352" t="s">
        <v>1116</v>
      </c>
      <c r="K185" s="352" t="s">
        <v>91</v>
      </c>
      <c r="L185" s="381">
        <v>150922633</v>
      </c>
      <c r="M185" s="376">
        <v>52979361</v>
      </c>
      <c r="N185" s="376">
        <v>97943272</v>
      </c>
      <c r="O185" s="376">
        <v>457295501</v>
      </c>
      <c r="P185" s="376">
        <v>13985109</v>
      </c>
      <c r="Q185" s="376">
        <v>16291509</v>
      </c>
      <c r="R185" s="376">
        <v>13892645</v>
      </c>
      <c r="S185" s="325">
        <v>1</v>
      </c>
      <c r="T185" s="246">
        <f t="shared" si="49"/>
        <v>50</v>
      </c>
      <c r="U185" s="77">
        <f t="shared" si="50"/>
        <v>1</v>
      </c>
      <c r="V185" s="377">
        <v>0</v>
      </c>
      <c r="W185" s="377">
        <v>0</v>
      </c>
      <c r="X185" s="377">
        <v>0</v>
      </c>
      <c r="Y185" s="377">
        <v>0</v>
      </c>
      <c r="Z185" s="377">
        <v>0</v>
      </c>
      <c r="AA185" s="377">
        <v>0</v>
      </c>
      <c r="AB185" s="377">
        <v>0</v>
      </c>
      <c r="AC185" s="247">
        <f t="shared" si="51"/>
        <v>0</v>
      </c>
      <c r="AD185" s="247">
        <f t="shared" si="52"/>
        <v>100</v>
      </c>
      <c r="AE185" s="82">
        <f t="shared" si="71"/>
        <v>5</v>
      </c>
      <c r="AF185" s="377">
        <v>0</v>
      </c>
      <c r="AG185" s="377">
        <v>0</v>
      </c>
      <c r="AH185" s="247">
        <f t="shared" si="66"/>
        <v>0</v>
      </c>
      <c r="AI185" s="247">
        <f t="shared" si="67"/>
        <v>100</v>
      </c>
      <c r="AJ185" s="82">
        <f t="shared" si="68"/>
        <v>3</v>
      </c>
      <c r="AK185" s="367" t="s">
        <v>2902</v>
      </c>
      <c r="AL185" s="367" t="s">
        <v>2902</v>
      </c>
      <c r="AM185" s="367" t="s">
        <v>2902</v>
      </c>
      <c r="AN185" s="367" t="s">
        <v>2902</v>
      </c>
      <c r="AO185" s="367" t="s">
        <v>2902</v>
      </c>
      <c r="AP185" s="296" t="s">
        <v>2326</v>
      </c>
      <c r="AQ185" s="296" t="s">
        <v>2326</v>
      </c>
      <c r="AR185" s="297"/>
      <c r="AS185" s="367" t="s">
        <v>2902</v>
      </c>
      <c r="AT185" s="367" t="s">
        <v>2902</v>
      </c>
      <c r="AU185" s="296" t="s">
        <v>2326</v>
      </c>
      <c r="AV185" s="297"/>
      <c r="AW185" s="325">
        <v>1</v>
      </c>
      <c r="AX185" s="247">
        <f t="shared" si="53"/>
        <v>100</v>
      </c>
      <c r="AY185" s="90">
        <f t="shared" si="54"/>
        <v>4</v>
      </c>
      <c r="AZ185" s="378">
        <v>0</v>
      </c>
      <c r="BA185" s="449" t="s">
        <v>3782</v>
      </c>
      <c r="BB185" s="247">
        <f t="shared" si="55"/>
        <v>100</v>
      </c>
      <c r="BC185" s="91">
        <f t="shared" si="56"/>
        <v>2</v>
      </c>
      <c r="BD185" s="325">
        <v>0</v>
      </c>
      <c r="BE185" s="325">
        <v>0</v>
      </c>
      <c r="BF185" s="325">
        <v>0</v>
      </c>
      <c r="BG185" s="252">
        <f t="shared" si="57"/>
        <v>0</v>
      </c>
      <c r="BH185" s="246">
        <f t="shared" si="58"/>
        <v>100</v>
      </c>
      <c r="BI185" s="90">
        <f t="shared" si="59"/>
        <v>1</v>
      </c>
      <c r="BJ185" s="325">
        <v>0</v>
      </c>
      <c r="BK185" s="247">
        <f t="shared" si="60"/>
        <v>100</v>
      </c>
      <c r="BL185" s="94">
        <f t="shared" si="61"/>
        <v>2</v>
      </c>
      <c r="BM185" s="325">
        <v>0</v>
      </c>
      <c r="BN185" s="325">
        <v>0</v>
      </c>
      <c r="BO185" s="325">
        <v>0</v>
      </c>
      <c r="BP185" s="211">
        <f t="shared" si="62"/>
        <v>0</v>
      </c>
      <c r="BQ185" s="253">
        <f t="shared" si="63"/>
        <v>25</v>
      </c>
      <c r="BR185" s="99">
        <f t="shared" si="64"/>
        <v>0.25</v>
      </c>
      <c r="BS185" s="101">
        <f t="shared" si="65"/>
        <v>18.25</v>
      </c>
    </row>
    <row r="186" spans="1:71" x14ac:dyDescent="0.6">
      <c r="A186" s="373" t="s">
        <v>429</v>
      </c>
      <c r="B186" s="13" t="s">
        <v>3090</v>
      </c>
      <c r="C186" s="380" t="s">
        <v>445</v>
      </c>
      <c r="D186" s="351" t="s">
        <v>203</v>
      </c>
      <c r="E186" s="352" t="s">
        <v>1179</v>
      </c>
      <c r="F186" s="352" t="s">
        <v>608</v>
      </c>
      <c r="G186" s="353">
        <v>41584</v>
      </c>
      <c r="H186" s="352" t="s">
        <v>830</v>
      </c>
      <c r="I186" s="352" t="s">
        <v>241</v>
      </c>
      <c r="J186" s="352" t="s">
        <v>1226</v>
      </c>
      <c r="K186" s="352" t="s">
        <v>91</v>
      </c>
      <c r="L186" s="381">
        <v>1177294529</v>
      </c>
      <c r="M186" s="376">
        <v>334705711</v>
      </c>
      <c r="N186" s="376">
        <v>842588818</v>
      </c>
      <c r="O186" s="376">
        <v>479630807</v>
      </c>
      <c r="P186" s="376">
        <v>74104110</v>
      </c>
      <c r="Q186" s="376">
        <v>65510324</v>
      </c>
      <c r="R186" s="376">
        <v>49527867</v>
      </c>
      <c r="S186" s="325">
        <v>0</v>
      </c>
      <c r="T186" s="246">
        <f t="shared" si="49"/>
        <v>100</v>
      </c>
      <c r="U186" s="77">
        <f t="shared" si="50"/>
        <v>2</v>
      </c>
      <c r="V186" s="377">
        <v>0</v>
      </c>
      <c r="W186" s="377">
        <v>0</v>
      </c>
      <c r="X186" s="377">
        <v>0</v>
      </c>
      <c r="Y186" s="377">
        <v>0</v>
      </c>
      <c r="Z186" s="377">
        <v>0</v>
      </c>
      <c r="AA186" s="377">
        <v>0</v>
      </c>
      <c r="AB186" s="377">
        <v>0</v>
      </c>
      <c r="AC186" s="247">
        <f t="shared" si="51"/>
        <v>0</v>
      </c>
      <c r="AD186" s="247">
        <f t="shared" si="52"/>
        <v>100</v>
      </c>
      <c r="AE186" s="82">
        <f t="shared" si="71"/>
        <v>5</v>
      </c>
      <c r="AF186" s="377">
        <v>0</v>
      </c>
      <c r="AG186" s="377">
        <v>0</v>
      </c>
      <c r="AH186" s="247">
        <f t="shared" si="66"/>
        <v>0</v>
      </c>
      <c r="AI186" s="247">
        <f t="shared" si="67"/>
        <v>100</v>
      </c>
      <c r="AJ186" s="82">
        <f t="shared" si="68"/>
        <v>3</v>
      </c>
      <c r="AK186" s="367" t="s">
        <v>2902</v>
      </c>
      <c r="AL186" s="367" t="s">
        <v>2902</v>
      </c>
      <c r="AM186" s="367" t="s">
        <v>2902</v>
      </c>
      <c r="AN186" s="367" t="s">
        <v>2902</v>
      </c>
      <c r="AO186" s="367" t="s">
        <v>2902</v>
      </c>
      <c r="AP186" s="296" t="s">
        <v>2326</v>
      </c>
      <c r="AQ186" s="296" t="s">
        <v>2326</v>
      </c>
      <c r="AR186" s="297"/>
      <c r="AS186" s="367" t="s">
        <v>2902</v>
      </c>
      <c r="AT186" s="367" t="s">
        <v>2902</v>
      </c>
      <c r="AU186" s="296" t="s">
        <v>2326</v>
      </c>
      <c r="AV186" s="297"/>
      <c r="AW186" s="325">
        <v>1</v>
      </c>
      <c r="AX186" s="247">
        <f t="shared" si="53"/>
        <v>100</v>
      </c>
      <c r="AY186" s="90">
        <f t="shared" si="54"/>
        <v>4</v>
      </c>
      <c r="AZ186" s="378">
        <v>0</v>
      </c>
      <c r="BA186" s="449" t="s">
        <v>3782</v>
      </c>
      <c r="BB186" s="247">
        <f t="shared" si="55"/>
        <v>100</v>
      </c>
      <c r="BC186" s="91">
        <f t="shared" si="56"/>
        <v>2</v>
      </c>
      <c r="BD186" s="325">
        <v>0</v>
      </c>
      <c r="BE186" s="325">
        <v>0</v>
      </c>
      <c r="BF186" s="325">
        <v>0</v>
      </c>
      <c r="BG186" s="252">
        <f t="shared" si="57"/>
        <v>0</v>
      </c>
      <c r="BH186" s="246">
        <f t="shared" si="58"/>
        <v>100</v>
      </c>
      <c r="BI186" s="90">
        <f t="shared" si="59"/>
        <v>1</v>
      </c>
      <c r="BJ186" s="325">
        <v>0</v>
      </c>
      <c r="BK186" s="247">
        <f t="shared" si="60"/>
        <v>100</v>
      </c>
      <c r="BL186" s="94">
        <f t="shared" si="61"/>
        <v>2</v>
      </c>
      <c r="BM186" s="325">
        <v>0</v>
      </c>
      <c r="BN186" s="325">
        <v>0</v>
      </c>
      <c r="BO186" s="325">
        <v>1</v>
      </c>
      <c r="BP186" s="211">
        <f t="shared" si="62"/>
        <v>1</v>
      </c>
      <c r="BQ186" s="253">
        <f t="shared" si="63"/>
        <v>50</v>
      </c>
      <c r="BR186" s="99">
        <f t="shared" si="64"/>
        <v>0.5</v>
      </c>
      <c r="BS186" s="101">
        <f t="shared" si="65"/>
        <v>19.5</v>
      </c>
    </row>
    <row r="187" spans="1:71" x14ac:dyDescent="0.6">
      <c r="A187" s="373" t="s">
        <v>22</v>
      </c>
      <c r="B187" s="1" t="s">
        <v>3091</v>
      </c>
      <c r="C187" s="380" t="s">
        <v>426</v>
      </c>
      <c r="D187" s="351" t="s">
        <v>191</v>
      </c>
      <c r="E187" s="352" t="s">
        <v>1029</v>
      </c>
      <c r="F187" s="352" t="s">
        <v>169</v>
      </c>
      <c r="G187" s="353">
        <v>32492</v>
      </c>
      <c r="H187" s="352" t="s">
        <v>830</v>
      </c>
      <c r="I187" s="352" t="s">
        <v>235</v>
      </c>
      <c r="J187" s="352" t="s">
        <v>1180</v>
      </c>
      <c r="K187" s="352" t="s">
        <v>91</v>
      </c>
      <c r="L187" s="381">
        <v>790607841</v>
      </c>
      <c r="M187" s="376">
        <v>88403731</v>
      </c>
      <c r="N187" s="376">
        <v>702204110</v>
      </c>
      <c r="O187" s="376">
        <v>598684604</v>
      </c>
      <c r="P187" s="376">
        <v>76947409</v>
      </c>
      <c r="Q187" s="376">
        <v>87571953</v>
      </c>
      <c r="R187" s="376">
        <v>64953978</v>
      </c>
      <c r="S187" s="325">
        <v>0</v>
      </c>
      <c r="T187" s="246">
        <f t="shared" si="49"/>
        <v>100</v>
      </c>
      <c r="U187" s="77">
        <f t="shared" si="50"/>
        <v>2</v>
      </c>
      <c r="V187" s="377">
        <v>0</v>
      </c>
      <c r="W187" s="377">
        <v>0</v>
      </c>
      <c r="X187" s="377">
        <v>0</v>
      </c>
      <c r="Y187" s="377">
        <v>0</v>
      </c>
      <c r="Z187" s="377">
        <v>0</v>
      </c>
      <c r="AA187" s="377">
        <v>0</v>
      </c>
      <c r="AB187" s="377">
        <v>0</v>
      </c>
      <c r="AC187" s="247">
        <f t="shared" si="51"/>
        <v>0</v>
      </c>
      <c r="AD187" s="247">
        <f t="shared" si="52"/>
        <v>100</v>
      </c>
      <c r="AE187" s="82">
        <f t="shared" si="71"/>
        <v>5</v>
      </c>
      <c r="AF187" s="377">
        <v>0</v>
      </c>
      <c r="AG187" s="377">
        <v>0</v>
      </c>
      <c r="AH187" s="247">
        <f t="shared" si="66"/>
        <v>0</v>
      </c>
      <c r="AI187" s="247">
        <f t="shared" si="67"/>
        <v>100</v>
      </c>
      <c r="AJ187" s="82">
        <f t="shared" si="68"/>
        <v>3</v>
      </c>
      <c r="AK187" s="367" t="s">
        <v>2902</v>
      </c>
      <c r="AL187" s="367" t="s">
        <v>2902</v>
      </c>
      <c r="AM187" s="367" t="s">
        <v>2902</v>
      </c>
      <c r="AN187" s="367" t="s">
        <v>2902</v>
      </c>
      <c r="AO187" s="367" t="s">
        <v>2902</v>
      </c>
      <c r="AP187" s="296" t="s">
        <v>2326</v>
      </c>
      <c r="AQ187" s="296" t="s">
        <v>2326</v>
      </c>
      <c r="AR187" s="297"/>
      <c r="AS187" s="367" t="s">
        <v>2902</v>
      </c>
      <c r="AT187" s="367" t="s">
        <v>2902</v>
      </c>
      <c r="AU187" s="296" t="s">
        <v>2326</v>
      </c>
      <c r="AV187" s="297"/>
      <c r="AW187" s="325">
        <v>1</v>
      </c>
      <c r="AX187" s="247">
        <f t="shared" si="53"/>
        <v>100</v>
      </c>
      <c r="AY187" s="90">
        <f t="shared" si="54"/>
        <v>4</v>
      </c>
      <c r="AZ187" s="378">
        <v>0</v>
      </c>
      <c r="BA187" s="449" t="s">
        <v>3782</v>
      </c>
      <c r="BB187" s="247">
        <f t="shared" si="55"/>
        <v>100</v>
      </c>
      <c r="BC187" s="91">
        <f t="shared" si="56"/>
        <v>2</v>
      </c>
      <c r="BD187" s="325">
        <v>0</v>
      </c>
      <c r="BE187" s="325">
        <v>0</v>
      </c>
      <c r="BF187" s="325">
        <v>0</v>
      </c>
      <c r="BG187" s="252">
        <f t="shared" si="57"/>
        <v>0</v>
      </c>
      <c r="BH187" s="246">
        <f t="shared" si="58"/>
        <v>100</v>
      </c>
      <c r="BI187" s="90">
        <f t="shared" si="59"/>
        <v>1</v>
      </c>
      <c r="BJ187" s="325">
        <v>0</v>
      </c>
      <c r="BK187" s="247">
        <f t="shared" si="60"/>
        <v>100</v>
      </c>
      <c r="BL187" s="94">
        <f t="shared" si="61"/>
        <v>2</v>
      </c>
      <c r="BM187" s="325">
        <v>0</v>
      </c>
      <c r="BN187" s="325">
        <v>0</v>
      </c>
      <c r="BO187" s="325">
        <v>1</v>
      </c>
      <c r="BP187" s="211">
        <f t="shared" si="62"/>
        <v>1</v>
      </c>
      <c r="BQ187" s="253">
        <f t="shared" si="63"/>
        <v>50</v>
      </c>
      <c r="BR187" s="99">
        <f t="shared" si="64"/>
        <v>0.5</v>
      </c>
      <c r="BS187" s="101">
        <f t="shared" si="65"/>
        <v>19.5</v>
      </c>
    </row>
    <row r="188" spans="1:71" x14ac:dyDescent="0.6">
      <c r="A188" s="373" t="s">
        <v>6</v>
      </c>
      <c r="B188" s="13" t="s">
        <v>3092</v>
      </c>
      <c r="C188" s="380" t="s">
        <v>558</v>
      </c>
      <c r="D188" s="351" t="s">
        <v>285</v>
      </c>
      <c r="E188" s="352" t="s">
        <v>245</v>
      </c>
      <c r="F188" s="352" t="s">
        <v>236</v>
      </c>
      <c r="G188" s="353">
        <v>40389</v>
      </c>
      <c r="H188" s="352" t="s">
        <v>830</v>
      </c>
      <c r="I188" s="352" t="s">
        <v>791</v>
      </c>
      <c r="J188" s="352" t="s">
        <v>1189</v>
      </c>
      <c r="K188" s="352" t="s">
        <v>91</v>
      </c>
      <c r="L188" s="381">
        <v>825178689</v>
      </c>
      <c r="M188" s="376">
        <v>439685810</v>
      </c>
      <c r="N188" s="376">
        <v>385492879</v>
      </c>
      <c r="O188" s="376">
        <v>2678991235</v>
      </c>
      <c r="P188" s="376">
        <v>35714794</v>
      </c>
      <c r="Q188" s="376">
        <v>39761445</v>
      </c>
      <c r="R188" s="376">
        <v>36294420</v>
      </c>
      <c r="S188" s="325">
        <v>1</v>
      </c>
      <c r="T188" s="246">
        <f t="shared" si="49"/>
        <v>50</v>
      </c>
      <c r="U188" s="77">
        <f t="shared" si="50"/>
        <v>1</v>
      </c>
      <c r="V188" s="377">
        <v>0</v>
      </c>
      <c r="W188" s="377">
        <v>0</v>
      </c>
      <c r="X188" s="377">
        <v>0</v>
      </c>
      <c r="Y188" s="377">
        <v>0</v>
      </c>
      <c r="Z188" s="377">
        <v>0</v>
      </c>
      <c r="AA188" s="377">
        <v>0</v>
      </c>
      <c r="AB188" s="377">
        <v>0</v>
      </c>
      <c r="AC188" s="247">
        <f t="shared" si="51"/>
        <v>0</v>
      </c>
      <c r="AD188" s="247">
        <f t="shared" si="52"/>
        <v>100</v>
      </c>
      <c r="AE188" s="82">
        <f t="shared" si="71"/>
        <v>5</v>
      </c>
      <c r="AF188" s="377">
        <v>0</v>
      </c>
      <c r="AG188" s="377">
        <v>0</v>
      </c>
      <c r="AH188" s="247">
        <f t="shared" si="66"/>
        <v>0</v>
      </c>
      <c r="AI188" s="247">
        <f t="shared" si="67"/>
        <v>100</v>
      </c>
      <c r="AJ188" s="82">
        <f t="shared" si="68"/>
        <v>3</v>
      </c>
      <c r="AK188" s="367" t="s">
        <v>2902</v>
      </c>
      <c r="AL188" s="367" t="s">
        <v>2902</v>
      </c>
      <c r="AM188" s="367" t="s">
        <v>2902</v>
      </c>
      <c r="AN188" s="367" t="s">
        <v>2902</v>
      </c>
      <c r="AO188" s="367" t="s">
        <v>2902</v>
      </c>
      <c r="AP188" s="296" t="s">
        <v>2326</v>
      </c>
      <c r="AQ188" s="296" t="s">
        <v>2326</v>
      </c>
      <c r="AR188" s="297"/>
      <c r="AS188" s="367" t="s">
        <v>2902</v>
      </c>
      <c r="AT188" s="367" t="s">
        <v>2902</v>
      </c>
      <c r="AU188" s="296" t="s">
        <v>2326</v>
      </c>
      <c r="AV188" s="297"/>
      <c r="AW188" s="325">
        <v>1</v>
      </c>
      <c r="AX188" s="247">
        <f t="shared" si="53"/>
        <v>100</v>
      </c>
      <c r="AY188" s="90">
        <f t="shared" si="54"/>
        <v>4</v>
      </c>
      <c r="AZ188" s="378">
        <v>0</v>
      </c>
      <c r="BA188" s="449" t="s">
        <v>3782</v>
      </c>
      <c r="BB188" s="247">
        <f t="shared" si="55"/>
        <v>100</v>
      </c>
      <c r="BC188" s="91">
        <f t="shared" si="56"/>
        <v>2</v>
      </c>
      <c r="BD188" s="325">
        <v>0</v>
      </c>
      <c r="BE188" s="325">
        <v>0</v>
      </c>
      <c r="BF188" s="325">
        <v>0</v>
      </c>
      <c r="BG188" s="252">
        <f t="shared" si="57"/>
        <v>0</v>
      </c>
      <c r="BH188" s="246">
        <f t="shared" si="58"/>
        <v>100</v>
      </c>
      <c r="BI188" s="90">
        <f t="shared" si="59"/>
        <v>1</v>
      </c>
      <c r="BJ188" s="325">
        <v>0</v>
      </c>
      <c r="BK188" s="247">
        <f t="shared" si="60"/>
        <v>100</v>
      </c>
      <c r="BL188" s="94">
        <f t="shared" si="61"/>
        <v>2</v>
      </c>
      <c r="BM188" s="325">
        <v>0</v>
      </c>
      <c r="BN188" s="325">
        <v>0</v>
      </c>
      <c r="BO188" s="325">
        <v>1</v>
      </c>
      <c r="BP188" s="211">
        <f t="shared" si="62"/>
        <v>1</v>
      </c>
      <c r="BQ188" s="253">
        <f t="shared" si="63"/>
        <v>50</v>
      </c>
      <c r="BR188" s="99">
        <f t="shared" si="64"/>
        <v>0.5</v>
      </c>
      <c r="BS188" s="101">
        <f t="shared" si="65"/>
        <v>18.5</v>
      </c>
    </row>
    <row r="189" spans="1:71" x14ac:dyDescent="0.6">
      <c r="A189" s="373" t="s">
        <v>1740</v>
      </c>
      <c r="B189" s="13" t="s">
        <v>3093</v>
      </c>
      <c r="C189" s="380" t="s">
        <v>1741</v>
      </c>
      <c r="D189" s="315" t="s">
        <v>203</v>
      </c>
      <c r="E189" s="352" t="s">
        <v>1179</v>
      </c>
      <c r="F189" s="352" t="s">
        <v>1742</v>
      </c>
      <c r="G189" s="353">
        <v>31439</v>
      </c>
      <c r="H189" s="352" t="s">
        <v>830</v>
      </c>
      <c r="I189" s="352" t="s">
        <v>1743</v>
      </c>
      <c r="J189" s="352" t="s">
        <v>1744</v>
      </c>
      <c r="K189" s="352" t="s">
        <v>91</v>
      </c>
      <c r="L189" s="381">
        <v>3153017076</v>
      </c>
      <c r="M189" s="376">
        <v>1770069189</v>
      </c>
      <c r="N189" s="376">
        <v>1382947887</v>
      </c>
      <c r="O189" s="376">
        <v>1806485573</v>
      </c>
      <c r="P189" s="376">
        <v>305824732</v>
      </c>
      <c r="Q189" s="376">
        <v>260984230</v>
      </c>
      <c r="R189" s="376">
        <v>190493378</v>
      </c>
      <c r="S189" s="325">
        <v>1</v>
      </c>
      <c r="T189" s="246">
        <f t="shared" si="49"/>
        <v>50</v>
      </c>
      <c r="U189" s="77">
        <f t="shared" si="50"/>
        <v>1</v>
      </c>
      <c r="V189" s="377">
        <v>0</v>
      </c>
      <c r="W189" s="377">
        <v>0</v>
      </c>
      <c r="X189" s="377">
        <v>0</v>
      </c>
      <c r="Y189" s="377">
        <v>0</v>
      </c>
      <c r="Z189" s="377">
        <v>0</v>
      </c>
      <c r="AA189" s="377">
        <v>0</v>
      </c>
      <c r="AB189" s="377">
        <v>0</v>
      </c>
      <c r="AC189" s="247">
        <f t="shared" si="51"/>
        <v>0</v>
      </c>
      <c r="AD189" s="247">
        <f t="shared" si="52"/>
        <v>100</v>
      </c>
      <c r="AE189" s="82">
        <f t="shared" si="71"/>
        <v>5</v>
      </c>
      <c r="AF189" s="377">
        <v>0</v>
      </c>
      <c r="AG189" s="377">
        <v>0</v>
      </c>
      <c r="AH189" s="247">
        <f t="shared" si="66"/>
        <v>0</v>
      </c>
      <c r="AI189" s="247">
        <f t="shared" si="67"/>
        <v>100</v>
      </c>
      <c r="AJ189" s="82">
        <f t="shared" si="68"/>
        <v>3</v>
      </c>
      <c r="AK189" s="367" t="s">
        <v>2902</v>
      </c>
      <c r="AL189" s="367" t="s">
        <v>2902</v>
      </c>
      <c r="AM189" s="367" t="s">
        <v>2902</v>
      </c>
      <c r="AN189" s="367" t="s">
        <v>2902</v>
      </c>
      <c r="AO189" s="367" t="s">
        <v>2902</v>
      </c>
      <c r="AP189" s="296" t="s">
        <v>2326</v>
      </c>
      <c r="AQ189" s="296" t="s">
        <v>2326</v>
      </c>
      <c r="AR189" s="297"/>
      <c r="AS189" s="367" t="s">
        <v>2902</v>
      </c>
      <c r="AT189" s="367" t="s">
        <v>2902</v>
      </c>
      <c r="AU189" s="296" t="s">
        <v>2326</v>
      </c>
      <c r="AV189" s="297"/>
      <c r="AW189" s="325">
        <v>0</v>
      </c>
      <c r="AX189" s="247">
        <f t="shared" si="53"/>
        <v>50</v>
      </c>
      <c r="AY189" s="90">
        <f t="shared" si="54"/>
        <v>2</v>
      </c>
      <c r="AZ189" s="378">
        <v>0</v>
      </c>
      <c r="BA189" s="449" t="s">
        <v>3782</v>
      </c>
      <c r="BB189" s="247">
        <f t="shared" si="55"/>
        <v>100</v>
      </c>
      <c r="BC189" s="91">
        <f t="shared" si="56"/>
        <v>2</v>
      </c>
      <c r="BD189" s="325">
        <v>0</v>
      </c>
      <c r="BE189" s="325">
        <v>0</v>
      </c>
      <c r="BF189" s="325">
        <v>0</v>
      </c>
      <c r="BG189" s="252">
        <f t="shared" si="57"/>
        <v>0</v>
      </c>
      <c r="BH189" s="246">
        <f t="shared" si="58"/>
        <v>100</v>
      </c>
      <c r="BI189" s="90">
        <f t="shared" si="59"/>
        <v>1</v>
      </c>
      <c r="BJ189" s="325">
        <v>0</v>
      </c>
      <c r="BK189" s="247">
        <f t="shared" si="60"/>
        <v>100</v>
      </c>
      <c r="BL189" s="94">
        <f t="shared" si="61"/>
        <v>2</v>
      </c>
      <c r="BM189" s="325">
        <v>0</v>
      </c>
      <c r="BN189" s="325">
        <v>0</v>
      </c>
      <c r="BO189" s="325">
        <v>1</v>
      </c>
      <c r="BP189" s="211">
        <f t="shared" si="62"/>
        <v>1</v>
      </c>
      <c r="BQ189" s="253">
        <f t="shared" si="63"/>
        <v>50</v>
      </c>
      <c r="BR189" s="99">
        <f t="shared" si="64"/>
        <v>0.5</v>
      </c>
      <c r="BS189" s="101">
        <f t="shared" si="65"/>
        <v>16.5</v>
      </c>
    </row>
    <row r="190" spans="1:71" x14ac:dyDescent="0.6">
      <c r="A190" s="373" t="s">
        <v>18</v>
      </c>
      <c r="B190" s="13" t="s">
        <v>3094</v>
      </c>
      <c r="C190" s="380" t="s">
        <v>912</v>
      </c>
      <c r="D190" s="351" t="s">
        <v>203</v>
      </c>
      <c r="E190" s="352" t="s">
        <v>188</v>
      </c>
      <c r="F190" s="352" t="s">
        <v>392</v>
      </c>
      <c r="G190" s="353">
        <v>43181</v>
      </c>
      <c r="H190" s="352" t="s">
        <v>830</v>
      </c>
      <c r="I190" s="352" t="s">
        <v>181</v>
      </c>
      <c r="J190" s="352" t="s">
        <v>1184</v>
      </c>
      <c r="K190" s="352" t="s">
        <v>91</v>
      </c>
      <c r="L190" s="381">
        <v>477316913</v>
      </c>
      <c r="M190" s="376">
        <v>117171080</v>
      </c>
      <c r="N190" s="376">
        <v>360145833</v>
      </c>
      <c r="O190" s="376">
        <v>589759237</v>
      </c>
      <c r="P190" s="376">
        <v>37545912</v>
      </c>
      <c r="Q190" s="376">
        <v>22571287</v>
      </c>
      <c r="R190" s="376">
        <v>16498602</v>
      </c>
      <c r="S190" s="325">
        <v>1</v>
      </c>
      <c r="T190" s="246">
        <f t="shared" si="49"/>
        <v>50</v>
      </c>
      <c r="U190" s="77">
        <f t="shared" si="50"/>
        <v>1</v>
      </c>
      <c r="V190" s="377">
        <v>0</v>
      </c>
      <c r="W190" s="377">
        <v>0</v>
      </c>
      <c r="X190" s="377">
        <v>0</v>
      </c>
      <c r="Y190" s="377">
        <v>0</v>
      </c>
      <c r="Z190" s="377">
        <v>0</v>
      </c>
      <c r="AA190" s="377">
        <v>0</v>
      </c>
      <c r="AB190" s="377">
        <v>0</v>
      </c>
      <c r="AC190" s="247">
        <f t="shared" si="51"/>
        <v>0</v>
      </c>
      <c r="AD190" s="247">
        <f t="shared" si="52"/>
        <v>100</v>
      </c>
      <c r="AE190" s="82">
        <f t="shared" si="71"/>
        <v>5</v>
      </c>
      <c r="AF190" s="377">
        <v>0</v>
      </c>
      <c r="AG190" s="377">
        <v>0</v>
      </c>
      <c r="AH190" s="247">
        <f t="shared" si="66"/>
        <v>0</v>
      </c>
      <c r="AI190" s="247">
        <f t="shared" si="67"/>
        <v>100</v>
      </c>
      <c r="AJ190" s="82">
        <f t="shared" si="68"/>
        <v>3</v>
      </c>
      <c r="AK190" s="367" t="s">
        <v>2902</v>
      </c>
      <c r="AL190" s="367" t="s">
        <v>2902</v>
      </c>
      <c r="AM190" s="367" t="s">
        <v>2902</v>
      </c>
      <c r="AN190" s="367" t="s">
        <v>2902</v>
      </c>
      <c r="AO190" s="367" t="s">
        <v>2902</v>
      </c>
      <c r="AP190" s="296" t="s">
        <v>2326</v>
      </c>
      <c r="AQ190" s="296" t="s">
        <v>2326</v>
      </c>
      <c r="AR190" s="297"/>
      <c r="AS190" s="367" t="s">
        <v>2902</v>
      </c>
      <c r="AT190" s="367" t="s">
        <v>2902</v>
      </c>
      <c r="AU190" s="296" t="s">
        <v>2326</v>
      </c>
      <c r="AV190" s="297"/>
      <c r="AW190" s="325">
        <v>0</v>
      </c>
      <c r="AX190" s="247">
        <f t="shared" si="53"/>
        <v>50</v>
      </c>
      <c r="AY190" s="90">
        <f t="shared" si="54"/>
        <v>2</v>
      </c>
      <c r="AZ190" s="378">
        <v>0</v>
      </c>
      <c r="BA190" s="449" t="s">
        <v>3782</v>
      </c>
      <c r="BB190" s="247">
        <f t="shared" si="55"/>
        <v>100</v>
      </c>
      <c r="BC190" s="91">
        <f t="shared" si="56"/>
        <v>2</v>
      </c>
      <c r="BD190" s="325">
        <v>0</v>
      </c>
      <c r="BE190" s="325">
        <v>0</v>
      </c>
      <c r="BF190" s="325">
        <v>0</v>
      </c>
      <c r="BG190" s="252">
        <f t="shared" si="57"/>
        <v>0</v>
      </c>
      <c r="BH190" s="246">
        <f t="shared" si="58"/>
        <v>100</v>
      </c>
      <c r="BI190" s="90">
        <f t="shared" si="59"/>
        <v>1</v>
      </c>
      <c r="BJ190" s="325">
        <v>0</v>
      </c>
      <c r="BK190" s="247">
        <f t="shared" si="60"/>
        <v>100</v>
      </c>
      <c r="BL190" s="94">
        <f t="shared" si="61"/>
        <v>2</v>
      </c>
      <c r="BM190" s="325">
        <v>0</v>
      </c>
      <c r="BN190" s="325">
        <v>0</v>
      </c>
      <c r="BO190" s="325">
        <v>1</v>
      </c>
      <c r="BP190" s="211">
        <f t="shared" si="62"/>
        <v>1</v>
      </c>
      <c r="BQ190" s="253">
        <f t="shared" si="63"/>
        <v>50</v>
      </c>
      <c r="BR190" s="99">
        <f t="shared" si="64"/>
        <v>0.5</v>
      </c>
      <c r="BS190" s="101">
        <f t="shared" si="65"/>
        <v>16.5</v>
      </c>
    </row>
    <row r="191" spans="1:71" x14ac:dyDescent="0.6">
      <c r="A191" s="373" t="s">
        <v>111</v>
      </c>
      <c r="B191" s="1" t="s">
        <v>3095</v>
      </c>
      <c r="C191" s="380" t="s">
        <v>482</v>
      </c>
      <c r="D191" s="351" t="s">
        <v>203</v>
      </c>
      <c r="E191" s="352" t="s">
        <v>180</v>
      </c>
      <c r="F191" s="352" t="s">
        <v>170</v>
      </c>
      <c r="G191" s="353">
        <v>41169</v>
      </c>
      <c r="H191" s="352" t="s">
        <v>830</v>
      </c>
      <c r="I191" s="352" t="s">
        <v>772</v>
      </c>
      <c r="J191" s="352" t="s">
        <v>390</v>
      </c>
      <c r="K191" s="352" t="s">
        <v>91</v>
      </c>
      <c r="L191" s="381">
        <v>1062980988</v>
      </c>
      <c r="M191" s="376">
        <v>365498356</v>
      </c>
      <c r="N191" s="376">
        <v>697482632</v>
      </c>
      <c r="O191" s="376">
        <v>1712779790</v>
      </c>
      <c r="P191" s="376">
        <v>90523569</v>
      </c>
      <c r="Q191" s="376">
        <v>88392901</v>
      </c>
      <c r="R191" s="376">
        <v>56304809</v>
      </c>
      <c r="S191" s="325">
        <v>1</v>
      </c>
      <c r="T191" s="246">
        <f t="shared" si="49"/>
        <v>50</v>
      </c>
      <c r="U191" s="77">
        <f t="shared" si="50"/>
        <v>1</v>
      </c>
      <c r="V191" s="377">
        <v>0</v>
      </c>
      <c r="W191" s="377">
        <v>0</v>
      </c>
      <c r="X191" s="377">
        <v>0</v>
      </c>
      <c r="Y191" s="377">
        <v>0</v>
      </c>
      <c r="Z191" s="377">
        <v>0</v>
      </c>
      <c r="AA191" s="377">
        <v>0</v>
      </c>
      <c r="AB191" s="377">
        <v>0</v>
      </c>
      <c r="AC191" s="247">
        <f t="shared" si="51"/>
        <v>0</v>
      </c>
      <c r="AD191" s="247">
        <f t="shared" si="52"/>
        <v>100</v>
      </c>
      <c r="AE191" s="82">
        <f t="shared" si="71"/>
        <v>5</v>
      </c>
      <c r="AF191" s="377">
        <v>0</v>
      </c>
      <c r="AG191" s="377">
        <v>0</v>
      </c>
      <c r="AH191" s="247">
        <f t="shared" si="66"/>
        <v>0</v>
      </c>
      <c r="AI191" s="247">
        <f t="shared" si="67"/>
        <v>100</v>
      </c>
      <c r="AJ191" s="82">
        <f t="shared" si="68"/>
        <v>3</v>
      </c>
      <c r="AK191" s="367" t="s">
        <v>2902</v>
      </c>
      <c r="AL191" s="367" t="s">
        <v>2902</v>
      </c>
      <c r="AM191" s="367" t="s">
        <v>2902</v>
      </c>
      <c r="AN191" s="367" t="s">
        <v>2902</v>
      </c>
      <c r="AO191" s="367" t="s">
        <v>2902</v>
      </c>
      <c r="AP191" s="296" t="s">
        <v>2326</v>
      </c>
      <c r="AQ191" s="296" t="s">
        <v>2326</v>
      </c>
      <c r="AR191" s="297"/>
      <c r="AS191" s="367" t="s">
        <v>2902</v>
      </c>
      <c r="AT191" s="367" t="s">
        <v>2902</v>
      </c>
      <c r="AU191" s="296" t="s">
        <v>2326</v>
      </c>
      <c r="AV191" s="297"/>
      <c r="AW191" s="325">
        <v>0</v>
      </c>
      <c r="AX191" s="247">
        <f t="shared" si="53"/>
        <v>50</v>
      </c>
      <c r="AY191" s="90">
        <f t="shared" si="54"/>
        <v>2</v>
      </c>
      <c r="AZ191" s="378">
        <v>0</v>
      </c>
      <c r="BA191" s="449" t="s">
        <v>3782</v>
      </c>
      <c r="BB191" s="247">
        <f t="shared" si="55"/>
        <v>100</v>
      </c>
      <c r="BC191" s="91">
        <f t="shared" si="56"/>
        <v>2</v>
      </c>
      <c r="BD191" s="325">
        <v>0</v>
      </c>
      <c r="BE191" s="325">
        <v>0</v>
      </c>
      <c r="BF191" s="325">
        <v>0</v>
      </c>
      <c r="BG191" s="252">
        <f t="shared" si="57"/>
        <v>0</v>
      </c>
      <c r="BH191" s="246">
        <f t="shared" si="58"/>
        <v>100</v>
      </c>
      <c r="BI191" s="90">
        <f t="shared" si="59"/>
        <v>1</v>
      </c>
      <c r="BJ191" s="325">
        <v>0</v>
      </c>
      <c r="BK191" s="247">
        <f t="shared" si="60"/>
        <v>100</v>
      </c>
      <c r="BL191" s="94">
        <f t="shared" si="61"/>
        <v>2</v>
      </c>
      <c r="BM191" s="325">
        <v>0</v>
      </c>
      <c r="BN191" s="325">
        <v>0</v>
      </c>
      <c r="BO191" s="325">
        <v>0</v>
      </c>
      <c r="BP191" s="211">
        <f t="shared" si="62"/>
        <v>0</v>
      </c>
      <c r="BQ191" s="253">
        <f t="shared" si="63"/>
        <v>25</v>
      </c>
      <c r="BR191" s="99">
        <f t="shared" si="64"/>
        <v>0.25</v>
      </c>
      <c r="BS191" s="101">
        <f t="shared" si="65"/>
        <v>16.25</v>
      </c>
    </row>
    <row r="192" spans="1:71" x14ac:dyDescent="0.6">
      <c r="A192" s="373" t="s">
        <v>1745</v>
      </c>
      <c r="B192" s="1" t="s">
        <v>3096</v>
      </c>
      <c r="C192" s="380" t="s">
        <v>1746</v>
      </c>
      <c r="D192" s="315" t="s">
        <v>202</v>
      </c>
      <c r="E192" s="352" t="s">
        <v>189</v>
      </c>
      <c r="F192" s="352" t="s">
        <v>1747</v>
      </c>
      <c r="G192" s="353">
        <v>44393</v>
      </c>
      <c r="H192" s="352" t="s">
        <v>830</v>
      </c>
      <c r="I192" s="352" t="s">
        <v>1748</v>
      </c>
      <c r="J192" s="352" t="s">
        <v>1749</v>
      </c>
      <c r="K192" s="352" t="s">
        <v>690</v>
      </c>
      <c r="L192" s="381">
        <v>3184712423</v>
      </c>
      <c r="M192" s="376">
        <v>268563685</v>
      </c>
      <c r="N192" s="376">
        <v>2916148739</v>
      </c>
      <c r="O192" s="376">
        <v>2820638098</v>
      </c>
      <c r="P192" s="376">
        <v>1115338664</v>
      </c>
      <c r="Q192" s="376">
        <v>1224820701</v>
      </c>
      <c r="R192" s="376">
        <v>903927973</v>
      </c>
      <c r="S192" s="325">
        <v>0</v>
      </c>
      <c r="T192" s="246">
        <f t="shared" si="49"/>
        <v>100</v>
      </c>
      <c r="U192" s="77">
        <f t="shared" si="50"/>
        <v>2</v>
      </c>
      <c r="V192" s="377">
        <v>0</v>
      </c>
      <c r="W192" s="377">
        <v>0</v>
      </c>
      <c r="X192" s="377">
        <v>0</v>
      </c>
      <c r="Y192" s="377">
        <v>0</v>
      </c>
      <c r="Z192" s="377">
        <v>0</v>
      </c>
      <c r="AA192" s="377">
        <v>0</v>
      </c>
      <c r="AB192" s="377">
        <v>0</v>
      </c>
      <c r="AC192" s="247">
        <f t="shared" si="51"/>
        <v>0</v>
      </c>
      <c r="AD192" s="247">
        <f t="shared" si="52"/>
        <v>100</v>
      </c>
      <c r="AE192" s="82">
        <f t="shared" si="71"/>
        <v>5</v>
      </c>
      <c r="AF192" s="377">
        <v>0</v>
      </c>
      <c r="AG192" s="377">
        <v>0</v>
      </c>
      <c r="AH192" s="247">
        <f t="shared" si="66"/>
        <v>0</v>
      </c>
      <c r="AI192" s="247">
        <f t="shared" si="67"/>
        <v>100</v>
      </c>
      <c r="AJ192" s="82">
        <f t="shared" si="68"/>
        <v>3</v>
      </c>
      <c r="AK192" s="367" t="s">
        <v>2902</v>
      </c>
      <c r="AL192" s="367" t="s">
        <v>2902</v>
      </c>
      <c r="AM192" s="367" t="s">
        <v>2902</v>
      </c>
      <c r="AN192" s="367" t="s">
        <v>2902</v>
      </c>
      <c r="AO192" s="367" t="s">
        <v>2902</v>
      </c>
      <c r="AP192" s="296" t="s">
        <v>2326</v>
      </c>
      <c r="AQ192" s="296" t="s">
        <v>2326</v>
      </c>
      <c r="AR192" s="297"/>
      <c r="AS192" s="367" t="s">
        <v>2902</v>
      </c>
      <c r="AT192" s="367" t="s">
        <v>2902</v>
      </c>
      <c r="AU192" s="296" t="s">
        <v>2326</v>
      </c>
      <c r="AV192" s="297"/>
      <c r="AW192" s="325">
        <v>0</v>
      </c>
      <c r="AX192" s="247">
        <f t="shared" si="53"/>
        <v>50</v>
      </c>
      <c r="AY192" s="90">
        <f t="shared" si="54"/>
        <v>2</v>
      </c>
      <c r="AZ192" s="378">
        <v>1</v>
      </c>
      <c r="BA192" s="382" t="s">
        <v>3097</v>
      </c>
      <c r="BB192" s="247">
        <f t="shared" si="55"/>
        <v>66.666666666666671</v>
      </c>
      <c r="BC192" s="91">
        <f t="shared" si="56"/>
        <v>1.3333333333333335</v>
      </c>
      <c r="BD192" s="325">
        <v>0</v>
      </c>
      <c r="BE192" s="325">
        <v>0</v>
      </c>
      <c r="BF192" s="325">
        <v>1</v>
      </c>
      <c r="BG192" s="252">
        <f t="shared" si="57"/>
        <v>1</v>
      </c>
      <c r="BH192" s="246">
        <f t="shared" si="58"/>
        <v>75</v>
      </c>
      <c r="BI192" s="90">
        <f t="shared" si="59"/>
        <v>0.75</v>
      </c>
      <c r="BJ192" s="325">
        <v>0</v>
      </c>
      <c r="BK192" s="247">
        <f t="shared" si="60"/>
        <v>100</v>
      </c>
      <c r="BL192" s="94">
        <f t="shared" si="61"/>
        <v>2</v>
      </c>
      <c r="BM192" s="325">
        <v>0</v>
      </c>
      <c r="BN192" s="325">
        <v>0</v>
      </c>
      <c r="BO192" s="325">
        <v>1</v>
      </c>
      <c r="BP192" s="211">
        <f t="shared" si="62"/>
        <v>1</v>
      </c>
      <c r="BQ192" s="253">
        <f t="shared" si="63"/>
        <v>50</v>
      </c>
      <c r="BR192" s="99">
        <f t="shared" si="64"/>
        <v>0.5</v>
      </c>
      <c r="BS192" s="101">
        <f t="shared" si="65"/>
        <v>16.583333333333336</v>
      </c>
    </row>
    <row r="193" spans="1:71" x14ac:dyDescent="0.6">
      <c r="A193" s="373" t="s">
        <v>1750</v>
      </c>
      <c r="B193" s="1" t="s">
        <v>3098</v>
      </c>
      <c r="C193" s="380" t="s">
        <v>1751</v>
      </c>
      <c r="D193" s="315" t="s">
        <v>202</v>
      </c>
      <c r="E193" s="352" t="s">
        <v>954</v>
      </c>
      <c r="F193" s="352" t="s">
        <v>1752</v>
      </c>
      <c r="G193" s="353">
        <v>32455</v>
      </c>
      <c r="H193" s="352" t="s">
        <v>830</v>
      </c>
      <c r="I193" s="352" t="s">
        <v>1753</v>
      </c>
      <c r="J193" s="352" t="s">
        <v>1754</v>
      </c>
      <c r="K193" s="352" t="s">
        <v>308</v>
      </c>
      <c r="L193" s="381">
        <v>1914532174</v>
      </c>
      <c r="M193" s="376">
        <v>433489874</v>
      </c>
      <c r="N193" s="376">
        <v>1481042299</v>
      </c>
      <c r="O193" s="376">
        <v>2351608869</v>
      </c>
      <c r="P193" s="376">
        <v>172143218</v>
      </c>
      <c r="Q193" s="376">
        <v>206431272</v>
      </c>
      <c r="R193" s="376">
        <v>163552128</v>
      </c>
      <c r="S193" s="325">
        <v>0</v>
      </c>
      <c r="T193" s="246">
        <f t="shared" si="49"/>
        <v>100</v>
      </c>
      <c r="U193" s="77">
        <f t="shared" si="50"/>
        <v>2</v>
      </c>
      <c r="V193" s="377">
        <v>0</v>
      </c>
      <c r="W193" s="377">
        <v>0</v>
      </c>
      <c r="X193" s="377">
        <v>0</v>
      </c>
      <c r="Y193" s="377">
        <v>0</v>
      </c>
      <c r="Z193" s="377">
        <v>0</v>
      </c>
      <c r="AA193" s="377">
        <v>0</v>
      </c>
      <c r="AB193" s="377">
        <v>0</v>
      </c>
      <c r="AC193" s="247">
        <f t="shared" si="51"/>
        <v>0</v>
      </c>
      <c r="AD193" s="247">
        <f t="shared" si="52"/>
        <v>100</v>
      </c>
      <c r="AE193" s="82">
        <f t="shared" si="71"/>
        <v>5</v>
      </c>
      <c r="AF193" s="377">
        <v>0</v>
      </c>
      <c r="AG193" s="377">
        <v>0</v>
      </c>
      <c r="AH193" s="247">
        <f t="shared" si="66"/>
        <v>0</v>
      </c>
      <c r="AI193" s="247">
        <f t="shared" si="67"/>
        <v>100</v>
      </c>
      <c r="AJ193" s="82">
        <f t="shared" si="68"/>
        <v>3</v>
      </c>
      <c r="AK193" s="367" t="s">
        <v>2902</v>
      </c>
      <c r="AL193" s="367" t="s">
        <v>2902</v>
      </c>
      <c r="AM193" s="367" t="s">
        <v>2902</v>
      </c>
      <c r="AN193" s="367" t="s">
        <v>2902</v>
      </c>
      <c r="AO193" s="367" t="s">
        <v>2902</v>
      </c>
      <c r="AP193" s="296" t="s">
        <v>2326</v>
      </c>
      <c r="AQ193" s="296" t="s">
        <v>2326</v>
      </c>
      <c r="AR193" s="297"/>
      <c r="AS193" s="367" t="s">
        <v>2902</v>
      </c>
      <c r="AT193" s="367" t="s">
        <v>2902</v>
      </c>
      <c r="AU193" s="296" t="s">
        <v>2326</v>
      </c>
      <c r="AV193" s="297"/>
      <c r="AW193" s="325">
        <v>1</v>
      </c>
      <c r="AX193" s="247">
        <f t="shared" si="53"/>
        <v>100</v>
      </c>
      <c r="AY193" s="90">
        <f t="shared" si="54"/>
        <v>4</v>
      </c>
      <c r="AZ193" s="378">
        <v>0</v>
      </c>
      <c r="BA193" s="449" t="s">
        <v>3782</v>
      </c>
      <c r="BB193" s="247">
        <f t="shared" si="55"/>
        <v>100</v>
      </c>
      <c r="BC193" s="91">
        <f t="shared" si="56"/>
        <v>2</v>
      </c>
      <c r="BD193" s="325">
        <v>0</v>
      </c>
      <c r="BE193" s="325">
        <v>0</v>
      </c>
      <c r="BF193" s="325">
        <v>0</v>
      </c>
      <c r="BG193" s="252">
        <f t="shared" si="57"/>
        <v>0</v>
      </c>
      <c r="BH193" s="246">
        <f t="shared" si="58"/>
        <v>100</v>
      </c>
      <c r="BI193" s="90">
        <f t="shared" si="59"/>
        <v>1</v>
      </c>
      <c r="BJ193" s="325">
        <v>0</v>
      </c>
      <c r="BK193" s="247">
        <f t="shared" si="60"/>
        <v>100</v>
      </c>
      <c r="BL193" s="94">
        <f t="shared" si="61"/>
        <v>2</v>
      </c>
      <c r="BM193" s="325">
        <v>0</v>
      </c>
      <c r="BN193" s="325">
        <v>0</v>
      </c>
      <c r="BO193" s="325">
        <v>1</v>
      </c>
      <c r="BP193" s="211">
        <f t="shared" si="62"/>
        <v>1</v>
      </c>
      <c r="BQ193" s="253">
        <f t="shared" si="63"/>
        <v>50</v>
      </c>
      <c r="BR193" s="99">
        <f t="shared" si="64"/>
        <v>0.5</v>
      </c>
      <c r="BS193" s="101">
        <f t="shared" si="65"/>
        <v>19.5</v>
      </c>
    </row>
    <row r="194" spans="1:71" x14ac:dyDescent="0.6">
      <c r="A194" s="373" t="s">
        <v>789</v>
      </c>
      <c r="B194" s="1" t="s">
        <v>3099</v>
      </c>
      <c r="C194" s="380" t="s">
        <v>448</v>
      </c>
      <c r="D194" s="351" t="s">
        <v>285</v>
      </c>
      <c r="E194" s="352" t="s">
        <v>624</v>
      </c>
      <c r="F194" s="352" t="s">
        <v>1186</v>
      </c>
      <c r="G194" s="353">
        <v>35094</v>
      </c>
      <c r="H194" s="352" t="s">
        <v>830</v>
      </c>
      <c r="I194" s="352" t="s">
        <v>579</v>
      </c>
      <c r="J194" s="352" t="s">
        <v>964</v>
      </c>
      <c r="K194" s="352" t="s">
        <v>91</v>
      </c>
      <c r="L194" s="381">
        <v>1985699161</v>
      </c>
      <c r="M194" s="376">
        <v>512258282</v>
      </c>
      <c r="N194" s="376">
        <v>1473440879</v>
      </c>
      <c r="O194" s="376">
        <v>2427260264</v>
      </c>
      <c r="P194" s="376">
        <v>192825146</v>
      </c>
      <c r="Q194" s="376">
        <v>188400341</v>
      </c>
      <c r="R194" s="376">
        <v>141531341</v>
      </c>
      <c r="S194" s="325">
        <v>1</v>
      </c>
      <c r="T194" s="246">
        <f t="shared" si="49"/>
        <v>50</v>
      </c>
      <c r="U194" s="77">
        <f t="shared" si="50"/>
        <v>1</v>
      </c>
      <c r="V194" s="377">
        <v>0</v>
      </c>
      <c r="W194" s="377">
        <v>0</v>
      </c>
      <c r="X194" s="377">
        <v>0</v>
      </c>
      <c r="Y194" s="377">
        <v>0</v>
      </c>
      <c r="Z194" s="377">
        <v>0</v>
      </c>
      <c r="AA194" s="377">
        <v>0</v>
      </c>
      <c r="AB194" s="377">
        <v>0</v>
      </c>
      <c r="AC194" s="247">
        <f t="shared" si="51"/>
        <v>0</v>
      </c>
      <c r="AD194" s="247">
        <f t="shared" si="52"/>
        <v>100</v>
      </c>
      <c r="AE194" s="82">
        <f t="shared" si="71"/>
        <v>5</v>
      </c>
      <c r="AF194" s="377">
        <v>0</v>
      </c>
      <c r="AG194" s="377">
        <v>0</v>
      </c>
      <c r="AH194" s="247">
        <f t="shared" si="66"/>
        <v>0</v>
      </c>
      <c r="AI194" s="247">
        <f t="shared" si="67"/>
        <v>100</v>
      </c>
      <c r="AJ194" s="82">
        <f t="shared" si="68"/>
        <v>3</v>
      </c>
      <c r="AK194" s="367" t="s">
        <v>2902</v>
      </c>
      <c r="AL194" s="367" t="s">
        <v>2902</v>
      </c>
      <c r="AM194" s="367" t="s">
        <v>2902</v>
      </c>
      <c r="AN194" s="367" t="s">
        <v>2902</v>
      </c>
      <c r="AO194" s="367" t="s">
        <v>2902</v>
      </c>
      <c r="AP194" s="296" t="s">
        <v>2326</v>
      </c>
      <c r="AQ194" s="296" t="s">
        <v>2326</v>
      </c>
      <c r="AR194" s="297"/>
      <c r="AS194" s="367" t="s">
        <v>2902</v>
      </c>
      <c r="AT194" s="367" t="s">
        <v>2902</v>
      </c>
      <c r="AU194" s="296" t="s">
        <v>2326</v>
      </c>
      <c r="AV194" s="297"/>
      <c r="AW194" s="325">
        <v>0</v>
      </c>
      <c r="AX194" s="247">
        <f t="shared" si="53"/>
        <v>50</v>
      </c>
      <c r="AY194" s="90">
        <f t="shared" si="54"/>
        <v>2</v>
      </c>
      <c r="AZ194" s="378">
        <v>0</v>
      </c>
      <c r="BA194" s="449" t="s">
        <v>3782</v>
      </c>
      <c r="BB194" s="247">
        <f t="shared" si="55"/>
        <v>100</v>
      </c>
      <c r="BC194" s="91">
        <f t="shared" si="56"/>
        <v>2</v>
      </c>
      <c r="BD194" s="325">
        <v>0</v>
      </c>
      <c r="BE194" s="325">
        <v>0</v>
      </c>
      <c r="BF194" s="325">
        <v>0</v>
      </c>
      <c r="BG194" s="252">
        <f t="shared" si="57"/>
        <v>0</v>
      </c>
      <c r="BH194" s="246">
        <f t="shared" si="58"/>
        <v>100</v>
      </c>
      <c r="BI194" s="90">
        <f t="shared" si="59"/>
        <v>1</v>
      </c>
      <c r="BJ194" s="325">
        <v>0</v>
      </c>
      <c r="BK194" s="247">
        <f t="shared" si="60"/>
        <v>100</v>
      </c>
      <c r="BL194" s="94">
        <f t="shared" si="61"/>
        <v>2</v>
      </c>
      <c r="BM194" s="325">
        <v>0</v>
      </c>
      <c r="BN194" s="325">
        <v>0</v>
      </c>
      <c r="BO194" s="325">
        <v>1</v>
      </c>
      <c r="BP194" s="211">
        <f t="shared" si="62"/>
        <v>1</v>
      </c>
      <c r="BQ194" s="253">
        <f t="shared" si="63"/>
        <v>50</v>
      </c>
      <c r="BR194" s="99">
        <f t="shared" si="64"/>
        <v>0.5</v>
      </c>
      <c r="BS194" s="101">
        <f t="shared" si="65"/>
        <v>16.5</v>
      </c>
    </row>
    <row r="195" spans="1:71" x14ac:dyDescent="0.6">
      <c r="A195" s="373" t="s">
        <v>1755</v>
      </c>
      <c r="B195" s="13" t="s">
        <v>3100</v>
      </c>
      <c r="C195" s="380" t="s">
        <v>533</v>
      </c>
      <c r="D195" s="354" t="s">
        <v>481</v>
      </c>
      <c r="E195" s="352" t="s">
        <v>604</v>
      </c>
      <c r="F195" s="352" t="s">
        <v>268</v>
      </c>
      <c r="G195" s="353">
        <v>44155</v>
      </c>
      <c r="H195" s="352" t="s">
        <v>830</v>
      </c>
      <c r="I195" s="352" t="s">
        <v>955</v>
      </c>
      <c r="J195" s="1" t="s">
        <v>3101</v>
      </c>
      <c r="K195" s="352" t="s">
        <v>91</v>
      </c>
      <c r="L195" s="381">
        <v>204362337</v>
      </c>
      <c r="M195" s="376">
        <v>77627222</v>
      </c>
      <c r="N195" s="376">
        <v>126735115</v>
      </c>
      <c r="O195" s="376">
        <v>230018279</v>
      </c>
      <c r="P195" s="376">
        <v>3054336</v>
      </c>
      <c r="Q195" s="376">
        <v>41586408</v>
      </c>
      <c r="R195" s="376">
        <v>32212761</v>
      </c>
      <c r="S195" s="325">
        <v>0</v>
      </c>
      <c r="T195" s="246">
        <f t="shared" ref="T195:T258" si="72">IF(S195=1, 50, 100)</f>
        <v>100</v>
      </c>
      <c r="U195" s="77">
        <f t="shared" ref="U195:U258" si="73">T195*0.02</f>
        <v>2</v>
      </c>
      <c r="V195" s="377">
        <v>0</v>
      </c>
      <c r="W195" s="377">
        <v>0</v>
      </c>
      <c r="X195" s="377">
        <v>0</v>
      </c>
      <c r="Y195" s="377">
        <v>0</v>
      </c>
      <c r="Z195" s="377">
        <v>0</v>
      </c>
      <c r="AA195" s="377">
        <v>0</v>
      </c>
      <c r="AB195" s="377">
        <v>0</v>
      </c>
      <c r="AC195" s="247">
        <f t="shared" ref="AC195:AC258" si="74">SUM(V195:AB195)</f>
        <v>0</v>
      </c>
      <c r="AD195" s="247">
        <f t="shared" ref="AD195:AD258" si="75">IF(AC195=0, 100, IF(AC195=1, 75, IF(AC195=2, 50, 25)))</f>
        <v>100</v>
      </c>
      <c r="AE195" s="81">
        <f>AD195*0.02</f>
        <v>2</v>
      </c>
      <c r="AF195" s="360" t="s">
        <v>2902</v>
      </c>
      <c r="AG195" s="360" t="s">
        <v>2902</v>
      </c>
      <c r="AH195" s="248" t="s">
        <v>2326</v>
      </c>
      <c r="AI195" s="248" t="s">
        <v>2326</v>
      </c>
      <c r="AJ195" s="248"/>
      <c r="AK195" s="373">
        <v>0</v>
      </c>
      <c r="AL195" s="373">
        <v>0</v>
      </c>
      <c r="AM195" s="373">
        <v>0</v>
      </c>
      <c r="AN195" s="373">
        <v>0</v>
      </c>
      <c r="AO195" s="370" t="s">
        <v>3240</v>
      </c>
      <c r="AP195" s="249">
        <f>SUM(AK195:AN195)</f>
        <v>0</v>
      </c>
      <c r="AQ195" s="250">
        <f>IF(AP195=0, 100, IF(AP195=1, 75, IF(AP195=2, 50, 25)))</f>
        <v>100</v>
      </c>
      <c r="AR195" s="83">
        <f>AQ195*0.05</f>
        <v>5</v>
      </c>
      <c r="AS195" s="395">
        <v>0</v>
      </c>
      <c r="AT195" s="370" t="s">
        <v>3240</v>
      </c>
      <c r="AU195" s="251">
        <f>IF(AS195=0, 100, IF(AS195=1, 200/3, IF(AS195&gt;=2, 100/3)))</f>
        <v>100</v>
      </c>
      <c r="AV195" s="87">
        <f>AU195*0.01</f>
        <v>1</v>
      </c>
      <c r="AW195" s="325">
        <v>0</v>
      </c>
      <c r="AX195" s="247">
        <f t="shared" ref="AX195:AX258" si="76">IF(AW195=1, 100, 50)</f>
        <v>50</v>
      </c>
      <c r="AY195" s="90">
        <f t="shared" ref="AY195:AY258" si="77">AX195*0.04</f>
        <v>2</v>
      </c>
      <c r="AZ195" s="378">
        <v>0</v>
      </c>
      <c r="BA195" s="449" t="s">
        <v>3782</v>
      </c>
      <c r="BB195" s="247">
        <f t="shared" ref="BB195:BB258" si="78">IF(AZ195=0, 100, IF(AZ195=1, 200/3, IF(AZ195&gt;=2, 100/3)))</f>
        <v>100</v>
      </c>
      <c r="BC195" s="91">
        <f t="shared" ref="BC195:BC258" si="79">BB195*0.02</f>
        <v>2</v>
      </c>
      <c r="BD195" s="325">
        <v>0</v>
      </c>
      <c r="BE195" s="325">
        <v>0</v>
      </c>
      <c r="BF195" s="325">
        <v>0</v>
      </c>
      <c r="BG195" s="252">
        <f t="shared" ref="BG195:BG258" si="80">SUM(BD195:BF195)</f>
        <v>0</v>
      </c>
      <c r="BH195" s="246">
        <f t="shared" ref="BH195:BH258" si="81">IF(BG195=0, 100, IF(BG195=1, 75, IF(BG195=2, 50, 25)))</f>
        <v>100</v>
      </c>
      <c r="BI195" s="90">
        <f t="shared" ref="BI195:BI258" si="82">BH195*0.01</f>
        <v>1</v>
      </c>
      <c r="BJ195" s="325">
        <v>0</v>
      </c>
      <c r="BK195" s="247">
        <f t="shared" ref="BK195:BK258" si="83">IF(BJ195=0, 100, 50)</f>
        <v>100</v>
      </c>
      <c r="BL195" s="94">
        <f t="shared" ref="BL195:BL258" si="84">BK195*0.02</f>
        <v>2</v>
      </c>
      <c r="BM195" s="325">
        <v>0</v>
      </c>
      <c r="BN195" s="325">
        <v>0</v>
      </c>
      <c r="BO195" s="325">
        <v>1</v>
      </c>
      <c r="BP195" s="211">
        <f t="shared" ref="BP195:BP258" si="85">SUM(BM195:BO195)</f>
        <v>1</v>
      </c>
      <c r="BQ195" s="253">
        <f t="shared" ref="BQ195:BQ258" si="86">IF(BP195=0, 25, IF(BP195=1, 50, IF(BP195=2, 75, IF(BP195=3, 100))))</f>
        <v>50</v>
      </c>
      <c r="BR195" s="99">
        <f t="shared" ref="BR195:BR258" si="87">BQ195*0.01</f>
        <v>0.5</v>
      </c>
      <c r="BS195" s="101">
        <f t="shared" ref="BS195:BS258" si="88">SUM(U195,AE195,AJ195,AR195,AV195,AY195,BC195,BI195,BL195,BR195)</f>
        <v>17.5</v>
      </c>
    </row>
    <row r="196" spans="1:71" x14ac:dyDescent="0.6">
      <c r="A196" s="373" t="s">
        <v>813</v>
      </c>
      <c r="B196" s="1" t="s">
        <v>3102</v>
      </c>
      <c r="C196" s="380" t="s">
        <v>428</v>
      </c>
      <c r="D196" s="351" t="s">
        <v>203</v>
      </c>
      <c r="E196" s="352" t="s">
        <v>246</v>
      </c>
      <c r="F196" s="352" t="s">
        <v>394</v>
      </c>
      <c r="G196" s="353">
        <v>25454</v>
      </c>
      <c r="H196" s="352" t="s">
        <v>830</v>
      </c>
      <c r="I196" s="352" t="s">
        <v>783</v>
      </c>
      <c r="J196" s="352" t="s">
        <v>1069</v>
      </c>
      <c r="K196" s="352" t="s">
        <v>690</v>
      </c>
      <c r="L196" s="381">
        <v>436729659</v>
      </c>
      <c r="M196" s="376">
        <v>131134120</v>
      </c>
      <c r="N196" s="376">
        <v>305595540</v>
      </c>
      <c r="O196" s="376">
        <v>388455876</v>
      </c>
      <c r="P196" s="376">
        <v>16230918</v>
      </c>
      <c r="Q196" s="376">
        <v>19676309</v>
      </c>
      <c r="R196" s="376">
        <v>17916229</v>
      </c>
      <c r="S196" s="325">
        <v>0</v>
      </c>
      <c r="T196" s="246">
        <f t="shared" si="72"/>
        <v>100</v>
      </c>
      <c r="U196" s="77">
        <f t="shared" si="73"/>
        <v>2</v>
      </c>
      <c r="V196" s="377">
        <v>0</v>
      </c>
      <c r="W196" s="377">
        <v>0</v>
      </c>
      <c r="X196" s="377">
        <v>0</v>
      </c>
      <c r="Y196" s="377">
        <v>0</v>
      </c>
      <c r="Z196" s="377">
        <v>0</v>
      </c>
      <c r="AA196" s="377">
        <v>0</v>
      </c>
      <c r="AB196" s="377">
        <v>0</v>
      </c>
      <c r="AC196" s="247">
        <f t="shared" si="74"/>
        <v>0</v>
      </c>
      <c r="AD196" s="247">
        <f t="shared" si="75"/>
        <v>100</v>
      </c>
      <c r="AE196" s="82">
        <f t="shared" ref="AE196:AE207" si="89">AD196*0.05</f>
        <v>5</v>
      </c>
      <c r="AF196" s="377">
        <v>0</v>
      </c>
      <c r="AG196" s="377">
        <v>0</v>
      </c>
      <c r="AH196" s="247">
        <f t="shared" ref="AH196:AH258" si="90">SUM(AF196:AG196)</f>
        <v>0</v>
      </c>
      <c r="AI196" s="247">
        <f t="shared" ref="AI196:AI259" si="91">IF(AH196=0, 100, IF(AH196=1, 200/3, IF(AH196&gt;=2, 100/3)))</f>
        <v>100</v>
      </c>
      <c r="AJ196" s="82">
        <f t="shared" ref="AJ196:AJ259" si="92">AI196*0.03</f>
        <v>3</v>
      </c>
      <c r="AK196" s="367" t="s">
        <v>2902</v>
      </c>
      <c r="AL196" s="367" t="s">
        <v>2902</v>
      </c>
      <c r="AM196" s="367" t="s">
        <v>2902</v>
      </c>
      <c r="AN196" s="367" t="s">
        <v>2902</v>
      </c>
      <c r="AO196" s="367" t="s">
        <v>2902</v>
      </c>
      <c r="AP196" s="296" t="s">
        <v>2326</v>
      </c>
      <c r="AQ196" s="296" t="s">
        <v>2326</v>
      </c>
      <c r="AR196" s="297"/>
      <c r="AS196" s="367" t="s">
        <v>2902</v>
      </c>
      <c r="AT196" s="367" t="s">
        <v>2902</v>
      </c>
      <c r="AU196" s="296" t="s">
        <v>2326</v>
      </c>
      <c r="AV196" s="297"/>
      <c r="AW196" s="325">
        <v>1</v>
      </c>
      <c r="AX196" s="247">
        <f t="shared" si="76"/>
        <v>100</v>
      </c>
      <c r="AY196" s="90">
        <f t="shared" si="77"/>
        <v>4</v>
      </c>
      <c r="AZ196" s="378">
        <v>0</v>
      </c>
      <c r="BA196" s="449" t="s">
        <v>3782</v>
      </c>
      <c r="BB196" s="247">
        <f t="shared" si="78"/>
        <v>100</v>
      </c>
      <c r="BC196" s="91">
        <f t="shared" si="79"/>
        <v>2</v>
      </c>
      <c r="BD196" s="325">
        <v>0</v>
      </c>
      <c r="BE196" s="325">
        <v>0</v>
      </c>
      <c r="BF196" s="325">
        <v>0</v>
      </c>
      <c r="BG196" s="252">
        <f t="shared" si="80"/>
        <v>0</v>
      </c>
      <c r="BH196" s="246">
        <f t="shared" si="81"/>
        <v>100</v>
      </c>
      <c r="BI196" s="90">
        <f t="shared" si="82"/>
        <v>1</v>
      </c>
      <c r="BJ196" s="325">
        <v>0</v>
      </c>
      <c r="BK196" s="247">
        <f t="shared" si="83"/>
        <v>100</v>
      </c>
      <c r="BL196" s="94">
        <f t="shared" si="84"/>
        <v>2</v>
      </c>
      <c r="BM196" s="325">
        <v>0</v>
      </c>
      <c r="BN196" s="325">
        <v>0</v>
      </c>
      <c r="BO196" s="325">
        <v>1</v>
      </c>
      <c r="BP196" s="211">
        <f t="shared" si="85"/>
        <v>1</v>
      </c>
      <c r="BQ196" s="253">
        <f t="shared" si="86"/>
        <v>50</v>
      </c>
      <c r="BR196" s="99">
        <f t="shared" si="87"/>
        <v>0.5</v>
      </c>
      <c r="BS196" s="101">
        <f t="shared" si="88"/>
        <v>19.5</v>
      </c>
    </row>
    <row r="197" spans="1:71" x14ac:dyDescent="0.6">
      <c r="A197" s="373" t="s">
        <v>1757</v>
      </c>
      <c r="B197" s="1" t="s">
        <v>3103</v>
      </c>
      <c r="C197" s="380" t="s">
        <v>1758</v>
      </c>
      <c r="D197" s="315" t="s">
        <v>202</v>
      </c>
      <c r="E197" s="352" t="s">
        <v>593</v>
      </c>
      <c r="F197" s="352" t="s">
        <v>1759</v>
      </c>
      <c r="G197" s="353">
        <v>44383</v>
      </c>
      <c r="H197" s="352" t="s">
        <v>830</v>
      </c>
      <c r="I197" s="352" t="s">
        <v>1760</v>
      </c>
      <c r="J197" s="352" t="s">
        <v>1761</v>
      </c>
      <c r="K197" s="352" t="s">
        <v>346</v>
      </c>
      <c r="L197" s="381">
        <v>490185292</v>
      </c>
      <c r="M197" s="376">
        <v>160877015</v>
      </c>
      <c r="N197" s="376">
        <v>329308277</v>
      </c>
      <c r="O197" s="376">
        <v>853045926</v>
      </c>
      <c r="P197" s="376">
        <v>11254172</v>
      </c>
      <c r="Q197" s="376">
        <v>25536401</v>
      </c>
      <c r="R197" s="376">
        <v>19988516</v>
      </c>
      <c r="S197" s="325">
        <v>0</v>
      </c>
      <c r="T197" s="246">
        <f t="shared" si="72"/>
        <v>100</v>
      </c>
      <c r="U197" s="77">
        <f t="shared" si="73"/>
        <v>2</v>
      </c>
      <c r="V197" s="377">
        <v>0</v>
      </c>
      <c r="W197" s="377">
        <v>0</v>
      </c>
      <c r="X197" s="377">
        <v>0</v>
      </c>
      <c r="Y197" s="377">
        <v>0</v>
      </c>
      <c r="Z197" s="377">
        <v>0</v>
      </c>
      <c r="AA197" s="377">
        <v>0</v>
      </c>
      <c r="AB197" s="377">
        <v>0</v>
      </c>
      <c r="AC197" s="247">
        <f t="shared" si="74"/>
        <v>0</v>
      </c>
      <c r="AD197" s="247">
        <f t="shared" si="75"/>
        <v>100</v>
      </c>
      <c r="AE197" s="82">
        <f t="shared" si="89"/>
        <v>5</v>
      </c>
      <c r="AF197" s="377">
        <v>0</v>
      </c>
      <c r="AG197" s="377">
        <v>0</v>
      </c>
      <c r="AH197" s="247">
        <f t="shared" si="90"/>
        <v>0</v>
      </c>
      <c r="AI197" s="247">
        <f t="shared" si="91"/>
        <v>100</v>
      </c>
      <c r="AJ197" s="82">
        <f t="shared" si="92"/>
        <v>3</v>
      </c>
      <c r="AK197" s="367" t="s">
        <v>2902</v>
      </c>
      <c r="AL197" s="367" t="s">
        <v>2902</v>
      </c>
      <c r="AM197" s="367" t="s">
        <v>2902</v>
      </c>
      <c r="AN197" s="367" t="s">
        <v>2902</v>
      </c>
      <c r="AO197" s="367" t="s">
        <v>2902</v>
      </c>
      <c r="AP197" s="296" t="s">
        <v>2326</v>
      </c>
      <c r="AQ197" s="296" t="s">
        <v>2326</v>
      </c>
      <c r="AR197" s="297"/>
      <c r="AS197" s="367" t="s">
        <v>2902</v>
      </c>
      <c r="AT197" s="367" t="s">
        <v>2902</v>
      </c>
      <c r="AU197" s="296" t="s">
        <v>2326</v>
      </c>
      <c r="AV197" s="297"/>
      <c r="AW197" s="325">
        <v>1</v>
      </c>
      <c r="AX197" s="247">
        <f t="shared" si="76"/>
        <v>100</v>
      </c>
      <c r="AY197" s="90">
        <f t="shared" si="77"/>
        <v>4</v>
      </c>
      <c r="AZ197" s="378">
        <v>0</v>
      </c>
      <c r="BA197" s="449" t="s">
        <v>3782</v>
      </c>
      <c r="BB197" s="247">
        <f t="shared" si="78"/>
        <v>100</v>
      </c>
      <c r="BC197" s="91">
        <f t="shared" si="79"/>
        <v>2</v>
      </c>
      <c r="BD197" s="325">
        <v>0</v>
      </c>
      <c r="BE197" s="325">
        <v>0</v>
      </c>
      <c r="BF197" s="325">
        <v>0</v>
      </c>
      <c r="BG197" s="252">
        <f t="shared" si="80"/>
        <v>0</v>
      </c>
      <c r="BH197" s="246">
        <f t="shared" si="81"/>
        <v>100</v>
      </c>
      <c r="BI197" s="90">
        <f t="shared" si="82"/>
        <v>1</v>
      </c>
      <c r="BJ197" s="325">
        <v>0</v>
      </c>
      <c r="BK197" s="247">
        <f t="shared" si="83"/>
        <v>100</v>
      </c>
      <c r="BL197" s="94">
        <f t="shared" si="84"/>
        <v>2</v>
      </c>
      <c r="BM197" s="325">
        <v>0</v>
      </c>
      <c r="BN197" s="325">
        <v>0</v>
      </c>
      <c r="BO197" s="325">
        <v>1</v>
      </c>
      <c r="BP197" s="211">
        <f t="shared" si="85"/>
        <v>1</v>
      </c>
      <c r="BQ197" s="253">
        <f t="shared" si="86"/>
        <v>50</v>
      </c>
      <c r="BR197" s="99">
        <f t="shared" si="87"/>
        <v>0.5</v>
      </c>
      <c r="BS197" s="101">
        <f t="shared" si="88"/>
        <v>19.5</v>
      </c>
    </row>
    <row r="198" spans="1:71" x14ac:dyDescent="0.6">
      <c r="A198" s="373" t="s">
        <v>524</v>
      </c>
      <c r="B198" s="1" t="s">
        <v>3104</v>
      </c>
      <c r="C198" s="380" t="s">
        <v>905</v>
      </c>
      <c r="D198" s="351" t="s">
        <v>203</v>
      </c>
      <c r="E198" s="352" t="s">
        <v>246</v>
      </c>
      <c r="F198" s="352" t="s">
        <v>1190</v>
      </c>
      <c r="G198" s="353">
        <v>35669</v>
      </c>
      <c r="H198" s="352" t="s">
        <v>830</v>
      </c>
      <c r="I198" s="352" t="s">
        <v>760</v>
      </c>
      <c r="J198" s="352" t="s">
        <v>1090</v>
      </c>
      <c r="K198" s="352" t="s">
        <v>317</v>
      </c>
      <c r="L198" s="381">
        <v>169880794</v>
      </c>
      <c r="M198" s="376">
        <v>10753658</v>
      </c>
      <c r="N198" s="376">
        <v>159127136</v>
      </c>
      <c r="O198" s="376">
        <v>80968867</v>
      </c>
      <c r="P198" s="376">
        <v>2227640</v>
      </c>
      <c r="Q198" s="376">
        <v>2895711</v>
      </c>
      <c r="R198" s="376">
        <v>2402054</v>
      </c>
      <c r="S198" s="325">
        <v>0</v>
      </c>
      <c r="T198" s="246">
        <f t="shared" si="72"/>
        <v>100</v>
      </c>
      <c r="U198" s="77">
        <f t="shared" si="73"/>
        <v>2</v>
      </c>
      <c r="V198" s="377">
        <v>0</v>
      </c>
      <c r="W198" s="377">
        <v>0</v>
      </c>
      <c r="X198" s="377">
        <v>0</v>
      </c>
      <c r="Y198" s="377">
        <v>0</v>
      </c>
      <c r="Z198" s="377">
        <v>0</v>
      </c>
      <c r="AA198" s="377">
        <v>0</v>
      </c>
      <c r="AB198" s="377">
        <v>0</v>
      </c>
      <c r="AC198" s="247">
        <f t="shared" si="74"/>
        <v>0</v>
      </c>
      <c r="AD198" s="247">
        <f t="shared" si="75"/>
        <v>100</v>
      </c>
      <c r="AE198" s="82">
        <f t="shared" si="89"/>
        <v>5</v>
      </c>
      <c r="AF198" s="377">
        <v>0</v>
      </c>
      <c r="AG198" s="377">
        <v>0</v>
      </c>
      <c r="AH198" s="247">
        <f t="shared" si="90"/>
        <v>0</v>
      </c>
      <c r="AI198" s="247">
        <f t="shared" si="91"/>
        <v>100</v>
      </c>
      <c r="AJ198" s="82">
        <f t="shared" si="92"/>
        <v>3</v>
      </c>
      <c r="AK198" s="367" t="s">
        <v>2902</v>
      </c>
      <c r="AL198" s="367" t="s">
        <v>2902</v>
      </c>
      <c r="AM198" s="367" t="s">
        <v>2902</v>
      </c>
      <c r="AN198" s="367" t="s">
        <v>2902</v>
      </c>
      <c r="AO198" s="367" t="s">
        <v>2902</v>
      </c>
      <c r="AP198" s="296" t="s">
        <v>2326</v>
      </c>
      <c r="AQ198" s="296" t="s">
        <v>2326</v>
      </c>
      <c r="AR198" s="297"/>
      <c r="AS198" s="367" t="s">
        <v>2902</v>
      </c>
      <c r="AT198" s="367" t="s">
        <v>2902</v>
      </c>
      <c r="AU198" s="296" t="s">
        <v>2326</v>
      </c>
      <c r="AV198" s="297"/>
      <c r="AW198" s="325">
        <v>1</v>
      </c>
      <c r="AX198" s="247">
        <f t="shared" si="76"/>
        <v>100</v>
      </c>
      <c r="AY198" s="90">
        <f t="shared" si="77"/>
        <v>4</v>
      </c>
      <c r="AZ198" s="378">
        <v>0</v>
      </c>
      <c r="BA198" s="449" t="s">
        <v>3782</v>
      </c>
      <c r="BB198" s="247">
        <f t="shared" si="78"/>
        <v>100</v>
      </c>
      <c r="BC198" s="91">
        <f t="shared" si="79"/>
        <v>2</v>
      </c>
      <c r="BD198" s="325">
        <v>0</v>
      </c>
      <c r="BE198" s="325">
        <v>0</v>
      </c>
      <c r="BF198" s="325">
        <v>0</v>
      </c>
      <c r="BG198" s="252">
        <f t="shared" si="80"/>
        <v>0</v>
      </c>
      <c r="BH198" s="246">
        <f t="shared" si="81"/>
        <v>100</v>
      </c>
      <c r="BI198" s="90">
        <f t="shared" si="82"/>
        <v>1</v>
      </c>
      <c r="BJ198" s="325">
        <v>0</v>
      </c>
      <c r="BK198" s="247">
        <f t="shared" si="83"/>
        <v>100</v>
      </c>
      <c r="BL198" s="94">
        <f t="shared" si="84"/>
        <v>2</v>
      </c>
      <c r="BM198" s="325">
        <v>0</v>
      </c>
      <c r="BN198" s="325">
        <v>0</v>
      </c>
      <c r="BO198" s="325">
        <v>0</v>
      </c>
      <c r="BP198" s="211">
        <f t="shared" si="85"/>
        <v>0</v>
      </c>
      <c r="BQ198" s="253">
        <f t="shared" si="86"/>
        <v>25</v>
      </c>
      <c r="BR198" s="99">
        <f t="shared" si="87"/>
        <v>0.25</v>
      </c>
      <c r="BS198" s="101">
        <f t="shared" si="88"/>
        <v>19.25</v>
      </c>
    </row>
    <row r="199" spans="1:71" x14ac:dyDescent="0.6">
      <c r="A199" s="373" t="s">
        <v>506</v>
      </c>
      <c r="B199" s="1" t="s">
        <v>3105</v>
      </c>
      <c r="C199" s="380" t="s">
        <v>453</v>
      </c>
      <c r="D199" s="351" t="s">
        <v>285</v>
      </c>
      <c r="E199" s="352" t="s">
        <v>245</v>
      </c>
      <c r="F199" s="352" t="s">
        <v>344</v>
      </c>
      <c r="G199" s="353">
        <v>40024</v>
      </c>
      <c r="H199" s="352" t="s">
        <v>830</v>
      </c>
      <c r="I199" s="352" t="s">
        <v>724</v>
      </c>
      <c r="J199" s="1" t="s">
        <v>3106</v>
      </c>
      <c r="K199" s="352" t="s">
        <v>91</v>
      </c>
      <c r="L199" s="381">
        <v>1895028518</v>
      </c>
      <c r="M199" s="376">
        <v>309482206</v>
      </c>
      <c r="N199" s="376">
        <v>1585546312</v>
      </c>
      <c r="O199" s="376">
        <v>2130649097</v>
      </c>
      <c r="P199" s="376">
        <v>241563536</v>
      </c>
      <c r="Q199" s="376">
        <v>256945444</v>
      </c>
      <c r="R199" s="376">
        <v>204214530</v>
      </c>
      <c r="S199" s="325">
        <v>0</v>
      </c>
      <c r="T199" s="246">
        <f t="shared" si="72"/>
        <v>100</v>
      </c>
      <c r="U199" s="77">
        <f t="shared" si="73"/>
        <v>2</v>
      </c>
      <c r="V199" s="377">
        <v>0</v>
      </c>
      <c r="W199" s="377">
        <v>0</v>
      </c>
      <c r="X199" s="377">
        <v>0</v>
      </c>
      <c r="Y199" s="377">
        <v>0</v>
      </c>
      <c r="Z199" s="377">
        <v>0</v>
      </c>
      <c r="AA199" s="377">
        <v>0</v>
      </c>
      <c r="AB199" s="377">
        <v>0</v>
      </c>
      <c r="AC199" s="247">
        <f t="shared" si="74"/>
        <v>0</v>
      </c>
      <c r="AD199" s="247">
        <f t="shared" si="75"/>
        <v>100</v>
      </c>
      <c r="AE199" s="82">
        <f t="shared" si="89"/>
        <v>5</v>
      </c>
      <c r="AF199" s="377">
        <v>0</v>
      </c>
      <c r="AG199" s="377">
        <v>0</v>
      </c>
      <c r="AH199" s="247">
        <f t="shared" si="90"/>
        <v>0</v>
      </c>
      <c r="AI199" s="247">
        <f t="shared" si="91"/>
        <v>100</v>
      </c>
      <c r="AJ199" s="82">
        <f t="shared" si="92"/>
        <v>3</v>
      </c>
      <c r="AK199" s="367" t="s">
        <v>2902</v>
      </c>
      <c r="AL199" s="367" t="s">
        <v>2902</v>
      </c>
      <c r="AM199" s="367" t="s">
        <v>2902</v>
      </c>
      <c r="AN199" s="367" t="s">
        <v>2902</v>
      </c>
      <c r="AO199" s="367" t="s">
        <v>2902</v>
      </c>
      <c r="AP199" s="296" t="s">
        <v>2326</v>
      </c>
      <c r="AQ199" s="296" t="s">
        <v>2326</v>
      </c>
      <c r="AR199" s="297"/>
      <c r="AS199" s="367" t="s">
        <v>2902</v>
      </c>
      <c r="AT199" s="367" t="s">
        <v>2902</v>
      </c>
      <c r="AU199" s="296" t="s">
        <v>2326</v>
      </c>
      <c r="AV199" s="297"/>
      <c r="AW199" s="325">
        <v>1</v>
      </c>
      <c r="AX199" s="247">
        <f t="shared" si="76"/>
        <v>100</v>
      </c>
      <c r="AY199" s="90">
        <f t="shared" si="77"/>
        <v>4</v>
      </c>
      <c r="AZ199" s="378">
        <v>0</v>
      </c>
      <c r="BA199" s="449" t="s">
        <v>3782</v>
      </c>
      <c r="BB199" s="247">
        <f t="shared" si="78"/>
        <v>100</v>
      </c>
      <c r="BC199" s="91">
        <f t="shared" si="79"/>
        <v>2</v>
      </c>
      <c r="BD199" s="325">
        <v>0</v>
      </c>
      <c r="BE199" s="325">
        <v>0</v>
      </c>
      <c r="BF199" s="325">
        <v>0</v>
      </c>
      <c r="BG199" s="252">
        <f t="shared" si="80"/>
        <v>0</v>
      </c>
      <c r="BH199" s="246">
        <f t="shared" si="81"/>
        <v>100</v>
      </c>
      <c r="BI199" s="90">
        <f t="shared" si="82"/>
        <v>1</v>
      </c>
      <c r="BJ199" s="325">
        <v>0</v>
      </c>
      <c r="BK199" s="247">
        <f t="shared" si="83"/>
        <v>100</v>
      </c>
      <c r="BL199" s="94">
        <f t="shared" si="84"/>
        <v>2</v>
      </c>
      <c r="BM199" s="325">
        <v>0</v>
      </c>
      <c r="BN199" s="325">
        <v>0</v>
      </c>
      <c r="BO199" s="325">
        <v>0</v>
      </c>
      <c r="BP199" s="211">
        <f t="shared" si="85"/>
        <v>0</v>
      </c>
      <c r="BQ199" s="253">
        <f t="shared" si="86"/>
        <v>25</v>
      </c>
      <c r="BR199" s="99">
        <f t="shared" si="87"/>
        <v>0.25</v>
      </c>
      <c r="BS199" s="101">
        <f t="shared" si="88"/>
        <v>19.25</v>
      </c>
    </row>
    <row r="200" spans="1:71" x14ac:dyDescent="0.6">
      <c r="A200" s="373" t="s">
        <v>2550</v>
      </c>
      <c r="B200" s="13" t="s">
        <v>3107</v>
      </c>
      <c r="C200" s="380" t="s">
        <v>864</v>
      </c>
      <c r="D200" s="351" t="s">
        <v>191</v>
      </c>
      <c r="E200" s="352" t="s">
        <v>1029</v>
      </c>
      <c r="F200" s="352" t="s">
        <v>1002</v>
      </c>
      <c r="G200" s="353">
        <v>35249</v>
      </c>
      <c r="H200" s="352" t="s">
        <v>830</v>
      </c>
      <c r="I200" s="352" t="s">
        <v>718</v>
      </c>
      <c r="J200" s="352" t="s">
        <v>1122</v>
      </c>
      <c r="K200" s="352" t="s">
        <v>690</v>
      </c>
      <c r="L200" s="381">
        <v>203654155</v>
      </c>
      <c r="M200" s="376">
        <v>67128963</v>
      </c>
      <c r="N200" s="376">
        <v>136525192</v>
      </c>
      <c r="O200" s="376">
        <v>105452639</v>
      </c>
      <c r="P200" s="376">
        <v>7856944</v>
      </c>
      <c r="Q200" s="376">
        <v>10061299</v>
      </c>
      <c r="R200" s="376">
        <v>7970141</v>
      </c>
      <c r="S200" s="325">
        <v>0</v>
      </c>
      <c r="T200" s="246">
        <f t="shared" si="72"/>
        <v>100</v>
      </c>
      <c r="U200" s="77">
        <f t="shared" si="73"/>
        <v>2</v>
      </c>
      <c r="V200" s="377">
        <v>0</v>
      </c>
      <c r="W200" s="377">
        <v>0</v>
      </c>
      <c r="X200" s="377">
        <v>0</v>
      </c>
      <c r="Y200" s="377">
        <v>0</v>
      </c>
      <c r="Z200" s="377">
        <v>0</v>
      </c>
      <c r="AA200" s="377">
        <v>0</v>
      </c>
      <c r="AB200" s="377">
        <v>0</v>
      </c>
      <c r="AC200" s="247">
        <f t="shared" si="74"/>
        <v>0</v>
      </c>
      <c r="AD200" s="247">
        <f t="shared" si="75"/>
        <v>100</v>
      </c>
      <c r="AE200" s="82">
        <f t="shared" si="89"/>
        <v>5</v>
      </c>
      <c r="AF200" s="377">
        <v>0</v>
      </c>
      <c r="AG200" s="377">
        <v>0</v>
      </c>
      <c r="AH200" s="247">
        <f t="shared" si="90"/>
        <v>0</v>
      </c>
      <c r="AI200" s="247">
        <f t="shared" si="91"/>
        <v>100</v>
      </c>
      <c r="AJ200" s="82">
        <f t="shared" si="92"/>
        <v>3</v>
      </c>
      <c r="AK200" s="367" t="s">
        <v>2902</v>
      </c>
      <c r="AL200" s="367" t="s">
        <v>2902</v>
      </c>
      <c r="AM200" s="367" t="s">
        <v>2902</v>
      </c>
      <c r="AN200" s="367" t="s">
        <v>2902</v>
      </c>
      <c r="AO200" s="367" t="s">
        <v>2902</v>
      </c>
      <c r="AP200" s="296" t="s">
        <v>2326</v>
      </c>
      <c r="AQ200" s="296" t="s">
        <v>2326</v>
      </c>
      <c r="AR200" s="297"/>
      <c r="AS200" s="367" t="s">
        <v>2902</v>
      </c>
      <c r="AT200" s="367" t="s">
        <v>2902</v>
      </c>
      <c r="AU200" s="296" t="s">
        <v>2326</v>
      </c>
      <c r="AV200" s="297"/>
      <c r="AW200" s="325">
        <v>1</v>
      </c>
      <c r="AX200" s="247">
        <f t="shared" si="76"/>
        <v>100</v>
      </c>
      <c r="AY200" s="90">
        <f t="shared" si="77"/>
        <v>4</v>
      </c>
      <c r="AZ200" s="378">
        <v>0</v>
      </c>
      <c r="BA200" s="449" t="s">
        <v>3782</v>
      </c>
      <c r="BB200" s="247">
        <f t="shared" si="78"/>
        <v>100</v>
      </c>
      <c r="BC200" s="91">
        <f t="shared" si="79"/>
        <v>2</v>
      </c>
      <c r="BD200" s="325">
        <v>0</v>
      </c>
      <c r="BE200" s="325">
        <v>0</v>
      </c>
      <c r="BF200" s="325">
        <v>1</v>
      </c>
      <c r="BG200" s="252">
        <f t="shared" si="80"/>
        <v>1</v>
      </c>
      <c r="BH200" s="246">
        <f t="shared" si="81"/>
        <v>75</v>
      </c>
      <c r="BI200" s="90">
        <f t="shared" si="82"/>
        <v>0.75</v>
      </c>
      <c r="BJ200" s="325">
        <v>0</v>
      </c>
      <c r="BK200" s="247">
        <f t="shared" si="83"/>
        <v>100</v>
      </c>
      <c r="BL200" s="94">
        <f t="shared" si="84"/>
        <v>2</v>
      </c>
      <c r="BM200" s="325">
        <v>0</v>
      </c>
      <c r="BN200" s="325">
        <v>0</v>
      </c>
      <c r="BO200" s="325">
        <v>0</v>
      </c>
      <c r="BP200" s="211">
        <f t="shared" si="85"/>
        <v>0</v>
      </c>
      <c r="BQ200" s="253">
        <f t="shared" si="86"/>
        <v>25</v>
      </c>
      <c r="BR200" s="99">
        <f t="shared" si="87"/>
        <v>0.25</v>
      </c>
      <c r="BS200" s="101">
        <f t="shared" si="88"/>
        <v>19</v>
      </c>
    </row>
    <row r="201" spans="1:71" x14ac:dyDescent="0.6">
      <c r="A201" s="373" t="s">
        <v>792</v>
      </c>
      <c r="B201" s="13" t="s">
        <v>3108</v>
      </c>
      <c r="C201" s="380" t="s">
        <v>518</v>
      </c>
      <c r="D201" s="351" t="s">
        <v>191</v>
      </c>
      <c r="E201" s="352" t="s">
        <v>178</v>
      </c>
      <c r="F201" s="352" t="s">
        <v>280</v>
      </c>
      <c r="G201" s="353">
        <v>42923</v>
      </c>
      <c r="H201" s="352" t="s">
        <v>830</v>
      </c>
      <c r="I201" s="352" t="s">
        <v>702</v>
      </c>
      <c r="J201" s="352" t="s">
        <v>1181</v>
      </c>
      <c r="K201" s="352" t="s">
        <v>91</v>
      </c>
      <c r="L201" s="381">
        <v>1228500766</v>
      </c>
      <c r="M201" s="376">
        <v>276810740</v>
      </c>
      <c r="N201" s="376">
        <v>951690026</v>
      </c>
      <c r="O201" s="376">
        <v>939112572</v>
      </c>
      <c r="P201" s="376">
        <v>140231959</v>
      </c>
      <c r="Q201" s="376">
        <v>140016468</v>
      </c>
      <c r="R201" s="376">
        <v>104657276</v>
      </c>
      <c r="S201" s="325">
        <v>1</v>
      </c>
      <c r="T201" s="246">
        <f t="shared" si="72"/>
        <v>50</v>
      </c>
      <c r="U201" s="77">
        <f t="shared" si="73"/>
        <v>1</v>
      </c>
      <c r="V201" s="377">
        <v>0</v>
      </c>
      <c r="W201" s="377">
        <v>0</v>
      </c>
      <c r="X201" s="377">
        <v>0</v>
      </c>
      <c r="Y201" s="377">
        <v>0</v>
      </c>
      <c r="Z201" s="377">
        <v>0</v>
      </c>
      <c r="AA201" s="377">
        <v>0</v>
      </c>
      <c r="AB201" s="377">
        <v>0</v>
      </c>
      <c r="AC201" s="247">
        <f t="shared" si="74"/>
        <v>0</v>
      </c>
      <c r="AD201" s="247">
        <f t="shared" si="75"/>
        <v>100</v>
      </c>
      <c r="AE201" s="82">
        <f t="shared" si="89"/>
        <v>5</v>
      </c>
      <c r="AF201" s="377">
        <v>0</v>
      </c>
      <c r="AG201" s="377">
        <v>0</v>
      </c>
      <c r="AH201" s="247">
        <f t="shared" si="90"/>
        <v>0</v>
      </c>
      <c r="AI201" s="247">
        <f t="shared" si="91"/>
        <v>100</v>
      </c>
      <c r="AJ201" s="82">
        <f t="shared" si="92"/>
        <v>3</v>
      </c>
      <c r="AK201" s="367" t="s">
        <v>2902</v>
      </c>
      <c r="AL201" s="367" t="s">
        <v>2902</v>
      </c>
      <c r="AM201" s="367" t="s">
        <v>2902</v>
      </c>
      <c r="AN201" s="367" t="s">
        <v>2902</v>
      </c>
      <c r="AO201" s="367" t="s">
        <v>2902</v>
      </c>
      <c r="AP201" s="296" t="s">
        <v>2326</v>
      </c>
      <c r="AQ201" s="296" t="s">
        <v>2326</v>
      </c>
      <c r="AR201" s="297"/>
      <c r="AS201" s="367" t="s">
        <v>2902</v>
      </c>
      <c r="AT201" s="367" t="s">
        <v>2902</v>
      </c>
      <c r="AU201" s="296" t="s">
        <v>2326</v>
      </c>
      <c r="AV201" s="297"/>
      <c r="AW201" s="325">
        <v>1</v>
      </c>
      <c r="AX201" s="247">
        <f t="shared" si="76"/>
        <v>100</v>
      </c>
      <c r="AY201" s="90">
        <f t="shared" si="77"/>
        <v>4</v>
      </c>
      <c r="AZ201" s="378">
        <v>0</v>
      </c>
      <c r="BA201" s="449" t="s">
        <v>3782</v>
      </c>
      <c r="BB201" s="247">
        <f t="shared" si="78"/>
        <v>100</v>
      </c>
      <c r="BC201" s="91">
        <f t="shared" si="79"/>
        <v>2</v>
      </c>
      <c r="BD201" s="325">
        <v>0</v>
      </c>
      <c r="BE201" s="325">
        <v>0</v>
      </c>
      <c r="BF201" s="325">
        <v>0</v>
      </c>
      <c r="BG201" s="252">
        <f t="shared" si="80"/>
        <v>0</v>
      </c>
      <c r="BH201" s="246">
        <f t="shared" si="81"/>
        <v>100</v>
      </c>
      <c r="BI201" s="90">
        <f t="shared" si="82"/>
        <v>1</v>
      </c>
      <c r="BJ201" s="325">
        <v>0</v>
      </c>
      <c r="BK201" s="247">
        <f t="shared" si="83"/>
        <v>100</v>
      </c>
      <c r="BL201" s="94">
        <f t="shared" si="84"/>
        <v>2</v>
      </c>
      <c r="BM201" s="325">
        <v>0</v>
      </c>
      <c r="BN201" s="325">
        <v>0</v>
      </c>
      <c r="BO201" s="325">
        <v>1</v>
      </c>
      <c r="BP201" s="211">
        <f t="shared" si="85"/>
        <v>1</v>
      </c>
      <c r="BQ201" s="253">
        <f t="shared" si="86"/>
        <v>50</v>
      </c>
      <c r="BR201" s="99">
        <f t="shared" si="87"/>
        <v>0.5</v>
      </c>
      <c r="BS201" s="101">
        <f t="shared" si="88"/>
        <v>18.5</v>
      </c>
    </row>
    <row r="202" spans="1:71" x14ac:dyDescent="0.6">
      <c r="A202" s="373" t="s">
        <v>1763</v>
      </c>
      <c r="B202" s="13" t="s">
        <v>3109</v>
      </c>
      <c r="C202" s="380" t="s">
        <v>1764</v>
      </c>
      <c r="D202" s="315" t="s">
        <v>202</v>
      </c>
      <c r="E202" s="352" t="s">
        <v>572</v>
      </c>
      <c r="F202" s="352" t="s">
        <v>1765</v>
      </c>
      <c r="G202" s="353">
        <v>38861</v>
      </c>
      <c r="H202" s="352" t="s">
        <v>830</v>
      </c>
      <c r="I202" s="352" t="s">
        <v>1766</v>
      </c>
      <c r="J202" s="352" t="s">
        <v>1767</v>
      </c>
      <c r="K202" s="352" t="s">
        <v>317</v>
      </c>
      <c r="L202" s="381">
        <v>285172713</v>
      </c>
      <c r="M202" s="376">
        <v>183290683</v>
      </c>
      <c r="N202" s="376">
        <v>101882030</v>
      </c>
      <c r="O202" s="376">
        <v>252909508</v>
      </c>
      <c r="P202" s="376">
        <v>22627714</v>
      </c>
      <c r="Q202" s="376">
        <v>24143944</v>
      </c>
      <c r="R202" s="376">
        <v>20922790</v>
      </c>
      <c r="S202" s="325">
        <v>0</v>
      </c>
      <c r="T202" s="246">
        <f t="shared" si="72"/>
        <v>100</v>
      </c>
      <c r="U202" s="77">
        <f t="shared" si="73"/>
        <v>2</v>
      </c>
      <c r="V202" s="377">
        <v>0</v>
      </c>
      <c r="W202" s="377">
        <v>0</v>
      </c>
      <c r="X202" s="377">
        <v>0</v>
      </c>
      <c r="Y202" s="377">
        <v>0</v>
      </c>
      <c r="Z202" s="377">
        <v>0</v>
      </c>
      <c r="AA202" s="377">
        <v>0</v>
      </c>
      <c r="AB202" s="377">
        <v>0</v>
      </c>
      <c r="AC202" s="247">
        <f t="shared" si="74"/>
        <v>0</v>
      </c>
      <c r="AD202" s="247">
        <f t="shared" si="75"/>
        <v>100</v>
      </c>
      <c r="AE202" s="82">
        <f t="shared" si="89"/>
        <v>5</v>
      </c>
      <c r="AF202" s="377">
        <v>0</v>
      </c>
      <c r="AG202" s="377">
        <v>0</v>
      </c>
      <c r="AH202" s="247">
        <f t="shared" si="90"/>
        <v>0</v>
      </c>
      <c r="AI202" s="247">
        <f t="shared" si="91"/>
        <v>100</v>
      </c>
      <c r="AJ202" s="82">
        <f t="shared" si="92"/>
        <v>3</v>
      </c>
      <c r="AK202" s="367" t="s">
        <v>2902</v>
      </c>
      <c r="AL202" s="367" t="s">
        <v>2902</v>
      </c>
      <c r="AM202" s="367" t="s">
        <v>2902</v>
      </c>
      <c r="AN202" s="367" t="s">
        <v>2902</v>
      </c>
      <c r="AO202" s="367" t="s">
        <v>2902</v>
      </c>
      <c r="AP202" s="296" t="s">
        <v>2326</v>
      </c>
      <c r="AQ202" s="296" t="s">
        <v>2326</v>
      </c>
      <c r="AR202" s="297"/>
      <c r="AS202" s="367" t="s">
        <v>2902</v>
      </c>
      <c r="AT202" s="367" t="s">
        <v>2902</v>
      </c>
      <c r="AU202" s="296" t="s">
        <v>2326</v>
      </c>
      <c r="AV202" s="297"/>
      <c r="AW202" s="325">
        <v>1</v>
      </c>
      <c r="AX202" s="247">
        <f t="shared" si="76"/>
        <v>100</v>
      </c>
      <c r="AY202" s="90">
        <f t="shared" si="77"/>
        <v>4</v>
      </c>
      <c r="AZ202" s="378">
        <v>0</v>
      </c>
      <c r="BA202" s="449" t="s">
        <v>3782</v>
      </c>
      <c r="BB202" s="247">
        <f t="shared" si="78"/>
        <v>100</v>
      </c>
      <c r="BC202" s="91">
        <f t="shared" si="79"/>
        <v>2</v>
      </c>
      <c r="BD202" s="325">
        <v>0</v>
      </c>
      <c r="BE202" s="325">
        <v>0</v>
      </c>
      <c r="BF202" s="325">
        <v>0</v>
      </c>
      <c r="BG202" s="252">
        <f t="shared" si="80"/>
        <v>0</v>
      </c>
      <c r="BH202" s="246">
        <f t="shared" si="81"/>
        <v>100</v>
      </c>
      <c r="BI202" s="90">
        <f t="shared" si="82"/>
        <v>1</v>
      </c>
      <c r="BJ202" s="325">
        <v>0</v>
      </c>
      <c r="BK202" s="247">
        <f t="shared" si="83"/>
        <v>100</v>
      </c>
      <c r="BL202" s="94">
        <f t="shared" si="84"/>
        <v>2</v>
      </c>
      <c r="BM202" s="325">
        <v>0</v>
      </c>
      <c r="BN202" s="325">
        <v>0</v>
      </c>
      <c r="BO202" s="325">
        <v>1</v>
      </c>
      <c r="BP202" s="211">
        <f t="shared" si="85"/>
        <v>1</v>
      </c>
      <c r="BQ202" s="253">
        <f t="shared" si="86"/>
        <v>50</v>
      </c>
      <c r="BR202" s="99">
        <f t="shared" si="87"/>
        <v>0.5</v>
      </c>
      <c r="BS202" s="101">
        <f t="shared" si="88"/>
        <v>19.5</v>
      </c>
    </row>
    <row r="203" spans="1:71" x14ac:dyDescent="0.6">
      <c r="A203" s="373" t="s">
        <v>1768</v>
      </c>
      <c r="B203" s="1" t="s">
        <v>3110</v>
      </c>
      <c r="C203" s="380" t="s">
        <v>1769</v>
      </c>
      <c r="D203" s="315" t="s">
        <v>285</v>
      </c>
      <c r="E203" s="352" t="s">
        <v>1770</v>
      </c>
      <c r="F203" s="352" t="s">
        <v>1771</v>
      </c>
      <c r="G203" s="353">
        <v>39233</v>
      </c>
      <c r="H203" s="352" t="s">
        <v>830</v>
      </c>
      <c r="I203" s="352" t="s">
        <v>1772</v>
      </c>
      <c r="J203" s="352" t="s">
        <v>1773</v>
      </c>
      <c r="K203" s="352" t="s">
        <v>690</v>
      </c>
      <c r="L203" s="381">
        <v>675351513</v>
      </c>
      <c r="M203" s="376">
        <v>277354565</v>
      </c>
      <c r="N203" s="376">
        <v>397996948</v>
      </c>
      <c r="O203" s="376">
        <v>731149922</v>
      </c>
      <c r="P203" s="376">
        <v>30772712</v>
      </c>
      <c r="Q203" s="376">
        <v>12835237</v>
      </c>
      <c r="R203" s="376">
        <v>6907900</v>
      </c>
      <c r="S203" s="325">
        <v>1</v>
      </c>
      <c r="T203" s="246">
        <f t="shared" si="72"/>
        <v>50</v>
      </c>
      <c r="U203" s="77">
        <f t="shared" si="73"/>
        <v>1</v>
      </c>
      <c r="V203" s="377">
        <v>0</v>
      </c>
      <c r="W203" s="377">
        <v>0</v>
      </c>
      <c r="X203" s="377">
        <v>0</v>
      </c>
      <c r="Y203" s="377">
        <v>0</v>
      </c>
      <c r="Z203" s="377">
        <v>0</v>
      </c>
      <c r="AA203" s="377">
        <v>0</v>
      </c>
      <c r="AB203" s="377">
        <v>0</v>
      </c>
      <c r="AC203" s="247">
        <f t="shared" si="74"/>
        <v>0</v>
      </c>
      <c r="AD203" s="247">
        <f t="shared" si="75"/>
        <v>100</v>
      </c>
      <c r="AE203" s="82">
        <f t="shared" si="89"/>
        <v>5</v>
      </c>
      <c r="AF203" s="377">
        <v>0</v>
      </c>
      <c r="AG203" s="377">
        <v>0</v>
      </c>
      <c r="AH203" s="247">
        <f t="shared" si="90"/>
        <v>0</v>
      </c>
      <c r="AI203" s="247">
        <f t="shared" si="91"/>
        <v>100</v>
      </c>
      <c r="AJ203" s="82">
        <f t="shared" si="92"/>
        <v>3</v>
      </c>
      <c r="AK203" s="367" t="s">
        <v>2902</v>
      </c>
      <c r="AL203" s="367" t="s">
        <v>2902</v>
      </c>
      <c r="AM203" s="367" t="s">
        <v>2902</v>
      </c>
      <c r="AN203" s="367" t="s">
        <v>2902</v>
      </c>
      <c r="AO203" s="367" t="s">
        <v>2902</v>
      </c>
      <c r="AP203" s="296" t="s">
        <v>2326</v>
      </c>
      <c r="AQ203" s="296" t="s">
        <v>2326</v>
      </c>
      <c r="AR203" s="297"/>
      <c r="AS203" s="367" t="s">
        <v>2902</v>
      </c>
      <c r="AT203" s="367" t="s">
        <v>2902</v>
      </c>
      <c r="AU203" s="296" t="s">
        <v>2326</v>
      </c>
      <c r="AV203" s="297"/>
      <c r="AW203" s="325">
        <v>1</v>
      </c>
      <c r="AX203" s="247">
        <f t="shared" si="76"/>
        <v>100</v>
      </c>
      <c r="AY203" s="90">
        <f t="shared" si="77"/>
        <v>4</v>
      </c>
      <c r="AZ203" s="378">
        <v>0</v>
      </c>
      <c r="BA203" s="449" t="s">
        <v>3782</v>
      </c>
      <c r="BB203" s="247">
        <f t="shared" si="78"/>
        <v>100</v>
      </c>
      <c r="BC203" s="91">
        <f t="shared" si="79"/>
        <v>2</v>
      </c>
      <c r="BD203" s="325">
        <v>0</v>
      </c>
      <c r="BE203" s="325">
        <v>0</v>
      </c>
      <c r="BF203" s="325">
        <v>0</v>
      </c>
      <c r="BG203" s="252">
        <f t="shared" si="80"/>
        <v>0</v>
      </c>
      <c r="BH203" s="246">
        <f t="shared" si="81"/>
        <v>100</v>
      </c>
      <c r="BI203" s="90">
        <f t="shared" si="82"/>
        <v>1</v>
      </c>
      <c r="BJ203" s="325">
        <v>0</v>
      </c>
      <c r="BK203" s="247">
        <f t="shared" si="83"/>
        <v>100</v>
      </c>
      <c r="BL203" s="94">
        <f t="shared" si="84"/>
        <v>2</v>
      </c>
      <c r="BM203" s="325">
        <v>0</v>
      </c>
      <c r="BN203" s="325">
        <v>0</v>
      </c>
      <c r="BO203" s="325">
        <v>1</v>
      </c>
      <c r="BP203" s="211">
        <f t="shared" si="85"/>
        <v>1</v>
      </c>
      <c r="BQ203" s="253">
        <f t="shared" si="86"/>
        <v>50</v>
      </c>
      <c r="BR203" s="99">
        <f t="shared" si="87"/>
        <v>0.5</v>
      </c>
      <c r="BS203" s="101">
        <f t="shared" si="88"/>
        <v>18.5</v>
      </c>
    </row>
    <row r="204" spans="1:71" x14ac:dyDescent="0.6">
      <c r="A204" s="373" t="s">
        <v>326</v>
      </c>
      <c r="B204" s="1" t="s">
        <v>3111</v>
      </c>
      <c r="C204" s="380" t="s">
        <v>76</v>
      </c>
      <c r="D204" s="351" t="s">
        <v>191</v>
      </c>
      <c r="E204" s="352" t="s">
        <v>34</v>
      </c>
      <c r="F204" s="352" t="s">
        <v>126</v>
      </c>
      <c r="G204" s="353">
        <v>39378</v>
      </c>
      <c r="H204" s="352" t="s">
        <v>830</v>
      </c>
      <c r="I204" s="352" t="s">
        <v>706</v>
      </c>
      <c r="J204" s="352" t="s">
        <v>1097</v>
      </c>
      <c r="K204" s="352" t="s">
        <v>855</v>
      </c>
      <c r="L204" s="381">
        <v>417890867</v>
      </c>
      <c r="M204" s="376">
        <v>80034380</v>
      </c>
      <c r="N204" s="376">
        <v>337856486</v>
      </c>
      <c r="O204" s="376">
        <v>262522023</v>
      </c>
      <c r="P204" s="376">
        <v>48213162</v>
      </c>
      <c r="Q204" s="376">
        <v>53424815</v>
      </c>
      <c r="R204" s="376">
        <v>45275094</v>
      </c>
      <c r="S204" s="325">
        <v>0</v>
      </c>
      <c r="T204" s="246">
        <f t="shared" si="72"/>
        <v>100</v>
      </c>
      <c r="U204" s="77">
        <f t="shared" si="73"/>
        <v>2</v>
      </c>
      <c r="V204" s="377">
        <v>0</v>
      </c>
      <c r="W204" s="377">
        <v>0</v>
      </c>
      <c r="X204" s="377">
        <v>0</v>
      </c>
      <c r="Y204" s="377">
        <v>0</v>
      </c>
      <c r="Z204" s="377">
        <v>0</v>
      </c>
      <c r="AA204" s="377">
        <v>0</v>
      </c>
      <c r="AB204" s="377">
        <v>0</v>
      </c>
      <c r="AC204" s="247">
        <f t="shared" si="74"/>
        <v>0</v>
      </c>
      <c r="AD204" s="247">
        <f t="shared" si="75"/>
        <v>100</v>
      </c>
      <c r="AE204" s="82">
        <f t="shared" si="89"/>
        <v>5</v>
      </c>
      <c r="AF204" s="377">
        <v>0</v>
      </c>
      <c r="AG204" s="377">
        <v>0</v>
      </c>
      <c r="AH204" s="247">
        <f t="shared" si="90"/>
        <v>0</v>
      </c>
      <c r="AI204" s="247">
        <f t="shared" si="91"/>
        <v>100</v>
      </c>
      <c r="AJ204" s="82">
        <f t="shared" si="92"/>
        <v>3</v>
      </c>
      <c r="AK204" s="367" t="s">
        <v>2902</v>
      </c>
      <c r="AL204" s="367" t="s">
        <v>2902</v>
      </c>
      <c r="AM204" s="367" t="s">
        <v>2902</v>
      </c>
      <c r="AN204" s="367" t="s">
        <v>2902</v>
      </c>
      <c r="AO204" s="367" t="s">
        <v>2902</v>
      </c>
      <c r="AP204" s="296" t="s">
        <v>2326</v>
      </c>
      <c r="AQ204" s="296" t="s">
        <v>2326</v>
      </c>
      <c r="AR204" s="297"/>
      <c r="AS204" s="367" t="s">
        <v>2902</v>
      </c>
      <c r="AT204" s="367" t="s">
        <v>2902</v>
      </c>
      <c r="AU204" s="296" t="s">
        <v>2326</v>
      </c>
      <c r="AV204" s="297"/>
      <c r="AW204" s="325">
        <v>1</v>
      </c>
      <c r="AX204" s="247">
        <f t="shared" si="76"/>
        <v>100</v>
      </c>
      <c r="AY204" s="90">
        <f t="shared" si="77"/>
        <v>4</v>
      </c>
      <c r="AZ204" s="378">
        <v>0</v>
      </c>
      <c r="BA204" s="449" t="s">
        <v>3782</v>
      </c>
      <c r="BB204" s="247">
        <f t="shared" si="78"/>
        <v>100</v>
      </c>
      <c r="BC204" s="91">
        <f t="shared" si="79"/>
        <v>2</v>
      </c>
      <c r="BD204" s="325">
        <v>0</v>
      </c>
      <c r="BE204" s="325">
        <v>0</v>
      </c>
      <c r="BF204" s="325">
        <v>1</v>
      </c>
      <c r="BG204" s="252">
        <f t="shared" si="80"/>
        <v>1</v>
      </c>
      <c r="BH204" s="246">
        <f t="shared" si="81"/>
        <v>75</v>
      </c>
      <c r="BI204" s="90">
        <f t="shared" si="82"/>
        <v>0.75</v>
      </c>
      <c r="BJ204" s="325">
        <v>0</v>
      </c>
      <c r="BK204" s="247">
        <f t="shared" si="83"/>
        <v>100</v>
      </c>
      <c r="BL204" s="94">
        <f t="shared" si="84"/>
        <v>2</v>
      </c>
      <c r="BM204" s="325">
        <v>0</v>
      </c>
      <c r="BN204" s="325">
        <v>0</v>
      </c>
      <c r="BO204" s="325">
        <v>0</v>
      </c>
      <c r="BP204" s="211">
        <f t="shared" si="85"/>
        <v>0</v>
      </c>
      <c r="BQ204" s="253">
        <f t="shared" si="86"/>
        <v>25</v>
      </c>
      <c r="BR204" s="99">
        <f t="shared" si="87"/>
        <v>0.25</v>
      </c>
      <c r="BS204" s="101">
        <f t="shared" si="88"/>
        <v>19</v>
      </c>
    </row>
    <row r="205" spans="1:71" x14ac:dyDescent="0.6">
      <c r="A205" s="373" t="s">
        <v>824</v>
      </c>
      <c r="B205" s="1" t="s">
        <v>3112</v>
      </c>
      <c r="C205" s="380" t="s">
        <v>944</v>
      </c>
      <c r="D205" s="351" t="s">
        <v>203</v>
      </c>
      <c r="E205" s="352" t="s">
        <v>180</v>
      </c>
      <c r="F205" s="352" t="s">
        <v>121</v>
      </c>
      <c r="G205" s="353">
        <v>38324</v>
      </c>
      <c r="H205" s="352" t="s">
        <v>830</v>
      </c>
      <c r="I205" s="352" t="s">
        <v>1774</v>
      </c>
      <c r="J205" s="352" t="s">
        <v>1083</v>
      </c>
      <c r="K205" s="352" t="s">
        <v>91</v>
      </c>
      <c r="L205" s="381">
        <v>1081099768</v>
      </c>
      <c r="M205" s="376">
        <v>439582782</v>
      </c>
      <c r="N205" s="376">
        <v>641516987</v>
      </c>
      <c r="O205" s="376">
        <v>792569992</v>
      </c>
      <c r="P205" s="376">
        <v>95951025</v>
      </c>
      <c r="Q205" s="376">
        <v>117596454</v>
      </c>
      <c r="R205" s="376">
        <v>117383163</v>
      </c>
      <c r="S205" s="325">
        <v>1</v>
      </c>
      <c r="T205" s="246">
        <f t="shared" si="72"/>
        <v>50</v>
      </c>
      <c r="U205" s="77">
        <f t="shared" si="73"/>
        <v>1</v>
      </c>
      <c r="V205" s="377">
        <v>0</v>
      </c>
      <c r="W205" s="377">
        <v>0</v>
      </c>
      <c r="X205" s="377">
        <v>0</v>
      </c>
      <c r="Y205" s="377">
        <v>0</v>
      </c>
      <c r="Z205" s="377">
        <v>0</v>
      </c>
      <c r="AA205" s="377">
        <v>0</v>
      </c>
      <c r="AB205" s="377">
        <v>0</v>
      </c>
      <c r="AC205" s="247">
        <f t="shared" si="74"/>
        <v>0</v>
      </c>
      <c r="AD205" s="247">
        <f t="shared" si="75"/>
        <v>100</v>
      </c>
      <c r="AE205" s="82">
        <f t="shared" si="89"/>
        <v>5</v>
      </c>
      <c r="AF205" s="377">
        <v>0</v>
      </c>
      <c r="AG205" s="377">
        <v>0</v>
      </c>
      <c r="AH205" s="247">
        <f t="shared" si="90"/>
        <v>0</v>
      </c>
      <c r="AI205" s="247">
        <f t="shared" si="91"/>
        <v>100</v>
      </c>
      <c r="AJ205" s="82">
        <f t="shared" si="92"/>
        <v>3</v>
      </c>
      <c r="AK205" s="367" t="s">
        <v>2902</v>
      </c>
      <c r="AL205" s="367" t="s">
        <v>2902</v>
      </c>
      <c r="AM205" s="367" t="s">
        <v>2902</v>
      </c>
      <c r="AN205" s="367" t="s">
        <v>2902</v>
      </c>
      <c r="AO205" s="367" t="s">
        <v>2902</v>
      </c>
      <c r="AP205" s="296" t="s">
        <v>2326</v>
      </c>
      <c r="AQ205" s="296" t="s">
        <v>2326</v>
      </c>
      <c r="AR205" s="297"/>
      <c r="AS205" s="367" t="s">
        <v>2902</v>
      </c>
      <c r="AT205" s="367" t="s">
        <v>2902</v>
      </c>
      <c r="AU205" s="296" t="s">
        <v>2326</v>
      </c>
      <c r="AV205" s="297"/>
      <c r="AW205" s="325">
        <v>1</v>
      </c>
      <c r="AX205" s="247">
        <f t="shared" si="76"/>
        <v>100</v>
      </c>
      <c r="AY205" s="90">
        <f t="shared" si="77"/>
        <v>4</v>
      </c>
      <c r="AZ205" s="378">
        <v>0</v>
      </c>
      <c r="BA205" s="449" t="s">
        <v>3782</v>
      </c>
      <c r="BB205" s="247">
        <f t="shared" si="78"/>
        <v>100</v>
      </c>
      <c r="BC205" s="91">
        <f t="shared" si="79"/>
        <v>2</v>
      </c>
      <c r="BD205" s="325">
        <v>0</v>
      </c>
      <c r="BE205" s="325">
        <v>0</v>
      </c>
      <c r="BF205" s="325">
        <v>0</v>
      </c>
      <c r="BG205" s="252">
        <f t="shared" si="80"/>
        <v>0</v>
      </c>
      <c r="BH205" s="246">
        <f t="shared" si="81"/>
        <v>100</v>
      </c>
      <c r="BI205" s="90">
        <f t="shared" si="82"/>
        <v>1</v>
      </c>
      <c r="BJ205" s="325">
        <v>0</v>
      </c>
      <c r="BK205" s="247">
        <f t="shared" si="83"/>
        <v>100</v>
      </c>
      <c r="BL205" s="94">
        <f t="shared" si="84"/>
        <v>2</v>
      </c>
      <c r="BM205" s="325">
        <v>0</v>
      </c>
      <c r="BN205" s="325">
        <v>1</v>
      </c>
      <c r="BO205" s="325">
        <v>0</v>
      </c>
      <c r="BP205" s="211">
        <f t="shared" si="85"/>
        <v>1</v>
      </c>
      <c r="BQ205" s="253">
        <f t="shared" si="86"/>
        <v>50</v>
      </c>
      <c r="BR205" s="99">
        <f t="shared" si="87"/>
        <v>0.5</v>
      </c>
      <c r="BS205" s="101">
        <f t="shared" si="88"/>
        <v>18.5</v>
      </c>
    </row>
    <row r="206" spans="1:71" x14ac:dyDescent="0.6">
      <c r="A206" s="373" t="s">
        <v>1775</v>
      </c>
      <c r="B206" s="13" t="s">
        <v>3113</v>
      </c>
      <c r="C206" s="380" t="s">
        <v>355</v>
      </c>
      <c r="D206" s="351" t="s">
        <v>191</v>
      </c>
      <c r="E206" s="352" t="s">
        <v>977</v>
      </c>
      <c r="F206" s="352" t="s">
        <v>962</v>
      </c>
      <c r="G206" s="353">
        <v>32856</v>
      </c>
      <c r="H206" s="352" t="s">
        <v>830</v>
      </c>
      <c r="I206" s="352" t="s">
        <v>803</v>
      </c>
      <c r="J206" s="352" t="s">
        <v>1108</v>
      </c>
      <c r="K206" s="352" t="s">
        <v>690</v>
      </c>
      <c r="L206" s="381">
        <v>219850861</v>
      </c>
      <c r="M206" s="376">
        <v>106769427</v>
      </c>
      <c r="N206" s="376">
        <v>113081434</v>
      </c>
      <c r="O206" s="376">
        <v>103067188</v>
      </c>
      <c r="P206" s="376">
        <v>4420274</v>
      </c>
      <c r="Q206" s="376">
        <v>926544</v>
      </c>
      <c r="R206" s="376">
        <v>3447674</v>
      </c>
      <c r="S206" s="325">
        <v>0</v>
      </c>
      <c r="T206" s="246">
        <f t="shared" si="72"/>
        <v>100</v>
      </c>
      <c r="U206" s="77">
        <f t="shared" si="73"/>
        <v>2</v>
      </c>
      <c r="V206" s="377">
        <v>0</v>
      </c>
      <c r="W206" s="377">
        <v>0</v>
      </c>
      <c r="X206" s="377">
        <v>0</v>
      </c>
      <c r="Y206" s="377">
        <v>0</v>
      </c>
      <c r="Z206" s="377">
        <v>0</v>
      </c>
      <c r="AA206" s="377">
        <v>0</v>
      </c>
      <c r="AB206" s="377">
        <v>0</v>
      </c>
      <c r="AC206" s="247">
        <f t="shared" si="74"/>
        <v>0</v>
      </c>
      <c r="AD206" s="247">
        <f t="shared" si="75"/>
        <v>100</v>
      </c>
      <c r="AE206" s="82">
        <f t="shared" si="89"/>
        <v>5</v>
      </c>
      <c r="AF206" s="377">
        <v>0</v>
      </c>
      <c r="AG206" s="377">
        <v>0</v>
      </c>
      <c r="AH206" s="247">
        <f t="shared" si="90"/>
        <v>0</v>
      </c>
      <c r="AI206" s="247">
        <f t="shared" si="91"/>
        <v>100</v>
      </c>
      <c r="AJ206" s="82">
        <f t="shared" si="92"/>
        <v>3</v>
      </c>
      <c r="AK206" s="367" t="s">
        <v>2902</v>
      </c>
      <c r="AL206" s="367" t="s">
        <v>2902</v>
      </c>
      <c r="AM206" s="367" t="s">
        <v>2902</v>
      </c>
      <c r="AN206" s="367" t="s">
        <v>2902</v>
      </c>
      <c r="AO206" s="367" t="s">
        <v>2902</v>
      </c>
      <c r="AP206" s="296" t="s">
        <v>2326</v>
      </c>
      <c r="AQ206" s="296" t="s">
        <v>2326</v>
      </c>
      <c r="AR206" s="297"/>
      <c r="AS206" s="367" t="s">
        <v>2902</v>
      </c>
      <c r="AT206" s="367" t="s">
        <v>2902</v>
      </c>
      <c r="AU206" s="296" t="s">
        <v>2326</v>
      </c>
      <c r="AV206" s="297"/>
      <c r="AW206" s="325">
        <v>1</v>
      </c>
      <c r="AX206" s="247">
        <f t="shared" si="76"/>
        <v>100</v>
      </c>
      <c r="AY206" s="90">
        <f t="shared" si="77"/>
        <v>4</v>
      </c>
      <c r="AZ206" s="378">
        <v>0</v>
      </c>
      <c r="BA206" s="449" t="s">
        <v>3782</v>
      </c>
      <c r="BB206" s="247">
        <f t="shared" si="78"/>
        <v>100</v>
      </c>
      <c r="BC206" s="91">
        <f t="shared" si="79"/>
        <v>2</v>
      </c>
      <c r="BD206" s="325">
        <v>0</v>
      </c>
      <c r="BE206" s="325">
        <v>0</v>
      </c>
      <c r="BF206" s="325">
        <v>1</v>
      </c>
      <c r="BG206" s="252">
        <f t="shared" si="80"/>
        <v>1</v>
      </c>
      <c r="BH206" s="246">
        <f t="shared" si="81"/>
        <v>75</v>
      </c>
      <c r="BI206" s="90">
        <f t="shared" si="82"/>
        <v>0.75</v>
      </c>
      <c r="BJ206" s="325">
        <v>0</v>
      </c>
      <c r="BK206" s="247">
        <f t="shared" si="83"/>
        <v>100</v>
      </c>
      <c r="BL206" s="94">
        <f t="shared" si="84"/>
        <v>2</v>
      </c>
      <c r="BM206" s="325">
        <v>0</v>
      </c>
      <c r="BN206" s="325">
        <v>1</v>
      </c>
      <c r="BO206" s="325">
        <v>1</v>
      </c>
      <c r="BP206" s="211">
        <f t="shared" si="85"/>
        <v>2</v>
      </c>
      <c r="BQ206" s="253">
        <f t="shared" si="86"/>
        <v>75</v>
      </c>
      <c r="BR206" s="99">
        <f t="shared" si="87"/>
        <v>0.75</v>
      </c>
      <c r="BS206" s="101">
        <f t="shared" si="88"/>
        <v>19.5</v>
      </c>
    </row>
    <row r="207" spans="1:71" x14ac:dyDescent="0.6">
      <c r="A207" s="373" t="s">
        <v>871</v>
      </c>
      <c r="B207" s="1" t="s">
        <v>3114</v>
      </c>
      <c r="C207" s="380" t="s">
        <v>20</v>
      </c>
      <c r="D207" s="351" t="s">
        <v>285</v>
      </c>
      <c r="E207" s="352" t="s">
        <v>999</v>
      </c>
      <c r="F207" s="352" t="s">
        <v>1007</v>
      </c>
      <c r="G207" s="353">
        <v>38204</v>
      </c>
      <c r="H207" s="352" t="s">
        <v>830</v>
      </c>
      <c r="I207" s="352" t="s">
        <v>331</v>
      </c>
      <c r="J207" s="352" t="s">
        <v>1212</v>
      </c>
      <c r="K207" s="352" t="s">
        <v>690</v>
      </c>
      <c r="L207" s="381">
        <v>475552210</v>
      </c>
      <c r="M207" s="376">
        <v>243500167</v>
      </c>
      <c r="N207" s="376">
        <v>232052043</v>
      </c>
      <c r="O207" s="376">
        <v>729811429</v>
      </c>
      <c r="P207" s="376">
        <v>47569618</v>
      </c>
      <c r="Q207" s="376">
        <v>37906414</v>
      </c>
      <c r="R207" s="376">
        <v>29707608</v>
      </c>
      <c r="S207" s="325">
        <v>0</v>
      </c>
      <c r="T207" s="246">
        <f t="shared" si="72"/>
        <v>100</v>
      </c>
      <c r="U207" s="77">
        <f t="shared" si="73"/>
        <v>2</v>
      </c>
      <c r="V207" s="377">
        <v>0</v>
      </c>
      <c r="W207" s="377">
        <v>0</v>
      </c>
      <c r="X207" s="377">
        <v>0</v>
      </c>
      <c r="Y207" s="377">
        <v>0</v>
      </c>
      <c r="Z207" s="377">
        <v>0</v>
      </c>
      <c r="AA207" s="377">
        <v>0</v>
      </c>
      <c r="AB207" s="377">
        <v>0</v>
      </c>
      <c r="AC207" s="247">
        <f t="shared" si="74"/>
        <v>0</v>
      </c>
      <c r="AD207" s="247">
        <f t="shared" si="75"/>
        <v>100</v>
      </c>
      <c r="AE207" s="82">
        <f t="shared" si="89"/>
        <v>5</v>
      </c>
      <c r="AF207" s="377">
        <v>0</v>
      </c>
      <c r="AG207" s="377">
        <v>0</v>
      </c>
      <c r="AH207" s="247">
        <f t="shared" si="90"/>
        <v>0</v>
      </c>
      <c r="AI207" s="247">
        <f t="shared" si="91"/>
        <v>100</v>
      </c>
      <c r="AJ207" s="82">
        <f t="shared" si="92"/>
        <v>3</v>
      </c>
      <c r="AK207" s="367" t="s">
        <v>2902</v>
      </c>
      <c r="AL207" s="367" t="s">
        <v>2902</v>
      </c>
      <c r="AM207" s="367" t="s">
        <v>2902</v>
      </c>
      <c r="AN207" s="367" t="s">
        <v>2902</v>
      </c>
      <c r="AO207" s="367" t="s">
        <v>2902</v>
      </c>
      <c r="AP207" s="296" t="s">
        <v>2326</v>
      </c>
      <c r="AQ207" s="296" t="s">
        <v>2326</v>
      </c>
      <c r="AR207" s="297"/>
      <c r="AS207" s="367" t="s">
        <v>2902</v>
      </c>
      <c r="AT207" s="367" t="s">
        <v>2902</v>
      </c>
      <c r="AU207" s="296" t="s">
        <v>2326</v>
      </c>
      <c r="AV207" s="297"/>
      <c r="AW207" s="325">
        <v>0</v>
      </c>
      <c r="AX207" s="247">
        <f t="shared" si="76"/>
        <v>50</v>
      </c>
      <c r="AY207" s="90">
        <f t="shared" si="77"/>
        <v>2</v>
      </c>
      <c r="AZ207" s="378">
        <v>0</v>
      </c>
      <c r="BA207" s="449" t="s">
        <v>3782</v>
      </c>
      <c r="BB207" s="247">
        <f t="shared" si="78"/>
        <v>100</v>
      </c>
      <c r="BC207" s="91">
        <f t="shared" si="79"/>
        <v>2</v>
      </c>
      <c r="BD207" s="325">
        <v>0</v>
      </c>
      <c r="BE207" s="325">
        <v>0</v>
      </c>
      <c r="BF207" s="325">
        <v>0</v>
      </c>
      <c r="BG207" s="252">
        <f t="shared" si="80"/>
        <v>0</v>
      </c>
      <c r="BH207" s="246">
        <f t="shared" si="81"/>
        <v>100</v>
      </c>
      <c r="BI207" s="90">
        <f t="shared" si="82"/>
        <v>1</v>
      </c>
      <c r="BJ207" s="325">
        <v>0</v>
      </c>
      <c r="BK207" s="247">
        <f t="shared" si="83"/>
        <v>100</v>
      </c>
      <c r="BL207" s="94">
        <f t="shared" si="84"/>
        <v>2</v>
      </c>
      <c r="BM207" s="325">
        <v>0</v>
      </c>
      <c r="BN207" s="325">
        <v>0</v>
      </c>
      <c r="BO207" s="325">
        <v>1</v>
      </c>
      <c r="BP207" s="211">
        <f t="shared" si="85"/>
        <v>1</v>
      </c>
      <c r="BQ207" s="253">
        <f t="shared" si="86"/>
        <v>50</v>
      </c>
      <c r="BR207" s="99">
        <f t="shared" si="87"/>
        <v>0.5</v>
      </c>
      <c r="BS207" s="101">
        <f t="shared" si="88"/>
        <v>17.5</v>
      </c>
    </row>
    <row r="208" spans="1:71" x14ac:dyDescent="0.6">
      <c r="A208" s="373" t="s">
        <v>560</v>
      </c>
      <c r="B208" s="13" t="s">
        <v>3115</v>
      </c>
      <c r="C208" s="380" t="s">
        <v>11</v>
      </c>
      <c r="D208" s="354" t="s">
        <v>350</v>
      </c>
      <c r="E208" s="352" t="s">
        <v>179</v>
      </c>
      <c r="F208" s="352" t="s">
        <v>992</v>
      </c>
      <c r="G208" s="353">
        <v>32163</v>
      </c>
      <c r="H208" s="352" t="s">
        <v>830</v>
      </c>
      <c r="I208" s="352" t="s">
        <v>786</v>
      </c>
      <c r="J208" s="352" t="s">
        <v>1211</v>
      </c>
      <c r="K208" s="352" t="s">
        <v>91</v>
      </c>
      <c r="L208" s="381">
        <v>12900025445</v>
      </c>
      <c r="M208" s="376">
        <v>11393545083</v>
      </c>
      <c r="N208" s="376">
        <v>1506480362</v>
      </c>
      <c r="O208" s="376">
        <v>2449590915</v>
      </c>
      <c r="P208" s="376">
        <v>49619816</v>
      </c>
      <c r="Q208" s="376">
        <v>61425265</v>
      </c>
      <c r="R208" s="376">
        <v>38657881</v>
      </c>
      <c r="S208" s="325">
        <v>0</v>
      </c>
      <c r="T208" s="246">
        <f t="shared" si="72"/>
        <v>100</v>
      </c>
      <c r="U208" s="77">
        <f t="shared" si="73"/>
        <v>2</v>
      </c>
      <c r="V208" s="377">
        <v>0</v>
      </c>
      <c r="W208" s="377">
        <v>0</v>
      </c>
      <c r="X208" s="377">
        <v>0</v>
      </c>
      <c r="Y208" s="377">
        <v>0</v>
      </c>
      <c r="Z208" s="377">
        <v>0</v>
      </c>
      <c r="AA208" s="377">
        <v>0</v>
      </c>
      <c r="AB208" s="377">
        <v>0</v>
      </c>
      <c r="AC208" s="247">
        <f t="shared" si="74"/>
        <v>0</v>
      </c>
      <c r="AD208" s="247">
        <f t="shared" si="75"/>
        <v>100</v>
      </c>
      <c r="AE208" s="81">
        <f>AD208*0.02</f>
        <v>2</v>
      </c>
      <c r="AF208" s="360" t="s">
        <v>2902</v>
      </c>
      <c r="AG208" s="360" t="s">
        <v>2902</v>
      </c>
      <c r="AH208" s="248" t="s">
        <v>2326</v>
      </c>
      <c r="AI208" s="248" t="s">
        <v>2326</v>
      </c>
      <c r="AJ208" s="248"/>
      <c r="AK208" s="373">
        <v>7</v>
      </c>
      <c r="AL208" s="373">
        <v>0</v>
      </c>
      <c r="AM208" s="373">
        <v>0</v>
      </c>
      <c r="AN208" s="373">
        <v>0</v>
      </c>
      <c r="AO208" s="370" t="s">
        <v>3240</v>
      </c>
      <c r="AP208" s="249">
        <f>SUM(AK208:AN208)</f>
        <v>7</v>
      </c>
      <c r="AQ208" s="250">
        <f t="shared" ref="AQ208:AQ209" si="93">IF(AP208=0, 100, IF(AP208=1, 75, IF(AP208=2, 50, 25)))</f>
        <v>25</v>
      </c>
      <c r="AR208" s="83">
        <f>AQ208*0.05</f>
        <v>1.25</v>
      </c>
      <c r="AS208" s="395">
        <v>0</v>
      </c>
      <c r="AT208" s="370" t="s">
        <v>3240</v>
      </c>
      <c r="AU208" s="251">
        <f>IF(AS208=0, 100, IF(AS208=1, 200/3, IF(AS208&gt;=2, 100/3)))</f>
        <v>100</v>
      </c>
      <c r="AV208" s="87">
        <f>AU208*0.01</f>
        <v>1</v>
      </c>
      <c r="AW208" s="325">
        <v>1</v>
      </c>
      <c r="AX208" s="247">
        <f t="shared" si="76"/>
        <v>100</v>
      </c>
      <c r="AY208" s="90">
        <f t="shared" si="77"/>
        <v>4</v>
      </c>
      <c r="AZ208" s="378">
        <v>0</v>
      </c>
      <c r="BA208" s="449" t="s">
        <v>3782</v>
      </c>
      <c r="BB208" s="247">
        <f t="shared" si="78"/>
        <v>100</v>
      </c>
      <c r="BC208" s="91">
        <f t="shared" si="79"/>
        <v>2</v>
      </c>
      <c r="BD208" s="325">
        <v>0</v>
      </c>
      <c r="BE208" s="325">
        <v>0</v>
      </c>
      <c r="BF208" s="325">
        <v>0</v>
      </c>
      <c r="BG208" s="252">
        <f t="shared" si="80"/>
        <v>0</v>
      </c>
      <c r="BH208" s="246">
        <f t="shared" si="81"/>
        <v>100</v>
      </c>
      <c r="BI208" s="90">
        <f t="shared" si="82"/>
        <v>1</v>
      </c>
      <c r="BJ208" s="325">
        <v>0</v>
      </c>
      <c r="BK208" s="247">
        <f t="shared" si="83"/>
        <v>100</v>
      </c>
      <c r="BL208" s="94">
        <f t="shared" si="84"/>
        <v>2</v>
      </c>
      <c r="BM208" s="325">
        <v>0</v>
      </c>
      <c r="BN208" s="325">
        <v>0</v>
      </c>
      <c r="BO208" s="325">
        <v>1</v>
      </c>
      <c r="BP208" s="211">
        <f t="shared" si="85"/>
        <v>1</v>
      </c>
      <c r="BQ208" s="253">
        <f t="shared" si="86"/>
        <v>50</v>
      </c>
      <c r="BR208" s="99">
        <f t="shared" si="87"/>
        <v>0.5</v>
      </c>
      <c r="BS208" s="101">
        <f t="shared" si="88"/>
        <v>15.75</v>
      </c>
    </row>
    <row r="209" spans="1:71" x14ac:dyDescent="0.6">
      <c r="A209" s="373" t="s">
        <v>1776</v>
      </c>
      <c r="B209" s="1" t="s">
        <v>3116</v>
      </c>
      <c r="C209" s="380" t="s">
        <v>53</v>
      </c>
      <c r="D209" s="354" t="s">
        <v>350</v>
      </c>
      <c r="E209" s="352" t="s">
        <v>179</v>
      </c>
      <c r="F209" s="352" t="s">
        <v>620</v>
      </c>
      <c r="G209" s="353">
        <v>32013</v>
      </c>
      <c r="H209" s="352" t="s">
        <v>830</v>
      </c>
      <c r="I209" s="352" t="s">
        <v>631</v>
      </c>
      <c r="J209" s="352" t="s">
        <v>1123</v>
      </c>
      <c r="K209" s="352" t="s">
        <v>91</v>
      </c>
      <c r="L209" s="381">
        <v>7518981791</v>
      </c>
      <c r="M209" s="376">
        <v>6570247685</v>
      </c>
      <c r="N209" s="376">
        <v>948734106</v>
      </c>
      <c r="O209" s="376">
        <v>1456503449</v>
      </c>
      <c r="P209" s="376">
        <v>11313859</v>
      </c>
      <c r="Q209" s="376">
        <v>9393410</v>
      </c>
      <c r="R209" s="376">
        <v>3677466</v>
      </c>
      <c r="S209" s="325">
        <v>0</v>
      </c>
      <c r="T209" s="246">
        <f t="shared" si="72"/>
        <v>100</v>
      </c>
      <c r="U209" s="77">
        <f t="shared" si="73"/>
        <v>2</v>
      </c>
      <c r="V209" s="377">
        <v>0</v>
      </c>
      <c r="W209" s="377">
        <v>0</v>
      </c>
      <c r="X209" s="377">
        <v>0</v>
      </c>
      <c r="Y209" s="377">
        <v>0</v>
      </c>
      <c r="Z209" s="377">
        <v>0</v>
      </c>
      <c r="AA209" s="377">
        <v>0</v>
      </c>
      <c r="AB209" s="377">
        <v>0</v>
      </c>
      <c r="AC209" s="247">
        <f t="shared" si="74"/>
        <v>0</v>
      </c>
      <c r="AD209" s="247">
        <f t="shared" si="75"/>
        <v>100</v>
      </c>
      <c r="AE209" s="81">
        <f>AD209*0.02</f>
        <v>2</v>
      </c>
      <c r="AF209" s="360" t="s">
        <v>2902</v>
      </c>
      <c r="AG209" s="360" t="s">
        <v>2902</v>
      </c>
      <c r="AH209" s="248" t="s">
        <v>2326</v>
      </c>
      <c r="AI209" s="248" t="s">
        <v>2326</v>
      </c>
      <c r="AJ209" s="248"/>
      <c r="AK209" s="373">
        <v>1</v>
      </c>
      <c r="AL209" s="373">
        <v>0</v>
      </c>
      <c r="AM209" s="373">
        <v>0</v>
      </c>
      <c r="AN209" s="373">
        <v>0</v>
      </c>
      <c r="AO209" s="370" t="s">
        <v>3240</v>
      </c>
      <c r="AP209" s="249">
        <f>SUM(AK209:AN209)</f>
        <v>1</v>
      </c>
      <c r="AQ209" s="250">
        <f t="shared" si="93"/>
        <v>75</v>
      </c>
      <c r="AR209" s="83">
        <f>AQ209*0.05</f>
        <v>3.75</v>
      </c>
      <c r="AS209" s="395">
        <v>1</v>
      </c>
      <c r="AT209" s="392" t="s">
        <v>3117</v>
      </c>
      <c r="AU209" s="251">
        <f>IF(AS209=0, 100, IF(AS209=1, 200/3, IF(AS209&gt;=2, 100/3)))</f>
        <v>66.666666666666671</v>
      </c>
      <c r="AV209" s="87">
        <f>AU209*0.01</f>
        <v>0.66666666666666674</v>
      </c>
      <c r="AW209" s="325">
        <v>0</v>
      </c>
      <c r="AX209" s="247">
        <f t="shared" si="76"/>
        <v>50</v>
      </c>
      <c r="AY209" s="90">
        <f t="shared" si="77"/>
        <v>2</v>
      </c>
      <c r="AZ209" s="378">
        <v>0</v>
      </c>
      <c r="BA209" s="449" t="s">
        <v>3782</v>
      </c>
      <c r="BB209" s="247">
        <f t="shared" si="78"/>
        <v>100</v>
      </c>
      <c r="BC209" s="91">
        <f t="shared" si="79"/>
        <v>2</v>
      </c>
      <c r="BD209" s="325">
        <v>0</v>
      </c>
      <c r="BE209" s="325">
        <v>0</v>
      </c>
      <c r="BF209" s="325">
        <v>0</v>
      </c>
      <c r="BG209" s="252">
        <f t="shared" si="80"/>
        <v>0</v>
      </c>
      <c r="BH209" s="246">
        <f t="shared" si="81"/>
        <v>100</v>
      </c>
      <c r="BI209" s="90">
        <f t="shared" si="82"/>
        <v>1</v>
      </c>
      <c r="BJ209" s="325">
        <v>0</v>
      </c>
      <c r="BK209" s="247">
        <f t="shared" si="83"/>
        <v>100</v>
      </c>
      <c r="BL209" s="94">
        <f t="shared" si="84"/>
        <v>2</v>
      </c>
      <c r="BM209" s="325">
        <v>0</v>
      </c>
      <c r="BN209" s="325">
        <v>0</v>
      </c>
      <c r="BO209" s="325">
        <v>1</v>
      </c>
      <c r="BP209" s="211">
        <f t="shared" si="85"/>
        <v>1</v>
      </c>
      <c r="BQ209" s="253">
        <f t="shared" si="86"/>
        <v>50</v>
      </c>
      <c r="BR209" s="99">
        <f t="shared" si="87"/>
        <v>0.5</v>
      </c>
      <c r="BS209" s="101">
        <f t="shared" si="88"/>
        <v>15.916666666666666</v>
      </c>
    </row>
    <row r="210" spans="1:71" x14ac:dyDescent="0.6">
      <c r="A210" s="373" t="s">
        <v>405</v>
      </c>
      <c r="B210" s="1" t="s">
        <v>3118</v>
      </c>
      <c r="C210" s="380" t="s">
        <v>522</v>
      </c>
      <c r="D210" s="351" t="s">
        <v>191</v>
      </c>
      <c r="E210" s="352" t="s">
        <v>34</v>
      </c>
      <c r="F210" s="352" t="s">
        <v>116</v>
      </c>
      <c r="G210" s="353">
        <v>22951</v>
      </c>
      <c r="H210" s="352" t="s">
        <v>830</v>
      </c>
      <c r="I210" s="352" t="s">
        <v>258</v>
      </c>
      <c r="J210" s="352" t="s">
        <v>1114</v>
      </c>
      <c r="K210" s="352" t="s">
        <v>91</v>
      </c>
      <c r="L210" s="381">
        <v>2274482334</v>
      </c>
      <c r="M210" s="376">
        <v>333634565</v>
      </c>
      <c r="N210" s="376">
        <v>1940847769</v>
      </c>
      <c r="O210" s="376">
        <v>1726364617</v>
      </c>
      <c r="P210" s="376">
        <v>41119507</v>
      </c>
      <c r="Q210" s="376">
        <v>153965942</v>
      </c>
      <c r="R210" s="376">
        <v>130274124</v>
      </c>
      <c r="S210" s="325">
        <v>0</v>
      </c>
      <c r="T210" s="246">
        <f t="shared" si="72"/>
        <v>100</v>
      </c>
      <c r="U210" s="77">
        <f t="shared" si="73"/>
        <v>2</v>
      </c>
      <c r="V210" s="377">
        <v>0</v>
      </c>
      <c r="W210" s="377">
        <v>0</v>
      </c>
      <c r="X210" s="377">
        <v>0</v>
      </c>
      <c r="Y210" s="377">
        <v>0</v>
      </c>
      <c r="Z210" s="377">
        <v>0</v>
      </c>
      <c r="AA210" s="377">
        <v>0</v>
      </c>
      <c r="AB210" s="377">
        <v>0</v>
      </c>
      <c r="AC210" s="247">
        <f t="shared" si="74"/>
        <v>0</v>
      </c>
      <c r="AD210" s="247">
        <f t="shared" si="75"/>
        <v>100</v>
      </c>
      <c r="AE210" s="82">
        <f t="shared" ref="AE210:AE226" si="94">AD210*0.05</f>
        <v>5</v>
      </c>
      <c r="AF210" s="377">
        <v>0</v>
      </c>
      <c r="AG210" s="377">
        <v>0</v>
      </c>
      <c r="AH210" s="247">
        <f t="shared" si="90"/>
        <v>0</v>
      </c>
      <c r="AI210" s="247">
        <f t="shared" si="91"/>
        <v>100</v>
      </c>
      <c r="AJ210" s="82">
        <f t="shared" si="92"/>
        <v>3</v>
      </c>
      <c r="AK210" s="367" t="s">
        <v>2902</v>
      </c>
      <c r="AL210" s="367" t="s">
        <v>2902</v>
      </c>
      <c r="AM210" s="367" t="s">
        <v>2902</v>
      </c>
      <c r="AN210" s="367" t="s">
        <v>2902</v>
      </c>
      <c r="AO210" s="367" t="s">
        <v>2902</v>
      </c>
      <c r="AP210" s="296" t="s">
        <v>2326</v>
      </c>
      <c r="AQ210" s="296" t="s">
        <v>2326</v>
      </c>
      <c r="AR210" s="297"/>
      <c r="AS210" s="367" t="s">
        <v>2902</v>
      </c>
      <c r="AT210" s="367" t="s">
        <v>2902</v>
      </c>
      <c r="AU210" s="296" t="s">
        <v>2326</v>
      </c>
      <c r="AV210" s="297"/>
      <c r="AW210" s="325">
        <v>1</v>
      </c>
      <c r="AX210" s="247">
        <f t="shared" si="76"/>
        <v>100</v>
      </c>
      <c r="AY210" s="90">
        <f t="shared" si="77"/>
        <v>4</v>
      </c>
      <c r="AZ210" s="378">
        <v>0</v>
      </c>
      <c r="BA210" s="449" t="s">
        <v>3782</v>
      </c>
      <c r="BB210" s="247">
        <f t="shared" si="78"/>
        <v>100</v>
      </c>
      <c r="BC210" s="91">
        <f t="shared" si="79"/>
        <v>2</v>
      </c>
      <c r="BD210" s="325">
        <v>0</v>
      </c>
      <c r="BE210" s="325">
        <v>0</v>
      </c>
      <c r="BF210" s="325">
        <v>0</v>
      </c>
      <c r="BG210" s="252">
        <f t="shared" si="80"/>
        <v>0</v>
      </c>
      <c r="BH210" s="246">
        <f t="shared" si="81"/>
        <v>100</v>
      </c>
      <c r="BI210" s="90">
        <f t="shared" si="82"/>
        <v>1</v>
      </c>
      <c r="BJ210" s="325">
        <v>0</v>
      </c>
      <c r="BK210" s="247">
        <f t="shared" si="83"/>
        <v>100</v>
      </c>
      <c r="BL210" s="94">
        <f t="shared" si="84"/>
        <v>2</v>
      </c>
      <c r="BM210" s="325">
        <v>0</v>
      </c>
      <c r="BN210" s="325">
        <v>0</v>
      </c>
      <c r="BO210" s="325">
        <v>1</v>
      </c>
      <c r="BP210" s="211">
        <f t="shared" si="85"/>
        <v>1</v>
      </c>
      <c r="BQ210" s="253">
        <f t="shared" si="86"/>
        <v>50</v>
      </c>
      <c r="BR210" s="99">
        <f t="shared" si="87"/>
        <v>0.5</v>
      </c>
      <c r="BS210" s="101">
        <f t="shared" si="88"/>
        <v>19.5</v>
      </c>
    </row>
    <row r="211" spans="1:71" x14ac:dyDescent="0.6">
      <c r="A211" s="373" t="s">
        <v>942</v>
      </c>
      <c r="B211" s="13" t="s">
        <v>3119</v>
      </c>
      <c r="C211" s="380" t="s">
        <v>477</v>
      </c>
      <c r="D211" s="351" t="s">
        <v>203</v>
      </c>
      <c r="E211" s="352" t="s">
        <v>200</v>
      </c>
      <c r="F211" s="352" t="s">
        <v>654</v>
      </c>
      <c r="G211" s="353">
        <v>34929</v>
      </c>
      <c r="H211" s="352" t="s">
        <v>830</v>
      </c>
      <c r="I211" s="352" t="s">
        <v>997</v>
      </c>
      <c r="J211" s="352" t="s">
        <v>1074</v>
      </c>
      <c r="K211" s="352" t="s">
        <v>690</v>
      </c>
      <c r="L211" s="381">
        <v>337212432</v>
      </c>
      <c r="M211" s="376">
        <v>209999598</v>
      </c>
      <c r="N211" s="376">
        <v>127212835</v>
      </c>
      <c r="O211" s="376">
        <v>429618752</v>
      </c>
      <c r="P211" s="376">
        <v>13690371</v>
      </c>
      <c r="Q211" s="376">
        <v>5164140</v>
      </c>
      <c r="R211" s="376">
        <v>5720773</v>
      </c>
      <c r="S211" s="325">
        <v>0</v>
      </c>
      <c r="T211" s="246">
        <f t="shared" si="72"/>
        <v>100</v>
      </c>
      <c r="U211" s="77">
        <f t="shared" si="73"/>
        <v>2</v>
      </c>
      <c r="V211" s="377">
        <v>0</v>
      </c>
      <c r="W211" s="377">
        <v>0</v>
      </c>
      <c r="X211" s="377">
        <v>0</v>
      </c>
      <c r="Y211" s="377">
        <v>0</v>
      </c>
      <c r="Z211" s="377">
        <v>0</v>
      </c>
      <c r="AA211" s="377">
        <v>0</v>
      </c>
      <c r="AB211" s="377">
        <v>0</v>
      </c>
      <c r="AC211" s="247">
        <f t="shared" si="74"/>
        <v>0</v>
      </c>
      <c r="AD211" s="247">
        <f t="shared" si="75"/>
        <v>100</v>
      </c>
      <c r="AE211" s="82">
        <f t="shared" si="94"/>
        <v>5</v>
      </c>
      <c r="AF211" s="377">
        <v>0</v>
      </c>
      <c r="AG211" s="377">
        <v>0</v>
      </c>
      <c r="AH211" s="247">
        <f t="shared" si="90"/>
        <v>0</v>
      </c>
      <c r="AI211" s="247">
        <f t="shared" si="91"/>
        <v>100</v>
      </c>
      <c r="AJ211" s="82">
        <f t="shared" si="92"/>
        <v>3</v>
      </c>
      <c r="AK211" s="367" t="s">
        <v>2902</v>
      </c>
      <c r="AL211" s="367" t="s">
        <v>2902</v>
      </c>
      <c r="AM211" s="367" t="s">
        <v>2902</v>
      </c>
      <c r="AN211" s="367" t="s">
        <v>2902</v>
      </c>
      <c r="AO211" s="367" t="s">
        <v>2902</v>
      </c>
      <c r="AP211" s="296" t="s">
        <v>2326</v>
      </c>
      <c r="AQ211" s="296" t="s">
        <v>2326</v>
      </c>
      <c r="AR211" s="297"/>
      <c r="AS211" s="367" t="s">
        <v>2902</v>
      </c>
      <c r="AT211" s="367" t="s">
        <v>2902</v>
      </c>
      <c r="AU211" s="296" t="s">
        <v>2326</v>
      </c>
      <c r="AV211" s="297"/>
      <c r="AW211" s="325">
        <v>1</v>
      </c>
      <c r="AX211" s="247">
        <f t="shared" si="76"/>
        <v>100</v>
      </c>
      <c r="AY211" s="90">
        <f t="shared" si="77"/>
        <v>4</v>
      </c>
      <c r="AZ211" s="378">
        <v>0</v>
      </c>
      <c r="BA211" s="449" t="s">
        <v>3782</v>
      </c>
      <c r="BB211" s="247">
        <f t="shared" si="78"/>
        <v>100</v>
      </c>
      <c r="BC211" s="91">
        <f t="shared" si="79"/>
        <v>2</v>
      </c>
      <c r="BD211" s="325">
        <v>0</v>
      </c>
      <c r="BE211" s="325">
        <v>0</v>
      </c>
      <c r="BF211" s="325">
        <v>0</v>
      </c>
      <c r="BG211" s="252">
        <f t="shared" si="80"/>
        <v>0</v>
      </c>
      <c r="BH211" s="246">
        <f t="shared" si="81"/>
        <v>100</v>
      </c>
      <c r="BI211" s="90">
        <f t="shared" si="82"/>
        <v>1</v>
      </c>
      <c r="BJ211" s="325">
        <v>0</v>
      </c>
      <c r="BK211" s="247">
        <f t="shared" si="83"/>
        <v>100</v>
      </c>
      <c r="BL211" s="94">
        <f t="shared" si="84"/>
        <v>2</v>
      </c>
      <c r="BM211" s="325">
        <v>0</v>
      </c>
      <c r="BN211" s="325">
        <v>0</v>
      </c>
      <c r="BO211" s="325">
        <v>0</v>
      </c>
      <c r="BP211" s="211">
        <v>0</v>
      </c>
      <c r="BQ211" s="253">
        <f t="shared" si="86"/>
        <v>25</v>
      </c>
      <c r="BR211" s="99">
        <f t="shared" si="87"/>
        <v>0.25</v>
      </c>
      <c r="BS211" s="101">
        <f t="shared" si="88"/>
        <v>19.25</v>
      </c>
    </row>
    <row r="212" spans="1:71" x14ac:dyDescent="0.6">
      <c r="A212" s="373" t="s">
        <v>820</v>
      </c>
      <c r="B212" s="13" t="s">
        <v>3120</v>
      </c>
      <c r="C212" s="380" t="s">
        <v>419</v>
      </c>
      <c r="D212" s="351" t="s">
        <v>285</v>
      </c>
      <c r="E212" s="352" t="s">
        <v>796</v>
      </c>
      <c r="F212" s="352" t="s">
        <v>1015</v>
      </c>
      <c r="G212" s="353">
        <v>42202</v>
      </c>
      <c r="H212" s="352" t="s">
        <v>830</v>
      </c>
      <c r="I212" s="352" t="s">
        <v>784</v>
      </c>
      <c r="J212" s="352" t="s">
        <v>1104</v>
      </c>
      <c r="K212" s="352" t="s">
        <v>91</v>
      </c>
      <c r="L212" s="381">
        <v>1090534674</v>
      </c>
      <c r="M212" s="376">
        <v>385964079</v>
      </c>
      <c r="N212" s="376">
        <v>704570595</v>
      </c>
      <c r="O212" s="376">
        <v>487630665</v>
      </c>
      <c r="P212" s="376">
        <v>26670913</v>
      </c>
      <c r="Q212" s="376">
        <v>152059469</v>
      </c>
      <c r="R212" s="376">
        <v>126398998</v>
      </c>
      <c r="S212" s="325">
        <v>1</v>
      </c>
      <c r="T212" s="246">
        <f t="shared" si="72"/>
        <v>50</v>
      </c>
      <c r="U212" s="77">
        <f t="shared" si="73"/>
        <v>1</v>
      </c>
      <c r="V212" s="377">
        <v>0</v>
      </c>
      <c r="W212" s="377">
        <v>0</v>
      </c>
      <c r="X212" s="377">
        <v>0</v>
      </c>
      <c r="Y212" s="377">
        <v>0</v>
      </c>
      <c r="Z212" s="377">
        <v>0</v>
      </c>
      <c r="AA212" s="377">
        <v>0</v>
      </c>
      <c r="AB212" s="377">
        <v>0</v>
      </c>
      <c r="AC212" s="247">
        <f t="shared" si="74"/>
        <v>0</v>
      </c>
      <c r="AD212" s="247">
        <f t="shared" si="75"/>
        <v>100</v>
      </c>
      <c r="AE212" s="82">
        <f t="shared" si="94"/>
        <v>5</v>
      </c>
      <c r="AF212" s="377">
        <v>0</v>
      </c>
      <c r="AG212" s="377">
        <v>0</v>
      </c>
      <c r="AH212" s="247">
        <f t="shared" si="90"/>
        <v>0</v>
      </c>
      <c r="AI212" s="247">
        <f t="shared" si="91"/>
        <v>100</v>
      </c>
      <c r="AJ212" s="82">
        <f t="shared" si="92"/>
        <v>3</v>
      </c>
      <c r="AK212" s="367" t="s">
        <v>2902</v>
      </c>
      <c r="AL212" s="367" t="s">
        <v>2902</v>
      </c>
      <c r="AM212" s="367" t="s">
        <v>2902</v>
      </c>
      <c r="AN212" s="367" t="s">
        <v>2902</v>
      </c>
      <c r="AO212" s="367" t="s">
        <v>2902</v>
      </c>
      <c r="AP212" s="296" t="s">
        <v>2326</v>
      </c>
      <c r="AQ212" s="296" t="s">
        <v>2326</v>
      </c>
      <c r="AR212" s="297"/>
      <c r="AS212" s="367" t="s">
        <v>2902</v>
      </c>
      <c r="AT212" s="367" t="s">
        <v>2902</v>
      </c>
      <c r="AU212" s="296" t="s">
        <v>2326</v>
      </c>
      <c r="AV212" s="297"/>
      <c r="AW212" s="325">
        <v>0</v>
      </c>
      <c r="AX212" s="247">
        <f t="shared" si="76"/>
        <v>50</v>
      </c>
      <c r="AY212" s="90">
        <f t="shared" si="77"/>
        <v>2</v>
      </c>
      <c r="AZ212" s="378">
        <v>0</v>
      </c>
      <c r="BA212" s="449" t="s">
        <v>3782</v>
      </c>
      <c r="BB212" s="247">
        <f t="shared" si="78"/>
        <v>100</v>
      </c>
      <c r="BC212" s="91">
        <f t="shared" si="79"/>
        <v>2</v>
      </c>
      <c r="BD212" s="325">
        <v>0</v>
      </c>
      <c r="BE212" s="325">
        <v>0</v>
      </c>
      <c r="BF212" s="325">
        <v>0</v>
      </c>
      <c r="BG212" s="252">
        <f t="shared" si="80"/>
        <v>0</v>
      </c>
      <c r="BH212" s="246">
        <f t="shared" si="81"/>
        <v>100</v>
      </c>
      <c r="BI212" s="90">
        <f t="shared" si="82"/>
        <v>1</v>
      </c>
      <c r="BJ212" s="325">
        <v>0</v>
      </c>
      <c r="BK212" s="247">
        <f t="shared" si="83"/>
        <v>100</v>
      </c>
      <c r="BL212" s="94">
        <f t="shared" si="84"/>
        <v>2</v>
      </c>
      <c r="BM212" s="325">
        <v>0</v>
      </c>
      <c r="BN212" s="325">
        <v>0</v>
      </c>
      <c r="BO212" s="325">
        <v>1</v>
      </c>
      <c r="BP212" s="211">
        <f t="shared" si="85"/>
        <v>1</v>
      </c>
      <c r="BQ212" s="253">
        <f t="shared" si="86"/>
        <v>50</v>
      </c>
      <c r="BR212" s="99">
        <f t="shared" si="87"/>
        <v>0.5</v>
      </c>
      <c r="BS212" s="101">
        <f t="shared" si="88"/>
        <v>16.5</v>
      </c>
    </row>
    <row r="213" spans="1:71" x14ac:dyDescent="0.6">
      <c r="A213" s="373" t="s">
        <v>831</v>
      </c>
      <c r="B213" s="13" t="s">
        <v>3121</v>
      </c>
      <c r="C213" s="380" t="s">
        <v>421</v>
      </c>
      <c r="D213" s="351" t="s">
        <v>285</v>
      </c>
      <c r="E213" s="352" t="s">
        <v>504</v>
      </c>
      <c r="F213" s="352" t="s">
        <v>879</v>
      </c>
      <c r="G213" s="353">
        <v>40704</v>
      </c>
      <c r="H213" s="352" t="s">
        <v>830</v>
      </c>
      <c r="I213" s="352" t="s">
        <v>778</v>
      </c>
      <c r="J213" s="352" t="s">
        <v>113</v>
      </c>
      <c r="K213" s="352" t="s">
        <v>91</v>
      </c>
      <c r="L213" s="381">
        <v>20129787392</v>
      </c>
      <c r="M213" s="376">
        <v>9708728742</v>
      </c>
      <c r="N213" s="376">
        <v>10421058650</v>
      </c>
      <c r="O213" s="376">
        <v>15486823899</v>
      </c>
      <c r="P213" s="376">
        <v>258855639</v>
      </c>
      <c r="Q213" s="376">
        <v>1381769677</v>
      </c>
      <c r="R213" s="376">
        <v>1050709937</v>
      </c>
      <c r="S213" s="325">
        <v>1</v>
      </c>
      <c r="T213" s="246">
        <f t="shared" si="72"/>
        <v>50</v>
      </c>
      <c r="U213" s="77">
        <f t="shared" si="73"/>
        <v>1</v>
      </c>
      <c r="V213" s="377">
        <v>0</v>
      </c>
      <c r="W213" s="377">
        <v>0</v>
      </c>
      <c r="X213" s="377">
        <v>0</v>
      </c>
      <c r="Y213" s="377">
        <v>0</v>
      </c>
      <c r="Z213" s="377">
        <v>0</v>
      </c>
      <c r="AA213" s="377">
        <v>0</v>
      </c>
      <c r="AB213" s="377">
        <v>0</v>
      </c>
      <c r="AC213" s="247">
        <f t="shared" si="74"/>
        <v>0</v>
      </c>
      <c r="AD213" s="247">
        <f t="shared" si="75"/>
        <v>100</v>
      </c>
      <c r="AE213" s="82">
        <f t="shared" si="94"/>
        <v>5</v>
      </c>
      <c r="AF213" s="377">
        <v>0</v>
      </c>
      <c r="AG213" s="377">
        <v>0</v>
      </c>
      <c r="AH213" s="247">
        <f t="shared" si="90"/>
        <v>0</v>
      </c>
      <c r="AI213" s="247">
        <f t="shared" si="91"/>
        <v>100</v>
      </c>
      <c r="AJ213" s="82">
        <f t="shared" si="92"/>
        <v>3</v>
      </c>
      <c r="AK213" s="367" t="s">
        <v>2902</v>
      </c>
      <c r="AL213" s="367" t="s">
        <v>2902</v>
      </c>
      <c r="AM213" s="367" t="s">
        <v>2902</v>
      </c>
      <c r="AN213" s="367" t="s">
        <v>2902</v>
      </c>
      <c r="AO213" s="367" t="s">
        <v>2902</v>
      </c>
      <c r="AP213" s="296" t="s">
        <v>2326</v>
      </c>
      <c r="AQ213" s="296" t="s">
        <v>2326</v>
      </c>
      <c r="AR213" s="297"/>
      <c r="AS213" s="367" t="s">
        <v>2902</v>
      </c>
      <c r="AT213" s="367" t="s">
        <v>2902</v>
      </c>
      <c r="AU213" s="296" t="s">
        <v>2326</v>
      </c>
      <c r="AV213" s="297"/>
      <c r="AW213" s="325">
        <v>0</v>
      </c>
      <c r="AX213" s="247">
        <f t="shared" si="76"/>
        <v>50</v>
      </c>
      <c r="AY213" s="90">
        <f t="shared" si="77"/>
        <v>2</v>
      </c>
      <c r="AZ213" s="378">
        <v>0</v>
      </c>
      <c r="BA213" s="449" t="s">
        <v>3782</v>
      </c>
      <c r="BB213" s="247">
        <f t="shared" si="78"/>
        <v>100</v>
      </c>
      <c r="BC213" s="91">
        <f t="shared" si="79"/>
        <v>2</v>
      </c>
      <c r="BD213" s="325">
        <v>0</v>
      </c>
      <c r="BE213" s="325">
        <v>0</v>
      </c>
      <c r="BF213" s="325">
        <v>0</v>
      </c>
      <c r="BG213" s="252">
        <f t="shared" si="80"/>
        <v>0</v>
      </c>
      <c r="BH213" s="246">
        <f t="shared" si="81"/>
        <v>100</v>
      </c>
      <c r="BI213" s="90">
        <f t="shared" si="82"/>
        <v>1</v>
      </c>
      <c r="BJ213" s="325">
        <v>0</v>
      </c>
      <c r="BK213" s="247">
        <f t="shared" si="83"/>
        <v>100</v>
      </c>
      <c r="BL213" s="94">
        <f t="shared" si="84"/>
        <v>2</v>
      </c>
      <c r="BM213" s="325">
        <v>0</v>
      </c>
      <c r="BN213" s="325">
        <v>0</v>
      </c>
      <c r="BO213" s="325">
        <v>1</v>
      </c>
      <c r="BP213" s="211">
        <f t="shared" si="85"/>
        <v>1</v>
      </c>
      <c r="BQ213" s="253">
        <f t="shared" si="86"/>
        <v>50</v>
      </c>
      <c r="BR213" s="99">
        <f t="shared" si="87"/>
        <v>0.5</v>
      </c>
      <c r="BS213" s="101">
        <f t="shared" si="88"/>
        <v>16.5</v>
      </c>
    </row>
    <row r="214" spans="1:71" x14ac:dyDescent="0.6">
      <c r="A214" s="373" t="s">
        <v>1777</v>
      </c>
      <c r="B214" s="13" t="s">
        <v>3122</v>
      </c>
      <c r="C214" s="380" t="s">
        <v>1778</v>
      </c>
      <c r="D214" s="315" t="s">
        <v>202</v>
      </c>
      <c r="E214" s="352" t="s">
        <v>205</v>
      </c>
      <c r="F214" s="352" t="s">
        <v>1779</v>
      </c>
      <c r="G214" s="353">
        <v>37901</v>
      </c>
      <c r="H214" s="352" t="s">
        <v>830</v>
      </c>
      <c r="I214" s="352" t="s">
        <v>1780</v>
      </c>
      <c r="J214" s="352" t="s">
        <v>1781</v>
      </c>
      <c r="K214" s="352" t="s">
        <v>308</v>
      </c>
      <c r="L214" s="381">
        <v>462207021</v>
      </c>
      <c r="M214" s="376">
        <v>210809722</v>
      </c>
      <c r="N214" s="376">
        <v>251397299</v>
      </c>
      <c r="O214" s="376">
        <v>497212502</v>
      </c>
      <c r="P214" s="376">
        <v>96368755</v>
      </c>
      <c r="Q214" s="376">
        <v>91241096</v>
      </c>
      <c r="R214" s="376">
        <v>85549247</v>
      </c>
      <c r="S214" s="325">
        <v>0</v>
      </c>
      <c r="T214" s="246">
        <f t="shared" si="72"/>
        <v>100</v>
      </c>
      <c r="U214" s="77">
        <f t="shared" si="73"/>
        <v>2</v>
      </c>
      <c r="V214" s="377">
        <v>0</v>
      </c>
      <c r="W214" s="377">
        <v>0</v>
      </c>
      <c r="X214" s="377">
        <v>0</v>
      </c>
      <c r="Y214" s="377">
        <v>0</v>
      </c>
      <c r="Z214" s="377">
        <v>0</v>
      </c>
      <c r="AA214" s="377">
        <v>0</v>
      </c>
      <c r="AB214" s="377">
        <v>0</v>
      </c>
      <c r="AC214" s="247">
        <f t="shared" si="74"/>
        <v>0</v>
      </c>
      <c r="AD214" s="247">
        <f t="shared" si="75"/>
        <v>100</v>
      </c>
      <c r="AE214" s="82">
        <f t="shared" si="94"/>
        <v>5</v>
      </c>
      <c r="AF214" s="377">
        <v>0</v>
      </c>
      <c r="AG214" s="377">
        <v>0</v>
      </c>
      <c r="AH214" s="247">
        <f t="shared" si="90"/>
        <v>0</v>
      </c>
      <c r="AI214" s="247">
        <f t="shared" si="91"/>
        <v>100</v>
      </c>
      <c r="AJ214" s="82">
        <f t="shared" si="92"/>
        <v>3</v>
      </c>
      <c r="AK214" s="367" t="s">
        <v>2902</v>
      </c>
      <c r="AL214" s="367" t="s">
        <v>2902</v>
      </c>
      <c r="AM214" s="367" t="s">
        <v>2902</v>
      </c>
      <c r="AN214" s="367" t="s">
        <v>2902</v>
      </c>
      <c r="AO214" s="367" t="s">
        <v>2902</v>
      </c>
      <c r="AP214" s="296" t="s">
        <v>2326</v>
      </c>
      <c r="AQ214" s="296" t="s">
        <v>2326</v>
      </c>
      <c r="AR214" s="297"/>
      <c r="AS214" s="367" t="s">
        <v>2902</v>
      </c>
      <c r="AT214" s="367" t="s">
        <v>2902</v>
      </c>
      <c r="AU214" s="296" t="s">
        <v>2326</v>
      </c>
      <c r="AV214" s="297"/>
      <c r="AW214" s="325">
        <v>0</v>
      </c>
      <c r="AX214" s="247">
        <f t="shared" si="76"/>
        <v>50</v>
      </c>
      <c r="AY214" s="90">
        <f t="shared" si="77"/>
        <v>2</v>
      </c>
      <c r="AZ214" s="378">
        <v>0</v>
      </c>
      <c r="BA214" s="449" t="s">
        <v>3782</v>
      </c>
      <c r="BB214" s="247">
        <f t="shared" si="78"/>
        <v>100</v>
      </c>
      <c r="BC214" s="91">
        <f t="shared" si="79"/>
        <v>2</v>
      </c>
      <c r="BD214" s="325">
        <v>0</v>
      </c>
      <c r="BE214" s="325">
        <v>0</v>
      </c>
      <c r="BF214" s="325">
        <v>0</v>
      </c>
      <c r="BG214" s="252">
        <f t="shared" si="80"/>
        <v>0</v>
      </c>
      <c r="BH214" s="246">
        <f t="shared" si="81"/>
        <v>100</v>
      </c>
      <c r="BI214" s="90">
        <f t="shared" si="82"/>
        <v>1</v>
      </c>
      <c r="BJ214" s="325">
        <v>0</v>
      </c>
      <c r="BK214" s="247">
        <f t="shared" si="83"/>
        <v>100</v>
      </c>
      <c r="BL214" s="94">
        <f t="shared" si="84"/>
        <v>2</v>
      </c>
      <c r="BM214" s="325">
        <v>0</v>
      </c>
      <c r="BN214" s="325">
        <v>0</v>
      </c>
      <c r="BO214" s="325">
        <v>0</v>
      </c>
      <c r="BP214" s="211">
        <f t="shared" si="85"/>
        <v>0</v>
      </c>
      <c r="BQ214" s="253">
        <f t="shared" si="86"/>
        <v>25</v>
      </c>
      <c r="BR214" s="99">
        <f t="shared" si="87"/>
        <v>0.25</v>
      </c>
      <c r="BS214" s="101">
        <f t="shared" si="88"/>
        <v>17.25</v>
      </c>
    </row>
    <row r="215" spans="1:71" x14ac:dyDescent="0.6">
      <c r="A215" s="373" t="s">
        <v>488</v>
      </c>
      <c r="B215" s="1" t="s">
        <v>3123</v>
      </c>
      <c r="C215" s="380" t="s">
        <v>495</v>
      </c>
      <c r="D215" s="351" t="s">
        <v>191</v>
      </c>
      <c r="E215" s="352" t="s">
        <v>34</v>
      </c>
      <c r="F215" s="352" t="s">
        <v>234</v>
      </c>
      <c r="G215" s="353">
        <v>40339</v>
      </c>
      <c r="H215" s="352" t="s">
        <v>830</v>
      </c>
      <c r="I215" s="352" t="s">
        <v>959</v>
      </c>
      <c r="J215" s="352" t="s">
        <v>1070</v>
      </c>
      <c r="K215" s="352" t="s">
        <v>91</v>
      </c>
      <c r="L215" s="381">
        <v>479981348</v>
      </c>
      <c r="M215" s="376">
        <v>232687116</v>
      </c>
      <c r="N215" s="376">
        <v>247294232</v>
      </c>
      <c r="O215" s="376">
        <v>154038839</v>
      </c>
      <c r="P215" s="376">
        <v>5567015</v>
      </c>
      <c r="Q215" s="376">
        <v>5998079</v>
      </c>
      <c r="R215" s="376">
        <v>7325400</v>
      </c>
      <c r="S215" s="325">
        <v>0</v>
      </c>
      <c r="T215" s="246">
        <f t="shared" si="72"/>
        <v>100</v>
      </c>
      <c r="U215" s="77">
        <f t="shared" si="73"/>
        <v>2</v>
      </c>
      <c r="V215" s="377">
        <v>0</v>
      </c>
      <c r="W215" s="377">
        <v>0</v>
      </c>
      <c r="X215" s="377">
        <v>0</v>
      </c>
      <c r="Y215" s="377">
        <v>0</v>
      </c>
      <c r="Z215" s="377">
        <v>0</v>
      </c>
      <c r="AA215" s="377">
        <v>0</v>
      </c>
      <c r="AB215" s="377">
        <v>0</v>
      </c>
      <c r="AC215" s="247">
        <f t="shared" si="74"/>
        <v>0</v>
      </c>
      <c r="AD215" s="247">
        <f t="shared" si="75"/>
        <v>100</v>
      </c>
      <c r="AE215" s="82">
        <f t="shared" si="94"/>
        <v>5</v>
      </c>
      <c r="AF215" s="377">
        <v>0</v>
      </c>
      <c r="AG215" s="377">
        <v>0</v>
      </c>
      <c r="AH215" s="247">
        <f t="shared" si="90"/>
        <v>0</v>
      </c>
      <c r="AI215" s="247">
        <f t="shared" si="91"/>
        <v>100</v>
      </c>
      <c r="AJ215" s="82">
        <f t="shared" si="92"/>
        <v>3</v>
      </c>
      <c r="AK215" s="367" t="s">
        <v>2902</v>
      </c>
      <c r="AL215" s="367" t="s">
        <v>2902</v>
      </c>
      <c r="AM215" s="367" t="s">
        <v>2902</v>
      </c>
      <c r="AN215" s="367" t="s">
        <v>2902</v>
      </c>
      <c r="AO215" s="367" t="s">
        <v>2902</v>
      </c>
      <c r="AP215" s="296" t="s">
        <v>2326</v>
      </c>
      <c r="AQ215" s="296" t="s">
        <v>2326</v>
      </c>
      <c r="AR215" s="297"/>
      <c r="AS215" s="367" t="s">
        <v>2902</v>
      </c>
      <c r="AT215" s="367" t="s">
        <v>2902</v>
      </c>
      <c r="AU215" s="296" t="s">
        <v>2326</v>
      </c>
      <c r="AV215" s="297"/>
      <c r="AW215" s="325">
        <v>0</v>
      </c>
      <c r="AX215" s="247">
        <f t="shared" si="76"/>
        <v>50</v>
      </c>
      <c r="AY215" s="90">
        <f t="shared" si="77"/>
        <v>2</v>
      </c>
      <c r="AZ215" s="378">
        <v>0</v>
      </c>
      <c r="BA215" s="449" t="s">
        <v>3782</v>
      </c>
      <c r="BB215" s="247">
        <f t="shared" si="78"/>
        <v>100</v>
      </c>
      <c r="BC215" s="91">
        <f t="shared" si="79"/>
        <v>2</v>
      </c>
      <c r="BD215" s="325">
        <v>0</v>
      </c>
      <c r="BE215" s="325">
        <v>0</v>
      </c>
      <c r="BF215" s="325">
        <v>0</v>
      </c>
      <c r="BG215" s="252">
        <f t="shared" si="80"/>
        <v>0</v>
      </c>
      <c r="BH215" s="246">
        <f t="shared" si="81"/>
        <v>100</v>
      </c>
      <c r="BI215" s="90">
        <f t="shared" si="82"/>
        <v>1</v>
      </c>
      <c r="BJ215" s="325">
        <v>1</v>
      </c>
      <c r="BK215" s="247">
        <f t="shared" si="83"/>
        <v>50</v>
      </c>
      <c r="BL215" s="94">
        <f t="shared" si="84"/>
        <v>1</v>
      </c>
      <c r="BM215" s="325">
        <v>0</v>
      </c>
      <c r="BN215" s="325">
        <v>0</v>
      </c>
      <c r="BO215" s="325">
        <v>1</v>
      </c>
      <c r="BP215" s="211">
        <f t="shared" si="85"/>
        <v>1</v>
      </c>
      <c r="BQ215" s="253">
        <f t="shared" si="86"/>
        <v>50</v>
      </c>
      <c r="BR215" s="99">
        <f t="shared" si="87"/>
        <v>0.5</v>
      </c>
      <c r="BS215" s="101">
        <f t="shared" si="88"/>
        <v>16.5</v>
      </c>
    </row>
    <row r="216" spans="1:71" x14ac:dyDescent="0.6">
      <c r="A216" s="373" t="s">
        <v>854</v>
      </c>
      <c r="B216" s="1" t="s">
        <v>3124</v>
      </c>
      <c r="C216" s="380" t="s">
        <v>324</v>
      </c>
      <c r="D216" s="351" t="s">
        <v>285</v>
      </c>
      <c r="E216" s="352" t="s">
        <v>978</v>
      </c>
      <c r="F216" s="352" t="s">
        <v>628</v>
      </c>
      <c r="G216" s="353">
        <v>39028</v>
      </c>
      <c r="H216" s="352" t="s">
        <v>830</v>
      </c>
      <c r="I216" s="352" t="s">
        <v>1782</v>
      </c>
      <c r="J216" s="352" t="s">
        <v>1073</v>
      </c>
      <c r="K216" s="352" t="s">
        <v>346</v>
      </c>
      <c r="L216" s="381">
        <v>425143163</v>
      </c>
      <c r="M216" s="376">
        <v>223549583</v>
      </c>
      <c r="N216" s="376">
        <v>201593580</v>
      </c>
      <c r="O216" s="376">
        <v>728356330</v>
      </c>
      <c r="P216" s="376">
        <v>8460657</v>
      </c>
      <c r="Q216" s="376">
        <v>15047784</v>
      </c>
      <c r="R216" s="376">
        <v>11942346</v>
      </c>
      <c r="S216" s="325">
        <v>0</v>
      </c>
      <c r="T216" s="246">
        <f t="shared" si="72"/>
        <v>100</v>
      </c>
      <c r="U216" s="77">
        <f t="shared" si="73"/>
        <v>2</v>
      </c>
      <c r="V216" s="377">
        <v>0</v>
      </c>
      <c r="W216" s="377">
        <v>0</v>
      </c>
      <c r="X216" s="377">
        <v>0</v>
      </c>
      <c r="Y216" s="377">
        <v>0</v>
      </c>
      <c r="Z216" s="377">
        <v>0</v>
      </c>
      <c r="AA216" s="377">
        <v>0</v>
      </c>
      <c r="AB216" s="377">
        <v>0</v>
      </c>
      <c r="AC216" s="247">
        <f t="shared" si="74"/>
        <v>0</v>
      </c>
      <c r="AD216" s="247">
        <f t="shared" si="75"/>
        <v>100</v>
      </c>
      <c r="AE216" s="82">
        <f t="shared" si="94"/>
        <v>5</v>
      </c>
      <c r="AF216" s="377">
        <v>0</v>
      </c>
      <c r="AG216" s="377">
        <v>0</v>
      </c>
      <c r="AH216" s="247">
        <f t="shared" si="90"/>
        <v>0</v>
      </c>
      <c r="AI216" s="247">
        <f t="shared" si="91"/>
        <v>100</v>
      </c>
      <c r="AJ216" s="82">
        <f t="shared" si="92"/>
        <v>3</v>
      </c>
      <c r="AK216" s="367" t="s">
        <v>2902</v>
      </c>
      <c r="AL216" s="367" t="s">
        <v>2902</v>
      </c>
      <c r="AM216" s="367" t="s">
        <v>2902</v>
      </c>
      <c r="AN216" s="367" t="s">
        <v>2902</v>
      </c>
      <c r="AO216" s="367" t="s">
        <v>2902</v>
      </c>
      <c r="AP216" s="296" t="s">
        <v>2326</v>
      </c>
      <c r="AQ216" s="296" t="s">
        <v>2326</v>
      </c>
      <c r="AR216" s="297"/>
      <c r="AS216" s="367" t="s">
        <v>2902</v>
      </c>
      <c r="AT216" s="367" t="s">
        <v>2902</v>
      </c>
      <c r="AU216" s="296" t="s">
        <v>2326</v>
      </c>
      <c r="AV216" s="297"/>
      <c r="AW216" s="325">
        <v>1</v>
      </c>
      <c r="AX216" s="247">
        <f t="shared" si="76"/>
        <v>100</v>
      </c>
      <c r="AY216" s="90">
        <f t="shared" si="77"/>
        <v>4</v>
      </c>
      <c r="AZ216" s="378">
        <v>0</v>
      </c>
      <c r="BA216" s="449" t="s">
        <v>3782</v>
      </c>
      <c r="BB216" s="247">
        <f t="shared" si="78"/>
        <v>100</v>
      </c>
      <c r="BC216" s="91">
        <f t="shared" si="79"/>
        <v>2</v>
      </c>
      <c r="BD216" s="325">
        <v>0</v>
      </c>
      <c r="BE216" s="325">
        <v>0</v>
      </c>
      <c r="BF216" s="325">
        <v>0</v>
      </c>
      <c r="BG216" s="252">
        <f t="shared" si="80"/>
        <v>0</v>
      </c>
      <c r="BH216" s="246">
        <f t="shared" si="81"/>
        <v>100</v>
      </c>
      <c r="BI216" s="90">
        <f t="shared" si="82"/>
        <v>1</v>
      </c>
      <c r="BJ216" s="325">
        <v>0</v>
      </c>
      <c r="BK216" s="247">
        <f t="shared" si="83"/>
        <v>100</v>
      </c>
      <c r="BL216" s="94">
        <f t="shared" si="84"/>
        <v>2</v>
      </c>
      <c r="BM216" s="325">
        <v>0</v>
      </c>
      <c r="BN216" s="325">
        <v>0</v>
      </c>
      <c r="BO216" s="325">
        <v>0</v>
      </c>
      <c r="BP216" s="211">
        <f t="shared" si="85"/>
        <v>0</v>
      </c>
      <c r="BQ216" s="253">
        <f t="shared" si="86"/>
        <v>25</v>
      </c>
      <c r="BR216" s="99">
        <f t="shared" si="87"/>
        <v>0.25</v>
      </c>
      <c r="BS216" s="101">
        <f t="shared" si="88"/>
        <v>19.25</v>
      </c>
    </row>
    <row r="217" spans="1:71" x14ac:dyDescent="0.6">
      <c r="A217" s="373" t="s">
        <v>1783</v>
      </c>
      <c r="B217" s="1" t="s">
        <v>3125</v>
      </c>
      <c r="C217" s="380" t="s">
        <v>1784</v>
      </c>
      <c r="D217" s="315" t="s">
        <v>285</v>
      </c>
      <c r="E217" s="352" t="s">
        <v>1432</v>
      </c>
      <c r="F217" s="352" t="s">
        <v>1785</v>
      </c>
      <c r="G217" s="353">
        <v>40893</v>
      </c>
      <c r="H217" s="352" t="s">
        <v>830</v>
      </c>
      <c r="I217" s="352" t="s">
        <v>1786</v>
      </c>
      <c r="J217" s="352" t="s">
        <v>1787</v>
      </c>
      <c r="K217" s="352" t="s">
        <v>484</v>
      </c>
      <c r="L217" s="381">
        <v>385856608</v>
      </c>
      <c r="M217" s="376">
        <v>158877086</v>
      </c>
      <c r="N217" s="376">
        <v>226979522</v>
      </c>
      <c r="O217" s="376">
        <v>667448084</v>
      </c>
      <c r="P217" s="376">
        <v>26380166</v>
      </c>
      <c r="Q217" s="376">
        <v>27563574</v>
      </c>
      <c r="R217" s="376">
        <v>25353259</v>
      </c>
      <c r="S217" s="325">
        <v>1</v>
      </c>
      <c r="T217" s="246">
        <f t="shared" si="72"/>
        <v>50</v>
      </c>
      <c r="U217" s="77">
        <f t="shared" si="73"/>
        <v>1</v>
      </c>
      <c r="V217" s="377">
        <v>0</v>
      </c>
      <c r="W217" s="377">
        <v>0</v>
      </c>
      <c r="X217" s="377">
        <v>0</v>
      </c>
      <c r="Y217" s="377">
        <v>0</v>
      </c>
      <c r="Z217" s="377">
        <v>0</v>
      </c>
      <c r="AA217" s="377">
        <v>0</v>
      </c>
      <c r="AB217" s="377">
        <v>0</v>
      </c>
      <c r="AC217" s="247">
        <f t="shared" si="74"/>
        <v>0</v>
      </c>
      <c r="AD217" s="247">
        <f t="shared" si="75"/>
        <v>100</v>
      </c>
      <c r="AE217" s="82">
        <f t="shared" si="94"/>
        <v>5</v>
      </c>
      <c r="AF217" s="377">
        <v>0</v>
      </c>
      <c r="AG217" s="377">
        <v>0</v>
      </c>
      <c r="AH217" s="247">
        <f t="shared" si="90"/>
        <v>0</v>
      </c>
      <c r="AI217" s="247">
        <f t="shared" si="91"/>
        <v>100</v>
      </c>
      <c r="AJ217" s="82">
        <f t="shared" si="92"/>
        <v>3</v>
      </c>
      <c r="AK217" s="367" t="s">
        <v>2902</v>
      </c>
      <c r="AL217" s="367" t="s">
        <v>2902</v>
      </c>
      <c r="AM217" s="367" t="s">
        <v>2902</v>
      </c>
      <c r="AN217" s="367" t="s">
        <v>2902</v>
      </c>
      <c r="AO217" s="367" t="s">
        <v>2902</v>
      </c>
      <c r="AP217" s="296" t="s">
        <v>2326</v>
      </c>
      <c r="AQ217" s="296" t="s">
        <v>2326</v>
      </c>
      <c r="AR217" s="297"/>
      <c r="AS217" s="367" t="s">
        <v>2902</v>
      </c>
      <c r="AT217" s="367" t="s">
        <v>2902</v>
      </c>
      <c r="AU217" s="296" t="s">
        <v>2326</v>
      </c>
      <c r="AV217" s="297"/>
      <c r="AW217" s="325">
        <v>0</v>
      </c>
      <c r="AX217" s="247">
        <f t="shared" si="76"/>
        <v>50</v>
      </c>
      <c r="AY217" s="90">
        <f t="shared" si="77"/>
        <v>2</v>
      </c>
      <c r="AZ217" s="378">
        <v>0</v>
      </c>
      <c r="BA217" s="449" t="s">
        <v>3782</v>
      </c>
      <c r="BB217" s="247">
        <f t="shared" si="78"/>
        <v>100</v>
      </c>
      <c r="BC217" s="91">
        <f t="shared" si="79"/>
        <v>2</v>
      </c>
      <c r="BD217" s="325">
        <v>0</v>
      </c>
      <c r="BE217" s="325">
        <v>0</v>
      </c>
      <c r="BF217" s="325">
        <v>0</v>
      </c>
      <c r="BG217" s="252">
        <f t="shared" si="80"/>
        <v>0</v>
      </c>
      <c r="BH217" s="246">
        <f t="shared" si="81"/>
        <v>100</v>
      </c>
      <c r="BI217" s="90">
        <f t="shared" si="82"/>
        <v>1</v>
      </c>
      <c r="BJ217" s="325">
        <v>0</v>
      </c>
      <c r="BK217" s="247">
        <f t="shared" si="83"/>
        <v>100</v>
      </c>
      <c r="BL217" s="94">
        <f t="shared" si="84"/>
        <v>2</v>
      </c>
      <c r="BM217" s="325">
        <v>0</v>
      </c>
      <c r="BN217" s="325">
        <v>0</v>
      </c>
      <c r="BO217" s="325">
        <v>0</v>
      </c>
      <c r="BP217" s="211">
        <f t="shared" si="85"/>
        <v>0</v>
      </c>
      <c r="BQ217" s="253">
        <f t="shared" si="86"/>
        <v>25</v>
      </c>
      <c r="BR217" s="99">
        <f t="shared" si="87"/>
        <v>0.25</v>
      </c>
      <c r="BS217" s="101">
        <f t="shared" si="88"/>
        <v>16.25</v>
      </c>
    </row>
    <row r="218" spans="1:71" x14ac:dyDescent="0.6">
      <c r="A218" s="373" t="s">
        <v>1788</v>
      </c>
      <c r="B218" s="13" t="s">
        <v>3126</v>
      </c>
      <c r="C218" s="380" t="s">
        <v>1789</v>
      </c>
      <c r="D218" s="315" t="s">
        <v>202</v>
      </c>
      <c r="E218" s="352" t="s">
        <v>954</v>
      </c>
      <c r="F218" s="352" t="s">
        <v>1790</v>
      </c>
      <c r="G218" s="353">
        <v>38251</v>
      </c>
      <c r="H218" s="352" t="s">
        <v>830</v>
      </c>
      <c r="I218" s="352" t="s">
        <v>1791</v>
      </c>
      <c r="J218" s="352" t="s">
        <v>1792</v>
      </c>
      <c r="K218" s="352" t="s">
        <v>91</v>
      </c>
      <c r="L218" s="381">
        <v>233019596</v>
      </c>
      <c r="M218" s="376">
        <v>132560660</v>
      </c>
      <c r="N218" s="376">
        <v>100458936</v>
      </c>
      <c r="O218" s="376">
        <v>236142858</v>
      </c>
      <c r="P218" s="376">
        <v>7431623</v>
      </c>
      <c r="Q218" s="376">
        <v>7265559</v>
      </c>
      <c r="R218" s="376">
        <v>6211434</v>
      </c>
      <c r="S218" s="325">
        <v>0</v>
      </c>
      <c r="T218" s="246">
        <f t="shared" si="72"/>
        <v>100</v>
      </c>
      <c r="U218" s="77">
        <f t="shared" si="73"/>
        <v>2</v>
      </c>
      <c r="V218" s="377">
        <v>0</v>
      </c>
      <c r="W218" s="377">
        <v>0</v>
      </c>
      <c r="X218" s="377">
        <v>0</v>
      </c>
      <c r="Y218" s="377">
        <v>0</v>
      </c>
      <c r="Z218" s="377">
        <v>0</v>
      </c>
      <c r="AA218" s="377">
        <v>0</v>
      </c>
      <c r="AB218" s="377">
        <v>0</v>
      </c>
      <c r="AC218" s="247">
        <f t="shared" si="74"/>
        <v>0</v>
      </c>
      <c r="AD218" s="247">
        <f t="shared" si="75"/>
        <v>100</v>
      </c>
      <c r="AE218" s="82">
        <f t="shared" si="94"/>
        <v>5</v>
      </c>
      <c r="AF218" s="377">
        <v>0</v>
      </c>
      <c r="AG218" s="377">
        <v>0</v>
      </c>
      <c r="AH218" s="247">
        <f t="shared" si="90"/>
        <v>0</v>
      </c>
      <c r="AI218" s="247">
        <f t="shared" si="91"/>
        <v>100</v>
      </c>
      <c r="AJ218" s="82">
        <f t="shared" si="92"/>
        <v>3</v>
      </c>
      <c r="AK218" s="367" t="s">
        <v>2902</v>
      </c>
      <c r="AL218" s="367" t="s">
        <v>2902</v>
      </c>
      <c r="AM218" s="367" t="s">
        <v>2902</v>
      </c>
      <c r="AN218" s="367" t="s">
        <v>2902</v>
      </c>
      <c r="AO218" s="367" t="s">
        <v>2902</v>
      </c>
      <c r="AP218" s="296" t="s">
        <v>2326</v>
      </c>
      <c r="AQ218" s="296" t="s">
        <v>2326</v>
      </c>
      <c r="AR218" s="297"/>
      <c r="AS218" s="367" t="s">
        <v>2902</v>
      </c>
      <c r="AT218" s="367" t="s">
        <v>2902</v>
      </c>
      <c r="AU218" s="296" t="s">
        <v>2326</v>
      </c>
      <c r="AV218" s="297"/>
      <c r="AW218" s="325">
        <v>1</v>
      </c>
      <c r="AX218" s="247">
        <f t="shared" si="76"/>
        <v>100</v>
      </c>
      <c r="AY218" s="90">
        <f t="shared" si="77"/>
        <v>4</v>
      </c>
      <c r="AZ218" s="378">
        <v>0</v>
      </c>
      <c r="BA218" s="449" t="s">
        <v>3782</v>
      </c>
      <c r="BB218" s="247">
        <f t="shared" si="78"/>
        <v>100</v>
      </c>
      <c r="BC218" s="91">
        <f t="shared" si="79"/>
        <v>2</v>
      </c>
      <c r="BD218" s="325">
        <v>0</v>
      </c>
      <c r="BE218" s="325">
        <v>0</v>
      </c>
      <c r="BF218" s="325">
        <v>0</v>
      </c>
      <c r="BG218" s="252">
        <f t="shared" si="80"/>
        <v>0</v>
      </c>
      <c r="BH218" s="246">
        <f t="shared" si="81"/>
        <v>100</v>
      </c>
      <c r="BI218" s="90">
        <f t="shared" si="82"/>
        <v>1</v>
      </c>
      <c r="BJ218" s="325">
        <v>0</v>
      </c>
      <c r="BK218" s="247">
        <f t="shared" si="83"/>
        <v>100</v>
      </c>
      <c r="BL218" s="94">
        <f t="shared" si="84"/>
        <v>2</v>
      </c>
      <c r="BM218" s="325">
        <v>0</v>
      </c>
      <c r="BN218" s="325">
        <v>0</v>
      </c>
      <c r="BO218" s="325">
        <v>0</v>
      </c>
      <c r="BP218" s="211">
        <f t="shared" si="85"/>
        <v>0</v>
      </c>
      <c r="BQ218" s="253">
        <f t="shared" si="86"/>
        <v>25</v>
      </c>
      <c r="BR218" s="99">
        <f t="shared" si="87"/>
        <v>0.25</v>
      </c>
      <c r="BS218" s="101">
        <f t="shared" si="88"/>
        <v>19.25</v>
      </c>
    </row>
    <row r="219" spans="1:71" x14ac:dyDescent="0.6">
      <c r="A219" s="373" t="s">
        <v>412</v>
      </c>
      <c r="B219" s="13" t="s">
        <v>3127</v>
      </c>
      <c r="C219" s="380" t="s">
        <v>310</v>
      </c>
      <c r="D219" s="351" t="s">
        <v>285</v>
      </c>
      <c r="E219" s="352" t="s">
        <v>867</v>
      </c>
      <c r="F219" s="352" t="s">
        <v>573</v>
      </c>
      <c r="G219" s="353">
        <v>32844</v>
      </c>
      <c r="H219" s="352" t="s">
        <v>830</v>
      </c>
      <c r="I219" s="352" t="s">
        <v>785</v>
      </c>
      <c r="J219" s="352" t="s">
        <v>656</v>
      </c>
      <c r="K219" s="352" t="s">
        <v>346</v>
      </c>
      <c r="L219" s="381">
        <v>409776787</v>
      </c>
      <c r="M219" s="376">
        <v>290957356</v>
      </c>
      <c r="N219" s="376">
        <v>118819431</v>
      </c>
      <c r="O219" s="376">
        <v>462562008</v>
      </c>
      <c r="P219" s="376">
        <v>3161189</v>
      </c>
      <c r="Q219" s="376">
        <v>2974624</v>
      </c>
      <c r="R219" s="376">
        <v>6061078</v>
      </c>
      <c r="S219" s="325">
        <v>0</v>
      </c>
      <c r="T219" s="246">
        <f t="shared" si="72"/>
        <v>100</v>
      </c>
      <c r="U219" s="77">
        <f t="shared" si="73"/>
        <v>2</v>
      </c>
      <c r="V219" s="377">
        <v>0</v>
      </c>
      <c r="W219" s="377">
        <v>0</v>
      </c>
      <c r="X219" s="377">
        <v>0</v>
      </c>
      <c r="Y219" s="377">
        <v>0</v>
      </c>
      <c r="Z219" s="377">
        <v>0</v>
      </c>
      <c r="AA219" s="377">
        <v>0</v>
      </c>
      <c r="AB219" s="377">
        <v>0</v>
      </c>
      <c r="AC219" s="247">
        <f t="shared" si="74"/>
        <v>0</v>
      </c>
      <c r="AD219" s="247">
        <f t="shared" si="75"/>
        <v>100</v>
      </c>
      <c r="AE219" s="82">
        <f t="shared" si="94"/>
        <v>5</v>
      </c>
      <c r="AF219" s="377">
        <v>0</v>
      </c>
      <c r="AG219" s="377">
        <v>0</v>
      </c>
      <c r="AH219" s="247">
        <f t="shared" si="90"/>
        <v>0</v>
      </c>
      <c r="AI219" s="247">
        <f t="shared" si="91"/>
        <v>100</v>
      </c>
      <c r="AJ219" s="82">
        <f t="shared" si="92"/>
        <v>3</v>
      </c>
      <c r="AK219" s="367" t="s">
        <v>2902</v>
      </c>
      <c r="AL219" s="367" t="s">
        <v>2902</v>
      </c>
      <c r="AM219" s="367" t="s">
        <v>2902</v>
      </c>
      <c r="AN219" s="367" t="s">
        <v>2902</v>
      </c>
      <c r="AO219" s="367" t="s">
        <v>2902</v>
      </c>
      <c r="AP219" s="296" t="s">
        <v>2326</v>
      </c>
      <c r="AQ219" s="296" t="s">
        <v>2326</v>
      </c>
      <c r="AR219" s="297"/>
      <c r="AS219" s="367" t="s">
        <v>2902</v>
      </c>
      <c r="AT219" s="367" t="s">
        <v>2902</v>
      </c>
      <c r="AU219" s="296" t="s">
        <v>2326</v>
      </c>
      <c r="AV219" s="297"/>
      <c r="AW219" s="325">
        <v>1</v>
      </c>
      <c r="AX219" s="247">
        <f t="shared" si="76"/>
        <v>100</v>
      </c>
      <c r="AY219" s="90">
        <f t="shared" si="77"/>
        <v>4</v>
      </c>
      <c r="AZ219" s="378">
        <v>1</v>
      </c>
      <c r="BA219" s="382" t="s">
        <v>3128</v>
      </c>
      <c r="BB219" s="247">
        <f t="shared" si="78"/>
        <v>66.666666666666671</v>
      </c>
      <c r="BC219" s="91">
        <f t="shared" si="79"/>
        <v>1.3333333333333335</v>
      </c>
      <c r="BD219" s="325">
        <v>0</v>
      </c>
      <c r="BE219" s="325">
        <v>0</v>
      </c>
      <c r="BF219" s="325">
        <v>0</v>
      </c>
      <c r="BG219" s="252">
        <f t="shared" si="80"/>
        <v>0</v>
      </c>
      <c r="BH219" s="246">
        <f t="shared" si="81"/>
        <v>100</v>
      </c>
      <c r="BI219" s="90">
        <f t="shared" si="82"/>
        <v>1</v>
      </c>
      <c r="BJ219" s="325">
        <v>0</v>
      </c>
      <c r="BK219" s="247">
        <f t="shared" si="83"/>
        <v>100</v>
      </c>
      <c r="BL219" s="94">
        <f t="shared" si="84"/>
        <v>2</v>
      </c>
      <c r="BM219" s="325">
        <v>0</v>
      </c>
      <c r="BN219" s="325">
        <v>0</v>
      </c>
      <c r="BO219" s="325">
        <v>1</v>
      </c>
      <c r="BP219" s="211">
        <f t="shared" si="85"/>
        <v>1</v>
      </c>
      <c r="BQ219" s="253">
        <f t="shared" si="86"/>
        <v>50</v>
      </c>
      <c r="BR219" s="99">
        <f t="shared" si="87"/>
        <v>0.5</v>
      </c>
      <c r="BS219" s="101">
        <f t="shared" si="88"/>
        <v>18.833333333333336</v>
      </c>
    </row>
    <row r="220" spans="1:71" x14ac:dyDescent="0.6">
      <c r="A220" s="373" t="s">
        <v>1793</v>
      </c>
      <c r="B220" s="13" t="s">
        <v>3129</v>
      </c>
      <c r="C220" s="380" t="s">
        <v>1794</v>
      </c>
      <c r="D220" s="315" t="s">
        <v>203</v>
      </c>
      <c r="E220" s="352" t="s">
        <v>1795</v>
      </c>
      <c r="F220" s="352" t="s">
        <v>1796</v>
      </c>
      <c r="G220" s="353">
        <v>31475</v>
      </c>
      <c r="H220" s="352" t="s">
        <v>830</v>
      </c>
      <c r="I220" s="352" t="s">
        <v>1797</v>
      </c>
      <c r="J220" s="352" t="s">
        <v>1798</v>
      </c>
      <c r="K220" s="352" t="s">
        <v>91</v>
      </c>
      <c r="L220" s="381">
        <v>116167864</v>
      </c>
      <c r="M220" s="376">
        <v>60940447</v>
      </c>
      <c r="N220" s="376">
        <v>55227417</v>
      </c>
      <c r="O220" s="376">
        <v>137670991</v>
      </c>
      <c r="P220" s="376">
        <v>3899804</v>
      </c>
      <c r="Q220" s="376">
        <v>2802032</v>
      </c>
      <c r="R220" s="376">
        <v>2347584</v>
      </c>
      <c r="S220" s="325">
        <v>0</v>
      </c>
      <c r="T220" s="246">
        <f t="shared" si="72"/>
        <v>100</v>
      </c>
      <c r="U220" s="77">
        <f t="shared" si="73"/>
        <v>2</v>
      </c>
      <c r="V220" s="377">
        <v>0</v>
      </c>
      <c r="W220" s="377">
        <v>0</v>
      </c>
      <c r="X220" s="377">
        <v>0</v>
      </c>
      <c r="Y220" s="377">
        <v>0</v>
      </c>
      <c r="Z220" s="377">
        <v>0</v>
      </c>
      <c r="AA220" s="377">
        <v>0</v>
      </c>
      <c r="AB220" s="377">
        <v>0</v>
      </c>
      <c r="AC220" s="247">
        <f t="shared" si="74"/>
        <v>0</v>
      </c>
      <c r="AD220" s="247">
        <f t="shared" si="75"/>
        <v>100</v>
      </c>
      <c r="AE220" s="82">
        <f t="shared" si="94"/>
        <v>5</v>
      </c>
      <c r="AF220" s="377">
        <v>0</v>
      </c>
      <c r="AG220" s="377">
        <v>0</v>
      </c>
      <c r="AH220" s="247">
        <f t="shared" si="90"/>
        <v>0</v>
      </c>
      <c r="AI220" s="247">
        <f t="shared" si="91"/>
        <v>100</v>
      </c>
      <c r="AJ220" s="82">
        <f t="shared" si="92"/>
        <v>3</v>
      </c>
      <c r="AK220" s="367" t="s">
        <v>2902</v>
      </c>
      <c r="AL220" s="367" t="s">
        <v>2902</v>
      </c>
      <c r="AM220" s="367" t="s">
        <v>2902</v>
      </c>
      <c r="AN220" s="367" t="s">
        <v>2902</v>
      </c>
      <c r="AO220" s="367" t="s">
        <v>2902</v>
      </c>
      <c r="AP220" s="296" t="s">
        <v>2326</v>
      </c>
      <c r="AQ220" s="296" t="s">
        <v>2326</v>
      </c>
      <c r="AR220" s="297"/>
      <c r="AS220" s="367" t="s">
        <v>2902</v>
      </c>
      <c r="AT220" s="367" t="s">
        <v>2902</v>
      </c>
      <c r="AU220" s="296" t="s">
        <v>2326</v>
      </c>
      <c r="AV220" s="297"/>
      <c r="AW220" s="325">
        <v>1</v>
      </c>
      <c r="AX220" s="247">
        <f t="shared" si="76"/>
        <v>100</v>
      </c>
      <c r="AY220" s="90">
        <f t="shared" si="77"/>
        <v>4</v>
      </c>
      <c r="AZ220" s="378">
        <v>0</v>
      </c>
      <c r="BA220" s="449" t="s">
        <v>3782</v>
      </c>
      <c r="BB220" s="247">
        <f t="shared" si="78"/>
        <v>100</v>
      </c>
      <c r="BC220" s="91">
        <f t="shared" si="79"/>
        <v>2</v>
      </c>
      <c r="BD220" s="325">
        <v>0</v>
      </c>
      <c r="BE220" s="325">
        <v>0</v>
      </c>
      <c r="BF220" s="325">
        <v>0</v>
      </c>
      <c r="BG220" s="252">
        <f t="shared" si="80"/>
        <v>0</v>
      </c>
      <c r="BH220" s="246">
        <f t="shared" si="81"/>
        <v>100</v>
      </c>
      <c r="BI220" s="90">
        <f t="shared" si="82"/>
        <v>1</v>
      </c>
      <c r="BJ220" s="325">
        <v>0</v>
      </c>
      <c r="BK220" s="247">
        <f t="shared" si="83"/>
        <v>100</v>
      </c>
      <c r="BL220" s="94">
        <f t="shared" si="84"/>
        <v>2</v>
      </c>
      <c r="BM220" s="325">
        <v>1</v>
      </c>
      <c r="BN220" s="325">
        <v>0</v>
      </c>
      <c r="BO220" s="325">
        <v>1</v>
      </c>
      <c r="BP220" s="211">
        <f t="shared" si="85"/>
        <v>2</v>
      </c>
      <c r="BQ220" s="253">
        <f t="shared" si="86"/>
        <v>75</v>
      </c>
      <c r="BR220" s="99">
        <f t="shared" si="87"/>
        <v>0.75</v>
      </c>
      <c r="BS220" s="101">
        <f t="shared" si="88"/>
        <v>19.75</v>
      </c>
    </row>
    <row r="221" spans="1:71" x14ac:dyDescent="0.6">
      <c r="A221" s="373" t="s">
        <v>508</v>
      </c>
      <c r="B221" s="1" t="s">
        <v>3130</v>
      </c>
      <c r="C221" s="380" t="s">
        <v>460</v>
      </c>
      <c r="D221" s="351" t="s">
        <v>191</v>
      </c>
      <c r="E221" s="352" t="s">
        <v>34</v>
      </c>
      <c r="F221" s="352" t="s">
        <v>134</v>
      </c>
      <c r="G221" s="353">
        <v>27269</v>
      </c>
      <c r="H221" s="352" t="s">
        <v>830</v>
      </c>
      <c r="I221" s="352" t="s">
        <v>1799</v>
      </c>
      <c r="J221" s="352" t="s">
        <v>1071</v>
      </c>
      <c r="K221" s="352" t="s">
        <v>690</v>
      </c>
      <c r="L221" s="381">
        <v>348763942</v>
      </c>
      <c r="M221" s="376">
        <v>159228662</v>
      </c>
      <c r="N221" s="376">
        <v>189535280</v>
      </c>
      <c r="O221" s="376">
        <v>235057199</v>
      </c>
      <c r="P221" s="376">
        <v>11763437</v>
      </c>
      <c r="Q221" s="376">
        <v>12291336</v>
      </c>
      <c r="R221" s="376">
        <v>9393997</v>
      </c>
      <c r="S221" s="325">
        <v>0</v>
      </c>
      <c r="T221" s="246">
        <f t="shared" si="72"/>
        <v>100</v>
      </c>
      <c r="U221" s="77">
        <f t="shared" si="73"/>
        <v>2</v>
      </c>
      <c r="V221" s="377">
        <v>0</v>
      </c>
      <c r="W221" s="377">
        <v>0</v>
      </c>
      <c r="X221" s="377">
        <v>0</v>
      </c>
      <c r="Y221" s="377">
        <v>0</v>
      </c>
      <c r="Z221" s="377">
        <v>0</v>
      </c>
      <c r="AA221" s="377">
        <v>0</v>
      </c>
      <c r="AB221" s="377">
        <v>0</v>
      </c>
      <c r="AC221" s="247">
        <f t="shared" si="74"/>
        <v>0</v>
      </c>
      <c r="AD221" s="247">
        <f t="shared" si="75"/>
        <v>100</v>
      </c>
      <c r="AE221" s="82">
        <f t="shared" si="94"/>
        <v>5</v>
      </c>
      <c r="AF221" s="377">
        <v>0</v>
      </c>
      <c r="AG221" s="377">
        <v>0</v>
      </c>
      <c r="AH221" s="247">
        <f t="shared" si="90"/>
        <v>0</v>
      </c>
      <c r="AI221" s="247">
        <f t="shared" si="91"/>
        <v>100</v>
      </c>
      <c r="AJ221" s="82">
        <f t="shared" si="92"/>
        <v>3</v>
      </c>
      <c r="AK221" s="367" t="s">
        <v>2902</v>
      </c>
      <c r="AL221" s="367" t="s">
        <v>2902</v>
      </c>
      <c r="AM221" s="367" t="s">
        <v>2902</v>
      </c>
      <c r="AN221" s="367" t="s">
        <v>2902</v>
      </c>
      <c r="AO221" s="367" t="s">
        <v>2902</v>
      </c>
      <c r="AP221" s="296" t="s">
        <v>2326</v>
      </c>
      <c r="AQ221" s="296" t="s">
        <v>2326</v>
      </c>
      <c r="AR221" s="297"/>
      <c r="AS221" s="367" t="s">
        <v>2902</v>
      </c>
      <c r="AT221" s="367" t="s">
        <v>2902</v>
      </c>
      <c r="AU221" s="296" t="s">
        <v>2326</v>
      </c>
      <c r="AV221" s="297"/>
      <c r="AW221" s="325">
        <v>1</v>
      </c>
      <c r="AX221" s="247">
        <f t="shared" si="76"/>
        <v>100</v>
      </c>
      <c r="AY221" s="90">
        <f t="shared" si="77"/>
        <v>4</v>
      </c>
      <c r="AZ221" s="378">
        <v>0</v>
      </c>
      <c r="BA221" s="449" t="s">
        <v>3782</v>
      </c>
      <c r="BB221" s="247">
        <f t="shared" si="78"/>
        <v>100</v>
      </c>
      <c r="BC221" s="91">
        <f t="shared" si="79"/>
        <v>2</v>
      </c>
      <c r="BD221" s="325">
        <v>0</v>
      </c>
      <c r="BE221" s="325">
        <v>0</v>
      </c>
      <c r="BF221" s="325">
        <v>0</v>
      </c>
      <c r="BG221" s="252">
        <f t="shared" si="80"/>
        <v>0</v>
      </c>
      <c r="BH221" s="246">
        <f t="shared" si="81"/>
        <v>100</v>
      </c>
      <c r="BI221" s="90">
        <f t="shared" si="82"/>
        <v>1</v>
      </c>
      <c r="BJ221" s="325">
        <v>0</v>
      </c>
      <c r="BK221" s="247">
        <f t="shared" si="83"/>
        <v>100</v>
      </c>
      <c r="BL221" s="94">
        <f t="shared" si="84"/>
        <v>2</v>
      </c>
      <c r="BM221" s="325">
        <v>0</v>
      </c>
      <c r="BN221" s="325">
        <v>0</v>
      </c>
      <c r="BO221" s="325">
        <v>0</v>
      </c>
      <c r="BP221" s="211">
        <f t="shared" si="85"/>
        <v>0</v>
      </c>
      <c r="BQ221" s="253">
        <f t="shared" si="86"/>
        <v>25</v>
      </c>
      <c r="BR221" s="99">
        <f t="shared" si="87"/>
        <v>0.25</v>
      </c>
      <c r="BS221" s="101">
        <f t="shared" si="88"/>
        <v>19.25</v>
      </c>
    </row>
    <row r="222" spans="1:71" x14ac:dyDescent="0.6">
      <c r="A222" s="373" t="s">
        <v>362</v>
      </c>
      <c r="B222" s="13" t="s">
        <v>3131</v>
      </c>
      <c r="C222" s="380" t="s">
        <v>490</v>
      </c>
      <c r="D222" s="351" t="s">
        <v>202</v>
      </c>
      <c r="E222" s="352" t="s">
        <v>613</v>
      </c>
      <c r="F222" s="352">
        <v>0</v>
      </c>
      <c r="G222" s="353">
        <v>39661</v>
      </c>
      <c r="H222" s="352" t="s">
        <v>830</v>
      </c>
      <c r="I222" s="352" t="s">
        <v>214</v>
      </c>
      <c r="J222" s="1" t="s">
        <v>3132</v>
      </c>
      <c r="K222" s="352" t="s">
        <v>690</v>
      </c>
      <c r="L222" s="381">
        <v>818333453</v>
      </c>
      <c r="M222" s="376">
        <v>480040681</v>
      </c>
      <c r="N222" s="376">
        <v>338292772</v>
      </c>
      <c r="O222" s="376">
        <v>1132474477</v>
      </c>
      <c r="P222" s="376">
        <v>29176389</v>
      </c>
      <c r="Q222" s="376">
        <v>25221767</v>
      </c>
      <c r="R222" s="376">
        <v>22259261</v>
      </c>
      <c r="S222" s="325">
        <v>1</v>
      </c>
      <c r="T222" s="246">
        <f t="shared" si="72"/>
        <v>50</v>
      </c>
      <c r="U222" s="77">
        <f t="shared" si="73"/>
        <v>1</v>
      </c>
      <c r="V222" s="377">
        <v>0</v>
      </c>
      <c r="W222" s="377">
        <v>0</v>
      </c>
      <c r="X222" s="377">
        <v>0</v>
      </c>
      <c r="Y222" s="377">
        <v>0</v>
      </c>
      <c r="Z222" s="377">
        <v>0</v>
      </c>
      <c r="AA222" s="377">
        <v>0</v>
      </c>
      <c r="AB222" s="377">
        <v>0</v>
      </c>
      <c r="AC222" s="247">
        <f t="shared" si="74"/>
        <v>0</v>
      </c>
      <c r="AD222" s="247">
        <f t="shared" si="75"/>
        <v>100</v>
      </c>
      <c r="AE222" s="82">
        <f t="shared" si="94"/>
        <v>5</v>
      </c>
      <c r="AF222" s="377">
        <v>0</v>
      </c>
      <c r="AG222" s="377">
        <v>0</v>
      </c>
      <c r="AH222" s="247">
        <f t="shared" si="90"/>
        <v>0</v>
      </c>
      <c r="AI222" s="247">
        <f t="shared" si="91"/>
        <v>100</v>
      </c>
      <c r="AJ222" s="82">
        <f t="shared" si="92"/>
        <v>3</v>
      </c>
      <c r="AK222" s="367" t="s">
        <v>2902</v>
      </c>
      <c r="AL222" s="367" t="s">
        <v>2902</v>
      </c>
      <c r="AM222" s="367" t="s">
        <v>2902</v>
      </c>
      <c r="AN222" s="367" t="s">
        <v>2902</v>
      </c>
      <c r="AO222" s="367" t="s">
        <v>2902</v>
      </c>
      <c r="AP222" s="296" t="s">
        <v>2326</v>
      </c>
      <c r="AQ222" s="296" t="s">
        <v>2326</v>
      </c>
      <c r="AR222" s="297"/>
      <c r="AS222" s="367" t="s">
        <v>2902</v>
      </c>
      <c r="AT222" s="367" t="s">
        <v>2902</v>
      </c>
      <c r="AU222" s="296" t="s">
        <v>2326</v>
      </c>
      <c r="AV222" s="297"/>
      <c r="AW222" s="325">
        <v>1</v>
      </c>
      <c r="AX222" s="247">
        <f t="shared" si="76"/>
        <v>100</v>
      </c>
      <c r="AY222" s="90">
        <f t="shared" si="77"/>
        <v>4</v>
      </c>
      <c r="AZ222" s="378">
        <v>0</v>
      </c>
      <c r="BA222" s="449" t="s">
        <v>3782</v>
      </c>
      <c r="BB222" s="247">
        <f t="shared" si="78"/>
        <v>100</v>
      </c>
      <c r="BC222" s="91">
        <f t="shared" si="79"/>
        <v>2</v>
      </c>
      <c r="BD222" s="325">
        <v>0</v>
      </c>
      <c r="BE222" s="325">
        <v>0</v>
      </c>
      <c r="BF222" s="325">
        <v>0</v>
      </c>
      <c r="BG222" s="252">
        <f t="shared" si="80"/>
        <v>0</v>
      </c>
      <c r="BH222" s="246">
        <f t="shared" si="81"/>
        <v>100</v>
      </c>
      <c r="BI222" s="90">
        <f t="shared" si="82"/>
        <v>1</v>
      </c>
      <c r="BJ222" s="325">
        <v>0</v>
      </c>
      <c r="BK222" s="247">
        <f t="shared" si="83"/>
        <v>100</v>
      </c>
      <c r="BL222" s="94">
        <f t="shared" si="84"/>
        <v>2</v>
      </c>
      <c r="BM222" s="325">
        <v>0</v>
      </c>
      <c r="BN222" s="325">
        <v>0</v>
      </c>
      <c r="BO222" s="325">
        <v>1</v>
      </c>
      <c r="BP222" s="211">
        <f t="shared" si="85"/>
        <v>1</v>
      </c>
      <c r="BQ222" s="253">
        <f t="shared" si="86"/>
        <v>50</v>
      </c>
      <c r="BR222" s="99">
        <f t="shared" si="87"/>
        <v>0.5</v>
      </c>
      <c r="BS222" s="101">
        <f t="shared" si="88"/>
        <v>18.5</v>
      </c>
    </row>
    <row r="223" spans="1:71" x14ac:dyDescent="0.6">
      <c r="A223" s="373" t="s">
        <v>1800</v>
      </c>
      <c r="B223" s="1" t="s">
        <v>3133</v>
      </c>
      <c r="C223" s="380" t="s">
        <v>1801</v>
      </c>
      <c r="D223" s="315" t="s">
        <v>285</v>
      </c>
      <c r="E223" s="352" t="s">
        <v>1802</v>
      </c>
      <c r="F223" s="352" t="s">
        <v>1803</v>
      </c>
      <c r="G223" s="353">
        <v>44440</v>
      </c>
      <c r="H223" s="352" t="s">
        <v>830</v>
      </c>
      <c r="I223" s="352" t="s">
        <v>1804</v>
      </c>
      <c r="J223" s="352" t="s">
        <v>1805</v>
      </c>
      <c r="K223" s="352" t="s">
        <v>320</v>
      </c>
      <c r="L223" s="381">
        <v>342505451</v>
      </c>
      <c r="M223" s="376">
        <v>27786558</v>
      </c>
      <c r="N223" s="376">
        <v>314718893</v>
      </c>
      <c r="O223" s="376">
        <v>109080826</v>
      </c>
      <c r="P223" s="376">
        <v>2772988</v>
      </c>
      <c r="Q223" s="376">
        <v>8635778</v>
      </c>
      <c r="R223" s="376">
        <v>7043345</v>
      </c>
      <c r="S223" s="325">
        <v>1</v>
      </c>
      <c r="T223" s="246">
        <f t="shared" si="72"/>
        <v>50</v>
      </c>
      <c r="U223" s="77">
        <f t="shared" si="73"/>
        <v>1</v>
      </c>
      <c r="V223" s="377">
        <v>0</v>
      </c>
      <c r="W223" s="377">
        <v>0</v>
      </c>
      <c r="X223" s="377">
        <v>0</v>
      </c>
      <c r="Y223" s="377">
        <v>0</v>
      </c>
      <c r="Z223" s="377">
        <v>0</v>
      </c>
      <c r="AA223" s="377">
        <v>0</v>
      </c>
      <c r="AB223" s="377">
        <v>0</v>
      </c>
      <c r="AC223" s="247">
        <f t="shared" si="74"/>
        <v>0</v>
      </c>
      <c r="AD223" s="247">
        <f t="shared" si="75"/>
        <v>100</v>
      </c>
      <c r="AE223" s="82">
        <f t="shared" si="94"/>
        <v>5</v>
      </c>
      <c r="AF223" s="377">
        <v>0</v>
      </c>
      <c r="AG223" s="377">
        <v>0</v>
      </c>
      <c r="AH223" s="247">
        <f t="shared" si="90"/>
        <v>0</v>
      </c>
      <c r="AI223" s="247">
        <f t="shared" si="91"/>
        <v>100</v>
      </c>
      <c r="AJ223" s="82">
        <f t="shared" si="92"/>
        <v>3</v>
      </c>
      <c r="AK223" s="367" t="s">
        <v>2902</v>
      </c>
      <c r="AL223" s="367" t="s">
        <v>2902</v>
      </c>
      <c r="AM223" s="367" t="s">
        <v>2902</v>
      </c>
      <c r="AN223" s="367" t="s">
        <v>2902</v>
      </c>
      <c r="AO223" s="367" t="s">
        <v>2902</v>
      </c>
      <c r="AP223" s="296" t="s">
        <v>2326</v>
      </c>
      <c r="AQ223" s="296" t="s">
        <v>2326</v>
      </c>
      <c r="AR223" s="297"/>
      <c r="AS223" s="367" t="s">
        <v>2902</v>
      </c>
      <c r="AT223" s="367" t="s">
        <v>2902</v>
      </c>
      <c r="AU223" s="296" t="s">
        <v>2326</v>
      </c>
      <c r="AV223" s="297"/>
      <c r="AW223" s="325">
        <v>1</v>
      </c>
      <c r="AX223" s="247">
        <f t="shared" si="76"/>
        <v>100</v>
      </c>
      <c r="AY223" s="90">
        <f t="shared" si="77"/>
        <v>4</v>
      </c>
      <c r="AZ223" s="378">
        <v>0</v>
      </c>
      <c r="BA223" s="449" t="s">
        <v>3782</v>
      </c>
      <c r="BB223" s="247">
        <f t="shared" si="78"/>
        <v>100</v>
      </c>
      <c r="BC223" s="91">
        <f t="shared" si="79"/>
        <v>2</v>
      </c>
      <c r="BD223" s="325">
        <v>0</v>
      </c>
      <c r="BE223" s="325">
        <v>0</v>
      </c>
      <c r="BF223" s="325">
        <v>1</v>
      </c>
      <c r="BG223" s="252">
        <f t="shared" si="80"/>
        <v>1</v>
      </c>
      <c r="BH223" s="246">
        <f t="shared" si="81"/>
        <v>75</v>
      </c>
      <c r="BI223" s="90">
        <f t="shared" si="82"/>
        <v>0.75</v>
      </c>
      <c r="BJ223" s="325">
        <v>0</v>
      </c>
      <c r="BK223" s="247">
        <f t="shared" si="83"/>
        <v>100</v>
      </c>
      <c r="BL223" s="94">
        <f t="shared" si="84"/>
        <v>2</v>
      </c>
      <c r="BM223" s="325">
        <v>0</v>
      </c>
      <c r="BN223" s="325">
        <v>1</v>
      </c>
      <c r="BO223" s="325">
        <v>1</v>
      </c>
      <c r="BP223" s="211">
        <f t="shared" si="85"/>
        <v>2</v>
      </c>
      <c r="BQ223" s="253">
        <f t="shared" si="86"/>
        <v>75</v>
      </c>
      <c r="BR223" s="99">
        <f t="shared" si="87"/>
        <v>0.75</v>
      </c>
      <c r="BS223" s="101">
        <f t="shared" si="88"/>
        <v>18.5</v>
      </c>
    </row>
    <row r="224" spans="1:71" x14ac:dyDescent="0.6">
      <c r="A224" s="373" t="s">
        <v>93</v>
      </c>
      <c r="B224" s="1" t="s">
        <v>3134</v>
      </c>
      <c r="C224" s="380" t="s">
        <v>517</v>
      </c>
      <c r="D224" s="351" t="s">
        <v>285</v>
      </c>
      <c r="E224" s="352" t="s">
        <v>626</v>
      </c>
      <c r="F224" s="352" t="s">
        <v>129</v>
      </c>
      <c r="G224" s="353">
        <v>43775</v>
      </c>
      <c r="H224" s="352" t="s">
        <v>830</v>
      </c>
      <c r="I224" s="352" t="s">
        <v>837</v>
      </c>
      <c r="J224" s="352" t="s">
        <v>1119</v>
      </c>
      <c r="K224" s="352" t="s">
        <v>91</v>
      </c>
      <c r="L224" s="381">
        <v>753639957</v>
      </c>
      <c r="M224" s="376">
        <v>284239813</v>
      </c>
      <c r="N224" s="376">
        <v>469400144</v>
      </c>
      <c r="O224" s="376">
        <v>589689077</v>
      </c>
      <c r="P224" s="376">
        <v>92750362</v>
      </c>
      <c r="Q224" s="376">
        <v>95830158</v>
      </c>
      <c r="R224" s="376">
        <v>72515496</v>
      </c>
      <c r="S224" s="325">
        <v>1</v>
      </c>
      <c r="T224" s="246">
        <f t="shared" si="72"/>
        <v>50</v>
      </c>
      <c r="U224" s="77">
        <f t="shared" si="73"/>
        <v>1</v>
      </c>
      <c r="V224" s="377">
        <v>0</v>
      </c>
      <c r="W224" s="377">
        <v>0</v>
      </c>
      <c r="X224" s="377">
        <v>0</v>
      </c>
      <c r="Y224" s="377">
        <v>0</v>
      </c>
      <c r="Z224" s="377">
        <v>0</v>
      </c>
      <c r="AA224" s="377">
        <v>0</v>
      </c>
      <c r="AB224" s="377">
        <v>0</v>
      </c>
      <c r="AC224" s="247">
        <f t="shared" si="74"/>
        <v>0</v>
      </c>
      <c r="AD224" s="247">
        <f t="shared" si="75"/>
        <v>100</v>
      </c>
      <c r="AE224" s="82">
        <f t="shared" si="94"/>
        <v>5</v>
      </c>
      <c r="AF224" s="377">
        <v>0</v>
      </c>
      <c r="AG224" s="377">
        <v>0</v>
      </c>
      <c r="AH224" s="247">
        <f t="shared" si="90"/>
        <v>0</v>
      </c>
      <c r="AI224" s="247">
        <f t="shared" si="91"/>
        <v>100</v>
      </c>
      <c r="AJ224" s="82">
        <f t="shared" si="92"/>
        <v>3</v>
      </c>
      <c r="AK224" s="367" t="s">
        <v>2902</v>
      </c>
      <c r="AL224" s="367" t="s">
        <v>2902</v>
      </c>
      <c r="AM224" s="367" t="s">
        <v>2902</v>
      </c>
      <c r="AN224" s="367" t="s">
        <v>2902</v>
      </c>
      <c r="AO224" s="367" t="s">
        <v>2902</v>
      </c>
      <c r="AP224" s="296" t="s">
        <v>2326</v>
      </c>
      <c r="AQ224" s="296" t="s">
        <v>2326</v>
      </c>
      <c r="AR224" s="297"/>
      <c r="AS224" s="367" t="s">
        <v>2902</v>
      </c>
      <c r="AT224" s="367" t="s">
        <v>2902</v>
      </c>
      <c r="AU224" s="296" t="s">
        <v>2326</v>
      </c>
      <c r="AV224" s="297"/>
      <c r="AW224" s="325">
        <v>0</v>
      </c>
      <c r="AX224" s="247">
        <f t="shared" si="76"/>
        <v>50</v>
      </c>
      <c r="AY224" s="90">
        <f t="shared" si="77"/>
        <v>2</v>
      </c>
      <c r="AZ224" s="378">
        <v>0</v>
      </c>
      <c r="BA224" s="449" t="s">
        <v>3782</v>
      </c>
      <c r="BB224" s="247">
        <f t="shared" si="78"/>
        <v>100</v>
      </c>
      <c r="BC224" s="91">
        <f t="shared" si="79"/>
        <v>2</v>
      </c>
      <c r="BD224" s="325">
        <v>0</v>
      </c>
      <c r="BE224" s="325">
        <v>0</v>
      </c>
      <c r="BF224" s="325">
        <v>1</v>
      </c>
      <c r="BG224" s="252">
        <f t="shared" si="80"/>
        <v>1</v>
      </c>
      <c r="BH224" s="246">
        <f t="shared" si="81"/>
        <v>75</v>
      </c>
      <c r="BI224" s="90">
        <f t="shared" si="82"/>
        <v>0.75</v>
      </c>
      <c r="BJ224" s="325">
        <v>0</v>
      </c>
      <c r="BK224" s="247">
        <f t="shared" si="83"/>
        <v>100</v>
      </c>
      <c r="BL224" s="94">
        <f t="shared" si="84"/>
        <v>2</v>
      </c>
      <c r="BM224" s="325">
        <v>0</v>
      </c>
      <c r="BN224" s="325">
        <v>0</v>
      </c>
      <c r="BO224" s="325">
        <v>1</v>
      </c>
      <c r="BP224" s="211">
        <f t="shared" si="85"/>
        <v>1</v>
      </c>
      <c r="BQ224" s="253">
        <f t="shared" si="86"/>
        <v>50</v>
      </c>
      <c r="BR224" s="99">
        <f t="shared" si="87"/>
        <v>0.5</v>
      </c>
      <c r="BS224" s="101">
        <f t="shared" si="88"/>
        <v>16.25</v>
      </c>
    </row>
    <row r="225" spans="1:71" x14ac:dyDescent="0.6">
      <c r="A225" s="373" t="s">
        <v>917</v>
      </c>
      <c r="B225" s="1" t="s">
        <v>3135</v>
      </c>
      <c r="C225" s="380" t="s">
        <v>13</v>
      </c>
      <c r="D225" s="351" t="s">
        <v>285</v>
      </c>
      <c r="E225" s="352" t="s">
        <v>796</v>
      </c>
      <c r="F225" s="352" t="s">
        <v>1099</v>
      </c>
      <c r="G225" s="353">
        <v>35857</v>
      </c>
      <c r="H225" s="352" t="s">
        <v>830</v>
      </c>
      <c r="I225" s="352" t="s">
        <v>841</v>
      </c>
      <c r="J225" s="352" t="s">
        <v>1137</v>
      </c>
      <c r="K225" s="352" t="s">
        <v>91</v>
      </c>
      <c r="L225" s="381">
        <v>1328473794</v>
      </c>
      <c r="M225" s="376">
        <v>623497507</v>
      </c>
      <c r="N225" s="376">
        <v>704976287</v>
      </c>
      <c r="O225" s="376">
        <v>1280522528</v>
      </c>
      <c r="P225" s="376">
        <v>100830968</v>
      </c>
      <c r="Q225" s="376">
        <v>95133282</v>
      </c>
      <c r="R225" s="376">
        <v>62923623</v>
      </c>
      <c r="S225" s="325">
        <v>1</v>
      </c>
      <c r="T225" s="246">
        <f t="shared" si="72"/>
        <v>50</v>
      </c>
      <c r="U225" s="77">
        <f t="shared" si="73"/>
        <v>1</v>
      </c>
      <c r="V225" s="377">
        <v>0</v>
      </c>
      <c r="W225" s="377">
        <v>0</v>
      </c>
      <c r="X225" s="377">
        <v>0</v>
      </c>
      <c r="Y225" s="377">
        <v>0</v>
      </c>
      <c r="Z225" s="377">
        <v>0</v>
      </c>
      <c r="AA225" s="377">
        <v>0</v>
      </c>
      <c r="AB225" s="377">
        <v>0</v>
      </c>
      <c r="AC225" s="247">
        <f t="shared" si="74"/>
        <v>0</v>
      </c>
      <c r="AD225" s="247">
        <f t="shared" si="75"/>
        <v>100</v>
      </c>
      <c r="AE225" s="82">
        <f t="shared" si="94"/>
        <v>5</v>
      </c>
      <c r="AF225" s="377">
        <v>0</v>
      </c>
      <c r="AG225" s="377">
        <v>0</v>
      </c>
      <c r="AH225" s="247">
        <f t="shared" si="90"/>
        <v>0</v>
      </c>
      <c r="AI225" s="247">
        <f t="shared" si="91"/>
        <v>100</v>
      </c>
      <c r="AJ225" s="82">
        <f t="shared" si="92"/>
        <v>3</v>
      </c>
      <c r="AK225" s="367" t="s">
        <v>2902</v>
      </c>
      <c r="AL225" s="367" t="s">
        <v>2902</v>
      </c>
      <c r="AM225" s="367" t="s">
        <v>2902</v>
      </c>
      <c r="AN225" s="367" t="s">
        <v>2902</v>
      </c>
      <c r="AO225" s="367" t="s">
        <v>2902</v>
      </c>
      <c r="AP225" s="296" t="s">
        <v>2326</v>
      </c>
      <c r="AQ225" s="296" t="s">
        <v>2326</v>
      </c>
      <c r="AR225" s="297"/>
      <c r="AS225" s="367" t="s">
        <v>2902</v>
      </c>
      <c r="AT225" s="367" t="s">
        <v>2902</v>
      </c>
      <c r="AU225" s="296" t="s">
        <v>2326</v>
      </c>
      <c r="AV225" s="297"/>
      <c r="AW225" s="325">
        <v>0</v>
      </c>
      <c r="AX225" s="247">
        <f t="shared" si="76"/>
        <v>50</v>
      </c>
      <c r="AY225" s="90">
        <f t="shared" si="77"/>
        <v>2</v>
      </c>
      <c r="AZ225" s="378">
        <v>0</v>
      </c>
      <c r="BA225" s="449" t="s">
        <v>3782</v>
      </c>
      <c r="BB225" s="247">
        <f t="shared" si="78"/>
        <v>100</v>
      </c>
      <c r="BC225" s="91">
        <f t="shared" si="79"/>
        <v>2</v>
      </c>
      <c r="BD225" s="325">
        <v>0</v>
      </c>
      <c r="BE225" s="325">
        <v>0</v>
      </c>
      <c r="BF225" s="325">
        <v>0</v>
      </c>
      <c r="BG225" s="252">
        <f t="shared" si="80"/>
        <v>0</v>
      </c>
      <c r="BH225" s="246">
        <f t="shared" si="81"/>
        <v>100</v>
      </c>
      <c r="BI225" s="90">
        <f t="shared" si="82"/>
        <v>1</v>
      </c>
      <c r="BJ225" s="325">
        <v>0</v>
      </c>
      <c r="BK225" s="247">
        <f t="shared" si="83"/>
        <v>100</v>
      </c>
      <c r="BL225" s="94">
        <f t="shared" si="84"/>
        <v>2</v>
      </c>
      <c r="BM225" s="325">
        <v>0</v>
      </c>
      <c r="BN225" s="325">
        <v>0</v>
      </c>
      <c r="BO225" s="325">
        <v>1</v>
      </c>
      <c r="BP225" s="211">
        <f t="shared" si="85"/>
        <v>1</v>
      </c>
      <c r="BQ225" s="253">
        <f t="shared" si="86"/>
        <v>50</v>
      </c>
      <c r="BR225" s="99">
        <f t="shared" si="87"/>
        <v>0.5</v>
      </c>
      <c r="BS225" s="101">
        <f t="shared" si="88"/>
        <v>16.5</v>
      </c>
    </row>
    <row r="226" spans="1:71" x14ac:dyDescent="0.6">
      <c r="A226" s="373" t="s">
        <v>55</v>
      </c>
      <c r="B226" s="13" t="s">
        <v>3136</v>
      </c>
      <c r="C226" s="380" t="s">
        <v>356</v>
      </c>
      <c r="D226" s="351" t="s">
        <v>203</v>
      </c>
      <c r="E226" s="352" t="s">
        <v>583</v>
      </c>
      <c r="F226" s="352" t="s">
        <v>1084</v>
      </c>
      <c r="G226" s="353">
        <v>38695</v>
      </c>
      <c r="H226" s="352" t="s">
        <v>830</v>
      </c>
      <c r="I226" s="352" t="s">
        <v>1120</v>
      </c>
      <c r="J226" s="352" t="s">
        <v>1198</v>
      </c>
      <c r="K226" s="352" t="s">
        <v>31</v>
      </c>
      <c r="L226" s="381">
        <v>89562390</v>
      </c>
      <c r="M226" s="376">
        <v>12372096</v>
      </c>
      <c r="N226" s="376">
        <v>77190293</v>
      </c>
      <c r="O226" s="376">
        <v>71732783</v>
      </c>
      <c r="P226" s="376">
        <v>2955130</v>
      </c>
      <c r="Q226" s="376">
        <v>147493</v>
      </c>
      <c r="R226" s="376">
        <v>19601</v>
      </c>
      <c r="S226" s="325">
        <v>0</v>
      </c>
      <c r="T226" s="246">
        <f t="shared" si="72"/>
        <v>100</v>
      </c>
      <c r="U226" s="77">
        <f t="shared" si="73"/>
        <v>2</v>
      </c>
      <c r="V226" s="377">
        <v>0</v>
      </c>
      <c r="W226" s="377">
        <v>0</v>
      </c>
      <c r="X226" s="377">
        <v>0</v>
      </c>
      <c r="Y226" s="377">
        <v>0</v>
      </c>
      <c r="Z226" s="377">
        <v>0</v>
      </c>
      <c r="AA226" s="377">
        <v>0</v>
      </c>
      <c r="AB226" s="377">
        <v>0</v>
      </c>
      <c r="AC226" s="247">
        <f t="shared" si="74"/>
        <v>0</v>
      </c>
      <c r="AD226" s="247">
        <f t="shared" si="75"/>
        <v>100</v>
      </c>
      <c r="AE226" s="82">
        <f t="shared" si="94"/>
        <v>5</v>
      </c>
      <c r="AF226" s="377">
        <v>0</v>
      </c>
      <c r="AG226" s="377">
        <v>0</v>
      </c>
      <c r="AH226" s="247">
        <f t="shared" si="90"/>
        <v>0</v>
      </c>
      <c r="AI226" s="247">
        <f t="shared" si="91"/>
        <v>100</v>
      </c>
      <c r="AJ226" s="82">
        <f t="shared" si="92"/>
        <v>3</v>
      </c>
      <c r="AK226" s="367" t="s">
        <v>2902</v>
      </c>
      <c r="AL226" s="367" t="s">
        <v>2902</v>
      </c>
      <c r="AM226" s="367" t="s">
        <v>2902</v>
      </c>
      <c r="AN226" s="367" t="s">
        <v>2902</v>
      </c>
      <c r="AO226" s="367" t="s">
        <v>2902</v>
      </c>
      <c r="AP226" s="296" t="s">
        <v>2326</v>
      </c>
      <c r="AQ226" s="296" t="s">
        <v>2326</v>
      </c>
      <c r="AR226" s="297"/>
      <c r="AS226" s="367" t="s">
        <v>2902</v>
      </c>
      <c r="AT226" s="367" t="s">
        <v>2902</v>
      </c>
      <c r="AU226" s="296" t="s">
        <v>2326</v>
      </c>
      <c r="AV226" s="297"/>
      <c r="AW226" s="325">
        <v>1</v>
      </c>
      <c r="AX226" s="247">
        <f t="shared" si="76"/>
        <v>100</v>
      </c>
      <c r="AY226" s="90">
        <f t="shared" si="77"/>
        <v>4</v>
      </c>
      <c r="AZ226" s="378">
        <v>0</v>
      </c>
      <c r="BA226" s="378" t="s">
        <v>3782</v>
      </c>
      <c r="BB226" s="247">
        <f t="shared" si="78"/>
        <v>100</v>
      </c>
      <c r="BC226" s="91">
        <f t="shared" si="79"/>
        <v>2</v>
      </c>
      <c r="BD226" s="325">
        <v>0</v>
      </c>
      <c r="BE226" s="325">
        <v>0</v>
      </c>
      <c r="BF226" s="325">
        <v>0</v>
      </c>
      <c r="BG226" s="252">
        <f t="shared" si="80"/>
        <v>0</v>
      </c>
      <c r="BH226" s="246">
        <f t="shared" si="81"/>
        <v>100</v>
      </c>
      <c r="BI226" s="90">
        <f t="shared" si="82"/>
        <v>1</v>
      </c>
      <c r="BJ226" s="325">
        <v>0</v>
      </c>
      <c r="BK226" s="247">
        <f t="shared" si="83"/>
        <v>100</v>
      </c>
      <c r="BL226" s="94">
        <f t="shared" si="84"/>
        <v>2</v>
      </c>
      <c r="BM226" s="325">
        <v>0</v>
      </c>
      <c r="BN226" s="325">
        <v>1</v>
      </c>
      <c r="BO226" s="325">
        <v>0</v>
      </c>
      <c r="BP226" s="211">
        <f t="shared" si="85"/>
        <v>1</v>
      </c>
      <c r="BQ226" s="253">
        <f t="shared" si="86"/>
        <v>50</v>
      </c>
      <c r="BR226" s="99">
        <f t="shared" si="87"/>
        <v>0.5</v>
      </c>
      <c r="BS226" s="101">
        <f t="shared" si="88"/>
        <v>19.5</v>
      </c>
    </row>
    <row r="227" spans="1:71" x14ac:dyDescent="0.6">
      <c r="A227" s="373" t="s">
        <v>1806</v>
      </c>
      <c r="B227" s="1" t="s">
        <v>3137</v>
      </c>
      <c r="C227" s="380" t="s">
        <v>1807</v>
      </c>
      <c r="D227" s="328" t="s">
        <v>88</v>
      </c>
      <c r="E227" s="352" t="s">
        <v>1585</v>
      </c>
      <c r="F227" s="352" t="s">
        <v>1808</v>
      </c>
      <c r="G227" s="353">
        <v>26661</v>
      </c>
      <c r="H227" s="352" t="s">
        <v>830</v>
      </c>
      <c r="I227" s="352" t="s">
        <v>1809</v>
      </c>
      <c r="J227" s="352" t="s">
        <v>1810</v>
      </c>
      <c r="K227" s="352" t="s">
        <v>1811</v>
      </c>
      <c r="L227" s="381">
        <v>7311029000</v>
      </c>
      <c r="M227" s="376">
        <v>6789175000</v>
      </c>
      <c r="N227" s="376">
        <v>521854000</v>
      </c>
      <c r="O227" s="376">
        <v>275373000</v>
      </c>
      <c r="P227" s="376">
        <v>27020000</v>
      </c>
      <c r="Q227" s="376">
        <v>26964000</v>
      </c>
      <c r="R227" s="376">
        <v>22820000</v>
      </c>
      <c r="S227" s="325">
        <v>0</v>
      </c>
      <c r="T227" s="246">
        <f t="shared" si="72"/>
        <v>100</v>
      </c>
      <c r="U227" s="77">
        <f t="shared" si="73"/>
        <v>2</v>
      </c>
      <c r="V227" s="377">
        <v>0</v>
      </c>
      <c r="W227" s="377">
        <v>0</v>
      </c>
      <c r="X227" s="377">
        <v>0</v>
      </c>
      <c r="Y227" s="377">
        <v>0</v>
      </c>
      <c r="Z227" s="377">
        <v>0</v>
      </c>
      <c r="AA227" s="377">
        <v>0</v>
      </c>
      <c r="AB227" s="377">
        <v>0</v>
      </c>
      <c r="AC227" s="247">
        <f t="shared" si="74"/>
        <v>0</v>
      </c>
      <c r="AD227" s="247">
        <f t="shared" si="75"/>
        <v>100</v>
      </c>
      <c r="AE227" s="81">
        <f>AD227*0.02</f>
        <v>2</v>
      </c>
      <c r="AF227" s="360" t="s">
        <v>2902</v>
      </c>
      <c r="AG227" s="360" t="s">
        <v>2902</v>
      </c>
      <c r="AH227" s="248" t="s">
        <v>2326</v>
      </c>
      <c r="AI227" s="248" t="s">
        <v>2326</v>
      </c>
      <c r="AJ227" s="248"/>
      <c r="AK227" s="373">
        <v>0</v>
      </c>
      <c r="AL227" s="373">
        <v>0</v>
      </c>
      <c r="AM227" s="373">
        <v>0</v>
      </c>
      <c r="AN227" s="373">
        <v>0</v>
      </c>
      <c r="AO227" s="370" t="s">
        <v>3240</v>
      </c>
      <c r="AP227" s="249">
        <f>SUM(AK227:AN227)</f>
        <v>0</v>
      </c>
      <c r="AQ227" s="250">
        <f>IF(AP227=0, 100, IF(AP227=1, 75, IF(AP227=2, 50, 25)))</f>
        <v>100</v>
      </c>
      <c r="AR227" s="83">
        <f>AQ227*0.05</f>
        <v>5</v>
      </c>
      <c r="AS227" s="395">
        <v>0</v>
      </c>
      <c r="AT227" s="370" t="s">
        <v>3240</v>
      </c>
      <c r="AU227" s="251">
        <f>IF(AS227=0, 100, IF(AS227=1, 200/3, IF(AS227&gt;=2, 100/3)))</f>
        <v>100</v>
      </c>
      <c r="AV227" s="87">
        <f>AU227*0.01</f>
        <v>1</v>
      </c>
      <c r="AW227" s="325">
        <v>0</v>
      </c>
      <c r="AX227" s="247">
        <f t="shared" si="76"/>
        <v>50</v>
      </c>
      <c r="AY227" s="90">
        <f t="shared" si="77"/>
        <v>2</v>
      </c>
      <c r="AZ227" s="378">
        <v>0</v>
      </c>
      <c r="BA227" s="449" t="s">
        <v>3782</v>
      </c>
      <c r="BB227" s="247">
        <f t="shared" si="78"/>
        <v>100</v>
      </c>
      <c r="BC227" s="91">
        <f t="shared" si="79"/>
        <v>2</v>
      </c>
      <c r="BD227" s="325">
        <v>0</v>
      </c>
      <c r="BE227" s="325">
        <v>0</v>
      </c>
      <c r="BF227" s="325">
        <v>0</v>
      </c>
      <c r="BG227" s="252">
        <f t="shared" si="80"/>
        <v>0</v>
      </c>
      <c r="BH227" s="246">
        <f t="shared" si="81"/>
        <v>100</v>
      </c>
      <c r="BI227" s="90">
        <f t="shared" si="82"/>
        <v>1</v>
      </c>
      <c r="BJ227" s="325">
        <v>0</v>
      </c>
      <c r="BK227" s="247">
        <f t="shared" si="83"/>
        <v>100</v>
      </c>
      <c r="BL227" s="94">
        <f t="shared" si="84"/>
        <v>2</v>
      </c>
      <c r="BM227" s="325">
        <v>0</v>
      </c>
      <c r="BN227" s="325">
        <v>1</v>
      </c>
      <c r="BO227" s="325">
        <v>1</v>
      </c>
      <c r="BP227" s="211">
        <f t="shared" si="85"/>
        <v>2</v>
      </c>
      <c r="BQ227" s="253">
        <f t="shared" si="86"/>
        <v>75</v>
      </c>
      <c r="BR227" s="99">
        <f t="shared" si="87"/>
        <v>0.75</v>
      </c>
      <c r="BS227" s="101">
        <f t="shared" si="88"/>
        <v>17.75</v>
      </c>
    </row>
    <row r="228" spans="1:71" x14ac:dyDescent="0.6">
      <c r="A228" s="373" t="s">
        <v>1812</v>
      </c>
      <c r="B228" s="1" t="s">
        <v>3138</v>
      </c>
      <c r="C228" s="380" t="s">
        <v>1813</v>
      </c>
      <c r="D228" s="315" t="s">
        <v>191</v>
      </c>
      <c r="E228" s="352" t="s">
        <v>977</v>
      </c>
      <c r="F228" s="352" t="s">
        <v>1814</v>
      </c>
      <c r="G228" s="353">
        <v>28272</v>
      </c>
      <c r="H228" s="352" t="s">
        <v>830</v>
      </c>
      <c r="I228" s="352" t="s">
        <v>1815</v>
      </c>
      <c r="J228" s="352" t="s">
        <v>1816</v>
      </c>
      <c r="K228" s="352" t="s">
        <v>317</v>
      </c>
      <c r="L228" s="381">
        <v>442034876</v>
      </c>
      <c r="M228" s="376">
        <v>63994596</v>
      </c>
      <c r="N228" s="376">
        <v>378040280</v>
      </c>
      <c r="O228" s="376">
        <v>122005783</v>
      </c>
      <c r="P228" s="376">
        <v>507524</v>
      </c>
      <c r="Q228" s="376">
        <v>4251780</v>
      </c>
      <c r="R228" s="376">
        <v>6061277</v>
      </c>
      <c r="S228" s="325">
        <v>0</v>
      </c>
      <c r="T228" s="246">
        <f t="shared" si="72"/>
        <v>100</v>
      </c>
      <c r="U228" s="77">
        <f t="shared" si="73"/>
        <v>2</v>
      </c>
      <c r="V228" s="377">
        <v>0</v>
      </c>
      <c r="W228" s="377">
        <v>0</v>
      </c>
      <c r="X228" s="377">
        <v>0</v>
      </c>
      <c r="Y228" s="377">
        <v>0</v>
      </c>
      <c r="Z228" s="377">
        <v>0</v>
      </c>
      <c r="AA228" s="377">
        <v>0</v>
      </c>
      <c r="AB228" s="377">
        <v>0</v>
      </c>
      <c r="AC228" s="247">
        <f t="shared" si="74"/>
        <v>0</v>
      </c>
      <c r="AD228" s="247">
        <f t="shared" si="75"/>
        <v>100</v>
      </c>
      <c r="AE228" s="82">
        <f t="shared" ref="AE228:AE236" si="95">AD228*0.05</f>
        <v>5</v>
      </c>
      <c r="AF228" s="377">
        <v>0</v>
      </c>
      <c r="AG228" s="377">
        <v>0</v>
      </c>
      <c r="AH228" s="247">
        <f t="shared" si="90"/>
        <v>0</v>
      </c>
      <c r="AI228" s="247">
        <f t="shared" si="91"/>
        <v>100</v>
      </c>
      <c r="AJ228" s="82">
        <f t="shared" si="92"/>
        <v>3</v>
      </c>
      <c r="AK228" s="367" t="s">
        <v>2902</v>
      </c>
      <c r="AL228" s="367" t="s">
        <v>2902</v>
      </c>
      <c r="AM228" s="367" t="s">
        <v>2902</v>
      </c>
      <c r="AN228" s="367" t="s">
        <v>2902</v>
      </c>
      <c r="AO228" s="367" t="s">
        <v>2902</v>
      </c>
      <c r="AP228" s="296" t="s">
        <v>2326</v>
      </c>
      <c r="AQ228" s="296" t="s">
        <v>2326</v>
      </c>
      <c r="AR228" s="297"/>
      <c r="AS228" s="367" t="s">
        <v>2902</v>
      </c>
      <c r="AT228" s="367" t="s">
        <v>2902</v>
      </c>
      <c r="AU228" s="296" t="s">
        <v>2326</v>
      </c>
      <c r="AV228" s="297"/>
      <c r="AW228" s="325">
        <v>1</v>
      </c>
      <c r="AX228" s="247">
        <f t="shared" si="76"/>
        <v>100</v>
      </c>
      <c r="AY228" s="90">
        <f t="shared" si="77"/>
        <v>4</v>
      </c>
      <c r="AZ228" s="378">
        <v>0</v>
      </c>
      <c r="BA228" s="449" t="s">
        <v>3782</v>
      </c>
      <c r="BB228" s="247">
        <f t="shared" si="78"/>
        <v>100</v>
      </c>
      <c r="BC228" s="91">
        <f t="shared" si="79"/>
        <v>2</v>
      </c>
      <c r="BD228" s="325">
        <v>0</v>
      </c>
      <c r="BE228" s="325">
        <v>0</v>
      </c>
      <c r="BF228" s="325">
        <v>0</v>
      </c>
      <c r="BG228" s="252">
        <f t="shared" si="80"/>
        <v>0</v>
      </c>
      <c r="BH228" s="246">
        <f t="shared" si="81"/>
        <v>100</v>
      </c>
      <c r="BI228" s="90">
        <f t="shared" si="82"/>
        <v>1</v>
      </c>
      <c r="BJ228" s="325">
        <v>0</v>
      </c>
      <c r="BK228" s="247">
        <f t="shared" si="83"/>
        <v>100</v>
      </c>
      <c r="BL228" s="94">
        <f t="shared" si="84"/>
        <v>2</v>
      </c>
      <c r="BM228" s="325">
        <v>0</v>
      </c>
      <c r="BN228" s="325">
        <v>0</v>
      </c>
      <c r="BO228" s="325">
        <v>0</v>
      </c>
      <c r="BP228" s="211">
        <f t="shared" si="85"/>
        <v>0</v>
      </c>
      <c r="BQ228" s="253">
        <f t="shared" si="86"/>
        <v>25</v>
      </c>
      <c r="BR228" s="99">
        <f t="shared" si="87"/>
        <v>0.25</v>
      </c>
      <c r="BS228" s="101">
        <f t="shared" si="88"/>
        <v>19.25</v>
      </c>
    </row>
    <row r="229" spans="1:71" x14ac:dyDescent="0.6">
      <c r="A229" s="373" t="s">
        <v>1817</v>
      </c>
      <c r="B229" s="13" t="s">
        <v>3139</v>
      </c>
      <c r="C229" s="380" t="s">
        <v>1818</v>
      </c>
      <c r="D229" s="315" t="s">
        <v>191</v>
      </c>
      <c r="E229" s="352" t="s">
        <v>1067</v>
      </c>
      <c r="F229" s="352" t="s">
        <v>1819</v>
      </c>
      <c r="G229" s="353">
        <v>28122</v>
      </c>
      <c r="H229" s="352" t="s">
        <v>830</v>
      </c>
      <c r="I229" s="352" t="s">
        <v>1820</v>
      </c>
      <c r="J229" s="352" t="s">
        <v>1821</v>
      </c>
      <c r="K229" s="352" t="s">
        <v>91</v>
      </c>
      <c r="L229" s="381">
        <v>130041760</v>
      </c>
      <c r="M229" s="376">
        <v>68561446</v>
      </c>
      <c r="N229" s="376">
        <v>61480314</v>
      </c>
      <c r="O229" s="376">
        <v>148554918</v>
      </c>
      <c r="P229" s="376">
        <v>11907297</v>
      </c>
      <c r="Q229" s="376">
        <v>8526105</v>
      </c>
      <c r="R229" s="376">
        <v>8638058</v>
      </c>
      <c r="S229" s="325">
        <v>0</v>
      </c>
      <c r="T229" s="246">
        <f t="shared" si="72"/>
        <v>100</v>
      </c>
      <c r="U229" s="77">
        <f t="shared" si="73"/>
        <v>2</v>
      </c>
      <c r="V229" s="377">
        <v>0</v>
      </c>
      <c r="W229" s="377">
        <v>0</v>
      </c>
      <c r="X229" s="377">
        <v>0</v>
      </c>
      <c r="Y229" s="377">
        <v>0</v>
      </c>
      <c r="Z229" s="377">
        <v>0</v>
      </c>
      <c r="AA229" s="377">
        <v>0</v>
      </c>
      <c r="AB229" s="377">
        <v>0</v>
      </c>
      <c r="AC229" s="247">
        <f t="shared" si="74"/>
        <v>0</v>
      </c>
      <c r="AD229" s="247">
        <f t="shared" si="75"/>
        <v>100</v>
      </c>
      <c r="AE229" s="82">
        <f t="shared" si="95"/>
        <v>5</v>
      </c>
      <c r="AF229" s="377">
        <v>0</v>
      </c>
      <c r="AG229" s="377">
        <v>0</v>
      </c>
      <c r="AH229" s="247">
        <f t="shared" si="90"/>
        <v>0</v>
      </c>
      <c r="AI229" s="247">
        <f t="shared" si="91"/>
        <v>100</v>
      </c>
      <c r="AJ229" s="82">
        <f t="shared" si="92"/>
        <v>3</v>
      </c>
      <c r="AK229" s="367" t="s">
        <v>2902</v>
      </c>
      <c r="AL229" s="367" t="s">
        <v>2902</v>
      </c>
      <c r="AM229" s="367" t="s">
        <v>2902</v>
      </c>
      <c r="AN229" s="367" t="s">
        <v>2902</v>
      </c>
      <c r="AO229" s="367" t="s">
        <v>2902</v>
      </c>
      <c r="AP229" s="296" t="s">
        <v>2326</v>
      </c>
      <c r="AQ229" s="296" t="s">
        <v>2326</v>
      </c>
      <c r="AR229" s="297"/>
      <c r="AS229" s="367" t="s">
        <v>2902</v>
      </c>
      <c r="AT229" s="367" t="s">
        <v>2902</v>
      </c>
      <c r="AU229" s="296" t="s">
        <v>2326</v>
      </c>
      <c r="AV229" s="297"/>
      <c r="AW229" s="325">
        <v>1</v>
      </c>
      <c r="AX229" s="247">
        <f t="shared" si="76"/>
        <v>100</v>
      </c>
      <c r="AY229" s="90">
        <f t="shared" si="77"/>
        <v>4</v>
      </c>
      <c r="AZ229" s="378">
        <v>0</v>
      </c>
      <c r="BA229" s="449" t="s">
        <v>3782</v>
      </c>
      <c r="BB229" s="247">
        <f t="shared" si="78"/>
        <v>100</v>
      </c>
      <c r="BC229" s="91">
        <f t="shared" si="79"/>
        <v>2</v>
      </c>
      <c r="BD229" s="325">
        <v>0</v>
      </c>
      <c r="BE229" s="325">
        <v>0</v>
      </c>
      <c r="BF229" s="325">
        <v>0</v>
      </c>
      <c r="BG229" s="252">
        <f t="shared" si="80"/>
        <v>0</v>
      </c>
      <c r="BH229" s="246">
        <f t="shared" si="81"/>
        <v>100</v>
      </c>
      <c r="BI229" s="90">
        <f t="shared" si="82"/>
        <v>1</v>
      </c>
      <c r="BJ229" s="325">
        <v>0</v>
      </c>
      <c r="BK229" s="247">
        <f t="shared" si="83"/>
        <v>100</v>
      </c>
      <c r="BL229" s="94">
        <f t="shared" si="84"/>
        <v>2</v>
      </c>
      <c r="BM229" s="325">
        <v>0</v>
      </c>
      <c r="BN229" s="325">
        <v>0</v>
      </c>
      <c r="BO229" s="325">
        <v>1</v>
      </c>
      <c r="BP229" s="211">
        <f t="shared" si="85"/>
        <v>1</v>
      </c>
      <c r="BQ229" s="253">
        <f t="shared" si="86"/>
        <v>50</v>
      </c>
      <c r="BR229" s="99">
        <f t="shared" si="87"/>
        <v>0.5</v>
      </c>
      <c r="BS229" s="101">
        <f t="shared" si="88"/>
        <v>19.5</v>
      </c>
    </row>
    <row r="230" spans="1:71" x14ac:dyDescent="0.6">
      <c r="A230" s="373" t="s">
        <v>509</v>
      </c>
      <c r="B230" s="1" t="s">
        <v>3140</v>
      </c>
      <c r="C230" s="380" t="s">
        <v>536</v>
      </c>
      <c r="D230" s="351" t="s">
        <v>203</v>
      </c>
      <c r="E230" s="352" t="s">
        <v>585</v>
      </c>
      <c r="F230" s="352" t="s">
        <v>418</v>
      </c>
      <c r="G230" s="353">
        <v>40228</v>
      </c>
      <c r="H230" s="352" t="s">
        <v>830</v>
      </c>
      <c r="I230" s="352" t="s">
        <v>829</v>
      </c>
      <c r="J230" s="352" t="s">
        <v>664</v>
      </c>
      <c r="K230" s="352" t="s">
        <v>31</v>
      </c>
      <c r="L230" s="381">
        <v>145133297</v>
      </c>
      <c r="M230" s="376">
        <v>9248179</v>
      </c>
      <c r="N230" s="376">
        <v>135885117</v>
      </c>
      <c r="O230" s="376">
        <v>66976160</v>
      </c>
      <c r="P230" s="376">
        <v>9435413</v>
      </c>
      <c r="Q230" s="376">
        <v>13174731</v>
      </c>
      <c r="R230" s="376">
        <v>10522135</v>
      </c>
      <c r="S230" s="325">
        <v>1</v>
      </c>
      <c r="T230" s="246">
        <f t="shared" si="72"/>
        <v>50</v>
      </c>
      <c r="U230" s="77">
        <f t="shared" si="73"/>
        <v>1</v>
      </c>
      <c r="V230" s="377">
        <v>0</v>
      </c>
      <c r="W230" s="377">
        <v>0</v>
      </c>
      <c r="X230" s="377">
        <v>0</v>
      </c>
      <c r="Y230" s="377">
        <v>0</v>
      </c>
      <c r="Z230" s="377">
        <v>0</v>
      </c>
      <c r="AA230" s="377">
        <v>0</v>
      </c>
      <c r="AB230" s="377">
        <v>0</v>
      </c>
      <c r="AC230" s="247">
        <f t="shared" si="74"/>
        <v>0</v>
      </c>
      <c r="AD230" s="247">
        <f t="shared" si="75"/>
        <v>100</v>
      </c>
      <c r="AE230" s="82">
        <f t="shared" si="95"/>
        <v>5</v>
      </c>
      <c r="AF230" s="377">
        <v>0</v>
      </c>
      <c r="AG230" s="377">
        <v>0</v>
      </c>
      <c r="AH230" s="247">
        <f t="shared" si="90"/>
        <v>0</v>
      </c>
      <c r="AI230" s="247">
        <f t="shared" si="91"/>
        <v>100</v>
      </c>
      <c r="AJ230" s="82">
        <f t="shared" si="92"/>
        <v>3</v>
      </c>
      <c r="AK230" s="367" t="s">
        <v>2902</v>
      </c>
      <c r="AL230" s="367" t="s">
        <v>2902</v>
      </c>
      <c r="AM230" s="367" t="s">
        <v>2902</v>
      </c>
      <c r="AN230" s="367" t="s">
        <v>2902</v>
      </c>
      <c r="AO230" s="367" t="s">
        <v>2902</v>
      </c>
      <c r="AP230" s="296" t="s">
        <v>2326</v>
      </c>
      <c r="AQ230" s="296" t="s">
        <v>2326</v>
      </c>
      <c r="AR230" s="297"/>
      <c r="AS230" s="367" t="s">
        <v>2902</v>
      </c>
      <c r="AT230" s="367" t="s">
        <v>2902</v>
      </c>
      <c r="AU230" s="296" t="s">
        <v>2326</v>
      </c>
      <c r="AV230" s="297"/>
      <c r="AW230" s="325">
        <v>1</v>
      </c>
      <c r="AX230" s="247">
        <f t="shared" si="76"/>
        <v>100</v>
      </c>
      <c r="AY230" s="90">
        <f t="shared" si="77"/>
        <v>4</v>
      </c>
      <c r="AZ230" s="378">
        <v>0</v>
      </c>
      <c r="BA230" s="449" t="s">
        <v>3782</v>
      </c>
      <c r="BB230" s="247">
        <f t="shared" si="78"/>
        <v>100</v>
      </c>
      <c r="BC230" s="91">
        <f t="shared" si="79"/>
        <v>2</v>
      </c>
      <c r="BD230" s="325">
        <v>0</v>
      </c>
      <c r="BE230" s="325">
        <v>0</v>
      </c>
      <c r="BF230" s="325">
        <v>1</v>
      </c>
      <c r="BG230" s="252">
        <f t="shared" si="80"/>
        <v>1</v>
      </c>
      <c r="BH230" s="246">
        <f t="shared" si="81"/>
        <v>75</v>
      </c>
      <c r="BI230" s="90">
        <f t="shared" si="82"/>
        <v>0.75</v>
      </c>
      <c r="BJ230" s="325">
        <v>0</v>
      </c>
      <c r="BK230" s="247">
        <f t="shared" si="83"/>
        <v>100</v>
      </c>
      <c r="BL230" s="94">
        <f t="shared" si="84"/>
        <v>2</v>
      </c>
      <c r="BM230" s="325">
        <v>1</v>
      </c>
      <c r="BN230" s="325">
        <v>0</v>
      </c>
      <c r="BO230" s="325">
        <v>0</v>
      </c>
      <c r="BP230" s="211">
        <f t="shared" si="85"/>
        <v>1</v>
      </c>
      <c r="BQ230" s="253">
        <f t="shared" si="86"/>
        <v>50</v>
      </c>
      <c r="BR230" s="99">
        <f t="shared" si="87"/>
        <v>0.5</v>
      </c>
      <c r="BS230" s="101">
        <f t="shared" si="88"/>
        <v>18.25</v>
      </c>
    </row>
    <row r="231" spans="1:71" x14ac:dyDescent="0.6">
      <c r="A231" s="373" t="s">
        <v>775</v>
      </c>
      <c r="B231" s="13" t="s">
        <v>3141</v>
      </c>
      <c r="C231" s="380" t="s">
        <v>64</v>
      </c>
      <c r="D231" s="351" t="s">
        <v>191</v>
      </c>
      <c r="E231" s="352" t="s">
        <v>178</v>
      </c>
      <c r="F231" s="352" t="s">
        <v>147</v>
      </c>
      <c r="G231" s="353">
        <v>28117</v>
      </c>
      <c r="H231" s="352" t="s">
        <v>830</v>
      </c>
      <c r="I231" s="352" t="s">
        <v>790</v>
      </c>
      <c r="J231" s="352" t="s">
        <v>1206</v>
      </c>
      <c r="K231" s="352" t="s">
        <v>690</v>
      </c>
      <c r="L231" s="381">
        <v>418548891</v>
      </c>
      <c r="M231" s="376">
        <v>263651210</v>
      </c>
      <c r="N231" s="376">
        <v>154897681</v>
      </c>
      <c r="O231" s="376">
        <v>319394587</v>
      </c>
      <c r="P231" s="376">
        <v>15318484</v>
      </c>
      <c r="Q231" s="376">
        <v>13458495</v>
      </c>
      <c r="R231" s="376">
        <v>11843676</v>
      </c>
      <c r="S231" s="325">
        <v>0</v>
      </c>
      <c r="T231" s="246">
        <f t="shared" si="72"/>
        <v>100</v>
      </c>
      <c r="U231" s="77">
        <f t="shared" si="73"/>
        <v>2</v>
      </c>
      <c r="V231" s="377">
        <v>0</v>
      </c>
      <c r="W231" s="377">
        <v>0</v>
      </c>
      <c r="X231" s="377">
        <v>0</v>
      </c>
      <c r="Y231" s="377">
        <v>0</v>
      </c>
      <c r="Z231" s="377">
        <v>0</v>
      </c>
      <c r="AA231" s="377">
        <v>0</v>
      </c>
      <c r="AB231" s="377">
        <v>0</v>
      </c>
      <c r="AC231" s="247">
        <f t="shared" si="74"/>
        <v>0</v>
      </c>
      <c r="AD231" s="247">
        <f t="shared" si="75"/>
        <v>100</v>
      </c>
      <c r="AE231" s="82">
        <f t="shared" si="95"/>
        <v>5</v>
      </c>
      <c r="AF231" s="377">
        <v>0</v>
      </c>
      <c r="AG231" s="377">
        <v>0</v>
      </c>
      <c r="AH231" s="247">
        <f t="shared" si="90"/>
        <v>0</v>
      </c>
      <c r="AI231" s="247">
        <f t="shared" si="91"/>
        <v>100</v>
      </c>
      <c r="AJ231" s="82">
        <f t="shared" si="92"/>
        <v>3</v>
      </c>
      <c r="AK231" s="367" t="s">
        <v>2902</v>
      </c>
      <c r="AL231" s="367" t="s">
        <v>2902</v>
      </c>
      <c r="AM231" s="367" t="s">
        <v>2902</v>
      </c>
      <c r="AN231" s="367" t="s">
        <v>2902</v>
      </c>
      <c r="AO231" s="367" t="s">
        <v>2902</v>
      </c>
      <c r="AP231" s="296" t="s">
        <v>2326</v>
      </c>
      <c r="AQ231" s="296" t="s">
        <v>2326</v>
      </c>
      <c r="AR231" s="297"/>
      <c r="AS231" s="367" t="s">
        <v>2902</v>
      </c>
      <c r="AT231" s="367" t="s">
        <v>2902</v>
      </c>
      <c r="AU231" s="296" t="s">
        <v>2326</v>
      </c>
      <c r="AV231" s="297"/>
      <c r="AW231" s="325">
        <v>1</v>
      </c>
      <c r="AX231" s="247">
        <f t="shared" si="76"/>
        <v>100</v>
      </c>
      <c r="AY231" s="90">
        <f t="shared" si="77"/>
        <v>4</v>
      </c>
      <c r="AZ231" s="378">
        <v>0</v>
      </c>
      <c r="BA231" s="449" t="s">
        <v>3782</v>
      </c>
      <c r="BB231" s="247">
        <f t="shared" si="78"/>
        <v>100</v>
      </c>
      <c r="BC231" s="91">
        <f t="shared" si="79"/>
        <v>2</v>
      </c>
      <c r="BD231" s="325">
        <v>0</v>
      </c>
      <c r="BE231" s="325">
        <v>0</v>
      </c>
      <c r="BF231" s="325">
        <v>0</v>
      </c>
      <c r="BG231" s="252">
        <f t="shared" si="80"/>
        <v>0</v>
      </c>
      <c r="BH231" s="246">
        <f t="shared" si="81"/>
        <v>100</v>
      </c>
      <c r="BI231" s="90">
        <f t="shared" si="82"/>
        <v>1</v>
      </c>
      <c r="BJ231" s="325">
        <v>0</v>
      </c>
      <c r="BK231" s="247">
        <f t="shared" si="83"/>
        <v>100</v>
      </c>
      <c r="BL231" s="94">
        <f t="shared" si="84"/>
        <v>2</v>
      </c>
      <c r="BM231" s="325">
        <v>0</v>
      </c>
      <c r="BN231" s="325">
        <v>0</v>
      </c>
      <c r="BO231" s="325">
        <v>1</v>
      </c>
      <c r="BP231" s="211">
        <f t="shared" si="85"/>
        <v>1</v>
      </c>
      <c r="BQ231" s="253">
        <f t="shared" si="86"/>
        <v>50</v>
      </c>
      <c r="BR231" s="99">
        <f t="shared" si="87"/>
        <v>0.5</v>
      </c>
      <c r="BS231" s="101">
        <f t="shared" si="88"/>
        <v>19.5</v>
      </c>
    </row>
    <row r="232" spans="1:71" x14ac:dyDescent="0.6">
      <c r="A232" s="373" t="s">
        <v>843</v>
      </c>
      <c r="B232" s="1" t="s">
        <v>3142</v>
      </c>
      <c r="C232" s="380" t="s">
        <v>537</v>
      </c>
      <c r="D232" s="351" t="s">
        <v>191</v>
      </c>
      <c r="E232" s="352" t="s">
        <v>34</v>
      </c>
      <c r="F232" s="352" t="s">
        <v>282</v>
      </c>
      <c r="G232" s="353">
        <v>41614</v>
      </c>
      <c r="H232" s="352" t="s">
        <v>830</v>
      </c>
      <c r="I232" s="352" t="s">
        <v>819</v>
      </c>
      <c r="J232" s="352" t="s">
        <v>1112</v>
      </c>
      <c r="K232" s="352" t="s">
        <v>91</v>
      </c>
      <c r="L232" s="381">
        <v>1097011146</v>
      </c>
      <c r="M232" s="376">
        <v>479043111</v>
      </c>
      <c r="N232" s="376">
        <v>617968035</v>
      </c>
      <c r="O232" s="376">
        <v>1472343921</v>
      </c>
      <c r="P232" s="376">
        <v>107106911</v>
      </c>
      <c r="Q232" s="376">
        <v>100951688</v>
      </c>
      <c r="R232" s="376">
        <v>82941336</v>
      </c>
      <c r="S232" s="325">
        <v>0</v>
      </c>
      <c r="T232" s="246">
        <f t="shared" si="72"/>
        <v>100</v>
      </c>
      <c r="U232" s="77">
        <f t="shared" si="73"/>
        <v>2</v>
      </c>
      <c r="V232" s="377">
        <v>0</v>
      </c>
      <c r="W232" s="377">
        <v>0</v>
      </c>
      <c r="X232" s="377">
        <v>0</v>
      </c>
      <c r="Y232" s="377">
        <v>0</v>
      </c>
      <c r="Z232" s="377">
        <v>0</v>
      </c>
      <c r="AA232" s="377">
        <v>0</v>
      </c>
      <c r="AB232" s="377">
        <v>0</v>
      </c>
      <c r="AC232" s="247">
        <f t="shared" si="74"/>
        <v>0</v>
      </c>
      <c r="AD232" s="247">
        <f t="shared" si="75"/>
        <v>100</v>
      </c>
      <c r="AE232" s="82">
        <f t="shared" si="95"/>
        <v>5</v>
      </c>
      <c r="AF232" s="377">
        <v>0</v>
      </c>
      <c r="AG232" s="377">
        <v>0</v>
      </c>
      <c r="AH232" s="247">
        <f t="shared" si="90"/>
        <v>0</v>
      </c>
      <c r="AI232" s="247">
        <f t="shared" si="91"/>
        <v>100</v>
      </c>
      <c r="AJ232" s="82">
        <f t="shared" si="92"/>
        <v>3</v>
      </c>
      <c r="AK232" s="367" t="s">
        <v>2902</v>
      </c>
      <c r="AL232" s="367" t="s">
        <v>2902</v>
      </c>
      <c r="AM232" s="367" t="s">
        <v>2902</v>
      </c>
      <c r="AN232" s="367" t="s">
        <v>2902</v>
      </c>
      <c r="AO232" s="367" t="s">
        <v>2902</v>
      </c>
      <c r="AP232" s="296" t="s">
        <v>2326</v>
      </c>
      <c r="AQ232" s="296" t="s">
        <v>2326</v>
      </c>
      <c r="AR232" s="297"/>
      <c r="AS232" s="367" t="s">
        <v>2902</v>
      </c>
      <c r="AT232" s="367" t="s">
        <v>2902</v>
      </c>
      <c r="AU232" s="296" t="s">
        <v>2326</v>
      </c>
      <c r="AV232" s="297"/>
      <c r="AW232" s="325">
        <v>0</v>
      </c>
      <c r="AX232" s="247">
        <f t="shared" si="76"/>
        <v>50</v>
      </c>
      <c r="AY232" s="90">
        <f t="shared" si="77"/>
        <v>2</v>
      </c>
      <c r="AZ232" s="378">
        <v>0</v>
      </c>
      <c r="BA232" s="449" t="s">
        <v>3782</v>
      </c>
      <c r="BB232" s="247">
        <f t="shared" si="78"/>
        <v>100</v>
      </c>
      <c r="BC232" s="91">
        <f t="shared" si="79"/>
        <v>2</v>
      </c>
      <c r="BD232" s="325">
        <v>0</v>
      </c>
      <c r="BE232" s="325">
        <v>0</v>
      </c>
      <c r="BF232" s="325">
        <v>0</v>
      </c>
      <c r="BG232" s="252">
        <f t="shared" si="80"/>
        <v>0</v>
      </c>
      <c r="BH232" s="246">
        <f t="shared" si="81"/>
        <v>100</v>
      </c>
      <c r="BI232" s="90">
        <f t="shared" si="82"/>
        <v>1</v>
      </c>
      <c r="BJ232" s="325">
        <v>0</v>
      </c>
      <c r="BK232" s="247">
        <f t="shared" si="83"/>
        <v>100</v>
      </c>
      <c r="BL232" s="94">
        <f t="shared" si="84"/>
        <v>2</v>
      </c>
      <c r="BM232" s="325">
        <v>0</v>
      </c>
      <c r="BN232" s="325">
        <v>0</v>
      </c>
      <c r="BO232" s="325">
        <v>0</v>
      </c>
      <c r="BP232" s="211">
        <f t="shared" si="85"/>
        <v>0</v>
      </c>
      <c r="BQ232" s="253">
        <f t="shared" si="86"/>
        <v>25</v>
      </c>
      <c r="BR232" s="99">
        <f t="shared" si="87"/>
        <v>0.25</v>
      </c>
      <c r="BS232" s="101">
        <f t="shared" si="88"/>
        <v>17.25</v>
      </c>
    </row>
    <row r="233" spans="1:71" x14ac:dyDescent="0.6">
      <c r="A233" s="373" t="s">
        <v>799</v>
      </c>
      <c r="B233" s="13" t="s">
        <v>3143</v>
      </c>
      <c r="C233" s="380" t="s">
        <v>546</v>
      </c>
      <c r="D233" s="351" t="s">
        <v>191</v>
      </c>
      <c r="E233" s="352" t="s">
        <v>554</v>
      </c>
      <c r="F233" s="352" t="s">
        <v>218</v>
      </c>
      <c r="G233" s="353">
        <v>43768</v>
      </c>
      <c r="H233" s="352" t="s">
        <v>830</v>
      </c>
      <c r="I233" s="352" t="s">
        <v>842</v>
      </c>
      <c r="J233" s="352" t="s">
        <v>1131</v>
      </c>
      <c r="K233" s="352" t="s">
        <v>690</v>
      </c>
      <c r="L233" s="381">
        <v>740602270</v>
      </c>
      <c r="M233" s="376">
        <v>262924064</v>
      </c>
      <c r="N233" s="376">
        <v>477678206</v>
      </c>
      <c r="O233" s="376">
        <v>269751716</v>
      </c>
      <c r="P233" s="376">
        <v>21819621</v>
      </c>
      <c r="Q233" s="376">
        <v>9990377</v>
      </c>
      <c r="R233" s="376">
        <v>2417491</v>
      </c>
      <c r="S233" s="325">
        <v>1</v>
      </c>
      <c r="T233" s="246">
        <f t="shared" si="72"/>
        <v>50</v>
      </c>
      <c r="U233" s="77">
        <f t="shared" si="73"/>
        <v>1</v>
      </c>
      <c r="V233" s="377">
        <v>0</v>
      </c>
      <c r="W233" s="377">
        <v>0</v>
      </c>
      <c r="X233" s="377">
        <v>0</v>
      </c>
      <c r="Y233" s="377">
        <v>0</v>
      </c>
      <c r="Z233" s="377">
        <v>0</v>
      </c>
      <c r="AA233" s="377">
        <v>0</v>
      </c>
      <c r="AB233" s="377">
        <v>0</v>
      </c>
      <c r="AC233" s="247">
        <f t="shared" si="74"/>
        <v>0</v>
      </c>
      <c r="AD233" s="247">
        <f t="shared" si="75"/>
        <v>100</v>
      </c>
      <c r="AE233" s="82">
        <f t="shared" si="95"/>
        <v>5</v>
      </c>
      <c r="AF233" s="377">
        <v>0</v>
      </c>
      <c r="AG233" s="377">
        <v>0</v>
      </c>
      <c r="AH233" s="247">
        <f t="shared" si="90"/>
        <v>0</v>
      </c>
      <c r="AI233" s="247">
        <f t="shared" si="91"/>
        <v>100</v>
      </c>
      <c r="AJ233" s="82">
        <f t="shared" si="92"/>
        <v>3</v>
      </c>
      <c r="AK233" s="367" t="s">
        <v>2902</v>
      </c>
      <c r="AL233" s="367" t="s">
        <v>2902</v>
      </c>
      <c r="AM233" s="367" t="s">
        <v>2902</v>
      </c>
      <c r="AN233" s="367" t="s">
        <v>2902</v>
      </c>
      <c r="AO233" s="367" t="s">
        <v>2902</v>
      </c>
      <c r="AP233" s="296" t="s">
        <v>2326</v>
      </c>
      <c r="AQ233" s="296" t="s">
        <v>2326</v>
      </c>
      <c r="AR233" s="297"/>
      <c r="AS233" s="367" t="s">
        <v>2902</v>
      </c>
      <c r="AT233" s="367" t="s">
        <v>2902</v>
      </c>
      <c r="AU233" s="296" t="s">
        <v>2326</v>
      </c>
      <c r="AV233" s="297"/>
      <c r="AW233" s="325">
        <v>1</v>
      </c>
      <c r="AX233" s="247">
        <f t="shared" si="76"/>
        <v>100</v>
      </c>
      <c r="AY233" s="90">
        <f t="shared" si="77"/>
        <v>4</v>
      </c>
      <c r="AZ233" s="378">
        <v>0</v>
      </c>
      <c r="BA233" s="449" t="s">
        <v>3782</v>
      </c>
      <c r="BB233" s="247">
        <f t="shared" si="78"/>
        <v>100</v>
      </c>
      <c r="BC233" s="91">
        <f t="shared" si="79"/>
        <v>2</v>
      </c>
      <c r="BD233" s="325">
        <v>0</v>
      </c>
      <c r="BE233" s="325">
        <v>0</v>
      </c>
      <c r="BF233" s="325">
        <v>0</v>
      </c>
      <c r="BG233" s="252">
        <f t="shared" si="80"/>
        <v>0</v>
      </c>
      <c r="BH233" s="246">
        <f t="shared" si="81"/>
        <v>100</v>
      </c>
      <c r="BI233" s="90">
        <f t="shared" si="82"/>
        <v>1</v>
      </c>
      <c r="BJ233" s="325">
        <v>0</v>
      </c>
      <c r="BK233" s="247">
        <f t="shared" si="83"/>
        <v>100</v>
      </c>
      <c r="BL233" s="94">
        <f t="shared" si="84"/>
        <v>2</v>
      </c>
      <c r="BM233" s="325">
        <v>0</v>
      </c>
      <c r="BN233" s="325">
        <v>0</v>
      </c>
      <c r="BO233" s="325">
        <v>1</v>
      </c>
      <c r="BP233" s="211">
        <f t="shared" si="85"/>
        <v>1</v>
      </c>
      <c r="BQ233" s="253">
        <f t="shared" si="86"/>
        <v>50</v>
      </c>
      <c r="BR233" s="99">
        <f t="shared" si="87"/>
        <v>0.5</v>
      </c>
      <c r="BS233" s="101">
        <f t="shared" si="88"/>
        <v>18.5</v>
      </c>
    </row>
    <row r="234" spans="1:71" x14ac:dyDescent="0.6">
      <c r="A234" s="373" t="s">
        <v>1822</v>
      </c>
      <c r="B234" s="13" t="s">
        <v>3144</v>
      </c>
      <c r="C234" s="380" t="s">
        <v>1823</v>
      </c>
      <c r="D234" s="315" t="s">
        <v>203</v>
      </c>
      <c r="E234" s="352" t="s">
        <v>246</v>
      </c>
      <c r="F234" s="352" t="s">
        <v>1824</v>
      </c>
      <c r="G234" s="353">
        <v>26841</v>
      </c>
      <c r="H234" s="352" t="s">
        <v>830</v>
      </c>
      <c r="I234" s="352" t="s">
        <v>1825</v>
      </c>
      <c r="J234" s="352" t="s">
        <v>1826</v>
      </c>
      <c r="K234" s="352" t="s">
        <v>50</v>
      </c>
      <c r="L234" s="381">
        <v>59360094</v>
      </c>
      <c r="M234" s="376">
        <v>18306208</v>
      </c>
      <c r="N234" s="376">
        <v>41053886</v>
      </c>
      <c r="O234" s="376">
        <v>58845136</v>
      </c>
      <c r="P234" s="376">
        <v>3368252</v>
      </c>
      <c r="Q234" s="376">
        <v>5181465</v>
      </c>
      <c r="R234" s="376">
        <v>4397506</v>
      </c>
      <c r="S234" s="325">
        <v>0</v>
      </c>
      <c r="T234" s="246">
        <f t="shared" si="72"/>
        <v>100</v>
      </c>
      <c r="U234" s="77">
        <f t="shared" si="73"/>
        <v>2</v>
      </c>
      <c r="V234" s="377">
        <v>0</v>
      </c>
      <c r="W234" s="377">
        <v>0</v>
      </c>
      <c r="X234" s="377">
        <v>0</v>
      </c>
      <c r="Y234" s="377">
        <v>0</v>
      </c>
      <c r="Z234" s="377">
        <v>0</v>
      </c>
      <c r="AA234" s="377">
        <v>0</v>
      </c>
      <c r="AB234" s="377">
        <v>0</v>
      </c>
      <c r="AC234" s="247">
        <f t="shared" si="74"/>
        <v>0</v>
      </c>
      <c r="AD234" s="247">
        <f t="shared" si="75"/>
        <v>100</v>
      </c>
      <c r="AE234" s="82">
        <f t="shared" si="95"/>
        <v>5</v>
      </c>
      <c r="AF234" s="377">
        <v>0</v>
      </c>
      <c r="AG234" s="377">
        <v>0</v>
      </c>
      <c r="AH234" s="247">
        <f t="shared" si="90"/>
        <v>0</v>
      </c>
      <c r="AI234" s="247">
        <f t="shared" si="91"/>
        <v>100</v>
      </c>
      <c r="AJ234" s="82">
        <f t="shared" si="92"/>
        <v>3</v>
      </c>
      <c r="AK234" s="367" t="s">
        <v>2902</v>
      </c>
      <c r="AL234" s="367" t="s">
        <v>2902</v>
      </c>
      <c r="AM234" s="367" t="s">
        <v>2902</v>
      </c>
      <c r="AN234" s="367" t="s">
        <v>2902</v>
      </c>
      <c r="AO234" s="367" t="s">
        <v>2902</v>
      </c>
      <c r="AP234" s="296" t="s">
        <v>2326</v>
      </c>
      <c r="AQ234" s="296" t="s">
        <v>2326</v>
      </c>
      <c r="AR234" s="297"/>
      <c r="AS234" s="367" t="s">
        <v>2902</v>
      </c>
      <c r="AT234" s="367" t="s">
        <v>2902</v>
      </c>
      <c r="AU234" s="296" t="s">
        <v>2326</v>
      </c>
      <c r="AV234" s="297"/>
      <c r="AW234" s="325">
        <v>0</v>
      </c>
      <c r="AX234" s="247">
        <f t="shared" si="76"/>
        <v>50</v>
      </c>
      <c r="AY234" s="90">
        <f t="shared" si="77"/>
        <v>2</v>
      </c>
      <c r="AZ234" s="378">
        <v>0</v>
      </c>
      <c r="BA234" s="449" t="s">
        <v>3782</v>
      </c>
      <c r="BB234" s="247">
        <f t="shared" si="78"/>
        <v>100</v>
      </c>
      <c r="BC234" s="91">
        <f t="shared" si="79"/>
        <v>2</v>
      </c>
      <c r="BD234" s="325">
        <v>0</v>
      </c>
      <c r="BE234" s="325">
        <v>0</v>
      </c>
      <c r="BF234" s="325">
        <v>0</v>
      </c>
      <c r="BG234" s="252">
        <f t="shared" si="80"/>
        <v>0</v>
      </c>
      <c r="BH234" s="246">
        <f t="shared" si="81"/>
        <v>100</v>
      </c>
      <c r="BI234" s="90">
        <f t="shared" si="82"/>
        <v>1</v>
      </c>
      <c r="BJ234" s="325">
        <v>0</v>
      </c>
      <c r="BK234" s="247">
        <f t="shared" si="83"/>
        <v>100</v>
      </c>
      <c r="BL234" s="94">
        <f t="shared" si="84"/>
        <v>2</v>
      </c>
      <c r="BM234" s="325">
        <v>0</v>
      </c>
      <c r="BN234" s="325">
        <v>0</v>
      </c>
      <c r="BO234" s="325">
        <v>1</v>
      </c>
      <c r="BP234" s="211">
        <f t="shared" si="85"/>
        <v>1</v>
      </c>
      <c r="BQ234" s="253">
        <f t="shared" si="86"/>
        <v>50</v>
      </c>
      <c r="BR234" s="99">
        <f t="shared" si="87"/>
        <v>0.5</v>
      </c>
      <c r="BS234" s="101">
        <f t="shared" si="88"/>
        <v>17.5</v>
      </c>
    </row>
    <row r="235" spans="1:71" x14ac:dyDescent="0.6">
      <c r="A235" s="373" t="s">
        <v>29</v>
      </c>
      <c r="B235" s="13" t="s">
        <v>3145</v>
      </c>
      <c r="C235" s="380" t="s">
        <v>8</v>
      </c>
      <c r="D235" s="351" t="s">
        <v>203</v>
      </c>
      <c r="E235" s="352" t="s">
        <v>246</v>
      </c>
      <c r="F235" s="352" t="s">
        <v>1105</v>
      </c>
      <c r="G235" s="353">
        <v>32781</v>
      </c>
      <c r="H235" s="352" t="s">
        <v>830</v>
      </c>
      <c r="I235" s="352" t="s">
        <v>1825</v>
      </c>
      <c r="J235" s="352" t="s">
        <v>1234</v>
      </c>
      <c r="K235" s="352" t="s">
        <v>690</v>
      </c>
      <c r="L235" s="381">
        <v>45482659</v>
      </c>
      <c r="M235" s="376">
        <v>14914195</v>
      </c>
      <c r="N235" s="376">
        <v>30568464</v>
      </c>
      <c r="O235" s="376">
        <v>50246842</v>
      </c>
      <c r="P235" s="376">
        <v>3199040</v>
      </c>
      <c r="Q235" s="376">
        <v>3233292</v>
      </c>
      <c r="R235" s="376">
        <v>3418425</v>
      </c>
      <c r="S235" s="325">
        <v>0</v>
      </c>
      <c r="T235" s="246">
        <f t="shared" si="72"/>
        <v>100</v>
      </c>
      <c r="U235" s="77">
        <f t="shared" si="73"/>
        <v>2</v>
      </c>
      <c r="V235" s="377">
        <v>0</v>
      </c>
      <c r="W235" s="377">
        <v>0</v>
      </c>
      <c r="X235" s="377">
        <v>0</v>
      </c>
      <c r="Y235" s="377">
        <v>0</v>
      </c>
      <c r="Z235" s="377">
        <v>0</v>
      </c>
      <c r="AA235" s="377">
        <v>0</v>
      </c>
      <c r="AB235" s="377">
        <v>0</v>
      </c>
      <c r="AC235" s="247">
        <f t="shared" si="74"/>
        <v>0</v>
      </c>
      <c r="AD235" s="247">
        <f t="shared" si="75"/>
        <v>100</v>
      </c>
      <c r="AE235" s="82">
        <f t="shared" si="95"/>
        <v>5</v>
      </c>
      <c r="AF235" s="377">
        <v>0</v>
      </c>
      <c r="AG235" s="377">
        <v>0</v>
      </c>
      <c r="AH235" s="247">
        <f t="shared" si="90"/>
        <v>0</v>
      </c>
      <c r="AI235" s="247">
        <f t="shared" si="91"/>
        <v>100</v>
      </c>
      <c r="AJ235" s="82">
        <f t="shared" si="92"/>
        <v>3</v>
      </c>
      <c r="AK235" s="367" t="s">
        <v>2902</v>
      </c>
      <c r="AL235" s="367" t="s">
        <v>2902</v>
      </c>
      <c r="AM235" s="367" t="s">
        <v>2902</v>
      </c>
      <c r="AN235" s="367" t="s">
        <v>2902</v>
      </c>
      <c r="AO235" s="367" t="s">
        <v>2902</v>
      </c>
      <c r="AP235" s="296" t="s">
        <v>2326</v>
      </c>
      <c r="AQ235" s="296" t="s">
        <v>2326</v>
      </c>
      <c r="AR235" s="297"/>
      <c r="AS235" s="367" t="s">
        <v>2902</v>
      </c>
      <c r="AT235" s="367" t="s">
        <v>2902</v>
      </c>
      <c r="AU235" s="296" t="s">
        <v>2326</v>
      </c>
      <c r="AV235" s="297"/>
      <c r="AW235" s="325">
        <v>0</v>
      </c>
      <c r="AX235" s="247">
        <f t="shared" si="76"/>
        <v>50</v>
      </c>
      <c r="AY235" s="90">
        <f t="shared" si="77"/>
        <v>2</v>
      </c>
      <c r="AZ235" s="378">
        <v>0</v>
      </c>
      <c r="BA235" s="449" t="s">
        <v>3782</v>
      </c>
      <c r="BB235" s="247">
        <f t="shared" si="78"/>
        <v>100</v>
      </c>
      <c r="BC235" s="91">
        <f t="shared" si="79"/>
        <v>2</v>
      </c>
      <c r="BD235" s="325">
        <v>0</v>
      </c>
      <c r="BE235" s="325">
        <v>0</v>
      </c>
      <c r="BF235" s="325">
        <v>0</v>
      </c>
      <c r="BG235" s="252">
        <f t="shared" si="80"/>
        <v>0</v>
      </c>
      <c r="BH235" s="246">
        <f t="shared" si="81"/>
        <v>100</v>
      </c>
      <c r="BI235" s="90">
        <f t="shared" si="82"/>
        <v>1</v>
      </c>
      <c r="BJ235" s="325">
        <v>0</v>
      </c>
      <c r="BK235" s="247">
        <f t="shared" si="83"/>
        <v>100</v>
      </c>
      <c r="BL235" s="94">
        <f t="shared" si="84"/>
        <v>2</v>
      </c>
      <c r="BM235" s="325">
        <v>0</v>
      </c>
      <c r="BN235" s="325">
        <v>1</v>
      </c>
      <c r="BO235" s="325">
        <v>1</v>
      </c>
      <c r="BP235" s="211">
        <f t="shared" si="85"/>
        <v>2</v>
      </c>
      <c r="BQ235" s="253">
        <f t="shared" si="86"/>
        <v>75</v>
      </c>
      <c r="BR235" s="99">
        <f t="shared" si="87"/>
        <v>0.75</v>
      </c>
      <c r="BS235" s="101">
        <f t="shared" si="88"/>
        <v>17.75</v>
      </c>
    </row>
    <row r="236" spans="1:71" x14ac:dyDescent="0.6">
      <c r="A236" s="373" t="s">
        <v>335</v>
      </c>
      <c r="B236" s="13" t="s">
        <v>3146</v>
      </c>
      <c r="C236" s="380" t="s">
        <v>107</v>
      </c>
      <c r="D236" s="351" t="s">
        <v>285</v>
      </c>
      <c r="E236" s="352" t="s">
        <v>867</v>
      </c>
      <c r="F236" s="352" t="s">
        <v>1098</v>
      </c>
      <c r="G236" s="353">
        <v>28301</v>
      </c>
      <c r="H236" s="352" t="s">
        <v>830</v>
      </c>
      <c r="I236" s="352" t="s">
        <v>766</v>
      </c>
      <c r="J236" s="352" t="s">
        <v>1195</v>
      </c>
      <c r="K236" s="352" t="s">
        <v>346</v>
      </c>
      <c r="L236" s="381">
        <v>451746879</v>
      </c>
      <c r="M236" s="376">
        <v>227013990</v>
      </c>
      <c r="N236" s="376">
        <v>224732889</v>
      </c>
      <c r="O236" s="376">
        <v>628936049</v>
      </c>
      <c r="P236" s="376">
        <v>50682533</v>
      </c>
      <c r="Q236" s="376">
        <v>53220599</v>
      </c>
      <c r="R236" s="376">
        <v>49560577</v>
      </c>
      <c r="S236" s="325">
        <v>1</v>
      </c>
      <c r="T236" s="246">
        <f t="shared" si="72"/>
        <v>50</v>
      </c>
      <c r="U236" s="77">
        <f t="shared" si="73"/>
        <v>1</v>
      </c>
      <c r="V236" s="377">
        <v>0</v>
      </c>
      <c r="W236" s="377">
        <v>0</v>
      </c>
      <c r="X236" s="377">
        <v>0</v>
      </c>
      <c r="Y236" s="377">
        <v>0</v>
      </c>
      <c r="Z236" s="377">
        <v>0</v>
      </c>
      <c r="AA236" s="377">
        <v>0</v>
      </c>
      <c r="AB236" s="377">
        <v>0</v>
      </c>
      <c r="AC236" s="247">
        <f t="shared" si="74"/>
        <v>0</v>
      </c>
      <c r="AD236" s="247">
        <f t="shared" si="75"/>
        <v>100</v>
      </c>
      <c r="AE236" s="82">
        <f t="shared" si="95"/>
        <v>5</v>
      </c>
      <c r="AF236" s="377">
        <v>0</v>
      </c>
      <c r="AG236" s="377">
        <v>0</v>
      </c>
      <c r="AH236" s="247">
        <f t="shared" si="90"/>
        <v>0</v>
      </c>
      <c r="AI236" s="247">
        <f t="shared" si="91"/>
        <v>100</v>
      </c>
      <c r="AJ236" s="82">
        <f t="shared" si="92"/>
        <v>3</v>
      </c>
      <c r="AK236" s="367" t="s">
        <v>2902</v>
      </c>
      <c r="AL236" s="367" t="s">
        <v>2902</v>
      </c>
      <c r="AM236" s="367" t="s">
        <v>2902</v>
      </c>
      <c r="AN236" s="367" t="s">
        <v>2902</v>
      </c>
      <c r="AO236" s="367" t="s">
        <v>2902</v>
      </c>
      <c r="AP236" s="296" t="s">
        <v>2326</v>
      </c>
      <c r="AQ236" s="296" t="s">
        <v>2326</v>
      </c>
      <c r="AR236" s="297"/>
      <c r="AS236" s="367" t="s">
        <v>2902</v>
      </c>
      <c r="AT236" s="367" t="s">
        <v>2902</v>
      </c>
      <c r="AU236" s="296" t="s">
        <v>2326</v>
      </c>
      <c r="AV236" s="297"/>
      <c r="AW236" s="325">
        <v>1</v>
      </c>
      <c r="AX236" s="247">
        <f t="shared" si="76"/>
        <v>100</v>
      </c>
      <c r="AY236" s="90">
        <f t="shared" si="77"/>
        <v>4</v>
      </c>
      <c r="AZ236" s="378">
        <v>0</v>
      </c>
      <c r="BA236" s="449" t="s">
        <v>3782</v>
      </c>
      <c r="BB236" s="247">
        <f t="shared" si="78"/>
        <v>100</v>
      </c>
      <c r="BC236" s="91">
        <f t="shared" si="79"/>
        <v>2</v>
      </c>
      <c r="BD236" s="325">
        <v>0</v>
      </c>
      <c r="BE236" s="325">
        <v>0</v>
      </c>
      <c r="BF236" s="325">
        <v>0</v>
      </c>
      <c r="BG236" s="252">
        <f t="shared" si="80"/>
        <v>0</v>
      </c>
      <c r="BH236" s="246">
        <f t="shared" si="81"/>
        <v>100</v>
      </c>
      <c r="BI236" s="90">
        <f t="shared" si="82"/>
        <v>1</v>
      </c>
      <c r="BJ236" s="325">
        <v>0</v>
      </c>
      <c r="BK236" s="247">
        <f t="shared" si="83"/>
        <v>100</v>
      </c>
      <c r="BL236" s="94">
        <f t="shared" si="84"/>
        <v>2</v>
      </c>
      <c r="BM236" s="325">
        <v>0</v>
      </c>
      <c r="BN236" s="325">
        <v>0</v>
      </c>
      <c r="BO236" s="325">
        <v>1</v>
      </c>
      <c r="BP236" s="211">
        <f t="shared" si="85"/>
        <v>1</v>
      </c>
      <c r="BQ236" s="253">
        <f t="shared" si="86"/>
        <v>50</v>
      </c>
      <c r="BR236" s="99">
        <f t="shared" si="87"/>
        <v>0.5</v>
      </c>
      <c r="BS236" s="101">
        <f t="shared" si="88"/>
        <v>18.5</v>
      </c>
    </row>
    <row r="237" spans="1:71" x14ac:dyDescent="0.6">
      <c r="A237" s="373" t="s">
        <v>1827</v>
      </c>
      <c r="B237" s="1" t="s">
        <v>3147</v>
      </c>
      <c r="C237" s="380" t="s">
        <v>1828</v>
      </c>
      <c r="D237" s="328" t="s">
        <v>88</v>
      </c>
      <c r="E237" s="352" t="s">
        <v>1585</v>
      </c>
      <c r="F237" s="352" t="s">
        <v>1829</v>
      </c>
      <c r="G237" s="353">
        <v>44414</v>
      </c>
      <c r="H237" s="352" t="s">
        <v>830</v>
      </c>
      <c r="I237" s="352" t="s">
        <v>1830</v>
      </c>
      <c r="J237" s="1" t="s">
        <v>3148</v>
      </c>
      <c r="K237" s="352" t="s">
        <v>690</v>
      </c>
      <c r="L237" s="381">
        <v>39516079000</v>
      </c>
      <c r="M237" s="376">
        <v>33800969000</v>
      </c>
      <c r="N237" s="376">
        <v>5715110000</v>
      </c>
      <c r="O237" s="376">
        <v>1605801000</v>
      </c>
      <c r="P237" s="376">
        <v>353186000</v>
      </c>
      <c r="Q237" s="376">
        <v>351733000</v>
      </c>
      <c r="R237" s="376">
        <v>263091000</v>
      </c>
      <c r="S237" s="325">
        <v>1</v>
      </c>
      <c r="T237" s="246">
        <f t="shared" si="72"/>
        <v>50</v>
      </c>
      <c r="U237" s="77">
        <f t="shared" si="73"/>
        <v>1</v>
      </c>
      <c r="V237" s="377">
        <v>0</v>
      </c>
      <c r="W237" s="377">
        <v>0</v>
      </c>
      <c r="X237" s="377">
        <v>0</v>
      </c>
      <c r="Y237" s="377">
        <v>0</v>
      </c>
      <c r="Z237" s="377">
        <v>0</v>
      </c>
      <c r="AA237" s="377">
        <v>0</v>
      </c>
      <c r="AB237" s="377">
        <v>0</v>
      </c>
      <c r="AC237" s="247">
        <f t="shared" si="74"/>
        <v>0</v>
      </c>
      <c r="AD237" s="247">
        <f t="shared" si="75"/>
        <v>100</v>
      </c>
      <c r="AE237" s="81">
        <f>AD237*0.02</f>
        <v>2</v>
      </c>
      <c r="AF237" s="360" t="s">
        <v>2902</v>
      </c>
      <c r="AG237" s="360" t="s">
        <v>2902</v>
      </c>
      <c r="AH237" s="248" t="s">
        <v>2326</v>
      </c>
      <c r="AI237" s="248" t="s">
        <v>2326</v>
      </c>
      <c r="AJ237" s="248"/>
      <c r="AK237" s="373">
        <v>0</v>
      </c>
      <c r="AL237" s="373">
        <v>0</v>
      </c>
      <c r="AM237" s="373">
        <v>0</v>
      </c>
      <c r="AN237" s="373">
        <v>4</v>
      </c>
      <c r="AO237" s="370" t="s">
        <v>3242</v>
      </c>
      <c r="AP237" s="249">
        <f>SUM(AK237:AN237)</f>
        <v>4</v>
      </c>
      <c r="AQ237" s="250">
        <f>IF(AP237=0, 100, IF(AP237=1, 75, IF(AP237=2, 50, 25)))</f>
        <v>25</v>
      </c>
      <c r="AR237" s="83">
        <f>AQ237*0.05</f>
        <v>1.25</v>
      </c>
      <c r="AS237" s="395">
        <v>5</v>
      </c>
      <c r="AT237" s="389" t="s">
        <v>3149</v>
      </c>
      <c r="AU237" s="251">
        <f>IF(AS237=0, 100, IF(AS237=1, 200/3, IF(AS237&gt;=2, 100/3)))</f>
        <v>33.333333333333336</v>
      </c>
      <c r="AV237" s="87">
        <f>AU237*0.01</f>
        <v>0.33333333333333337</v>
      </c>
      <c r="AW237" s="325">
        <v>0</v>
      </c>
      <c r="AX237" s="247">
        <f t="shared" si="76"/>
        <v>50</v>
      </c>
      <c r="AY237" s="90">
        <f t="shared" si="77"/>
        <v>2</v>
      </c>
      <c r="AZ237" s="378">
        <v>0</v>
      </c>
      <c r="BA237" s="449" t="s">
        <v>3782</v>
      </c>
      <c r="BB237" s="247">
        <f t="shared" si="78"/>
        <v>100</v>
      </c>
      <c r="BC237" s="91">
        <f t="shared" si="79"/>
        <v>2</v>
      </c>
      <c r="BD237" s="325">
        <v>0</v>
      </c>
      <c r="BE237" s="325">
        <v>0</v>
      </c>
      <c r="BF237" s="325">
        <v>0</v>
      </c>
      <c r="BG237" s="252">
        <f t="shared" si="80"/>
        <v>0</v>
      </c>
      <c r="BH237" s="246">
        <f t="shared" si="81"/>
        <v>100</v>
      </c>
      <c r="BI237" s="90">
        <f t="shared" si="82"/>
        <v>1</v>
      </c>
      <c r="BJ237" s="325">
        <v>0</v>
      </c>
      <c r="BK237" s="247">
        <f t="shared" si="83"/>
        <v>100</v>
      </c>
      <c r="BL237" s="94">
        <f t="shared" si="84"/>
        <v>2</v>
      </c>
      <c r="BM237" s="325">
        <v>0</v>
      </c>
      <c r="BN237" s="325">
        <v>1</v>
      </c>
      <c r="BO237" s="325">
        <v>1</v>
      </c>
      <c r="BP237" s="211">
        <f t="shared" si="85"/>
        <v>2</v>
      </c>
      <c r="BQ237" s="253">
        <f t="shared" si="86"/>
        <v>75</v>
      </c>
      <c r="BR237" s="99">
        <f t="shared" si="87"/>
        <v>0.75</v>
      </c>
      <c r="BS237" s="101">
        <f t="shared" si="88"/>
        <v>12.333333333333332</v>
      </c>
    </row>
    <row r="238" spans="1:71" x14ac:dyDescent="0.6">
      <c r="A238" s="373" t="s">
        <v>828</v>
      </c>
      <c r="B238" s="13" t="s">
        <v>3150</v>
      </c>
      <c r="C238" s="380" t="s">
        <v>541</v>
      </c>
      <c r="D238" s="351" t="s">
        <v>202</v>
      </c>
      <c r="E238" s="352" t="s">
        <v>161</v>
      </c>
      <c r="F238" s="352" t="s">
        <v>1202</v>
      </c>
      <c r="G238" s="353">
        <v>35759</v>
      </c>
      <c r="H238" s="352" t="s">
        <v>830</v>
      </c>
      <c r="I238" s="352" t="s">
        <v>1831</v>
      </c>
      <c r="J238" s="352" t="s">
        <v>1092</v>
      </c>
      <c r="K238" s="352" t="s">
        <v>690</v>
      </c>
      <c r="L238" s="381">
        <v>620348530</v>
      </c>
      <c r="M238" s="376">
        <v>68839722</v>
      </c>
      <c r="N238" s="376">
        <v>551508808</v>
      </c>
      <c r="O238" s="376">
        <v>211778911</v>
      </c>
      <c r="P238" s="376">
        <v>46883729</v>
      </c>
      <c r="Q238" s="376">
        <v>54068760</v>
      </c>
      <c r="R238" s="376">
        <v>46885493</v>
      </c>
      <c r="S238" s="325">
        <v>0</v>
      </c>
      <c r="T238" s="246">
        <f t="shared" si="72"/>
        <v>100</v>
      </c>
      <c r="U238" s="77">
        <f t="shared" si="73"/>
        <v>2</v>
      </c>
      <c r="V238" s="377">
        <v>0</v>
      </c>
      <c r="W238" s="377">
        <v>0</v>
      </c>
      <c r="X238" s="377">
        <v>0</v>
      </c>
      <c r="Y238" s="377">
        <v>0</v>
      </c>
      <c r="Z238" s="377">
        <v>0</v>
      </c>
      <c r="AA238" s="377">
        <v>0</v>
      </c>
      <c r="AB238" s="377">
        <v>0</v>
      </c>
      <c r="AC238" s="247">
        <f t="shared" si="74"/>
        <v>0</v>
      </c>
      <c r="AD238" s="247">
        <f t="shared" si="75"/>
        <v>100</v>
      </c>
      <c r="AE238" s="82">
        <f t="shared" ref="AE238:AE246" si="96">AD238*0.05</f>
        <v>5</v>
      </c>
      <c r="AF238" s="377">
        <v>0</v>
      </c>
      <c r="AG238" s="377">
        <v>0</v>
      </c>
      <c r="AH238" s="247">
        <f t="shared" si="90"/>
        <v>0</v>
      </c>
      <c r="AI238" s="247">
        <f t="shared" si="91"/>
        <v>100</v>
      </c>
      <c r="AJ238" s="82">
        <f t="shared" si="92"/>
        <v>3</v>
      </c>
      <c r="AK238" s="367" t="s">
        <v>2902</v>
      </c>
      <c r="AL238" s="367" t="s">
        <v>2902</v>
      </c>
      <c r="AM238" s="367" t="s">
        <v>2902</v>
      </c>
      <c r="AN238" s="367" t="s">
        <v>2902</v>
      </c>
      <c r="AO238" s="367" t="s">
        <v>2902</v>
      </c>
      <c r="AP238" s="296" t="s">
        <v>2326</v>
      </c>
      <c r="AQ238" s="296" t="s">
        <v>2326</v>
      </c>
      <c r="AR238" s="297"/>
      <c r="AS238" s="367" t="s">
        <v>2902</v>
      </c>
      <c r="AT238" s="367" t="s">
        <v>2902</v>
      </c>
      <c r="AU238" s="296" t="s">
        <v>2326</v>
      </c>
      <c r="AV238" s="297"/>
      <c r="AW238" s="325">
        <v>1</v>
      </c>
      <c r="AX238" s="247">
        <f t="shared" si="76"/>
        <v>100</v>
      </c>
      <c r="AY238" s="90">
        <f t="shared" si="77"/>
        <v>4</v>
      </c>
      <c r="AZ238" s="378">
        <v>0</v>
      </c>
      <c r="BA238" s="449" t="s">
        <v>3782</v>
      </c>
      <c r="BB238" s="247">
        <f t="shared" si="78"/>
        <v>100</v>
      </c>
      <c r="BC238" s="91">
        <f t="shared" si="79"/>
        <v>2</v>
      </c>
      <c r="BD238" s="325">
        <v>0</v>
      </c>
      <c r="BE238" s="325">
        <v>0</v>
      </c>
      <c r="BF238" s="325">
        <v>0</v>
      </c>
      <c r="BG238" s="252">
        <f t="shared" si="80"/>
        <v>0</v>
      </c>
      <c r="BH238" s="246">
        <f t="shared" si="81"/>
        <v>100</v>
      </c>
      <c r="BI238" s="90">
        <f t="shared" si="82"/>
        <v>1</v>
      </c>
      <c r="BJ238" s="325">
        <v>0</v>
      </c>
      <c r="BK238" s="247">
        <f t="shared" si="83"/>
        <v>100</v>
      </c>
      <c r="BL238" s="94">
        <f t="shared" si="84"/>
        <v>2</v>
      </c>
      <c r="BM238" s="325">
        <v>0</v>
      </c>
      <c r="BN238" s="325">
        <v>0</v>
      </c>
      <c r="BO238" s="325">
        <v>1</v>
      </c>
      <c r="BP238" s="211">
        <f t="shared" si="85"/>
        <v>1</v>
      </c>
      <c r="BQ238" s="253">
        <f t="shared" si="86"/>
        <v>50</v>
      </c>
      <c r="BR238" s="99">
        <f t="shared" si="87"/>
        <v>0.5</v>
      </c>
      <c r="BS238" s="101">
        <f t="shared" si="88"/>
        <v>19.5</v>
      </c>
    </row>
    <row r="239" spans="1:71" x14ac:dyDescent="0.6">
      <c r="A239" s="373" t="s">
        <v>1832</v>
      </c>
      <c r="B239" s="13" t="s">
        <v>3151</v>
      </c>
      <c r="C239" s="380" t="s">
        <v>1833</v>
      </c>
      <c r="D239" s="315" t="s">
        <v>203</v>
      </c>
      <c r="E239" s="352" t="s">
        <v>188</v>
      </c>
      <c r="F239" s="352" t="s">
        <v>1834</v>
      </c>
      <c r="G239" s="353">
        <v>26840</v>
      </c>
      <c r="H239" s="352" t="s">
        <v>830</v>
      </c>
      <c r="I239" s="352" t="s">
        <v>1835</v>
      </c>
      <c r="J239" s="352" t="s">
        <v>1836</v>
      </c>
      <c r="K239" s="352" t="s">
        <v>91</v>
      </c>
      <c r="L239" s="381">
        <v>8803079613</v>
      </c>
      <c r="M239" s="376">
        <v>3891106993</v>
      </c>
      <c r="N239" s="376">
        <v>4911972621</v>
      </c>
      <c r="O239" s="376">
        <v>2701705575</v>
      </c>
      <c r="P239" s="376">
        <v>177791342</v>
      </c>
      <c r="Q239" s="376">
        <v>7918913</v>
      </c>
      <c r="R239" s="376">
        <v>7342768</v>
      </c>
      <c r="S239" s="325">
        <v>1</v>
      </c>
      <c r="T239" s="246">
        <f t="shared" si="72"/>
        <v>50</v>
      </c>
      <c r="U239" s="77">
        <f t="shared" si="73"/>
        <v>1</v>
      </c>
      <c r="V239" s="377">
        <v>0</v>
      </c>
      <c r="W239" s="377">
        <v>0</v>
      </c>
      <c r="X239" s="377">
        <v>0</v>
      </c>
      <c r="Y239" s="377">
        <v>0</v>
      </c>
      <c r="Z239" s="377">
        <v>0</v>
      </c>
      <c r="AA239" s="377">
        <v>0</v>
      </c>
      <c r="AB239" s="377">
        <v>0</v>
      </c>
      <c r="AC239" s="247">
        <f t="shared" si="74"/>
        <v>0</v>
      </c>
      <c r="AD239" s="247">
        <f t="shared" si="75"/>
        <v>100</v>
      </c>
      <c r="AE239" s="82">
        <f t="shared" si="96"/>
        <v>5</v>
      </c>
      <c r="AF239" s="377">
        <v>0</v>
      </c>
      <c r="AG239" s="377">
        <v>0</v>
      </c>
      <c r="AH239" s="247">
        <f t="shared" si="90"/>
        <v>0</v>
      </c>
      <c r="AI239" s="247">
        <f t="shared" si="91"/>
        <v>100</v>
      </c>
      <c r="AJ239" s="82">
        <f t="shared" si="92"/>
        <v>3</v>
      </c>
      <c r="AK239" s="367" t="s">
        <v>2902</v>
      </c>
      <c r="AL239" s="367" t="s">
        <v>2902</v>
      </c>
      <c r="AM239" s="367" t="s">
        <v>2902</v>
      </c>
      <c r="AN239" s="367" t="s">
        <v>2902</v>
      </c>
      <c r="AO239" s="367" t="s">
        <v>2902</v>
      </c>
      <c r="AP239" s="296" t="s">
        <v>2326</v>
      </c>
      <c r="AQ239" s="296" t="s">
        <v>2326</v>
      </c>
      <c r="AR239" s="297"/>
      <c r="AS239" s="367" t="s">
        <v>2902</v>
      </c>
      <c r="AT239" s="367" t="s">
        <v>2902</v>
      </c>
      <c r="AU239" s="296" t="s">
        <v>2326</v>
      </c>
      <c r="AV239" s="297"/>
      <c r="AW239" s="325">
        <v>1</v>
      </c>
      <c r="AX239" s="247">
        <f t="shared" si="76"/>
        <v>100</v>
      </c>
      <c r="AY239" s="90">
        <f t="shared" si="77"/>
        <v>4</v>
      </c>
      <c r="AZ239" s="378">
        <v>0</v>
      </c>
      <c r="BA239" s="449" t="s">
        <v>3782</v>
      </c>
      <c r="BB239" s="247">
        <f t="shared" si="78"/>
        <v>100</v>
      </c>
      <c r="BC239" s="91">
        <f t="shared" si="79"/>
        <v>2</v>
      </c>
      <c r="BD239" s="325">
        <v>0</v>
      </c>
      <c r="BE239" s="325">
        <v>0</v>
      </c>
      <c r="BF239" s="325">
        <v>0</v>
      </c>
      <c r="BG239" s="252">
        <f t="shared" si="80"/>
        <v>0</v>
      </c>
      <c r="BH239" s="246">
        <f t="shared" si="81"/>
        <v>100</v>
      </c>
      <c r="BI239" s="90">
        <f t="shared" si="82"/>
        <v>1</v>
      </c>
      <c r="BJ239" s="325">
        <v>1</v>
      </c>
      <c r="BK239" s="247">
        <f t="shared" si="83"/>
        <v>50</v>
      </c>
      <c r="BL239" s="94">
        <f t="shared" si="84"/>
        <v>1</v>
      </c>
      <c r="BM239" s="325">
        <v>0</v>
      </c>
      <c r="BN239" s="325">
        <v>0</v>
      </c>
      <c r="BO239" s="325">
        <v>1</v>
      </c>
      <c r="BP239" s="211">
        <f t="shared" si="85"/>
        <v>1</v>
      </c>
      <c r="BQ239" s="253">
        <f t="shared" si="86"/>
        <v>50</v>
      </c>
      <c r="BR239" s="99">
        <f t="shared" si="87"/>
        <v>0.5</v>
      </c>
      <c r="BS239" s="101">
        <f t="shared" si="88"/>
        <v>17.5</v>
      </c>
    </row>
    <row r="240" spans="1:71" x14ac:dyDescent="0.6">
      <c r="A240" s="373" t="s">
        <v>26</v>
      </c>
      <c r="B240" s="1" t="s">
        <v>3152</v>
      </c>
      <c r="C240" s="380" t="s">
        <v>475</v>
      </c>
      <c r="D240" s="351" t="s">
        <v>202</v>
      </c>
      <c r="E240" s="352" t="s">
        <v>161</v>
      </c>
      <c r="F240" s="352" t="s">
        <v>985</v>
      </c>
      <c r="G240" s="353">
        <v>43074</v>
      </c>
      <c r="H240" s="352" t="s">
        <v>830</v>
      </c>
      <c r="I240" s="352" t="s">
        <v>1017</v>
      </c>
      <c r="J240" s="352" t="s">
        <v>1133</v>
      </c>
      <c r="K240" s="352" t="s">
        <v>690</v>
      </c>
      <c r="L240" s="381">
        <v>483313332</v>
      </c>
      <c r="M240" s="376">
        <v>57327965</v>
      </c>
      <c r="N240" s="376">
        <v>425985367</v>
      </c>
      <c r="O240" s="376">
        <v>378192950</v>
      </c>
      <c r="P240" s="376">
        <v>60336561</v>
      </c>
      <c r="Q240" s="376">
        <v>70491799</v>
      </c>
      <c r="R240" s="376">
        <v>55385939</v>
      </c>
      <c r="S240" s="325">
        <v>0</v>
      </c>
      <c r="T240" s="246">
        <f t="shared" si="72"/>
        <v>100</v>
      </c>
      <c r="U240" s="77">
        <f t="shared" si="73"/>
        <v>2</v>
      </c>
      <c r="V240" s="377">
        <v>0</v>
      </c>
      <c r="W240" s="377">
        <v>0</v>
      </c>
      <c r="X240" s="377">
        <v>0</v>
      </c>
      <c r="Y240" s="377">
        <v>0</v>
      </c>
      <c r="Z240" s="377">
        <v>0</v>
      </c>
      <c r="AA240" s="377">
        <v>0</v>
      </c>
      <c r="AB240" s="377">
        <v>0</v>
      </c>
      <c r="AC240" s="247">
        <f t="shared" si="74"/>
        <v>0</v>
      </c>
      <c r="AD240" s="247">
        <f t="shared" si="75"/>
        <v>100</v>
      </c>
      <c r="AE240" s="82">
        <f t="shared" si="96"/>
        <v>5</v>
      </c>
      <c r="AF240" s="377">
        <v>0</v>
      </c>
      <c r="AG240" s="377">
        <v>0</v>
      </c>
      <c r="AH240" s="247">
        <f t="shared" si="90"/>
        <v>0</v>
      </c>
      <c r="AI240" s="247">
        <f t="shared" si="91"/>
        <v>100</v>
      </c>
      <c r="AJ240" s="82">
        <f t="shared" si="92"/>
        <v>3</v>
      </c>
      <c r="AK240" s="367" t="s">
        <v>2902</v>
      </c>
      <c r="AL240" s="367" t="s">
        <v>2902</v>
      </c>
      <c r="AM240" s="367" t="s">
        <v>2902</v>
      </c>
      <c r="AN240" s="367" t="s">
        <v>2902</v>
      </c>
      <c r="AO240" s="367" t="s">
        <v>2902</v>
      </c>
      <c r="AP240" s="296" t="s">
        <v>2326</v>
      </c>
      <c r="AQ240" s="296" t="s">
        <v>2326</v>
      </c>
      <c r="AR240" s="297"/>
      <c r="AS240" s="367" t="s">
        <v>2902</v>
      </c>
      <c r="AT240" s="367" t="s">
        <v>2902</v>
      </c>
      <c r="AU240" s="296" t="s">
        <v>2326</v>
      </c>
      <c r="AV240" s="297"/>
      <c r="AW240" s="325">
        <v>1</v>
      </c>
      <c r="AX240" s="247">
        <f t="shared" si="76"/>
        <v>100</v>
      </c>
      <c r="AY240" s="90">
        <f t="shared" si="77"/>
        <v>4</v>
      </c>
      <c r="AZ240" s="378">
        <v>0</v>
      </c>
      <c r="BA240" s="449" t="s">
        <v>3782</v>
      </c>
      <c r="BB240" s="247">
        <f t="shared" si="78"/>
        <v>100</v>
      </c>
      <c r="BC240" s="91">
        <f t="shared" si="79"/>
        <v>2</v>
      </c>
      <c r="BD240" s="325">
        <v>0</v>
      </c>
      <c r="BE240" s="325">
        <v>0</v>
      </c>
      <c r="BF240" s="325">
        <v>0</v>
      </c>
      <c r="BG240" s="252">
        <f t="shared" si="80"/>
        <v>0</v>
      </c>
      <c r="BH240" s="246">
        <f t="shared" si="81"/>
        <v>100</v>
      </c>
      <c r="BI240" s="90">
        <f t="shared" si="82"/>
        <v>1</v>
      </c>
      <c r="BJ240" s="325">
        <v>0</v>
      </c>
      <c r="BK240" s="247">
        <f t="shared" si="83"/>
        <v>100</v>
      </c>
      <c r="BL240" s="94">
        <f t="shared" si="84"/>
        <v>2</v>
      </c>
      <c r="BM240" s="325">
        <v>0</v>
      </c>
      <c r="BN240" s="325">
        <v>0</v>
      </c>
      <c r="BO240" s="325">
        <v>1</v>
      </c>
      <c r="BP240" s="211">
        <f t="shared" si="85"/>
        <v>1</v>
      </c>
      <c r="BQ240" s="253">
        <f t="shared" si="86"/>
        <v>50</v>
      </c>
      <c r="BR240" s="99">
        <f t="shared" si="87"/>
        <v>0.5</v>
      </c>
      <c r="BS240" s="101">
        <f t="shared" si="88"/>
        <v>19.5</v>
      </c>
    </row>
    <row r="241" spans="1:71" x14ac:dyDescent="0.6">
      <c r="A241" s="373" t="s">
        <v>1837</v>
      </c>
      <c r="B241" s="1" t="s">
        <v>3153</v>
      </c>
      <c r="C241" s="380" t="s">
        <v>1838</v>
      </c>
      <c r="D241" s="315" t="s">
        <v>285</v>
      </c>
      <c r="E241" s="352" t="s">
        <v>1432</v>
      </c>
      <c r="F241" s="352" t="s">
        <v>1839</v>
      </c>
      <c r="G241" s="353">
        <v>28762</v>
      </c>
      <c r="H241" s="352" t="s">
        <v>830</v>
      </c>
      <c r="I241" s="352" t="s">
        <v>1840</v>
      </c>
      <c r="J241" s="352" t="s">
        <v>1841</v>
      </c>
      <c r="K241" s="352" t="s">
        <v>91</v>
      </c>
      <c r="L241" s="381">
        <v>501506960</v>
      </c>
      <c r="M241" s="376">
        <v>297824193</v>
      </c>
      <c r="N241" s="376">
        <v>203682767</v>
      </c>
      <c r="O241" s="376">
        <v>628065353</v>
      </c>
      <c r="P241" s="376">
        <v>22866089</v>
      </c>
      <c r="Q241" s="376">
        <v>14957802</v>
      </c>
      <c r="R241" s="376">
        <v>12222578</v>
      </c>
      <c r="S241" s="325">
        <v>1</v>
      </c>
      <c r="T241" s="246">
        <f t="shared" si="72"/>
        <v>50</v>
      </c>
      <c r="U241" s="77">
        <f t="shared" si="73"/>
        <v>1</v>
      </c>
      <c r="V241" s="377">
        <v>0</v>
      </c>
      <c r="W241" s="377">
        <v>0</v>
      </c>
      <c r="X241" s="377">
        <v>0</v>
      </c>
      <c r="Y241" s="377">
        <v>0</v>
      </c>
      <c r="Z241" s="377">
        <v>0</v>
      </c>
      <c r="AA241" s="377">
        <v>0</v>
      </c>
      <c r="AB241" s="377">
        <v>0</v>
      </c>
      <c r="AC241" s="247">
        <f t="shared" si="74"/>
        <v>0</v>
      </c>
      <c r="AD241" s="247">
        <f t="shared" si="75"/>
        <v>100</v>
      </c>
      <c r="AE241" s="82">
        <f t="shared" si="96"/>
        <v>5</v>
      </c>
      <c r="AF241" s="377">
        <v>0</v>
      </c>
      <c r="AG241" s="377">
        <v>0</v>
      </c>
      <c r="AH241" s="247">
        <f t="shared" si="90"/>
        <v>0</v>
      </c>
      <c r="AI241" s="247">
        <f t="shared" si="91"/>
        <v>100</v>
      </c>
      <c r="AJ241" s="82">
        <f t="shared" si="92"/>
        <v>3</v>
      </c>
      <c r="AK241" s="367" t="s">
        <v>2902</v>
      </c>
      <c r="AL241" s="367" t="s">
        <v>2902</v>
      </c>
      <c r="AM241" s="367" t="s">
        <v>2902</v>
      </c>
      <c r="AN241" s="367" t="s">
        <v>2902</v>
      </c>
      <c r="AO241" s="367" t="s">
        <v>2902</v>
      </c>
      <c r="AP241" s="296" t="s">
        <v>2326</v>
      </c>
      <c r="AQ241" s="296" t="s">
        <v>2326</v>
      </c>
      <c r="AR241" s="297"/>
      <c r="AS241" s="367" t="s">
        <v>2902</v>
      </c>
      <c r="AT241" s="367" t="s">
        <v>2902</v>
      </c>
      <c r="AU241" s="296" t="s">
        <v>2326</v>
      </c>
      <c r="AV241" s="297"/>
      <c r="AW241" s="325">
        <v>1</v>
      </c>
      <c r="AX241" s="247">
        <f t="shared" si="76"/>
        <v>100</v>
      </c>
      <c r="AY241" s="90">
        <f t="shared" si="77"/>
        <v>4</v>
      </c>
      <c r="AZ241" s="378">
        <v>0</v>
      </c>
      <c r="BA241" s="449" t="s">
        <v>3782</v>
      </c>
      <c r="BB241" s="247">
        <f t="shared" si="78"/>
        <v>100</v>
      </c>
      <c r="BC241" s="91">
        <f t="shared" si="79"/>
        <v>2</v>
      </c>
      <c r="BD241" s="325">
        <v>0</v>
      </c>
      <c r="BE241" s="325">
        <v>0</v>
      </c>
      <c r="BF241" s="325">
        <v>0</v>
      </c>
      <c r="BG241" s="252">
        <f t="shared" si="80"/>
        <v>0</v>
      </c>
      <c r="BH241" s="246">
        <f t="shared" si="81"/>
        <v>100</v>
      </c>
      <c r="BI241" s="90">
        <f t="shared" si="82"/>
        <v>1</v>
      </c>
      <c r="BJ241" s="325">
        <v>0</v>
      </c>
      <c r="BK241" s="247">
        <f t="shared" si="83"/>
        <v>100</v>
      </c>
      <c r="BL241" s="94">
        <f t="shared" si="84"/>
        <v>2</v>
      </c>
      <c r="BM241" s="325">
        <v>0</v>
      </c>
      <c r="BN241" s="325">
        <v>0</v>
      </c>
      <c r="BO241" s="325">
        <v>0</v>
      </c>
      <c r="BP241" s="211">
        <f t="shared" si="85"/>
        <v>0</v>
      </c>
      <c r="BQ241" s="253">
        <f t="shared" si="86"/>
        <v>25</v>
      </c>
      <c r="BR241" s="99">
        <f t="shared" si="87"/>
        <v>0.25</v>
      </c>
      <c r="BS241" s="101">
        <f t="shared" si="88"/>
        <v>18.25</v>
      </c>
    </row>
    <row r="242" spans="1:71" x14ac:dyDescent="0.6">
      <c r="A242" s="373" t="s">
        <v>1842</v>
      </c>
      <c r="B242" s="1" t="s">
        <v>3154</v>
      </c>
      <c r="C242" s="380" t="s">
        <v>1843</v>
      </c>
      <c r="D242" s="315" t="s">
        <v>285</v>
      </c>
      <c r="E242" s="352" t="s">
        <v>1756</v>
      </c>
      <c r="F242" s="352" t="s">
        <v>1844</v>
      </c>
      <c r="G242" s="353">
        <v>44482</v>
      </c>
      <c r="H242" s="352" t="s">
        <v>830</v>
      </c>
      <c r="I242" s="352" t="s">
        <v>1845</v>
      </c>
      <c r="J242" s="352" t="s">
        <v>1846</v>
      </c>
      <c r="K242" s="352" t="s">
        <v>91</v>
      </c>
      <c r="L242" s="381">
        <v>534356691</v>
      </c>
      <c r="M242" s="376">
        <v>288535624</v>
      </c>
      <c r="N242" s="376">
        <v>245821067</v>
      </c>
      <c r="O242" s="376">
        <v>2177261974</v>
      </c>
      <c r="P242" s="376">
        <v>50047663</v>
      </c>
      <c r="Q242" s="376">
        <v>39570210</v>
      </c>
      <c r="R242" s="376">
        <v>30363689</v>
      </c>
      <c r="S242" s="325">
        <v>0</v>
      </c>
      <c r="T242" s="246">
        <f t="shared" si="72"/>
        <v>100</v>
      </c>
      <c r="U242" s="77">
        <f t="shared" si="73"/>
        <v>2</v>
      </c>
      <c r="V242" s="377">
        <v>0</v>
      </c>
      <c r="W242" s="377">
        <v>0</v>
      </c>
      <c r="X242" s="377">
        <v>0</v>
      </c>
      <c r="Y242" s="377">
        <v>0</v>
      </c>
      <c r="Z242" s="377">
        <v>0</v>
      </c>
      <c r="AA242" s="377">
        <v>0</v>
      </c>
      <c r="AB242" s="377">
        <v>0</v>
      </c>
      <c r="AC242" s="247">
        <f t="shared" si="74"/>
        <v>0</v>
      </c>
      <c r="AD242" s="247">
        <f t="shared" si="75"/>
        <v>100</v>
      </c>
      <c r="AE242" s="82">
        <f t="shared" si="96"/>
        <v>5</v>
      </c>
      <c r="AF242" s="377">
        <v>0</v>
      </c>
      <c r="AG242" s="377">
        <v>0</v>
      </c>
      <c r="AH242" s="247">
        <f t="shared" si="90"/>
        <v>0</v>
      </c>
      <c r="AI242" s="247">
        <f t="shared" si="91"/>
        <v>100</v>
      </c>
      <c r="AJ242" s="82">
        <f t="shared" si="92"/>
        <v>3</v>
      </c>
      <c r="AK242" s="367" t="s">
        <v>2902</v>
      </c>
      <c r="AL242" s="367" t="s">
        <v>2902</v>
      </c>
      <c r="AM242" s="367" t="s">
        <v>2902</v>
      </c>
      <c r="AN242" s="367" t="s">
        <v>2902</v>
      </c>
      <c r="AO242" s="367" t="s">
        <v>2902</v>
      </c>
      <c r="AP242" s="296" t="s">
        <v>2326</v>
      </c>
      <c r="AQ242" s="296" t="s">
        <v>2326</v>
      </c>
      <c r="AR242" s="297"/>
      <c r="AS242" s="367" t="s">
        <v>2902</v>
      </c>
      <c r="AT242" s="367" t="s">
        <v>2902</v>
      </c>
      <c r="AU242" s="296" t="s">
        <v>2326</v>
      </c>
      <c r="AV242" s="297"/>
      <c r="AW242" s="325">
        <v>0</v>
      </c>
      <c r="AX242" s="247">
        <f t="shared" si="76"/>
        <v>50</v>
      </c>
      <c r="AY242" s="90">
        <f t="shared" si="77"/>
        <v>2</v>
      </c>
      <c r="AZ242" s="378">
        <v>0</v>
      </c>
      <c r="BA242" s="449" t="s">
        <v>3782</v>
      </c>
      <c r="BB242" s="247">
        <f t="shared" si="78"/>
        <v>100</v>
      </c>
      <c r="BC242" s="91">
        <f t="shared" si="79"/>
        <v>2</v>
      </c>
      <c r="BD242" s="325">
        <v>0</v>
      </c>
      <c r="BE242" s="325">
        <v>0</v>
      </c>
      <c r="BF242" s="325">
        <v>1</v>
      </c>
      <c r="BG242" s="252">
        <f t="shared" si="80"/>
        <v>1</v>
      </c>
      <c r="BH242" s="246">
        <f t="shared" si="81"/>
        <v>75</v>
      </c>
      <c r="BI242" s="90">
        <f t="shared" si="82"/>
        <v>0.75</v>
      </c>
      <c r="BJ242" s="325">
        <v>0</v>
      </c>
      <c r="BK242" s="247">
        <f t="shared" si="83"/>
        <v>100</v>
      </c>
      <c r="BL242" s="94">
        <f t="shared" si="84"/>
        <v>2</v>
      </c>
      <c r="BM242" s="325">
        <v>0</v>
      </c>
      <c r="BN242" s="325">
        <v>1</v>
      </c>
      <c r="BO242" s="325">
        <v>1</v>
      </c>
      <c r="BP242" s="211">
        <f t="shared" si="85"/>
        <v>2</v>
      </c>
      <c r="BQ242" s="253">
        <f t="shared" si="86"/>
        <v>75</v>
      </c>
      <c r="BR242" s="99">
        <f t="shared" si="87"/>
        <v>0.75</v>
      </c>
      <c r="BS242" s="101">
        <f t="shared" si="88"/>
        <v>17.5</v>
      </c>
    </row>
    <row r="243" spans="1:71" x14ac:dyDescent="0.6">
      <c r="A243" s="373" t="s">
        <v>1847</v>
      </c>
      <c r="B243" s="1" t="s">
        <v>3155</v>
      </c>
      <c r="C243" s="380" t="s">
        <v>1848</v>
      </c>
      <c r="D243" s="315" t="s">
        <v>202</v>
      </c>
      <c r="E243" s="352" t="s">
        <v>56</v>
      </c>
      <c r="F243" s="352" t="s">
        <v>1849</v>
      </c>
      <c r="G243" s="353">
        <v>36152</v>
      </c>
      <c r="H243" s="352" t="s">
        <v>830</v>
      </c>
      <c r="I243" s="352" t="s">
        <v>1850</v>
      </c>
      <c r="J243" s="352" t="s">
        <v>1851</v>
      </c>
      <c r="K243" s="352" t="s">
        <v>690</v>
      </c>
      <c r="L243" s="381">
        <v>30417774000</v>
      </c>
      <c r="M243" s="376">
        <v>15559694000</v>
      </c>
      <c r="N243" s="376">
        <v>14858080000</v>
      </c>
      <c r="O243" s="376">
        <v>18289243000</v>
      </c>
      <c r="P243" s="376">
        <v>1168103000</v>
      </c>
      <c r="Q243" s="376">
        <v>1270743000</v>
      </c>
      <c r="R243" s="376">
        <v>763750000</v>
      </c>
      <c r="S243" s="325">
        <v>1</v>
      </c>
      <c r="T243" s="246">
        <f t="shared" si="72"/>
        <v>50</v>
      </c>
      <c r="U243" s="77">
        <f t="shared" si="73"/>
        <v>1</v>
      </c>
      <c r="V243" s="377">
        <v>0</v>
      </c>
      <c r="W243" s="377">
        <v>0</v>
      </c>
      <c r="X243" s="377">
        <v>0</v>
      </c>
      <c r="Y243" s="377">
        <v>0</v>
      </c>
      <c r="Z243" s="377">
        <v>0</v>
      </c>
      <c r="AA243" s="377">
        <v>0</v>
      </c>
      <c r="AB243" s="377">
        <v>0</v>
      </c>
      <c r="AC243" s="247">
        <f t="shared" si="74"/>
        <v>0</v>
      </c>
      <c r="AD243" s="247">
        <f t="shared" si="75"/>
        <v>100</v>
      </c>
      <c r="AE243" s="82">
        <f t="shared" si="96"/>
        <v>5</v>
      </c>
      <c r="AF243" s="377">
        <v>0</v>
      </c>
      <c r="AG243" s="377">
        <v>0</v>
      </c>
      <c r="AH243" s="247">
        <f t="shared" si="90"/>
        <v>0</v>
      </c>
      <c r="AI243" s="247">
        <f t="shared" si="91"/>
        <v>100</v>
      </c>
      <c r="AJ243" s="82">
        <f t="shared" si="92"/>
        <v>3</v>
      </c>
      <c r="AK243" s="367" t="s">
        <v>2902</v>
      </c>
      <c r="AL243" s="367" t="s">
        <v>2902</v>
      </c>
      <c r="AM243" s="367" t="s">
        <v>2902</v>
      </c>
      <c r="AN243" s="367" t="s">
        <v>2902</v>
      </c>
      <c r="AO243" s="367" t="s">
        <v>2902</v>
      </c>
      <c r="AP243" s="296" t="s">
        <v>2326</v>
      </c>
      <c r="AQ243" s="296" t="s">
        <v>2326</v>
      </c>
      <c r="AR243" s="297"/>
      <c r="AS243" s="367" t="s">
        <v>2902</v>
      </c>
      <c r="AT243" s="367" t="s">
        <v>2902</v>
      </c>
      <c r="AU243" s="296" t="s">
        <v>2326</v>
      </c>
      <c r="AV243" s="297"/>
      <c r="AW243" s="325">
        <v>0</v>
      </c>
      <c r="AX243" s="247">
        <f t="shared" si="76"/>
        <v>50</v>
      </c>
      <c r="AY243" s="90">
        <f t="shared" si="77"/>
        <v>2</v>
      </c>
      <c r="AZ243" s="378">
        <v>0</v>
      </c>
      <c r="BA243" s="449" t="s">
        <v>3782</v>
      </c>
      <c r="BB243" s="247">
        <f t="shared" si="78"/>
        <v>100</v>
      </c>
      <c r="BC243" s="91">
        <f t="shared" si="79"/>
        <v>2</v>
      </c>
      <c r="BD243" s="325">
        <v>0</v>
      </c>
      <c r="BE243" s="325">
        <v>0</v>
      </c>
      <c r="BF243" s="325">
        <v>0</v>
      </c>
      <c r="BG243" s="252">
        <f t="shared" si="80"/>
        <v>0</v>
      </c>
      <c r="BH243" s="246">
        <f t="shared" si="81"/>
        <v>100</v>
      </c>
      <c r="BI243" s="90">
        <f t="shared" si="82"/>
        <v>1</v>
      </c>
      <c r="BJ243" s="325">
        <v>0</v>
      </c>
      <c r="BK243" s="247">
        <f t="shared" si="83"/>
        <v>100</v>
      </c>
      <c r="BL243" s="94">
        <f t="shared" si="84"/>
        <v>2</v>
      </c>
      <c r="BM243" s="325">
        <v>1</v>
      </c>
      <c r="BN243" s="325">
        <v>1</v>
      </c>
      <c r="BO243" s="325">
        <v>1</v>
      </c>
      <c r="BP243" s="211">
        <f t="shared" si="85"/>
        <v>3</v>
      </c>
      <c r="BQ243" s="253">
        <f t="shared" si="86"/>
        <v>100</v>
      </c>
      <c r="BR243" s="99">
        <f t="shared" si="87"/>
        <v>1</v>
      </c>
      <c r="BS243" s="101">
        <f t="shared" si="88"/>
        <v>17</v>
      </c>
    </row>
    <row r="244" spans="1:71" x14ac:dyDescent="0.6">
      <c r="A244" s="373" t="s">
        <v>1852</v>
      </c>
      <c r="B244" s="1" t="s">
        <v>3156</v>
      </c>
      <c r="C244" s="380" t="s">
        <v>1853</v>
      </c>
      <c r="D244" s="315" t="s">
        <v>285</v>
      </c>
      <c r="E244" s="352" t="s">
        <v>1854</v>
      </c>
      <c r="F244" s="352" t="s">
        <v>1855</v>
      </c>
      <c r="G244" s="353">
        <v>40697</v>
      </c>
      <c r="H244" s="352" t="s">
        <v>830</v>
      </c>
      <c r="I244" s="352" t="s">
        <v>1856</v>
      </c>
      <c r="J244" s="352" t="s">
        <v>1857</v>
      </c>
      <c r="K244" s="352" t="s">
        <v>91</v>
      </c>
      <c r="L244" s="381">
        <v>1160021099</v>
      </c>
      <c r="M244" s="376">
        <v>357640642</v>
      </c>
      <c r="N244" s="376">
        <v>802380457</v>
      </c>
      <c r="O244" s="376">
        <v>704927362</v>
      </c>
      <c r="P244" s="376">
        <v>50599970</v>
      </c>
      <c r="Q244" s="376">
        <v>45652874</v>
      </c>
      <c r="R244" s="376">
        <v>34327224</v>
      </c>
      <c r="S244" s="325">
        <v>1</v>
      </c>
      <c r="T244" s="246">
        <f t="shared" si="72"/>
        <v>50</v>
      </c>
      <c r="U244" s="77">
        <f t="shared" si="73"/>
        <v>1</v>
      </c>
      <c r="V244" s="377">
        <v>0</v>
      </c>
      <c r="W244" s="377">
        <v>0</v>
      </c>
      <c r="X244" s="377">
        <v>0</v>
      </c>
      <c r="Y244" s="377">
        <v>0</v>
      </c>
      <c r="Z244" s="377">
        <v>0</v>
      </c>
      <c r="AA244" s="377">
        <v>0</v>
      </c>
      <c r="AB244" s="377">
        <v>0</v>
      </c>
      <c r="AC244" s="247">
        <f t="shared" si="74"/>
        <v>0</v>
      </c>
      <c r="AD244" s="247">
        <f t="shared" si="75"/>
        <v>100</v>
      </c>
      <c r="AE244" s="82">
        <f t="shared" si="96"/>
        <v>5</v>
      </c>
      <c r="AF244" s="377">
        <v>0</v>
      </c>
      <c r="AG244" s="377">
        <v>0</v>
      </c>
      <c r="AH244" s="247">
        <f t="shared" si="90"/>
        <v>0</v>
      </c>
      <c r="AI244" s="247">
        <f t="shared" si="91"/>
        <v>100</v>
      </c>
      <c r="AJ244" s="82">
        <f t="shared" si="92"/>
        <v>3</v>
      </c>
      <c r="AK244" s="367" t="s">
        <v>2902</v>
      </c>
      <c r="AL244" s="367" t="s">
        <v>2902</v>
      </c>
      <c r="AM244" s="367" t="s">
        <v>2902</v>
      </c>
      <c r="AN244" s="367" t="s">
        <v>2902</v>
      </c>
      <c r="AO244" s="367" t="s">
        <v>2902</v>
      </c>
      <c r="AP244" s="296" t="s">
        <v>2326</v>
      </c>
      <c r="AQ244" s="296" t="s">
        <v>2326</v>
      </c>
      <c r="AR244" s="297"/>
      <c r="AS244" s="367" t="s">
        <v>2902</v>
      </c>
      <c r="AT244" s="367" t="s">
        <v>2902</v>
      </c>
      <c r="AU244" s="296" t="s">
        <v>2326</v>
      </c>
      <c r="AV244" s="297"/>
      <c r="AW244" s="325">
        <v>0</v>
      </c>
      <c r="AX244" s="247">
        <f t="shared" si="76"/>
        <v>50</v>
      </c>
      <c r="AY244" s="90">
        <f t="shared" si="77"/>
        <v>2</v>
      </c>
      <c r="AZ244" s="378">
        <v>0</v>
      </c>
      <c r="BA244" s="449" t="s">
        <v>3782</v>
      </c>
      <c r="BB244" s="247">
        <f t="shared" si="78"/>
        <v>100</v>
      </c>
      <c r="BC244" s="91">
        <f t="shared" si="79"/>
        <v>2</v>
      </c>
      <c r="BD244" s="325">
        <v>0</v>
      </c>
      <c r="BE244" s="325">
        <v>0</v>
      </c>
      <c r="BF244" s="325">
        <v>0</v>
      </c>
      <c r="BG244" s="252">
        <f t="shared" si="80"/>
        <v>0</v>
      </c>
      <c r="BH244" s="246">
        <f t="shared" si="81"/>
        <v>100</v>
      </c>
      <c r="BI244" s="90">
        <f t="shared" si="82"/>
        <v>1</v>
      </c>
      <c r="BJ244" s="325">
        <v>0</v>
      </c>
      <c r="BK244" s="247">
        <f t="shared" si="83"/>
        <v>100</v>
      </c>
      <c r="BL244" s="94">
        <f t="shared" si="84"/>
        <v>2</v>
      </c>
      <c r="BM244" s="325">
        <v>0</v>
      </c>
      <c r="BN244" s="325">
        <v>0</v>
      </c>
      <c r="BO244" s="325">
        <v>1</v>
      </c>
      <c r="BP244" s="211">
        <f t="shared" si="85"/>
        <v>1</v>
      </c>
      <c r="BQ244" s="253">
        <f t="shared" si="86"/>
        <v>50</v>
      </c>
      <c r="BR244" s="99">
        <f t="shared" si="87"/>
        <v>0.5</v>
      </c>
      <c r="BS244" s="101">
        <f t="shared" si="88"/>
        <v>16.5</v>
      </c>
    </row>
    <row r="245" spans="1:71" x14ac:dyDescent="0.6">
      <c r="A245" s="373" t="s">
        <v>349</v>
      </c>
      <c r="B245" s="1" t="s">
        <v>3157</v>
      </c>
      <c r="C245" s="380" t="s">
        <v>60</v>
      </c>
      <c r="D245" s="351" t="s">
        <v>191</v>
      </c>
      <c r="E245" s="352" t="s">
        <v>417</v>
      </c>
      <c r="F245" s="352" t="s">
        <v>1135</v>
      </c>
      <c r="G245" s="353">
        <v>36441</v>
      </c>
      <c r="H245" s="352" t="s">
        <v>830</v>
      </c>
      <c r="I245" s="352" t="s">
        <v>612</v>
      </c>
      <c r="J245" s="352" t="s">
        <v>1011</v>
      </c>
      <c r="K245" s="352" t="s">
        <v>934</v>
      </c>
      <c r="L245" s="381">
        <v>10156905259</v>
      </c>
      <c r="M245" s="376">
        <v>2103300926</v>
      </c>
      <c r="N245" s="376">
        <v>8053604333</v>
      </c>
      <c r="O245" s="376">
        <v>3694358039</v>
      </c>
      <c r="P245" s="376">
        <v>1120293986</v>
      </c>
      <c r="Q245" s="376">
        <v>1315961612</v>
      </c>
      <c r="R245" s="376">
        <v>958039985</v>
      </c>
      <c r="S245" s="325">
        <v>1</v>
      </c>
      <c r="T245" s="246">
        <f t="shared" si="72"/>
        <v>50</v>
      </c>
      <c r="U245" s="77">
        <f t="shared" si="73"/>
        <v>1</v>
      </c>
      <c r="V245" s="377">
        <v>0</v>
      </c>
      <c r="W245" s="377">
        <v>0</v>
      </c>
      <c r="X245" s="377">
        <v>0</v>
      </c>
      <c r="Y245" s="377">
        <v>0</v>
      </c>
      <c r="Z245" s="377">
        <v>0</v>
      </c>
      <c r="AA245" s="377">
        <v>0</v>
      </c>
      <c r="AB245" s="377">
        <v>0</v>
      </c>
      <c r="AC245" s="247">
        <f t="shared" si="74"/>
        <v>0</v>
      </c>
      <c r="AD245" s="247">
        <f t="shared" si="75"/>
        <v>100</v>
      </c>
      <c r="AE245" s="82">
        <f t="shared" si="96"/>
        <v>5</v>
      </c>
      <c r="AF245" s="377">
        <v>0</v>
      </c>
      <c r="AG245" s="377">
        <v>0</v>
      </c>
      <c r="AH245" s="247">
        <f t="shared" si="90"/>
        <v>0</v>
      </c>
      <c r="AI245" s="247">
        <f t="shared" si="91"/>
        <v>100</v>
      </c>
      <c r="AJ245" s="82">
        <f t="shared" si="92"/>
        <v>3</v>
      </c>
      <c r="AK245" s="367" t="s">
        <v>2902</v>
      </c>
      <c r="AL245" s="367" t="s">
        <v>2902</v>
      </c>
      <c r="AM245" s="367" t="s">
        <v>2902</v>
      </c>
      <c r="AN245" s="367" t="s">
        <v>2902</v>
      </c>
      <c r="AO245" s="367" t="s">
        <v>2902</v>
      </c>
      <c r="AP245" s="296" t="s">
        <v>2326</v>
      </c>
      <c r="AQ245" s="296" t="s">
        <v>2326</v>
      </c>
      <c r="AR245" s="297"/>
      <c r="AS245" s="367" t="s">
        <v>2902</v>
      </c>
      <c r="AT245" s="367" t="s">
        <v>2902</v>
      </c>
      <c r="AU245" s="296" t="s">
        <v>2326</v>
      </c>
      <c r="AV245" s="297"/>
      <c r="AW245" s="325">
        <v>1</v>
      </c>
      <c r="AX245" s="247">
        <f t="shared" si="76"/>
        <v>100</v>
      </c>
      <c r="AY245" s="90">
        <f t="shared" si="77"/>
        <v>4</v>
      </c>
      <c r="AZ245" s="378">
        <v>0</v>
      </c>
      <c r="BA245" s="449" t="s">
        <v>3782</v>
      </c>
      <c r="BB245" s="247">
        <f t="shared" si="78"/>
        <v>100</v>
      </c>
      <c r="BC245" s="91">
        <f t="shared" si="79"/>
        <v>2</v>
      </c>
      <c r="BD245" s="325">
        <v>0</v>
      </c>
      <c r="BE245" s="325">
        <v>0</v>
      </c>
      <c r="BF245" s="325">
        <v>0</v>
      </c>
      <c r="BG245" s="252">
        <f t="shared" si="80"/>
        <v>0</v>
      </c>
      <c r="BH245" s="246">
        <f t="shared" si="81"/>
        <v>100</v>
      </c>
      <c r="BI245" s="90">
        <f t="shared" si="82"/>
        <v>1</v>
      </c>
      <c r="BJ245" s="325">
        <v>0</v>
      </c>
      <c r="BK245" s="247">
        <f t="shared" si="83"/>
        <v>100</v>
      </c>
      <c r="BL245" s="94">
        <f t="shared" si="84"/>
        <v>2</v>
      </c>
      <c r="BM245" s="325">
        <v>1</v>
      </c>
      <c r="BN245" s="325">
        <v>0</v>
      </c>
      <c r="BO245" s="325">
        <v>1</v>
      </c>
      <c r="BP245" s="211">
        <f t="shared" si="85"/>
        <v>2</v>
      </c>
      <c r="BQ245" s="253">
        <f t="shared" si="86"/>
        <v>75</v>
      </c>
      <c r="BR245" s="99">
        <f t="shared" si="87"/>
        <v>0.75</v>
      </c>
      <c r="BS245" s="101">
        <f t="shared" si="88"/>
        <v>18.75</v>
      </c>
    </row>
    <row r="246" spans="1:71" x14ac:dyDescent="0.6">
      <c r="A246" s="373" t="s">
        <v>90</v>
      </c>
      <c r="B246" s="13" t="s">
        <v>3158</v>
      </c>
      <c r="C246" s="380" t="s">
        <v>109</v>
      </c>
      <c r="D246" s="351" t="s">
        <v>202</v>
      </c>
      <c r="E246" s="352" t="s">
        <v>205</v>
      </c>
      <c r="F246" s="352" t="s">
        <v>1152</v>
      </c>
      <c r="G246" s="353">
        <v>31299</v>
      </c>
      <c r="H246" s="352" t="s">
        <v>830</v>
      </c>
      <c r="I246" s="352" t="s">
        <v>847</v>
      </c>
      <c r="J246" s="352" t="s">
        <v>1096</v>
      </c>
      <c r="K246" s="352" t="s">
        <v>690</v>
      </c>
      <c r="L246" s="381">
        <v>862006786</v>
      </c>
      <c r="M246" s="376">
        <v>408796042</v>
      </c>
      <c r="N246" s="376">
        <v>453210744</v>
      </c>
      <c r="O246" s="376">
        <v>804572920</v>
      </c>
      <c r="P246" s="376">
        <v>60293639</v>
      </c>
      <c r="Q246" s="376">
        <v>64653383</v>
      </c>
      <c r="R246" s="376">
        <v>54734419</v>
      </c>
      <c r="S246" s="325">
        <v>1</v>
      </c>
      <c r="T246" s="246">
        <f t="shared" si="72"/>
        <v>50</v>
      </c>
      <c r="U246" s="77">
        <f t="shared" si="73"/>
        <v>1</v>
      </c>
      <c r="V246" s="377">
        <v>0</v>
      </c>
      <c r="W246" s="377">
        <v>0</v>
      </c>
      <c r="X246" s="377">
        <v>0</v>
      </c>
      <c r="Y246" s="377">
        <v>0</v>
      </c>
      <c r="Z246" s="377">
        <v>0</v>
      </c>
      <c r="AA246" s="377">
        <v>0</v>
      </c>
      <c r="AB246" s="377">
        <v>0</v>
      </c>
      <c r="AC246" s="247">
        <f t="shared" si="74"/>
        <v>0</v>
      </c>
      <c r="AD246" s="247">
        <f t="shared" si="75"/>
        <v>100</v>
      </c>
      <c r="AE246" s="82">
        <f t="shared" si="96"/>
        <v>5</v>
      </c>
      <c r="AF246" s="377">
        <v>0</v>
      </c>
      <c r="AG246" s="377">
        <v>0</v>
      </c>
      <c r="AH246" s="247">
        <f t="shared" si="90"/>
        <v>0</v>
      </c>
      <c r="AI246" s="247">
        <f t="shared" si="91"/>
        <v>100</v>
      </c>
      <c r="AJ246" s="82">
        <f t="shared" si="92"/>
        <v>3</v>
      </c>
      <c r="AK246" s="367" t="s">
        <v>2902</v>
      </c>
      <c r="AL246" s="367" t="s">
        <v>2902</v>
      </c>
      <c r="AM246" s="367" t="s">
        <v>2902</v>
      </c>
      <c r="AN246" s="367" t="s">
        <v>2902</v>
      </c>
      <c r="AO246" s="367" t="s">
        <v>2902</v>
      </c>
      <c r="AP246" s="296" t="s">
        <v>2326</v>
      </c>
      <c r="AQ246" s="296" t="s">
        <v>2326</v>
      </c>
      <c r="AR246" s="297"/>
      <c r="AS246" s="367" t="s">
        <v>2902</v>
      </c>
      <c r="AT246" s="367" t="s">
        <v>2902</v>
      </c>
      <c r="AU246" s="296" t="s">
        <v>2326</v>
      </c>
      <c r="AV246" s="297"/>
      <c r="AW246" s="325">
        <v>1</v>
      </c>
      <c r="AX246" s="247">
        <f t="shared" si="76"/>
        <v>100</v>
      </c>
      <c r="AY246" s="90">
        <f t="shared" si="77"/>
        <v>4</v>
      </c>
      <c r="AZ246" s="378">
        <v>0</v>
      </c>
      <c r="BA246" s="449" t="s">
        <v>3782</v>
      </c>
      <c r="BB246" s="247">
        <f t="shared" si="78"/>
        <v>100</v>
      </c>
      <c r="BC246" s="91">
        <f t="shared" si="79"/>
        <v>2</v>
      </c>
      <c r="BD246" s="325">
        <v>0</v>
      </c>
      <c r="BE246" s="325">
        <v>0</v>
      </c>
      <c r="BF246" s="325">
        <v>0</v>
      </c>
      <c r="BG246" s="252">
        <f t="shared" si="80"/>
        <v>0</v>
      </c>
      <c r="BH246" s="246">
        <f t="shared" si="81"/>
        <v>100</v>
      </c>
      <c r="BI246" s="90">
        <f t="shared" si="82"/>
        <v>1</v>
      </c>
      <c r="BJ246" s="325">
        <v>0</v>
      </c>
      <c r="BK246" s="247">
        <f t="shared" si="83"/>
        <v>100</v>
      </c>
      <c r="BL246" s="94">
        <f t="shared" si="84"/>
        <v>2</v>
      </c>
      <c r="BM246" s="325">
        <v>0</v>
      </c>
      <c r="BN246" s="325">
        <v>0</v>
      </c>
      <c r="BO246" s="325">
        <v>1</v>
      </c>
      <c r="BP246" s="211">
        <f t="shared" si="85"/>
        <v>1</v>
      </c>
      <c r="BQ246" s="253">
        <f t="shared" si="86"/>
        <v>50</v>
      </c>
      <c r="BR246" s="99">
        <f t="shared" si="87"/>
        <v>0.5</v>
      </c>
      <c r="BS246" s="101">
        <f t="shared" si="88"/>
        <v>18.5</v>
      </c>
    </row>
    <row r="247" spans="1:71" x14ac:dyDescent="0.6">
      <c r="A247" s="373" t="s">
        <v>1858</v>
      </c>
      <c r="B247" s="1" t="s">
        <v>3159</v>
      </c>
      <c r="C247" s="380" t="s">
        <v>340</v>
      </c>
      <c r="D247" s="354" t="s">
        <v>481</v>
      </c>
      <c r="E247" s="352" t="s">
        <v>434</v>
      </c>
      <c r="F247" s="352" t="s">
        <v>226</v>
      </c>
      <c r="G247" s="353">
        <v>25559</v>
      </c>
      <c r="H247" s="352" t="s">
        <v>830</v>
      </c>
      <c r="I247" s="352" t="s">
        <v>769</v>
      </c>
      <c r="J247" s="352" t="s">
        <v>1203</v>
      </c>
      <c r="K247" s="352" t="s">
        <v>91</v>
      </c>
      <c r="L247" s="381">
        <v>14636016261</v>
      </c>
      <c r="M247" s="376">
        <v>11750407058</v>
      </c>
      <c r="N247" s="376">
        <v>2885609203</v>
      </c>
      <c r="O247" s="376">
        <v>7176643744</v>
      </c>
      <c r="P247" s="376">
        <v>212022730</v>
      </c>
      <c r="Q247" s="376">
        <v>211256816</v>
      </c>
      <c r="R247" s="376">
        <v>175248934</v>
      </c>
      <c r="S247" s="325">
        <v>0</v>
      </c>
      <c r="T247" s="246">
        <f t="shared" si="72"/>
        <v>100</v>
      </c>
      <c r="U247" s="77">
        <f t="shared" si="73"/>
        <v>2</v>
      </c>
      <c r="V247" s="377">
        <v>0</v>
      </c>
      <c r="W247" s="377">
        <v>0</v>
      </c>
      <c r="X247" s="377">
        <v>0</v>
      </c>
      <c r="Y247" s="377">
        <v>0</v>
      </c>
      <c r="Z247" s="377">
        <v>0</v>
      </c>
      <c r="AA247" s="377">
        <v>0</v>
      </c>
      <c r="AB247" s="377">
        <v>0</v>
      </c>
      <c r="AC247" s="247">
        <f t="shared" si="74"/>
        <v>0</v>
      </c>
      <c r="AD247" s="247">
        <f t="shared" si="75"/>
        <v>100</v>
      </c>
      <c r="AE247" s="81">
        <f>AD247*0.02</f>
        <v>2</v>
      </c>
      <c r="AF247" s="360" t="s">
        <v>2902</v>
      </c>
      <c r="AG247" s="360" t="s">
        <v>2902</v>
      </c>
      <c r="AH247" s="248" t="s">
        <v>2326</v>
      </c>
      <c r="AI247" s="248" t="s">
        <v>2326</v>
      </c>
      <c r="AJ247" s="248"/>
      <c r="AK247" s="373">
        <v>0</v>
      </c>
      <c r="AL247" s="373">
        <v>0</v>
      </c>
      <c r="AM247" s="373">
        <v>0</v>
      </c>
      <c r="AN247" s="373">
        <v>0</v>
      </c>
      <c r="AO247" s="370" t="s">
        <v>3240</v>
      </c>
      <c r="AP247" s="249">
        <f>SUM(AK247:AN247)</f>
        <v>0</v>
      </c>
      <c r="AQ247" s="250">
        <f>IF(AP247=0, 100, IF(AP247=1, 75, IF(AP247=2, 50, 25)))</f>
        <v>100</v>
      </c>
      <c r="AR247" s="83">
        <f>AQ247*0.05</f>
        <v>5</v>
      </c>
      <c r="AS247" s="395">
        <v>0</v>
      </c>
      <c r="AT247" s="370" t="s">
        <v>3240</v>
      </c>
      <c r="AU247" s="251">
        <f>IF(AS247=0, 100, IF(AS247=1, 200/3, IF(AS247&gt;=2, 100/3)))</f>
        <v>100</v>
      </c>
      <c r="AV247" s="87">
        <f>AU247*0.01</f>
        <v>1</v>
      </c>
      <c r="AW247" s="325">
        <v>1</v>
      </c>
      <c r="AX247" s="247">
        <f t="shared" si="76"/>
        <v>100</v>
      </c>
      <c r="AY247" s="90">
        <f t="shared" si="77"/>
        <v>4</v>
      </c>
      <c r="AZ247" s="378">
        <v>0</v>
      </c>
      <c r="BA247" s="449" t="s">
        <v>3782</v>
      </c>
      <c r="BB247" s="247">
        <f t="shared" si="78"/>
        <v>100</v>
      </c>
      <c r="BC247" s="91">
        <f t="shared" si="79"/>
        <v>2</v>
      </c>
      <c r="BD247" s="325">
        <v>0</v>
      </c>
      <c r="BE247" s="325">
        <v>0</v>
      </c>
      <c r="BF247" s="325">
        <v>0</v>
      </c>
      <c r="BG247" s="252">
        <f t="shared" si="80"/>
        <v>0</v>
      </c>
      <c r="BH247" s="246">
        <f t="shared" si="81"/>
        <v>100</v>
      </c>
      <c r="BI247" s="90">
        <f t="shared" si="82"/>
        <v>1</v>
      </c>
      <c r="BJ247" s="325">
        <v>0</v>
      </c>
      <c r="BK247" s="247">
        <f t="shared" si="83"/>
        <v>100</v>
      </c>
      <c r="BL247" s="94">
        <f t="shared" si="84"/>
        <v>2</v>
      </c>
      <c r="BM247" s="325">
        <v>0</v>
      </c>
      <c r="BN247" s="325">
        <v>0</v>
      </c>
      <c r="BO247" s="325">
        <v>1</v>
      </c>
      <c r="BP247" s="211">
        <f t="shared" si="85"/>
        <v>1</v>
      </c>
      <c r="BQ247" s="253">
        <f t="shared" si="86"/>
        <v>50</v>
      </c>
      <c r="BR247" s="99">
        <f t="shared" si="87"/>
        <v>0.5</v>
      </c>
      <c r="BS247" s="101">
        <f t="shared" si="88"/>
        <v>19.5</v>
      </c>
    </row>
    <row r="248" spans="1:71" x14ac:dyDescent="0.6">
      <c r="A248" s="373" t="s">
        <v>1859</v>
      </c>
      <c r="B248" s="13" t="s">
        <v>3160</v>
      </c>
      <c r="C248" s="380" t="s">
        <v>1860</v>
      </c>
      <c r="D248" s="315" t="s">
        <v>203</v>
      </c>
      <c r="E248" s="352" t="s">
        <v>188</v>
      </c>
      <c r="F248" s="352" t="s">
        <v>1861</v>
      </c>
      <c r="G248" s="353">
        <v>32048</v>
      </c>
      <c r="H248" s="352" t="s">
        <v>830</v>
      </c>
      <c r="I248" s="352" t="s">
        <v>1862</v>
      </c>
      <c r="J248" s="352" t="s">
        <v>1863</v>
      </c>
      <c r="K248" s="352" t="s">
        <v>317</v>
      </c>
      <c r="L248" s="381">
        <v>451321117</v>
      </c>
      <c r="M248" s="376">
        <v>200117020</v>
      </c>
      <c r="N248" s="376">
        <v>251204097</v>
      </c>
      <c r="O248" s="376">
        <v>485605244</v>
      </c>
      <c r="P248" s="376">
        <v>32475176</v>
      </c>
      <c r="Q248" s="376">
        <v>35572342</v>
      </c>
      <c r="R248" s="376">
        <v>27697028</v>
      </c>
      <c r="S248" s="325">
        <v>1</v>
      </c>
      <c r="T248" s="246">
        <f t="shared" si="72"/>
        <v>50</v>
      </c>
      <c r="U248" s="77">
        <f t="shared" si="73"/>
        <v>1</v>
      </c>
      <c r="V248" s="377">
        <v>0</v>
      </c>
      <c r="W248" s="377">
        <v>0</v>
      </c>
      <c r="X248" s="377">
        <v>0</v>
      </c>
      <c r="Y248" s="377">
        <v>0</v>
      </c>
      <c r="Z248" s="377">
        <v>0</v>
      </c>
      <c r="AA248" s="377">
        <v>0</v>
      </c>
      <c r="AB248" s="377">
        <v>0</v>
      </c>
      <c r="AC248" s="247">
        <f t="shared" si="74"/>
        <v>0</v>
      </c>
      <c r="AD248" s="247">
        <f t="shared" si="75"/>
        <v>100</v>
      </c>
      <c r="AE248" s="82">
        <f>AD248*0.05</f>
        <v>5</v>
      </c>
      <c r="AF248" s="377">
        <v>0</v>
      </c>
      <c r="AG248" s="377">
        <v>0</v>
      </c>
      <c r="AH248" s="247">
        <f t="shared" si="90"/>
        <v>0</v>
      </c>
      <c r="AI248" s="247">
        <f t="shared" si="91"/>
        <v>100</v>
      </c>
      <c r="AJ248" s="82">
        <f t="shared" si="92"/>
        <v>3</v>
      </c>
      <c r="AK248" s="367" t="s">
        <v>2902</v>
      </c>
      <c r="AL248" s="367" t="s">
        <v>2902</v>
      </c>
      <c r="AM248" s="367" t="s">
        <v>2902</v>
      </c>
      <c r="AN248" s="367" t="s">
        <v>2902</v>
      </c>
      <c r="AO248" s="367" t="s">
        <v>2902</v>
      </c>
      <c r="AP248" s="296" t="s">
        <v>2326</v>
      </c>
      <c r="AQ248" s="296" t="s">
        <v>2326</v>
      </c>
      <c r="AR248" s="297"/>
      <c r="AS248" s="367" t="s">
        <v>2902</v>
      </c>
      <c r="AT248" s="367" t="s">
        <v>2902</v>
      </c>
      <c r="AU248" s="296" t="s">
        <v>2326</v>
      </c>
      <c r="AV248" s="297"/>
      <c r="AW248" s="325">
        <v>1</v>
      </c>
      <c r="AX248" s="247">
        <f t="shared" si="76"/>
        <v>100</v>
      </c>
      <c r="AY248" s="90">
        <f t="shared" si="77"/>
        <v>4</v>
      </c>
      <c r="AZ248" s="378">
        <v>0</v>
      </c>
      <c r="BA248" s="449" t="s">
        <v>3782</v>
      </c>
      <c r="BB248" s="247">
        <f t="shared" si="78"/>
        <v>100</v>
      </c>
      <c r="BC248" s="91">
        <f t="shared" si="79"/>
        <v>2</v>
      </c>
      <c r="BD248" s="325">
        <v>0</v>
      </c>
      <c r="BE248" s="325">
        <v>0</v>
      </c>
      <c r="BF248" s="325">
        <v>0</v>
      </c>
      <c r="BG248" s="252">
        <f t="shared" si="80"/>
        <v>0</v>
      </c>
      <c r="BH248" s="246">
        <f t="shared" si="81"/>
        <v>100</v>
      </c>
      <c r="BI248" s="90">
        <f t="shared" si="82"/>
        <v>1</v>
      </c>
      <c r="BJ248" s="325">
        <v>0</v>
      </c>
      <c r="BK248" s="247">
        <f t="shared" si="83"/>
        <v>100</v>
      </c>
      <c r="BL248" s="94">
        <f t="shared" si="84"/>
        <v>2</v>
      </c>
      <c r="BM248" s="325">
        <v>0</v>
      </c>
      <c r="BN248" s="325">
        <v>0</v>
      </c>
      <c r="BO248" s="325">
        <v>1</v>
      </c>
      <c r="BP248" s="211">
        <f t="shared" si="85"/>
        <v>1</v>
      </c>
      <c r="BQ248" s="253">
        <f t="shared" si="86"/>
        <v>50</v>
      </c>
      <c r="BR248" s="99">
        <f t="shared" si="87"/>
        <v>0.5</v>
      </c>
      <c r="BS248" s="101">
        <f t="shared" si="88"/>
        <v>18.5</v>
      </c>
    </row>
    <row r="249" spans="1:71" x14ac:dyDescent="0.6">
      <c r="A249" s="373" t="s">
        <v>685</v>
      </c>
      <c r="B249" s="1" t="s">
        <v>3161</v>
      </c>
      <c r="C249" s="380" t="s">
        <v>491</v>
      </c>
      <c r="D249" s="351" t="s">
        <v>285</v>
      </c>
      <c r="E249" s="352" t="s">
        <v>592</v>
      </c>
      <c r="F249" s="352" t="s">
        <v>637</v>
      </c>
      <c r="G249" s="353">
        <v>37110</v>
      </c>
      <c r="H249" s="352" t="s">
        <v>830</v>
      </c>
      <c r="I249" s="352" t="s">
        <v>1864</v>
      </c>
      <c r="J249" s="352" t="s">
        <v>1210</v>
      </c>
      <c r="K249" s="352" t="s">
        <v>425</v>
      </c>
      <c r="L249" s="381">
        <v>3441901071</v>
      </c>
      <c r="M249" s="376">
        <v>1466204520</v>
      </c>
      <c r="N249" s="376">
        <v>1975696551</v>
      </c>
      <c r="O249" s="376">
        <v>2813488928</v>
      </c>
      <c r="P249" s="376">
        <v>514746074</v>
      </c>
      <c r="Q249" s="376">
        <v>540938422</v>
      </c>
      <c r="R249" s="376">
        <v>371317773</v>
      </c>
      <c r="S249" s="325">
        <v>1</v>
      </c>
      <c r="T249" s="246">
        <f t="shared" si="72"/>
        <v>50</v>
      </c>
      <c r="U249" s="77">
        <f t="shared" si="73"/>
        <v>1</v>
      </c>
      <c r="V249" s="377">
        <v>0</v>
      </c>
      <c r="W249" s="377">
        <v>0</v>
      </c>
      <c r="X249" s="377">
        <v>0</v>
      </c>
      <c r="Y249" s="377">
        <v>0</v>
      </c>
      <c r="Z249" s="377">
        <v>0</v>
      </c>
      <c r="AA249" s="377">
        <v>0</v>
      </c>
      <c r="AB249" s="377">
        <v>0</v>
      </c>
      <c r="AC249" s="247">
        <f t="shared" si="74"/>
        <v>0</v>
      </c>
      <c r="AD249" s="247">
        <f t="shared" si="75"/>
        <v>100</v>
      </c>
      <c r="AE249" s="82">
        <f>AD249*0.05</f>
        <v>5</v>
      </c>
      <c r="AF249" s="377">
        <v>0</v>
      </c>
      <c r="AG249" s="377">
        <v>0</v>
      </c>
      <c r="AH249" s="247">
        <f t="shared" si="90"/>
        <v>0</v>
      </c>
      <c r="AI249" s="247">
        <f t="shared" si="91"/>
        <v>100</v>
      </c>
      <c r="AJ249" s="82">
        <f t="shared" si="92"/>
        <v>3</v>
      </c>
      <c r="AK249" s="367" t="s">
        <v>2902</v>
      </c>
      <c r="AL249" s="367" t="s">
        <v>2902</v>
      </c>
      <c r="AM249" s="367" t="s">
        <v>2902</v>
      </c>
      <c r="AN249" s="367" t="s">
        <v>2902</v>
      </c>
      <c r="AO249" s="367" t="s">
        <v>2902</v>
      </c>
      <c r="AP249" s="296" t="s">
        <v>2326</v>
      </c>
      <c r="AQ249" s="296" t="s">
        <v>2326</v>
      </c>
      <c r="AR249" s="297"/>
      <c r="AS249" s="367" t="s">
        <v>2902</v>
      </c>
      <c r="AT249" s="367" t="s">
        <v>2902</v>
      </c>
      <c r="AU249" s="296" t="s">
        <v>2326</v>
      </c>
      <c r="AV249" s="297"/>
      <c r="AW249" s="325">
        <v>1</v>
      </c>
      <c r="AX249" s="247">
        <f t="shared" si="76"/>
        <v>100</v>
      </c>
      <c r="AY249" s="90">
        <f t="shared" si="77"/>
        <v>4</v>
      </c>
      <c r="AZ249" s="378">
        <v>0</v>
      </c>
      <c r="BA249" s="449" t="s">
        <v>3782</v>
      </c>
      <c r="BB249" s="247">
        <f t="shared" si="78"/>
        <v>100</v>
      </c>
      <c r="BC249" s="91">
        <f t="shared" si="79"/>
        <v>2</v>
      </c>
      <c r="BD249" s="325">
        <v>0</v>
      </c>
      <c r="BE249" s="325">
        <v>0</v>
      </c>
      <c r="BF249" s="325">
        <v>0</v>
      </c>
      <c r="BG249" s="252">
        <f t="shared" si="80"/>
        <v>0</v>
      </c>
      <c r="BH249" s="246">
        <f t="shared" si="81"/>
        <v>100</v>
      </c>
      <c r="BI249" s="90">
        <f t="shared" si="82"/>
        <v>1</v>
      </c>
      <c r="BJ249" s="325">
        <v>0</v>
      </c>
      <c r="BK249" s="247">
        <f t="shared" si="83"/>
        <v>100</v>
      </c>
      <c r="BL249" s="94">
        <f t="shared" si="84"/>
        <v>2</v>
      </c>
      <c r="BM249" s="325">
        <v>0</v>
      </c>
      <c r="BN249" s="325">
        <v>0</v>
      </c>
      <c r="BO249" s="325">
        <v>0</v>
      </c>
      <c r="BP249" s="211">
        <f t="shared" si="85"/>
        <v>0</v>
      </c>
      <c r="BQ249" s="253">
        <f t="shared" si="86"/>
        <v>25</v>
      </c>
      <c r="BR249" s="99">
        <f t="shared" si="87"/>
        <v>0.25</v>
      </c>
      <c r="BS249" s="101">
        <f t="shared" si="88"/>
        <v>18.25</v>
      </c>
    </row>
    <row r="250" spans="1:71" x14ac:dyDescent="0.6">
      <c r="A250" s="373" t="s">
        <v>37</v>
      </c>
      <c r="B250" s="13" t="s">
        <v>3162</v>
      </c>
      <c r="C250" s="380" t="s">
        <v>69</v>
      </c>
      <c r="D250" s="351" t="s">
        <v>285</v>
      </c>
      <c r="E250" s="352" t="s">
        <v>629</v>
      </c>
      <c r="F250" s="352" t="s">
        <v>577</v>
      </c>
      <c r="G250" s="353">
        <v>43111</v>
      </c>
      <c r="H250" s="352" t="s">
        <v>830</v>
      </c>
      <c r="I250" s="352" t="s">
        <v>846</v>
      </c>
      <c r="J250" s="352" t="s">
        <v>1138</v>
      </c>
      <c r="K250" s="352" t="s">
        <v>690</v>
      </c>
      <c r="L250" s="381">
        <v>761133055</v>
      </c>
      <c r="M250" s="376">
        <v>116041955</v>
      </c>
      <c r="N250" s="376">
        <v>645091100</v>
      </c>
      <c r="O250" s="376">
        <v>691580207</v>
      </c>
      <c r="P250" s="376">
        <v>99955621</v>
      </c>
      <c r="Q250" s="376">
        <v>124537136</v>
      </c>
      <c r="R250" s="376">
        <v>116344338</v>
      </c>
      <c r="S250" s="325">
        <v>0</v>
      </c>
      <c r="T250" s="246">
        <f t="shared" si="72"/>
        <v>100</v>
      </c>
      <c r="U250" s="77">
        <f t="shared" si="73"/>
        <v>2</v>
      </c>
      <c r="V250" s="377">
        <v>0</v>
      </c>
      <c r="W250" s="377">
        <v>0</v>
      </c>
      <c r="X250" s="377">
        <v>0</v>
      </c>
      <c r="Y250" s="377">
        <v>0</v>
      </c>
      <c r="Z250" s="377">
        <v>0</v>
      </c>
      <c r="AA250" s="377">
        <v>0</v>
      </c>
      <c r="AB250" s="377">
        <v>0</v>
      </c>
      <c r="AC250" s="247">
        <f t="shared" si="74"/>
        <v>0</v>
      </c>
      <c r="AD250" s="247">
        <f t="shared" si="75"/>
        <v>100</v>
      </c>
      <c r="AE250" s="82">
        <f>AD250*0.05</f>
        <v>5</v>
      </c>
      <c r="AF250" s="377">
        <v>0</v>
      </c>
      <c r="AG250" s="377">
        <v>0</v>
      </c>
      <c r="AH250" s="247">
        <f t="shared" si="90"/>
        <v>0</v>
      </c>
      <c r="AI250" s="247">
        <f t="shared" si="91"/>
        <v>100</v>
      </c>
      <c r="AJ250" s="82">
        <f t="shared" si="92"/>
        <v>3</v>
      </c>
      <c r="AK250" s="367" t="s">
        <v>2902</v>
      </c>
      <c r="AL250" s="367" t="s">
        <v>2902</v>
      </c>
      <c r="AM250" s="367" t="s">
        <v>2902</v>
      </c>
      <c r="AN250" s="367" t="s">
        <v>2902</v>
      </c>
      <c r="AO250" s="367" t="s">
        <v>2902</v>
      </c>
      <c r="AP250" s="296" t="s">
        <v>2326</v>
      </c>
      <c r="AQ250" s="296" t="s">
        <v>2326</v>
      </c>
      <c r="AR250" s="297"/>
      <c r="AS250" s="367" t="s">
        <v>2902</v>
      </c>
      <c r="AT250" s="367" t="s">
        <v>2902</v>
      </c>
      <c r="AU250" s="296" t="s">
        <v>2326</v>
      </c>
      <c r="AV250" s="297"/>
      <c r="AW250" s="325">
        <v>1</v>
      </c>
      <c r="AX250" s="247">
        <f t="shared" si="76"/>
        <v>100</v>
      </c>
      <c r="AY250" s="90">
        <f t="shared" si="77"/>
        <v>4</v>
      </c>
      <c r="AZ250" s="378">
        <v>0</v>
      </c>
      <c r="BA250" s="449" t="s">
        <v>3782</v>
      </c>
      <c r="BB250" s="247">
        <f t="shared" si="78"/>
        <v>100</v>
      </c>
      <c r="BC250" s="91">
        <f t="shared" si="79"/>
        <v>2</v>
      </c>
      <c r="BD250" s="325">
        <v>0</v>
      </c>
      <c r="BE250" s="325">
        <v>0</v>
      </c>
      <c r="BF250" s="325">
        <v>1</v>
      </c>
      <c r="BG250" s="252">
        <f t="shared" si="80"/>
        <v>1</v>
      </c>
      <c r="BH250" s="246">
        <f t="shared" si="81"/>
        <v>75</v>
      </c>
      <c r="BI250" s="90">
        <f t="shared" si="82"/>
        <v>0.75</v>
      </c>
      <c r="BJ250" s="325">
        <v>0</v>
      </c>
      <c r="BK250" s="247">
        <f t="shared" si="83"/>
        <v>100</v>
      </c>
      <c r="BL250" s="94">
        <f t="shared" si="84"/>
        <v>2</v>
      </c>
      <c r="BM250" s="325">
        <v>0</v>
      </c>
      <c r="BN250" s="325">
        <v>0</v>
      </c>
      <c r="BO250" s="325">
        <v>0</v>
      </c>
      <c r="BP250" s="211">
        <f t="shared" si="85"/>
        <v>0</v>
      </c>
      <c r="BQ250" s="253">
        <f t="shared" si="86"/>
        <v>25</v>
      </c>
      <c r="BR250" s="99">
        <f t="shared" si="87"/>
        <v>0.25</v>
      </c>
      <c r="BS250" s="101">
        <f t="shared" si="88"/>
        <v>19</v>
      </c>
    </row>
    <row r="251" spans="1:71" x14ac:dyDescent="0.6">
      <c r="A251" s="373" t="s">
        <v>352</v>
      </c>
      <c r="B251" s="1" t="s">
        <v>3163</v>
      </c>
      <c r="C251" s="380" t="s">
        <v>304</v>
      </c>
      <c r="D251" s="351" t="s">
        <v>191</v>
      </c>
      <c r="E251" s="352" t="s">
        <v>178</v>
      </c>
      <c r="F251" s="352" t="s">
        <v>273</v>
      </c>
      <c r="G251" s="353">
        <v>42836</v>
      </c>
      <c r="H251" s="352" t="s">
        <v>830</v>
      </c>
      <c r="I251" s="352" t="s">
        <v>811</v>
      </c>
      <c r="J251" s="352" t="s">
        <v>1132</v>
      </c>
      <c r="K251" s="352" t="s">
        <v>91</v>
      </c>
      <c r="L251" s="381">
        <v>330163311</v>
      </c>
      <c r="M251" s="376">
        <v>137897080</v>
      </c>
      <c r="N251" s="376">
        <v>192266231</v>
      </c>
      <c r="O251" s="376">
        <v>413638465</v>
      </c>
      <c r="P251" s="376">
        <v>17588318</v>
      </c>
      <c r="Q251" s="376">
        <v>36589302</v>
      </c>
      <c r="R251" s="376">
        <v>27057204</v>
      </c>
      <c r="S251" s="325">
        <v>0</v>
      </c>
      <c r="T251" s="246">
        <f t="shared" si="72"/>
        <v>100</v>
      </c>
      <c r="U251" s="77">
        <f t="shared" si="73"/>
        <v>2</v>
      </c>
      <c r="V251" s="377">
        <v>0</v>
      </c>
      <c r="W251" s="377">
        <v>0</v>
      </c>
      <c r="X251" s="377">
        <v>0</v>
      </c>
      <c r="Y251" s="377">
        <v>0</v>
      </c>
      <c r="Z251" s="377">
        <v>0</v>
      </c>
      <c r="AA251" s="377">
        <v>0</v>
      </c>
      <c r="AB251" s="377">
        <v>0</v>
      </c>
      <c r="AC251" s="247">
        <f t="shared" si="74"/>
        <v>0</v>
      </c>
      <c r="AD251" s="247">
        <f t="shared" si="75"/>
        <v>100</v>
      </c>
      <c r="AE251" s="82">
        <f>AD251*0.05</f>
        <v>5</v>
      </c>
      <c r="AF251" s="377">
        <v>0</v>
      </c>
      <c r="AG251" s="377">
        <v>0</v>
      </c>
      <c r="AH251" s="247">
        <f t="shared" si="90"/>
        <v>0</v>
      </c>
      <c r="AI251" s="247">
        <f t="shared" si="91"/>
        <v>100</v>
      </c>
      <c r="AJ251" s="82">
        <f t="shared" si="92"/>
        <v>3</v>
      </c>
      <c r="AK251" s="367" t="s">
        <v>2902</v>
      </c>
      <c r="AL251" s="367" t="s">
        <v>2902</v>
      </c>
      <c r="AM251" s="367" t="s">
        <v>2902</v>
      </c>
      <c r="AN251" s="367" t="s">
        <v>2902</v>
      </c>
      <c r="AO251" s="367" t="s">
        <v>2902</v>
      </c>
      <c r="AP251" s="296" t="s">
        <v>2326</v>
      </c>
      <c r="AQ251" s="296" t="s">
        <v>2326</v>
      </c>
      <c r="AR251" s="297"/>
      <c r="AS251" s="367" t="s">
        <v>2902</v>
      </c>
      <c r="AT251" s="367" t="s">
        <v>2902</v>
      </c>
      <c r="AU251" s="296" t="s">
        <v>2326</v>
      </c>
      <c r="AV251" s="297"/>
      <c r="AW251" s="325">
        <v>1</v>
      </c>
      <c r="AX251" s="247">
        <f t="shared" si="76"/>
        <v>100</v>
      </c>
      <c r="AY251" s="90">
        <f t="shared" si="77"/>
        <v>4</v>
      </c>
      <c r="AZ251" s="378">
        <v>0</v>
      </c>
      <c r="BA251" s="449" t="s">
        <v>3782</v>
      </c>
      <c r="BB251" s="247">
        <f t="shared" si="78"/>
        <v>100</v>
      </c>
      <c r="BC251" s="91">
        <f t="shared" si="79"/>
        <v>2</v>
      </c>
      <c r="BD251" s="325">
        <v>0</v>
      </c>
      <c r="BE251" s="325">
        <v>0</v>
      </c>
      <c r="BF251" s="325">
        <v>1</v>
      </c>
      <c r="BG251" s="252">
        <f t="shared" si="80"/>
        <v>1</v>
      </c>
      <c r="BH251" s="246">
        <f t="shared" si="81"/>
        <v>75</v>
      </c>
      <c r="BI251" s="90">
        <f t="shared" si="82"/>
        <v>0.75</v>
      </c>
      <c r="BJ251" s="325">
        <v>0</v>
      </c>
      <c r="BK251" s="247">
        <f t="shared" si="83"/>
        <v>100</v>
      </c>
      <c r="BL251" s="94">
        <f t="shared" si="84"/>
        <v>2</v>
      </c>
      <c r="BM251" s="325">
        <v>0</v>
      </c>
      <c r="BN251" s="325">
        <v>0</v>
      </c>
      <c r="BO251" s="325">
        <v>1</v>
      </c>
      <c r="BP251" s="211">
        <f t="shared" si="85"/>
        <v>1</v>
      </c>
      <c r="BQ251" s="253">
        <f t="shared" si="86"/>
        <v>50</v>
      </c>
      <c r="BR251" s="99">
        <f t="shared" si="87"/>
        <v>0.5</v>
      </c>
      <c r="BS251" s="101">
        <f t="shared" si="88"/>
        <v>19.25</v>
      </c>
    </row>
    <row r="252" spans="1:71" x14ac:dyDescent="0.6">
      <c r="A252" s="373" t="s">
        <v>1865</v>
      </c>
      <c r="B252" s="13" t="s">
        <v>3164</v>
      </c>
      <c r="C252" s="380" t="s">
        <v>1866</v>
      </c>
      <c r="D252" s="315" t="s">
        <v>202</v>
      </c>
      <c r="E252" s="352" t="s">
        <v>605</v>
      </c>
      <c r="F252" s="352" t="s">
        <v>1867</v>
      </c>
      <c r="G252" s="353">
        <v>44418</v>
      </c>
      <c r="H252" s="352" t="s">
        <v>830</v>
      </c>
      <c r="I252" s="352" t="s">
        <v>1868</v>
      </c>
      <c r="J252" s="352" t="s">
        <v>1869</v>
      </c>
      <c r="K252" s="352" t="s">
        <v>91</v>
      </c>
      <c r="L252" s="381">
        <v>5774465580</v>
      </c>
      <c r="M252" s="376">
        <v>732161313</v>
      </c>
      <c r="N252" s="376">
        <v>5042304267</v>
      </c>
      <c r="O252" s="376">
        <v>1767775811</v>
      </c>
      <c r="P252" s="376">
        <v>737821913</v>
      </c>
      <c r="Q252" s="376">
        <v>666253605</v>
      </c>
      <c r="R252" s="376">
        <v>487142608</v>
      </c>
      <c r="S252" s="325">
        <v>1</v>
      </c>
      <c r="T252" s="246">
        <f t="shared" si="72"/>
        <v>50</v>
      </c>
      <c r="U252" s="77">
        <f t="shared" si="73"/>
        <v>1</v>
      </c>
      <c r="V252" s="377">
        <v>0</v>
      </c>
      <c r="W252" s="377">
        <v>0</v>
      </c>
      <c r="X252" s="377">
        <v>0</v>
      </c>
      <c r="Y252" s="377">
        <v>0</v>
      </c>
      <c r="Z252" s="377">
        <v>0</v>
      </c>
      <c r="AA252" s="377">
        <v>0</v>
      </c>
      <c r="AB252" s="377">
        <v>0</v>
      </c>
      <c r="AC252" s="247">
        <f t="shared" si="74"/>
        <v>0</v>
      </c>
      <c r="AD252" s="247">
        <f t="shared" si="75"/>
        <v>100</v>
      </c>
      <c r="AE252" s="82">
        <f>AD252*0.05</f>
        <v>5</v>
      </c>
      <c r="AF252" s="377">
        <v>0</v>
      </c>
      <c r="AG252" s="377">
        <v>0</v>
      </c>
      <c r="AH252" s="247">
        <f t="shared" si="90"/>
        <v>0</v>
      </c>
      <c r="AI252" s="247">
        <f t="shared" si="91"/>
        <v>100</v>
      </c>
      <c r="AJ252" s="82">
        <f t="shared" si="92"/>
        <v>3</v>
      </c>
      <c r="AK252" s="367" t="s">
        <v>2902</v>
      </c>
      <c r="AL252" s="367" t="s">
        <v>2902</v>
      </c>
      <c r="AM252" s="367" t="s">
        <v>2902</v>
      </c>
      <c r="AN252" s="367" t="s">
        <v>2902</v>
      </c>
      <c r="AO252" s="367" t="s">
        <v>2902</v>
      </c>
      <c r="AP252" s="296" t="s">
        <v>2326</v>
      </c>
      <c r="AQ252" s="296" t="s">
        <v>2326</v>
      </c>
      <c r="AR252" s="297"/>
      <c r="AS252" s="367" t="s">
        <v>2902</v>
      </c>
      <c r="AT252" s="367" t="s">
        <v>2902</v>
      </c>
      <c r="AU252" s="296" t="s">
        <v>2326</v>
      </c>
      <c r="AV252" s="297"/>
      <c r="AW252" s="325">
        <v>1</v>
      </c>
      <c r="AX252" s="247">
        <f t="shared" si="76"/>
        <v>100</v>
      </c>
      <c r="AY252" s="90">
        <f t="shared" si="77"/>
        <v>4</v>
      </c>
      <c r="AZ252" s="378">
        <v>0</v>
      </c>
      <c r="BA252" s="449" t="s">
        <v>3782</v>
      </c>
      <c r="BB252" s="247">
        <f t="shared" si="78"/>
        <v>100</v>
      </c>
      <c r="BC252" s="91">
        <f t="shared" si="79"/>
        <v>2</v>
      </c>
      <c r="BD252" s="325">
        <v>0</v>
      </c>
      <c r="BE252" s="325">
        <v>0</v>
      </c>
      <c r="BF252" s="325">
        <v>0</v>
      </c>
      <c r="BG252" s="252">
        <f t="shared" si="80"/>
        <v>0</v>
      </c>
      <c r="BH252" s="246">
        <f t="shared" si="81"/>
        <v>100</v>
      </c>
      <c r="BI252" s="90">
        <f t="shared" si="82"/>
        <v>1</v>
      </c>
      <c r="BJ252" s="325">
        <v>0</v>
      </c>
      <c r="BK252" s="247">
        <f t="shared" si="83"/>
        <v>100</v>
      </c>
      <c r="BL252" s="94">
        <f t="shared" si="84"/>
        <v>2</v>
      </c>
      <c r="BM252" s="325">
        <v>0</v>
      </c>
      <c r="BN252" s="325">
        <v>1</v>
      </c>
      <c r="BO252" s="325">
        <v>1</v>
      </c>
      <c r="BP252" s="211">
        <f t="shared" si="85"/>
        <v>2</v>
      </c>
      <c r="BQ252" s="253">
        <f t="shared" si="86"/>
        <v>75</v>
      </c>
      <c r="BR252" s="99">
        <f t="shared" si="87"/>
        <v>0.75</v>
      </c>
      <c r="BS252" s="101">
        <f t="shared" si="88"/>
        <v>18.75</v>
      </c>
    </row>
    <row r="253" spans="1:71" x14ac:dyDescent="0.6">
      <c r="A253" s="373" t="s">
        <v>438</v>
      </c>
      <c r="B253" s="1" t="s">
        <v>3165</v>
      </c>
      <c r="C253" s="380" t="s">
        <v>36</v>
      </c>
      <c r="D253" s="354" t="s">
        <v>350</v>
      </c>
      <c r="E253" s="352" t="s">
        <v>179</v>
      </c>
      <c r="F253" s="352" t="s">
        <v>1111</v>
      </c>
      <c r="G253" s="353">
        <v>40028</v>
      </c>
      <c r="H253" s="352" t="s">
        <v>830</v>
      </c>
      <c r="I253" s="352" t="s">
        <v>810</v>
      </c>
      <c r="J253" s="352" t="s">
        <v>1139</v>
      </c>
      <c r="K253" s="352" t="s">
        <v>91</v>
      </c>
      <c r="L253" s="381">
        <v>39369287420</v>
      </c>
      <c r="M253" s="376">
        <v>35300144133</v>
      </c>
      <c r="N253" s="376">
        <v>4069143286</v>
      </c>
      <c r="O253" s="376">
        <v>8031651241</v>
      </c>
      <c r="P253" s="376">
        <v>645745222</v>
      </c>
      <c r="Q253" s="376">
        <v>663311108</v>
      </c>
      <c r="R253" s="376">
        <v>493104212</v>
      </c>
      <c r="S253" s="325">
        <v>1</v>
      </c>
      <c r="T253" s="246">
        <f t="shared" si="72"/>
        <v>50</v>
      </c>
      <c r="U253" s="77">
        <f t="shared" si="73"/>
        <v>1</v>
      </c>
      <c r="V253" s="377">
        <v>0</v>
      </c>
      <c r="W253" s="377">
        <v>0</v>
      </c>
      <c r="X253" s="377">
        <v>0</v>
      </c>
      <c r="Y253" s="377">
        <v>0</v>
      </c>
      <c r="Z253" s="377">
        <v>0</v>
      </c>
      <c r="AA253" s="377">
        <v>0</v>
      </c>
      <c r="AB253" s="377">
        <v>0</v>
      </c>
      <c r="AC253" s="247">
        <f t="shared" si="74"/>
        <v>0</v>
      </c>
      <c r="AD253" s="247">
        <f t="shared" si="75"/>
        <v>100</v>
      </c>
      <c r="AE253" s="81">
        <f>AD253*0.02</f>
        <v>2</v>
      </c>
      <c r="AF253" s="360" t="s">
        <v>2902</v>
      </c>
      <c r="AG253" s="360" t="s">
        <v>2902</v>
      </c>
      <c r="AH253" s="248" t="s">
        <v>2326</v>
      </c>
      <c r="AI253" s="248" t="s">
        <v>2326</v>
      </c>
      <c r="AJ253" s="248"/>
      <c r="AK253" s="373">
        <v>3</v>
      </c>
      <c r="AL253" s="373">
        <v>0</v>
      </c>
      <c r="AM253" s="373">
        <v>0</v>
      </c>
      <c r="AN253" s="373">
        <v>2</v>
      </c>
      <c r="AO253" s="370" t="s">
        <v>3242</v>
      </c>
      <c r="AP253" s="249">
        <f>SUM(AK253:AN253)</f>
        <v>5</v>
      </c>
      <c r="AQ253" s="250">
        <f>IF(AP253=0, 100, IF(AP253=1, 75, IF(AP253=2, 50, 25)))</f>
        <v>25</v>
      </c>
      <c r="AR253" s="83">
        <f>AQ253*0.05</f>
        <v>1.25</v>
      </c>
      <c r="AS253" s="395">
        <v>0</v>
      </c>
      <c r="AT253" s="370" t="s">
        <v>3240</v>
      </c>
      <c r="AU253" s="251">
        <f>IF(AS253=0, 100, IF(AS253=1, 200/3, IF(AS253&gt;=2, 100/3)))</f>
        <v>100</v>
      </c>
      <c r="AV253" s="87">
        <f>AU253*0.01</f>
        <v>1</v>
      </c>
      <c r="AW253" s="325">
        <v>0</v>
      </c>
      <c r="AX253" s="247">
        <f t="shared" si="76"/>
        <v>50</v>
      </c>
      <c r="AY253" s="90">
        <f t="shared" si="77"/>
        <v>2</v>
      </c>
      <c r="AZ253" s="378">
        <v>0</v>
      </c>
      <c r="BA253" s="449" t="s">
        <v>3782</v>
      </c>
      <c r="BB253" s="247">
        <f t="shared" si="78"/>
        <v>100</v>
      </c>
      <c r="BC253" s="91">
        <f t="shared" si="79"/>
        <v>2</v>
      </c>
      <c r="BD253" s="325">
        <v>0</v>
      </c>
      <c r="BE253" s="325">
        <v>0</v>
      </c>
      <c r="BF253" s="325">
        <v>0</v>
      </c>
      <c r="BG253" s="252">
        <f t="shared" si="80"/>
        <v>0</v>
      </c>
      <c r="BH253" s="246">
        <f t="shared" si="81"/>
        <v>100</v>
      </c>
      <c r="BI253" s="90">
        <f t="shared" si="82"/>
        <v>1</v>
      </c>
      <c r="BJ253" s="325">
        <v>0</v>
      </c>
      <c r="BK253" s="247">
        <f t="shared" si="83"/>
        <v>100</v>
      </c>
      <c r="BL253" s="94">
        <f t="shared" si="84"/>
        <v>2</v>
      </c>
      <c r="BM253" s="325">
        <v>0</v>
      </c>
      <c r="BN253" s="325">
        <v>0</v>
      </c>
      <c r="BO253" s="325">
        <v>1</v>
      </c>
      <c r="BP253" s="211">
        <f t="shared" si="85"/>
        <v>1</v>
      </c>
      <c r="BQ253" s="253">
        <f t="shared" si="86"/>
        <v>50</v>
      </c>
      <c r="BR253" s="99">
        <f t="shared" si="87"/>
        <v>0.5</v>
      </c>
      <c r="BS253" s="101">
        <f t="shared" si="88"/>
        <v>12.75</v>
      </c>
    </row>
    <row r="254" spans="1:71" x14ac:dyDescent="0.6">
      <c r="A254" s="373" t="s">
        <v>535</v>
      </c>
      <c r="B254" s="1" t="s">
        <v>3166</v>
      </c>
      <c r="C254" s="380" t="s">
        <v>890</v>
      </c>
      <c r="D254" s="351" t="s">
        <v>203</v>
      </c>
      <c r="E254" s="352" t="s">
        <v>1179</v>
      </c>
      <c r="F254" s="352" t="s">
        <v>132</v>
      </c>
      <c r="G254" s="353">
        <v>33304</v>
      </c>
      <c r="H254" s="352" t="s">
        <v>830</v>
      </c>
      <c r="I254" s="352" t="s">
        <v>984</v>
      </c>
      <c r="J254" s="352" t="s">
        <v>1110</v>
      </c>
      <c r="K254" s="352" t="s">
        <v>91</v>
      </c>
      <c r="L254" s="381">
        <v>231015509</v>
      </c>
      <c r="M254" s="376">
        <v>75905969</v>
      </c>
      <c r="N254" s="376">
        <v>155109540</v>
      </c>
      <c r="O254" s="376">
        <v>285439614</v>
      </c>
      <c r="P254" s="376">
        <v>21520066</v>
      </c>
      <c r="Q254" s="376">
        <v>18501491</v>
      </c>
      <c r="R254" s="376">
        <v>19107420</v>
      </c>
      <c r="S254" s="325">
        <v>0</v>
      </c>
      <c r="T254" s="246">
        <f t="shared" si="72"/>
        <v>100</v>
      </c>
      <c r="U254" s="77">
        <f t="shared" si="73"/>
        <v>2</v>
      </c>
      <c r="V254" s="377">
        <v>0</v>
      </c>
      <c r="W254" s="377">
        <v>0</v>
      </c>
      <c r="X254" s="377">
        <v>0</v>
      </c>
      <c r="Y254" s="377">
        <v>0</v>
      </c>
      <c r="Z254" s="377">
        <v>0</v>
      </c>
      <c r="AA254" s="377">
        <v>0</v>
      </c>
      <c r="AB254" s="377">
        <v>0</v>
      </c>
      <c r="AC254" s="247">
        <f t="shared" si="74"/>
        <v>0</v>
      </c>
      <c r="AD254" s="247">
        <f t="shared" si="75"/>
        <v>100</v>
      </c>
      <c r="AE254" s="82">
        <f t="shared" ref="AE254:AE290" si="97">AD254*0.05</f>
        <v>5</v>
      </c>
      <c r="AF254" s="377">
        <v>0</v>
      </c>
      <c r="AG254" s="377">
        <v>0</v>
      </c>
      <c r="AH254" s="247">
        <f t="shared" si="90"/>
        <v>0</v>
      </c>
      <c r="AI254" s="247">
        <f t="shared" si="91"/>
        <v>100</v>
      </c>
      <c r="AJ254" s="82">
        <f t="shared" si="92"/>
        <v>3</v>
      </c>
      <c r="AK254" s="367" t="s">
        <v>2902</v>
      </c>
      <c r="AL254" s="367" t="s">
        <v>2902</v>
      </c>
      <c r="AM254" s="367" t="s">
        <v>2902</v>
      </c>
      <c r="AN254" s="367" t="s">
        <v>2902</v>
      </c>
      <c r="AO254" s="367" t="s">
        <v>2902</v>
      </c>
      <c r="AP254" s="296" t="s">
        <v>2326</v>
      </c>
      <c r="AQ254" s="296" t="s">
        <v>2326</v>
      </c>
      <c r="AR254" s="297"/>
      <c r="AS254" s="367" t="s">
        <v>2902</v>
      </c>
      <c r="AT254" s="367" t="s">
        <v>2902</v>
      </c>
      <c r="AU254" s="296" t="s">
        <v>2326</v>
      </c>
      <c r="AV254" s="297"/>
      <c r="AW254" s="325">
        <v>1</v>
      </c>
      <c r="AX254" s="247">
        <f t="shared" si="76"/>
        <v>100</v>
      </c>
      <c r="AY254" s="90">
        <f t="shared" si="77"/>
        <v>4</v>
      </c>
      <c r="AZ254" s="378">
        <v>0</v>
      </c>
      <c r="BA254" s="449" t="s">
        <v>3782</v>
      </c>
      <c r="BB254" s="247">
        <f t="shared" si="78"/>
        <v>100</v>
      </c>
      <c r="BC254" s="91">
        <f t="shared" si="79"/>
        <v>2</v>
      </c>
      <c r="BD254" s="325">
        <v>0</v>
      </c>
      <c r="BE254" s="325">
        <v>0</v>
      </c>
      <c r="BF254" s="325">
        <v>0</v>
      </c>
      <c r="BG254" s="252">
        <f t="shared" si="80"/>
        <v>0</v>
      </c>
      <c r="BH254" s="246">
        <f t="shared" si="81"/>
        <v>100</v>
      </c>
      <c r="BI254" s="90">
        <f t="shared" si="82"/>
        <v>1</v>
      </c>
      <c r="BJ254" s="325">
        <v>0</v>
      </c>
      <c r="BK254" s="247">
        <f t="shared" si="83"/>
        <v>100</v>
      </c>
      <c r="BL254" s="94">
        <f t="shared" si="84"/>
        <v>2</v>
      </c>
      <c r="BM254" s="325">
        <v>0</v>
      </c>
      <c r="BN254" s="325">
        <v>0</v>
      </c>
      <c r="BO254" s="325">
        <v>0</v>
      </c>
      <c r="BP254" s="211">
        <f t="shared" si="85"/>
        <v>0</v>
      </c>
      <c r="BQ254" s="253">
        <f t="shared" si="86"/>
        <v>25</v>
      </c>
      <c r="BR254" s="99">
        <f t="shared" si="87"/>
        <v>0.25</v>
      </c>
      <c r="BS254" s="101">
        <f t="shared" si="88"/>
        <v>19.25</v>
      </c>
    </row>
    <row r="255" spans="1:71" x14ac:dyDescent="0.6">
      <c r="A255" s="373" t="s">
        <v>1870</v>
      </c>
      <c r="B255" s="13" t="s">
        <v>3167</v>
      </c>
      <c r="C255" s="380" t="s">
        <v>529</v>
      </c>
      <c r="D255" s="351" t="s">
        <v>203</v>
      </c>
      <c r="E255" s="352" t="s">
        <v>180</v>
      </c>
      <c r="F255" s="352" t="s">
        <v>561</v>
      </c>
      <c r="G255" s="353">
        <v>35094</v>
      </c>
      <c r="H255" s="352" t="s">
        <v>830</v>
      </c>
      <c r="I255" s="352" t="s">
        <v>1871</v>
      </c>
      <c r="J255" s="352" t="s">
        <v>1230</v>
      </c>
      <c r="K255" s="352" t="s">
        <v>91</v>
      </c>
      <c r="L255" s="381">
        <v>221214840</v>
      </c>
      <c r="M255" s="376">
        <v>49139610</v>
      </c>
      <c r="N255" s="376">
        <v>172075230</v>
      </c>
      <c r="O255" s="376">
        <v>157798814</v>
      </c>
      <c r="P255" s="376">
        <v>10746927</v>
      </c>
      <c r="Q255" s="376">
        <v>5946963</v>
      </c>
      <c r="R255" s="376">
        <v>5654728</v>
      </c>
      <c r="S255" s="325">
        <v>0</v>
      </c>
      <c r="T255" s="246">
        <f t="shared" si="72"/>
        <v>100</v>
      </c>
      <c r="U255" s="77">
        <f t="shared" si="73"/>
        <v>2</v>
      </c>
      <c r="V255" s="377">
        <v>0</v>
      </c>
      <c r="W255" s="377">
        <v>0</v>
      </c>
      <c r="X255" s="377">
        <v>0</v>
      </c>
      <c r="Y255" s="377">
        <v>0</v>
      </c>
      <c r="Z255" s="377">
        <v>0</v>
      </c>
      <c r="AA255" s="377">
        <v>0</v>
      </c>
      <c r="AB255" s="377">
        <v>0</v>
      </c>
      <c r="AC255" s="247">
        <f t="shared" si="74"/>
        <v>0</v>
      </c>
      <c r="AD255" s="247">
        <f t="shared" si="75"/>
        <v>100</v>
      </c>
      <c r="AE255" s="82">
        <f t="shared" si="97"/>
        <v>5</v>
      </c>
      <c r="AF255" s="377">
        <v>0</v>
      </c>
      <c r="AG255" s="377">
        <v>0</v>
      </c>
      <c r="AH255" s="247">
        <f t="shared" si="90"/>
        <v>0</v>
      </c>
      <c r="AI255" s="247">
        <f t="shared" si="91"/>
        <v>100</v>
      </c>
      <c r="AJ255" s="82">
        <f t="shared" si="92"/>
        <v>3</v>
      </c>
      <c r="AK255" s="367" t="s">
        <v>2902</v>
      </c>
      <c r="AL255" s="367" t="s">
        <v>2902</v>
      </c>
      <c r="AM255" s="367" t="s">
        <v>2902</v>
      </c>
      <c r="AN255" s="367" t="s">
        <v>2902</v>
      </c>
      <c r="AO255" s="367" t="s">
        <v>2902</v>
      </c>
      <c r="AP255" s="296" t="s">
        <v>2326</v>
      </c>
      <c r="AQ255" s="296" t="s">
        <v>2326</v>
      </c>
      <c r="AR255" s="297"/>
      <c r="AS255" s="367" t="s">
        <v>2902</v>
      </c>
      <c r="AT255" s="367" t="s">
        <v>2902</v>
      </c>
      <c r="AU255" s="296" t="s">
        <v>2326</v>
      </c>
      <c r="AV255" s="297"/>
      <c r="AW255" s="325">
        <v>1</v>
      </c>
      <c r="AX255" s="247">
        <f t="shared" si="76"/>
        <v>100</v>
      </c>
      <c r="AY255" s="90">
        <f t="shared" si="77"/>
        <v>4</v>
      </c>
      <c r="AZ255" s="378">
        <v>0</v>
      </c>
      <c r="BA255" s="449" t="s">
        <v>3782</v>
      </c>
      <c r="BB255" s="247">
        <f t="shared" si="78"/>
        <v>100</v>
      </c>
      <c r="BC255" s="91">
        <f t="shared" si="79"/>
        <v>2</v>
      </c>
      <c r="BD255" s="325">
        <v>0</v>
      </c>
      <c r="BE255" s="325">
        <v>0</v>
      </c>
      <c r="BF255" s="325">
        <v>0</v>
      </c>
      <c r="BG255" s="252">
        <f t="shared" si="80"/>
        <v>0</v>
      </c>
      <c r="BH255" s="246">
        <f t="shared" si="81"/>
        <v>100</v>
      </c>
      <c r="BI255" s="90">
        <f t="shared" si="82"/>
        <v>1</v>
      </c>
      <c r="BJ255" s="325">
        <v>0</v>
      </c>
      <c r="BK255" s="247">
        <f t="shared" si="83"/>
        <v>100</v>
      </c>
      <c r="BL255" s="94">
        <f t="shared" si="84"/>
        <v>2</v>
      </c>
      <c r="BM255" s="325">
        <v>0</v>
      </c>
      <c r="BN255" s="325">
        <v>0</v>
      </c>
      <c r="BO255" s="325">
        <v>1</v>
      </c>
      <c r="BP255" s="211">
        <f t="shared" si="85"/>
        <v>1</v>
      </c>
      <c r="BQ255" s="253">
        <f t="shared" si="86"/>
        <v>50</v>
      </c>
      <c r="BR255" s="99">
        <f t="shared" si="87"/>
        <v>0.5</v>
      </c>
      <c r="BS255" s="101">
        <f t="shared" si="88"/>
        <v>19.5</v>
      </c>
    </row>
    <row r="256" spans="1:71" x14ac:dyDescent="0.6">
      <c r="A256" s="373" t="s">
        <v>366</v>
      </c>
      <c r="B256" s="13" t="s">
        <v>3168</v>
      </c>
      <c r="C256" s="380" t="s">
        <v>447</v>
      </c>
      <c r="D256" s="351" t="s">
        <v>203</v>
      </c>
      <c r="E256" s="352" t="s">
        <v>180</v>
      </c>
      <c r="F256" s="352" t="s">
        <v>990</v>
      </c>
      <c r="G256" s="353">
        <v>37649</v>
      </c>
      <c r="H256" s="352" t="s">
        <v>830</v>
      </c>
      <c r="I256" s="352" t="s">
        <v>814</v>
      </c>
      <c r="J256" s="352" t="s">
        <v>663</v>
      </c>
      <c r="K256" s="352" t="s">
        <v>91</v>
      </c>
      <c r="L256" s="381">
        <v>162863274</v>
      </c>
      <c r="M256" s="376">
        <v>17371202</v>
      </c>
      <c r="N256" s="376">
        <v>145492071</v>
      </c>
      <c r="O256" s="376">
        <v>56651970</v>
      </c>
      <c r="P256" s="376">
        <v>10708324</v>
      </c>
      <c r="Q256" s="376">
        <v>12207215</v>
      </c>
      <c r="R256" s="376">
        <v>9200816</v>
      </c>
      <c r="S256" s="325">
        <v>0</v>
      </c>
      <c r="T256" s="246">
        <f t="shared" si="72"/>
        <v>100</v>
      </c>
      <c r="U256" s="77">
        <f t="shared" si="73"/>
        <v>2</v>
      </c>
      <c r="V256" s="377">
        <v>0</v>
      </c>
      <c r="W256" s="377">
        <v>0</v>
      </c>
      <c r="X256" s="377">
        <v>1</v>
      </c>
      <c r="Y256" s="377">
        <v>0</v>
      </c>
      <c r="Z256" s="377">
        <v>0</v>
      </c>
      <c r="AA256" s="377">
        <v>0</v>
      </c>
      <c r="AB256" s="377">
        <v>0</v>
      </c>
      <c r="AC256" s="247">
        <f t="shared" si="74"/>
        <v>1</v>
      </c>
      <c r="AD256" s="247">
        <f t="shared" si="75"/>
        <v>75</v>
      </c>
      <c r="AE256" s="82">
        <f t="shared" si="97"/>
        <v>3.75</v>
      </c>
      <c r="AF256" s="377">
        <v>0</v>
      </c>
      <c r="AG256" s="377">
        <v>0</v>
      </c>
      <c r="AH256" s="247">
        <f t="shared" si="90"/>
        <v>0</v>
      </c>
      <c r="AI256" s="247">
        <f t="shared" si="91"/>
        <v>100</v>
      </c>
      <c r="AJ256" s="82">
        <f t="shared" si="92"/>
        <v>3</v>
      </c>
      <c r="AK256" s="367" t="s">
        <v>2902</v>
      </c>
      <c r="AL256" s="367" t="s">
        <v>2902</v>
      </c>
      <c r="AM256" s="367" t="s">
        <v>2902</v>
      </c>
      <c r="AN256" s="367" t="s">
        <v>2902</v>
      </c>
      <c r="AO256" s="367" t="s">
        <v>2902</v>
      </c>
      <c r="AP256" s="296" t="s">
        <v>2326</v>
      </c>
      <c r="AQ256" s="296" t="s">
        <v>2326</v>
      </c>
      <c r="AR256" s="297"/>
      <c r="AS256" s="367" t="s">
        <v>2902</v>
      </c>
      <c r="AT256" s="367" t="s">
        <v>2902</v>
      </c>
      <c r="AU256" s="296" t="s">
        <v>2326</v>
      </c>
      <c r="AV256" s="297"/>
      <c r="AW256" s="325">
        <v>1</v>
      </c>
      <c r="AX256" s="247">
        <f t="shared" si="76"/>
        <v>100</v>
      </c>
      <c r="AY256" s="90">
        <f t="shared" si="77"/>
        <v>4</v>
      </c>
      <c r="AZ256" s="378">
        <v>0</v>
      </c>
      <c r="BA256" s="449" t="s">
        <v>3782</v>
      </c>
      <c r="BB256" s="247">
        <f t="shared" si="78"/>
        <v>100</v>
      </c>
      <c r="BC256" s="91">
        <f t="shared" si="79"/>
        <v>2</v>
      </c>
      <c r="BD256" s="325">
        <v>0</v>
      </c>
      <c r="BE256" s="325">
        <v>0</v>
      </c>
      <c r="BF256" s="325">
        <v>0</v>
      </c>
      <c r="BG256" s="252">
        <f t="shared" si="80"/>
        <v>0</v>
      </c>
      <c r="BH256" s="246">
        <f t="shared" si="81"/>
        <v>100</v>
      </c>
      <c r="BI256" s="90">
        <f t="shared" si="82"/>
        <v>1</v>
      </c>
      <c r="BJ256" s="325">
        <v>0</v>
      </c>
      <c r="BK256" s="247">
        <f t="shared" si="83"/>
        <v>100</v>
      </c>
      <c r="BL256" s="94">
        <f t="shared" si="84"/>
        <v>2</v>
      </c>
      <c r="BM256" s="325">
        <v>0</v>
      </c>
      <c r="BN256" s="325">
        <v>0</v>
      </c>
      <c r="BO256" s="325">
        <v>0</v>
      </c>
      <c r="BP256" s="211">
        <f t="shared" si="85"/>
        <v>0</v>
      </c>
      <c r="BQ256" s="253">
        <f t="shared" si="86"/>
        <v>25</v>
      </c>
      <c r="BR256" s="99">
        <f t="shared" si="87"/>
        <v>0.25</v>
      </c>
      <c r="BS256" s="101">
        <f t="shared" si="88"/>
        <v>18</v>
      </c>
    </row>
    <row r="257" spans="1:71" x14ac:dyDescent="0.6">
      <c r="A257" s="373" t="s">
        <v>1872</v>
      </c>
      <c r="B257" s="13" t="s">
        <v>3169</v>
      </c>
      <c r="C257" s="380" t="s">
        <v>38</v>
      </c>
      <c r="D257" s="351" t="s">
        <v>285</v>
      </c>
      <c r="E257" s="352" t="s">
        <v>867</v>
      </c>
      <c r="F257" s="352" t="s">
        <v>589</v>
      </c>
      <c r="G257" s="353">
        <v>32825</v>
      </c>
      <c r="H257" s="352" t="s">
        <v>830</v>
      </c>
      <c r="I257" s="352" t="s">
        <v>744</v>
      </c>
      <c r="J257" s="352" t="s">
        <v>1100</v>
      </c>
      <c r="K257" s="352" t="s">
        <v>690</v>
      </c>
      <c r="L257" s="381">
        <v>2966326502</v>
      </c>
      <c r="M257" s="376">
        <v>2073747455</v>
      </c>
      <c r="N257" s="376">
        <v>892579047</v>
      </c>
      <c r="O257" s="376">
        <v>2518358924</v>
      </c>
      <c r="P257" s="376">
        <v>126264508</v>
      </c>
      <c r="Q257" s="376">
        <v>98571424</v>
      </c>
      <c r="R257" s="376">
        <v>79048061</v>
      </c>
      <c r="S257" s="325">
        <v>1</v>
      </c>
      <c r="T257" s="246">
        <f t="shared" si="72"/>
        <v>50</v>
      </c>
      <c r="U257" s="77">
        <f t="shared" si="73"/>
        <v>1</v>
      </c>
      <c r="V257" s="377">
        <v>0</v>
      </c>
      <c r="W257" s="377">
        <v>0</v>
      </c>
      <c r="X257" s="377">
        <v>0</v>
      </c>
      <c r="Y257" s="377">
        <v>0</v>
      </c>
      <c r="Z257" s="377">
        <v>0</v>
      </c>
      <c r="AA257" s="377">
        <v>0</v>
      </c>
      <c r="AB257" s="377">
        <v>0</v>
      </c>
      <c r="AC257" s="247">
        <f t="shared" si="74"/>
        <v>0</v>
      </c>
      <c r="AD257" s="247">
        <f t="shared" si="75"/>
        <v>100</v>
      </c>
      <c r="AE257" s="82">
        <f t="shared" si="97"/>
        <v>5</v>
      </c>
      <c r="AF257" s="377">
        <v>0</v>
      </c>
      <c r="AG257" s="377">
        <v>0</v>
      </c>
      <c r="AH257" s="247">
        <f t="shared" si="90"/>
        <v>0</v>
      </c>
      <c r="AI257" s="247">
        <f t="shared" si="91"/>
        <v>100</v>
      </c>
      <c r="AJ257" s="82">
        <f t="shared" si="92"/>
        <v>3</v>
      </c>
      <c r="AK257" s="367" t="s">
        <v>2902</v>
      </c>
      <c r="AL257" s="367" t="s">
        <v>2902</v>
      </c>
      <c r="AM257" s="367" t="s">
        <v>2902</v>
      </c>
      <c r="AN257" s="367" t="s">
        <v>2902</v>
      </c>
      <c r="AO257" s="367" t="s">
        <v>2902</v>
      </c>
      <c r="AP257" s="296" t="s">
        <v>2326</v>
      </c>
      <c r="AQ257" s="296" t="s">
        <v>2326</v>
      </c>
      <c r="AR257" s="297"/>
      <c r="AS257" s="367" t="s">
        <v>2902</v>
      </c>
      <c r="AT257" s="367" t="s">
        <v>2902</v>
      </c>
      <c r="AU257" s="296" t="s">
        <v>2326</v>
      </c>
      <c r="AV257" s="297"/>
      <c r="AW257" s="325">
        <v>1</v>
      </c>
      <c r="AX257" s="247">
        <f t="shared" si="76"/>
        <v>100</v>
      </c>
      <c r="AY257" s="90">
        <f t="shared" si="77"/>
        <v>4</v>
      </c>
      <c r="AZ257" s="378">
        <v>0</v>
      </c>
      <c r="BA257" s="449" t="s">
        <v>3782</v>
      </c>
      <c r="BB257" s="247">
        <f t="shared" si="78"/>
        <v>100</v>
      </c>
      <c r="BC257" s="91">
        <f t="shared" si="79"/>
        <v>2</v>
      </c>
      <c r="BD257" s="325">
        <v>1</v>
      </c>
      <c r="BE257" s="325">
        <v>0</v>
      </c>
      <c r="BF257" s="325">
        <v>0</v>
      </c>
      <c r="BG257" s="252">
        <f t="shared" si="80"/>
        <v>1</v>
      </c>
      <c r="BH257" s="246">
        <f t="shared" si="81"/>
        <v>75</v>
      </c>
      <c r="BI257" s="90">
        <f t="shared" si="82"/>
        <v>0.75</v>
      </c>
      <c r="BJ257" s="325">
        <v>0</v>
      </c>
      <c r="BK257" s="247">
        <f t="shared" si="83"/>
        <v>100</v>
      </c>
      <c r="BL257" s="94">
        <f t="shared" si="84"/>
        <v>2</v>
      </c>
      <c r="BM257" s="325">
        <v>0</v>
      </c>
      <c r="BN257" s="325">
        <v>0</v>
      </c>
      <c r="BO257" s="325">
        <v>0</v>
      </c>
      <c r="BP257" s="211">
        <f t="shared" si="85"/>
        <v>0</v>
      </c>
      <c r="BQ257" s="253">
        <f t="shared" si="86"/>
        <v>25</v>
      </c>
      <c r="BR257" s="99">
        <f t="shared" si="87"/>
        <v>0.25</v>
      </c>
      <c r="BS257" s="101">
        <f t="shared" si="88"/>
        <v>18</v>
      </c>
    </row>
    <row r="258" spans="1:71" x14ac:dyDescent="0.6">
      <c r="A258" s="373" t="s">
        <v>1873</v>
      </c>
      <c r="B258" s="13" t="s">
        <v>3170</v>
      </c>
      <c r="C258" s="380" t="s">
        <v>1874</v>
      </c>
      <c r="D258" s="315" t="s">
        <v>191</v>
      </c>
      <c r="E258" s="352" t="s">
        <v>190</v>
      </c>
      <c r="F258" s="352" t="s">
        <v>1875</v>
      </c>
      <c r="G258" s="353">
        <v>34695</v>
      </c>
      <c r="H258" s="352" t="s">
        <v>830</v>
      </c>
      <c r="I258" s="352" t="s">
        <v>1876</v>
      </c>
      <c r="J258" s="352" t="s">
        <v>1877</v>
      </c>
      <c r="K258" s="352" t="s">
        <v>91</v>
      </c>
      <c r="L258" s="381">
        <v>638916718</v>
      </c>
      <c r="M258" s="376">
        <v>398803947</v>
      </c>
      <c r="N258" s="376">
        <v>240112771</v>
      </c>
      <c r="O258" s="376">
        <v>765025412</v>
      </c>
      <c r="P258" s="376">
        <v>47784093</v>
      </c>
      <c r="Q258" s="376">
        <v>26595933</v>
      </c>
      <c r="R258" s="376">
        <v>20153900</v>
      </c>
      <c r="S258" s="325">
        <v>0</v>
      </c>
      <c r="T258" s="246">
        <f t="shared" si="72"/>
        <v>100</v>
      </c>
      <c r="U258" s="77">
        <f t="shared" si="73"/>
        <v>2</v>
      </c>
      <c r="V258" s="377">
        <v>0</v>
      </c>
      <c r="W258" s="377">
        <v>0</v>
      </c>
      <c r="X258" s="377">
        <v>0</v>
      </c>
      <c r="Y258" s="377">
        <v>0</v>
      </c>
      <c r="Z258" s="377">
        <v>0</v>
      </c>
      <c r="AA258" s="377">
        <v>0</v>
      </c>
      <c r="AB258" s="377">
        <v>0</v>
      </c>
      <c r="AC258" s="247">
        <f t="shared" si="74"/>
        <v>0</v>
      </c>
      <c r="AD258" s="247">
        <f t="shared" si="75"/>
        <v>100</v>
      </c>
      <c r="AE258" s="82">
        <f t="shared" si="97"/>
        <v>5</v>
      </c>
      <c r="AF258" s="377">
        <v>0</v>
      </c>
      <c r="AG258" s="377">
        <v>0</v>
      </c>
      <c r="AH258" s="247">
        <f t="shared" si="90"/>
        <v>0</v>
      </c>
      <c r="AI258" s="247">
        <f t="shared" si="91"/>
        <v>100</v>
      </c>
      <c r="AJ258" s="82">
        <f t="shared" si="92"/>
        <v>3</v>
      </c>
      <c r="AK258" s="367" t="s">
        <v>2902</v>
      </c>
      <c r="AL258" s="367" t="s">
        <v>2902</v>
      </c>
      <c r="AM258" s="367" t="s">
        <v>2902</v>
      </c>
      <c r="AN258" s="367" t="s">
        <v>2902</v>
      </c>
      <c r="AO258" s="367" t="s">
        <v>2902</v>
      </c>
      <c r="AP258" s="296" t="s">
        <v>2326</v>
      </c>
      <c r="AQ258" s="296" t="s">
        <v>2326</v>
      </c>
      <c r="AR258" s="297"/>
      <c r="AS258" s="367" t="s">
        <v>2902</v>
      </c>
      <c r="AT258" s="367" t="s">
        <v>2902</v>
      </c>
      <c r="AU258" s="296" t="s">
        <v>2326</v>
      </c>
      <c r="AV258" s="297"/>
      <c r="AW258" s="325">
        <v>1</v>
      </c>
      <c r="AX258" s="247">
        <f t="shared" si="76"/>
        <v>100</v>
      </c>
      <c r="AY258" s="90">
        <f t="shared" si="77"/>
        <v>4</v>
      </c>
      <c r="AZ258" s="378">
        <v>0</v>
      </c>
      <c r="BA258" s="449" t="s">
        <v>3782</v>
      </c>
      <c r="BB258" s="247">
        <f t="shared" si="78"/>
        <v>100</v>
      </c>
      <c r="BC258" s="91">
        <f t="shared" si="79"/>
        <v>2</v>
      </c>
      <c r="BD258" s="325">
        <v>0</v>
      </c>
      <c r="BE258" s="325">
        <v>0</v>
      </c>
      <c r="BF258" s="325">
        <v>0</v>
      </c>
      <c r="BG258" s="252">
        <f t="shared" si="80"/>
        <v>0</v>
      </c>
      <c r="BH258" s="246">
        <f t="shared" si="81"/>
        <v>100</v>
      </c>
      <c r="BI258" s="90">
        <f t="shared" si="82"/>
        <v>1</v>
      </c>
      <c r="BJ258" s="325">
        <v>0</v>
      </c>
      <c r="BK258" s="247">
        <f t="shared" si="83"/>
        <v>100</v>
      </c>
      <c r="BL258" s="94">
        <f t="shared" si="84"/>
        <v>2</v>
      </c>
      <c r="BM258" s="325">
        <v>0</v>
      </c>
      <c r="BN258" s="325">
        <v>0</v>
      </c>
      <c r="BO258" s="325">
        <v>1</v>
      </c>
      <c r="BP258" s="211">
        <f t="shared" si="85"/>
        <v>1</v>
      </c>
      <c r="BQ258" s="253">
        <f t="shared" si="86"/>
        <v>50</v>
      </c>
      <c r="BR258" s="99">
        <f t="shared" si="87"/>
        <v>0.5</v>
      </c>
      <c r="BS258" s="101">
        <f t="shared" si="88"/>
        <v>19.5</v>
      </c>
    </row>
    <row r="259" spans="1:71" x14ac:dyDescent="0.6">
      <c r="A259" s="373" t="s">
        <v>1878</v>
      </c>
      <c r="B259" s="13" t="s">
        <v>3171</v>
      </c>
      <c r="C259" s="380" t="s">
        <v>1879</v>
      </c>
      <c r="D259" s="315" t="s">
        <v>203</v>
      </c>
      <c r="E259" s="352" t="s">
        <v>246</v>
      </c>
      <c r="F259" s="352" t="s">
        <v>1880</v>
      </c>
      <c r="G259" s="353">
        <v>43039</v>
      </c>
      <c r="H259" s="352" t="s">
        <v>830</v>
      </c>
      <c r="I259" s="352" t="s">
        <v>1881</v>
      </c>
      <c r="J259" s="352" t="s">
        <v>1882</v>
      </c>
      <c r="K259" s="352" t="s">
        <v>690</v>
      </c>
      <c r="L259" s="381">
        <v>136133552</v>
      </c>
      <c r="M259" s="376">
        <v>44833578</v>
      </c>
      <c r="N259" s="376">
        <v>91299975</v>
      </c>
      <c r="O259" s="376">
        <v>179753809</v>
      </c>
      <c r="P259" s="376">
        <v>24450342</v>
      </c>
      <c r="Q259" s="376">
        <v>25307795</v>
      </c>
      <c r="R259" s="376">
        <v>20467189</v>
      </c>
      <c r="S259" s="325">
        <v>1</v>
      </c>
      <c r="T259" s="246">
        <f t="shared" ref="T259:T322" si="98">IF(S259=1, 50, 100)</f>
        <v>50</v>
      </c>
      <c r="U259" s="77">
        <f t="shared" ref="U259:U322" si="99">T259*0.02</f>
        <v>1</v>
      </c>
      <c r="V259" s="377">
        <v>0</v>
      </c>
      <c r="W259" s="377">
        <v>0</v>
      </c>
      <c r="X259" s="377">
        <v>0</v>
      </c>
      <c r="Y259" s="377">
        <v>0</v>
      </c>
      <c r="Z259" s="377">
        <v>0</v>
      </c>
      <c r="AA259" s="377">
        <v>0</v>
      </c>
      <c r="AB259" s="377">
        <v>0</v>
      </c>
      <c r="AC259" s="247">
        <f t="shared" ref="AC259:AC322" si="100">SUM(V259:AB259)</f>
        <v>0</v>
      </c>
      <c r="AD259" s="247">
        <f t="shared" ref="AD259:AD322" si="101">IF(AC259=0, 100, IF(AC259=1, 75, IF(AC259=2, 50, 25)))</f>
        <v>100</v>
      </c>
      <c r="AE259" s="82">
        <f t="shared" si="97"/>
        <v>5</v>
      </c>
      <c r="AF259" s="377">
        <v>0</v>
      </c>
      <c r="AG259" s="377">
        <v>0</v>
      </c>
      <c r="AH259" s="247">
        <f t="shared" ref="AH259:AH322" si="102">SUM(AF259:AG259)</f>
        <v>0</v>
      </c>
      <c r="AI259" s="247">
        <f t="shared" si="91"/>
        <v>100</v>
      </c>
      <c r="AJ259" s="82">
        <f t="shared" si="92"/>
        <v>3</v>
      </c>
      <c r="AK259" s="367" t="s">
        <v>2902</v>
      </c>
      <c r="AL259" s="367" t="s">
        <v>2902</v>
      </c>
      <c r="AM259" s="367" t="s">
        <v>2902</v>
      </c>
      <c r="AN259" s="367" t="s">
        <v>2902</v>
      </c>
      <c r="AO259" s="367" t="s">
        <v>2902</v>
      </c>
      <c r="AP259" s="296" t="s">
        <v>2326</v>
      </c>
      <c r="AQ259" s="296" t="s">
        <v>2326</v>
      </c>
      <c r="AR259" s="297"/>
      <c r="AS259" s="367" t="s">
        <v>2902</v>
      </c>
      <c r="AT259" s="367" t="s">
        <v>2902</v>
      </c>
      <c r="AU259" s="296" t="s">
        <v>2326</v>
      </c>
      <c r="AV259" s="297"/>
      <c r="AW259" s="325">
        <v>1</v>
      </c>
      <c r="AX259" s="247">
        <f t="shared" ref="AX259:AX322" si="103">IF(AW259=1, 100, 50)</f>
        <v>100</v>
      </c>
      <c r="AY259" s="90">
        <f t="shared" ref="AY259:AY322" si="104">AX259*0.04</f>
        <v>4</v>
      </c>
      <c r="AZ259" s="378">
        <v>0</v>
      </c>
      <c r="BA259" s="449" t="s">
        <v>3782</v>
      </c>
      <c r="BB259" s="247">
        <f t="shared" ref="BB259:BB322" si="105">IF(AZ259=0, 100, IF(AZ259=1, 200/3, IF(AZ259&gt;=2, 100/3)))</f>
        <v>100</v>
      </c>
      <c r="BC259" s="91">
        <f t="shared" ref="BC259:BC322" si="106">BB259*0.02</f>
        <v>2</v>
      </c>
      <c r="BD259" s="325">
        <v>0</v>
      </c>
      <c r="BE259" s="325">
        <v>0</v>
      </c>
      <c r="BF259" s="325">
        <v>0</v>
      </c>
      <c r="BG259" s="252">
        <f t="shared" ref="BG259:BG322" si="107">SUM(BD259:BF259)</f>
        <v>0</v>
      </c>
      <c r="BH259" s="246">
        <f t="shared" ref="BH259:BH322" si="108">IF(BG259=0, 100, IF(BG259=1, 75, IF(BG259=2, 50, 25)))</f>
        <v>100</v>
      </c>
      <c r="BI259" s="90">
        <f t="shared" ref="BI259:BI322" si="109">BH259*0.01</f>
        <v>1</v>
      </c>
      <c r="BJ259" s="325">
        <v>0</v>
      </c>
      <c r="BK259" s="247">
        <f t="shared" ref="BK259:BK322" si="110">IF(BJ259=0, 100, 50)</f>
        <v>100</v>
      </c>
      <c r="BL259" s="94">
        <f t="shared" ref="BL259:BL322" si="111">BK259*0.02</f>
        <v>2</v>
      </c>
      <c r="BM259" s="325">
        <v>0</v>
      </c>
      <c r="BN259" s="325">
        <v>0</v>
      </c>
      <c r="BO259" s="325">
        <v>0</v>
      </c>
      <c r="BP259" s="211">
        <f t="shared" ref="BP259:BP322" si="112">SUM(BM259:BO259)</f>
        <v>0</v>
      </c>
      <c r="BQ259" s="253">
        <f t="shared" ref="BQ259:BQ322" si="113">IF(BP259=0, 25, IF(BP259=1, 50, IF(BP259=2, 75, IF(BP259=3, 100))))</f>
        <v>25</v>
      </c>
      <c r="BR259" s="99">
        <f t="shared" ref="BR259:BR322" si="114">BQ259*0.01</f>
        <v>0.25</v>
      </c>
      <c r="BS259" s="101">
        <f t="shared" ref="BS259:BS322" si="115">SUM(U259,AE259,AJ259,AR259,AV259,AY259,BC259,BI259,BL259,BR259)</f>
        <v>18.25</v>
      </c>
    </row>
    <row r="260" spans="1:71" x14ac:dyDescent="0.6">
      <c r="A260" s="373" t="s">
        <v>469</v>
      </c>
      <c r="B260" s="13" t="s">
        <v>3172</v>
      </c>
      <c r="C260" s="380" t="s">
        <v>889</v>
      </c>
      <c r="D260" s="351" t="s">
        <v>285</v>
      </c>
      <c r="E260" s="352" t="s">
        <v>112</v>
      </c>
      <c r="F260" s="352" t="s">
        <v>167</v>
      </c>
      <c r="G260" s="353">
        <v>38188</v>
      </c>
      <c r="H260" s="352" t="s">
        <v>830</v>
      </c>
      <c r="I260" s="352" t="s">
        <v>747</v>
      </c>
      <c r="J260" s="352" t="s">
        <v>1221</v>
      </c>
      <c r="K260" s="352" t="s">
        <v>91</v>
      </c>
      <c r="L260" s="381">
        <v>132073637</v>
      </c>
      <c r="M260" s="376">
        <v>20552807</v>
      </c>
      <c r="N260" s="376">
        <v>111520830</v>
      </c>
      <c r="O260" s="376">
        <v>42568935</v>
      </c>
      <c r="P260" s="376">
        <v>2855339</v>
      </c>
      <c r="Q260" s="376">
        <v>4551046</v>
      </c>
      <c r="R260" s="376">
        <v>3850592</v>
      </c>
      <c r="S260" s="325">
        <v>0</v>
      </c>
      <c r="T260" s="246">
        <f t="shared" si="98"/>
        <v>100</v>
      </c>
      <c r="U260" s="77">
        <f t="shared" si="99"/>
        <v>2</v>
      </c>
      <c r="V260" s="377">
        <v>0</v>
      </c>
      <c r="W260" s="377">
        <v>0</v>
      </c>
      <c r="X260" s="377">
        <v>0</v>
      </c>
      <c r="Y260" s="377">
        <v>0</v>
      </c>
      <c r="Z260" s="377">
        <v>0</v>
      </c>
      <c r="AA260" s="377">
        <v>0</v>
      </c>
      <c r="AB260" s="377">
        <v>0</v>
      </c>
      <c r="AC260" s="247">
        <f t="shared" si="100"/>
        <v>0</v>
      </c>
      <c r="AD260" s="247">
        <f t="shared" si="101"/>
        <v>100</v>
      </c>
      <c r="AE260" s="82">
        <f t="shared" si="97"/>
        <v>5</v>
      </c>
      <c r="AF260" s="377">
        <v>0</v>
      </c>
      <c r="AG260" s="377">
        <v>0</v>
      </c>
      <c r="AH260" s="247">
        <f t="shared" si="102"/>
        <v>0</v>
      </c>
      <c r="AI260" s="247">
        <f t="shared" ref="AI260:AI322" si="116">IF(AH260=0, 100, IF(AH260=1, 200/3, IF(AH260&gt;=2, 100/3)))</f>
        <v>100</v>
      </c>
      <c r="AJ260" s="82">
        <f t="shared" ref="AJ260:AJ322" si="117">AI260*0.03</f>
        <v>3</v>
      </c>
      <c r="AK260" s="367" t="s">
        <v>2902</v>
      </c>
      <c r="AL260" s="367" t="s">
        <v>2902</v>
      </c>
      <c r="AM260" s="367" t="s">
        <v>2902</v>
      </c>
      <c r="AN260" s="367" t="s">
        <v>2902</v>
      </c>
      <c r="AO260" s="367" t="s">
        <v>2902</v>
      </c>
      <c r="AP260" s="296" t="s">
        <v>2326</v>
      </c>
      <c r="AQ260" s="296" t="s">
        <v>2326</v>
      </c>
      <c r="AR260" s="297"/>
      <c r="AS260" s="367" t="s">
        <v>2902</v>
      </c>
      <c r="AT260" s="367" t="s">
        <v>2902</v>
      </c>
      <c r="AU260" s="296" t="s">
        <v>2326</v>
      </c>
      <c r="AV260" s="297"/>
      <c r="AW260" s="325">
        <v>1</v>
      </c>
      <c r="AX260" s="247">
        <f t="shared" si="103"/>
        <v>100</v>
      </c>
      <c r="AY260" s="90">
        <f t="shared" si="104"/>
        <v>4</v>
      </c>
      <c r="AZ260" s="378">
        <v>0</v>
      </c>
      <c r="BA260" s="449" t="s">
        <v>3782</v>
      </c>
      <c r="BB260" s="247">
        <f t="shared" si="105"/>
        <v>100</v>
      </c>
      <c r="BC260" s="91">
        <f t="shared" si="106"/>
        <v>2</v>
      </c>
      <c r="BD260" s="325">
        <v>0</v>
      </c>
      <c r="BE260" s="325">
        <v>0</v>
      </c>
      <c r="BF260" s="325">
        <v>0</v>
      </c>
      <c r="BG260" s="252">
        <f t="shared" si="107"/>
        <v>0</v>
      </c>
      <c r="BH260" s="246">
        <f t="shared" si="108"/>
        <v>100</v>
      </c>
      <c r="BI260" s="90">
        <f t="shared" si="109"/>
        <v>1</v>
      </c>
      <c r="BJ260" s="325">
        <v>0</v>
      </c>
      <c r="BK260" s="247">
        <f t="shared" si="110"/>
        <v>100</v>
      </c>
      <c r="BL260" s="94">
        <f t="shared" si="111"/>
        <v>2</v>
      </c>
      <c r="BM260" s="325">
        <v>0</v>
      </c>
      <c r="BN260" s="325">
        <v>0</v>
      </c>
      <c r="BO260" s="325">
        <v>1</v>
      </c>
      <c r="BP260" s="211">
        <f t="shared" si="112"/>
        <v>1</v>
      </c>
      <c r="BQ260" s="253">
        <f t="shared" si="113"/>
        <v>50</v>
      </c>
      <c r="BR260" s="99">
        <f t="shared" si="114"/>
        <v>0.5</v>
      </c>
      <c r="BS260" s="101">
        <f t="shared" si="115"/>
        <v>19.5</v>
      </c>
    </row>
    <row r="261" spans="1:71" x14ac:dyDescent="0.6">
      <c r="A261" s="373" t="s">
        <v>85</v>
      </c>
      <c r="B261" s="1" t="s">
        <v>3173</v>
      </c>
      <c r="C261" s="380" t="s">
        <v>901</v>
      </c>
      <c r="D261" s="351" t="s">
        <v>203</v>
      </c>
      <c r="E261" s="352" t="s">
        <v>188</v>
      </c>
      <c r="F261" s="352" t="s">
        <v>243</v>
      </c>
      <c r="G261" s="353">
        <v>37536</v>
      </c>
      <c r="H261" s="352" t="s">
        <v>830</v>
      </c>
      <c r="I261" s="352" t="s">
        <v>1883</v>
      </c>
      <c r="J261" s="352" t="s">
        <v>1136</v>
      </c>
      <c r="K261" s="352" t="s">
        <v>91</v>
      </c>
      <c r="L261" s="381">
        <v>941352875</v>
      </c>
      <c r="M261" s="376">
        <v>201162049</v>
      </c>
      <c r="N261" s="376">
        <v>740190827</v>
      </c>
      <c r="O261" s="376">
        <v>1235837871</v>
      </c>
      <c r="P261" s="376">
        <v>117135007</v>
      </c>
      <c r="Q261" s="376">
        <v>105510103</v>
      </c>
      <c r="R261" s="376">
        <v>81809433</v>
      </c>
      <c r="S261" s="325">
        <v>0</v>
      </c>
      <c r="T261" s="246">
        <f t="shared" si="98"/>
        <v>100</v>
      </c>
      <c r="U261" s="77">
        <f t="shared" si="99"/>
        <v>2</v>
      </c>
      <c r="V261" s="377">
        <v>0</v>
      </c>
      <c r="W261" s="377">
        <v>0</v>
      </c>
      <c r="X261" s="377">
        <v>0</v>
      </c>
      <c r="Y261" s="377">
        <v>0</v>
      </c>
      <c r="Z261" s="377">
        <v>0</v>
      </c>
      <c r="AA261" s="377">
        <v>0</v>
      </c>
      <c r="AB261" s="377">
        <v>0</v>
      </c>
      <c r="AC261" s="247">
        <f t="shared" si="100"/>
        <v>0</v>
      </c>
      <c r="AD261" s="247">
        <f t="shared" si="101"/>
        <v>100</v>
      </c>
      <c r="AE261" s="82">
        <f t="shared" si="97"/>
        <v>5</v>
      </c>
      <c r="AF261" s="377">
        <v>0</v>
      </c>
      <c r="AG261" s="377">
        <v>0</v>
      </c>
      <c r="AH261" s="247">
        <f t="shared" si="102"/>
        <v>0</v>
      </c>
      <c r="AI261" s="247">
        <f t="shared" si="116"/>
        <v>100</v>
      </c>
      <c r="AJ261" s="82">
        <f t="shared" si="117"/>
        <v>3</v>
      </c>
      <c r="AK261" s="367" t="s">
        <v>2902</v>
      </c>
      <c r="AL261" s="367" t="s">
        <v>2902</v>
      </c>
      <c r="AM261" s="367" t="s">
        <v>2902</v>
      </c>
      <c r="AN261" s="367" t="s">
        <v>2902</v>
      </c>
      <c r="AO261" s="367" t="s">
        <v>2902</v>
      </c>
      <c r="AP261" s="296" t="s">
        <v>2326</v>
      </c>
      <c r="AQ261" s="296" t="s">
        <v>2326</v>
      </c>
      <c r="AR261" s="297"/>
      <c r="AS261" s="367" t="s">
        <v>2902</v>
      </c>
      <c r="AT261" s="367" t="s">
        <v>2902</v>
      </c>
      <c r="AU261" s="296" t="s">
        <v>2326</v>
      </c>
      <c r="AV261" s="297"/>
      <c r="AW261" s="325">
        <v>1</v>
      </c>
      <c r="AX261" s="247">
        <f t="shared" si="103"/>
        <v>100</v>
      </c>
      <c r="AY261" s="90">
        <f t="shared" si="104"/>
        <v>4</v>
      </c>
      <c r="AZ261" s="378">
        <v>0</v>
      </c>
      <c r="BA261" s="449" t="s">
        <v>3782</v>
      </c>
      <c r="BB261" s="247">
        <f t="shared" si="105"/>
        <v>100</v>
      </c>
      <c r="BC261" s="91">
        <f t="shared" si="106"/>
        <v>2</v>
      </c>
      <c r="BD261" s="325">
        <v>0</v>
      </c>
      <c r="BE261" s="325">
        <v>0</v>
      </c>
      <c r="BF261" s="325">
        <v>0</v>
      </c>
      <c r="BG261" s="252">
        <f t="shared" si="107"/>
        <v>0</v>
      </c>
      <c r="BH261" s="246">
        <f t="shared" si="108"/>
        <v>100</v>
      </c>
      <c r="BI261" s="90">
        <f t="shared" si="109"/>
        <v>1</v>
      </c>
      <c r="BJ261" s="325">
        <v>0</v>
      </c>
      <c r="BK261" s="247">
        <f t="shared" si="110"/>
        <v>100</v>
      </c>
      <c r="BL261" s="94">
        <f t="shared" si="111"/>
        <v>2</v>
      </c>
      <c r="BM261" s="325">
        <v>0</v>
      </c>
      <c r="BN261" s="325">
        <v>0</v>
      </c>
      <c r="BO261" s="325">
        <v>1</v>
      </c>
      <c r="BP261" s="211">
        <f t="shared" si="112"/>
        <v>1</v>
      </c>
      <c r="BQ261" s="253">
        <f t="shared" si="113"/>
        <v>50</v>
      </c>
      <c r="BR261" s="99">
        <f t="shared" si="114"/>
        <v>0.5</v>
      </c>
      <c r="BS261" s="101">
        <f t="shared" si="115"/>
        <v>19.5</v>
      </c>
    </row>
    <row r="262" spans="1:71" x14ac:dyDescent="0.6">
      <c r="A262" s="373" t="s">
        <v>797</v>
      </c>
      <c r="B262" s="13" t="s">
        <v>3174</v>
      </c>
      <c r="C262" s="380" t="s">
        <v>939</v>
      </c>
      <c r="D262" s="351" t="s">
        <v>191</v>
      </c>
      <c r="E262" s="352" t="s">
        <v>1091</v>
      </c>
      <c r="F262" s="352" t="s">
        <v>216</v>
      </c>
      <c r="G262" s="353">
        <v>32283</v>
      </c>
      <c r="H262" s="352" t="s">
        <v>830</v>
      </c>
      <c r="I262" s="352" t="s">
        <v>722</v>
      </c>
      <c r="J262" s="352" t="s">
        <v>1219</v>
      </c>
      <c r="K262" s="352" t="s">
        <v>91</v>
      </c>
      <c r="L262" s="381">
        <v>112694189</v>
      </c>
      <c r="M262" s="376">
        <v>32982274</v>
      </c>
      <c r="N262" s="376">
        <v>79711915</v>
      </c>
      <c r="O262" s="376">
        <v>60181807</v>
      </c>
      <c r="P262" s="376">
        <v>8873367</v>
      </c>
      <c r="Q262" s="376">
        <v>5968958</v>
      </c>
      <c r="R262" s="376">
        <v>10884761</v>
      </c>
      <c r="S262" s="325">
        <v>0</v>
      </c>
      <c r="T262" s="246">
        <f t="shared" si="98"/>
        <v>100</v>
      </c>
      <c r="U262" s="77">
        <f t="shared" si="99"/>
        <v>2</v>
      </c>
      <c r="V262" s="377">
        <v>0</v>
      </c>
      <c r="W262" s="377">
        <v>0</v>
      </c>
      <c r="X262" s="377">
        <v>0</v>
      </c>
      <c r="Y262" s="377">
        <v>0</v>
      </c>
      <c r="Z262" s="377">
        <v>0</v>
      </c>
      <c r="AA262" s="377">
        <v>0</v>
      </c>
      <c r="AB262" s="377">
        <v>0</v>
      </c>
      <c r="AC262" s="247">
        <f t="shared" si="100"/>
        <v>0</v>
      </c>
      <c r="AD262" s="247">
        <f t="shared" si="101"/>
        <v>100</v>
      </c>
      <c r="AE262" s="82">
        <f t="shared" si="97"/>
        <v>5</v>
      </c>
      <c r="AF262" s="377">
        <v>0</v>
      </c>
      <c r="AG262" s="377">
        <v>0</v>
      </c>
      <c r="AH262" s="247">
        <f t="shared" si="102"/>
        <v>0</v>
      </c>
      <c r="AI262" s="247">
        <f t="shared" si="116"/>
        <v>100</v>
      </c>
      <c r="AJ262" s="82">
        <f t="shared" si="117"/>
        <v>3</v>
      </c>
      <c r="AK262" s="367" t="s">
        <v>2902</v>
      </c>
      <c r="AL262" s="367" t="s">
        <v>2902</v>
      </c>
      <c r="AM262" s="367" t="s">
        <v>2902</v>
      </c>
      <c r="AN262" s="367" t="s">
        <v>2902</v>
      </c>
      <c r="AO262" s="367" t="s">
        <v>2902</v>
      </c>
      <c r="AP262" s="296" t="s">
        <v>2326</v>
      </c>
      <c r="AQ262" s="296" t="s">
        <v>2326</v>
      </c>
      <c r="AR262" s="297"/>
      <c r="AS262" s="367" t="s">
        <v>2902</v>
      </c>
      <c r="AT262" s="367" t="s">
        <v>2902</v>
      </c>
      <c r="AU262" s="296" t="s">
        <v>2326</v>
      </c>
      <c r="AV262" s="297"/>
      <c r="AW262" s="325">
        <v>1</v>
      </c>
      <c r="AX262" s="247">
        <f t="shared" si="103"/>
        <v>100</v>
      </c>
      <c r="AY262" s="90">
        <f t="shared" si="104"/>
        <v>4</v>
      </c>
      <c r="AZ262" s="378">
        <v>0</v>
      </c>
      <c r="BA262" s="449" t="s">
        <v>3782</v>
      </c>
      <c r="BB262" s="247">
        <f t="shared" si="105"/>
        <v>100</v>
      </c>
      <c r="BC262" s="91">
        <f t="shared" si="106"/>
        <v>2</v>
      </c>
      <c r="BD262" s="325">
        <v>0</v>
      </c>
      <c r="BE262" s="325">
        <v>0</v>
      </c>
      <c r="BF262" s="325">
        <v>0</v>
      </c>
      <c r="BG262" s="252">
        <f t="shared" si="107"/>
        <v>0</v>
      </c>
      <c r="BH262" s="246">
        <f t="shared" si="108"/>
        <v>100</v>
      </c>
      <c r="BI262" s="90">
        <f t="shared" si="109"/>
        <v>1</v>
      </c>
      <c r="BJ262" s="325">
        <v>0</v>
      </c>
      <c r="BK262" s="247">
        <f t="shared" si="110"/>
        <v>100</v>
      </c>
      <c r="BL262" s="94">
        <f t="shared" si="111"/>
        <v>2</v>
      </c>
      <c r="BM262" s="325">
        <v>0</v>
      </c>
      <c r="BN262" s="325">
        <v>0</v>
      </c>
      <c r="BO262" s="325">
        <v>1</v>
      </c>
      <c r="BP262" s="211">
        <f t="shared" si="112"/>
        <v>1</v>
      </c>
      <c r="BQ262" s="253">
        <f t="shared" si="113"/>
        <v>50</v>
      </c>
      <c r="BR262" s="99">
        <f t="shared" si="114"/>
        <v>0.5</v>
      </c>
      <c r="BS262" s="101">
        <f t="shared" si="115"/>
        <v>19.5</v>
      </c>
    </row>
    <row r="263" spans="1:71" x14ac:dyDescent="0.6">
      <c r="A263" s="373" t="s">
        <v>1884</v>
      </c>
      <c r="B263" s="13" t="s">
        <v>3175</v>
      </c>
      <c r="C263" s="380" t="s">
        <v>1885</v>
      </c>
      <c r="D263" s="315" t="s">
        <v>285</v>
      </c>
      <c r="E263" s="352" t="s">
        <v>534</v>
      </c>
      <c r="F263" s="352" t="s">
        <v>1886</v>
      </c>
      <c r="G263" s="353">
        <v>39346</v>
      </c>
      <c r="H263" s="352" t="s">
        <v>830</v>
      </c>
      <c r="I263" s="352" t="s">
        <v>1887</v>
      </c>
      <c r="J263" s="352" t="s">
        <v>1888</v>
      </c>
      <c r="K263" s="352" t="s">
        <v>91</v>
      </c>
      <c r="L263" s="381">
        <v>7391490000</v>
      </c>
      <c r="M263" s="376">
        <v>2951621000</v>
      </c>
      <c r="N263" s="376">
        <v>4439869000</v>
      </c>
      <c r="O263" s="376">
        <v>5700446000</v>
      </c>
      <c r="P263" s="376">
        <v>784634000</v>
      </c>
      <c r="Q263" s="376">
        <v>676532000</v>
      </c>
      <c r="R263" s="376">
        <v>676532000</v>
      </c>
      <c r="S263" s="325">
        <v>1</v>
      </c>
      <c r="T263" s="246">
        <f t="shared" si="98"/>
        <v>50</v>
      </c>
      <c r="U263" s="77">
        <f t="shared" si="99"/>
        <v>1</v>
      </c>
      <c r="V263" s="377">
        <v>0</v>
      </c>
      <c r="W263" s="377">
        <v>0</v>
      </c>
      <c r="X263" s="377">
        <v>3</v>
      </c>
      <c r="Y263" s="377">
        <v>0</v>
      </c>
      <c r="Z263" s="377">
        <v>0</v>
      </c>
      <c r="AA263" s="377">
        <v>0</v>
      </c>
      <c r="AB263" s="377">
        <v>0</v>
      </c>
      <c r="AC263" s="247">
        <f t="shared" si="100"/>
        <v>3</v>
      </c>
      <c r="AD263" s="247">
        <f t="shared" si="101"/>
        <v>25</v>
      </c>
      <c r="AE263" s="82">
        <f t="shared" si="97"/>
        <v>1.25</v>
      </c>
      <c r="AF263" s="377">
        <v>0</v>
      </c>
      <c r="AG263" s="377">
        <v>0</v>
      </c>
      <c r="AH263" s="247">
        <f t="shared" si="102"/>
        <v>0</v>
      </c>
      <c r="AI263" s="247">
        <f t="shared" si="116"/>
        <v>100</v>
      </c>
      <c r="AJ263" s="82">
        <f t="shared" si="117"/>
        <v>3</v>
      </c>
      <c r="AK263" s="367" t="s">
        <v>2902</v>
      </c>
      <c r="AL263" s="367" t="s">
        <v>2902</v>
      </c>
      <c r="AM263" s="367" t="s">
        <v>2902</v>
      </c>
      <c r="AN263" s="367" t="s">
        <v>2902</v>
      </c>
      <c r="AO263" s="367" t="s">
        <v>2902</v>
      </c>
      <c r="AP263" s="296" t="s">
        <v>2326</v>
      </c>
      <c r="AQ263" s="296" t="s">
        <v>2326</v>
      </c>
      <c r="AR263" s="297"/>
      <c r="AS263" s="367" t="s">
        <v>2902</v>
      </c>
      <c r="AT263" s="367" t="s">
        <v>2902</v>
      </c>
      <c r="AU263" s="296" t="s">
        <v>2326</v>
      </c>
      <c r="AV263" s="297"/>
      <c r="AW263" s="325">
        <v>0</v>
      </c>
      <c r="AX263" s="247">
        <f t="shared" si="103"/>
        <v>50</v>
      </c>
      <c r="AY263" s="90">
        <f t="shared" si="104"/>
        <v>2</v>
      </c>
      <c r="AZ263" s="378">
        <v>0</v>
      </c>
      <c r="BA263" s="449" t="s">
        <v>3782</v>
      </c>
      <c r="BB263" s="247">
        <f t="shared" si="105"/>
        <v>100</v>
      </c>
      <c r="BC263" s="91">
        <f t="shared" si="106"/>
        <v>2</v>
      </c>
      <c r="BD263" s="325">
        <v>0</v>
      </c>
      <c r="BE263" s="325">
        <v>0</v>
      </c>
      <c r="BF263" s="325">
        <v>0</v>
      </c>
      <c r="BG263" s="252">
        <f t="shared" si="107"/>
        <v>0</v>
      </c>
      <c r="BH263" s="246">
        <f t="shared" si="108"/>
        <v>100</v>
      </c>
      <c r="BI263" s="90">
        <f t="shared" si="109"/>
        <v>1</v>
      </c>
      <c r="BJ263" s="325">
        <v>0</v>
      </c>
      <c r="BK263" s="247">
        <f t="shared" si="110"/>
        <v>100</v>
      </c>
      <c r="BL263" s="94">
        <f t="shared" si="111"/>
        <v>2</v>
      </c>
      <c r="BM263" s="325">
        <v>0</v>
      </c>
      <c r="BN263" s="325">
        <v>0</v>
      </c>
      <c r="BO263" s="325">
        <v>1</v>
      </c>
      <c r="BP263" s="211">
        <f t="shared" si="112"/>
        <v>1</v>
      </c>
      <c r="BQ263" s="253">
        <f t="shared" si="113"/>
        <v>50</v>
      </c>
      <c r="BR263" s="99">
        <f t="shared" si="114"/>
        <v>0.5</v>
      </c>
      <c r="BS263" s="101">
        <f t="shared" si="115"/>
        <v>12.75</v>
      </c>
    </row>
    <row r="264" spans="1:71" x14ac:dyDescent="0.6">
      <c r="A264" s="373" t="s">
        <v>1889</v>
      </c>
      <c r="B264" s="1" t="s">
        <v>3176</v>
      </c>
      <c r="C264" s="380" t="s">
        <v>1890</v>
      </c>
      <c r="D264" s="315" t="s">
        <v>202</v>
      </c>
      <c r="E264" s="352" t="s">
        <v>606</v>
      </c>
      <c r="F264" s="352" t="s">
        <v>1891</v>
      </c>
      <c r="G264" s="353">
        <v>32638</v>
      </c>
      <c r="H264" s="352" t="s">
        <v>830</v>
      </c>
      <c r="I264" s="352" t="s">
        <v>1892</v>
      </c>
      <c r="J264" s="352" t="s">
        <v>1893</v>
      </c>
      <c r="K264" s="352" t="s">
        <v>50</v>
      </c>
      <c r="L264" s="381">
        <v>211309948</v>
      </c>
      <c r="M264" s="376">
        <v>154647755</v>
      </c>
      <c r="N264" s="376">
        <v>56662193</v>
      </c>
      <c r="O264" s="376">
        <v>160154490</v>
      </c>
      <c r="P264" s="376">
        <v>3112928</v>
      </c>
      <c r="Q264" s="376">
        <v>4592986</v>
      </c>
      <c r="R264" s="376">
        <v>1794177</v>
      </c>
      <c r="S264" s="325">
        <v>0</v>
      </c>
      <c r="T264" s="246">
        <f t="shared" si="98"/>
        <v>100</v>
      </c>
      <c r="U264" s="77">
        <f t="shared" si="99"/>
        <v>2</v>
      </c>
      <c r="V264" s="377">
        <v>0</v>
      </c>
      <c r="W264" s="377">
        <v>0</v>
      </c>
      <c r="X264" s="377">
        <v>0</v>
      </c>
      <c r="Y264" s="377">
        <v>0</v>
      </c>
      <c r="Z264" s="377">
        <v>0</v>
      </c>
      <c r="AA264" s="377">
        <v>0</v>
      </c>
      <c r="AB264" s="377">
        <v>0</v>
      </c>
      <c r="AC264" s="247">
        <f t="shared" si="100"/>
        <v>0</v>
      </c>
      <c r="AD264" s="247">
        <f t="shared" si="101"/>
        <v>100</v>
      </c>
      <c r="AE264" s="82">
        <f t="shared" si="97"/>
        <v>5</v>
      </c>
      <c r="AF264" s="377">
        <v>0</v>
      </c>
      <c r="AG264" s="377">
        <v>0</v>
      </c>
      <c r="AH264" s="247">
        <f t="shared" si="102"/>
        <v>0</v>
      </c>
      <c r="AI264" s="247">
        <f t="shared" si="116"/>
        <v>100</v>
      </c>
      <c r="AJ264" s="82">
        <f t="shared" si="117"/>
        <v>3</v>
      </c>
      <c r="AK264" s="367" t="s">
        <v>2902</v>
      </c>
      <c r="AL264" s="367" t="s">
        <v>2902</v>
      </c>
      <c r="AM264" s="367" t="s">
        <v>2902</v>
      </c>
      <c r="AN264" s="367" t="s">
        <v>2902</v>
      </c>
      <c r="AO264" s="367" t="s">
        <v>2902</v>
      </c>
      <c r="AP264" s="296" t="s">
        <v>2326</v>
      </c>
      <c r="AQ264" s="296" t="s">
        <v>2326</v>
      </c>
      <c r="AR264" s="297"/>
      <c r="AS264" s="367" t="s">
        <v>2902</v>
      </c>
      <c r="AT264" s="367" t="s">
        <v>2902</v>
      </c>
      <c r="AU264" s="296" t="s">
        <v>2326</v>
      </c>
      <c r="AV264" s="297"/>
      <c r="AW264" s="325">
        <v>1</v>
      </c>
      <c r="AX264" s="247">
        <f t="shared" si="103"/>
        <v>100</v>
      </c>
      <c r="AY264" s="90">
        <f t="shared" si="104"/>
        <v>4</v>
      </c>
      <c r="AZ264" s="378">
        <v>0</v>
      </c>
      <c r="BA264" s="449" t="s">
        <v>3782</v>
      </c>
      <c r="BB264" s="247">
        <f t="shared" si="105"/>
        <v>100</v>
      </c>
      <c r="BC264" s="91">
        <f t="shared" si="106"/>
        <v>2</v>
      </c>
      <c r="BD264" s="325">
        <v>0</v>
      </c>
      <c r="BE264" s="325">
        <v>0</v>
      </c>
      <c r="BF264" s="325">
        <v>0</v>
      </c>
      <c r="BG264" s="252">
        <f t="shared" si="107"/>
        <v>0</v>
      </c>
      <c r="BH264" s="246">
        <f t="shared" si="108"/>
        <v>100</v>
      </c>
      <c r="BI264" s="90">
        <f t="shared" si="109"/>
        <v>1</v>
      </c>
      <c r="BJ264" s="325">
        <v>0</v>
      </c>
      <c r="BK264" s="247">
        <f t="shared" si="110"/>
        <v>100</v>
      </c>
      <c r="BL264" s="94">
        <f t="shared" si="111"/>
        <v>2</v>
      </c>
      <c r="BM264" s="325">
        <v>0</v>
      </c>
      <c r="BN264" s="325">
        <v>0</v>
      </c>
      <c r="BO264" s="325">
        <v>1</v>
      </c>
      <c r="BP264" s="211">
        <f t="shared" si="112"/>
        <v>1</v>
      </c>
      <c r="BQ264" s="253">
        <f t="shared" si="113"/>
        <v>50</v>
      </c>
      <c r="BR264" s="99">
        <f t="shared" si="114"/>
        <v>0.5</v>
      </c>
      <c r="BS264" s="101">
        <f t="shared" si="115"/>
        <v>19.5</v>
      </c>
    </row>
    <row r="265" spans="1:71" x14ac:dyDescent="0.6">
      <c r="A265" s="373" t="s">
        <v>740</v>
      </c>
      <c r="B265" s="13" t="s">
        <v>3177</v>
      </c>
      <c r="C265" s="380" t="s">
        <v>455</v>
      </c>
      <c r="D265" s="351" t="s">
        <v>191</v>
      </c>
      <c r="E265" s="352" t="s">
        <v>554</v>
      </c>
      <c r="F265" s="352" t="s">
        <v>1010</v>
      </c>
      <c r="G265" s="353">
        <v>35423</v>
      </c>
      <c r="H265" s="352" t="s">
        <v>830</v>
      </c>
      <c r="I265" s="352" t="s">
        <v>399</v>
      </c>
      <c r="J265" s="352" t="s">
        <v>1126</v>
      </c>
      <c r="K265" s="352" t="s">
        <v>91</v>
      </c>
      <c r="L265" s="381">
        <v>557374543</v>
      </c>
      <c r="M265" s="376">
        <v>67942165</v>
      </c>
      <c r="N265" s="376">
        <v>489432378</v>
      </c>
      <c r="O265" s="376">
        <v>373267542</v>
      </c>
      <c r="P265" s="376">
        <v>36440646</v>
      </c>
      <c r="Q265" s="376">
        <v>14928841</v>
      </c>
      <c r="R265" s="376">
        <v>9950190</v>
      </c>
      <c r="S265" s="325">
        <v>0</v>
      </c>
      <c r="T265" s="246">
        <f t="shared" si="98"/>
        <v>100</v>
      </c>
      <c r="U265" s="77">
        <f t="shared" si="99"/>
        <v>2</v>
      </c>
      <c r="V265" s="377">
        <v>0</v>
      </c>
      <c r="W265" s="377">
        <v>0</v>
      </c>
      <c r="X265" s="377">
        <v>0</v>
      </c>
      <c r="Y265" s="377">
        <v>0</v>
      </c>
      <c r="Z265" s="377">
        <v>0</v>
      </c>
      <c r="AA265" s="377">
        <v>0</v>
      </c>
      <c r="AB265" s="377">
        <v>0</v>
      </c>
      <c r="AC265" s="247">
        <f t="shared" si="100"/>
        <v>0</v>
      </c>
      <c r="AD265" s="247">
        <f t="shared" si="101"/>
        <v>100</v>
      </c>
      <c r="AE265" s="82">
        <f t="shared" si="97"/>
        <v>5</v>
      </c>
      <c r="AF265" s="377">
        <v>0</v>
      </c>
      <c r="AG265" s="377">
        <v>0</v>
      </c>
      <c r="AH265" s="247">
        <f t="shared" si="102"/>
        <v>0</v>
      </c>
      <c r="AI265" s="247">
        <f t="shared" si="116"/>
        <v>100</v>
      </c>
      <c r="AJ265" s="82">
        <f t="shared" si="117"/>
        <v>3</v>
      </c>
      <c r="AK265" s="367" t="s">
        <v>2902</v>
      </c>
      <c r="AL265" s="367" t="s">
        <v>2902</v>
      </c>
      <c r="AM265" s="367" t="s">
        <v>2902</v>
      </c>
      <c r="AN265" s="367" t="s">
        <v>2902</v>
      </c>
      <c r="AO265" s="367" t="s">
        <v>2902</v>
      </c>
      <c r="AP265" s="296" t="s">
        <v>2326</v>
      </c>
      <c r="AQ265" s="296" t="s">
        <v>2326</v>
      </c>
      <c r="AR265" s="297"/>
      <c r="AS265" s="367" t="s">
        <v>2902</v>
      </c>
      <c r="AT265" s="367" t="s">
        <v>2902</v>
      </c>
      <c r="AU265" s="296" t="s">
        <v>2326</v>
      </c>
      <c r="AV265" s="297"/>
      <c r="AW265" s="325">
        <v>1</v>
      </c>
      <c r="AX265" s="247">
        <f t="shared" si="103"/>
        <v>100</v>
      </c>
      <c r="AY265" s="90">
        <f t="shared" si="104"/>
        <v>4</v>
      </c>
      <c r="AZ265" s="378">
        <v>0</v>
      </c>
      <c r="BA265" s="449" t="s">
        <v>3782</v>
      </c>
      <c r="BB265" s="247">
        <f t="shared" si="105"/>
        <v>100</v>
      </c>
      <c r="BC265" s="91">
        <f t="shared" si="106"/>
        <v>2</v>
      </c>
      <c r="BD265" s="325">
        <v>0</v>
      </c>
      <c r="BE265" s="325">
        <v>0</v>
      </c>
      <c r="BF265" s="325">
        <v>0</v>
      </c>
      <c r="BG265" s="252">
        <f t="shared" si="107"/>
        <v>0</v>
      </c>
      <c r="BH265" s="246">
        <f t="shared" si="108"/>
        <v>100</v>
      </c>
      <c r="BI265" s="90">
        <f t="shared" si="109"/>
        <v>1</v>
      </c>
      <c r="BJ265" s="325">
        <v>0</v>
      </c>
      <c r="BK265" s="247">
        <f t="shared" si="110"/>
        <v>100</v>
      </c>
      <c r="BL265" s="94">
        <f t="shared" si="111"/>
        <v>2</v>
      </c>
      <c r="BM265" s="325">
        <v>0</v>
      </c>
      <c r="BN265" s="325">
        <v>0</v>
      </c>
      <c r="BO265" s="325">
        <v>0</v>
      </c>
      <c r="BP265" s="211">
        <f t="shared" si="112"/>
        <v>0</v>
      </c>
      <c r="BQ265" s="253">
        <f t="shared" si="113"/>
        <v>25</v>
      </c>
      <c r="BR265" s="99">
        <f t="shared" si="114"/>
        <v>0.25</v>
      </c>
      <c r="BS265" s="101">
        <f t="shared" si="115"/>
        <v>19.25</v>
      </c>
    </row>
    <row r="266" spans="1:71" x14ac:dyDescent="0.6">
      <c r="A266" s="373" t="s">
        <v>16</v>
      </c>
      <c r="B266" s="13" t="s">
        <v>3178</v>
      </c>
      <c r="C266" s="380" t="s">
        <v>334</v>
      </c>
      <c r="D266" s="351" t="s">
        <v>203</v>
      </c>
      <c r="E266" s="352" t="s">
        <v>195</v>
      </c>
      <c r="F266" s="352" t="s">
        <v>562</v>
      </c>
      <c r="G266" s="353">
        <v>37484</v>
      </c>
      <c r="H266" s="352" t="s">
        <v>830</v>
      </c>
      <c r="I266" s="352" t="s">
        <v>827</v>
      </c>
      <c r="J266" s="352" t="s">
        <v>1102</v>
      </c>
      <c r="K266" s="352" t="s">
        <v>31</v>
      </c>
      <c r="L266" s="381">
        <v>531890343</v>
      </c>
      <c r="M266" s="376">
        <v>201052570</v>
      </c>
      <c r="N266" s="376">
        <v>330837773</v>
      </c>
      <c r="O266" s="376">
        <v>1181624867</v>
      </c>
      <c r="P266" s="376">
        <v>33106219</v>
      </c>
      <c r="Q266" s="376">
        <v>25624309</v>
      </c>
      <c r="R266" s="376">
        <v>17479918</v>
      </c>
      <c r="S266" s="325">
        <v>1</v>
      </c>
      <c r="T266" s="246">
        <f t="shared" si="98"/>
        <v>50</v>
      </c>
      <c r="U266" s="77">
        <f t="shared" si="99"/>
        <v>1</v>
      </c>
      <c r="V266" s="377">
        <v>0</v>
      </c>
      <c r="W266" s="377">
        <v>0</v>
      </c>
      <c r="X266" s="377">
        <v>0</v>
      </c>
      <c r="Y266" s="377">
        <v>0</v>
      </c>
      <c r="Z266" s="377">
        <v>0</v>
      </c>
      <c r="AA266" s="377">
        <v>0</v>
      </c>
      <c r="AB266" s="377">
        <v>0</v>
      </c>
      <c r="AC266" s="247">
        <f t="shared" si="100"/>
        <v>0</v>
      </c>
      <c r="AD266" s="247">
        <f t="shared" si="101"/>
        <v>100</v>
      </c>
      <c r="AE266" s="82">
        <f t="shared" si="97"/>
        <v>5</v>
      </c>
      <c r="AF266" s="377">
        <v>0</v>
      </c>
      <c r="AG266" s="377">
        <v>0</v>
      </c>
      <c r="AH266" s="247">
        <f t="shared" si="102"/>
        <v>0</v>
      </c>
      <c r="AI266" s="247">
        <f t="shared" si="116"/>
        <v>100</v>
      </c>
      <c r="AJ266" s="82">
        <f t="shared" si="117"/>
        <v>3</v>
      </c>
      <c r="AK266" s="367" t="s">
        <v>2902</v>
      </c>
      <c r="AL266" s="367" t="s">
        <v>2902</v>
      </c>
      <c r="AM266" s="367" t="s">
        <v>2902</v>
      </c>
      <c r="AN266" s="367" t="s">
        <v>2902</v>
      </c>
      <c r="AO266" s="367" t="s">
        <v>2902</v>
      </c>
      <c r="AP266" s="296" t="s">
        <v>2326</v>
      </c>
      <c r="AQ266" s="296" t="s">
        <v>2326</v>
      </c>
      <c r="AR266" s="297"/>
      <c r="AS266" s="367" t="s">
        <v>2902</v>
      </c>
      <c r="AT266" s="367" t="s">
        <v>2902</v>
      </c>
      <c r="AU266" s="296" t="s">
        <v>2326</v>
      </c>
      <c r="AV266" s="297"/>
      <c r="AW266" s="325">
        <v>1</v>
      </c>
      <c r="AX266" s="247">
        <f t="shared" si="103"/>
        <v>100</v>
      </c>
      <c r="AY266" s="90">
        <f t="shared" si="104"/>
        <v>4</v>
      </c>
      <c r="AZ266" s="378">
        <v>0</v>
      </c>
      <c r="BA266" s="449" t="s">
        <v>3782</v>
      </c>
      <c r="BB266" s="247">
        <f t="shared" si="105"/>
        <v>100</v>
      </c>
      <c r="BC266" s="91">
        <f t="shared" si="106"/>
        <v>2</v>
      </c>
      <c r="BD266" s="325">
        <v>0</v>
      </c>
      <c r="BE266" s="325">
        <v>0</v>
      </c>
      <c r="BF266" s="325">
        <v>0</v>
      </c>
      <c r="BG266" s="252">
        <f t="shared" si="107"/>
        <v>0</v>
      </c>
      <c r="BH266" s="246">
        <f t="shared" si="108"/>
        <v>100</v>
      </c>
      <c r="BI266" s="90">
        <f t="shared" si="109"/>
        <v>1</v>
      </c>
      <c r="BJ266" s="325">
        <v>0</v>
      </c>
      <c r="BK266" s="247">
        <f t="shared" si="110"/>
        <v>100</v>
      </c>
      <c r="BL266" s="94">
        <f t="shared" si="111"/>
        <v>2</v>
      </c>
      <c r="BM266" s="325">
        <v>0</v>
      </c>
      <c r="BN266" s="325">
        <v>0</v>
      </c>
      <c r="BO266" s="325">
        <v>1</v>
      </c>
      <c r="BP266" s="211">
        <f t="shared" si="112"/>
        <v>1</v>
      </c>
      <c r="BQ266" s="253">
        <f t="shared" si="113"/>
        <v>50</v>
      </c>
      <c r="BR266" s="99">
        <f t="shared" si="114"/>
        <v>0.5</v>
      </c>
      <c r="BS266" s="101">
        <f t="shared" si="115"/>
        <v>18.5</v>
      </c>
    </row>
    <row r="267" spans="1:71" x14ac:dyDescent="0.6">
      <c r="A267" s="373" t="s">
        <v>1894</v>
      </c>
      <c r="B267" s="13" t="s">
        <v>3179</v>
      </c>
      <c r="C267" s="380" t="s">
        <v>63</v>
      </c>
      <c r="D267" s="351" t="s">
        <v>203</v>
      </c>
      <c r="E267" s="352" t="s">
        <v>617</v>
      </c>
      <c r="F267" s="352" t="s">
        <v>983</v>
      </c>
      <c r="G267" s="353">
        <v>43614</v>
      </c>
      <c r="H267" s="352" t="s">
        <v>830</v>
      </c>
      <c r="I267" s="352" t="s">
        <v>1895</v>
      </c>
      <c r="J267" s="352" t="s">
        <v>1896</v>
      </c>
      <c r="K267" s="352" t="s">
        <v>31</v>
      </c>
      <c r="L267" s="381">
        <v>4276625735</v>
      </c>
      <c r="M267" s="376">
        <v>1849501419</v>
      </c>
      <c r="N267" s="376">
        <v>2427124316</v>
      </c>
      <c r="O267" s="376">
        <v>3041287029</v>
      </c>
      <c r="P267" s="376">
        <v>153190221</v>
      </c>
      <c r="Q267" s="376">
        <v>125561645</v>
      </c>
      <c r="R267" s="376">
        <v>114853461</v>
      </c>
      <c r="S267" s="325">
        <v>1</v>
      </c>
      <c r="T267" s="246">
        <f t="shared" si="98"/>
        <v>50</v>
      </c>
      <c r="U267" s="77">
        <f t="shared" si="99"/>
        <v>1</v>
      </c>
      <c r="V267" s="377">
        <v>0</v>
      </c>
      <c r="W267" s="377">
        <v>0</v>
      </c>
      <c r="X267" s="377">
        <v>0</v>
      </c>
      <c r="Y267" s="377">
        <v>0</v>
      </c>
      <c r="Z267" s="377">
        <v>0</v>
      </c>
      <c r="AA267" s="377">
        <v>0</v>
      </c>
      <c r="AB267" s="377">
        <v>0</v>
      </c>
      <c r="AC267" s="247">
        <f t="shared" si="100"/>
        <v>0</v>
      </c>
      <c r="AD267" s="247">
        <f t="shared" si="101"/>
        <v>100</v>
      </c>
      <c r="AE267" s="82">
        <f t="shared" si="97"/>
        <v>5</v>
      </c>
      <c r="AF267" s="377">
        <v>0</v>
      </c>
      <c r="AG267" s="377">
        <v>0</v>
      </c>
      <c r="AH267" s="247">
        <f t="shared" si="102"/>
        <v>0</v>
      </c>
      <c r="AI267" s="247">
        <f t="shared" si="116"/>
        <v>100</v>
      </c>
      <c r="AJ267" s="82">
        <f t="shared" si="117"/>
        <v>3</v>
      </c>
      <c r="AK267" s="367" t="s">
        <v>2902</v>
      </c>
      <c r="AL267" s="367" t="s">
        <v>2902</v>
      </c>
      <c r="AM267" s="367" t="s">
        <v>2902</v>
      </c>
      <c r="AN267" s="367" t="s">
        <v>2902</v>
      </c>
      <c r="AO267" s="367" t="s">
        <v>2902</v>
      </c>
      <c r="AP267" s="296" t="s">
        <v>2326</v>
      </c>
      <c r="AQ267" s="296" t="s">
        <v>2326</v>
      </c>
      <c r="AR267" s="297"/>
      <c r="AS267" s="367" t="s">
        <v>2902</v>
      </c>
      <c r="AT267" s="367" t="s">
        <v>2902</v>
      </c>
      <c r="AU267" s="296" t="s">
        <v>2326</v>
      </c>
      <c r="AV267" s="297"/>
      <c r="AW267" s="325">
        <v>1</v>
      </c>
      <c r="AX267" s="247">
        <f t="shared" si="103"/>
        <v>100</v>
      </c>
      <c r="AY267" s="90">
        <f t="shared" si="104"/>
        <v>4</v>
      </c>
      <c r="AZ267" s="378">
        <v>0</v>
      </c>
      <c r="BA267" s="449" t="s">
        <v>3782</v>
      </c>
      <c r="BB267" s="247">
        <f t="shared" si="105"/>
        <v>100</v>
      </c>
      <c r="BC267" s="91">
        <f t="shared" si="106"/>
        <v>2</v>
      </c>
      <c r="BD267" s="325">
        <v>0</v>
      </c>
      <c r="BE267" s="325">
        <v>0</v>
      </c>
      <c r="BF267" s="325">
        <v>1</v>
      </c>
      <c r="BG267" s="252">
        <f t="shared" si="107"/>
        <v>1</v>
      </c>
      <c r="BH267" s="246">
        <f t="shared" si="108"/>
        <v>75</v>
      </c>
      <c r="BI267" s="90">
        <f t="shared" si="109"/>
        <v>0.75</v>
      </c>
      <c r="BJ267" s="325">
        <v>0</v>
      </c>
      <c r="BK267" s="247">
        <f t="shared" si="110"/>
        <v>100</v>
      </c>
      <c r="BL267" s="94">
        <f t="shared" si="111"/>
        <v>2</v>
      </c>
      <c r="BM267" s="325">
        <v>0</v>
      </c>
      <c r="BN267" s="325">
        <v>0</v>
      </c>
      <c r="BO267" s="325">
        <v>1</v>
      </c>
      <c r="BP267" s="211">
        <f t="shared" si="112"/>
        <v>1</v>
      </c>
      <c r="BQ267" s="253">
        <f t="shared" si="113"/>
        <v>50</v>
      </c>
      <c r="BR267" s="99">
        <f t="shared" si="114"/>
        <v>0.5</v>
      </c>
      <c r="BS267" s="101">
        <f t="shared" si="115"/>
        <v>18.25</v>
      </c>
    </row>
    <row r="268" spans="1:71" x14ac:dyDescent="0.6">
      <c r="A268" s="373" t="s">
        <v>770</v>
      </c>
      <c r="B268" s="1" t="s">
        <v>3180</v>
      </c>
      <c r="C268" s="380" t="s">
        <v>54</v>
      </c>
      <c r="D268" s="351" t="s">
        <v>191</v>
      </c>
      <c r="E268" s="352" t="s">
        <v>178</v>
      </c>
      <c r="F268" s="352" t="s">
        <v>138</v>
      </c>
      <c r="G268" s="353">
        <v>34977</v>
      </c>
      <c r="H268" s="352" t="s">
        <v>830</v>
      </c>
      <c r="I268" s="352" t="s">
        <v>823</v>
      </c>
      <c r="J268" s="352" t="s">
        <v>1204</v>
      </c>
      <c r="K268" s="352" t="s">
        <v>317</v>
      </c>
      <c r="L268" s="381">
        <v>661278860</v>
      </c>
      <c r="M268" s="376">
        <v>160390048</v>
      </c>
      <c r="N268" s="376">
        <v>500888812</v>
      </c>
      <c r="O268" s="376">
        <v>123375352</v>
      </c>
      <c r="P268" s="376">
        <v>27450398</v>
      </c>
      <c r="Q268" s="376">
        <v>12038623</v>
      </c>
      <c r="R268" s="376">
        <v>8192124</v>
      </c>
      <c r="S268" s="325">
        <v>0</v>
      </c>
      <c r="T268" s="246">
        <f t="shared" si="98"/>
        <v>100</v>
      </c>
      <c r="U268" s="77">
        <f t="shared" si="99"/>
        <v>2</v>
      </c>
      <c r="V268" s="377">
        <v>0</v>
      </c>
      <c r="W268" s="377">
        <v>0</v>
      </c>
      <c r="X268" s="377">
        <v>0</v>
      </c>
      <c r="Y268" s="377">
        <v>0</v>
      </c>
      <c r="Z268" s="377">
        <v>0</v>
      </c>
      <c r="AA268" s="377">
        <v>0</v>
      </c>
      <c r="AB268" s="377">
        <v>0</v>
      </c>
      <c r="AC268" s="247">
        <f t="shared" si="100"/>
        <v>0</v>
      </c>
      <c r="AD268" s="247">
        <f t="shared" si="101"/>
        <v>100</v>
      </c>
      <c r="AE268" s="82">
        <f t="shared" si="97"/>
        <v>5</v>
      </c>
      <c r="AF268" s="377">
        <v>0</v>
      </c>
      <c r="AG268" s="377">
        <v>0</v>
      </c>
      <c r="AH268" s="247">
        <f t="shared" si="102"/>
        <v>0</v>
      </c>
      <c r="AI268" s="247">
        <f t="shared" si="116"/>
        <v>100</v>
      </c>
      <c r="AJ268" s="82">
        <f t="shared" si="117"/>
        <v>3</v>
      </c>
      <c r="AK268" s="367" t="s">
        <v>2902</v>
      </c>
      <c r="AL268" s="367" t="s">
        <v>2902</v>
      </c>
      <c r="AM268" s="367" t="s">
        <v>2902</v>
      </c>
      <c r="AN268" s="367" t="s">
        <v>2902</v>
      </c>
      <c r="AO268" s="367" t="s">
        <v>2902</v>
      </c>
      <c r="AP268" s="296" t="s">
        <v>2326</v>
      </c>
      <c r="AQ268" s="296" t="s">
        <v>2326</v>
      </c>
      <c r="AR268" s="297"/>
      <c r="AS268" s="367" t="s">
        <v>2902</v>
      </c>
      <c r="AT268" s="367" t="s">
        <v>2902</v>
      </c>
      <c r="AU268" s="296" t="s">
        <v>2326</v>
      </c>
      <c r="AV268" s="297"/>
      <c r="AW268" s="325">
        <v>1</v>
      </c>
      <c r="AX268" s="247">
        <f t="shared" si="103"/>
        <v>100</v>
      </c>
      <c r="AY268" s="90">
        <f t="shared" si="104"/>
        <v>4</v>
      </c>
      <c r="AZ268" s="378">
        <v>0</v>
      </c>
      <c r="BA268" s="449" t="s">
        <v>3782</v>
      </c>
      <c r="BB268" s="247">
        <f t="shared" si="105"/>
        <v>100</v>
      </c>
      <c r="BC268" s="91">
        <f t="shared" si="106"/>
        <v>2</v>
      </c>
      <c r="BD268" s="325">
        <v>0</v>
      </c>
      <c r="BE268" s="325">
        <v>0</v>
      </c>
      <c r="BF268" s="325">
        <v>0</v>
      </c>
      <c r="BG268" s="252">
        <f t="shared" si="107"/>
        <v>0</v>
      </c>
      <c r="BH268" s="246">
        <f t="shared" si="108"/>
        <v>100</v>
      </c>
      <c r="BI268" s="90">
        <f t="shared" si="109"/>
        <v>1</v>
      </c>
      <c r="BJ268" s="325">
        <v>0</v>
      </c>
      <c r="BK268" s="247">
        <f t="shared" si="110"/>
        <v>100</v>
      </c>
      <c r="BL268" s="94">
        <f t="shared" si="111"/>
        <v>2</v>
      </c>
      <c r="BM268" s="325">
        <v>0</v>
      </c>
      <c r="BN268" s="325">
        <v>1</v>
      </c>
      <c r="BO268" s="325">
        <v>1</v>
      </c>
      <c r="BP268" s="211">
        <f t="shared" si="112"/>
        <v>2</v>
      </c>
      <c r="BQ268" s="253">
        <f t="shared" si="113"/>
        <v>75</v>
      </c>
      <c r="BR268" s="99">
        <f t="shared" si="114"/>
        <v>0.75</v>
      </c>
      <c r="BS268" s="101">
        <f t="shared" si="115"/>
        <v>19.75</v>
      </c>
    </row>
    <row r="269" spans="1:71" x14ac:dyDescent="0.6">
      <c r="A269" s="373" t="s">
        <v>805</v>
      </c>
      <c r="B269" s="13" t="s">
        <v>3181</v>
      </c>
      <c r="C269" s="380" t="s">
        <v>315</v>
      </c>
      <c r="D269" s="351" t="s">
        <v>203</v>
      </c>
      <c r="E269" s="352" t="s">
        <v>200</v>
      </c>
      <c r="F269" s="352">
        <v>0</v>
      </c>
      <c r="G269" s="353">
        <v>39659</v>
      </c>
      <c r="H269" s="352" t="s">
        <v>830</v>
      </c>
      <c r="I269" s="352" t="s">
        <v>337</v>
      </c>
      <c r="J269" s="352" t="s">
        <v>1217</v>
      </c>
      <c r="K269" s="352" t="s">
        <v>690</v>
      </c>
      <c r="L269" s="381">
        <v>3060678472</v>
      </c>
      <c r="M269" s="376">
        <v>1220679297</v>
      </c>
      <c r="N269" s="376">
        <v>1839999175</v>
      </c>
      <c r="O269" s="376">
        <v>3257164379</v>
      </c>
      <c r="P269" s="376">
        <v>203168169</v>
      </c>
      <c r="Q269" s="376">
        <v>220419231</v>
      </c>
      <c r="R269" s="376">
        <v>175385732</v>
      </c>
      <c r="S269" s="325">
        <v>0</v>
      </c>
      <c r="T269" s="246">
        <f t="shared" si="98"/>
        <v>100</v>
      </c>
      <c r="U269" s="77">
        <f t="shared" si="99"/>
        <v>2</v>
      </c>
      <c r="V269" s="377">
        <v>0</v>
      </c>
      <c r="W269" s="377">
        <v>0</v>
      </c>
      <c r="X269" s="377">
        <v>0</v>
      </c>
      <c r="Y269" s="377">
        <v>0</v>
      </c>
      <c r="Z269" s="377">
        <v>0</v>
      </c>
      <c r="AA269" s="377">
        <v>0</v>
      </c>
      <c r="AB269" s="377">
        <v>0</v>
      </c>
      <c r="AC269" s="247">
        <f t="shared" si="100"/>
        <v>0</v>
      </c>
      <c r="AD269" s="247">
        <f t="shared" si="101"/>
        <v>100</v>
      </c>
      <c r="AE269" s="82">
        <f t="shared" si="97"/>
        <v>5</v>
      </c>
      <c r="AF269" s="377">
        <v>0</v>
      </c>
      <c r="AG269" s="377">
        <v>0</v>
      </c>
      <c r="AH269" s="247">
        <f t="shared" si="102"/>
        <v>0</v>
      </c>
      <c r="AI269" s="247">
        <f t="shared" si="116"/>
        <v>100</v>
      </c>
      <c r="AJ269" s="82">
        <f t="shared" si="117"/>
        <v>3</v>
      </c>
      <c r="AK269" s="367" t="s">
        <v>2902</v>
      </c>
      <c r="AL269" s="367" t="s">
        <v>2902</v>
      </c>
      <c r="AM269" s="367" t="s">
        <v>2902</v>
      </c>
      <c r="AN269" s="367" t="s">
        <v>2902</v>
      </c>
      <c r="AO269" s="367" t="s">
        <v>2902</v>
      </c>
      <c r="AP269" s="296" t="s">
        <v>2326</v>
      </c>
      <c r="AQ269" s="296" t="s">
        <v>2326</v>
      </c>
      <c r="AR269" s="297"/>
      <c r="AS269" s="367" t="s">
        <v>2902</v>
      </c>
      <c r="AT269" s="367" t="s">
        <v>2902</v>
      </c>
      <c r="AU269" s="296" t="s">
        <v>2326</v>
      </c>
      <c r="AV269" s="297"/>
      <c r="AW269" s="325">
        <v>1</v>
      </c>
      <c r="AX269" s="247">
        <f t="shared" si="103"/>
        <v>100</v>
      </c>
      <c r="AY269" s="90">
        <f t="shared" si="104"/>
        <v>4</v>
      </c>
      <c r="AZ269" s="378">
        <v>0</v>
      </c>
      <c r="BA269" s="449" t="s">
        <v>3782</v>
      </c>
      <c r="BB269" s="247">
        <f t="shared" si="105"/>
        <v>100</v>
      </c>
      <c r="BC269" s="91">
        <f t="shared" si="106"/>
        <v>2</v>
      </c>
      <c r="BD269" s="325">
        <v>0</v>
      </c>
      <c r="BE269" s="325">
        <v>0</v>
      </c>
      <c r="BF269" s="325">
        <v>0</v>
      </c>
      <c r="BG269" s="252">
        <f t="shared" si="107"/>
        <v>0</v>
      </c>
      <c r="BH269" s="246">
        <f t="shared" si="108"/>
        <v>100</v>
      </c>
      <c r="BI269" s="90">
        <f t="shared" si="109"/>
        <v>1</v>
      </c>
      <c r="BJ269" s="325">
        <v>0</v>
      </c>
      <c r="BK269" s="247">
        <f t="shared" si="110"/>
        <v>100</v>
      </c>
      <c r="BL269" s="94">
        <f t="shared" si="111"/>
        <v>2</v>
      </c>
      <c r="BM269" s="325">
        <v>0</v>
      </c>
      <c r="BN269" s="325">
        <v>0</v>
      </c>
      <c r="BO269" s="325">
        <v>1</v>
      </c>
      <c r="BP269" s="211">
        <f t="shared" si="112"/>
        <v>1</v>
      </c>
      <c r="BQ269" s="253">
        <f t="shared" si="113"/>
        <v>50</v>
      </c>
      <c r="BR269" s="99">
        <f t="shared" si="114"/>
        <v>0.5</v>
      </c>
      <c r="BS269" s="101">
        <f t="shared" si="115"/>
        <v>19.5</v>
      </c>
    </row>
    <row r="270" spans="1:71" x14ac:dyDescent="0.6">
      <c r="A270" s="373" t="s">
        <v>30</v>
      </c>
      <c r="B270" s="1" t="s">
        <v>3182</v>
      </c>
      <c r="C270" s="380" t="s">
        <v>861</v>
      </c>
      <c r="D270" s="351" t="s">
        <v>191</v>
      </c>
      <c r="E270" s="352" t="s">
        <v>34</v>
      </c>
      <c r="F270" s="352" t="s">
        <v>433</v>
      </c>
      <c r="G270" s="353">
        <v>43375</v>
      </c>
      <c r="H270" s="352" t="s">
        <v>830</v>
      </c>
      <c r="I270" s="352" t="s">
        <v>1897</v>
      </c>
      <c r="J270" s="352" t="s">
        <v>1142</v>
      </c>
      <c r="K270" s="352" t="s">
        <v>690</v>
      </c>
      <c r="L270" s="381">
        <v>345964556</v>
      </c>
      <c r="M270" s="376">
        <v>77567636</v>
      </c>
      <c r="N270" s="376">
        <v>268396921</v>
      </c>
      <c r="O270" s="376">
        <v>210844992</v>
      </c>
      <c r="P270" s="376">
        <v>31170755</v>
      </c>
      <c r="Q270" s="376">
        <v>30718351</v>
      </c>
      <c r="R270" s="376">
        <v>24307179</v>
      </c>
      <c r="S270" s="325">
        <v>0</v>
      </c>
      <c r="T270" s="246">
        <f t="shared" si="98"/>
        <v>100</v>
      </c>
      <c r="U270" s="77">
        <f t="shared" si="99"/>
        <v>2</v>
      </c>
      <c r="V270" s="377">
        <v>0</v>
      </c>
      <c r="W270" s="377">
        <v>0</v>
      </c>
      <c r="X270" s="377">
        <v>0</v>
      </c>
      <c r="Y270" s="377">
        <v>0</v>
      </c>
      <c r="Z270" s="377">
        <v>0</v>
      </c>
      <c r="AA270" s="377">
        <v>0</v>
      </c>
      <c r="AB270" s="377">
        <v>0</v>
      </c>
      <c r="AC270" s="247">
        <f t="shared" si="100"/>
        <v>0</v>
      </c>
      <c r="AD270" s="247">
        <f t="shared" si="101"/>
        <v>100</v>
      </c>
      <c r="AE270" s="82">
        <f t="shared" si="97"/>
        <v>5</v>
      </c>
      <c r="AF270" s="377">
        <v>0</v>
      </c>
      <c r="AG270" s="377">
        <v>0</v>
      </c>
      <c r="AH270" s="247">
        <f t="shared" si="102"/>
        <v>0</v>
      </c>
      <c r="AI270" s="247">
        <f t="shared" si="116"/>
        <v>100</v>
      </c>
      <c r="AJ270" s="82">
        <f t="shared" si="117"/>
        <v>3</v>
      </c>
      <c r="AK270" s="367" t="s">
        <v>2902</v>
      </c>
      <c r="AL270" s="367" t="s">
        <v>2902</v>
      </c>
      <c r="AM270" s="367" t="s">
        <v>2902</v>
      </c>
      <c r="AN270" s="367" t="s">
        <v>2902</v>
      </c>
      <c r="AO270" s="367" t="s">
        <v>2902</v>
      </c>
      <c r="AP270" s="296" t="s">
        <v>2326</v>
      </c>
      <c r="AQ270" s="296" t="s">
        <v>2326</v>
      </c>
      <c r="AR270" s="297"/>
      <c r="AS270" s="367" t="s">
        <v>2902</v>
      </c>
      <c r="AT270" s="367" t="s">
        <v>2902</v>
      </c>
      <c r="AU270" s="296" t="s">
        <v>2326</v>
      </c>
      <c r="AV270" s="297"/>
      <c r="AW270" s="325">
        <v>1</v>
      </c>
      <c r="AX270" s="247">
        <f t="shared" si="103"/>
        <v>100</v>
      </c>
      <c r="AY270" s="90">
        <f t="shared" si="104"/>
        <v>4</v>
      </c>
      <c r="AZ270" s="378">
        <v>0</v>
      </c>
      <c r="BA270" s="449" t="s">
        <v>3782</v>
      </c>
      <c r="BB270" s="247">
        <f t="shared" si="105"/>
        <v>100</v>
      </c>
      <c r="BC270" s="91">
        <f t="shared" si="106"/>
        <v>2</v>
      </c>
      <c r="BD270" s="325">
        <v>0</v>
      </c>
      <c r="BE270" s="325">
        <v>0</v>
      </c>
      <c r="BF270" s="325">
        <v>1</v>
      </c>
      <c r="BG270" s="252">
        <f t="shared" si="107"/>
        <v>1</v>
      </c>
      <c r="BH270" s="246">
        <f t="shared" si="108"/>
        <v>75</v>
      </c>
      <c r="BI270" s="90">
        <f t="shared" si="109"/>
        <v>0.75</v>
      </c>
      <c r="BJ270" s="325">
        <v>0</v>
      </c>
      <c r="BK270" s="247">
        <f t="shared" si="110"/>
        <v>100</v>
      </c>
      <c r="BL270" s="94">
        <f t="shared" si="111"/>
        <v>2</v>
      </c>
      <c r="BM270" s="325">
        <v>0</v>
      </c>
      <c r="BN270" s="325">
        <v>0</v>
      </c>
      <c r="BO270" s="325">
        <v>1</v>
      </c>
      <c r="BP270" s="211">
        <f t="shared" si="112"/>
        <v>1</v>
      </c>
      <c r="BQ270" s="253">
        <f t="shared" si="113"/>
        <v>50</v>
      </c>
      <c r="BR270" s="99">
        <f t="shared" si="114"/>
        <v>0.5</v>
      </c>
      <c r="BS270" s="101">
        <f t="shared" si="115"/>
        <v>19.25</v>
      </c>
    </row>
    <row r="271" spans="1:71" x14ac:dyDescent="0.6">
      <c r="A271" s="373" t="s">
        <v>1898</v>
      </c>
      <c r="B271" s="1" t="s">
        <v>3183</v>
      </c>
      <c r="C271" s="380" t="s">
        <v>1899</v>
      </c>
      <c r="D271" s="315" t="s">
        <v>191</v>
      </c>
      <c r="E271" s="352" t="s">
        <v>1900</v>
      </c>
      <c r="F271" s="352" t="s">
        <v>1901</v>
      </c>
      <c r="G271" s="353">
        <v>40105</v>
      </c>
      <c r="H271" s="352" t="s">
        <v>830</v>
      </c>
      <c r="I271" s="352" t="s">
        <v>1902</v>
      </c>
      <c r="J271" s="352" t="s">
        <v>1903</v>
      </c>
      <c r="K271" s="352" t="s">
        <v>91</v>
      </c>
      <c r="L271" s="381">
        <v>3107792300</v>
      </c>
      <c r="M271" s="376">
        <v>1945483554</v>
      </c>
      <c r="N271" s="376">
        <v>1162308746</v>
      </c>
      <c r="O271" s="376">
        <v>2222161984</v>
      </c>
      <c r="P271" s="376">
        <v>165474689</v>
      </c>
      <c r="Q271" s="376">
        <v>92802035</v>
      </c>
      <c r="R271" s="376">
        <v>66847561</v>
      </c>
      <c r="S271" s="325">
        <v>1</v>
      </c>
      <c r="T271" s="246">
        <f t="shared" si="98"/>
        <v>50</v>
      </c>
      <c r="U271" s="77">
        <f t="shared" si="99"/>
        <v>1</v>
      </c>
      <c r="V271" s="377">
        <v>0</v>
      </c>
      <c r="W271" s="377">
        <v>0</v>
      </c>
      <c r="X271" s="377">
        <v>0</v>
      </c>
      <c r="Y271" s="377">
        <v>0</v>
      </c>
      <c r="Z271" s="377">
        <v>0</v>
      </c>
      <c r="AA271" s="377">
        <v>0</v>
      </c>
      <c r="AB271" s="377">
        <v>0</v>
      </c>
      <c r="AC271" s="247">
        <f t="shared" si="100"/>
        <v>0</v>
      </c>
      <c r="AD271" s="247">
        <f t="shared" si="101"/>
        <v>100</v>
      </c>
      <c r="AE271" s="82">
        <f t="shared" si="97"/>
        <v>5</v>
      </c>
      <c r="AF271" s="377">
        <v>0</v>
      </c>
      <c r="AG271" s="377">
        <v>0</v>
      </c>
      <c r="AH271" s="247">
        <f t="shared" si="102"/>
        <v>0</v>
      </c>
      <c r="AI271" s="247">
        <f t="shared" si="116"/>
        <v>100</v>
      </c>
      <c r="AJ271" s="82">
        <f t="shared" si="117"/>
        <v>3</v>
      </c>
      <c r="AK271" s="367" t="s">
        <v>2902</v>
      </c>
      <c r="AL271" s="367" t="s">
        <v>2902</v>
      </c>
      <c r="AM271" s="367" t="s">
        <v>2902</v>
      </c>
      <c r="AN271" s="367" t="s">
        <v>2902</v>
      </c>
      <c r="AO271" s="367" t="s">
        <v>2902</v>
      </c>
      <c r="AP271" s="296" t="s">
        <v>2326</v>
      </c>
      <c r="AQ271" s="296" t="s">
        <v>2326</v>
      </c>
      <c r="AR271" s="297"/>
      <c r="AS271" s="367" t="s">
        <v>2902</v>
      </c>
      <c r="AT271" s="367" t="s">
        <v>2902</v>
      </c>
      <c r="AU271" s="296" t="s">
        <v>2326</v>
      </c>
      <c r="AV271" s="297"/>
      <c r="AW271" s="325">
        <v>1</v>
      </c>
      <c r="AX271" s="247">
        <f t="shared" si="103"/>
        <v>100</v>
      </c>
      <c r="AY271" s="90">
        <f t="shared" si="104"/>
        <v>4</v>
      </c>
      <c r="AZ271" s="378">
        <v>0</v>
      </c>
      <c r="BA271" s="449" t="s">
        <v>3782</v>
      </c>
      <c r="BB271" s="247">
        <f t="shared" si="105"/>
        <v>100</v>
      </c>
      <c r="BC271" s="91">
        <f t="shared" si="106"/>
        <v>2</v>
      </c>
      <c r="BD271" s="325">
        <v>0</v>
      </c>
      <c r="BE271" s="325">
        <v>0</v>
      </c>
      <c r="BF271" s="325">
        <v>0</v>
      </c>
      <c r="BG271" s="252">
        <f t="shared" si="107"/>
        <v>0</v>
      </c>
      <c r="BH271" s="246">
        <f t="shared" si="108"/>
        <v>100</v>
      </c>
      <c r="BI271" s="90">
        <f t="shared" si="109"/>
        <v>1</v>
      </c>
      <c r="BJ271" s="325">
        <v>0</v>
      </c>
      <c r="BK271" s="247">
        <f t="shared" si="110"/>
        <v>100</v>
      </c>
      <c r="BL271" s="94">
        <f t="shared" si="111"/>
        <v>2</v>
      </c>
      <c r="BM271" s="325">
        <v>0</v>
      </c>
      <c r="BN271" s="325">
        <v>0</v>
      </c>
      <c r="BO271" s="325">
        <v>1</v>
      </c>
      <c r="BP271" s="211">
        <f t="shared" si="112"/>
        <v>1</v>
      </c>
      <c r="BQ271" s="253">
        <f t="shared" si="113"/>
        <v>50</v>
      </c>
      <c r="BR271" s="99">
        <f t="shared" si="114"/>
        <v>0.5</v>
      </c>
      <c r="BS271" s="101">
        <f t="shared" si="115"/>
        <v>18.5</v>
      </c>
    </row>
    <row r="272" spans="1:71" x14ac:dyDescent="0.6">
      <c r="A272" s="373" t="s">
        <v>1904</v>
      </c>
      <c r="B272" s="13" t="s">
        <v>3184</v>
      </c>
      <c r="C272" s="380" t="s">
        <v>1905</v>
      </c>
      <c r="D272" s="315" t="s">
        <v>203</v>
      </c>
      <c r="E272" s="352" t="s">
        <v>998</v>
      </c>
      <c r="F272" s="352" t="s">
        <v>1906</v>
      </c>
      <c r="G272" s="353">
        <v>36815</v>
      </c>
      <c r="H272" s="352" t="s">
        <v>830</v>
      </c>
      <c r="I272" s="352" t="s">
        <v>1907</v>
      </c>
      <c r="J272" s="13" t="s">
        <v>3185</v>
      </c>
      <c r="K272" s="352" t="s">
        <v>425</v>
      </c>
      <c r="L272" s="381">
        <v>291713102</v>
      </c>
      <c r="M272" s="376">
        <v>71415596</v>
      </c>
      <c r="N272" s="376">
        <v>220297507</v>
      </c>
      <c r="O272" s="376">
        <v>256067814</v>
      </c>
      <c r="P272" s="376">
        <v>8760193</v>
      </c>
      <c r="Q272" s="376">
        <v>3858993</v>
      </c>
      <c r="R272" s="376">
        <v>3132350</v>
      </c>
      <c r="S272" s="325">
        <v>1</v>
      </c>
      <c r="T272" s="246">
        <f t="shared" si="98"/>
        <v>50</v>
      </c>
      <c r="U272" s="77">
        <f t="shared" si="99"/>
        <v>1</v>
      </c>
      <c r="V272" s="377">
        <v>0</v>
      </c>
      <c r="W272" s="377">
        <v>0</v>
      </c>
      <c r="X272" s="377">
        <v>1</v>
      </c>
      <c r="Y272" s="377">
        <v>0</v>
      </c>
      <c r="Z272" s="377">
        <v>0</v>
      </c>
      <c r="AA272" s="377">
        <v>0</v>
      </c>
      <c r="AB272" s="377">
        <v>0</v>
      </c>
      <c r="AC272" s="247">
        <f t="shared" si="100"/>
        <v>1</v>
      </c>
      <c r="AD272" s="247">
        <f t="shared" si="101"/>
        <v>75</v>
      </c>
      <c r="AE272" s="82">
        <f t="shared" si="97"/>
        <v>3.75</v>
      </c>
      <c r="AF272" s="377">
        <v>0</v>
      </c>
      <c r="AG272" s="377">
        <v>0</v>
      </c>
      <c r="AH272" s="247">
        <f t="shared" si="102"/>
        <v>0</v>
      </c>
      <c r="AI272" s="247">
        <f t="shared" si="116"/>
        <v>100</v>
      </c>
      <c r="AJ272" s="82">
        <f t="shared" si="117"/>
        <v>3</v>
      </c>
      <c r="AK272" s="367" t="s">
        <v>2902</v>
      </c>
      <c r="AL272" s="367" t="s">
        <v>2902</v>
      </c>
      <c r="AM272" s="367" t="s">
        <v>2902</v>
      </c>
      <c r="AN272" s="367" t="s">
        <v>2902</v>
      </c>
      <c r="AO272" s="367" t="s">
        <v>2902</v>
      </c>
      <c r="AP272" s="296" t="s">
        <v>2326</v>
      </c>
      <c r="AQ272" s="296" t="s">
        <v>2326</v>
      </c>
      <c r="AR272" s="297"/>
      <c r="AS272" s="367" t="s">
        <v>2902</v>
      </c>
      <c r="AT272" s="367" t="s">
        <v>2902</v>
      </c>
      <c r="AU272" s="296" t="s">
        <v>2326</v>
      </c>
      <c r="AV272" s="297"/>
      <c r="AW272" s="325">
        <v>1</v>
      </c>
      <c r="AX272" s="247">
        <f t="shared" si="103"/>
        <v>100</v>
      </c>
      <c r="AY272" s="90">
        <f t="shared" si="104"/>
        <v>4</v>
      </c>
      <c r="AZ272" s="378">
        <v>0</v>
      </c>
      <c r="BA272" s="449" t="s">
        <v>3782</v>
      </c>
      <c r="BB272" s="247">
        <f t="shared" si="105"/>
        <v>100</v>
      </c>
      <c r="BC272" s="91">
        <f t="shared" si="106"/>
        <v>2</v>
      </c>
      <c r="BD272" s="325">
        <v>0</v>
      </c>
      <c r="BE272" s="325">
        <v>0</v>
      </c>
      <c r="BF272" s="325">
        <v>0</v>
      </c>
      <c r="BG272" s="252">
        <f t="shared" si="107"/>
        <v>0</v>
      </c>
      <c r="BH272" s="246">
        <f t="shared" si="108"/>
        <v>100</v>
      </c>
      <c r="BI272" s="90">
        <f t="shared" si="109"/>
        <v>1</v>
      </c>
      <c r="BJ272" s="325">
        <v>0</v>
      </c>
      <c r="BK272" s="247">
        <f t="shared" si="110"/>
        <v>100</v>
      </c>
      <c r="BL272" s="94">
        <f t="shared" si="111"/>
        <v>2</v>
      </c>
      <c r="BM272" s="325">
        <v>0</v>
      </c>
      <c r="BN272" s="325">
        <v>1</v>
      </c>
      <c r="BO272" s="325">
        <v>1</v>
      </c>
      <c r="BP272" s="211">
        <f t="shared" si="112"/>
        <v>2</v>
      </c>
      <c r="BQ272" s="253">
        <f t="shared" si="113"/>
        <v>75</v>
      </c>
      <c r="BR272" s="99">
        <f t="shared" si="114"/>
        <v>0.75</v>
      </c>
      <c r="BS272" s="101">
        <f t="shared" si="115"/>
        <v>17.5</v>
      </c>
    </row>
    <row r="273" spans="1:71" x14ac:dyDescent="0.6">
      <c r="A273" s="373" t="s">
        <v>483</v>
      </c>
      <c r="B273" s="1" t="s">
        <v>3186</v>
      </c>
      <c r="C273" s="380" t="s">
        <v>897</v>
      </c>
      <c r="D273" s="351" t="s">
        <v>202</v>
      </c>
      <c r="E273" s="352" t="s">
        <v>382</v>
      </c>
      <c r="F273" s="352" t="s">
        <v>163</v>
      </c>
      <c r="G273" s="353">
        <v>35354</v>
      </c>
      <c r="H273" s="352" t="s">
        <v>830</v>
      </c>
      <c r="I273" s="352" t="s">
        <v>528</v>
      </c>
      <c r="J273" s="352" t="s">
        <v>1018</v>
      </c>
      <c r="K273" s="352" t="s">
        <v>346</v>
      </c>
      <c r="L273" s="381">
        <v>1115216321</v>
      </c>
      <c r="M273" s="376">
        <v>343407952</v>
      </c>
      <c r="N273" s="376">
        <v>771808369</v>
      </c>
      <c r="O273" s="376">
        <v>1105239370</v>
      </c>
      <c r="P273" s="376">
        <v>45133384</v>
      </c>
      <c r="Q273" s="376">
        <v>54914570</v>
      </c>
      <c r="R273" s="376">
        <v>41039812</v>
      </c>
      <c r="S273" s="325">
        <v>0</v>
      </c>
      <c r="T273" s="246">
        <f t="shared" si="98"/>
        <v>100</v>
      </c>
      <c r="U273" s="77">
        <f t="shared" si="99"/>
        <v>2</v>
      </c>
      <c r="V273" s="377">
        <v>0</v>
      </c>
      <c r="W273" s="377">
        <v>0</v>
      </c>
      <c r="X273" s="377">
        <v>0</v>
      </c>
      <c r="Y273" s="377">
        <v>0</v>
      </c>
      <c r="Z273" s="377">
        <v>0</v>
      </c>
      <c r="AA273" s="377">
        <v>0</v>
      </c>
      <c r="AB273" s="377">
        <v>0</v>
      </c>
      <c r="AC273" s="247">
        <f t="shared" si="100"/>
        <v>0</v>
      </c>
      <c r="AD273" s="247">
        <f t="shared" si="101"/>
        <v>100</v>
      </c>
      <c r="AE273" s="82">
        <f t="shared" si="97"/>
        <v>5</v>
      </c>
      <c r="AF273" s="377">
        <v>0</v>
      </c>
      <c r="AG273" s="377">
        <v>0</v>
      </c>
      <c r="AH273" s="247">
        <f t="shared" si="102"/>
        <v>0</v>
      </c>
      <c r="AI273" s="247">
        <f t="shared" si="116"/>
        <v>100</v>
      </c>
      <c r="AJ273" s="82">
        <f t="shared" si="117"/>
        <v>3</v>
      </c>
      <c r="AK273" s="367" t="s">
        <v>2902</v>
      </c>
      <c r="AL273" s="367" t="s">
        <v>2902</v>
      </c>
      <c r="AM273" s="367" t="s">
        <v>2902</v>
      </c>
      <c r="AN273" s="367" t="s">
        <v>2902</v>
      </c>
      <c r="AO273" s="367" t="s">
        <v>2902</v>
      </c>
      <c r="AP273" s="296" t="s">
        <v>2326</v>
      </c>
      <c r="AQ273" s="296" t="s">
        <v>2326</v>
      </c>
      <c r="AR273" s="297"/>
      <c r="AS273" s="367" t="s">
        <v>2902</v>
      </c>
      <c r="AT273" s="367" t="s">
        <v>2902</v>
      </c>
      <c r="AU273" s="296" t="s">
        <v>2326</v>
      </c>
      <c r="AV273" s="297"/>
      <c r="AW273" s="325">
        <v>1</v>
      </c>
      <c r="AX273" s="247">
        <f t="shared" si="103"/>
        <v>100</v>
      </c>
      <c r="AY273" s="90">
        <f t="shared" si="104"/>
        <v>4</v>
      </c>
      <c r="AZ273" s="378">
        <v>0</v>
      </c>
      <c r="BA273" s="449" t="s">
        <v>3782</v>
      </c>
      <c r="BB273" s="247">
        <f t="shared" si="105"/>
        <v>100</v>
      </c>
      <c r="BC273" s="91">
        <f t="shared" si="106"/>
        <v>2</v>
      </c>
      <c r="BD273" s="325">
        <v>0</v>
      </c>
      <c r="BE273" s="325">
        <v>0</v>
      </c>
      <c r="BF273" s="325">
        <v>0</v>
      </c>
      <c r="BG273" s="252">
        <f t="shared" si="107"/>
        <v>0</v>
      </c>
      <c r="BH273" s="246">
        <f t="shared" si="108"/>
        <v>100</v>
      </c>
      <c r="BI273" s="90">
        <f t="shared" si="109"/>
        <v>1</v>
      </c>
      <c r="BJ273" s="325">
        <v>0</v>
      </c>
      <c r="BK273" s="247">
        <f t="shared" si="110"/>
        <v>100</v>
      </c>
      <c r="BL273" s="94">
        <f t="shared" si="111"/>
        <v>2</v>
      </c>
      <c r="BM273" s="325">
        <v>0</v>
      </c>
      <c r="BN273" s="325">
        <v>1</v>
      </c>
      <c r="BO273" s="325">
        <v>0</v>
      </c>
      <c r="BP273" s="211">
        <f t="shared" si="112"/>
        <v>1</v>
      </c>
      <c r="BQ273" s="253">
        <f t="shared" si="113"/>
        <v>50</v>
      </c>
      <c r="BR273" s="99">
        <f t="shared" si="114"/>
        <v>0.5</v>
      </c>
      <c r="BS273" s="101">
        <f t="shared" si="115"/>
        <v>19.5</v>
      </c>
    </row>
    <row r="274" spans="1:71" x14ac:dyDescent="0.6">
      <c r="A274" s="373" t="s">
        <v>1908</v>
      </c>
      <c r="B274" s="13" t="s">
        <v>3187</v>
      </c>
      <c r="C274" s="380" t="s">
        <v>542</v>
      </c>
      <c r="D274" s="351" t="s">
        <v>202</v>
      </c>
      <c r="E274" s="352" t="s">
        <v>954</v>
      </c>
      <c r="F274" s="352" t="s">
        <v>155</v>
      </c>
      <c r="G274" s="353">
        <v>32052</v>
      </c>
      <c r="H274" s="352" t="s">
        <v>830</v>
      </c>
      <c r="I274" s="352" t="s">
        <v>844</v>
      </c>
      <c r="J274" s="352" t="s">
        <v>1909</v>
      </c>
      <c r="K274" s="352" t="s">
        <v>407</v>
      </c>
      <c r="L274" s="381">
        <v>486136593</v>
      </c>
      <c r="M274" s="376">
        <v>256604490</v>
      </c>
      <c r="N274" s="376">
        <v>229532103</v>
      </c>
      <c r="O274" s="376">
        <v>766770906</v>
      </c>
      <c r="P274" s="376">
        <v>14724318</v>
      </c>
      <c r="Q274" s="376">
        <v>26927489</v>
      </c>
      <c r="R274" s="376">
        <v>22719488</v>
      </c>
      <c r="S274" s="325">
        <v>0</v>
      </c>
      <c r="T274" s="246">
        <f t="shared" si="98"/>
        <v>100</v>
      </c>
      <c r="U274" s="77">
        <f t="shared" si="99"/>
        <v>2</v>
      </c>
      <c r="V274" s="377">
        <v>0</v>
      </c>
      <c r="W274" s="377">
        <v>0</v>
      </c>
      <c r="X274" s="377">
        <v>0</v>
      </c>
      <c r="Y274" s="377">
        <v>0</v>
      </c>
      <c r="Z274" s="377">
        <v>0</v>
      </c>
      <c r="AA274" s="377">
        <v>0</v>
      </c>
      <c r="AB274" s="377">
        <v>0</v>
      </c>
      <c r="AC274" s="247">
        <f t="shared" si="100"/>
        <v>0</v>
      </c>
      <c r="AD274" s="247">
        <f t="shared" si="101"/>
        <v>100</v>
      </c>
      <c r="AE274" s="82">
        <f t="shared" si="97"/>
        <v>5</v>
      </c>
      <c r="AF274" s="377">
        <v>0</v>
      </c>
      <c r="AG274" s="377">
        <v>0</v>
      </c>
      <c r="AH274" s="247">
        <f t="shared" si="102"/>
        <v>0</v>
      </c>
      <c r="AI274" s="247">
        <f t="shared" si="116"/>
        <v>100</v>
      </c>
      <c r="AJ274" s="82">
        <f t="shared" si="117"/>
        <v>3</v>
      </c>
      <c r="AK274" s="367" t="s">
        <v>2902</v>
      </c>
      <c r="AL274" s="367" t="s">
        <v>2902</v>
      </c>
      <c r="AM274" s="367" t="s">
        <v>2902</v>
      </c>
      <c r="AN274" s="367" t="s">
        <v>2902</v>
      </c>
      <c r="AO274" s="367" t="s">
        <v>2902</v>
      </c>
      <c r="AP274" s="296" t="s">
        <v>2326</v>
      </c>
      <c r="AQ274" s="296" t="s">
        <v>2326</v>
      </c>
      <c r="AR274" s="297"/>
      <c r="AS274" s="367" t="s">
        <v>2902</v>
      </c>
      <c r="AT274" s="367" t="s">
        <v>2902</v>
      </c>
      <c r="AU274" s="296" t="s">
        <v>2326</v>
      </c>
      <c r="AV274" s="297"/>
      <c r="AW274" s="325">
        <v>1</v>
      </c>
      <c r="AX274" s="247">
        <f t="shared" si="103"/>
        <v>100</v>
      </c>
      <c r="AY274" s="90">
        <f t="shared" si="104"/>
        <v>4</v>
      </c>
      <c r="AZ274" s="378">
        <v>0</v>
      </c>
      <c r="BA274" s="449" t="s">
        <v>3782</v>
      </c>
      <c r="BB274" s="247">
        <f t="shared" si="105"/>
        <v>100</v>
      </c>
      <c r="BC274" s="91">
        <f t="shared" si="106"/>
        <v>2</v>
      </c>
      <c r="BD274" s="325">
        <v>0</v>
      </c>
      <c r="BE274" s="325">
        <v>0</v>
      </c>
      <c r="BF274" s="325">
        <v>0</v>
      </c>
      <c r="BG274" s="252">
        <f t="shared" si="107"/>
        <v>0</v>
      </c>
      <c r="BH274" s="246">
        <f t="shared" si="108"/>
        <v>100</v>
      </c>
      <c r="BI274" s="90">
        <f t="shared" si="109"/>
        <v>1</v>
      </c>
      <c r="BJ274" s="325">
        <v>0</v>
      </c>
      <c r="BK274" s="247">
        <f t="shared" si="110"/>
        <v>100</v>
      </c>
      <c r="BL274" s="94">
        <f t="shared" si="111"/>
        <v>2</v>
      </c>
      <c r="BM274" s="325">
        <v>0</v>
      </c>
      <c r="BN274" s="325">
        <v>0</v>
      </c>
      <c r="BO274" s="325">
        <v>1</v>
      </c>
      <c r="BP274" s="211">
        <f t="shared" si="112"/>
        <v>1</v>
      </c>
      <c r="BQ274" s="253">
        <f t="shared" si="113"/>
        <v>50</v>
      </c>
      <c r="BR274" s="99">
        <f t="shared" si="114"/>
        <v>0.5</v>
      </c>
      <c r="BS274" s="101">
        <f t="shared" si="115"/>
        <v>19.5</v>
      </c>
    </row>
    <row r="275" spans="1:71" x14ac:dyDescent="0.6">
      <c r="A275" s="373" t="s">
        <v>182</v>
      </c>
      <c r="B275" s="1" t="s">
        <v>3188</v>
      </c>
      <c r="C275" s="380" t="s">
        <v>345</v>
      </c>
      <c r="D275" s="351" t="s">
        <v>191</v>
      </c>
      <c r="E275" s="352" t="s">
        <v>1029</v>
      </c>
      <c r="F275" s="352" t="s">
        <v>1000</v>
      </c>
      <c r="G275" s="353">
        <v>27208</v>
      </c>
      <c r="H275" s="352" t="s">
        <v>830</v>
      </c>
      <c r="I275" s="352" t="s">
        <v>662</v>
      </c>
      <c r="J275" s="352" t="s">
        <v>1207</v>
      </c>
      <c r="K275" s="352" t="s">
        <v>91</v>
      </c>
      <c r="L275" s="381">
        <v>339571178</v>
      </c>
      <c r="M275" s="376">
        <v>63823811</v>
      </c>
      <c r="N275" s="376">
        <v>275747368</v>
      </c>
      <c r="O275" s="376">
        <v>336657527</v>
      </c>
      <c r="P275" s="376">
        <v>25257329</v>
      </c>
      <c r="Q275" s="376">
        <v>26498807</v>
      </c>
      <c r="R275" s="376">
        <v>20001837</v>
      </c>
      <c r="S275" s="325">
        <v>0</v>
      </c>
      <c r="T275" s="246">
        <f t="shared" si="98"/>
        <v>100</v>
      </c>
      <c r="U275" s="77">
        <f t="shared" si="99"/>
        <v>2</v>
      </c>
      <c r="V275" s="377">
        <v>0</v>
      </c>
      <c r="W275" s="377">
        <v>0</v>
      </c>
      <c r="X275" s="377">
        <v>0</v>
      </c>
      <c r="Y275" s="377">
        <v>0</v>
      </c>
      <c r="Z275" s="377">
        <v>0</v>
      </c>
      <c r="AA275" s="377">
        <v>0</v>
      </c>
      <c r="AB275" s="377">
        <v>0</v>
      </c>
      <c r="AC275" s="247">
        <f t="shared" si="100"/>
        <v>0</v>
      </c>
      <c r="AD275" s="247">
        <f t="shared" si="101"/>
        <v>100</v>
      </c>
      <c r="AE275" s="82">
        <f t="shared" si="97"/>
        <v>5</v>
      </c>
      <c r="AF275" s="377">
        <v>0</v>
      </c>
      <c r="AG275" s="377">
        <v>0</v>
      </c>
      <c r="AH275" s="247">
        <f t="shared" si="102"/>
        <v>0</v>
      </c>
      <c r="AI275" s="247">
        <f t="shared" si="116"/>
        <v>100</v>
      </c>
      <c r="AJ275" s="82">
        <f t="shared" si="117"/>
        <v>3</v>
      </c>
      <c r="AK275" s="367" t="s">
        <v>2902</v>
      </c>
      <c r="AL275" s="367" t="s">
        <v>2902</v>
      </c>
      <c r="AM275" s="367" t="s">
        <v>2902</v>
      </c>
      <c r="AN275" s="367" t="s">
        <v>2902</v>
      </c>
      <c r="AO275" s="367" t="s">
        <v>2902</v>
      </c>
      <c r="AP275" s="296" t="s">
        <v>2326</v>
      </c>
      <c r="AQ275" s="296" t="s">
        <v>2326</v>
      </c>
      <c r="AR275" s="297"/>
      <c r="AS275" s="367" t="s">
        <v>2902</v>
      </c>
      <c r="AT275" s="367" t="s">
        <v>2902</v>
      </c>
      <c r="AU275" s="296" t="s">
        <v>2326</v>
      </c>
      <c r="AV275" s="297"/>
      <c r="AW275" s="325">
        <v>1</v>
      </c>
      <c r="AX275" s="247">
        <f t="shared" si="103"/>
        <v>100</v>
      </c>
      <c r="AY275" s="90">
        <f t="shared" si="104"/>
        <v>4</v>
      </c>
      <c r="AZ275" s="378">
        <v>0</v>
      </c>
      <c r="BA275" s="449" t="s">
        <v>3782</v>
      </c>
      <c r="BB275" s="247">
        <f t="shared" si="105"/>
        <v>100</v>
      </c>
      <c r="BC275" s="91">
        <f t="shared" si="106"/>
        <v>2</v>
      </c>
      <c r="BD275" s="325">
        <v>0</v>
      </c>
      <c r="BE275" s="325">
        <v>0</v>
      </c>
      <c r="BF275" s="325">
        <v>0</v>
      </c>
      <c r="BG275" s="252">
        <f t="shared" si="107"/>
        <v>0</v>
      </c>
      <c r="BH275" s="246">
        <f t="shared" si="108"/>
        <v>100</v>
      </c>
      <c r="BI275" s="90">
        <f t="shared" si="109"/>
        <v>1</v>
      </c>
      <c r="BJ275" s="325">
        <v>0</v>
      </c>
      <c r="BK275" s="247">
        <f t="shared" si="110"/>
        <v>100</v>
      </c>
      <c r="BL275" s="94">
        <f t="shared" si="111"/>
        <v>2</v>
      </c>
      <c r="BM275" s="325">
        <v>0</v>
      </c>
      <c r="BN275" s="325">
        <v>0</v>
      </c>
      <c r="BO275" s="325">
        <v>1</v>
      </c>
      <c r="BP275" s="211">
        <f t="shared" si="112"/>
        <v>1</v>
      </c>
      <c r="BQ275" s="253">
        <f t="shared" si="113"/>
        <v>50</v>
      </c>
      <c r="BR275" s="99">
        <f t="shared" si="114"/>
        <v>0.5</v>
      </c>
      <c r="BS275" s="101">
        <f t="shared" si="115"/>
        <v>19.5</v>
      </c>
    </row>
    <row r="276" spans="1:71" x14ac:dyDescent="0.6">
      <c r="A276" s="373" t="s">
        <v>948</v>
      </c>
      <c r="B276" s="1" t="s">
        <v>3189</v>
      </c>
      <c r="C276" s="380" t="s">
        <v>915</v>
      </c>
      <c r="D276" s="351" t="s">
        <v>203</v>
      </c>
      <c r="E276" s="352" t="s">
        <v>187</v>
      </c>
      <c r="F276" s="352" t="s">
        <v>603</v>
      </c>
      <c r="G276" s="353">
        <v>32365</v>
      </c>
      <c r="H276" s="352" t="s">
        <v>830</v>
      </c>
      <c r="I276" s="352" t="s">
        <v>233</v>
      </c>
      <c r="J276" s="352" t="s">
        <v>1113</v>
      </c>
      <c r="K276" s="352" t="s">
        <v>484</v>
      </c>
      <c r="L276" s="381">
        <v>172340454</v>
      </c>
      <c r="M276" s="376">
        <v>59384706</v>
      </c>
      <c r="N276" s="376">
        <v>112955748</v>
      </c>
      <c r="O276" s="376">
        <v>301642199</v>
      </c>
      <c r="P276" s="376">
        <v>35071601</v>
      </c>
      <c r="Q276" s="376">
        <v>36329377</v>
      </c>
      <c r="R276" s="376">
        <v>26721327</v>
      </c>
      <c r="S276" s="325">
        <v>0</v>
      </c>
      <c r="T276" s="246">
        <f t="shared" si="98"/>
        <v>100</v>
      </c>
      <c r="U276" s="77">
        <f t="shared" si="99"/>
        <v>2</v>
      </c>
      <c r="V276" s="377">
        <v>0</v>
      </c>
      <c r="W276" s="377">
        <v>0</v>
      </c>
      <c r="X276" s="377">
        <v>0</v>
      </c>
      <c r="Y276" s="377">
        <v>0</v>
      </c>
      <c r="Z276" s="377">
        <v>0</v>
      </c>
      <c r="AA276" s="377">
        <v>0</v>
      </c>
      <c r="AB276" s="377">
        <v>0</v>
      </c>
      <c r="AC276" s="247">
        <f t="shared" si="100"/>
        <v>0</v>
      </c>
      <c r="AD276" s="247">
        <f t="shared" si="101"/>
        <v>100</v>
      </c>
      <c r="AE276" s="82">
        <f t="shared" si="97"/>
        <v>5</v>
      </c>
      <c r="AF276" s="377">
        <v>0</v>
      </c>
      <c r="AG276" s="377">
        <v>0</v>
      </c>
      <c r="AH276" s="247">
        <f t="shared" si="102"/>
        <v>0</v>
      </c>
      <c r="AI276" s="247">
        <f t="shared" si="116"/>
        <v>100</v>
      </c>
      <c r="AJ276" s="82">
        <f t="shared" si="117"/>
        <v>3</v>
      </c>
      <c r="AK276" s="367" t="s">
        <v>2902</v>
      </c>
      <c r="AL276" s="367" t="s">
        <v>2902</v>
      </c>
      <c r="AM276" s="367" t="s">
        <v>2902</v>
      </c>
      <c r="AN276" s="367" t="s">
        <v>2902</v>
      </c>
      <c r="AO276" s="367" t="s">
        <v>2902</v>
      </c>
      <c r="AP276" s="296" t="s">
        <v>2326</v>
      </c>
      <c r="AQ276" s="296" t="s">
        <v>2326</v>
      </c>
      <c r="AR276" s="297"/>
      <c r="AS276" s="367" t="s">
        <v>2902</v>
      </c>
      <c r="AT276" s="367" t="s">
        <v>2902</v>
      </c>
      <c r="AU276" s="296" t="s">
        <v>2326</v>
      </c>
      <c r="AV276" s="297"/>
      <c r="AW276" s="325">
        <v>1</v>
      </c>
      <c r="AX276" s="247">
        <f t="shared" si="103"/>
        <v>100</v>
      </c>
      <c r="AY276" s="90">
        <f t="shared" si="104"/>
        <v>4</v>
      </c>
      <c r="AZ276" s="378">
        <v>0</v>
      </c>
      <c r="BA276" s="449" t="s">
        <v>3782</v>
      </c>
      <c r="BB276" s="247">
        <f t="shared" si="105"/>
        <v>100</v>
      </c>
      <c r="BC276" s="91">
        <f t="shared" si="106"/>
        <v>2</v>
      </c>
      <c r="BD276" s="325">
        <v>0</v>
      </c>
      <c r="BE276" s="325">
        <v>0</v>
      </c>
      <c r="BF276" s="325">
        <v>0</v>
      </c>
      <c r="BG276" s="252">
        <f t="shared" si="107"/>
        <v>0</v>
      </c>
      <c r="BH276" s="246">
        <f t="shared" si="108"/>
        <v>100</v>
      </c>
      <c r="BI276" s="90">
        <f t="shared" si="109"/>
        <v>1</v>
      </c>
      <c r="BJ276" s="325">
        <v>0</v>
      </c>
      <c r="BK276" s="247">
        <f t="shared" si="110"/>
        <v>100</v>
      </c>
      <c r="BL276" s="94">
        <f t="shared" si="111"/>
        <v>2</v>
      </c>
      <c r="BM276" s="325">
        <v>0</v>
      </c>
      <c r="BN276" s="325">
        <v>0</v>
      </c>
      <c r="BO276" s="325">
        <v>1</v>
      </c>
      <c r="BP276" s="211">
        <f t="shared" si="112"/>
        <v>1</v>
      </c>
      <c r="BQ276" s="253">
        <f t="shared" si="113"/>
        <v>50</v>
      </c>
      <c r="BR276" s="99">
        <f t="shared" si="114"/>
        <v>0.5</v>
      </c>
      <c r="BS276" s="101">
        <f t="shared" si="115"/>
        <v>19.5</v>
      </c>
    </row>
    <row r="277" spans="1:71" x14ac:dyDescent="0.6">
      <c r="A277" s="373" t="s">
        <v>853</v>
      </c>
      <c r="B277" s="13" t="s">
        <v>3190</v>
      </c>
      <c r="C277" s="380" t="s">
        <v>886</v>
      </c>
      <c r="D277" s="351" t="s">
        <v>285</v>
      </c>
      <c r="E277" s="352" t="s">
        <v>1167</v>
      </c>
      <c r="F277" s="352" t="s">
        <v>1125</v>
      </c>
      <c r="G277" s="353">
        <v>40661</v>
      </c>
      <c r="H277" s="352" t="s">
        <v>830</v>
      </c>
      <c r="I277" s="352" t="s">
        <v>715</v>
      </c>
      <c r="J277" s="352" t="s">
        <v>1129</v>
      </c>
      <c r="K277" s="352" t="s">
        <v>690</v>
      </c>
      <c r="L277" s="381">
        <v>332695360</v>
      </c>
      <c r="M277" s="376">
        <v>183900048</v>
      </c>
      <c r="N277" s="376">
        <v>148795312</v>
      </c>
      <c r="O277" s="376">
        <v>283702516</v>
      </c>
      <c r="P277" s="376">
        <v>5425717</v>
      </c>
      <c r="Q277" s="376">
        <v>6710645</v>
      </c>
      <c r="R277" s="376">
        <v>3799292</v>
      </c>
      <c r="S277" s="325">
        <v>1</v>
      </c>
      <c r="T277" s="246">
        <f t="shared" si="98"/>
        <v>50</v>
      </c>
      <c r="U277" s="77">
        <f t="shared" si="99"/>
        <v>1</v>
      </c>
      <c r="V277" s="377">
        <v>0</v>
      </c>
      <c r="W277" s="377">
        <v>0</v>
      </c>
      <c r="X277" s="377">
        <v>0</v>
      </c>
      <c r="Y277" s="377">
        <v>0</v>
      </c>
      <c r="Z277" s="377">
        <v>0</v>
      </c>
      <c r="AA277" s="377">
        <v>0</v>
      </c>
      <c r="AB277" s="377">
        <v>0</v>
      </c>
      <c r="AC277" s="247">
        <f t="shared" si="100"/>
        <v>0</v>
      </c>
      <c r="AD277" s="247">
        <f t="shared" si="101"/>
        <v>100</v>
      </c>
      <c r="AE277" s="82">
        <f t="shared" si="97"/>
        <v>5</v>
      </c>
      <c r="AF277" s="377">
        <v>0</v>
      </c>
      <c r="AG277" s="377">
        <v>0</v>
      </c>
      <c r="AH277" s="247">
        <f t="shared" si="102"/>
        <v>0</v>
      </c>
      <c r="AI277" s="247">
        <f t="shared" si="116"/>
        <v>100</v>
      </c>
      <c r="AJ277" s="82">
        <f t="shared" si="117"/>
        <v>3</v>
      </c>
      <c r="AK277" s="367" t="s">
        <v>2902</v>
      </c>
      <c r="AL277" s="367" t="s">
        <v>2902</v>
      </c>
      <c r="AM277" s="367" t="s">
        <v>2902</v>
      </c>
      <c r="AN277" s="367" t="s">
        <v>2902</v>
      </c>
      <c r="AO277" s="367" t="s">
        <v>2902</v>
      </c>
      <c r="AP277" s="296" t="s">
        <v>2326</v>
      </c>
      <c r="AQ277" s="296" t="s">
        <v>2326</v>
      </c>
      <c r="AR277" s="297"/>
      <c r="AS277" s="367" t="s">
        <v>2902</v>
      </c>
      <c r="AT277" s="367" t="s">
        <v>2902</v>
      </c>
      <c r="AU277" s="296" t="s">
        <v>2326</v>
      </c>
      <c r="AV277" s="297"/>
      <c r="AW277" s="325">
        <v>1</v>
      </c>
      <c r="AX277" s="247">
        <f t="shared" si="103"/>
        <v>100</v>
      </c>
      <c r="AY277" s="90">
        <f t="shared" si="104"/>
        <v>4</v>
      </c>
      <c r="AZ277" s="378">
        <v>0</v>
      </c>
      <c r="BA277" s="449" t="s">
        <v>3782</v>
      </c>
      <c r="BB277" s="247">
        <f t="shared" si="105"/>
        <v>100</v>
      </c>
      <c r="BC277" s="91">
        <f t="shared" si="106"/>
        <v>2</v>
      </c>
      <c r="BD277" s="325">
        <v>0</v>
      </c>
      <c r="BE277" s="325">
        <v>0</v>
      </c>
      <c r="BF277" s="325">
        <v>0</v>
      </c>
      <c r="BG277" s="252">
        <f t="shared" si="107"/>
        <v>0</v>
      </c>
      <c r="BH277" s="246">
        <f t="shared" si="108"/>
        <v>100</v>
      </c>
      <c r="BI277" s="90">
        <f t="shared" si="109"/>
        <v>1</v>
      </c>
      <c r="BJ277" s="325">
        <v>1</v>
      </c>
      <c r="BK277" s="247">
        <f t="shared" si="110"/>
        <v>50</v>
      </c>
      <c r="BL277" s="94">
        <f t="shared" si="111"/>
        <v>1</v>
      </c>
      <c r="BM277" s="325">
        <v>0</v>
      </c>
      <c r="BN277" s="325">
        <v>0</v>
      </c>
      <c r="BO277" s="325">
        <v>1</v>
      </c>
      <c r="BP277" s="211">
        <f t="shared" si="112"/>
        <v>1</v>
      </c>
      <c r="BQ277" s="253">
        <f t="shared" si="113"/>
        <v>50</v>
      </c>
      <c r="BR277" s="99">
        <f t="shared" si="114"/>
        <v>0.5</v>
      </c>
      <c r="BS277" s="101">
        <f t="shared" si="115"/>
        <v>17.5</v>
      </c>
    </row>
    <row r="278" spans="1:71" x14ac:dyDescent="0.6">
      <c r="A278" s="373" t="s">
        <v>1910</v>
      </c>
      <c r="B278" s="13" t="s">
        <v>3191</v>
      </c>
      <c r="C278" s="380" t="s">
        <v>1911</v>
      </c>
      <c r="D278" s="315" t="s">
        <v>203</v>
      </c>
      <c r="E278" s="352" t="s">
        <v>195</v>
      </c>
      <c r="F278" s="352" t="s">
        <v>1912</v>
      </c>
      <c r="G278" s="353">
        <v>25549</v>
      </c>
      <c r="H278" s="352" t="s">
        <v>830</v>
      </c>
      <c r="I278" s="352" t="s">
        <v>1913</v>
      </c>
      <c r="J278" s="352" t="s">
        <v>1914</v>
      </c>
      <c r="K278" s="352" t="s">
        <v>484</v>
      </c>
      <c r="L278" s="381">
        <v>319037628</v>
      </c>
      <c r="M278" s="376">
        <v>46527487</v>
      </c>
      <c r="N278" s="376">
        <v>272510141</v>
      </c>
      <c r="O278" s="376">
        <v>118960265</v>
      </c>
      <c r="P278" s="376">
        <v>9521305</v>
      </c>
      <c r="Q278" s="376">
        <v>26092874</v>
      </c>
      <c r="R278" s="376">
        <v>23518478</v>
      </c>
      <c r="S278" s="325">
        <v>0</v>
      </c>
      <c r="T278" s="246">
        <f t="shared" si="98"/>
        <v>100</v>
      </c>
      <c r="U278" s="77">
        <f t="shared" si="99"/>
        <v>2</v>
      </c>
      <c r="V278" s="377">
        <v>0</v>
      </c>
      <c r="W278" s="377">
        <v>0</v>
      </c>
      <c r="X278" s="377">
        <v>0</v>
      </c>
      <c r="Y278" s="377">
        <v>0</v>
      </c>
      <c r="Z278" s="377">
        <v>0</v>
      </c>
      <c r="AA278" s="377">
        <v>0</v>
      </c>
      <c r="AB278" s="377">
        <v>0</v>
      </c>
      <c r="AC278" s="247">
        <f t="shared" si="100"/>
        <v>0</v>
      </c>
      <c r="AD278" s="247">
        <f t="shared" si="101"/>
        <v>100</v>
      </c>
      <c r="AE278" s="82">
        <f t="shared" si="97"/>
        <v>5</v>
      </c>
      <c r="AF278" s="377">
        <v>0</v>
      </c>
      <c r="AG278" s="377">
        <v>0</v>
      </c>
      <c r="AH278" s="247">
        <f t="shared" si="102"/>
        <v>0</v>
      </c>
      <c r="AI278" s="247">
        <f t="shared" si="116"/>
        <v>100</v>
      </c>
      <c r="AJ278" s="82">
        <f t="shared" si="117"/>
        <v>3</v>
      </c>
      <c r="AK278" s="367" t="s">
        <v>2902</v>
      </c>
      <c r="AL278" s="367" t="s">
        <v>2902</v>
      </c>
      <c r="AM278" s="367" t="s">
        <v>2902</v>
      </c>
      <c r="AN278" s="367" t="s">
        <v>2902</v>
      </c>
      <c r="AO278" s="367" t="s">
        <v>2902</v>
      </c>
      <c r="AP278" s="296" t="s">
        <v>2326</v>
      </c>
      <c r="AQ278" s="296" t="s">
        <v>2326</v>
      </c>
      <c r="AR278" s="297"/>
      <c r="AS278" s="367" t="s">
        <v>2902</v>
      </c>
      <c r="AT278" s="367" t="s">
        <v>2902</v>
      </c>
      <c r="AU278" s="296" t="s">
        <v>2326</v>
      </c>
      <c r="AV278" s="297"/>
      <c r="AW278" s="325">
        <v>1</v>
      </c>
      <c r="AX278" s="247">
        <f t="shared" si="103"/>
        <v>100</v>
      </c>
      <c r="AY278" s="90">
        <f t="shared" si="104"/>
        <v>4</v>
      </c>
      <c r="AZ278" s="378">
        <v>0</v>
      </c>
      <c r="BA278" s="449" t="s">
        <v>3782</v>
      </c>
      <c r="BB278" s="247">
        <f t="shared" si="105"/>
        <v>100</v>
      </c>
      <c r="BC278" s="91">
        <f t="shared" si="106"/>
        <v>2</v>
      </c>
      <c r="BD278" s="325">
        <v>0</v>
      </c>
      <c r="BE278" s="325">
        <v>0</v>
      </c>
      <c r="BF278" s="325">
        <v>0</v>
      </c>
      <c r="BG278" s="252">
        <f t="shared" si="107"/>
        <v>0</v>
      </c>
      <c r="BH278" s="246">
        <f t="shared" si="108"/>
        <v>100</v>
      </c>
      <c r="BI278" s="90">
        <f t="shared" si="109"/>
        <v>1</v>
      </c>
      <c r="BJ278" s="325">
        <v>0</v>
      </c>
      <c r="BK278" s="247">
        <f t="shared" si="110"/>
        <v>100</v>
      </c>
      <c r="BL278" s="94">
        <f t="shared" si="111"/>
        <v>2</v>
      </c>
      <c r="BM278" s="325">
        <v>0</v>
      </c>
      <c r="BN278" s="325">
        <v>0</v>
      </c>
      <c r="BO278" s="325">
        <v>0</v>
      </c>
      <c r="BP278" s="211">
        <f t="shared" si="112"/>
        <v>0</v>
      </c>
      <c r="BQ278" s="253">
        <f t="shared" si="113"/>
        <v>25</v>
      </c>
      <c r="BR278" s="99">
        <f t="shared" si="114"/>
        <v>0.25</v>
      </c>
      <c r="BS278" s="101">
        <f t="shared" si="115"/>
        <v>19.25</v>
      </c>
    </row>
    <row r="279" spans="1:71" x14ac:dyDescent="0.6">
      <c r="A279" s="373" t="s">
        <v>2551</v>
      </c>
      <c r="B279" s="1" t="s">
        <v>3192</v>
      </c>
      <c r="C279" s="380" t="s">
        <v>887</v>
      </c>
      <c r="D279" s="351" t="s">
        <v>203</v>
      </c>
      <c r="E279" s="352" t="s">
        <v>1209</v>
      </c>
      <c r="F279" s="352" t="s">
        <v>151</v>
      </c>
      <c r="G279" s="353">
        <v>34888</v>
      </c>
      <c r="H279" s="352" t="s">
        <v>830</v>
      </c>
      <c r="I279" s="352" t="s">
        <v>615</v>
      </c>
      <c r="J279" s="352" t="s">
        <v>1094</v>
      </c>
      <c r="K279" s="352" t="s">
        <v>50</v>
      </c>
      <c r="L279" s="381">
        <v>573791494</v>
      </c>
      <c r="M279" s="376">
        <v>172708851</v>
      </c>
      <c r="N279" s="376">
        <v>401082642</v>
      </c>
      <c r="O279" s="376">
        <v>340208179</v>
      </c>
      <c r="P279" s="376">
        <v>28719054</v>
      </c>
      <c r="Q279" s="376">
        <v>9790753</v>
      </c>
      <c r="R279" s="376">
        <v>2174394</v>
      </c>
      <c r="S279" s="325">
        <v>0</v>
      </c>
      <c r="T279" s="246">
        <f t="shared" si="98"/>
        <v>100</v>
      </c>
      <c r="U279" s="77">
        <f t="shared" si="99"/>
        <v>2</v>
      </c>
      <c r="V279" s="377">
        <v>0</v>
      </c>
      <c r="W279" s="377">
        <v>0</v>
      </c>
      <c r="X279" s="377">
        <v>0</v>
      </c>
      <c r="Y279" s="377">
        <v>0</v>
      </c>
      <c r="Z279" s="377">
        <v>0</v>
      </c>
      <c r="AA279" s="377">
        <v>0</v>
      </c>
      <c r="AB279" s="377">
        <v>0</v>
      </c>
      <c r="AC279" s="247">
        <f t="shared" si="100"/>
        <v>0</v>
      </c>
      <c r="AD279" s="247">
        <f t="shared" si="101"/>
        <v>100</v>
      </c>
      <c r="AE279" s="82">
        <f t="shared" si="97"/>
        <v>5</v>
      </c>
      <c r="AF279" s="377">
        <v>0</v>
      </c>
      <c r="AG279" s="377">
        <v>0</v>
      </c>
      <c r="AH279" s="247">
        <f t="shared" si="102"/>
        <v>0</v>
      </c>
      <c r="AI279" s="247">
        <f t="shared" si="116"/>
        <v>100</v>
      </c>
      <c r="AJ279" s="82">
        <f t="shared" si="117"/>
        <v>3</v>
      </c>
      <c r="AK279" s="367" t="s">
        <v>2902</v>
      </c>
      <c r="AL279" s="367" t="s">
        <v>2902</v>
      </c>
      <c r="AM279" s="367" t="s">
        <v>2902</v>
      </c>
      <c r="AN279" s="367" t="s">
        <v>2902</v>
      </c>
      <c r="AO279" s="367" t="s">
        <v>2902</v>
      </c>
      <c r="AP279" s="296" t="s">
        <v>2326</v>
      </c>
      <c r="AQ279" s="296" t="s">
        <v>2326</v>
      </c>
      <c r="AR279" s="297"/>
      <c r="AS279" s="367" t="s">
        <v>2902</v>
      </c>
      <c r="AT279" s="367" t="s">
        <v>2902</v>
      </c>
      <c r="AU279" s="296" t="s">
        <v>2326</v>
      </c>
      <c r="AV279" s="297"/>
      <c r="AW279" s="325">
        <v>1</v>
      </c>
      <c r="AX279" s="247">
        <f t="shared" si="103"/>
        <v>100</v>
      </c>
      <c r="AY279" s="90">
        <f t="shared" si="104"/>
        <v>4</v>
      </c>
      <c r="AZ279" s="378">
        <v>0</v>
      </c>
      <c r="BA279" s="449" t="s">
        <v>3782</v>
      </c>
      <c r="BB279" s="247">
        <f t="shared" si="105"/>
        <v>100</v>
      </c>
      <c r="BC279" s="91">
        <f t="shared" si="106"/>
        <v>2</v>
      </c>
      <c r="BD279" s="325">
        <v>0</v>
      </c>
      <c r="BE279" s="325">
        <v>0</v>
      </c>
      <c r="BF279" s="325">
        <v>0</v>
      </c>
      <c r="BG279" s="252">
        <f t="shared" si="107"/>
        <v>0</v>
      </c>
      <c r="BH279" s="246">
        <f t="shared" si="108"/>
        <v>100</v>
      </c>
      <c r="BI279" s="90">
        <f t="shared" si="109"/>
        <v>1</v>
      </c>
      <c r="BJ279" s="325">
        <v>0</v>
      </c>
      <c r="BK279" s="247">
        <f t="shared" si="110"/>
        <v>100</v>
      </c>
      <c r="BL279" s="94">
        <f t="shared" si="111"/>
        <v>2</v>
      </c>
      <c r="BM279" s="325">
        <v>0</v>
      </c>
      <c r="BN279" s="325">
        <v>0</v>
      </c>
      <c r="BO279" s="325">
        <v>1</v>
      </c>
      <c r="BP279" s="211">
        <f t="shared" si="112"/>
        <v>1</v>
      </c>
      <c r="BQ279" s="253">
        <f t="shared" si="113"/>
        <v>50</v>
      </c>
      <c r="BR279" s="99">
        <f t="shared" si="114"/>
        <v>0.5</v>
      </c>
      <c r="BS279" s="101">
        <f t="shared" si="115"/>
        <v>19.5</v>
      </c>
    </row>
    <row r="280" spans="1:71" x14ac:dyDescent="0.6">
      <c r="A280" s="373" t="s">
        <v>1916</v>
      </c>
      <c r="B280" s="1" t="s">
        <v>3193</v>
      </c>
      <c r="C280" s="380" t="s">
        <v>1917</v>
      </c>
      <c r="D280" s="315" t="s">
        <v>203</v>
      </c>
      <c r="E280" s="352" t="s">
        <v>195</v>
      </c>
      <c r="F280" s="352" t="s">
        <v>1918</v>
      </c>
      <c r="G280" s="353">
        <v>32825</v>
      </c>
      <c r="H280" s="352" t="s">
        <v>830</v>
      </c>
      <c r="I280" s="352" t="s">
        <v>1919</v>
      </c>
      <c r="J280" s="352" t="s">
        <v>1920</v>
      </c>
      <c r="K280" s="352" t="s">
        <v>50</v>
      </c>
      <c r="L280" s="381">
        <v>549828404</v>
      </c>
      <c r="M280" s="376">
        <v>348575829</v>
      </c>
      <c r="N280" s="376">
        <v>201252575</v>
      </c>
      <c r="O280" s="376">
        <v>795939631</v>
      </c>
      <c r="P280" s="376">
        <v>30699585</v>
      </c>
      <c r="Q280" s="376">
        <v>32334911</v>
      </c>
      <c r="R280" s="376">
        <v>40221401</v>
      </c>
      <c r="S280" s="325">
        <v>0</v>
      </c>
      <c r="T280" s="246">
        <f t="shared" si="98"/>
        <v>100</v>
      </c>
      <c r="U280" s="77">
        <f t="shared" si="99"/>
        <v>2</v>
      </c>
      <c r="V280" s="377">
        <v>0</v>
      </c>
      <c r="W280" s="377">
        <v>0</v>
      </c>
      <c r="X280" s="377">
        <v>0</v>
      </c>
      <c r="Y280" s="377">
        <v>0</v>
      </c>
      <c r="Z280" s="377">
        <v>0</v>
      </c>
      <c r="AA280" s="377">
        <v>0</v>
      </c>
      <c r="AB280" s="377">
        <v>0</v>
      </c>
      <c r="AC280" s="247">
        <f t="shared" si="100"/>
        <v>0</v>
      </c>
      <c r="AD280" s="247">
        <f t="shared" si="101"/>
        <v>100</v>
      </c>
      <c r="AE280" s="82">
        <f t="shared" si="97"/>
        <v>5</v>
      </c>
      <c r="AF280" s="377">
        <v>0</v>
      </c>
      <c r="AG280" s="377">
        <v>0</v>
      </c>
      <c r="AH280" s="247">
        <f t="shared" si="102"/>
        <v>0</v>
      </c>
      <c r="AI280" s="247">
        <f t="shared" si="116"/>
        <v>100</v>
      </c>
      <c r="AJ280" s="82">
        <f t="shared" si="117"/>
        <v>3</v>
      </c>
      <c r="AK280" s="367" t="s">
        <v>2902</v>
      </c>
      <c r="AL280" s="367" t="s">
        <v>2902</v>
      </c>
      <c r="AM280" s="367" t="s">
        <v>2902</v>
      </c>
      <c r="AN280" s="367" t="s">
        <v>2902</v>
      </c>
      <c r="AO280" s="367" t="s">
        <v>2902</v>
      </c>
      <c r="AP280" s="296" t="s">
        <v>2326</v>
      </c>
      <c r="AQ280" s="296" t="s">
        <v>2326</v>
      </c>
      <c r="AR280" s="297"/>
      <c r="AS280" s="367" t="s">
        <v>2902</v>
      </c>
      <c r="AT280" s="367" t="s">
        <v>2902</v>
      </c>
      <c r="AU280" s="296" t="s">
        <v>2326</v>
      </c>
      <c r="AV280" s="297"/>
      <c r="AW280" s="325">
        <v>1</v>
      </c>
      <c r="AX280" s="247">
        <f t="shared" si="103"/>
        <v>100</v>
      </c>
      <c r="AY280" s="90">
        <f t="shared" si="104"/>
        <v>4</v>
      </c>
      <c r="AZ280" s="378">
        <v>0</v>
      </c>
      <c r="BA280" s="449" t="s">
        <v>3782</v>
      </c>
      <c r="BB280" s="247">
        <f t="shared" si="105"/>
        <v>100</v>
      </c>
      <c r="BC280" s="91">
        <f t="shared" si="106"/>
        <v>2</v>
      </c>
      <c r="BD280" s="325">
        <v>0</v>
      </c>
      <c r="BE280" s="325">
        <v>0</v>
      </c>
      <c r="BF280" s="325">
        <v>0</v>
      </c>
      <c r="BG280" s="252">
        <f t="shared" si="107"/>
        <v>0</v>
      </c>
      <c r="BH280" s="246">
        <f t="shared" si="108"/>
        <v>100</v>
      </c>
      <c r="BI280" s="90">
        <f t="shared" si="109"/>
        <v>1</v>
      </c>
      <c r="BJ280" s="325">
        <v>0</v>
      </c>
      <c r="BK280" s="247">
        <f t="shared" si="110"/>
        <v>100</v>
      </c>
      <c r="BL280" s="94">
        <f t="shared" si="111"/>
        <v>2</v>
      </c>
      <c r="BM280" s="325">
        <v>0</v>
      </c>
      <c r="BN280" s="325">
        <v>0</v>
      </c>
      <c r="BO280" s="325">
        <v>1</v>
      </c>
      <c r="BP280" s="211">
        <f t="shared" si="112"/>
        <v>1</v>
      </c>
      <c r="BQ280" s="253">
        <f t="shared" si="113"/>
        <v>50</v>
      </c>
      <c r="BR280" s="99">
        <f t="shared" si="114"/>
        <v>0.5</v>
      </c>
      <c r="BS280" s="101">
        <f t="shared" si="115"/>
        <v>19.5</v>
      </c>
    </row>
    <row r="281" spans="1:71" x14ac:dyDescent="0.6">
      <c r="A281" s="373" t="s">
        <v>794</v>
      </c>
      <c r="B281" s="1" t="s">
        <v>3194</v>
      </c>
      <c r="C281" s="380" t="s">
        <v>516</v>
      </c>
      <c r="D281" s="351" t="s">
        <v>191</v>
      </c>
      <c r="E281" s="352" t="s">
        <v>34</v>
      </c>
      <c r="F281" s="352" t="s">
        <v>642</v>
      </c>
      <c r="G281" s="353">
        <v>27941</v>
      </c>
      <c r="H281" s="352" t="s">
        <v>830</v>
      </c>
      <c r="I281" s="352" t="s">
        <v>284</v>
      </c>
      <c r="J281" s="352" t="s">
        <v>1146</v>
      </c>
      <c r="K281" s="352" t="s">
        <v>91</v>
      </c>
      <c r="L281" s="381">
        <v>888665301</v>
      </c>
      <c r="M281" s="376">
        <v>485651737</v>
      </c>
      <c r="N281" s="376">
        <v>403013565</v>
      </c>
      <c r="O281" s="376">
        <v>536574431</v>
      </c>
      <c r="P281" s="376">
        <v>29103159</v>
      </c>
      <c r="Q281" s="376">
        <v>20616127</v>
      </c>
      <c r="R281" s="376">
        <v>17834953</v>
      </c>
      <c r="S281" s="325">
        <v>0</v>
      </c>
      <c r="T281" s="246">
        <f t="shared" si="98"/>
        <v>100</v>
      </c>
      <c r="U281" s="77">
        <f t="shared" si="99"/>
        <v>2</v>
      </c>
      <c r="V281" s="377">
        <v>0</v>
      </c>
      <c r="W281" s="377">
        <v>0</v>
      </c>
      <c r="X281" s="377">
        <v>0</v>
      </c>
      <c r="Y281" s="377">
        <v>0</v>
      </c>
      <c r="Z281" s="377">
        <v>0</v>
      </c>
      <c r="AA281" s="377">
        <v>0</v>
      </c>
      <c r="AB281" s="377">
        <v>0</v>
      </c>
      <c r="AC281" s="247">
        <f t="shared" si="100"/>
        <v>0</v>
      </c>
      <c r="AD281" s="247">
        <f t="shared" si="101"/>
        <v>100</v>
      </c>
      <c r="AE281" s="82">
        <f t="shared" si="97"/>
        <v>5</v>
      </c>
      <c r="AF281" s="377">
        <v>0</v>
      </c>
      <c r="AG281" s="377">
        <v>0</v>
      </c>
      <c r="AH281" s="247">
        <f t="shared" si="102"/>
        <v>0</v>
      </c>
      <c r="AI281" s="247">
        <f t="shared" si="116"/>
        <v>100</v>
      </c>
      <c r="AJ281" s="82">
        <f t="shared" si="117"/>
        <v>3</v>
      </c>
      <c r="AK281" s="367" t="s">
        <v>2902</v>
      </c>
      <c r="AL281" s="367" t="s">
        <v>2902</v>
      </c>
      <c r="AM281" s="367" t="s">
        <v>2902</v>
      </c>
      <c r="AN281" s="367" t="s">
        <v>2902</v>
      </c>
      <c r="AO281" s="367" t="s">
        <v>2902</v>
      </c>
      <c r="AP281" s="296" t="s">
        <v>2326</v>
      </c>
      <c r="AQ281" s="296" t="s">
        <v>2326</v>
      </c>
      <c r="AR281" s="297"/>
      <c r="AS281" s="367" t="s">
        <v>2902</v>
      </c>
      <c r="AT281" s="367" t="s">
        <v>2902</v>
      </c>
      <c r="AU281" s="296" t="s">
        <v>2326</v>
      </c>
      <c r="AV281" s="297"/>
      <c r="AW281" s="325">
        <v>1</v>
      </c>
      <c r="AX281" s="247">
        <f t="shared" si="103"/>
        <v>100</v>
      </c>
      <c r="AY281" s="90">
        <f t="shared" si="104"/>
        <v>4</v>
      </c>
      <c r="AZ281" s="378">
        <v>0</v>
      </c>
      <c r="BA281" s="449" t="s">
        <v>3782</v>
      </c>
      <c r="BB281" s="247">
        <f t="shared" si="105"/>
        <v>100</v>
      </c>
      <c r="BC281" s="91">
        <f t="shared" si="106"/>
        <v>2</v>
      </c>
      <c r="BD281" s="325">
        <v>0</v>
      </c>
      <c r="BE281" s="325">
        <v>0</v>
      </c>
      <c r="BF281" s="325">
        <v>0</v>
      </c>
      <c r="BG281" s="252">
        <f t="shared" si="107"/>
        <v>0</v>
      </c>
      <c r="BH281" s="246">
        <f t="shared" si="108"/>
        <v>100</v>
      </c>
      <c r="BI281" s="90">
        <f t="shared" si="109"/>
        <v>1</v>
      </c>
      <c r="BJ281" s="325">
        <v>0</v>
      </c>
      <c r="BK281" s="247">
        <f t="shared" si="110"/>
        <v>100</v>
      </c>
      <c r="BL281" s="94">
        <f t="shared" si="111"/>
        <v>2</v>
      </c>
      <c r="BM281" s="325">
        <v>0</v>
      </c>
      <c r="BN281" s="325">
        <v>0</v>
      </c>
      <c r="BO281" s="325">
        <v>1</v>
      </c>
      <c r="BP281" s="211">
        <f t="shared" si="112"/>
        <v>1</v>
      </c>
      <c r="BQ281" s="253">
        <f t="shared" si="113"/>
        <v>50</v>
      </c>
      <c r="BR281" s="99">
        <f t="shared" si="114"/>
        <v>0.5</v>
      </c>
      <c r="BS281" s="101">
        <f t="shared" si="115"/>
        <v>19.5</v>
      </c>
    </row>
    <row r="282" spans="1:71" x14ac:dyDescent="0.6">
      <c r="A282" s="373" t="s">
        <v>43</v>
      </c>
      <c r="B282" s="13" t="s">
        <v>3195</v>
      </c>
      <c r="C282" s="380" t="s">
        <v>298</v>
      </c>
      <c r="D282" s="351" t="s">
        <v>285</v>
      </c>
      <c r="E282" s="352" t="s">
        <v>1167</v>
      </c>
      <c r="F282" s="352" t="s">
        <v>385</v>
      </c>
      <c r="G282" s="353">
        <v>39987</v>
      </c>
      <c r="H282" s="352" t="s">
        <v>830</v>
      </c>
      <c r="I282" s="352" t="s">
        <v>274</v>
      </c>
      <c r="J282" s="352" t="s">
        <v>1244</v>
      </c>
      <c r="K282" s="352" t="s">
        <v>91</v>
      </c>
      <c r="L282" s="381">
        <v>217613616</v>
      </c>
      <c r="M282" s="376">
        <v>69409850</v>
      </c>
      <c r="N282" s="376">
        <v>148203766</v>
      </c>
      <c r="O282" s="376">
        <v>174397667</v>
      </c>
      <c r="P282" s="376">
        <v>12289879</v>
      </c>
      <c r="Q282" s="376">
        <v>16933913</v>
      </c>
      <c r="R282" s="376">
        <v>14379092</v>
      </c>
      <c r="S282" s="325">
        <v>0</v>
      </c>
      <c r="T282" s="246">
        <f t="shared" si="98"/>
        <v>100</v>
      </c>
      <c r="U282" s="77">
        <f t="shared" si="99"/>
        <v>2</v>
      </c>
      <c r="V282" s="377">
        <v>0</v>
      </c>
      <c r="W282" s="377">
        <v>0</v>
      </c>
      <c r="X282" s="377">
        <v>0</v>
      </c>
      <c r="Y282" s="377">
        <v>0</v>
      </c>
      <c r="Z282" s="377">
        <v>0</v>
      </c>
      <c r="AA282" s="377">
        <v>0</v>
      </c>
      <c r="AB282" s="377">
        <v>0</v>
      </c>
      <c r="AC282" s="247">
        <f t="shared" si="100"/>
        <v>0</v>
      </c>
      <c r="AD282" s="247">
        <f t="shared" si="101"/>
        <v>100</v>
      </c>
      <c r="AE282" s="82">
        <f t="shared" si="97"/>
        <v>5</v>
      </c>
      <c r="AF282" s="377">
        <v>0</v>
      </c>
      <c r="AG282" s="377">
        <v>0</v>
      </c>
      <c r="AH282" s="247">
        <f t="shared" si="102"/>
        <v>0</v>
      </c>
      <c r="AI282" s="247">
        <f t="shared" si="116"/>
        <v>100</v>
      </c>
      <c r="AJ282" s="82">
        <f t="shared" si="117"/>
        <v>3</v>
      </c>
      <c r="AK282" s="367" t="s">
        <v>2902</v>
      </c>
      <c r="AL282" s="367" t="s">
        <v>2902</v>
      </c>
      <c r="AM282" s="367" t="s">
        <v>2902</v>
      </c>
      <c r="AN282" s="367" t="s">
        <v>2902</v>
      </c>
      <c r="AO282" s="367" t="s">
        <v>2902</v>
      </c>
      <c r="AP282" s="296" t="s">
        <v>2326</v>
      </c>
      <c r="AQ282" s="296" t="s">
        <v>2326</v>
      </c>
      <c r="AR282" s="297"/>
      <c r="AS282" s="367" t="s">
        <v>2902</v>
      </c>
      <c r="AT282" s="367" t="s">
        <v>2902</v>
      </c>
      <c r="AU282" s="296" t="s">
        <v>2326</v>
      </c>
      <c r="AV282" s="297"/>
      <c r="AW282" s="325">
        <v>0</v>
      </c>
      <c r="AX282" s="247">
        <f t="shared" si="103"/>
        <v>50</v>
      </c>
      <c r="AY282" s="90">
        <f t="shared" si="104"/>
        <v>2</v>
      </c>
      <c r="AZ282" s="378">
        <v>0</v>
      </c>
      <c r="BA282" s="449" t="s">
        <v>3782</v>
      </c>
      <c r="BB282" s="247">
        <f t="shared" si="105"/>
        <v>100</v>
      </c>
      <c r="BC282" s="91">
        <f t="shared" si="106"/>
        <v>2</v>
      </c>
      <c r="BD282" s="325">
        <v>0</v>
      </c>
      <c r="BE282" s="325">
        <v>0</v>
      </c>
      <c r="BF282" s="325">
        <v>0</v>
      </c>
      <c r="BG282" s="252">
        <f t="shared" si="107"/>
        <v>0</v>
      </c>
      <c r="BH282" s="246">
        <f t="shared" si="108"/>
        <v>100</v>
      </c>
      <c r="BI282" s="90">
        <f t="shared" si="109"/>
        <v>1</v>
      </c>
      <c r="BJ282" s="325">
        <v>0</v>
      </c>
      <c r="BK282" s="247">
        <f t="shared" si="110"/>
        <v>100</v>
      </c>
      <c r="BL282" s="94">
        <f t="shared" si="111"/>
        <v>2</v>
      </c>
      <c r="BM282" s="325">
        <v>0</v>
      </c>
      <c r="BN282" s="325">
        <v>0</v>
      </c>
      <c r="BO282" s="325">
        <v>1</v>
      </c>
      <c r="BP282" s="211">
        <f t="shared" si="112"/>
        <v>1</v>
      </c>
      <c r="BQ282" s="253">
        <f t="shared" si="113"/>
        <v>50</v>
      </c>
      <c r="BR282" s="99">
        <f t="shared" si="114"/>
        <v>0.5</v>
      </c>
      <c r="BS282" s="101">
        <f t="shared" si="115"/>
        <v>17.5</v>
      </c>
    </row>
    <row r="283" spans="1:71" x14ac:dyDescent="0.6">
      <c r="A283" s="373" t="s">
        <v>935</v>
      </c>
      <c r="B283" s="1" t="s">
        <v>3196</v>
      </c>
      <c r="C283" s="380" t="s">
        <v>463</v>
      </c>
      <c r="D283" s="351" t="s">
        <v>202</v>
      </c>
      <c r="E283" s="352" t="s">
        <v>572</v>
      </c>
      <c r="F283" s="352" t="s">
        <v>660</v>
      </c>
      <c r="G283" s="353">
        <v>38555</v>
      </c>
      <c r="H283" s="352" t="s">
        <v>830</v>
      </c>
      <c r="I283" s="352" t="s">
        <v>764</v>
      </c>
      <c r="J283" s="352" t="s">
        <v>1224</v>
      </c>
      <c r="K283" s="352" t="s">
        <v>346</v>
      </c>
      <c r="L283" s="381">
        <v>441490503</v>
      </c>
      <c r="M283" s="376">
        <v>66273961</v>
      </c>
      <c r="N283" s="376">
        <v>375216542</v>
      </c>
      <c r="O283" s="376">
        <v>323948862</v>
      </c>
      <c r="P283" s="376">
        <v>109531252</v>
      </c>
      <c r="Q283" s="376">
        <v>126178452</v>
      </c>
      <c r="R283" s="376">
        <v>91469843</v>
      </c>
      <c r="S283" s="325">
        <v>0</v>
      </c>
      <c r="T283" s="246">
        <f t="shared" si="98"/>
        <v>100</v>
      </c>
      <c r="U283" s="77">
        <f t="shared" si="99"/>
        <v>2</v>
      </c>
      <c r="V283" s="377">
        <v>0</v>
      </c>
      <c r="W283" s="377">
        <v>0</v>
      </c>
      <c r="X283" s="377">
        <v>0</v>
      </c>
      <c r="Y283" s="377">
        <v>0</v>
      </c>
      <c r="Z283" s="377">
        <v>0</v>
      </c>
      <c r="AA283" s="377">
        <v>0</v>
      </c>
      <c r="AB283" s="377">
        <v>0</v>
      </c>
      <c r="AC283" s="247">
        <f t="shared" si="100"/>
        <v>0</v>
      </c>
      <c r="AD283" s="247">
        <f t="shared" si="101"/>
        <v>100</v>
      </c>
      <c r="AE283" s="82">
        <f t="shared" si="97"/>
        <v>5</v>
      </c>
      <c r="AF283" s="377">
        <v>0</v>
      </c>
      <c r="AG283" s="377">
        <v>0</v>
      </c>
      <c r="AH283" s="247">
        <f t="shared" si="102"/>
        <v>0</v>
      </c>
      <c r="AI283" s="247">
        <f t="shared" si="116"/>
        <v>100</v>
      </c>
      <c r="AJ283" s="82">
        <f t="shared" si="117"/>
        <v>3</v>
      </c>
      <c r="AK283" s="367" t="s">
        <v>2902</v>
      </c>
      <c r="AL283" s="367" t="s">
        <v>2902</v>
      </c>
      <c r="AM283" s="367" t="s">
        <v>2902</v>
      </c>
      <c r="AN283" s="367" t="s">
        <v>2902</v>
      </c>
      <c r="AO283" s="367" t="s">
        <v>2902</v>
      </c>
      <c r="AP283" s="296" t="s">
        <v>2326</v>
      </c>
      <c r="AQ283" s="296" t="s">
        <v>2326</v>
      </c>
      <c r="AR283" s="297"/>
      <c r="AS283" s="367" t="s">
        <v>2902</v>
      </c>
      <c r="AT283" s="367" t="s">
        <v>2902</v>
      </c>
      <c r="AU283" s="296" t="s">
        <v>2326</v>
      </c>
      <c r="AV283" s="297"/>
      <c r="AW283" s="325">
        <v>1</v>
      </c>
      <c r="AX283" s="247">
        <f t="shared" si="103"/>
        <v>100</v>
      </c>
      <c r="AY283" s="90">
        <f t="shared" si="104"/>
        <v>4</v>
      </c>
      <c r="AZ283" s="378">
        <v>0</v>
      </c>
      <c r="BA283" s="449" t="s">
        <v>3782</v>
      </c>
      <c r="BB283" s="247">
        <f t="shared" si="105"/>
        <v>100</v>
      </c>
      <c r="BC283" s="91">
        <f t="shared" si="106"/>
        <v>2</v>
      </c>
      <c r="BD283" s="325">
        <v>0</v>
      </c>
      <c r="BE283" s="325">
        <v>0</v>
      </c>
      <c r="BF283" s="325">
        <v>0</v>
      </c>
      <c r="BG283" s="252">
        <f t="shared" si="107"/>
        <v>0</v>
      </c>
      <c r="BH283" s="246">
        <f t="shared" si="108"/>
        <v>100</v>
      </c>
      <c r="BI283" s="90">
        <f t="shared" si="109"/>
        <v>1</v>
      </c>
      <c r="BJ283" s="325">
        <v>0</v>
      </c>
      <c r="BK283" s="247">
        <f t="shared" si="110"/>
        <v>100</v>
      </c>
      <c r="BL283" s="94">
        <f t="shared" si="111"/>
        <v>2</v>
      </c>
      <c r="BM283" s="325">
        <v>0</v>
      </c>
      <c r="BN283" s="325">
        <v>0</v>
      </c>
      <c r="BO283" s="325">
        <v>0</v>
      </c>
      <c r="BP283" s="211">
        <f t="shared" si="112"/>
        <v>0</v>
      </c>
      <c r="BQ283" s="253">
        <f t="shared" si="113"/>
        <v>25</v>
      </c>
      <c r="BR283" s="99">
        <f t="shared" si="114"/>
        <v>0.25</v>
      </c>
      <c r="BS283" s="101">
        <f t="shared" si="115"/>
        <v>19.25</v>
      </c>
    </row>
    <row r="284" spans="1:71" x14ac:dyDescent="0.6">
      <c r="A284" s="373" t="s">
        <v>462</v>
      </c>
      <c r="B284" s="13" t="s">
        <v>3197</v>
      </c>
      <c r="C284" s="380" t="s">
        <v>893</v>
      </c>
      <c r="D284" s="351" t="s">
        <v>191</v>
      </c>
      <c r="E284" s="352" t="s">
        <v>34</v>
      </c>
      <c r="F284" s="352" t="s">
        <v>818</v>
      </c>
      <c r="G284" s="353">
        <v>40389</v>
      </c>
      <c r="H284" s="352" t="s">
        <v>830</v>
      </c>
      <c r="I284" s="352" t="s">
        <v>1921</v>
      </c>
      <c r="J284" s="1" t="s">
        <v>3198</v>
      </c>
      <c r="K284" s="352" t="s">
        <v>690</v>
      </c>
      <c r="L284" s="381">
        <v>1399293783</v>
      </c>
      <c r="M284" s="376">
        <v>813470761</v>
      </c>
      <c r="N284" s="376">
        <v>585823022</v>
      </c>
      <c r="O284" s="376">
        <v>982048866</v>
      </c>
      <c r="P284" s="376">
        <v>79110747</v>
      </c>
      <c r="Q284" s="376">
        <v>59432696</v>
      </c>
      <c r="R284" s="376">
        <v>50327230</v>
      </c>
      <c r="S284" s="325">
        <v>0</v>
      </c>
      <c r="T284" s="246">
        <f t="shared" si="98"/>
        <v>100</v>
      </c>
      <c r="U284" s="77">
        <f t="shared" si="99"/>
        <v>2</v>
      </c>
      <c r="V284" s="377">
        <v>0</v>
      </c>
      <c r="W284" s="377">
        <v>0</v>
      </c>
      <c r="X284" s="377">
        <v>0</v>
      </c>
      <c r="Y284" s="377">
        <v>0</v>
      </c>
      <c r="Z284" s="377">
        <v>0</v>
      </c>
      <c r="AA284" s="377">
        <v>0</v>
      </c>
      <c r="AB284" s="377">
        <v>0</v>
      </c>
      <c r="AC284" s="247">
        <f t="shared" si="100"/>
        <v>0</v>
      </c>
      <c r="AD284" s="247">
        <f t="shared" si="101"/>
        <v>100</v>
      </c>
      <c r="AE284" s="82">
        <f t="shared" si="97"/>
        <v>5</v>
      </c>
      <c r="AF284" s="377">
        <v>0</v>
      </c>
      <c r="AG284" s="377">
        <v>0</v>
      </c>
      <c r="AH284" s="247">
        <f t="shared" si="102"/>
        <v>0</v>
      </c>
      <c r="AI284" s="247">
        <f t="shared" si="116"/>
        <v>100</v>
      </c>
      <c r="AJ284" s="82">
        <f t="shared" si="117"/>
        <v>3</v>
      </c>
      <c r="AK284" s="367" t="s">
        <v>2902</v>
      </c>
      <c r="AL284" s="367" t="s">
        <v>2902</v>
      </c>
      <c r="AM284" s="367" t="s">
        <v>2902</v>
      </c>
      <c r="AN284" s="367" t="s">
        <v>2902</v>
      </c>
      <c r="AO284" s="367" t="s">
        <v>2902</v>
      </c>
      <c r="AP284" s="296" t="s">
        <v>2326</v>
      </c>
      <c r="AQ284" s="296" t="s">
        <v>2326</v>
      </c>
      <c r="AR284" s="297"/>
      <c r="AS284" s="367" t="s">
        <v>2902</v>
      </c>
      <c r="AT284" s="367" t="s">
        <v>2902</v>
      </c>
      <c r="AU284" s="296" t="s">
        <v>2326</v>
      </c>
      <c r="AV284" s="297"/>
      <c r="AW284" s="325">
        <v>1</v>
      </c>
      <c r="AX284" s="247">
        <f t="shared" si="103"/>
        <v>100</v>
      </c>
      <c r="AY284" s="90">
        <f t="shared" si="104"/>
        <v>4</v>
      </c>
      <c r="AZ284" s="378">
        <v>0</v>
      </c>
      <c r="BA284" s="449" t="s">
        <v>3782</v>
      </c>
      <c r="BB284" s="247">
        <f t="shared" si="105"/>
        <v>100</v>
      </c>
      <c r="BC284" s="91">
        <f t="shared" si="106"/>
        <v>2</v>
      </c>
      <c r="BD284" s="325">
        <v>0</v>
      </c>
      <c r="BE284" s="325">
        <v>0</v>
      </c>
      <c r="BF284" s="325">
        <v>0</v>
      </c>
      <c r="BG284" s="252">
        <f t="shared" si="107"/>
        <v>0</v>
      </c>
      <c r="BH284" s="246">
        <f t="shared" si="108"/>
        <v>100</v>
      </c>
      <c r="BI284" s="90">
        <f t="shared" si="109"/>
        <v>1</v>
      </c>
      <c r="BJ284" s="325">
        <v>0</v>
      </c>
      <c r="BK284" s="247">
        <f t="shared" si="110"/>
        <v>100</v>
      </c>
      <c r="BL284" s="94">
        <f t="shared" si="111"/>
        <v>2</v>
      </c>
      <c r="BM284" s="325">
        <v>0</v>
      </c>
      <c r="BN284" s="325">
        <v>0</v>
      </c>
      <c r="BO284" s="325">
        <v>1</v>
      </c>
      <c r="BP284" s="211">
        <f t="shared" si="112"/>
        <v>1</v>
      </c>
      <c r="BQ284" s="253">
        <f t="shared" si="113"/>
        <v>50</v>
      </c>
      <c r="BR284" s="99">
        <f t="shared" si="114"/>
        <v>0.5</v>
      </c>
      <c r="BS284" s="101">
        <f t="shared" si="115"/>
        <v>19.5</v>
      </c>
    </row>
    <row r="285" spans="1:71" x14ac:dyDescent="0.6">
      <c r="A285" s="373" t="s">
        <v>1922</v>
      </c>
      <c r="B285" s="1" t="s">
        <v>3199</v>
      </c>
      <c r="C285" s="380" t="s">
        <v>882</v>
      </c>
      <c r="D285" s="351" t="s">
        <v>191</v>
      </c>
      <c r="E285" s="352" t="s">
        <v>190</v>
      </c>
      <c r="F285" s="352" t="s">
        <v>677</v>
      </c>
      <c r="G285" s="353">
        <v>35249</v>
      </c>
      <c r="H285" s="352" t="s">
        <v>830</v>
      </c>
      <c r="I285" s="352" t="s">
        <v>835</v>
      </c>
      <c r="J285" s="352" t="s">
        <v>1208</v>
      </c>
      <c r="K285" s="352" t="s">
        <v>91</v>
      </c>
      <c r="L285" s="381">
        <v>1687627808</v>
      </c>
      <c r="M285" s="376">
        <v>342539051</v>
      </c>
      <c r="N285" s="376">
        <v>1345088757</v>
      </c>
      <c r="O285" s="376">
        <v>1537082442</v>
      </c>
      <c r="P285" s="376">
        <v>174260144</v>
      </c>
      <c r="Q285" s="376">
        <v>166140393</v>
      </c>
      <c r="R285" s="376">
        <v>125065962</v>
      </c>
      <c r="S285" s="325">
        <v>0</v>
      </c>
      <c r="T285" s="246">
        <f t="shared" si="98"/>
        <v>100</v>
      </c>
      <c r="U285" s="77">
        <f t="shared" si="99"/>
        <v>2</v>
      </c>
      <c r="V285" s="377">
        <v>0</v>
      </c>
      <c r="W285" s="377">
        <v>0</v>
      </c>
      <c r="X285" s="377">
        <v>0</v>
      </c>
      <c r="Y285" s="377">
        <v>0</v>
      </c>
      <c r="Z285" s="377">
        <v>0</v>
      </c>
      <c r="AA285" s="377">
        <v>0</v>
      </c>
      <c r="AB285" s="377">
        <v>0</v>
      </c>
      <c r="AC285" s="247">
        <f t="shared" si="100"/>
        <v>0</v>
      </c>
      <c r="AD285" s="247">
        <f t="shared" si="101"/>
        <v>100</v>
      </c>
      <c r="AE285" s="82">
        <f t="shared" si="97"/>
        <v>5</v>
      </c>
      <c r="AF285" s="377">
        <v>0</v>
      </c>
      <c r="AG285" s="377">
        <v>0</v>
      </c>
      <c r="AH285" s="247">
        <f t="shared" si="102"/>
        <v>0</v>
      </c>
      <c r="AI285" s="247">
        <f t="shared" si="116"/>
        <v>100</v>
      </c>
      <c r="AJ285" s="82">
        <f t="shared" si="117"/>
        <v>3</v>
      </c>
      <c r="AK285" s="367" t="s">
        <v>2902</v>
      </c>
      <c r="AL285" s="367" t="s">
        <v>2902</v>
      </c>
      <c r="AM285" s="367" t="s">
        <v>2902</v>
      </c>
      <c r="AN285" s="367" t="s">
        <v>2902</v>
      </c>
      <c r="AO285" s="367" t="s">
        <v>2902</v>
      </c>
      <c r="AP285" s="296" t="s">
        <v>2326</v>
      </c>
      <c r="AQ285" s="296" t="s">
        <v>2326</v>
      </c>
      <c r="AR285" s="297"/>
      <c r="AS285" s="367" t="s">
        <v>2902</v>
      </c>
      <c r="AT285" s="367" t="s">
        <v>2902</v>
      </c>
      <c r="AU285" s="296" t="s">
        <v>2326</v>
      </c>
      <c r="AV285" s="297"/>
      <c r="AW285" s="325">
        <v>1</v>
      </c>
      <c r="AX285" s="247">
        <f t="shared" si="103"/>
        <v>100</v>
      </c>
      <c r="AY285" s="90">
        <f t="shared" si="104"/>
        <v>4</v>
      </c>
      <c r="AZ285" s="378">
        <v>0</v>
      </c>
      <c r="BA285" s="449" t="s">
        <v>3782</v>
      </c>
      <c r="BB285" s="247">
        <f t="shared" si="105"/>
        <v>100</v>
      </c>
      <c r="BC285" s="91">
        <f t="shared" si="106"/>
        <v>2</v>
      </c>
      <c r="BD285" s="325">
        <v>0</v>
      </c>
      <c r="BE285" s="325">
        <v>0</v>
      </c>
      <c r="BF285" s="325">
        <v>0</v>
      </c>
      <c r="BG285" s="252">
        <f t="shared" si="107"/>
        <v>0</v>
      </c>
      <c r="BH285" s="246">
        <f t="shared" si="108"/>
        <v>100</v>
      </c>
      <c r="BI285" s="90">
        <f t="shared" si="109"/>
        <v>1</v>
      </c>
      <c r="BJ285" s="325">
        <v>1</v>
      </c>
      <c r="BK285" s="247">
        <f t="shared" si="110"/>
        <v>50</v>
      </c>
      <c r="BL285" s="94">
        <f t="shared" si="111"/>
        <v>1</v>
      </c>
      <c r="BM285" s="325">
        <v>0</v>
      </c>
      <c r="BN285" s="325">
        <v>0</v>
      </c>
      <c r="BO285" s="325">
        <v>1</v>
      </c>
      <c r="BP285" s="211">
        <f t="shared" si="112"/>
        <v>1</v>
      </c>
      <c r="BQ285" s="253">
        <f t="shared" si="113"/>
        <v>50</v>
      </c>
      <c r="BR285" s="99">
        <f t="shared" si="114"/>
        <v>0.5</v>
      </c>
      <c r="BS285" s="101">
        <f t="shared" si="115"/>
        <v>18.5</v>
      </c>
    </row>
    <row r="286" spans="1:71" x14ac:dyDescent="0.6">
      <c r="A286" s="373" t="s">
        <v>904</v>
      </c>
      <c r="B286" s="13" t="s">
        <v>3200</v>
      </c>
      <c r="C286" s="380" t="s">
        <v>494</v>
      </c>
      <c r="D286" s="351" t="s">
        <v>191</v>
      </c>
      <c r="E286" s="352" t="s">
        <v>190</v>
      </c>
      <c r="F286" s="352" t="s">
        <v>920</v>
      </c>
      <c r="G286" s="353">
        <v>39892</v>
      </c>
      <c r="H286" s="352" t="s">
        <v>830</v>
      </c>
      <c r="I286" s="352" t="s">
        <v>1923</v>
      </c>
      <c r="J286" s="352" t="s">
        <v>1130</v>
      </c>
      <c r="K286" s="352" t="s">
        <v>91</v>
      </c>
      <c r="L286" s="381">
        <v>1063253032</v>
      </c>
      <c r="M286" s="376">
        <v>502967240</v>
      </c>
      <c r="N286" s="376">
        <v>560285793</v>
      </c>
      <c r="O286" s="376">
        <v>2146018022</v>
      </c>
      <c r="P286" s="376">
        <v>175483550</v>
      </c>
      <c r="Q286" s="376">
        <v>145218477</v>
      </c>
      <c r="R286" s="376">
        <v>104290709</v>
      </c>
      <c r="S286" s="325">
        <v>0</v>
      </c>
      <c r="T286" s="246">
        <f t="shared" si="98"/>
        <v>100</v>
      </c>
      <c r="U286" s="77">
        <f t="shared" si="99"/>
        <v>2</v>
      </c>
      <c r="V286" s="377">
        <v>0</v>
      </c>
      <c r="W286" s="377">
        <v>0</v>
      </c>
      <c r="X286" s="377">
        <v>0</v>
      </c>
      <c r="Y286" s="377">
        <v>0</v>
      </c>
      <c r="Z286" s="377">
        <v>0</v>
      </c>
      <c r="AA286" s="377">
        <v>0</v>
      </c>
      <c r="AB286" s="377">
        <v>0</v>
      </c>
      <c r="AC286" s="247">
        <f t="shared" si="100"/>
        <v>0</v>
      </c>
      <c r="AD286" s="247">
        <f t="shared" si="101"/>
        <v>100</v>
      </c>
      <c r="AE286" s="82">
        <f t="shared" si="97"/>
        <v>5</v>
      </c>
      <c r="AF286" s="377">
        <v>0</v>
      </c>
      <c r="AG286" s="377">
        <v>0</v>
      </c>
      <c r="AH286" s="247">
        <f t="shared" si="102"/>
        <v>0</v>
      </c>
      <c r="AI286" s="247">
        <f t="shared" si="116"/>
        <v>100</v>
      </c>
      <c r="AJ286" s="82">
        <f t="shared" si="117"/>
        <v>3</v>
      </c>
      <c r="AK286" s="367" t="s">
        <v>2902</v>
      </c>
      <c r="AL286" s="367" t="s">
        <v>2902</v>
      </c>
      <c r="AM286" s="367" t="s">
        <v>2902</v>
      </c>
      <c r="AN286" s="367" t="s">
        <v>2902</v>
      </c>
      <c r="AO286" s="367" t="s">
        <v>2902</v>
      </c>
      <c r="AP286" s="296" t="s">
        <v>2326</v>
      </c>
      <c r="AQ286" s="296" t="s">
        <v>2326</v>
      </c>
      <c r="AR286" s="297"/>
      <c r="AS286" s="367" t="s">
        <v>2902</v>
      </c>
      <c r="AT286" s="367" t="s">
        <v>2902</v>
      </c>
      <c r="AU286" s="296" t="s">
        <v>2326</v>
      </c>
      <c r="AV286" s="297"/>
      <c r="AW286" s="325">
        <v>1</v>
      </c>
      <c r="AX286" s="247">
        <f t="shared" si="103"/>
        <v>100</v>
      </c>
      <c r="AY286" s="90">
        <f t="shared" si="104"/>
        <v>4</v>
      </c>
      <c r="AZ286" s="378">
        <v>0</v>
      </c>
      <c r="BA286" s="449" t="s">
        <v>3782</v>
      </c>
      <c r="BB286" s="247">
        <f t="shared" si="105"/>
        <v>100</v>
      </c>
      <c r="BC286" s="91">
        <f t="shared" si="106"/>
        <v>2</v>
      </c>
      <c r="BD286" s="325">
        <v>0</v>
      </c>
      <c r="BE286" s="325">
        <v>0</v>
      </c>
      <c r="BF286" s="325">
        <v>0</v>
      </c>
      <c r="BG286" s="252">
        <f t="shared" si="107"/>
        <v>0</v>
      </c>
      <c r="BH286" s="246">
        <f t="shared" si="108"/>
        <v>100</v>
      </c>
      <c r="BI286" s="90">
        <f t="shared" si="109"/>
        <v>1</v>
      </c>
      <c r="BJ286" s="325">
        <v>0</v>
      </c>
      <c r="BK286" s="247">
        <f t="shared" si="110"/>
        <v>100</v>
      </c>
      <c r="BL286" s="94">
        <f t="shared" si="111"/>
        <v>2</v>
      </c>
      <c r="BM286" s="325">
        <v>0</v>
      </c>
      <c r="BN286" s="325">
        <v>0</v>
      </c>
      <c r="BO286" s="325">
        <v>1</v>
      </c>
      <c r="BP286" s="211">
        <f t="shared" si="112"/>
        <v>1</v>
      </c>
      <c r="BQ286" s="253">
        <f t="shared" si="113"/>
        <v>50</v>
      </c>
      <c r="BR286" s="99">
        <f t="shared" si="114"/>
        <v>0.5</v>
      </c>
      <c r="BS286" s="101">
        <f t="shared" si="115"/>
        <v>19.5</v>
      </c>
    </row>
    <row r="287" spans="1:71" x14ac:dyDescent="0.6">
      <c r="A287" s="373" t="s">
        <v>929</v>
      </c>
      <c r="B287" s="1" t="s">
        <v>3201</v>
      </c>
      <c r="C287" s="380" t="s">
        <v>925</v>
      </c>
      <c r="D287" s="351" t="s">
        <v>285</v>
      </c>
      <c r="E287" s="352" t="s">
        <v>622</v>
      </c>
      <c r="F287" s="352" t="s">
        <v>142</v>
      </c>
      <c r="G287" s="353">
        <v>32825</v>
      </c>
      <c r="H287" s="352" t="s">
        <v>830</v>
      </c>
      <c r="I287" s="352" t="s">
        <v>825</v>
      </c>
      <c r="J287" s="352" t="s">
        <v>645</v>
      </c>
      <c r="K287" s="352" t="s">
        <v>91</v>
      </c>
      <c r="L287" s="381">
        <v>155630578</v>
      </c>
      <c r="M287" s="376">
        <v>90528054</v>
      </c>
      <c r="N287" s="376">
        <v>65102524</v>
      </c>
      <c r="O287" s="376">
        <v>645266960</v>
      </c>
      <c r="P287" s="376">
        <v>10863969</v>
      </c>
      <c r="Q287" s="376">
        <v>8506214</v>
      </c>
      <c r="R287" s="376">
        <v>6849115</v>
      </c>
      <c r="S287" s="325">
        <v>1</v>
      </c>
      <c r="T287" s="246">
        <f t="shared" si="98"/>
        <v>50</v>
      </c>
      <c r="U287" s="77">
        <f t="shared" si="99"/>
        <v>1</v>
      </c>
      <c r="V287" s="377">
        <v>0</v>
      </c>
      <c r="W287" s="377">
        <v>0</v>
      </c>
      <c r="X287" s="377">
        <v>0</v>
      </c>
      <c r="Y287" s="377">
        <v>0</v>
      </c>
      <c r="Z287" s="377">
        <v>0</v>
      </c>
      <c r="AA287" s="377">
        <v>0</v>
      </c>
      <c r="AB287" s="377">
        <v>0</v>
      </c>
      <c r="AC287" s="247">
        <f t="shared" si="100"/>
        <v>0</v>
      </c>
      <c r="AD287" s="247">
        <f t="shared" si="101"/>
        <v>100</v>
      </c>
      <c r="AE287" s="82">
        <f t="shared" si="97"/>
        <v>5</v>
      </c>
      <c r="AF287" s="377">
        <v>0</v>
      </c>
      <c r="AG287" s="377">
        <v>0</v>
      </c>
      <c r="AH287" s="247">
        <f t="shared" si="102"/>
        <v>0</v>
      </c>
      <c r="AI287" s="247">
        <f t="shared" si="116"/>
        <v>100</v>
      </c>
      <c r="AJ287" s="82">
        <f t="shared" si="117"/>
        <v>3</v>
      </c>
      <c r="AK287" s="367" t="s">
        <v>2902</v>
      </c>
      <c r="AL287" s="367" t="s">
        <v>2902</v>
      </c>
      <c r="AM287" s="367" t="s">
        <v>2902</v>
      </c>
      <c r="AN287" s="367" t="s">
        <v>2902</v>
      </c>
      <c r="AO287" s="367" t="s">
        <v>2902</v>
      </c>
      <c r="AP287" s="296" t="s">
        <v>2326</v>
      </c>
      <c r="AQ287" s="296" t="s">
        <v>2326</v>
      </c>
      <c r="AR287" s="297"/>
      <c r="AS287" s="367" t="s">
        <v>2902</v>
      </c>
      <c r="AT287" s="367" t="s">
        <v>2902</v>
      </c>
      <c r="AU287" s="296" t="s">
        <v>2326</v>
      </c>
      <c r="AV287" s="297"/>
      <c r="AW287" s="325">
        <v>1</v>
      </c>
      <c r="AX287" s="247">
        <f t="shared" si="103"/>
        <v>100</v>
      </c>
      <c r="AY287" s="90">
        <f t="shared" si="104"/>
        <v>4</v>
      </c>
      <c r="AZ287" s="378">
        <v>0</v>
      </c>
      <c r="BA287" s="449" t="s">
        <v>3782</v>
      </c>
      <c r="BB287" s="247">
        <f t="shared" si="105"/>
        <v>100</v>
      </c>
      <c r="BC287" s="91">
        <f t="shared" si="106"/>
        <v>2</v>
      </c>
      <c r="BD287" s="325">
        <v>0</v>
      </c>
      <c r="BE287" s="325">
        <v>0</v>
      </c>
      <c r="BF287" s="325">
        <v>0</v>
      </c>
      <c r="BG287" s="252">
        <f t="shared" si="107"/>
        <v>0</v>
      </c>
      <c r="BH287" s="246">
        <f t="shared" si="108"/>
        <v>100</v>
      </c>
      <c r="BI287" s="90">
        <f t="shared" si="109"/>
        <v>1</v>
      </c>
      <c r="BJ287" s="325">
        <v>0</v>
      </c>
      <c r="BK287" s="247">
        <f t="shared" si="110"/>
        <v>100</v>
      </c>
      <c r="BL287" s="94">
        <f t="shared" si="111"/>
        <v>2</v>
      </c>
      <c r="BM287" s="325">
        <v>0</v>
      </c>
      <c r="BN287" s="325">
        <v>0</v>
      </c>
      <c r="BO287" s="325">
        <v>1</v>
      </c>
      <c r="BP287" s="211">
        <f t="shared" si="112"/>
        <v>1</v>
      </c>
      <c r="BQ287" s="253">
        <f t="shared" si="113"/>
        <v>50</v>
      </c>
      <c r="BR287" s="99">
        <f t="shared" si="114"/>
        <v>0.5</v>
      </c>
      <c r="BS287" s="101">
        <f t="shared" si="115"/>
        <v>18.5</v>
      </c>
    </row>
    <row r="288" spans="1:71" x14ac:dyDescent="0.6">
      <c r="A288" s="373" t="s">
        <v>467</v>
      </c>
      <c r="B288" s="1" t="s">
        <v>3202</v>
      </c>
      <c r="C288" s="380" t="s">
        <v>41</v>
      </c>
      <c r="D288" s="351" t="s">
        <v>203</v>
      </c>
      <c r="E288" s="352" t="s">
        <v>180</v>
      </c>
      <c r="F288" s="352" t="s">
        <v>135</v>
      </c>
      <c r="G288" s="353">
        <v>32648</v>
      </c>
      <c r="H288" s="352" t="s">
        <v>830</v>
      </c>
      <c r="I288" s="352" t="s">
        <v>788</v>
      </c>
      <c r="J288" s="352" t="s">
        <v>649</v>
      </c>
      <c r="K288" s="352" t="s">
        <v>91</v>
      </c>
      <c r="L288" s="381">
        <v>969016968</v>
      </c>
      <c r="M288" s="376">
        <v>318689082</v>
      </c>
      <c r="N288" s="376">
        <v>650327885</v>
      </c>
      <c r="O288" s="376">
        <v>637646664</v>
      </c>
      <c r="P288" s="376">
        <v>145266257</v>
      </c>
      <c r="Q288" s="376">
        <v>152220142</v>
      </c>
      <c r="R288" s="376">
        <v>120839991</v>
      </c>
      <c r="S288" s="325">
        <v>1</v>
      </c>
      <c r="T288" s="246">
        <f t="shared" si="98"/>
        <v>50</v>
      </c>
      <c r="U288" s="77">
        <f t="shared" si="99"/>
        <v>1</v>
      </c>
      <c r="V288" s="377">
        <v>0</v>
      </c>
      <c r="W288" s="377">
        <v>0</v>
      </c>
      <c r="X288" s="377">
        <v>0</v>
      </c>
      <c r="Y288" s="377">
        <v>0</v>
      </c>
      <c r="Z288" s="377">
        <v>0</v>
      </c>
      <c r="AA288" s="377">
        <v>0</v>
      </c>
      <c r="AB288" s="377">
        <v>0</v>
      </c>
      <c r="AC288" s="247">
        <f t="shared" si="100"/>
        <v>0</v>
      </c>
      <c r="AD288" s="247">
        <f t="shared" si="101"/>
        <v>100</v>
      </c>
      <c r="AE288" s="82">
        <f t="shared" si="97"/>
        <v>5</v>
      </c>
      <c r="AF288" s="377">
        <v>0</v>
      </c>
      <c r="AG288" s="377">
        <v>0</v>
      </c>
      <c r="AH288" s="247">
        <f t="shared" si="102"/>
        <v>0</v>
      </c>
      <c r="AI288" s="247">
        <f t="shared" si="116"/>
        <v>100</v>
      </c>
      <c r="AJ288" s="82">
        <f t="shared" si="117"/>
        <v>3</v>
      </c>
      <c r="AK288" s="367" t="s">
        <v>2902</v>
      </c>
      <c r="AL288" s="367" t="s">
        <v>2902</v>
      </c>
      <c r="AM288" s="367" t="s">
        <v>2902</v>
      </c>
      <c r="AN288" s="367" t="s">
        <v>2902</v>
      </c>
      <c r="AO288" s="367" t="s">
        <v>2902</v>
      </c>
      <c r="AP288" s="296" t="s">
        <v>2326</v>
      </c>
      <c r="AQ288" s="296" t="s">
        <v>2326</v>
      </c>
      <c r="AR288" s="297"/>
      <c r="AS288" s="367" t="s">
        <v>2902</v>
      </c>
      <c r="AT288" s="367" t="s">
        <v>2902</v>
      </c>
      <c r="AU288" s="296" t="s">
        <v>2326</v>
      </c>
      <c r="AV288" s="297"/>
      <c r="AW288" s="325">
        <v>1</v>
      </c>
      <c r="AX288" s="247">
        <f t="shared" si="103"/>
        <v>100</v>
      </c>
      <c r="AY288" s="90">
        <f t="shared" si="104"/>
        <v>4</v>
      </c>
      <c r="AZ288" s="378">
        <v>0</v>
      </c>
      <c r="BA288" s="449" t="s">
        <v>3782</v>
      </c>
      <c r="BB288" s="247">
        <f t="shared" si="105"/>
        <v>100</v>
      </c>
      <c r="BC288" s="91">
        <f t="shared" si="106"/>
        <v>2</v>
      </c>
      <c r="BD288" s="325">
        <v>0</v>
      </c>
      <c r="BE288" s="325">
        <v>0</v>
      </c>
      <c r="BF288" s="325">
        <v>0</v>
      </c>
      <c r="BG288" s="252">
        <f t="shared" si="107"/>
        <v>0</v>
      </c>
      <c r="BH288" s="246">
        <f t="shared" si="108"/>
        <v>100</v>
      </c>
      <c r="BI288" s="90">
        <f t="shared" si="109"/>
        <v>1</v>
      </c>
      <c r="BJ288" s="325">
        <v>0</v>
      </c>
      <c r="BK288" s="247">
        <f t="shared" si="110"/>
        <v>100</v>
      </c>
      <c r="BL288" s="94">
        <f t="shared" si="111"/>
        <v>2</v>
      </c>
      <c r="BM288" s="325">
        <v>0</v>
      </c>
      <c r="BN288" s="325">
        <v>0</v>
      </c>
      <c r="BO288" s="325">
        <v>0</v>
      </c>
      <c r="BP288" s="211">
        <f t="shared" si="112"/>
        <v>0</v>
      </c>
      <c r="BQ288" s="253">
        <f t="shared" si="113"/>
        <v>25</v>
      </c>
      <c r="BR288" s="99">
        <f t="shared" si="114"/>
        <v>0.25</v>
      </c>
      <c r="BS288" s="101">
        <f t="shared" si="115"/>
        <v>18.25</v>
      </c>
    </row>
    <row r="289" spans="1:71" x14ac:dyDescent="0.6">
      <c r="A289" s="373" t="s">
        <v>296</v>
      </c>
      <c r="B289" s="1" t="s">
        <v>3203</v>
      </c>
      <c r="C289" s="380" t="s">
        <v>459</v>
      </c>
      <c r="D289" s="351" t="s">
        <v>285</v>
      </c>
      <c r="E289" s="352" t="s">
        <v>171</v>
      </c>
      <c r="F289" s="352" t="s">
        <v>168</v>
      </c>
      <c r="G289" s="353">
        <v>32659</v>
      </c>
      <c r="H289" s="352" t="s">
        <v>830</v>
      </c>
      <c r="I289" s="352" t="s">
        <v>630</v>
      </c>
      <c r="J289" s="352" t="s">
        <v>1223</v>
      </c>
      <c r="K289" s="352" t="s">
        <v>91</v>
      </c>
      <c r="L289" s="381">
        <v>121534902</v>
      </c>
      <c r="M289" s="376">
        <v>73176603</v>
      </c>
      <c r="N289" s="376">
        <v>48358299</v>
      </c>
      <c r="O289" s="376">
        <v>290909595</v>
      </c>
      <c r="P289" s="376">
        <v>4928985</v>
      </c>
      <c r="Q289" s="376">
        <v>3719511</v>
      </c>
      <c r="R289" s="376">
        <v>2563552</v>
      </c>
      <c r="S289" s="325">
        <v>1</v>
      </c>
      <c r="T289" s="246">
        <f t="shared" si="98"/>
        <v>50</v>
      </c>
      <c r="U289" s="77">
        <f t="shared" si="99"/>
        <v>1</v>
      </c>
      <c r="V289" s="377">
        <v>0</v>
      </c>
      <c r="W289" s="377">
        <v>0</v>
      </c>
      <c r="X289" s="377">
        <v>0</v>
      </c>
      <c r="Y289" s="377">
        <v>0</v>
      </c>
      <c r="Z289" s="377">
        <v>0</v>
      </c>
      <c r="AA289" s="377">
        <v>0</v>
      </c>
      <c r="AB289" s="377">
        <v>0</v>
      </c>
      <c r="AC289" s="247">
        <f t="shared" si="100"/>
        <v>0</v>
      </c>
      <c r="AD289" s="247">
        <f t="shared" si="101"/>
        <v>100</v>
      </c>
      <c r="AE289" s="82">
        <f t="shared" si="97"/>
        <v>5</v>
      </c>
      <c r="AF289" s="377">
        <v>0</v>
      </c>
      <c r="AG289" s="377">
        <v>0</v>
      </c>
      <c r="AH289" s="247">
        <f t="shared" si="102"/>
        <v>0</v>
      </c>
      <c r="AI289" s="247">
        <f t="shared" si="116"/>
        <v>100</v>
      </c>
      <c r="AJ289" s="82">
        <f t="shared" si="117"/>
        <v>3</v>
      </c>
      <c r="AK289" s="367" t="s">
        <v>2902</v>
      </c>
      <c r="AL289" s="367" t="s">
        <v>2902</v>
      </c>
      <c r="AM289" s="367" t="s">
        <v>2902</v>
      </c>
      <c r="AN289" s="367" t="s">
        <v>2902</v>
      </c>
      <c r="AO289" s="367" t="s">
        <v>2902</v>
      </c>
      <c r="AP289" s="296" t="s">
        <v>2326</v>
      </c>
      <c r="AQ289" s="296" t="s">
        <v>2326</v>
      </c>
      <c r="AR289" s="297"/>
      <c r="AS289" s="367" t="s">
        <v>2902</v>
      </c>
      <c r="AT289" s="367" t="s">
        <v>2902</v>
      </c>
      <c r="AU289" s="296" t="s">
        <v>2326</v>
      </c>
      <c r="AV289" s="297"/>
      <c r="AW289" s="325">
        <v>1</v>
      </c>
      <c r="AX289" s="247">
        <f t="shared" si="103"/>
        <v>100</v>
      </c>
      <c r="AY289" s="90">
        <f t="shared" si="104"/>
        <v>4</v>
      </c>
      <c r="AZ289" s="378">
        <v>0</v>
      </c>
      <c r="BA289" s="449" t="s">
        <v>3782</v>
      </c>
      <c r="BB289" s="247">
        <f t="shared" si="105"/>
        <v>100</v>
      </c>
      <c r="BC289" s="91">
        <f t="shared" si="106"/>
        <v>2</v>
      </c>
      <c r="BD289" s="325">
        <v>0</v>
      </c>
      <c r="BE289" s="325">
        <v>0</v>
      </c>
      <c r="BF289" s="325">
        <v>0</v>
      </c>
      <c r="BG289" s="252">
        <f t="shared" si="107"/>
        <v>0</v>
      </c>
      <c r="BH289" s="246">
        <f t="shared" si="108"/>
        <v>100</v>
      </c>
      <c r="BI289" s="90">
        <f t="shared" si="109"/>
        <v>1</v>
      </c>
      <c r="BJ289" s="325">
        <v>1</v>
      </c>
      <c r="BK289" s="247">
        <f t="shared" si="110"/>
        <v>50</v>
      </c>
      <c r="BL289" s="94">
        <f t="shared" si="111"/>
        <v>1</v>
      </c>
      <c r="BM289" s="325">
        <v>0</v>
      </c>
      <c r="BN289" s="325">
        <v>0</v>
      </c>
      <c r="BO289" s="325">
        <v>1</v>
      </c>
      <c r="BP289" s="211">
        <f t="shared" si="112"/>
        <v>1</v>
      </c>
      <c r="BQ289" s="253">
        <f t="shared" si="113"/>
        <v>50</v>
      </c>
      <c r="BR289" s="99">
        <f t="shared" si="114"/>
        <v>0.5</v>
      </c>
      <c r="BS289" s="101">
        <f t="shared" si="115"/>
        <v>17.5</v>
      </c>
    </row>
    <row r="290" spans="1:71" x14ac:dyDescent="0.6">
      <c r="A290" s="373" t="s">
        <v>1924</v>
      </c>
      <c r="B290" s="13" t="s">
        <v>3204</v>
      </c>
      <c r="C290" s="380" t="s">
        <v>1925</v>
      </c>
      <c r="D290" s="315" t="s">
        <v>285</v>
      </c>
      <c r="E290" s="352" t="s">
        <v>872</v>
      </c>
      <c r="F290" s="352" t="s">
        <v>1926</v>
      </c>
      <c r="G290" s="353">
        <v>27948</v>
      </c>
      <c r="H290" s="352" t="s">
        <v>830</v>
      </c>
      <c r="I290" s="352" t="s">
        <v>1927</v>
      </c>
      <c r="J290" s="352" t="s">
        <v>1928</v>
      </c>
      <c r="K290" s="352" t="s">
        <v>690</v>
      </c>
      <c r="L290" s="381">
        <v>1997213424</v>
      </c>
      <c r="M290" s="376">
        <v>1274120644</v>
      </c>
      <c r="N290" s="376">
        <v>723092780</v>
      </c>
      <c r="O290" s="376">
        <v>1190595681</v>
      </c>
      <c r="P290" s="376">
        <v>36051365</v>
      </c>
      <c r="Q290" s="376">
        <v>66290683</v>
      </c>
      <c r="R290" s="376">
        <v>50369228</v>
      </c>
      <c r="S290" s="325">
        <v>0</v>
      </c>
      <c r="T290" s="246">
        <f t="shared" si="98"/>
        <v>100</v>
      </c>
      <c r="U290" s="77">
        <f t="shared" si="99"/>
        <v>2</v>
      </c>
      <c r="V290" s="377">
        <v>0</v>
      </c>
      <c r="W290" s="377">
        <v>0</v>
      </c>
      <c r="X290" s="377">
        <v>0</v>
      </c>
      <c r="Y290" s="377">
        <v>0</v>
      </c>
      <c r="Z290" s="377">
        <v>0</v>
      </c>
      <c r="AA290" s="377">
        <v>0</v>
      </c>
      <c r="AB290" s="377">
        <v>0</v>
      </c>
      <c r="AC290" s="247">
        <f t="shared" si="100"/>
        <v>0</v>
      </c>
      <c r="AD290" s="247">
        <f t="shared" si="101"/>
        <v>100</v>
      </c>
      <c r="AE290" s="82">
        <f t="shared" si="97"/>
        <v>5</v>
      </c>
      <c r="AF290" s="377">
        <v>0</v>
      </c>
      <c r="AG290" s="377">
        <v>0</v>
      </c>
      <c r="AH290" s="247">
        <f t="shared" si="102"/>
        <v>0</v>
      </c>
      <c r="AI290" s="247">
        <f t="shared" si="116"/>
        <v>100</v>
      </c>
      <c r="AJ290" s="82">
        <f t="shared" si="117"/>
        <v>3</v>
      </c>
      <c r="AK290" s="367" t="s">
        <v>2902</v>
      </c>
      <c r="AL290" s="367" t="s">
        <v>2902</v>
      </c>
      <c r="AM290" s="367" t="s">
        <v>2902</v>
      </c>
      <c r="AN290" s="367" t="s">
        <v>2902</v>
      </c>
      <c r="AO290" s="367" t="s">
        <v>2902</v>
      </c>
      <c r="AP290" s="296" t="s">
        <v>2326</v>
      </c>
      <c r="AQ290" s="296" t="s">
        <v>2326</v>
      </c>
      <c r="AR290" s="297"/>
      <c r="AS290" s="367" t="s">
        <v>2902</v>
      </c>
      <c r="AT290" s="367" t="s">
        <v>2902</v>
      </c>
      <c r="AU290" s="296" t="s">
        <v>2326</v>
      </c>
      <c r="AV290" s="297"/>
      <c r="AW290" s="325">
        <v>1</v>
      </c>
      <c r="AX290" s="247">
        <f t="shared" si="103"/>
        <v>100</v>
      </c>
      <c r="AY290" s="90">
        <f t="shared" si="104"/>
        <v>4</v>
      </c>
      <c r="AZ290" s="378">
        <v>0</v>
      </c>
      <c r="BA290" s="449" t="s">
        <v>3782</v>
      </c>
      <c r="BB290" s="247">
        <f t="shared" si="105"/>
        <v>100</v>
      </c>
      <c r="BC290" s="91">
        <f t="shared" si="106"/>
        <v>2</v>
      </c>
      <c r="BD290" s="325">
        <v>0</v>
      </c>
      <c r="BE290" s="325">
        <v>0</v>
      </c>
      <c r="BF290" s="325">
        <v>0</v>
      </c>
      <c r="BG290" s="252">
        <f t="shared" si="107"/>
        <v>0</v>
      </c>
      <c r="BH290" s="246">
        <f t="shared" si="108"/>
        <v>100</v>
      </c>
      <c r="BI290" s="90">
        <f t="shared" si="109"/>
        <v>1</v>
      </c>
      <c r="BJ290" s="325">
        <v>0</v>
      </c>
      <c r="BK290" s="247">
        <f t="shared" si="110"/>
        <v>100</v>
      </c>
      <c r="BL290" s="94">
        <f t="shared" si="111"/>
        <v>2</v>
      </c>
      <c r="BM290" s="325">
        <v>0</v>
      </c>
      <c r="BN290" s="325">
        <v>0</v>
      </c>
      <c r="BO290" s="325">
        <v>1</v>
      </c>
      <c r="BP290" s="211">
        <f t="shared" si="112"/>
        <v>1</v>
      </c>
      <c r="BQ290" s="253">
        <f t="shared" si="113"/>
        <v>50</v>
      </c>
      <c r="BR290" s="99">
        <f t="shared" si="114"/>
        <v>0.5</v>
      </c>
      <c r="BS290" s="101">
        <f t="shared" si="115"/>
        <v>19.5</v>
      </c>
    </row>
    <row r="291" spans="1:71" x14ac:dyDescent="0.6">
      <c r="A291" s="373" t="s">
        <v>1929</v>
      </c>
      <c r="B291" s="1" t="s">
        <v>3205</v>
      </c>
      <c r="C291" s="380" t="s">
        <v>928</v>
      </c>
      <c r="D291" s="354" t="s">
        <v>350</v>
      </c>
      <c r="E291" s="352" t="s">
        <v>179</v>
      </c>
      <c r="F291" s="352" t="s">
        <v>808</v>
      </c>
      <c r="G291" s="353">
        <v>32206</v>
      </c>
      <c r="H291" s="352" t="s">
        <v>830</v>
      </c>
      <c r="I291" s="352" t="s">
        <v>817</v>
      </c>
      <c r="J291" s="352" t="s">
        <v>1121</v>
      </c>
      <c r="K291" s="352" t="s">
        <v>91</v>
      </c>
      <c r="L291" s="381">
        <v>1502891064</v>
      </c>
      <c r="M291" s="376">
        <v>1043504163</v>
      </c>
      <c r="N291" s="376">
        <v>459386901</v>
      </c>
      <c r="O291" s="376">
        <v>1117144964</v>
      </c>
      <c r="P291" s="376">
        <v>37196835</v>
      </c>
      <c r="Q291" s="376">
        <v>35531502</v>
      </c>
      <c r="R291" s="376">
        <v>24033308</v>
      </c>
      <c r="S291" s="325">
        <v>0</v>
      </c>
      <c r="T291" s="246">
        <f t="shared" si="98"/>
        <v>100</v>
      </c>
      <c r="U291" s="77">
        <f t="shared" si="99"/>
        <v>2</v>
      </c>
      <c r="V291" s="377">
        <v>0</v>
      </c>
      <c r="W291" s="377">
        <v>0</v>
      </c>
      <c r="X291" s="377">
        <v>0</v>
      </c>
      <c r="Y291" s="377">
        <v>0</v>
      </c>
      <c r="Z291" s="377">
        <v>0</v>
      </c>
      <c r="AA291" s="377">
        <v>0</v>
      </c>
      <c r="AB291" s="377">
        <v>0</v>
      </c>
      <c r="AC291" s="247">
        <f t="shared" si="100"/>
        <v>0</v>
      </c>
      <c r="AD291" s="247">
        <f t="shared" si="101"/>
        <v>100</v>
      </c>
      <c r="AE291" s="81">
        <f>AD291*0.02</f>
        <v>2</v>
      </c>
      <c r="AF291" s="360" t="s">
        <v>2902</v>
      </c>
      <c r="AG291" s="360" t="s">
        <v>2902</v>
      </c>
      <c r="AH291" s="248" t="s">
        <v>2326</v>
      </c>
      <c r="AI291" s="248" t="s">
        <v>2326</v>
      </c>
      <c r="AJ291" s="248"/>
      <c r="AK291" s="373">
        <v>0</v>
      </c>
      <c r="AL291" s="373">
        <v>0</v>
      </c>
      <c r="AM291" s="373">
        <v>0</v>
      </c>
      <c r="AN291" s="373">
        <v>0</v>
      </c>
      <c r="AO291" s="370" t="s">
        <v>3242</v>
      </c>
      <c r="AP291" s="249">
        <f>SUM(AK291:AN291)</f>
        <v>0</v>
      </c>
      <c r="AQ291" s="250">
        <f>IF(AP291=0, 100, IF(AP291=1, 75, IF(AP291=2, 50, 25)))</f>
        <v>100</v>
      </c>
      <c r="AR291" s="83">
        <f>AQ291*0.05</f>
        <v>5</v>
      </c>
      <c r="AS291" s="395">
        <v>0</v>
      </c>
      <c r="AT291" s="370" t="s">
        <v>3240</v>
      </c>
      <c r="AU291" s="251">
        <f>IF(AS291=0, 100, IF(AS291=1, 200/3, IF(AS291&gt;=2, 100/3)))</f>
        <v>100</v>
      </c>
      <c r="AV291" s="87">
        <f>AU291*0.01</f>
        <v>1</v>
      </c>
      <c r="AW291" s="325">
        <v>1</v>
      </c>
      <c r="AX291" s="247">
        <f t="shared" si="103"/>
        <v>100</v>
      </c>
      <c r="AY291" s="90">
        <f t="shared" si="104"/>
        <v>4</v>
      </c>
      <c r="AZ291" s="378">
        <v>0</v>
      </c>
      <c r="BA291" s="449" t="s">
        <v>3782</v>
      </c>
      <c r="BB291" s="247">
        <f t="shared" si="105"/>
        <v>100</v>
      </c>
      <c r="BC291" s="91">
        <f t="shared" si="106"/>
        <v>2</v>
      </c>
      <c r="BD291" s="325">
        <v>0</v>
      </c>
      <c r="BE291" s="325">
        <v>0</v>
      </c>
      <c r="BF291" s="325">
        <v>0</v>
      </c>
      <c r="BG291" s="252">
        <f t="shared" si="107"/>
        <v>0</v>
      </c>
      <c r="BH291" s="246">
        <f t="shared" si="108"/>
        <v>100</v>
      </c>
      <c r="BI291" s="90">
        <f t="shared" si="109"/>
        <v>1</v>
      </c>
      <c r="BJ291" s="325">
        <v>0</v>
      </c>
      <c r="BK291" s="247">
        <f t="shared" si="110"/>
        <v>100</v>
      </c>
      <c r="BL291" s="94">
        <f t="shared" si="111"/>
        <v>2</v>
      </c>
      <c r="BM291" s="325">
        <v>0</v>
      </c>
      <c r="BN291" s="325">
        <v>0</v>
      </c>
      <c r="BO291" s="325">
        <v>0</v>
      </c>
      <c r="BP291" s="211">
        <f t="shared" si="112"/>
        <v>0</v>
      </c>
      <c r="BQ291" s="253">
        <f t="shared" si="113"/>
        <v>25</v>
      </c>
      <c r="BR291" s="99">
        <f t="shared" si="114"/>
        <v>0.25</v>
      </c>
      <c r="BS291" s="101">
        <f t="shared" si="115"/>
        <v>19.25</v>
      </c>
    </row>
    <row r="292" spans="1:71" x14ac:dyDescent="0.6">
      <c r="A292" s="373" t="s">
        <v>540</v>
      </c>
      <c r="B292" s="1" t="s">
        <v>3206</v>
      </c>
      <c r="C292" s="380" t="s">
        <v>902</v>
      </c>
      <c r="D292" s="351" t="s">
        <v>191</v>
      </c>
      <c r="E292" s="352" t="s">
        <v>34</v>
      </c>
      <c r="F292" s="352" t="s">
        <v>995</v>
      </c>
      <c r="G292" s="353">
        <v>32860</v>
      </c>
      <c r="H292" s="352" t="s">
        <v>830</v>
      </c>
      <c r="I292" s="352" t="s">
        <v>1930</v>
      </c>
      <c r="J292" s="352" t="s">
        <v>1134</v>
      </c>
      <c r="K292" s="352" t="s">
        <v>934</v>
      </c>
      <c r="L292" s="381">
        <v>213430249</v>
      </c>
      <c r="M292" s="376">
        <v>44956203</v>
      </c>
      <c r="N292" s="376">
        <v>168474046</v>
      </c>
      <c r="O292" s="376">
        <v>109995419</v>
      </c>
      <c r="P292" s="376">
        <v>1769754</v>
      </c>
      <c r="Q292" s="376">
        <v>2224437</v>
      </c>
      <c r="R292" s="376">
        <v>546481</v>
      </c>
      <c r="S292" s="325">
        <v>0</v>
      </c>
      <c r="T292" s="246">
        <f t="shared" si="98"/>
        <v>100</v>
      </c>
      <c r="U292" s="77">
        <f t="shared" si="99"/>
        <v>2</v>
      </c>
      <c r="V292" s="377">
        <v>0</v>
      </c>
      <c r="W292" s="377">
        <v>0</v>
      </c>
      <c r="X292" s="377">
        <v>0</v>
      </c>
      <c r="Y292" s="377">
        <v>0</v>
      </c>
      <c r="Z292" s="377">
        <v>0</v>
      </c>
      <c r="AA292" s="377">
        <v>0</v>
      </c>
      <c r="AB292" s="377">
        <v>0</v>
      </c>
      <c r="AC292" s="247">
        <f t="shared" si="100"/>
        <v>0</v>
      </c>
      <c r="AD292" s="247">
        <f t="shared" si="101"/>
        <v>100</v>
      </c>
      <c r="AE292" s="82">
        <f t="shared" ref="AE292:AE297" si="118">AD292*0.05</f>
        <v>5</v>
      </c>
      <c r="AF292" s="377">
        <v>0</v>
      </c>
      <c r="AG292" s="377">
        <v>0</v>
      </c>
      <c r="AH292" s="247">
        <f t="shared" si="102"/>
        <v>0</v>
      </c>
      <c r="AI292" s="247">
        <f t="shared" si="116"/>
        <v>100</v>
      </c>
      <c r="AJ292" s="82">
        <f t="shared" si="117"/>
        <v>3</v>
      </c>
      <c r="AK292" s="367" t="s">
        <v>2902</v>
      </c>
      <c r="AL292" s="367" t="s">
        <v>2902</v>
      </c>
      <c r="AM292" s="367" t="s">
        <v>2902</v>
      </c>
      <c r="AN292" s="367" t="s">
        <v>2902</v>
      </c>
      <c r="AO292" s="367" t="s">
        <v>2902</v>
      </c>
      <c r="AP292" s="296" t="s">
        <v>2326</v>
      </c>
      <c r="AQ292" s="296" t="s">
        <v>2326</v>
      </c>
      <c r="AR292" s="297"/>
      <c r="AS292" s="367" t="s">
        <v>2902</v>
      </c>
      <c r="AT292" s="367" t="s">
        <v>2902</v>
      </c>
      <c r="AU292" s="296" t="s">
        <v>2326</v>
      </c>
      <c r="AV292" s="297"/>
      <c r="AW292" s="325">
        <v>1</v>
      </c>
      <c r="AX292" s="247">
        <f t="shared" si="103"/>
        <v>100</v>
      </c>
      <c r="AY292" s="90">
        <f t="shared" si="104"/>
        <v>4</v>
      </c>
      <c r="AZ292" s="378">
        <v>0</v>
      </c>
      <c r="BA292" s="449" t="s">
        <v>3782</v>
      </c>
      <c r="BB292" s="247">
        <f t="shared" si="105"/>
        <v>100</v>
      </c>
      <c r="BC292" s="91">
        <f t="shared" si="106"/>
        <v>2</v>
      </c>
      <c r="BD292" s="325">
        <v>0</v>
      </c>
      <c r="BE292" s="325">
        <v>0</v>
      </c>
      <c r="BF292" s="325">
        <v>0</v>
      </c>
      <c r="BG292" s="252">
        <f t="shared" si="107"/>
        <v>0</v>
      </c>
      <c r="BH292" s="246">
        <f t="shared" si="108"/>
        <v>100</v>
      </c>
      <c r="BI292" s="90">
        <f t="shared" si="109"/>
        <v>1</v>
      </c>
      <c r="BJ292" s="325">
        <v>0</v>
      </c>
      <c r="BK292" s="247">
        <f t="shared" si="110"/>
        <v>100</v>
      </c>
      <c r="BL292" s="94">
        <f t="shared" si="111"/>
        <v>2</v>
      </c>
      <c r="BM292" s="325">
        <v>0</v>
      </c>
      <c r="BN292" s="325">
        <v>0</v>
      </c>
      <c r="BO292" s="325">
        <v>1</v>
      </c>
      <c r="BP292" s="211">
        <f t="shared" si="112"/>
        <v>1</v>
      </c>
      <c r="BQ292" s="253">
        <f t="shared" si="113"/>
        <v>50</v>
      </c>
      <c r="BR292" s="99">
        <f t="shared" si="114"/>
        <v>0.5</v>
      </c>
      <c r="BS292" s="101">
        <f t="shared" si="115"/>
        <v>19.5</v>
      </c>
    </row>
    <row r="293" spans="1:71" x14ac:dyDescent="0.6">
      <c r="A293" s="373" t="s">
        <v>291</v>
      </c>
      <c r="B293" s="1" t="s">
        <v>3207</v>
      </c>
      <c r="C293" s="380" t="s">
        <v>894</v>
      </c>
      <c r="D293" s="351" t="s">
        <v>203</v>
      </c>
      <c r="E293" s="352" t="s">
        <v>1179</v>
      </c>
      <c r="F293" s="352" t="s">
        <v>379</v>
      </c>
      <c r="G293" s="353">
        <v>43318</v>
      </c>
      <c r="H293" s="352" t="s">
        <v>830</v>
      </c>
      <c r="I293" s="352" t="s">
        <v>801</v>
      </c>
      <c r="J293" s="352" t="s">
        <v>1240</v>
      </c>
      <c r="K293" s="352" t="s">
        <v>91</v>
      </c>
      <c r="L293" s="381">
        <v>1920187832</v>
      </c>
      <c r="M293" s="376">
        <v>578102236</v>
      </c>
      <c r="N293" s="376">
        <v>1342085595</v>
      </c>
      <c r="O293" s="376">
        <v>1059617234</v>
      </c>
      <c r="P293" s="376">
        <v>81393435</v>
      </c>
      <c r="Q293" s="376">
        <v>87194859</v>
      </c>
      <c r="R293" s="376">
        <v>65472999</v>
      </c>
      <c r="S293" s="325">
        <v>0</v>
      </c>
      <c r="T293" s="246">
        <f t="shared" si="98"/>
        <v>100</v>
      </c>
      <c r="U293" s="77">
        <f t="shared" si="99"/>
        <v>2</v>
      </c>
      <c r="V293" s="377">
        <v>0</v>
      </c>
      <c r="W293" s="377">
        <v>0</v>
      </c>
      <c r="X293" s="377">
        <v>0</v>
      </c>
      <c r="Y293" s="377">
        <v>0</v>
      </c>
      <c r="Z293" s="377">
        <v>0</v>
      </c>
      <c r="AA293" s="377">
        <v>0</v>
      </c>
      <c r="AB293" s="377">
        <v>0</v>
      </c>
      <c r="AC293" s="247">
        <f t="shared" si="100"/>
        <v>0</v>
      </c>
      <c r="AD293" s="247">
        <f t="shared" si="101"/>
        <v>100</v>
      </c>
      <c r="AE293" s="82">
        <f t="shared" si="118"/>
        <v>5</v>
      </c>
      <c r="AF293" s="377">
        <v>0</v>
      </c>
      <c r="AG293" s="377">
        <v>0</v>
      </c>
      <c r="AH293" s="247">
        <f t="shared" si="102"/>
        <v>0</v>
      </c>
      <c r="AI293" s="247">
        <f t="shared" si="116"/>
        <v>100</v>
      </c>
      <c r="AJ293" s="82">
        <f t="shared" si="117"/>
        <v>3</v>
      </c>
      <c r="AK293" s="367" t="s">
        <v>2902</v>
      </c>
      <c r="AL293" s="367" t="s">
        <v>2902</v>
      </c>
      <c r="AM293" s="367" t="s">
        <v>2902</v>
      </c>
      <c r="AN293" s="367" t="s">
        <v>2902</v>
      </c>
      <c r="AO293" s="367" t="s">
        <v>2902</v>
      </c>
      <c r="AP293" s="296" t="s">
        <v>2326</v>
      </c>
      <c r="AQ293" s="296" t="s">
        <v>2326</v>
      </c>
      <c r="AR293" s="297"/>
      <c r="AS293" s="367" t="s">
        <v>2902</v>
      </c>
      <c r="AT293" s="367" t="s">
        <v>2902</v>
      </c>
      <c r="AU293" s="296" t="s">
        <v>2326</v>
      </c>
      <c r="AV293" s="297"/>
      <c r="AW293" s="325">
        <v>1</v>
      </c>
      <c r="AX293" s="247">
        <f t="shared" si="103"/>
        <v>100</v>
      </c>
      <c r="AY293" s="90">
        <f t="shared" si="104"/>
        <v>4</v>
      </c>
      <c r="AZ293" s="378">
        <v>0</v>
      </c>
      <c r="BA293" s="449" t="s">
        <v>3782</v>
      </c>
      <c r="BB293" s="247">
        <f t="shared" si="105"/>
        <v>100</v>
      </c>
      <c r="BC293" s="91">
        <f t="shared" si="106"/>
        <v>2</v>
      </c>
      <c r="BD293" s="325">
        <v>0</v>
      </c>
      <c r="BE293" s="325">
        <v>0</v>
      </c>
      <c r="BF293" s="325">
        <v>0</v>
      </c>
      <c r="BG293" s="252">
        <f t="shared" si="107"/>
        <v>0</v>
      </c>
      <c r="BH293" s="246">
        <f t="shared" si="108"/>
        <v>100</v>
      </c>
      <c r="BI293" s="90">
        <f t="shared" si="109"/>
        <v>1</v>
      </c>
      <c r="BJ293" s="325">
        <v>0</v>
      </c>
      <c r="BK293" s="247">
        <f t="shared" si="110"/>
        <v>100</v>
      </c>
      <c r="BL293" s="94">
        <f t="shared" si="111"/>
        <v>2</v>
      </c>
      <c r="BM293" s="325">
        <v>0</v>
      </c>
      <c r="BN293" s="325">
        <v>0</v>
      </c>
      <c r="BO293" s="325">
        <v>0</v>
      </c>
      <c r="BP293" s="211">
        <f t="shared" si="112"/>
        <v>0</v>
      </c>
      <c r="BQ293" s="253">
        <f t="shared" si="113"/>
        <v>25</v>
      </c>
      <c r="BR293" s="99">
        <f t="shared" si="114"/>
        <v>0.25</v>
      </c>
      <c r="BS293" s="101">
        <f t="shared" si="115"/>
        <v>19.25</v>
      </c>
    </row>
    <row r="294" spans="1:71" x14ac:dyDescent="0.6">
      <c r="A294" s="373" t="s">
        <v>354</v>
      </c>
      <c r="B294" s="1" t="s">
        <v>3208</v>
      </c>
      <c r="C294" s="380" t="s">
        <v>368</v>
      </c>
      <c r="D294" s="351" t="s">
        <v>203</v>
      </c>
      <c r="E294" s="352" t="s">
        <v>1179</v>
      </c>
      <c r="F294" s="352" t="s">
        <v>145</v>
      </c>
      <c r="G294" s="353">
        <v>27754</v>
      </c>
      <c r="H294" s="352" t="s">
        <v>830</v>
      </c>
      <c r="I294" s="352" t="s">
        <v>801</v>
      </c>
      <c r="J294" s="352" t="s">
        <v>651</v>
      </c>
      <c r="K294" s="352" t="s">
        <v>91</v>
      </c>
      <c r="L294" s="381">
        <v>649126014</v>
      </c>
      <c r="M294" s="376">
        <v>285245442</v>
      </c>
      <c r="N294" s="376">
        <v>363880572</v>
      </c>
      <c r="O294" s="376">
        <v>471150174</v>
      </c>
      <c r="P294" s="376">
        <v>35168294</v>
      </c>
      <c r="Q294" s="376">
        <v>44443695</v>
      </c>
      <c r="R294" s="376">
        <v>35704071</v>
      </c>
      <c r="S294" s="325">
        <v>0</v>
      </c>
      <c r="T294" s="246">
        <f t="shared" si="98"/>
        <v>100</v>
      </c>
      <c r="U294" s="77">
        <f t="shared" si="99"/>
        <v>2</v>
      </c>
      <c r="V294" s="377">
        <v>0</v>
      </c>
      <c r="W294" s="377">
        <v>0</v>
      </c>
      <c r="X294" s="377">
        <v>0</v>
      </c>
      <c r="Y294" s="377">
        <v>0</v>
      </c>
      <c r="Z294" s="377">
        <v>0</v>
      </c>
      <c r="AA294" s="377">
        <v>0</v>
      </c>
      <c r="AB294" s="377">
        <v>0</v>
      </c>
      <c r="AC294" s="247">
        <f t="shared" si="100"/>
        <v>0</v>
      </c>
      <c r="AD294" s="247">
        <f t="shared" si="101"/>
        <v>100</v>
      </c>
      <c r="AE294" s="82">
        <f t="shared" si="118"/>
        <v>5</v>
      </c>
      <c r="AF294" s="377">
        <v>0</v>
      </c>
      <c r="AG294" s="377">
        <v>0</v>
      </c>
      <c r="AH294" s="247">
        <f t="shared" si="102"/>
        <v>0</v>
      </c>
      <c r="AI294" s="247">
        <f t="shared" si="116"/>
        <v>100</v>
      </c>
      <c r="AJ294" s="82">
        <f t="shared" si="117"/>
        <v>3</v>
      </c>
      <c r="AK294" s="367" t="s">
        <v>2902</v>
      </c>
      <c r="AL294" s="367" t="s">
        <v>2902</v>
      </c>
      <c r="AM294" s="367" t="s">
        <v>2902</v>
      </c>
      <c r="AN294" s="367" t="s">
        <v>2902</v>
      </c>
      <c r="AO294" s="367" t="s">
        <v>2902</v>
      </c>
      <c r="AP294" s="296" t="s">
        <v>2326</v>
      </c>
      <c r="AQ294" s="296" t="s">
        <v>2326</v>
      </c>
      <c r="AR294" s="297"/>
      <c r="AS294" s="367" t="s">
        <v>2902</v>
      </c>
      <c r="AT294" s="367" t="s">
        <v>2902</v>
      </c>
      <c r="AU294" s="296" t="s">
        <v>2326</v>
      </c>
      <c r="AV294" s="297"/>
      <c r="AW294" s="325">
        <v>1</v>
      </c>
      <c r="AX294" s="247">
        <f t="shared" si="103"/>
        <v>100</v>
      </c>
      <c r="AY294" s="90">
        <f t="shared" si="104"/>
        <v>4</v>
      </c>
      <c r="AZ294" s="378">
        <v>0</v>
      </c>
      <c r="BA294" s="449" t="s">
        <v>3782</v>
      </c>
      <c r="BB294" s="247">
        <f t="shared" si="105"/>
        <v>100</v>
      </c>
      <c r="BC294" s="91">
        <f t="shared" si="106"/>
        <v>2</v>
      </c>
      <c r="BD294" s="325">
        <v>0</v>
      </c>
      <c r="BE294" s="325">
        <v>0</v>
      </c>
      <c r="BF294" s="325">
        <v>0</v>
      </c>
      <c r="BG294" s="252">
        <f t="shared" si="107"/>
        <v>0</v>
      </c>
      <c r="BH294" s="246">
        <f t="shared" si="108"/>
        <v>100</v>
      </c>
      <c r="BI294" s="90">
        <f t="shared" si="109"/>
        <v>1</v>
      </c>
      <c r="BJ294" s="325">
        <v>0</v>
      </c>
      <c r="BK294" s="247">
        <f t="shared" si="110"/>
        <v>100</v>
      </c>
      <c r="BL294" s="94">
        <f t="shared" si="111"/>
        <v>2</v>
      </c>
      <c r="BM294" s="325">
        <v>0</v>
      </c>
      <c r="BN294" s="325">
        <v>0</v>
      </c>
      <c r="BO294" s="325">
        <v>0</v>
      </c>
      <c r="BP294" s="211">
        <f t="shared" si="112"/>
        <v>0</v>
      </c>
      <c r="BQ294" s="253">
        <f t="shared" si="113"/>
        <v>25</v>
      </c>
      <c r="BR294" s="99">
        <f t="shared" si="114"/>
        <v>0.25</v>
      </c>
      <c r="BS294" s="101">
        <f t="shared" si="115"/>
        <v>19.25</v>
      </c>
    </row>
    <row r="295" spans="1:71" x14ac:dyDescent="0.6">
      <c r="A295" s="373" t="s">
        <v>1931</v>
      </c>
      <c r="B295" s="1" t="s">
        <v>3209</v>
      </c>
      <c r="C295" s="380" t="s">
        <v>1932</v>
      </c>
      <c r="D295" s="315" t="s">
        <v>285</v>
      </c>
      <c r="E295" s="352" t="s">
        <v>1167</v>
      </c>
      <c r="F295" s="352" t="s">
        <v>1933</v>
      </c>
      <c r="G295" s="353">
        <v>40528</v>
      </c>
      <c r="H295" s="352" t="s">
        <v>830</v>
      </c>
      <c r="I295" s="352" t="s">
        <v>1934</v>
      </c>
      <c r="J295" s="352" t="s">
        <v>1935</v>
      </c>
      <c r="K295" s="352" t="s">
        <v>91</v>
      </c>
      <c r="L295" s="381">
        <v>152002052</v>
      </c>
      <c r="M295" s="376">
        <v>59834292</v>
      </c>
      <c r="N295" s="376">
        <v>92167760</v>
      </c>
      <c r="O295" s="376">
        <v>337599455</v>
      </c>
      <c r="P295" s="376">
        <v>14950788</v>
      </c>
      <c r="Q295" s="376">
        <v>19578310</v>
      </c>
      <c r="R295" s="376">
        <v>14881619</v>
      </c>
      <c r="S295" s="325">
        <v>0</v>
      </c>
      <c r="T295" s="246">
        <f t="shared" si="98"/>
        <v>100</v>
      </c>
      <c r="U295" s="77">
        <f t="shared" si="99"/>
        <v>2</v>
      </c>
      <c r="V295" s="377">
        <v>0</v>
      </c>
      <c r="W295" s="377">
        <v>0</v>
      </c>
      <c r="X295" s="377">
        <v>0</v>
      </c>
      <c r="Y295" s="377">
        <v>0</v>
      </c>
      <c r="Z295" s="377">
        <v>0</v>
      </c>
      <c r="AA295" s="377">
        <v>0</v>
      </c>
      <c r="AB295" s="377">
        <v>0</v>
      </c>
      <c r="AC295" s="247">
        <f t="shared" si="100"/>
        <v>0</v>
      </c>
      <c r="AD295" s="247">
        <f t="shared" si="101"/>
        <v>100</v>
      </c>
      <c r="AE295" s="82">
        <f t="shared" si="118"/>
        <v>5</v>
      </c>
      <c r="AF295" s="377">
        <v>0</v>
      </c>
      <c r="AG295" s="377">
        <v>0</v>
      </c>
      <c r="AH295" s="247">
        <f t="shared" si="102"/>
        <v>0</v>
      </c>
      <c r="AI295" s="247">
        <f t="shared" si="116"/>
        <v>100</v>
      </c>
      <c r="AJ295" s="82">
        <f t="shared" si="117"/>
        <v>3</v>
      </c>
      <c r="AK295" s="367" t="s">
        <v>2902</v>
      </c>
      <c r="AL295" s="367" t="s">
        <v>2902</v>
      </c>
      <c r="AM295" s="367" t="s">
        <v>2902</v>
      </c>
      <c r="AN295" s="367" t="s">
        <v>2902</v>
      </c>
      <c r="AO295" s="367" t="s">
        <v>2902</v>
      </c>
      <c r="AP295" s="296" t="s">
        <v>2326</v>
      </c>
      <c r="AQ295" s="296" t="s">
        <v>2326</v>
      </c>
      <c r="AR295" s="297"/>
      <c r="AS295" s="367" t="s">
        <v>2902</v>
      </c>
      <c r="AT295" s="367" t="s">
        <v>2902</v>
      </c>
      <c r="AU295" s="296" t="s">
        <v>2326</v>
      </c>
      <c r="AV295" s="297"/>
      <c r="AW295" s="325">
        <v>1</v>
      </c>
      <c r="AX295" s="247">
        <f t="shared" si="103"/>
        <v>100</v>
      </c>
      <c r="AY295" s="90">
        <f t="shared" si="104"/>
        <v>4</v>
      </c>
      <c r="AZ295" s="378">
        <v>0</v>
      </c>
      <c r="BA295" s="449" t="s">
        <v>3782</v>
      </c>
      <c r="BB295" s="247">
        <f t="shared" si="105"/>
        <v>100</v>
      </c>
      <c r="BC295" s="91">
        <f t="shared" si="106"/>
        <v>2</v>
      </c>
      <c r="BD295" s="325">
        <v>0</v>
      </c>
      <c r="BE295" s="325">
        <v>0</v>
      </c>
      <c r="BF295" s="325">
        <v>0</v>
      </c>
      <c r="BG295" s="252">
        <f t="shared" si="107"/>
        <v>0</v>
      </c>
      <c r="BH295" s="246">
        <f t="shared" si="108"/>
        <v>100</v>
      </c>
      <c r="BI295" s="90">
        <f t="shared" si="109"/>
        <v>1</v>
      </c>
      <c r="BJ295" s="325">
        <v>0</v>
      </c>
      <c r="BK295" s="247">
        <f t="shared" si="110"/>
        <v>100</v>
      </c>
      <c r="BL295" s="94">
        <f t="shared" si="111"/>
        <v>2</v>
      </c>
      <c r="BM295" s="325">
        <v>0</v>
      </c>
      <c r="BN295" s="325">
        <v>0</v>
      </c>
      <c r="BO295" s="325">
        <v>1</v>
      </c>
      <c r="BP295" s="211">
        <f t="shared" si="112"/>
        <v>1</v>
      </c>
      <c r="BQ295" s="253">
        <f t="shared" si="113"/>
        <v>50</v>
      </c>
      <c r="BR295" s="99">
        <f t="shared" si="114"/>
        <v>0.5</v>
      </c>
      <c r="BS295" s="101">
        <f t="shared" si="115"/>
        <v>19.5</v>
      </c>
    </row>
    <row r="296" spans="1:71" x14ac:dyDescent="0.6">
      <c r="A296" s="373" t="s">
        <v>1936</v>
      </c>
      <c r="B296" s="1" t="s">
        <v>3210</v>
      </c>
      <c r="C296" s="380" t="s">
        <v>1937</v>
      </c>
      <c r="D296" s="315" t="s">
        <v>285</v>
      </c>
      <c r="E296" s="352" t="s">
        <v>1432</v>
      </c>
      <c r="F296" s="352" t="s">
        <v>1938</v>
      </c>
      <c r="G296" s="353">
        <v>27253</v>
      </c>
      <c r="H296" s="352" t="s">
        <v>830</v>
      </c>
      <c r="I296" s="352" t="s">
        <v>1939</v>
      </c>
      <c r="J296" s="352" t="s">
        <v>1940</v>
      </c>
      <c r="K296" s="352" t="s">
        <v>91</v>
      </c>
      <c r="L296" s="381">
        <v>3024613663</v>
      </c>
      <c r="M296" s="376">
        <v>1557554254</v>
      </c>
      <c r="N296" s="376">
        <v>1467059409</v>
      </c>
      <c r="O296" s="376">
        <v>2424482980</v>
      </c>
      <c r="P296" s="376">
        <v>27380412</v>
      </c>
      <c r="Q296" s="376">
        <v>6360460</v>
      </c>
      <c r="R296" s="376">
        <v>12168775</v>
      </c>
      <c r="S296" s="325">
        <v>1</v>
      </c>
      <c r="T296" s="246">
        <f t="shared" si="98"/>
        <v>50</v>
      </c>
      <c r="U296" s="77">
        <f t="shared" si="99"/>
        <v>1</v>
      </c>
      <c r="V296" s="377">
        <v>0</v>
      </c>
      <c r="W296" s="377">
        <v>0</v>
      </c>
      <c r="X296" s="377">
        <v>0</v>
      </c>
      <c r="Y296" s="377">
        <v>0</v>
      </c>
      <c r="Z296" s="377">
        <v>0</v>
      </c>
      <c r="AA296" s="377">
        <v>0</v>
      </c>
      <c r="AB296" s="377">
        <v>0</v>
      </c>
      <c r="AC296" s="247">
        <f t="shared" si="100"/>
        <v>0</v>
      </c>
      <c r="AD296" s="247">
        <f t="shared" si="101"/>
        <v>100</v>
      </c>
      <c r="AE296" s="82">
        <f t="shared" si="118"/>
        <v>5</v>
      </c>
      <c r="AF296" s="377">
        <v>0</v>
      </c>
      <c r="AG296" s="377">
        <v>0</v>
      </c>
      <c r="AH296" s="247">
        <f t="shared" si="102"/>
        <v>0</v>
      </c>
      <c r="AI296" s="247">
        <f t="shared" si="116"/>
        <v>100</v>
      </c>
      <c r="AJ296" s="82">
        <f t="shared" si="117"/>
        <v>3</v>
      </c>
      <c r="AK296" s="367" t="s">
        <v>2902</v>
      </c>
      <c r="AL296" s="367" t="s">
        <v>2902</v>
      </c>
      <c r="AM296" s="367" t="s">
        <v>2902</v>
      </c>
      <c r="AN296" s="367" t="s">
        <v>2902</v>
      </c>
      <c r="AO296" s="367" t="s">
        <v>2902</v>
      </c>
      <c r="AP296" s="296" t="s">
        <v>2326</v>
      </c>
      <c r="AQ296" s="296" t="s">
        <v>2326</v>
      </c>
      <c r="AR296" s="297"/>
      <c r="AS296" s="367" t="s">
        <v>2902</v>
      </c>
      <c r="AT296" s="367" t="s">
        <v>2902</v>
      </c>
      <c r="AU296" s="296" t="s">
        <v>2326</v>
      </c>
      <c r="AV296" s="297"/>
      <c r="AW296" s="325">
        <v>1</v>
      </c>
      <c r="AX296" s="247">
        <f t="shared" si="103"/>
        <v>100</v>
      </c>
      <c r="AY296" s="90">
        <f t="shared" si="104"/>
        <v>4</v>
      </c>
      <c r="AZ296" s="378">
        <v>0</v>
      </c>
      <c r="BA296" s="449" t="s">
        <v>3782</v>
      </c>
      <c r="BB296" s="247">
        <f t="shared" si="105"/>
        <v>100</v>
      </c>
      <c r="BC296" s="91">
        <f t="shared" si="106"/>
        <v>2</v>
      </c>
      <c r="BD296" s="325">
        <v>0</v>
      </c>
      <c r="BE296" s="325">
        <v>0</v>
      </c>
      <c r="BF296" s="325">
        <v>0</v>
      </c>
      <c r="BG296" s="252">
        <f t="shared" si="107"/>
        <v>0</v>
      </c>
      <c r="BH296" s="246">
        <f t="shared" si="108"/>
        <v>100</v>
      </c>
      <c r="BI296" s="90">
        <f t="shared" si="109"/>
        <v>1</v>
      </c>
      <c r="BJ296" s="325">
        <v>0</v>
      </c>
      <c r="BK296" s="247">
        <f t="shared" si="110"/>
        <v>100</v>
      </c>
      <c r="BL296" s="94">
        <f t="shared" si="111"/>
        <v>2</v>
      </c>
      <c r="BM296" s="325">
        <v>0</v>
      </c>
      <c r="BN296" s="325">
        <v>0</v>
      </c>
      <c r="BO296" s="325">
        <v>0</v>
      </c>
      <c r="BP296" s="211">
        <f t="shared" si="112"/>
        <v>0</v>
      </c>
      <c r="BQ296" s="253">
        <f t="shared" si="113"/>
        <v>25</v>
      </c>
      <c r="BR296" s="99">
        <f t="shared" si="114"/>
        <v>0.25</v>
      </c>
      <c r="BS296" s="101">
        <f t="shared" si="115"/>
        <v>18.25</v>
      </c>
    </row>
    <row r="297" spans="1:71" x14ac:dyDescent="0.6">
      <c r="A297" s="373" t="s">
        <v>1941</v>
      </c>
      <c r="B297" s="1" t="s">
        <v>3211</v>
      </c>
      <c r="C297" s="380" t="s">
        <v>1942</v>
      </c>
      <c r="D297" s="315" t="s">
        <v>202</v>
      </c>
      <c r="E297" s="352" t="s">
        <v>189</v>
      </c>
      <c r="F297" s="352" t="s">
        <v>1943</v>
      </c>
      <c r="G297" s="353">
        <v>44425</v>
      </c>
      <c r="H297" s="352" t="s">
        <v>830</v>
      </c>
      <c r="I297" s="352" t="s">
        <v>1944</v>
      </c>
      <c r="J297" s="352" t="s">
        <v>1945</v>
      </c>
      <c r="K297" s="352" t="s">
        <v>690</v>
      </c>
      <c r="L297" s="381">
        <v>201249262</v>
      </c>
      <c r="M297" s="376">
        <v>74147423</v>
      </c>
      <c r="N297" s="376">
        <v>127101839</v>
      </c>
      <c r="O297" s="376">
        <v>92809851</v>
      </c>
      <c r="P297" s="376">
        <v>557375</v>
      </c>
      <c r="Q297" s="376">
        <v>21284021</v>
      </c>
      <c r="R297" s="376">
        <v>16494864</v>
      </c>
      <c r="S297" s="325">
        <v>0</v>
      </c>
      <c r="T297" s="246">
        <f t="shared" si="98"/>
        <v>100</v>
      </c>
      <c r="U297" s="77">
        <f t="shared" si="99"/>
        <v>2</v>
      </c>
      <c r="V297" s="377">
        <v>0</v>
      </c>
      <c r="W297" s="377">
        <v>0</v>
      </c>
      <c r="X297" s="377">
        <v>0</v>
      </c>
      <c r="Y297" s="377">
        <v>0</v>
      </c>
      <c r="Z297" s="377">
        <v>0</v>
      </c>
      <c r="AA297" s="377">
        <v>0</v>
      </c>
      <c r="AB297" s="377">
        <v>0</v>
      </c>
      <c r="AC297" s="247">
        <f t="shared" si="100"/>
        <v>0</v>
      </c>
      <c r="AD297" s="247">
        <f t="shared" si="101"/>
        <v>100</v>
      </c>
      <c r="AE297" s="82">
        <f t="shared" si="118"/>
        <v>5</v>
      </c>
      <c r="AF297" s="377">
        <v>0</v>
      </c>
      <c r="AG297" s="377">
        <v>0</v>
      </c>
      <c r="AH297" s="247">
        <f t="shared" si="102"/>
        <v>0</v>
      </c>
      <c r="AI297" s="247">
        <f t="shared" si="116"/>
        <v>100</v>
      </c>
      <c r="AJ297" s="82">
        <f t="shared" si="117"/>
        <v>3</v>
      </c>
      <c r="AK297" s="367" t="s">
        <v>2902</v>
      </c>
      <c r="AL297" s="367" t="s">
        <v>2902</v>
      </c>
      <c r="AM297" s="367" t="s">
        <v>2902</v>
      </c>
      <c r="AN297" s="367" t="s">
        <v>2902</v>
      </c>
      <c r="AO297" s="367" t="s">
        <v>2902</v>
      </c>
      <c r="AP297" s="296" t="s">
        <v>2326</v>
      </c>
      <c r="AQ297" s="296" t="s">
        <v>2326</v>
      </c>
      <c r="AR297" s="297"/>
      <c r="AS297" s="367" t="s">
        <v>2902</v>
      </c>
      <c r="AT297" s="367" t="s">
        <v>2902</v>
      </c>
      <c r="AU297" s="296" t="s">
        <v>2326</v>
      </c>
      <c r="AV297" s="297"/>
      <c r="AW297" s="325">
        <v>1</v>
      </c>
      <c r="AX297" s="247">
        <f t="shared" si="103"/>
        <v>100</v>
      </c>
      <c r="AY297" s="90">
        <f t="shared" si="104"/>
        <v>4</v>
      </c>
      <c r="AZ297" s="378">
        <v>0</v>
      </c>
      <c r="BA297" s="449" t="s">
        <v>3782</v>
      </c>
      <c r="BB297" s="247">
        <f t="shared" si="105"/>
        <v>100</v>
      </c>
      <c r="BC297" s="91">
        <f t="shared" si="106"/>
        <v>2</v>
      </c>
      <c r="BD297" s="325">
        <v>0</v>
      </c>
      <c r="BE297" s="325">
        <v>0</v>
      </c>
      <c r="BF297" s="325">
        <v>0</v>
      </c>
      <c r="BG297" s="252">
        <f t="shared" si="107"/>
        <v>0</v>
      </c>
      <c r="BH297" s="246">
        <f t="shared" si="108"/>
        <v>100</v>
      </c>
      <c r="BI297" s="90">
        <f t="shared" si="109"/>
        <v>1</v>
      </c>
      <c r="BJ297" s="325">
        <v>0</v>
      </c>
      <c r="BK297" s="247">
        <f t="shared" si="110"/>
        <v>100</v>
      </c>
      <c r="BL297" s="94">
        <f t="shared" si="111"/>
        <v>2</v>
      </c>
      <c r="BM297" s="325">
        <v>0</v>
      </c>
      <c r="BN297" s="325">
        <v>0</v>
      </c>
      <c r="BO297" s="325">
        <v>0</v>
      </c>
      <c r="BP297" s="211">
        <f t="shared" si="112"/>
        <v>0</v>
      </c>
      <c r="BQ297" s="253">
        <f t="shared" si="113"/>
        <v>25</v>
      </c>
      <c r="BR297" s="99">
        <f t="shared" si="114"/>
        <v>0.25</v>
      </c>
      <c r="BS297" s="101">
        <f t="shared" si="115"/>
        <v>19.25</v>
      </c>
    </row>
    <row r="298" spans="1:71" x14ac:dyDescent="0.6">
      <c r="A298" s="373" t="s">
        <v>1946</v>
      </c>
      <c r="B298" s="13" t="s">
        <v>3212</v>
      </c>
      <c r="C298" s="380" t="s">
        <v>1947</v>
      </c>
      <c r="D298" s="328" t="s">
        <v>481</v>
      </c>
      <c r="E298" s="352" t="s">
        <v>704</v>
      </c>
      <c r="F298" s="352" t="s">
        <v>360</v>
      </c>
      <c r="G298" s="353">
        <v>40254</v>
      </c>
      <c r="H298" s="352" t="s">
        <v>830</v>
      </c>
      <c r="I298" s="352" t="s">
        <v>1948</v>
      </c>
      <c r="J298" s="352" t="s">
        <v>1949</v>
      </c>
      <c r="K298" s="352" t="s">
        <v>91</v>
      </c>
      <c r="L298" s="381">
        <v>126780143235</v>
      </c>
      <c r="M298" s="376">
        <v>120464648467</v>
      </c>
      <c r="N298" s="376">
        <v>6315494768</v>
      </c>
      <c r="O298" s="376">
        <v>21180061711</v>
      </c>
      <c r="P298" s="376">
        <v>31900539</v>
      </c>
      <c r="Q298" s="376">
        <v>432611603</v>
      </c>
      <c r="R298" s="376">
        <v>354341909</v>
      </c>
      <c r="S298" s="325">
        <v>1</v>
      </c>
      <c r="T298" s="246">
        <f t="shared" si="98"/>
        <v>50</v>
      </c>
      <c r="U298" s="77">
        <f t="shared" si="99"/>
        <v>1</v>
      </c>
      <c r="V298" s="377">
        <v>0</v>
      </c>
      <c r="W298" s="377">
        <v>0</v>
      </c>
      <c r="X298" s="377">
        <v>0</v>
      </c>
      <c r="Y298" s="377">
        <v>0</v>
      </c>
      <c r="Z298" s="377">
        <v>0</v>
      </c>
      <c r="AA298" s="377">
        <v>0</v>
      </c>
      <c r="AB298" s="377">
        <v>0</v>
      </c>
      <c r="AC298" s="247">
        <f t="shared" si="100"/>
        <v>0</v>
      </c>
      <c r="AD298" s="247">
        <f t="shared" si="101"/>
        <v>100</v>
      </c>
      <c r="AE298" s="81">
        <f>AD298*0.02</f>
        <v>2</v>
      </c>
      <c r="AF298" s="360" t="s">
        <v>2902</v>
      </c>
      <c r="AG298" s="360" t="s">
        <v>2902</v>
      </c>
      <c r="AH298" s="248" t="s">
        <v>2326</v>
      </c>
      <c r="AI298" s="248" t="s">
        <v>2326</v>
      </c>
      <c r="AJ298" s="248"/>
      <c r="AK298" s="373">
        <v>0</v>
      </c>
      <c r="AL298" s="373">
        <v>0</v>
      </c>
      <c r="AM298" s="373">
        <v>1</v>
      </c>
      <c r="AN298" s="373">
        <v>6</v>
      </c>
      <c r="AO298" s="370" t="s">
        <v>3242</v>
      </c>
      <c r="AP298" s="249">
        <f>SUM(AK298:AN298)</f>
        <v>7</v>
      </c>
      <c r="AQ298" s="250">
        <f t="shared" ref="AQ298:AQ299" si="119">IF(AP298=0, 100, IF(AP298=1, 75, IF(AP298=2, 50, 25)))</f>
        <v>25</v>
      </c>
      <c r="AR298" s="83">
        <f>AQ298*0.05</f>
        <v>1.25</v>
      </c>
      <c r="AS298" s="395">
        <v>0</v>
      </c>
      <c r="AT298" s="370" t="s">
        <v>3240</v>
      </c>
      <c r="AU298" s="251">
        <f>IF(AS298=0, 100, IF(AS298=1, 200/3, IF(AS298&gt;=2, 100/3)))</f>
        <v>100</v>
      </c>
      <c r="AV298" s="87">
        <f>AU298*0.01</f>
        <v>1</v>
      </c>
      <c r="AW298" s="325">
        <v>0</v>
      </c>
      <c r="AX298" s="247">
        <f t="shared" si="103"/>
        <v>50</v>
      </c>
      <c r="AY298" s="90">
        <f t="shared" si="104"/>
        <v>2</v>
      </c>
      <c r="AZ298" s="378">
        <v>0</v>
      </c>
      <c r="BA298" s="449" t="s">
        <v>3782</v>
      </c>
      <c r="BB298" s="247">
        <f t="shared" si="105"/>
        <v>100</v>
      </c>
      <c r="BC298" s="91">
        <f t="shared" si="106"/>
        <v>2</v>
      </c>
      <c r="BD298" s="325">
        <v>0</v>
      </c>
      <c r="BE298" s="325">
        <v>0</v>
      </c>
      <c r="BF298" s="325">
        <v>0</v>
      </c>
      <c r="BG298" s="252">
        <f t="shared" si="107"/>
        <v>0</v>
      </c>
      <c r="BH298" s="246">
        <f t="shared" si="108"/>
        <v>100</v>
      </c>
      <c r="BI298" s="90">
        <f t="shared" si="109"/>
        <v>1</v>
      </c>
      <c r="BJ298" s="325">
        <v>0</v>
      </c>
      <c r="BK298" s="247">
        <f t="shared" si="110"/>
        <v>100</v>
      </c>
      <c r="BL298" s="94">
        <f t="shared" si="111"/>
        <v>2</v>
      </c>
      <c r="BM298" s="325">
        <v>0</v>
      </c>
      <c r="BN298" s="325">
        <v>0</v>
      </c>
      <c r="BO298" s="325">
        <v>1</v>
      </c>
      <c r="BP298" s="211">
        <f t="shared" si="112"/>
        <v>1</v>
      </c>
      <c r="BQ298" s="253">
        <f t="shared" si="113"/>
        <v>50</v>
      </c>
      <c r="BR298" s="99">
        <f t="shared" si="114"/>
        <v>0.5</v>
      </c>
      <c r="BS298" s="101">
        <f t="shared" si="115"/>
        <v>12.75</v>
      </c>
    </row>
    <row r="299" spans="1:71" x14ac:dyDescent="0.6">
      <c r="A299" s="373" t="s">
        <v>1950</v>
      </c>
      <c r="B299" s="13" t="s">
        <v>3213</v>
      </c>
      <c r="C299" s="380" t="s">
        <v>1951</v>
      </c>
      <c r="D299" s="328" t="s">
        <v>481</v>
      </c>
      <c r="E299" s="352" t="s">
        <v>704</v>
      </c>
      <c r="F299" s="352" t="s">
        <v>551</v>
      </c>
      <c r="G299" s="353">
        <v>27575</v>
      </c>
      <c r="H299" s="352" t="s">
        <v>830</v>
      </c>
      <c r="I299" s="352" t="s">
        <v>1952</v>
      </c>
      <c r="J299" s="352" t="s">
        <v>1953</v>
      </c>
      <c r="K299" s="352" t="s">
        <v>91</v>
      </c>
      <c r="L299" s="381">
        <v>20186911158</v>
      </c>
      <c r="M299" s="376">
        <v>19938637638</v>
      </c>
      <c r="N299" s="376">
        <v>248273521</v>
      </c>
      <c r="O299" s="376">
        <v>5105380445</v>
      </c>
      <c r="P299" s="376">
        <v>326922757</v>
      </c>
      <c r="Q299" s="376">
        <v>400409213</v>
      </c>
      <c r="R299" s="376">
        <v>302102769</v>
      </c>
      <c r="S299" s="325">
        <v>1</v>
      </c>
      <c r="T299" s="246">
        <f t="shared" si="98"/>
        <v>50</v>
      </c>
      <c r="U299" s="77">
        <f t="shared" si="99"/>
        <v>1</v>
      </c>
      <c r="V299" s="377">
        <v>0</v>
      </c>
      <c r="W299" s="377">
        <v>0</v>
      </c>
      <c r="X299" s="377">
        <v>1</v>
      </c>
      <c r="Y299" s="377">
        <v>0</v>
      </c>
      <c r="Z299" s="377">
        <v>0</v>
      </c>
      <c r="AA299" s="377">
        <v>0</v>
      </c>
      <c r="AB299" s="377">
        <v>0</v>
      </c>
      <c r="AC299" s="247">
        <f t="shared" si="100"/>
        <v>1</v>
      </c>
      <c r="AD299" s="247">
        <f t="shared" si="101"/>
        <v>75</v>
      </c>
      <c r="AE299" s="81">
        <f>AD299*0.02</f>
        <v>1.5</v>
      </c>
      <c r="AF299" s="360" t="s">
        <v>2902</v>
      </c>
      <c r="AG299" s="360" t="s">
        <v>2902</v>
      </c>
      <c r="AH299" s="248" t="s">
        <v>2326</v>
      </c>
      <c r="AI299" s="248" t="s">
        <v>2326</v>
      </c>
      <c r="AJ299" s="248"/>
      <c r="AK299" s="373">
        <v>0</v>
      </c>
      <c r="AL299" s="373">
        <v>0</v>
      </c>
      <c r="AM299" s="373">
        <v>2</v>
      </c>
      <c r="AN299" s="373">
        <v>1</v>
      </c>
      <c r="AO299" s="370" t="s">
        <v>3242</v>
      </c>
      <c r="AP299" s="249">
        <f>SUM(AK299:AN299)</f>
        <v>3</v>
      </c>
      <c r="AQ299" s="250">
        <f t="shared" si="119"/>
        <v>25</v>
      </c>
      <c r="AR299" s="83">
        <f>AQ299*0.05</f>
        <v>1.25</v>
      </c>
      <c r="AS299" s="395">
        <v>0</v>
      </c>
      <c r="AT299" s="370" t="s">
        <v>3240</v>
      </c>
      <c r="AU299" s="251">
        <f>IF(AS299=0, 100, IF(AS299=1, 200/3, IF(AS299&gt;=2, 100/3)))</f>
        <v>100</v>
      </c>
      <c r="AV299" s="87">
        <f>AU299*0.01</f>
        <v>1</v>
      </c>
      <c r="AW299" s="325">
        <v>0</v>
      </c>
      <c r="AX299" s="247">
        <f t="shared" si="103"/>
        <v>50</v>
      </c>
      <c r="AY299" s="90">
        <f t="shared" si="104"/>
        <v>2</v>
      </c>
      <c r="AZ299" s="378">
        <v>0</v>
      </c>
      <c r="BA299" s="449" t="s">
        <v>3782</v>
      </c>
      <c r="BB299" s="247">
        <f t="shared" si="105"/>
        <v>100</v>
      </c>
      <c r="BC299" s="91">
        <f t="shared" si="106"/>
        <v>2</v>
      </c>
      <c r="BD299" s="325">
        <v>0</v>
      </c>
      <c r="BE299" s="325">
        <v>0</v>
      </c>
      <c r="BF299" s="325">
        <v>0</v>
      </c>
      <c r="BG299" s="252">
        <f t="shared" si="107"/>
        <v>0</v>
      </c>
      <c r="BH299" s="246">
        <f t="shared" si="108"/>
        <v>100</v>
      </c>
      <c r="BI299" s="90">
        <f t="shared" si="109"/>
        <v>1</v>
      </c>
      <c r="BJ299" s="325">
        <v>0</v>
      </c>
      <c r="BK299" s="247">
        <f t="shared" si="110"/>
        <v>100</v>
      </c>
      <c r="BL299" s="94">
        <f t="shared" si="111"/>
        <v>2</v>
      </c>
      <c r="BM299" s="325">
        <v>0</v>
      </c>
      <c r="BN299" s="325">
        <v>0</v>
      </c>
      <c r="BO299" s="325">
        <v>1</v>
      </c>
      <c r="BP299" s="211">
        <f t="shared" si="112"/>
        <v>1</v>
      </c>
      <c r="BQ299" s="253">
        <f t="shared" si="113"/>
        <v>50</v>
      </c>
      <c r="BR299" s="99">
        <f t="shared" si="114"/>
        <v>0.5</v>
      </c>
      <c r="BS299" s="101">
        <f t="shared" si="115"/>
        <v>12.25</v>
      </c>
    </row>
    <row r="300" spans="1:71" x14ac:dyDescent="0.6">
      <c r="A300" s="373" t="s">
        <v>472</v>
      </c>
      <c r="B300" s="13" t="s">
        <v>3214</v>
      </c>
      <c r="C300" s="380" t="s">
        <v>877</v>
      </c>
      <c r="D300" s="351" t="s">
        <v>202</v>
      </c>
      <c r="E300" s="352" t="s">
        <v>205</v>
      </c>
      <c r="F300" s="352" t="s">
        <v>133</v>
      </c>
      <c r="G300" s="353">
        <v>43782</v>
      </c>
      <c r="H300" s="352" t="s">
        <v>830</v>
      </c>
      <c r="I300" s="352" t="s">
        <v>836</v>
      </c>
      <c r="J300" s="352" t="s">
        <v>1218</v>
      </c>
      <c r="K300" s="352" t="s">
        <v>31</v>
      </c>
      <c r="L300" s="381">
        <v>4152100072</v>
      </c>
      <c r="M300" s="376">
        <v>1905070749</v>
      </c>
      <c r="N300" s="376">
        <v>2247029323</v>
      </c>
      <c r="O300" s="376">
        <v>2187405670</v>
      </c>
      <c r="P300" s="376">
        <v>93679890</v>
      </c>
      <c r="Q300" s="376">
        <v>53049827</v>
      </c>
      <c r="R300" s="376">
        <v>28545981</v>
      </c>
      <c r="S300" s="325">
        <v>1</v>
      </c>
      <c r="T300" s="246">
        <f t="shared" si="98"/>
        <v>50</v>
      </c>
      <c r="U300" s="77">
        <f t="shared" si="99"/>
        <v>1</v>
      </c>
      <c r="V300" s="377">
        <v>0</v>
      </c>
      <c r="W300" s="377">
        <v>0</v>
      </c>
      <c r="X300" s="377">
        <v>0</v>
      </c>
      <c r="Y300" s="377">
        <v>0</v>
      </c>
      <c r="Z300" s="377">
        <v>0</v>
      </c>
      <c r="AA300" s="377">
        <v>0</v>
      </c>
      <c r="AB300" s="377">
        <v>0</v>
      </c>
      <c r="AC300" s="247">
        <f t="shared" si="100"/>
        <v>0</v>
      </c>
      <c r="AD300" s="247">
        <f t="shared" si="101"/>
        <v>100</v>
      </c>
      <c r="AE300" s="82">
        <f t="shared" ref="AE300:AE308" si="120">AD300*0.05</f>
        <v>5</v>
      </c>
      <c r="AF300" s="377">
        <v>0</v>
      </c>
      <c r="AG300" s="377">
        <v>0</v>
      </c>
      <c r="AH300" s="247">
        <f t="shared" si="102"/>
        <v>0</v>
      </c>
      <c r="AI300" s="247">
        <f t="shared" si="116"/>
        <v>100</v>
      </c>
      <c r="AJ300" s="82">
        <f t="shared" si="117"/>
        <v>3</v>
      </c>
      <c r="AK300" s="367" t="s">
        <v>2902</v>
      </c>
      <c r="AL300" s="367" t="s">
        <v>2902</v>
      </c>
      <c r="AM300" s="367" t="s">
        <v>2902</v>
      </c>
      <c r="AN300" s="367" t="s">
        <v>2902</v>
      </c>
      <c r="AO300" s="367" t="s">
        <v>2902</v>
      </c>
      <c r="AP300" s="296" t="s">
        <v>2326</v>
      </c>
      <c r="AQ300" s="296" t="s">
        <v>2326</v>
      </c>
      <c r="AR300" s="297"/>
      <c r="AS300" s="367" t="s">
        <v>2902</v>
      </c>
      <c r="AT300" s="367" t="s">
        <v>2902</v>
      </c>
      <c r="AU300" s="296" t="s">
        <v>2326</v>
      </c>
      <c r="AV300" s="297"/>
      <c r="AW300" s="325">
        <v>0</v>
      </c>
      <c r="AX300" s="247">
        <f t="shared" si="103"/>
        <v>50</v>
      </c>
      <c r="AY300" s="90">
        <f t="shared" si="104"/>
        <v>2</v>
      </c>
      <c r="AZ300" s="378">
        <v>0</v>
      </c>
      <c r="BA300" s="449" t="s">
        <v>3782</v>
      </c>
      <c r="BB300" s="247">
        <f t="shared" si="105"/>
        <v>100</v>
      </c>
      <c r="BC300" s="91">
        <f t="shared" si="106"/>
        <v>2</v>
      </c>
      <c r="BD300" s="325">
        <v>0</v>
      </c>
      <c r="BE300" s="325">
        <v>0</v>
      </c>
      <c r="BF300" s="325">
        <v>1</v>
      </c>
      <c r="BG300" s="252">
        <f t="shared" si="107"/>
        <v>1</v>
      </c>
      <c r="BH300" s="246">
        <f t="shared" si="108"/>
        <v>75</v>
      </c>
      <c r="BI300" s="90">
        <f t="shared" si="109"/>
        <v>0.75</v>
      </c>
      <c r="BJ300" s="325">
        <v>0</v>
      </c>
      <c r="BK300" s="247">
        <f t="shared" si="110"/>
        <v>100</v>
      </c>
      <c r="BL300" s="94">
        <f t="shared" si="111"/>
        <v>2</v>
      </c>
      <c r="BM300" s="325">
        <v>0</v>
      </c>
      <c r="BN300" s="325">
        <v>1</v>
      </c>
      <c r="BO300" s="325">
        <v>1</v>
      </c>
      <c r="BP300" s="211">
        <f t="shared" si="112"/>
        <v>2</v>
      </c>
      <c r="BQ300" s="253">
        <f t="shared" si="113"/>
        <v>75</v>
      </c>
      <c r="BR300" s="99">
        <f t="shared" si="114"/>
        <v>0.75</v>
      </c>
      <c r="BS300" s="101">
        <f t="shared" si="115"/>
        <v>16.5</v>
      </c>
    </row>
    <row r="301" spans="1:71" x14ac:dyDescent="0.6">
      <c r="A301" s="373" t="s">
        <v>916</v>
      </c>
      <c r="B301" s="1" t="s">
        <v>3215</v>
      </c>
      <c r="C301" s="380" t="s">
        <v>327</v>
      </c>
      <c r="D301" s="351" t="s">
        <v>285</v>
      </c>
      <c r="E301" s="352" t="s">
        <v>867</v>
      </c>
      <c r="F301" s="352" t="s">
        <v>114</v>
      </c>
      <c r="G301" s="353">
        <v>31038</v>
      </c>
      <c r="H301" s="352" t="s">
        <v>830</v>
      </c>
      <c r="I301" s="352" t="s">
        <v>694</v>
      </c>
      <c r="J301" s="352" t="s">
        <v>1012</v>
      </c>
      <c r="K301" s="352" t="s">
        <v>91</v>
      </c>
      <c r="L301" s="381">
        <v>13738416000</v>
      </c>
      <c r="M301" s="376">
        <v>7344179000</v>
      </c>
      <c r="N301" s="376">
        <v>6394237000</v>
      </c>
      <c r="O301" s="376">
        <v>11978479000</v>
      </c>
      <c r="P301" s="376">
        <v>346342000</v>
      </c>
      <c r="Q301" s="376">
        <v>503694000</v>
      </c>
      <c r="R301" s="376">
        <v>346572000</v>
      </c>
      <c r="S301" s="325">
        <v>1</v>
      </c>
      <c r="T301" s="246">
        <f t="shared" si="98"/>
        <v>50</v>
      </c>
      <c r="U301" s="77">
        <f t="shared" si="99"/>
        <v>1</v>
      </c>
      <c r="V301" s="377">
        <v>0</v>
      </c>
      <c r="W301" s="377">
        <v>0</v>
      </c>
      <c r="X301" s="377">
        <v>0</v>
      </c>
      <c r="Y301" s="377">
        <v>0</v>
      </c>
      <c r="Z301" s="377">
        <v>0</v>
      </c>
      <c r="AA301" s="377">
        <v>0</v>
      </c>
      <c r="AB301" s="377">
        <v>0</v>
      </c>
      <c r="AC301" s="247">
        <f t="shared" si="100"/>
        <v>0</v>
      </c>
      <c r="AD301" s="247">
        <f t="shared" si="101"/>
        <v>100</v>
      </c>
      <c r="AE301" s="82">
        <f t="shared" si="120"/>
        <v>5</v>
      </c>
      <c r="AF301" s="377">
        <v>0</v>
      </c>
      <c r="AG301" s="377">
        <v>0</v>
      </c>
      <c r="AH301" s="247">
        <f t="shared" si="102"/>
        <v>0</v>
      </c>
      <c r="AI301" s="247">
        <f t="shared" si="116"/>
        <v>100</v>
      </c>
      <c r="AJ301" s="82">
        <f t="shared" si="117"/>
        <v>3</v>
      </c>
      <c r="AK301" s="367" t="s">
        <v>2902</v>
      </c>
      <c r="AL301" s="367" t="s">
        <v>2902</v>
      </c>
      <c r="AM301" s="367" t="s">
        <v>2902</v>
      </c>
      <c r="AN301" s="367" t="s">
        <v>2902</v>
      </c>
      <c r="AO301" s="367" t="s">
        <v>2902</v>
      </c>
      <c r="AP301" s="296" t="s">
        <v>2326</v>
      </c>
      <c r="AQ301" s="296" t="s">
        <v>2326</v>
      </c>
      <c r="AR301" s="297"/>
      <c r="AS301" s="367" t="s">
        <v>2902</v>
      </c>
      <c r="AT301" s="367" t="s">
        <v>2902</v>
      </c>
      <c r="AU301" s="296" t="s">
        <v>2326</v>
      </c>
      <c r="AV301" s="297"/>
      <c r="AW301" s="325">
        <v>0</v>
      </c>
      <c r="AX301" s="247">
        <f t="shared" si="103"/>
        <v>50</v>
      </c>
      <c r="AY301" s="90">
        <f t="shared" si="104"/>
        <v>2</v>
      </c>
      <c r="AZ301" s="378">
        <v>0</v>
      </c>
      <c r="BA301" s="449" t="s">
        <v>3782</v>
      </c>
      <c r="BB301" s="247">
        <f t="shared" si="105"/>
        <v>100</v>
      </c>
      <c r="BC301" s="91">
        <f t="shared" si="106"/>
        <v>2</v>
      </c>
      <c r="BD301" s="325">
        <v>0</v>
      </c>
      <c r="BE301" s="325">
        <v>0</v>
      </c>
      <c r="BF301" s="325">
        <v>0</v>
      </c>
      <c r="BG301" s="252">
        <f t="shared" si="107"/>
        <v>0</v>
      </c>
      <c r="BH301" s="246">
        <f t="shared" si="108"/>
        <v>100</v>
      </c>
      <c r="BI301" s="90">
        <f t="shared" si="109"/>
        <v>1</v>
      </c>
      <c r="BJ301" s="325">
        <v>0</v>
      </c>
      <c r="BK301" s="247">
        <f t="shared" si="110"/>
        <v>100</v>
      </c>
      <c r="BL301" s="94">
        <f t="shared" si="111"/>
        <v>2</v>
      </c>
      <c r="BM301" s="325">
        <v>0</v>
      </c>
      <c r="BN301" s="325">
        <v>0</v>
      </c>
      <c r="BO301" s="325">
        <v>1</v>
      </c>
      <c r="BP301" s="211">
        <f t="shared" si="112"/>
        <v>1</v>
      </c>
      <c r="BQ301" s="253">
        <f t="shared" si="113"/>
        <v>50</v>
      </c>
      <c r="BR301" s="99">
        <f t="shared" si="114"/>
        <v>0.5</v>
      </c>
      <c r="BS301" s="101">
        <f t="shared" si="115"/>
        <v>16.5</v>
      </c>
    </row>
    <row r="302" spans="1:71" x14ac:dyDescent="0.6">
      <c r="A302" s="373" t="s">
        <v>454</v>
      </c>
      <c r="B302" s="1" t="s">
        <v>3216</v>
      </c>
      <c r="C302" s="380" t="s">
        <v>84</v>
      </c>
      <c r="D302" s="351" t="s">
        <v>285</v>
      </c>
      <c r="E302" s="352" t="s">
        <v>622</v>
      </c>
      <c r="F302" s="352" t="s">
        <v>653</v>
      </c>
      <c r="G302" s="353">
        <v>38712</v>
      </c>
      <c r="H302" s="352" t="s">
        <v>830</v>
      </c>
      <c r="I302" s="352" t="s">
        <v>1954</v>
      </c>
      <c r="J302" s="352" t="s">
        <v>1124</v>
      </c>
      <c r="K302" s="352" t="s">
        <v>91</v>
      </c>
      <c r="L302" s="381">
        <v>11586104724</v>
      </c>
      <c r="M302" s="376">
        <v>5729632009</v>
      </c>
      <c r="N302" s="376">
        <v>5856472715</v>
      </c>
      <c r="O302" s="376">
        <v>21528979386</v>
      </c>
      <c r="P302" s="376">
        <v>1595700562</v>
      </c>
      <c r="Q302" s="376">
        <v>1527487113</v>
      </c>
      <c r="R302" s="376">
        <v>1209437646</v>
      </c>
      <c r="S302" s="325">
        <v>1</v>
      </c>
      <c r="T302" s="246">
        <f t="shared" si="98"/>
        <v>50</v>
      </c>
      <c r="U302" s="77">
        <f t="shared" si="99"/>
        <v>1</v>
      </c>
      <c r="V302" s="377">
        <v>0</v>
      </c>
      <c r="W302" s="377">
        <v>0</v>
      </c>
      <c r="X302" s="377">
        <v>0</v>
      </c>
      <c r="Y302" s="377">
        <v>0</v>
      </c>
      <c r="Z302" s="377">
        <v>0</v>
      </c>
      <c r="AA302" s="377">
        <v>0</v>
      </c>
      <c r="AB302" s="377">
        <v>0</v>
      </c>
      <c r="AC302" s="247">
        <f t="shared" si="100"/>
        <v>0</v>
      </c>
      <c r="AD302" s="247">
        <f t="shared" si="101"/>
        <v>100</v>
      </c>
      <c r="AE302" s="82">
        <f t="shared" si="120"/>
        <v>5</v>
      </c>
      <c r="AF302" s="377">
        <v>0</v>
      </c>
      <c r="AG302" s="377">
        <v>0</v>
      </c>
      <c r="AH302" s="247">
        <f t="shared" si="102"/>
        <v>0</v>
      </c>
      <c r="AI302" s="247">
        <f t="shared" si="116"/>
        <v>100</v>
      </c>
      <c r="AJ302" s="82">
        <f t="shared" si="117"/>
        <v>3</v>
      </c>
      <c r="AK302" s="367" t="s">
        <v>2902</v>
      </c>
      <c r="AL302" s="367" t="s">
        <v>2902</v>
      </c>
      <c r="AM302" s="367" t="s">
        <v>2902</v>
      </c>
      <c r="AN302" s="367" t="s">
        <v>2902</v>
      </c>
      <c r="AO302" s="367" t="s">
        <v>2902</v>
      </c>
      <c r="AP302" s="296" t="s">
        <v>2326</v>
      </c>
      <c r="AQ302" s="296" t="s">
        <v>2326</v>
      </c>
      <c r="AR302" s="297"/>
      <c r="AS302" s="367" t="s">
        <v>2902</v>
      </c>
      <c r="AT302" s="367" t="s">
        <v>2902</v>
      </c>
      <c r="AU302" s="296" t="s">
        <v>2326</v>
      </c>
      <c r="AV302" s="297"/>
      <c r="AW302" s="325">
        <v>0</v>
      </c>
      <c r="AX302" s="247">
        <f t="shared" si="103"/>
        <v>50</v>
      </c>
      <c r="AY302" s="90">
        <f t="shared" si="104"/>
        <v>2</v>
      </c>
      <c r="AZ302" s="378">
        <v>0</v>
      </c>
      <c r="BA302" s="449" t="s">
        <v>3782</v>
      </c>
      <c r="BB302" s="247">
        <f t="shared" si="105"/>
        <v>100</v>
      </c>
      <c r="BC302" s="91">
        <f t="shared" si="106"/>
        <v>2</v>
      </c>
      <c r="BD302" s="325">
        <v>0</v>
      </c>
      <c r="BE302" s="325">
        <v>0</v>
      </c>
      <c r="BF302" s="325">
        <v>0</v>
      </c>
      <c r="BG302" s="252">
        <f t="shared" si="107"/>
        <v>0</v>
      </c>
      <c r="BH302" s="246">
        <f t="shared" si="108"/>
        <v>100</v>
      </c>
      <c r="BI302" s="90">
        <f t="shared" si="109"/>
        <v>1</v>
      </c>
      <c r="BJ302" s="325">
        <v>0</v>
      </c>
      <c r="BK302" s="247">
        <f t="shared" si="110"/>
        <v>100</v>
      </c>
      <c r="BL302" s="94">
        <f t="shared" si="111"/>
        <v>2</v>
      </c>
      <c r="BM302" s="325">
        <v>0</v>
      </c>
      <c r="BN302" s="325">
        <v>1</v>
      </c>
      <c r="BO302" s="325">
        <v>1</v>
      </c>
      <c r="BP302" s="211">
        <f t="shared" si="112"/>
        <v>2</v>
      </c>
      <c r="BQ302" s="253">
        <f t="shared" si="113"/>
        <v>75</v>
      </c>
      <c r="BR302" s="99">
        <f t="shared" si="114"/>
        <v>0.75</v>
      </c>
      <c r="BS302" s="101">
        <f t="shared" si="115"/>
        <v>16.75</v>
      </c>
    </row>
    <row r="303" spans="1:71" x14ac:dyDescent="0.6">
      <c r="A303" s="373" t="s">
        <v>1955</v>
      </c>
      <c r="B303" s="13" t="s">
        <v>3217</v>
      </c>
      <c r="C303" s="380" t="s">
        <v>1956</v>
      </c>
      <c r="D303" s="315" t="s">
        <v>202</v>
      </c>
      <c r="E303" s="352" t="s">
        <v>1957</v>
      </c>
      <c r="F303" s="352" t="s">
        <v>1958</v>
      </c>
      <c r="G303" s="353">
        <v>41577</v>
      </c>
      <c r="H303" s="352" t="s">
        <v>830</v>
      </c>
      <c r="I303" s="352" t="s">
        <v>1959</v>
      </c>
      <c r="J303" s="352" t="s">
        <v>1960</v>
      </c>
      <c r="K303" s="352" t="s">
        <v>50</v>
      </c>
      <c r="L303" s="381">
        <v>4676787304</v>
      </c>
      <c r="M303" s="376">
        <v>3212555016</v>
      </c>
      <c r="N303" s="376">
        <v>1464232288</v>
      </c>
      <c r="O303" s="376">
        <v>3106010725</v>
      </c>
      <c r="P303" s="376">
        <v>177983235</v>
      </c>
      <c r="Q303" s="376">
        <v>122548827</v>
      </c>
      <c r="R303" s="376">
        <v>213700726</v>
      </c>
      <c r="S303" s="325">
        <v>1</v>
      </c>
      <c r="T303" s="246">
        <f t="shared" si="98"/>
        <v>50</v>
      </c>
      <c r="U303" s="77">
        <f t="shared" si="99"/>
        <v>1</v>
      </c>
      <c r="V303" s="377">
        <v>0</v>
      </c>
      <c r="W303" s="377">
        <v>0</v>
      </c>
      <c r="X303" s="377">
        <v>0</v>
      </c>
      <c r="Y303" s="377">
        <v>0</v>
      </c>
      <c r="Z303" s="377">
        <v>0</v>
      </c>
      <c r="AA303" s="377">
        <v>0</v>
      </c>
      <c r="AB303" s="377">
        <v>0</v>
      </c>
      <c r="AC303" s="247">
        <f t="shared" si="100"/>
        <v>0</v>
      </c>
      <c r="AD303" s="247">
        <f t="shared" si="101"/>
        <v>100</v>
      </c>
      <c r="AE303" s="82">
        <f t="shared" si="120"/>
        <v>5</v>
      </c>
      <c r="AF303" s="377">
        <v>0</v>
      </c>
      <c r="AG303" s="377">
        <v>0</v>
      </c>
      <c r="AH303" s="247">
        <f t="shared" si="102"/>
        <v>0</v>
      </c>
      <c r="AI303" s="247">
        <f t="shared" si="116"/>
        <v>100</v>
      </c>
      <c r="AJ303" s="82">
        <f t="shared" si="117"/>
        <v>3</v>
      </c>
      <c r="AK303" s="367" t="s">
        <v>2902</v>
      </c>
      <c r="AL303" s="367" t="s">
        <v>2902</v>
      </c>
      <c r="AM303" s="367" t="s">
        <v>2902</v>
      </c>
      <c r="AN303" s="367" t="s">
        <v>2902</v>
      </c>
      <c r="AO303" s="367" t="s">
        <v>2902</v>
      </c>
      <c r="AP303" s="296" t="s">
        <v>2326</v>
      </c>
      <c r="AQ303" s="296" t="s">
        <v>2326</v>
      </c>
      <c r="AR303" s="297"/>
      <c r="AS303" s="367" t="s">
        <v>2902</v>
      </c>
      <c r="AT303" s="367" t="s">
        <v>2902</v>
      </c>
      <c r="AU303" s="296" t="s">
        <v>2326</v>
      </c>
      <c r="AV303" s="297"/>
      <c r="AW303" s="325">
        <v>0</v>
      </c>
      <c r="AX303" s="247">
        <f t="shared" si="103"/>
        <v>50</v>
      </c>
      <c r="AY303" s="90">
        <f t="shared" si="104"/>
        <v>2</v>
      </c>
      <c r="AZ303" s="378">
        <v>0</v>
      </c>
      <c r="BA303" s="449" t="s">
        <v>3782</v>
      </c>
      <c r="BB303" s="247">
        <f t="shared" si="105"/>
        <v>100</v>
      </c>
      <c r="BC303" s="91">
        <f t="shared" si="106"/>
        <v>2</v>
      </c>
      <c r="BD303" s="325">
        <v>0</v>
      </c>
      <c r="BE303" s="325">
        <v>0</v>
      </c>
      <c r="BF303" s="325">
        <v>0</v>
      </c>
      <c r="BG303" s="252">
        <f t="shared" si="107"/>
        <v>0</v>
      </c>
      <c r="BH303" s="246">
        <f t="shared" si="108"/>
        <v>100</v>
      </c>
      <c r="BI303" s="90">
        <f t="shared" si="109"/>
        <v>1</v>
      </c>
      <c r="BJ303" s="325">
        <v>0</v>
      </c>
      <c r="BK303" s="247">
        <f t="shared" si="110"/>
        <v>100</v>
      </c>
      <c r="BL303" s="94">
        <f t="shared" si="111"/>
        <v>2</v>
      </c>
      <c r="BM303" s="325">
        <v>0</v>
      </c>
      <c r="BN303" s="325">
        <v>0</v>
      </c>
      <c r="BO303" s="325">
        <v>1</v>
      </c>
      <c r="BP303" s="211">
        <f t="shared" si="112"/>
        <v>1</v>
      </c>
      <c r="BQ303" s="253">
        <f t="shared" si="113"/>
        <v>50</v>
      </c>
      <c r="BR303" s="99">
        <f t="shared" si="114"/>
        <v>0.5</v>
      </c>
      <c r="BS303" s="101">
        <f t="shared" si="115"/>
        <v>16.5</v>
      </c>
    </row>
    <row r="304" spans="1:71" x14ac:dyDescent="0.6">
      <c r="A304" s="373" t="s">
        <v>910</v>
      </c>
      <c r="B304" s="13" t="s">
        <v>3218</v>
      </c>
      <c r="C304" s="380" t="s">
        <v>480</v>
      </c>
      <c r="D304" s="351" t="s">
        <v>202</v>
      </c>
      <c r="E304" s="352" t="s">
        <v>954</v>
      </c>
      <c r="F304" s="352" t="s">
        <v>150</v>
      </c>
      <c r="G304" s="353">
        <v>32756</v>
      </c>
      <c r="H304" s="352" t="s">
        <v>830</v>
      </c>
      <c r="I304" s="352" t="s">
        <v>269</v>
      </c>
      <c r="J304" s="352" t="s">
        <v>1140</v>
      </c>
      <c r="K304" s="352" t="s">
        <v>91</v>
      </c>
      <c r="L304" s="381">
        <v>34782050000</v>
      </c>
      <c r="M304" s="376">
        <v>8693623000</v>
      </c>
      <c r="N304" s="376">
        <v>26088427000</v>
      </c>
      <c r="O304" s="376">
        <v>34052113000</v>
      </c>
      <c r="P304" s="376">
        <v>1405333000</v>
      </c>
      <c r="Q304" s="376">
        <v>2049859000</v>
      </c>
      <c r="R304" s="376">
        <v>1576460000</v>
      </c>
      <c r="S304" s="325">
        <v>1</v>
      </c>
      <c r="T304" s="246">
        <f t="shared" si="98"/>
        <v>50</v>
      </c>
      <c r="U304" s="77">
        <f t="shared" si="99"/>
        <v>1</v>
      </c>
      <c r="V304" s="377">
        <v>0</v>
      </c>
      <c r="W304" s="377">
        <v>0</v>
      </c>
      <c r="X304" s="377">
        <v>0</v>
      </c>
      <c r="Y304" s="377">
        <v>0</v>
      </c>
      <c r="Z304" s="377">
        <v>0</v>
      </c>
      <c r="AA304" s="377">
        <v>0</v>
      </c>
      <c r="AB304" s="377">
        <v>0</v>
      </c>
      <c r="AC304" s="247">
        <f t="shared" si="100"/>
        <v>0</v>
      </c>
      <c r="AD304" s="247">
        <f t="shared" si="101"/>
        <v>100</v>
      </c>
      <c r="AE304" s="82">
        <f t="shared" si="120"/>
        <v>5</v>
      </c>
      <c r="AF304" s="377">
        <v>0</v>
      </c>
      <c r="AG304" s="377">
        <v>0</v>
      </c>
      <c r="AH304" s="247">
        <f t="shared" si="102"/>
        <v>0</v>
      </c>
      <c r="AI304" s="247">
        <f t="shared" si="116"/>
        <v>100</v>
      </c>
      <c r="AJ304" s="82">
        <f t="shared" si="117"/>
        <v>3</v>
      </c>
      <c r="AK304" s="367" t="s">
        <v>2902</v>
      </c>
      <c r="AL304" s="367" t="s">
        <v>2902</v>
      </c>
      <c r="AM304" s="367" t="s">
        <v>2902</v>
      </c>
      <c r="AN304" s="367" t="s">
        <v>2902</v>
      </c>
      <c r="AO304" s="367" t="s">
        <v>2902</v>
      </c>
      <c r="AP304" s="296" t="s">
        <v>2326</v>
      </c>
      <c r="AQ304" s="296" t="s">
        <v>2326</v>
      </c>
      <c r="AR304" s="297"/>
      <c r="AS304" s="367" t="s">
        <v>2902</v>
      </c>
      <c r="AT304" s="367" t="s">
        <v>2902</v>
      </c>
      <c r="AU304" s="296" t="s">
        <v>2326</v>
      </c>
      <c r="AV304" s="297"/>
      <c r="AW304" s="325">
        <v>0</v>
      </c>
      <c r="AX304" s="247">
        <f t="shared" si="103"/>
        <v>50</v>
      </c>
      <c r="AY304" s="90">
        <f t="shared" si="104"/>
        <v>2</v>
      </c>
      <c r="AZ304" s="378">
        <v>0</v>
      </c>
      <c r="BA304" s="449" t="s">
        <v>3782</v>
      </c>
      <c r="BB304" s="247">
        <f t="shared" si="105"/>
        <v>100</v>
      </c>
      <c r="BC304" s="91">
        <f t="shared" si="106"/>
        <v>2</v>
      </c>
      <c r="BD304" s="325">
        <v>0</v>
      </c>
      <c r="BE304" s="325">
        <v>0</v>
      </c>
      <c r="BF304" s="325">
        <v>1</v>
      </c>
      <c r="BG304" s="252">
        <f t="shared" si="107"/>
        <v>1</v>
      </c>
      <c r="BH304" s="246">
        <f t="shared" si="108"/>
        <v>75</v>
      </c>
      <c r="BI304" s="90">
        <f t="shared" si="109"/>
        <v>0.75</v>
      </c>
      <c r="BJ304" s="325">
        <v>0</v>
      </c>
      <c r="BK304" s="247">
        <f t="shared" si="110"/>
        <v>100</v>
      </c>
      <c r="BL304" s="94">
        <f t="shared" si="111"/>
        <v>2</v>
      </c>
      <c r="BM304" s="325">
        <v>0</v>
      </c>
      <c r="BN304" s="325">
        <v>0</v>
      </c>
      <c r="BO304" s="325">
        <v>1</v>
      </c>
      <c r="BP304" s="211">
        <f t="shared" si="112"/>
        <v>1</v>
      </c>
      <c r="BQ304" s="253">
        <f t="shared" si="113"/>
        <v>50</v>
      </c>
      <c r="BR304" s="99">
        <f t="shared" si="114"/>
        <v>0.5</v>
      </c>
      <c r="BS304" s="101">
        <f t="shared" si="115"/>
        <v>16.25</v>
      </c>
    </row>
    <row r="305" spans="1:71" x14ac:dyDescent="0.6">
      <c r="A305" s="373" t="s">
        <v>923</v>
      </c>
      <c r="B305" s="1" t="s">
        <v>3219</v>
      </c>
      <c r="C305" s="380" t="s">
        <v>367</v>
      </c>
      <c r="D305" s="351" t="s">
        <v>285</v>
      </c>
      <c r="E305" s="352" t="s">
        <v>504</v>
      </c>
      <c r="F305" s="352" t="s">
        <v>713</v>
      </c>
      <c r="G305" s="353">
        <v>37585</v>
      </c>
      <c r="H305" s="352" t="s">
        <v>830</v>
      </c>
      <c r="I305" s="352" t="s">
        <v>1101</v>
      </c>
      <c r="J305" s="352" t="s">
        <v>1168</v>
      </c>
      <c r="K305" s="352" t="s">
        <v>91</v>
      </c>
      <c r="L305" s="381">
        <v>7747981793</v>
      </c>
      <c r="M305" s="376">
        <v>3561063599</v>
      </c>
      <c r="N305" s="376">
        <v>4186918194</v>
      </c>
      <c r="O305" s="376">
        <v>1655713149</v>
      </c>
      <c r="P305" s="376">
        <v>252210667</v>
      </c>
      <c r="Q305" s="376">
        <v>205090876</v>
      </c>
      <c r="R305" s="376">
        <v>160877945</v>
      </c>
      <c r="S305" s="325">
        <v>1</v>
      </c>
      <c r="T305" s="246">
        <f t="shared" si="98"/>
        <v>50</v>
      </c>
      <c r="U305" s="77">
        <f t="shared" si="99"/>
        <v>1</v>
      </c>
      <c r="V305" s="377">
        <v>0</v>
      </c>
      <c r="W305" s="377">
        <v>0</v>
      </c>
      <c r="X305" s="377">
        <v>0</v>
      </c>
      <c r="Y305" s="377">
        <v>0</v>
      </c>
      <c r="Z305" s="377">
        <v>0</v>
      </c>
      <c r="AA305" s="377">
        <v>0</v>
      </c>
      <c r="AB305" s="377">
        <v>0</v>
      </c>
      <c r="AC305" s="247">
        <f t="shared" si="100"/>
        <v>0</v>
      </c>
      <c r="AD305" s="247">
        <f t="shared" si="101"/>
        <v>100</v>
      </c>
      <c r="AE305" s="82">
        <f t="shared" si="120"/>
        <v>5</v>
      </c>
      <c r="AF305" s="377">
        <v>0</v>
      </c>
      <c r="AG305" s="377">
        <v>0</v>
      </c>
      <c r="AH305" s="247">
        <f t="shared" si="102"/>
        <v>0</v>
      </c>
      <c r="AI305" s="247">
        <f t="shared" si="116"/>
        <v>100</v>
      </c>
      <c r="AJ305" s="82">
        <f t="shared" si="117"/>
        <v>3</v>
      </c>
      <c r="AK305" s="367" t="s">
        <v>2902</v>
      </c>
      <c r="AL305" s="367" t="s">
        <v>2902</v>
      </c>
      <c r="AM305" s="367" t="s">
        <v>2902</v>
      </c>
      <c r="AN305" s="367" t="s">
        <v>2902</v>
      </c>
      <c r="AO305" s="367" t="s">
        <v>2902</v>
      </c>
      <c r="AP305" s="296" t="s">
        <v>2326</v>
      </c>
      <c r="AQ305" s="296" t="s">
        <v>2326</v>
      </c>
      <c r="AR305" s="297"/>
      <c r="AS305" s="367" t="s">
        <v>2902</v>
      </c>
      <c r="AT305" s="367" t="s">
        <v>2902</v>
      </c>
      <c r="AU305" s="296" t="s">
        <v>2326</v>
      </c>
      <c r="AV305" s="297"/>
      <c r="AW305" s="325">
        <v>1</v>
      </c>
      <c r="AX305" s="247">
        <f t="shared" si="103"/>
        <v>100</v>
      </c>
      <c r="AY305" s="90">
        <f t="shared" si="104"/>
        <v>4</v>
      </c>
      <c r="AZ305" s="378">
        <v>0</v>
      </c>
      <c r="BA305" s="449" t="s">
        <v>3782</v>
      </c>
      <c r="BB305" s="247">
        <f t="shared" si="105"/>
        <v>100</v>
      </c>
      <c r="BC305" s="91">
        <f t="shared" si="106"/>
        <v>2</v>
      </c>
      <c r="BD305" s="325">
        <v>0</v>
      </c>
      <c r="BE305" s="325">
        <v>0</v>
      </c>
      <c r="BF305" s="325">
        <v>0</v>
      </c>
      <c r="BG305" s="252">
        <f t="shared" si="107"/>
        <v>0</v>
      </c>
      <c r="BH305" s="246">
        <f t="shared" si="108"/>
        <v>100</v>
      </c>
      <c r="BI305" s="90">
        <f t="shared" si="109"/>
        <v>1</v>
      </c>
      <c r="BJ305" s="325">
        <v>0</v>
      </c>
      <c r="BK305" s="247">
        <f t="shared" si="110"/>
        <v>100</v>
      </c>
      <c r="BL305" s="94">
        <f t="shared" si="111"/>
        <v>2</v>
      </c>
      <c r="BM305" s="325">
        <v>0</v>
      </c>
      <c r="BN305" s="325">
        <v>0</v>
      </c>
      <c r="BO305" s="325">
        <v>1</v>
      </c>
      <c r="BP305" s="211">
        <f t="shared" si="112"/>
        <v>1</v>
      </c>
      <c r="BQ305" s="253">
        <f t="shared" si="113"/>
        <v>50</v>
      </c>
      <c r="BR305" s="99">
        <f t="shared" si="114"/>
        <v>0.5</v>
      </c>
      <c r="BS305" s="101">
        <f t="shared" si="115"/>
        <v>18.5</v>
      </c>
    </row>
    <row r="306" spans="1:71" x14ac:dyDescent="0.6">
      <c r="A306" s="373" t="s">
        <v>918</v>
      </c>
      <c r="B306" s="1" t="s">
        <v>3220</v>
      </c>
      <c r="C306" s="380" t="s">
        <v>848</v>
      </c>
      <c r="D306" s="351" t="s">
        <v>202</v>
      </c>
      <c r="E306" s="352" t="s">
        <v>575</v>
      </c>
      <c r="F306" s="352" t="s">
        <v>0</v>
      </c>
      <c r="G306" s="353">
        <v>35249</v>
      </c>
      <c r="H306" s="352" t="s">
        <v>830</v>
      </c>
      <c r="I306" s="352" t="s">
        <v>678</v>
      </c>
      <c r="J306" s="352" t="s">
        <v>383</v>
      </c>
      <c r="K306" s="352" t="s">
        <v>317</v>
      </c>
      <c r="L306" s="381">
        <v>2341218033</v>
      </c>
      <c r="M306" s="376">
        <v>1123345096</v>
      </c>
      <c r="N306" s="376">
        <v>1217872936</v>
      </c>
      <c r="O306" s="376">
        <v>1657192106</v>
      </c>
      <c r="P306" s="376">
        <v>70857294</v>
      </c>
      <c r="Q306" s="376">
        <v>155414095</v>
      </c>
      <c r="R306" s="376">
        <v>119214196</v>
      </c>
      <c r="S306" s="325">
        <v>1</v>
      </c>
      <c r="T306" s="246">
        <f t="shared" si="98"/>
        <v>50</v>
      </c>
      <c r="U306" s="77">
        <f t="shared" si="99"/>
        <v>1</v>
      </c>
      <c r="V306" s="377">
        <v>0</v>
      </c>
      <c r="W306" s="377">
        <v>0</v>
      </c>
      <c r="X306" s="377">
        <v>0</v>
      </c>
      <c r="Y306" s="377">
        <v>0</v>
      </c>
      <c r="Z306" s="377">
        <v>0</v>
      </c>
      <c r="AA306" s="377">
        <v>0</v>
      </c>
      <c r="AB306" s="377">
        <v>0</v>
      </c>
      <c r="AC306" s="247">
        <f t="shared" si="100"/>
        <v>0</v>
      </c>
      <c r="AD306" s="247">
        <f t="shared" si="101"/>
        <v>100</v>
      </c>
      <c r="AE306" s="82">
        <f t="shared" si="120"/>
        <v>5</v>
      </c>
      <c r="AF306" s="377">
        <v>0</v>
      </c>
      <c r="AG306" s="377">
        <v>0</v>
      </c>
      <c r="AH306" s="247">
        <f t="shared" si="102"/>
        <v>0</v>
      </c>
      <c r="AI306" s="247">
        <f t="shared" si="116"/>
        <v>100</v>
      </c>
      <c r="AJ306" s="82">
        <f t="shared" si="117"/>
        <v>3</v>
      </c>
      <c r="AK306" s="367" t="s">
        <v>2902</v>
      </c>
      <c r="AL306" s="367" t="s">
        <v>2902</v>
      </c>
      <c r="AM306" s="367" t="s">
        <v>2902</v>
      </c>
      <c r="AN306" s="367" t="s">
        <v>2902</v>
      </c>
      <c r="AO306" s="367" t="s">
        <v>2902</v>
      </c>
      <c r="AP306" s="296" t="s">
        <v>2326</v>
      </c>
      <c r="AQ306" s="296" t="s">
        <v>2326</v>
      </c>
      <c r="AR306" s="297"/>
      <c r="AS306" s="367" t="s">
        <v>2902</v>
      </c>
      <c r="AT306" s="367" t="s">
        <v>2902</v>
      </c>
      <c r="AU306" s="296" t="s">
        <v>2326</v>
      </c>
      <c r="AV306" s="297"/>
      <c r="AW306" s="325">
        <v>0</v>
      </c>
      <c r="AX306" s="247">
        <f t="shared" si="103"/>
        <v>50</v>
      </c>
      <c r="AY306" s="90">
        <f t="shared" si="104"/>
        <v>2</v>
      </c>
      <c r="AZ306" s="378">
        <v>0</v>
      </c>
      <c r="BA306" s="449" t="s">
        <v>3782</v>
      </c>
      <c r="BB306" s="247">
        <f t="shared" si="105"/>
        <v>100</v>
      </c>
      <c r="BC306" s="91">
        <f t="shared" si="106"/>
        <v>2</v>
      </c>
      <c r="BD306" s="325">
        <v>0</v>
      </c>
      <c r="BE306" s="325">
        <v>0</v>
      </c>
      <c r="BF306" s="325">
        <v>0</v>
      </c>
      <c r="BG306" s="252">
        <f t="shared" si="107"/>
        <v>0</v>
      </c>
      <c r="BH306" s="246">
        <f t="shared" si="108"/>
        <v>100</v>
      </c>
      <c r="BI306" s="90">
        <f t="shared" si="109"/>
        <v>1</v>
      </c>
      <c r="BJ306" s="325">
        <v>0</v>
      </c>
      <c r="BK306" s="247">
        <f t="shared" si="110"/>
        <v>100</v>
      </c>
      <c r="BL306" s="94">
        <f t="shared" si="111"/>
        <v>2</v>
      </c>
      <c r="BM306" s="325">
        <v>0</v>
      </c>
      <c r="BN306" s="325">
        <v>0</v>
      </c>
      <c r="BO306" s="325">
        <v>0</v>
      </c>
      <c r="BP306" s="211">
        <f t="shared" si="112"/>
        <v>0</v>
      </c>
      <c r="BQ306" s="253">
        <f t="shared" si="113"/>
        <v>25</v>
      </c>
      <c r="BR306" s="99">
        <f t="shared" si="114"/>
        <v>0.25</v>
      </c>
      <c r="BS306" s="101">
        <f t="shared" si="115"/>
        <v>16.25</v>
      </c>
    </row>
    <row r="307" spans="1:71" x14ac:dyDescent="0.6">
      <c r="A307" s="373" t="s">
        <v>502</v>
      </c>
      <c r="B307" s="13" t="s">
        <v>3221</v>
      </c>
      <c r="C307" s="380" t="s">
        <v>465</v>
      </c>
      <c r="D307" s="351" t="s">
        <v>285</v>
      </c>
      <c r="E307" s="352" t="s">
        <v>605</v>
      </c>
      <c r="F307" s="352" t="s">
        <v>386</v>
      </c>
      <c r="G307" s="353">
        <v>43552</v>
      </c>
      <c r="H307" s="352" t="s">
        <v>830</v>
      </c>
      <c r="I307" s="352" t="s">
        <v>822</v>
      </c>
      <c r="J307" s="352" t="s">
        <v>655</v>
      </c>
      <c r="K307" s="352" t="s">
        <v>91</v>
      </c>
      <c r="L307" s="381">
        <v>2408631121</v>
      </c>
      <c r="M307" s="376">
        <v>987330400</v>
      </c>
      <c r="N307" s="376">
        <v>1421300721</v>
      </c>
      <c r="O307" s="376">
        <v>2240816395</v>
      </c>
      <c r="P307" s="376">
        <v>124351998</v>
      </c>
      <c r="Q307" s="376">
        <v>138563322</v>
      </c>
      <c r="R307" s="376">
        <v>106628632</v>
      </c>
      <c r="S307" s="325">
        <v>1</v>
      </c>
      <c r="T307" s="246">
        <f t="shared" si="98"/>
        <v>50</v>
      </c>
      <c r="U307" s="77">
        <f t="shared" si="99"/>
        <v>1</v>
      </c>
      <c r="V307" s="377">
        <v>0</v>
      </c>
      <c r="W307" s="377">
        <v>0</v>
      </c>
      <c r="X307" s="377">
        <v>0</v>
      </c>
      <c r="Y307" s="377">
        <v>0</v>
      </c>
      <c r="Z307" s="377">
        <v>0</v>
      </c>
      <c r="AA307" s="377">
        <v>0</v>
      </c>
      <c r="AB307" s="377">
        <v>0</v>
      </c>
      <c r="AC307" s="247">
        <f t="shared" si="100"/>
        <v>0</v>
      </c>
      <c r="AD307" s="247">
        <f t="shared" si="101"/>
        <v>100</v>
      </c>
      <c r="AE307" s="82">
        <f t="shared" si="120"/>
        <v>5</v>
      </c>
      <c r="AF307" s="377">
        <v>0</v>
      </c>
      <c r="AG307" s="377">
        <v>0</v>
      </c>
      <c r="AH307" s="247">
        <f t="shared" si="102"/>
        <v>0</v>
      </c>
      <c r="AI307" s="247">
        <f t="shared" si="116"/>
        <v>100</v>
      </c>
      <c r="AJ307" s="82">
        <f t="shared" si="117"/>
        <v>3</v>
      </c>
      <c r="AK307" s="367" t="s">
        <v>2902</v>
      </c>
      <c r="AL307" s="367" t="s">
        <v>2902</v>
      </c>
      <c r="AM307" s="367" t="s">
        <v>2902</v>
      </c>
      <c r="AN307" s="367" t="s">
        <v>2902</v>
      </c>
      <c r="AO307" s="367" t="s">
        <v>2902</v>
      </c>
      <c r="AP307" s="296" t="s">
        <v>2326</v>
      </c>
      <c r="AQ307" s="296" t="s">
        <v>2326</v>
      </c>
      <c r="AR307" s="297"/>
      <c r="AS307" s="367" t="s">
        <v>2902</v>
      </c>
      <c r="AT307" s="367" t="s">
        <v>2902</v>
      </c>
      <c r="AU307" s="296" t="s">
        <v>2326</v>
      </c>
      <c r="AV307" s="297"/>
      <c r="AW307" s="325">
        <v>0</v>
      </c>
      <c r="AX307" s="247">
        <f t="shared" si="103"/>
        <v>50</v>
      </c>
      <c r="AY307" s="90">
        <f t="shared" si="104"/>
        <v>2</v>
      </c>
      <c r="AZ307" s="378">
        <v>0</v>
      </c>
      <c r="BA307" s="449" t="s">
        <v>3782</v>
      </c>
      <c r="BB307" s="247">
        <f t="shared" si="105"/>
        <v>100</v>
      </c>
      <c r="BC307" s="91">
        <f t="shared" si="106"/>
        <v>2</v>
      </c>
      <c r="BD307" s="325">
        <v>0</v>
      </c>
      <c r="BE307" s="325">
        <v>0</v>
      </c>
      <c r="BF307" s="325">
        <v>0</v>
      </c>
      <c r="BG307" s="252">
        <f t="shared" si="107"/>
        <v>0</v>
      </c>
      <c r="BH307" s="246">
        <f t="shared" si="108"/>
        <v>100</v>
      </c>
      <c r="BI307" s="90">
        <f t="shared" si="109"/>
        <v>1</v>
      </c>
      <c r="BJ307" s="325">
        <v>0</v>
      </c>
      <c r="BK307" s="247">
        <f t="shared" si="110"/>
        <v>100</v>
      </c>
      <c r="BL307" s="94">
        <f t="shared" si="111"/>
        <v>2</v>
      </c>
      <c r="BM307" s="325">
        <v>0</v>
      </c>
      <c r="BN307" s="325">
        <v>0</v>
      </c>
      <c r="BO307" s="325">
        <v>1</v>
      </c>
      <c r="BP307" s="211">
        <f t="shared" si="112"/>
        <v>1</v>
      </c>
      <c r="BQ307" s="253">
        <f t="shared" si="113"/>
        <v>50</v>
      </c>
      <c r="BR307" s="99">
        <f t="shared" si="114"/>
        <v>0.5</v>
      </c>
      <c r="BS307" s="101">
        <f t="shared" si="115"/>
        <v>16.5</v>
      </c>
    </row>
    <row r="308" spans="1:71" x14ac:dyDescent="0.6">
      <c r="A308" s="373" t="s">
        <v>931</v>
      </c>
      <c r="B308" s="13" t="s">
        <v>3222</v>
      </c>
      <c r="C308" s="380" t="s">
        <v>466</v>
      </c>
      <c r="D308" s="351" t="s">
        <v>202</v>
      </c>
      <c r="E308" s="352" t="s">
        <v>996</v>
      </c>
      <c r="F308" s="352" t="s">
        <v>2</v>
      </c>
      <c r="G308" s="353">
        <v>27208</v>
      </c>
      <c r="H308" s="352" t="s">
        <v>830</v>
      </c>
      <c r="I308" s="352" t="s">
        <v>1148</v>
      </c>
      <c r="J308" s="352" t="s">
        <v>1143</v>
      </c>
      <c r="K308" s="352" t="s">
        <v>91</v>
      </c>
      <c r="L308" s="381">
        <v>83412349000</v>
      </c>
      <c r="M308" s="376">
        <v>27656534000</v>
      </c>
      <c r="N308" s="376">
        <v>55755815000</v>
      </c>
      <c r="O308" s="376">
        <v>65308350000</v>
      </c>
      <c r="P308" s="376">
        <v>2828569000</v>
      </c>
      <c r="Q308" s="376">
        <v>4175475000</v>
      </c>
      <c r="R308" s="376">
        <v>3701958000</v>
      </c>
      <c r="S308" s="325">
        <v>1</v>
      </c>
      <c r="T308" s="246">
        <f t="shared" si="98"/>
        <v>50</v>
      </c>
      <c r="U308" s="77">
        <f t="shared" si="99"/>
        <v>1</v>
      </c>
      <c r="V308" s="377">
        <v>0</v>
      </c>
      <c r="W308" s="377">
        <v>0</v>
      </c>
      <c r="X308" s="377">
        <v>0</v>
      </c>
      <c r="Y308" s="377">
        <v>0</v>
      </c>
      <c r="Z308" s="377">
        <v>0</v>
      </c>
      <c r="AA308" s="377">
        <v>0</v>
      </c>
      <c r="AB308" s="377">
        <v>0</v>
      </c>
      <c r="AC308" s="247">
        <f t="shared" si="100"/>
        <v>0</v>
      </c>
      <c r="AD308" s="247">
        <f t="shared" si="101"/>
        <v>100</v>
      </c>
      <c r="AE308" s="82">
        <f t="shared" si="120"/>
        <v>5</v>
      </c>
      <c r="AF308" s="377">
        <v>0</v>
      </c>
      <c r="AG308" s="377">
        <v>0</v>
      </c>
      <c r="AH308" s="247">
        <f t="shared" si="102"/>
        <v>0</v>
      </c>
      <c r="AI308" s="247">
        <f t="shared" si="116"/>
        <v>100</v>
      </c>
      <c r="AJ308" s="82">
        <f t="shared" si="117"/>
        <v>3</v>
      </c>
      <c r="AK308" s="367" t="s">
        <v>2902</v>
      </c>
      <c r="AL308" s="367" t="s">
        <v>2902</v>
      </c>
      <c r="AM308" s="367" t="s">
        <v>2902</v>
      </c>
      <c r="AN308" s="367" t="s">
        <v>2902</v>
      </c>
      <c r="AO308" s="367" t="s">
        <v>2902</v>
      </c>
      <c r="AP308" s="296" t="s">
        <v>2326</v>
      </c>
      <c r="AQ308" s="296" t="s">
        <v>2326</v>
      </c>
      <c r="AR308" s="297"/>
      <c r="AS308" s="367" t="s">
        <v>2902</v>
      </c>
      <c r="AT308" s="367" t="s">
        <v>2902</v>
      </c>
      <c r="AU308" s="296" t="s">
        <v>2326</v>
      </c>
      <c r="AV308" s="297"/>
      <c r="AW308" s="325">
        <v>0</v>
      </c>
      <c r="AX308" s="247">
        <f t="shared" si="103"/>
        <v>50</v>
      </c>
      <c r="AY308" s="90">
        <f t="shared" si="104"/>
        <v>2</v>
      </c>
      <c r="AZ308" s="378">
        <v>0</v>
      </c>
      <c r="BA308" s="449" t="s">
        <v>3782</v>
      </c>
      <c r="BB308" s="247">
        <f t="shared" si="105"/>
        <v>100</v>
      </c>
      <c r="BC308" s="91">
        <f t="shared" si="106"/>
        <v>2</v>
      </c>
      <c r="BD308" s="325">
        <v>0</v>
      </c>
      <c r="BE308" s="325">
        <v>0</v>
      </c>
      <c r="BF308" s="325">
        <v>0</v>
      </c>
      <c r="BG308" s="252">
        <f t="shared" si="107"/>
        <v>0</v>
      </c>
      <c r="BH308" s="246">
        <f t="shared" si="108"/>
        <v>100</v>
      </c>
      <c r="BI308" s="90">
        <f t="shared" si="109"/>
        <v>1</v>
      </c>
      <c r="BJ308" s="325">
        <v>0</v>
      </c>
      <c r="BK308" s="247">
        <f t="shared" si="110"/>
        <v>100</v>
      </c>
      <c r="BL308" s="94">
        <f t="shared" si="111"/>
        <v>2</v>
      </c>
      <c r="BM308" s="325">
        <v>0</v>
      </c>
      <c r="BN308" s="325">
        <v>0</v>
      </c>
      <c r="BO308" s="325">
        <v>1</v>
      </c>
      <c r="BP308" s="211">
        <f t="shared" si="112"/>
        <v>1</v>
      </c>
      <c r="BQ308" s="253">
        <f t="shared" si="113"/>
        <v>50</v>
      </c>
      <c r="BR308" s="99">
        <f t="shared" si="114"/>
        <v>0.5</v>
      </c>
      <c r="BS308" s="101">
        <f t="shared" si="115"/>
        <v>16.5</v>
      </c>
    </row>
    <row r="309" spans="1:71" x14ac:dyDescent="0.6">
      <c r="A309" s="373" t="s">
        <v>373</v>
      </c>
      <c r="B309" s="1" t="s">
        <v>3223</v>
      </c>
      <c r="C309" s="380" t="s">
        <v>473</v>
      </c>
      <c r="D309" s="354" t="s">
        <v>350</v>
      </c>
      <c r="E309" s="352" t="s">
        <v>179</v>
      </c>
      <c r="F309" s="352" t="s">
        <v>648</v>
      </c>
      <c r="G309" s="353">
        <v>33033</v>
      </c>
      <c r="H309" s="352" t="s">
        <v>830</v>
      </c>
      <c r="I309" s="352" t="s">
        <v>826</v>
      </c>
      <c r="J309" s="352" t="s">
        <v>979</v>
      </c>
      <c r="K309" s="352" t="s">
        <v>91</v>
      </c>
      <c r="L309" s="381">
        <v>9431771000</v>
      </c>
      <c r="M309" s="376">
        <v>8215533000</v>
      </c>
      <c r="N309" s="376">
        <v>1216238000</v>
      </c>
      <c r="O309" s="376">
        <v>1147815000</v>
      </c>
      <c r="P309" s="376">
        <v>107043000</v>
      </c>
      <c r="Q309" s="376">
        <v>107816000</v>
      </c>
      <c r="R309" s="376">
        <v>80172000</v>
      </c>
      <c r="S309" s="325">
        <v>1</v>
      </c>
      <c r="T309" s="246">
        <f t="shared" si="98"/>
        <v>50</v>
      </c>
      <c r="U309" s="77">
        <f t="shared" si="99"/>
        <v>1</v>
      </c>
      <c r="V309" s="377">
        <v>0</v>
      </c>
      <c r="W309" s="377">
        <v>0</v>
      </c>
      <c r="X309" s="377">
        <v>0</v>
      </c>
      <c r="Y309" s="377">
        <v>0</v>
      </c>
      <c r="Z309" s="377">
        <v>0</v>
      </c>
      <c r="AA309" s="377">
        <v>0</v>
      </c>
      <c r="AB309" s="377">
        <v>0</v>
      </c>
      <c r="AC309" s="247">
        <f t="shared" si="100"/>
        <v>0</v>
      </c>
      <c r="AD309" s="247">
        <f t="shared" si="101"/>
        <v>100</v>
      </c>
      <c r="AE309" s="81">
        <f>AD309*0.02</f>
        <v>2</v>
      </c>
      <c r="AF309" s="360" t="s">
        <v>2902</v>
      </c>
      <c r="AG309" s="360" t="s">
        <v>2902</v>
      </c>
      <c r="AH309" s="248" t="s">
        <v>2326</v>
      </c>
      <c r="AI309" s="248" t="s">
        <v>2326</v>
      </c>
      <c r="AJ309" s="248"/>
      <c r="AK309" s="373">
        <v>1</v>
      </c>
      <c r="AL309" s="373">
        <v>0</v>
      </c>
      <c r="AM309" s="373">
        <v>0</v>
      </c>
      <c r="AN309" s="373">
        <v>1</v>
      </c>
      <c r="AO309" s="392" t="s">
        <v>3243</v>
      </c>
      <c r="AP309" s="249">
        <f>SUM(AK309:AN309)</f>
        <v>2</v>
      </c>
      <c r="AQ309" s="250">
        <f>IF(AP309=0, 100, IF(AP309=1, 75, IF(AP309=2, 50, 25)))</f>
        <v>50</v>
      </c>
      <c r="AR309" s="83">
        <f>AQ309*0.05</f>
        <v>2.5</v>
      </c>
      <c r="AS309" s="395">
        <v>0</v>
      </c>
      <c r="AT309" s="370" t="s">
        <v>3240</v>
      </c>
      <c r="AU309" s="251">
        <f>IF(AS309=0, 100, IF(AS309=1, 200/3, IF(AS309&gt;=2, 100/3)))</f>
        <v>100</v>
      </c>
      <c r="AV309" s="87">
        <f>AU309*0.01</f>
        <v>1</v>
      </c>
      <c r="AW309" s="325">
        <v>0</v>
      </c>
      <c r="AX309" s="247">
        <f t="shared" si="103"/>
        <v>50</v>
      </c>
      <c r="AY309" s="90">
        <f t="shared" si="104"/>
        <v>2</v>
      </c>
      <c r="AZ309" s="378">
        <v>0</v>
      </c>
      <c r="BA309" s="449" t="s">
        <v>3782</v>
      </c>
      <c r="BB309" s="247">
        <f t="shared" si="105"/>
        <v>100</v>
      </c>
      <c r="BC309" s="91">
        <f t="shared" si="106"/>
        <v>2</v>
      </c>
      <c r="BD309" s="325">
        <v>0</v>
      </c>
      <c r="BE309" s="325">
        <v>0</v>
      </c>
      <c r="BF309" s="325">
        <v>0</v>
      </c>
      <c r="BG309" s="252">
        <f t="shared" si="107"/>
        <v>0</v>
      </c>
      <c r="BH309" s="246">
        <f t="shared" si="108"/>
        <v>100</v>
      </c>
      <c r="BI309" s="90">
        <f t="shared" si="109"/>
        <v>1</v>
      </c>
      <c r="BJ309" s="325">
        <v>0</v>
      </c>
      <c r="BK309" s="247">
        <f t="shared" si="110"/>
        <v>100</v>
      </c>
      <c r="BL309" s="94">
        <f t="shared" si="111"/>
        <v>2</v>
      </c>
      <c r="BM309" s="325">
        <v>0</v>
      </c>
      <c r="BN309" s="325">
        <v>0</v>
      </c>
      <c r="BO309" s="325">
        <v>1</v>
      </c>
      <c r="BP309" s="211">
        <f t="shared" si="112"/>
        <v>1</v>
      </c>
      <c r="BQ309" s="253">
        <f t="shared" si="113"/>
        <v>50</v>
      </c>
      <c r="BR309" s="99">
        <f t="shared" si="114"/>
        <v>0.5</v>
      </c>
      <c r="BS309" s="101">
        <f t="shared" si="115"/>
        <v>14</v>
      </c>
    </row>
    <row r="310" spans="1:71" x14ac:dyDescent="0.6">
      <c r="A310" s="373" t="s">
        <v>914</v>
      </c>
      <c r="B310" s="13" t="s">
        <v>3224</v>
      </c>
      <c r="C310" s="380" t="s">
        <v>859</v>
      </c>
      <c r="D310" s="351" t="s">
        <v>285</v>
      </c>
      <c r="E310" s="352" t="s">
        <v>245</v>
      </c>
      <c r="F310" s="352" t="s">
        <v>130</v>
      </c>
      <c r="G310" s="353">
        <v>28460</v>
      </c>
      <c r="H310" s="352" t="s">
        <v>830</v>
      </c>
      <c r="I310" s="352" t="s">
        <v>1149</v>
      </c>
      <c r="J310" s="352" t="s">
        <v>641</v>
      </c>
      <c r="K310" s="352" t="s">
        <v>91</v>
      </c>
      <c r="L310" s="381">
        <v>1308741234</v>
      </c>
      <c r="M310" s="376">
        <v>878633042</v>
      </c>
      <c r="N310" s="376">
        <v>430108191</v>
      </c>
      <c r="O310" s="376">
        <v>4311279621</v>
      </c>
      <c r="P310" s="376">
        <v>29265563</v>
      </c>
      <c r="Q310" s="376">
        <v>78592213</v>
      </c>
      <c r="R310" s="376">
        <v>78671213</v>
      </c>
      <c r="S310" s="325">
        <v>0</v>
      </c>
      <c r="T310" s="246">
        <f t="shared" si="98"/>
        <v>100</v>
      </c>
      <c r="U310" s="77">
        <f t="shared" si="99"/>
        <v>2</v>
      </c>
      <c r="V310" s="377">
        <v>0</v>
      </c>
      <c r="W310" s="377">
        <v>0</v>
      </c>
      <c r="X310" s="377">
        <v>0</v>
      </c>
      <c r="Y310" s="377">
        <v>0</v>
      </c>
      <c r="Z310" s="377">
        <v>0</v>
      </c>
      <c r="AA310" s="377">
        <v>0</v>
      </c>
      <c r="AB310" s="377">
        <v>0</v>
      </c>
      <c r="AC310" s="247">
        <f t="shared" si="100"/>
        <v>0</v>
      </c>
      <c r="AD310" s="247">
        <f t="shared" si="101"/>
        <v>100</v>
      </c>
      <c r="AE310" s="82">
        <f>AD310*0.05</f>
        <v>5</v>
      </c>
      <c r="AF310" s="377">
        <v>0</v>
      </c>
      <c r="AG310" s="377">
        <v>0</v>
      </c>
      <c r="AH310" s="247">
        <f t="shared" si="102"/>
        <v>0</v>
      </c>
      <c r="AI310" s="247">
        <f t="shared" si="116"/>
        <v>100</v>
      </c>
      <c r="AJ310" s="82">
        <f t="shared" si="117"/>
        <v>3</v>
      </c>
      <c r="AK310" s="367" t="s">
        <v>2902</v>
      </c>
      <c r="AL310" s="367" t="s">
        <v>2902</v>
      </c>
      <c r="AM310" s="367" t="s">
        <v>2902</v>
      </c>
      <c r="AN310" s="367" t="s">
        <v>2902</v>
      </c>
      <c r="AO310" s="367" t="s">
        <v>2902</v>
      </c>
      <c r="AP310" s="296" t="s">
        <v>2326</v>
      </c>
      <c r="AQ310" s="296" t="s">
        <v>2326</v>
      </c>
      <c r="AR310" s="297"/>
      <c r="AS310" s="367" t="s">
        <v>2902</v>
      </c>
      <c r="AT310" s="367" t="s">
        <v>2902</v>
      </c>
      <c r="AU310" s="296" t="s">
        <v>2326</v>
      </c>
      <c r="AV310" s="297"/>
      <c r="AW310" s="325">
        <v>0</v>
      </c>
      <c r="AX310" s="247">
        <f t="shared" si="103"/>
        <v>50</v>
      </c>
      <c r="AY310" s="90">
        <f t="shared" si="104"/>
        <v>2</v>
      </c>
      <c r="AZ310" s="378">
        <v>0</v>
      </c>
      <c r="BA310" s="449" t="s">
        <v>3782</v>
      </c>
      <c r="BB310" s="247">
        <f t="shared" si="105"/>
        <v>100</v>
      </c>
      <c r="BC310" s="91">
        <f t="shared" si="106"/>
        <v>2</v>
      </c>
      <c r="BD310" s="325">
        <v>0</v>
      </c>
      <c r="BE310" s="325">
        <v>0</v>
      </c>
      <c r="BF310" s="325">
        <v>0</v>
      </c>
      <c r="BG310" s="252">
        <f t="shared" si="107"/>
        <v>0</v>
      </c>
      <c r="BH310" s="246">
        <f t="shared" si="108"/>
        <v>100</v>
      </c>
      <c r="BI310" s="90">
        <f t="shared" si="109"/>
        <v>1</v>
      </c>
      <c r="BJ310" s="325">
        <v>0</v>
      </c>
      <c r="BK310" s="247">
        <f t="shared" si="110"/>
        <v>100</v>
      </c>
      <c r="BL310" s="94">
        <f t="shared" si="111"/>
        <v>2</v>
      </c>
      <c r="BM310" s="325">
        <v>0</v>
      </c>
      <c r="BN310" s="325">
        <v>0</v>
      </c>
      <c r="BO310" s="325">
        <v>1</v>
      </c>
      <c r="BP310" s="211">
        <f t="shared" si="112"/>
        <v>1</v>
      </c>
      <c r="BQ310" s="253">
        <f t="shared" si="113"/>
        <v>50</v>
      </c>
      <c r="BR310" s="99">
        <f t="shared" si="114"/>
        <v>0.5</v>
      </c>
      <c r="BS310" s="101">
        <f t="shared" si="115"/>
        <v>17.5</v>
      </c>
    </row>
    <row r="311" spans="1:71" x14ac:dyDescent="0.6">
      <c r="A311" s="373" t="s">
        <v>299</v>
      </c>
      <c r="B311" s="13" t="s">
        <v>3225</v>
      </c>
      <c r="C311" s="380" t="s">
        <v>530</v>
      </c>
      <c r="D311" s="354" t="s">
        <v>481</v>
      </c>
      <c r="E311" s="352" t="s">
        <v>704</v>
      </c>
      <c r="F311" s="352" t="s">
        <v>275</v>
      </c>
      <c r="G311" s="353">
        <v>32745</v>
      </c>
      <c r="H311" s="352" t="s">
        <v>830</v>
      </c>
      <c r="I311" s="352" t="s">
        <v>219</v>
      </c>
      <c r="J311" s="352" t="s">
        <v>957</v>
      </c>
      <c r="K311" s="352" t="s">
        <v>91</v>
      </c>
      <c r="L311" s="381">
        <v>51608012236</v>
      </c>
      <c r="M311" s="376">
        <v>47532258211</v>
      </c>
      <c r="N311" s="376">
        <v>4075754025</v>
      </c>
      <c r="O311" s="376">
        <v>14222654630</v>
      </c>
      <c r="P311" s="376">
        <v>798504080</v>
      </c>
      <c r="Q311" s="376">
        <v>768353165</v>
      </c>
      <c r="R311" s="376">
        <v>560901654</v>
      </c>
      <c r="S311" s="325">
        <v>1</v>
      </c>
      <c r="T311" s="246">
        <f t="shared" si="98"/>
        <v>50</v>
      </c>
      <c r="U311" s="77">
        <f t="shared" si="99"/>
        <v>1</v>
      </c>
      <c r="V311" s="377">
        <v>0</v>
      </c>
      <c r="W311" s="377">
        <v>0</v>
      </c>
      <c r="X311" s="377">
        <v>0</v>
      </c>
      <c r="Y311" s="377">
        <v>0</v>
      </c>
      <c r="Z311" s="377">
        <v>0</v>
      </c>
      <c r="AA311" s="377">
        <v>0</v>
      </c>
      <c r="AB311" s="377">
        <v>0</v>
      </c>
      <c r="AC311" s="247">
        <f t="shared" si="100"/>
        <v>0</v>
      </c>
      <c r="AD311" s="247">
        <f t="shared" si="101"/>
        <v>100</v>
      </c>
      <c r="AE311" s="81">
        <f>AD311*0.02</f>
        <v>2</v>
      </c>
      <c r="AF311" s="360" t="s">
        <v>2902</v>
      </c>
      <c r="AG311" s="360" t="s">
        <v>2902</v>
      </c>
      <c r="AH311" s="248" t="s">
        <v>2326</v>
      </c>
      <c r="AI311" s="248" t="s">
        <v>2326</v>
      </c>
      <c r="AJ311" s="248"/>
      <c r="AK311" s="373">
        <v>1</v>
      </c>
      <c r="AL311" s="373">
        <v>0</v>
      </c>
      <c r="AM311" s="373">
        <v>0</v>
      </c>
      <c r="AN311" s="373">
        <v>0</v>
      </c>
      <c r="AO311" s="370" t="s">
        <v>3244</v>
      </c>
      <c r="AP311" s="249">
        <f>SUM(AK311:AN311)</f>
        <v>1</v>
      </c>
      <c r="AQ311" s="250">
        <f>IF(AP311=0, 100, IF(AP311=1, 75, IF(AP311=2, 50, 25)))</f>
        <v>75</v>
      </c>
      <c r="AR311" s="83">
        <f>AQ311*0.05</f>
        <v>3.75</v>
      </c>
      <c r="AS311" s="395">
        <v>0</v>
      </c>
      <c r="AT311" s="370" t="s">
        <v>3240</v>
      </c>
      <c r="AU311" s="251">
        <f>IF(AS311=0, 100, IF(AS311=1, 200/3, IF(AS311&gt;=2, 100/3)))</f>
        <v>100</v>
      </c>
      <c r="AV311" s="87">
        <f>AU311*0.01</f>
        <v>1</v>
      </c>
      <c r="AW311" s="325">
        <v>0</v>
      </c>
      <c r="AX311" s="247">
        <f t="shared" si="103"/>
        <v>50</v>
      </c>
      <c r="AY311" s="90">
        <f t="shared" si="104"/>
        <v>2</v>
      </c>
      <c r="AZ311" s="378">
        <v>0</v>
      </c>
      <c r="BA311" s="449" t="s">
        <v>3782</v>
      </c>
      <c r="BB311" s="247">
        <f t="shared" si="105"/>
        <v>100</v>
      </c>
      <c r="BC311" s="91">
        <f t="shared" si="106"/>
        <v>2</v>
      </c>
      <c r="BD311" s="325">
        <v>0</v>
      </c>
      <c r="BE311" s="325">
        <v>0</v>
      </c>
      <c r="BF311" s="325">
        <v>0</v>
      </c>
      <c r="BG311" s="252">
        <f t="shared" si="107"/>
        <v>0</v>
      </c>
      <c r="BH311" s="246">
        <f t="shared" si="108"/>
        <v>100</v>
      </c>
      <c r="BI311" s="90">
        <f t="shared" si="109"/>
        <v>1</v>
      </c>
      <c r="BJ311" s="325">
        <v>0</v>
      </c>
      <c r="BK311" s="247">
        <f t="shared" si="110"/>
        <v>100</v>
      </c>
      <c r="BL311" s="94">
        <f t="shared" si="111"/>
        <v>2</v>
      </c>
      <c r="BM311" s="325">
        <v>0</v>
      </c>
      <c r="BN311" s="325">
        <v>0</v>
      </c>
      <c r="BO311" s="325">
        <v>1</v>
      </c>
      <c r="BP311" s="211">
        <f t="shared" si="112"/>
        <v>1</v>
      </c>
      <c r="BQ311" s="253">
        <f t="shared" si="113"/>
        <v>50</v>
      </c>
      <c r="BR311" s="99">
        <f t="shared" si="114"/>
        <v>0.5</v>
      </c>
      <c r="BS311" s="101">
        <f t="shared" si="115"/>
        <v>15.25</v>
      </c>
    </row>
    <row r="312" spans="1:71" x14ac:dyDescent="0.6">
      <c r="A312" s="373" t="s">
        <v>936</v>
      </c>
      <c r="B312" s="1" t="s">
        <v>3226</v>
      </c>
      <c r="C312" s="380" t="s">
        <v>17</v>
      </c>
      <c r="D312" s="351" t="s">
        <v>285</v>
      </c>
      <c r="E312" s="352" t="s">
        <v>851</v>
      </c>
      <c r="F312" s="352" t="s">
        <v>1141</v>
      </c>
      <c r="G312" s="353">
        <v>40434</v>
      </c>
      <c r="H312" s="352" t="s">
        <v>830</v>
      </c>
      <c r="I312" s="352" t="s">
        <v>1013</v>
      </c>
      <c r="J312" s="352" t="s">
        <v>1147</v>
      </c>
      <c r="K312" s="352" t="s">
        <v>91</v>
      </c>
      <c r="L312" s="381">
        <v>1865948929</v>
      </c>
      <c r="M312" s="376">
        <v>318378114</v>
      </c>
      <c r="N312" s="376">
        <v>1547570816</v>
      </c>
      <c r="O312" s="376">
        <v>1101635299</v>
      </c>
      <c r="P312" s="376">
        <v>112712450</v>
      </c>
      <c r="Q312" s="376">
        <v>74367602</v>
      </c>
      <c r="R312" s="376">
        <v>67521538</v>
      </c>
      <c r="S312" s="325">
        <v>1</v>
      </c>
      <c r="T312" s="246">
        <f t="shared" si="98"/>
        <v>50</v>
      </c>
      <c r="U312" s="77">
        <f t="shared" si="99"/>
        <v>1</v>
      </c>
      <c r="V312" s="377">
        <v>0</v>
      </c>
      <c r="W312" s="377">
        <v>0</v>
      </c>
      <c r="X312" s="377">
        <v>0</v>
      </c>
      <c r="Y312" s="377">
        <v>0</v>
      </c>
      <c r="Z312" s="377">
        <v>0</v>
      </c>
      <c r="AA312" s="377">
        <v>0</v>
      </c>
      <c r="AB312" s="377">
        <v>1</v>
      </c>
      <c r="AC312" s="247">
        <f t="shared" si="100"/>
        <v>1</v>
      </c>
      <c r="AD312" s="247">
        <f t="shared" si="101"/>
        <v>75</v>
      </c>
      <c r="AE312" s="82">
        <f t="shared" ref="AE312:AE322" si="121">AD312*0.05</f>
        <v>3.75</v>
      </c>
      <c r="AF312" s="377">
        <v>0</v>
      </c>
      <c r="AG312" s="377">
        <v>0</v>
      </c>
      <c r="AH312" s="247">
        <f t="shared" si="102"/>
        <v>0</v>
      </c>
      <c r="AI312" s="247">
        <f t="shared" si="116"/>
        <v>100</v>
      </c>
      <c r="AJ312" s="82">
        <f t="shared" si="117"/>
        <v>3</v>
      </c>
      <c r="AK312" s="367" t="s">
        <v>2902</v>
      </c>
      <c r="AL312" s="367" t="s">
        <v>2902</v>
      </c>
      <c r="AM312" s="367" t="s">
        <v>2902</v>
      </c>
      <c r="AN312" s="367" t="s">
        <v>2902</v>
      </c>
      <c r="AO312" s="367" t="s">
        <v>2902</v>
      </c>
      <c r="AP312" s="296" t="s">
        <v>2326</v>
      </c>
      <c r="AQ312" s="296" t="s">
        <v>2326</v>
      </c>
      <c r="AR312" s="297"/>
      <c r="AS312" s="367" t="s">
        <v>2902</v>
      </c>
      <c r="AT312" s="367" t="s">
        <v>2902</v>
      </c>
      <c r="AU312" s="296" t="s">
        <v>2326</v>
      </c>
      <c r="AV312" s="297"/>
      <c r="AW312" s="325">
        <v>1</v>
      </c>
      <c r="AX312" s="247">
        <f t="shared" si="103"/>
        <v>100</v>
      </c>
      <c r="AY312" s="90">
        <f t="shared" si="104"/>
        <v>4</v>
      </c>
      <c r="AZ312" s="378">
        <v>0</v>
      </c>
      <c r="BA312" s="449" t="s">
        <v>3782</v>
      </c>
      <c r="BB312" s="247">
        <f t="shared" si="105"/>
        <v>100</v>
      </c>
      <c r="BC312" s="91">
        <f t="shared" si="106"/>
        <v>2</v>
      </c>
      <c r="BD312" s="325">
        <v>0</v>
      </c>
      <c r="BE312" s="325">
        <v>0</v>
      </c>
      <c r="BF312" s="325">
        <v>0</v>
      </c>
      <c r="BG312" s="252">
        <f t="shared" si="107"/>
        <v>0</v>
      </c>
      <c r="BH312" s="246">
        <f t="shared" si="108"/>
        <v>100</v>
      </c>
      <c r="BI312" s="90">
        <f t="shared" si="109"/>
        <v>1</v>
      </c>
      <c r="BJ312" s="325">
        <v>0</v>
      </c>
      <c r="BK312" s="247">
        <f t="shared" si="110"/>
        <v>100</v>
      </c>
      <c r="BL312" s="94">
        <f t="shared" si="111"/>
        <v>2</v>
      </c>
      <c r="BM312" s="325">
        <v>0</v>
      </c>
      <c r="BN312" s="325">
        <v>0</v>
      </c>
      <c r="BO312" s="325">
        <v>1</v>
      </c>
      <c r="BP312" s="211">
        <f t="shared" si="112"/>
        <v>1</v>
      </c>
      <c r="BQ312" s="253">
        <f t="shared" si="113"/>
        <v>50</v>
      </c>
      <c r="BR312" s="99">
        <f t="shared" si="114"/>
        <v>0.5</v>
      </c>
      <c r="BS312" s="101">
        <f t="shared" si="115"/>
        <v>17.25</v>
      </c>
    </row>
    <row r="313" spans="1:71" x14ac:dyDescent="0.6">
      <c r="A313" s="373" t="s">
        <v>318</v>
      </c>
      <c r="B313" s="13" t="s">
        <v>3227</v>
      </c>
      <c r="C313" s="380" t="s">
        <v>539</v>
      </c>
      <c r="D313" s="351" t="s">
        <v>285</v>
      </c>
      <c r="E313" s="352" t="s">
        <v>872</v>
      </c>
      <c r="F313" s="352" t="s">
        <v>44</v>
      </c>
      <c r="G313" s="353">
        <v>32415</v>
      </c>
      <c r="H313" s="352" t="s">
        <v>830</v>
      </c>
      <c r="I313" s="352" t="s">
        <v>435</v>
      </c>
      <c r="J313" s="352" t="s">
        <v>1145</v>
      </c>
      <c r="K313" s="352" t="s">
        <v>308</v>
      </c>
      <c r="L313" s="381">
        <v>564413385</v>
      </c>
      <c r="M313" s="376">
        <v>200073929</v>
      </c>
      <c r="N313" s="376">
        <v>364339456</v>
      </c>
      <c r="O313" s="376">
        <v>645826449</v>
      </c>
      <c r="P313" s="376">
        <v>23890019</v>
      </c>
      <c r="Q313" s="376">
        <v>40898213</v>
      </c>
      <c r="R313" s="376">
        <v>31433619</v>
      </c>
      <c r="S313" s="325">
        <v>0</v>
      </c>
      <c r="T313" s="246">
        <f t="shared" si="98"/>
        <v>100</v>
      </c>
      <c r="U313" s="77">
        <f t="shared" si="99"/>
        <v>2</v>
      </c>
      <c r="V313" s="377">
        <v>0</v>
      </c>
      <c r="W313" s="377">
        <v>0</v>
      </c>
      <c r="X313" s="377">
        <v>0</v>
      </c>
      <c r="Y313" s="377">
        <v>0</v>
      </c>
      <c r="Z313" s="377">
        <v>0</v>
      </c>
      <c r="AA313" s="377">
        <v>0</v>
      </c>
      <c r="AB313" s="377">
        <v>0</v>
      </c>
      <c r="AC313" s="247">
        <f t="shared" si="100"/>
        <v>0</v>
      </c>
      <c r="AD313" s="247">
        <f t="shared" si="101"/>
        <v>100</v>
      </c>
      <c r="AE313" s="82">
        <f t="shared" si="121"/>
        <v>5</v>
      </c>
      <c r="AF313" s="377">
        <v>0</v>
      </c>
      <c r="AG313" s="377">
        <v>0</v>
      </c>
      <c r="AH313" s="247">
        <f t="shared" si="102"/>
        <v>0</v>
      </c>
      <c r="AI313" s="247">
        <f t="shared" si="116"/>
        <v>100</v>
      </c>
      <c r="AJ313" s="82">
        <f t="shared" si="117"/>
        <v>3</v>
      </c>
      <c r="AK313" s="367" t="s">
        <v>2902</v>
      </c>
      <c r="AL313" s="367" t="s">
        <v>2902</v>
      </c>
      <c r="AM313" s="367" t="s">
        <v>2902</v>
      </c>
      <c r="AN313" s="367" t="s">
        <v>2902</v>
      </c>
      <c r="AO313" s="367" t="s">
        <v>2902</v>
      </c>
      <c r="AP313" s="296" t="s">
        <v>2326</v>
      </c>
      <c r="AQ313" s="296" t="s">
        <v>2326</v>
      </c>
      <c r="AR313" s="297"/>
      <c r="AS313" s="367" t="s">
        <v>2902</v>
      </c>
      <c r="AT313" s="367" t="s">
        <v>2902</v>
      </c>
      <c r="AU313" s="296" t="s">
        <v>2326</v>
      </c>
      <c r="AV313" s="297"/>
      <c r="AW313" s="325">
        <v>0</v>
      </c>
      <c r="AX313" s="247">
        <f t="shared" si="103"/>
        <v>50</v>
      </c>
      <c r="AY313" s="90">
        <f t="shared" si="104"/>
        <v>2</v>
      </c>
      <c r="AZ313" s="378">
        <v>0</v>
      </c>
      <c r="BA313" s="449" t="s">
        <v>3782</v>
      </c>
      <c r="BB313" s="247">
        <f t="shared" si="105"/>
        <v>100</v>
      </c>
      <c r="BC313" s="91">
        <f t="shared" si="106"/>
        <v>2</v>
      </c>
      <c r="BD313" s="325">
        <v>0</v>
      </c>
      <c r="BE313" s="325">
        <v>0</v>
      </c>
      <c r="BF313" s="325">
        <v>0</v>
      </c>
      <c r="BG313" s="252">
        <f t="shared" si="107"/>
        <v>0</v>
      </c>
      <c r="BH313" s="246">
        <f t="shared" si="108"/>
        <v>100</v>
      </c>
      <c r="BI313" s="90">
        <f t="shared" si="109"/>
        <v>1</v>
      </c>
      <c r="BJ313" s="325">
        <v>0</v>
      </c>
      <c r="BK313" s="247">
        <f t="shared" si="110"/>
        <v>100</v>
      </c>
      <c r="BL313" s="94">
        <f t="shared" si="111"/>
        <v>2</v>
      </c>
      <c r="BM313" s="325">
        <v>0</v>
      </c>
      <c r="BN313" s="325">
        <v>0</v>
      </c>
      <c r="BO313" s="325">
        <v>1</v>
      </c>
      <c r="BP313" s="211">
        <f t="shared" si="112"/>
        <v>1</v>
      </c>
      <c r="BQ313" s="253">
        <f t="shared" si="113"/>
        <v>50</v>
      </c>
      <c r="BR313" s="99">
        <f t="shared" si="114"/>
        <v>0.5</v>
      </c>
      <c r="BS313" s="101">
        <f t="shared" si="115"/>
        <v>17.5</v>
      </c>
    </row>
    <row r="314" spans="1:71" x14ac:dyDescent="0.6">
      <c r="A314" s="373" t="s">
        <v>1961</v>
      </c>
      <c r="B314" s="1" t="s">
        <v>3228</v>
      </c>
      <c r="C314" s="380" t="s">
        <v>1962</v>
      </c>
      <c r="D314" s="315" t="s">
        <v>202</v>
      </c>
      <c r="E314" s="352" t="s">
        <v>954</v>
      </c>
      <c r="F314" s="352" t="s">
        <v>1963</v>
      </c>
      <c r="G314" s="353">
        <v>44270</v>
      </c>
      <c r="H314" s="352" t="s">
        <v>830</v>
      </c>
      <c r="I314" s="352" t="s">
        <v>1964</v>
      </c>
      <c r="J314" s="352" t="s">
        <v>1965</v>
      </c>
      <c r="K314" s="352" t="s">
        <v>50</v>
      </c>
      <c r="L314" s="381">
        <v>395294330</v>
      </c>
      <c r="M314" s="376">
        <v>302633820</v>
      </c>
      <c r="N314" s="376">
        <v>92660510</v>
      </c>
      <c r="O314" s="376">
        <v>657241500</v>
      </c>
      <c r="P314" s="376">
        <v>12719529</v>
      </c>
      <c r="Q314" s="376">
        <v>15411762</v>
      </c>
      <c r="R314" s="376">
        <v>12684598</v>
      </c>
      <c r="S314" s="325">
        <v>0</v>
      </c>
      <c r="T314" s="246">
        <f t="shared" si="98"/>
        <v>100</v>
      </c>
      <c r="U314" s="77">
        <f t="shared" si="99"/>
        <v>2</v>
      </c>
      <c r="V314" s="377">
        <v>0</v>
      </c>
      <c r="W314" s="377">
        <v>0</v>
      </c>
      <c r="X314" s="377">
        <v>0</v>
      </c>
      <c r="Y314" s="377">
        <v>0</v>
      </c>
      <c r="Z314" s="377">
        <v>0</v>
      </c>
      <c r="AA314" s="377">
        <v>0</v>
      </c>
      <c r="AB314" s="377">
        <v>0</v>
      </c>
      <c r="AC314" s="247">
        <f t="shared" si="100"/>
        <v>0</v>
      </c>
      <c r="AD314" s="247">
        <f t="shared" si="101"/>
        <v>100</v>
      </c>
      <c r="AE314" s="82">
        <f t="shared" si="121"/>
        <v>5</v>
      </c>
      <c r="AF314" s="377">
        <v>0</v>
      </c>
      <c r="AG314" s="377">
        <v>0</v>
      </c>
      <c r="AH314" s="247">
        <f t="shared" si="102"/>
        <v>0</v>
      </c>
      <c r="AI314" s="247">
        <f t="shared" si="116"/>
        <v>100</v>
      </c>
      <c r="AJ314" s="82">
        <f t="shared" si="117"/>
        <v>3</v>
      </c>
      <c r="AK314" s="367" t="s">
        <v>2902</v>
      </c>
      <c r="AL314" s="367" t="s">
        <v>2902</v>
      </c>
      <c r="AM314" s="367" t="s">
        <v>2902</v>
      </c>
      <c r="AN314" s="367" t="s">
        <v>2902</v>
      </c>
      <c r="AO314" s="367" t="s">
        <v>2902</v>
      </c>
      <c r="AP314" s="296" t="s">
        <v>2326</v>
      </c>
      <c r="AQ314" s="296" t="s">
        <v>2326</v>
      </c>
      <c r="AR314" s="297"/>
      <c r="AS314" s="367" t="s">
        <v>2902</v>
      </c>
      <c r="AT314" s="367" t="s">
        <v>2902</v>
      </c>
      <c r="AU314" s="296" t="s">
        <v>2326</v>
      </c>
      <c r="AV314" s="297"/>
      <c r="AW314" s="325">
        <v>0</v>
      </c>
      <c r="AX314" s="247">
        <f t="shared" si="103"/>
        <v>50</v>
      </c>
      <c r="AY314" s="90">
        <f t="shared" si="104"/>
        <v>2</v>
      </c>
      <c r="AZ314" s="378">
        <v>0</v>
      </c>
      <c r="BA314" s="449" t="s">
        <v>3782</v>
      </c>
      <c r="BB314" s="247">
        <f t="shared" si="105"/>
        <v>100</v>
      </c>
      <c r="BC314" s="91">
        <f t="shared" si="106"/>
        <v>2</v>
      </c>
      <c r="BD314" s="325">
        <v>0</v>
      </c>
      <c r="BE314" s="325">
        <v>0</v>
      </c>
      <c r="BF314" s="325">
        <v>0</v>
      </c>
      <c r="BG314" s="252">
        <f t="shared" si="107"/>
        <v>0</v>
      </c>
      <c r="BH314" s="246">
        <f t="shared" si="108"/>
        <v>100</v>
      </c>
      <c r="BI314" s="90">
        <f t="shared" si="109"/>
        <v>1</v>
      </c>
      <c r="BJ314" s="325">
        <v>0</v>
      </c>
      <c r="BK314" s="247">
        <f t="shared" si="110"/>
        <v>100</v>
      </c>
      <c r="BL314" s="94">
        <f t="shared" si="111"/>
        <v>2</v>
      </c>
      <c r="BM314" s="325">
        <v>0</v>
      </c>
      <c r="BN314" s="325">
        <v>0</v>
      </c>
      <c r="BO314" s="325">
        <v>1</v>
      </c>
      <c r="BP314" s="211">
        <f t="shared" si="112"/>
        <v>1</v>
      </c>
      <c r="BQ314" s="253">
        <f t="shared" si="113"/>
        <v>50</v>
      </c>
      <c r="BR314" s="99">
        <f t="shared" si="114"/>
        <v>0.5</v>
      </c>
      <c r="BS314" s="101">
        <f t="shared" si="115"/>
        <v>17.5</v>
      </c>
    </row>
    <row r="315" spans="1:71" x14ac:dyDescent="0.6">
      <c r="A315" s="373" t="s">
        <v>1966</v>
      </c>
      <c r="B315" s="13" t="s">
        <v>3229</v>
      </c>
      <c r="C315" s="380" t="s">
        <v>456</v>
      </c>
      <c r="D315" s="351" t="s">
        <v>191</v>
      </c>
      <c r="E315" s="352" t="s">
        <v>359</v>
      </c>
      <c r="F315" s="352">
        <v>0</v>
      </c>
      <c r="G315" s="353">
        <v>42647</v>
      </c>
      <c r="H315" s="352" t="s">
        <v>830</v>
      </c>
      <c r="I315" s="352" t="s">
        <v>838</v>
      </c>
      <c r="J315" s="352" t="s">
        <v>674</v>
      </c>
      <c r="K315" s="352" t="s">
        <v>484</v>
      </c>
      <c r="L315" s="381">
        <v>385322070</v>
      </c>
      <c r="M315" s="376">
        <v>21439724</v>
      </c>
      <c r="N315" s="376">
        <v>363882347</v>
      </c>
      <c r="O315" s="376">
        <v>6697506</v>
      </c>
      <c r="P315" s="376">
        <v>3662683</v>
      </c>
      <c r="Q315" s="376">
        <v>13457274</v>
      </c>
      <c r="R315" s="376">
        <v>10765577</v>
      </c>
      <c r="S315" s="325">
        <v>0</v>
      </c>
      <c r="T315" s="246">
        <f t="shared" si="98"/>
        <v>100</v>
      </c>
      <c r="U315" s="77">
        <f t="shared" si="99"/>
        <v>2</v>
      </c>
      <c r="V315" s="377">
        <v>0</v>
      </c>
      <c r="W315" s="377">
        <v>0</v>
      </c>
      <c r="X315" s="377">
        <v>0</v>
      </c>
      <c r="Y315" s="377">
        <v>0</v>
      </c>
      <c r="Z315" s="377">
        <v>0</v>
      </c>
      <c r="AA315" s="377">
        <v>0</v>
      </c>
      <c r="AB315" s="377">
        <v>0</v>
      </c>
      <c r="AC315" s="247">
        <f t="shared" si="100"/>
        <v>0</v>
      </c>
      <c r="AD315" s="247">
        <f t="shared" si="101"/>
        <v>100</v>
      </c>
      <c r="AE315" s="82">
        <f t="shared" si="121"/>
        <v>5</v>
      </c>
      <c r="AF315" s="377">
        <v>0</v>
      </c>
      <c r="AG315" s="377">
        <v>0</v>
      </c>
      <c r="AH315" s="247">
        <f t="shared" si="102"/>
        <v>0</v>
      </c>
      <c r="AI315" s="247">
        <f t="shared" si="116"/>
        <v>100</v>
      </c>
      <c r="AJ315" s="82">
        <f t="shared" si="117"/>
        <v>3</v>
      </c>
      <c r="AK315" s="367" t="s">
        <v>2902</v>
      </c>
      <c r="AL315" s="367" t="s">
        <v>2902</v>
      </c>
      <c r="AM315" s="367" t="s">
        <v>2902</v>
      </c>
      <c r="AN315" s="367" t="s">
        <v>2902</v>
      </c>
      <c r="AO315" s="367" t="s">
        <v>2902</v>
      </c>
      <c r="AP315" s="296" t="s">
        <v>2326</v>
      </c>
      <c r="AQ315" s="296" t="s">
        <v>2326</v>
      </c>
      <c r="AR315" s="297"/>
      <c r="AS315" s="367" t="s">
        <v>2902</v>
      </c>
      <c r="AT315" s="367" t="s">
        <v>2902</v>
      </c>
      <c r="AU315" s="296" t="s">
        <v>2326</v>
      </c>
      <c r="AV315" s="297"/>
      <c r="AW315" s="325">
        <v>0</v>
      </c>
      <c r="AX315" s="247">
        <f t="shared" si="103"/>
        <v>50</v>
      </c>
      <c r="AY315" s="90">
        <f t="shared" si="104"/>
        <v>2</v>
      </c>
      <c r="AZ315" s="378">
        <v>0</v>
      </c>
      <c r="BA315" s="449" t="s">
        <v>3782</v>
      </c>
      <c r="BB315" s="247">
        <f t="shared" si="105"/>
        <v>100</v>
      </c>
      <c r="BC315" s="91">
        <f t="shared" si="106"/>
        <v>2</v>
      </c>
      <c r="BD315" s="325">
        <v>0</v>
      </c>
      <c r="BE315" s="325">
        <v>0</v>
      </c>
      <c r="BF315" s="325">
        <v>0</v>
      </c>
      <c r="BG315" s="252">
        <f t="shared" si="107"/>
        <v>0</v>
      </c>
      <c r="BH315" s="246">
        <f t="shared" si="108"/>
        <v>100</v>
      </c>
      <c r="BI315" s="90">
        <f t="shared" si="109"/>
        <v>1</v>
      </c>
      <c r="BJ315" s="325">
        <v>0</v>
      </c>
      <c r="BK315" s="247">
        <f t="shared" si="110"/>
        <v>100</v>
      </c>
      <c r="BL315" s="94">
        <f t="shared" si="111"/>
        <v>2</v>
      </c>
      <c r="BM315" s="325">
        <v>0</v>
      </c>
      <c r="BN315" s="325">
        <v>0</v>
      </c>
      <c r="BO315" s="325">
        <v>1</v>
      </c>
      <c r="BP315" s="211">
        <f t="shared" si="112"/>
        <v>1</v>
      </c>
      <c r="BQ315" s="253">
        <f t="shared" si="113"/>
        <v>50</v>
      </c>
      <c r="BR315" s="99">
        <f t="shared" si="114"/>
        <v>0.5</v>
      </c>
      <c r="BS315" s="101">
        <f t="shared" si="115"/>
        <v>17.5</v>
      </c>
    </row>
    <row r="316" spans="1:71" x14ac:dyDescent="0.6">
      <c r="A316" s="373" t="s">
        <v>110</v>
      </c>
      <c r="B316" s="13" t="s">
        <v>3230</v>
      </c>
      <c r="C316" s="380" t="s">
        <v>415</v>
      </c>
      <c r="D316" s="351" t="s">
        <v>202</v>
      </c>
      <c r="E316" s="352" t="s">
        <v>572</v>
      </c>
      <c r="F316" s="352" t="s">
        <v>140</v>
      </c>
      <c r="G316" s="353">
        <v>36482</v>
      </c>
      <c r="H316" s="352" t="s">
        <v>830</v>
      </c>
      <c r="I316" s="352" t="s">
        <v>574</v>
      </c>
      <c r="J316" s="352" t="s">
        <v>1128</v>
      </c>
      <c r="K316" s="352" t="s">
        <v>487</v>
      </c>
      <c r="L316" s="381">
        <v>431960683</v>
      </c>
      <c r="M316" s="376">
        <v>113198118</v>
      </c>
      <c r="N316" s="376">
        <v>318762565</v>
      </c>
      <c r="O316" s="376">
        <v>214284471</v>
      </c>
      <c r="P316" s="376">
        <v>4478641</v>
      </c>
      <c r="Q316" s="376">
        <v>40192166</v>
      </c>
      <c r="R316" s="376">
        <v>33648333</v>
      </c>
      <c r="S316" s="325">
        <v>0</v>
      </c>
      <c r="T316" s="246">
        <f t="shared" si="98"/>
        <v>100</v>
      </c>
      <c r="U316" s="77">
        <f t="shared" si="99"/>
        <v>2</v>
      </c>
      <c r="V316" s="377">
        <v>0</v>
      </c>
      <c r="W316" s="377">
        <v>0</v>
      </c>
      <c r="X316" s="377">
        <v>0</v>
      </c>
      <c r="Y316" s="377">
        <v>0</v>
      </c>
      <c r="Z316" s="377">
        <v>0</v>
      </c>
      <c r="AA316" s="377">
        <v>0</v>
      </c>
      <c r="AB316" s="377">
        <v>0</v>
      </c>
      <c r="AC316" s="247">
        <f t="shared" si="100"/>
        <v>0</v>
      </c>
      <c r="AD316" s="247">
        <f t="shared" si="101"/>
        <v>100</v>
      </c>
      <c r="AE316" s="82">
        <f t="shared" si="121"/>
        <v>5</v>
      </c>
      <c r="AF316" s="377">
        <v>0</v>
      </c>
      <c r="AG316" s="377">
        <v>0</v>
      </c>
      <c r="AH316" s="247">
        <f t="shared" si="102"/>
        <v>0</v>
      </c>
      <c r="AI316" s="247">
        <f t="shared" si="116"/>
        <v>100</v>
      </c>
      <c r="AJ316" s="82">
        <f t="shared" si="117"/>
        <v>3</v>
      </c>
      <c r="AK316" s="367" t="s">
        <v>2902</v>
      </c>
      <c r="AL316" s="367" t="s">
        <v>2902</v>
      </c>
      <c r="AM316" s="367" t="s">
        <v>2902</v>
      </c>
      <c r="AN316" s="367" t="s">
        <v>2902</v>
      </c>
      <c r="AO316" s="367" t="s">
        <v>2902</v>
      </c>
      <c r="AP316" s="296" t="s">
        <v>2326</v>
      </c>
      <c r="AQ316" s="296" t="s">
        <v>2326</v>
      </c>
      <c r="AR316" s="297"/>
      <c r="AS316" s="367" t="s">
        <v>2902</v>
      </c>
      <c r="AT316" s="367" t="s">
        <v>2902</v>
      </c>
      <c r="AU316" s="296" t="s">
        <v>2326</v>
      </c>
      <c r="AV316" s="297"/>
      <c r="AW316" s="325">
        <v>0</v>
      </c>
      <c r="AX316" s="247">
        <f t="shared" si="103"/>
        <v>50</v>
      </c>
      <c r="AY316" s="90">
        <f t="shared" si="104"/>
        <v>2</v>
      </c>
      <c r="AZ316" s="378">
        <v>0</v>
      </c>
      <c r="BA316" s="449" t="s">
        <v>3782</v>
      </c>
      <c r="BB316" s="247">
        <f t="shared" si="105"/>
        <v>100</v>
      </c>
      <c r="BC316" s="91">
        <f t="shared" si="106"/>
        <v>2</v>
      </c>
      <c r="BD316" s="325">
        <v>0</v>
      </c>
      <c r="BE316" s="325">
        <v>0</v>
      </c>
      <c r="BF316" s="325">
        <v>0</v>
      </c>
      <c r="BG316" s="252">
        <f t="shared" si="107"/>
        <v>0</v>
      </c>
      <c r="BH316" s="246">
        <f t="shared" si="108"/>
        <v>100</v>
      </c>
      <c r="BI316" s="90">
        <f t="shared" si="109"/>
        <v>1</v>
      </c>
      <c r="BJ316" s="325">
        <v>0</v>
      </c>
      <c r="BK316" s="247">
        <f t="shared" si="110"/>
        <v>100</v>
      </c>
      <c r="BL316" s="94">
        <f t="shared" si="111"/>
        <v>2</v>
      </c>
      <c r="BM316" s="325">
        <v>0</v>
      </c>
      <c r="BN316" s="325">
        <v>0</v>
      </c>
      <c r="BO316" s="325">
        <v>0</v>
      </c>
      <c r="BP316" s="211">
        <f t="shared" si="112"/>
        <v>0</v>
      </c>
      <c r="BQ316" s="253">
        <f t="shared" si="113"/>
        <v>25</v>
      </c>
      <c r="BR316" s="99">
        <f t="shared" si="114"/>
        <v>0.25</v>
      </c>
      <c r="BS316" s="101">
        <f t="shared" si="115"/>
        <v>17.25</v>
      </c>
    </row>
    <row r="317" spans="1:71" x14ac:dyDescent="0.6">
      <c r="A317" s="373" t="s">
        <v>526</v>
      </c>
      <c r="B317" s="1" t="s">
        <v>3231</v>
      </c>
      <c r="C317" s="380" t="s">
        <v>294</v>
      </c>
      <c r="D317" s="351" t="s">
        <v>203</v>
      </c>
      <c r="E317" s="352" t="s">
        <v>200</v>
      </c>
      <c r="F317" s="352" t="s">
        <v>614</v>
      </c>
      <c r="G317" s="353">
        <v>40115</v>
      </c>
      <c r="H317" s="352" t="s">
        <v>830</v>
      </c>
      <c r="I317" s="352" t="s">
        <v>841</v>
      </c>
      <c r="J317" s="352" t="s">
        <v>1127</v>
      </c>
      <c r="K317" s="352" t="s">
        <v>690</v>
      </c>
      <c r="L317" s="381">
        <v>292166785</v>
      </c>
      <c r="M317" s="376">
        <v>44275143</v>
      </c>
      <c r="N317" s="376">
        <v>247891642</v>
      </c>
      <c r="O317" s="376">
        <v>161284519</v>
      </c>
      <c r="P317" s="376">
        <v>27840640</v>
      </c>
      <c r="Q317" s="376">
        <v>28718534</v>
      </c>
      <c r="R317" s="376">
        <v>22454629</v>
      </c>
      <c r="S317" s="325">
        <v>0</v>
      </c>
      <c r="T317" s="246">
        <f t="shared" si="98"/>
        <v>100</v>
      </c>
      <c r="U317" s="77">
        <f t="shared" si="99"/>
        <v>2</v>
      </c>
      <c r="V317" s="377">
        <v>0</v>
      </c>
      <c r="W317" s="377">
        <v>0</v>
      </c>
      <c r="X317" s="377">
        <v>0</v>
      </c>
      <c r="Y317" s="377">
        <v>0</v>
      </c>
      <c r="Z317" s="377">
        <v>0</v>
      </c>
      <c r="AA317" s="377">
        <v>0</v>
      </c>
      <c r="AB317" s="377">
        <v>0</v>
      </c>
      <c r="AC317" s="247">
        <f t="shared" si="100"/>
        <v>0</v>
      </c>
      <c r="AD317" s="247">
        <f t="shared" si="101"/>
        <v>100</v>
      </c>
      <c r="AE317" s="82">
        <f t="shared" si="121"/>
        <v>5</v>
      </c>
      <c r="AF317" s="377">
        <v>0</v>
      </c>
      <c r="AG317" s="377">
        <v>0</v>
      </c>
      <c r="AH317" s="247">
        <f t="shared" si="102"/>
        <v>0</v>
      </c>
      <c r="AI317" s="247">
        <f t="shared" si="116"/>
        <v>100</v>
      </c>
      <c r="AJ317" s="82">
        <f t="shared" si="117"/>
        <v>3</v>
      </c>
      <c r="AK317" s="367" t="s">
        <v>2902</v>
      </c>
      <c r="AL317" s="367" t="s">
        <v>2902</v>
      </c>
      <c r="AM317" s="367" t="s">
        <v>2902</v>
      </c>
      <c r="AN317" s="367" t="s">
        <v>2902</v>
      </c>
      <c r="AO317" s="367" t="s">
        <v>2902</v>
      </c>
      <c r="AP317" s="296" t="s">
        <v>2326</v>
      </c>
      <c r="AQ317" s="296" t="s">
        <v>2326</v>
      </c>
      <c r="AR317" s="297"/>
      <c r="AS317" s="367" t="s">
        <v>2902</v>
      </c>
      <c r="AT317" s="367" t="s">
        <v>2902</v>
      </c>
      <c r="AU317" s="296" t="s">
        <v>2326</v>
      </c>
      <c r="AV317" s="297"/>
      <c r="AW317" s="325">
        <v>1</v>
      </c>
      <c r="AX317" s="247">
        <f t="shared" si="103"/>
        <v>100</v>
      </c>
      <c r="AY317" s="90">
        <f t="shared" si="104"/>
        <v>4</v>
      </c>
      <c r="AZ317" s="378">
        <v>0</v>
      </c>
      <c r="BA317" s="449" t="s">
        <v>3782</v>
      </c>
      <c r="BB317" s="247">
        <f t="shared" si="105"/>
        <v>100</v>
      </c>
      <c r="BC317" s="91">
        <f t="shared" si="106"/>
        <v>2</v>
      </c>
      <c r="BD317" s="325">
        <v>0</v>
      </c>
      <c r="BE317" s="325">
        <v>0</v>
      </c>
      <c r="BF317" s="325">
        <v>0</v>
      </c>
      <c r="BG317" s="252">
        <f t="shared" si="107"/>
        <v>0</v>
      </c>
      <c r="BH317" s="246">
        <f t="shared" si="108"/>
        <v>100</v>
      </c>
      <c r="BI317" s="90">
        <f t="shared" si="109"/>
        <v>1</v>
      </c>
      <c r="BJ317" s="325">
        <v>0</v>
      </c>
      <c r="BK317" s="247">
        <f t="shared" si="110"/>
        <v>100</v>
      </c>
      <c r="BL317" s="94">
        <f t="shared" si="111"/>
        <v>2</v>
      </c>
      <c r="BM317" s="325">
        <v>0</v>
      </c>
      <c r="BN317" s="325">
        <v>0</v>
      </c>
      <c r="BO317" s="325">
        <v>0</v>
      </c>
      <c r="BP317" s="211">
        <f t="shared" si="112"/>
        <v>0</v>
      </c>
      <c r="BQ317" s="253">
        <f t="shared" si="113"/>
        <v>25</v>
      </c>
      <c r="BR317" s="99">
        <f t="shared" si="114"/>
        <v>0.25</v>
      </c>
      <c r="BS317" s="101">
        <f t="shared" si="115"/>
        <v>19.25</v>
      </c>
    </row>
    <row r="318" spans="1:71" x14ac:dyDescent="0.6">
      <c r="A318" s="373" t="s">
        <v>926</v>
      </c>
      <c r="B318" s="13" t="s">
        <v>3232</v>
      </c>
      <c r="C318" s="380" t="s">
        <v>10</v>
      </c>
      <c r="D318" s="351" t="s">
        <v>285</v>
      </c>
      <c r="E318" s="352" t="s">
        <v>619</v>
      </c>
      <c r="F318" s="352" t="s">
        <v>667</v>
      </c>
      <c r="G318" s="353">
        <v>39380</v>
      </c>
      <c r="H318" s="352" t="s">
        <v>830</v>
      </c>
      <c r="I318" s="352" t="s">
        <v>705</v>
      </c>
      <c r="J318" s="352" t="s">
        <v>1214</v>
      </c>
      <c r="K318" s="352" t="s">
        <v>91</v>
      </c>
      <c r="L318" s="381">
        <v>176403782</v>
      </c>
      <c r="M318" s="376">
        <v>111131085</v>
      </c>
      <c r="N318" s="376">
        <v>65272696</v>
      </c>
      <c r="O318" s="376">
        <v>510498450</v>
      </c>
      <c r="P318" s="376">
        <v>22273886</v>
      </c>
      <c r="Q318" s="376">
        <v>19802511</v>
      </c>
      <c r="R318" s="376">
        <v>15083749</v>
      </c>
      <c r="S318" s="325">
        <v>1</v>
      </c>
      <c r="T318" s="246">
        <f t="shared" si="98"/>
        <v>50</v>
      </c>
      <c r="U318" s="77">
        <f t="shared" si="99"/>
        <v>1</v>
      </c>
      <c r="V318" s="377">
        <v>0</v>
      </c>
      <c r="W318" s="377">
        <v>0</v>
      </c>
      <c r="X318" s="377">
        <v>0</v>
      </c>
      <c r="Y318" s="377">
        <v>0</v>
      </c>
      <c r="Z318" s="377">
        <v>0</v>
      </c>
      <c r="AA318" s="377">
        <v>0</v>
      </c>
      <c r="AB318" s="377">
        <v>0</v>
      </c>
      <c r="AC318" s="247">
        <f t="shared" si="100"/>
        <v>0</v>
      </c>
      <c r="AD318" s="247">
        <f t="shared" si="101"/>
        <v>100</v>
      </c>
      <c r="AE318" s="82">
        <f t="shared" si="121"/>
        <v>5</v>
      </c>
      <c r="AF318" s="377">
        <v>0</v>
      </c>
      <c r="AG318" s="377">
        <v>0</v>
      </c>
      <c r="AH318" s="247">
        <f t="shared" si="102"/>
        <v>0</v>
      </c>
      <c r="AI318" s="247">
        <f t="shared" si="116"/>
        <v>100</v>
      </c>
      <c r="AJ318" s="82">
        <f t="shared" si="117"/>
        <v>3</v>
      </c>
      <c r="AK318" s="367" t="s">
        <v>2902</v>
      </c>
      <c r="AL318" s="367" t="s">
        <v>2902</v>
      </c>
      <c r="AM318" s="367" t="s">
        <v>2902</v>
      </c>
      <c r="AN318" s="367" t="s">
        <v>2902</v>
      </c>
      <c r="AO318" s="367" t="s">
        <v>2902</v>
      </c>
      <c r="AP318" s="296" t="s">
        <v>2326</v>
      </c>
      <c r="AQ318" s="296" t="s">
        <v>2326</v>
      </c>
      <c r="AR318" s="297"/>
      <c r="AS318" s="367" t="s">
        <v>2902</v>
      </c>
      <c r="AT318" s="367" t="s">
        <v>2902</v>
      </c>
      <c r="AU318" s="296" t="s">
        <v>2326</v>
      </c>
      <c r="AV318" s="297"/>
      <c r="AW318" s="325">
        <v>1</v>
      </c>
      <c r="AX318" s="247">
        <f t="shared" si="103"/>
        <v>100</v>
      </c>
      <c r="AY318" s="90">
        <f t="shared" si="104"/>
        <v>4</v>
      </c>
      <c r="AZ318" s="378">
        <v>0</v>
      </c>
      <c r="BA318" s="449" t="s">
        <v>3782</v>
      </c>
      <c r="BB318" s="247">
        <f t="shared" si="105"/>
        <v>100</v>
      </c>
      <c r="BC318" s="91">
        <f t="shared" si="106"/>
        <v>2</v>
      </c>
      <c r="BD318" s="325">
        <v>0</v>
      </c>
      <c r="BE318" s="325">
        <v>0</v>
      </c>
      <c r="BF318" s="325">
        <v>0</v>
      </c>
      <c r="BG318" s="252">
        <f t="shared" si="107"/>
        <v>0</v>
      </c>
      <c r="BH318" s="246">
        <f t="shared" si="108"/>
        <v>100</v>
      </c>
      <c r="BI318" s="90">
        <f t="shared" si="109"/>
        <v>1</v>
      </c>
      <c r="BJ318" s="325">
        <v>0</v>
      </c>
      <c r="BK318" s="247">
        <f t="shared" si="110"/>
        <v>100</v>
      </c>
      <c r="BL318" s="94">
        <f t="shared" si="111"/>
        <v>2</v>
      </c>
      <c r="BM318" s="325">
        <v>0</v>
      </c>
      <c r="BN318" s="325">
        <v>0</v>
      </c>
      <c r="BO318" s="325">
        <v>1</v>
      </c>
      <c r="BP318" s="211">
        <f t="shared" si="112"/>
        <v>1</v>
      </c>
      <c r="BQ318" s="253">
        <f t="shared" si="113"/>
        <v>50</v>
      </c>
      <c r="BR318" s="99">
        <f t="shared" si="114"/>
        <v>0.5</v>
      </c>
      <c r="BS318" s="101">
        <f t="shared" si="115"/>
        <v>18.5</v>
      </c>
    </row>
    <row r="319" spans="1:71" x14ac:dyDescent="0.6">
      <c r="A319" s="373" t="s">
        <v>1967</v>
      </c>
      <c r="B319" s="13" t="s">
        <v>3233</v>
      </c>
      <c r="C319" s="380" t="s">
        <v>1968</v>
      </c>
      <c r="D319" s="315" t="s">
        <v>203</v>
      </c>
      <c r="E319" s="352" t="s">
        <v>240</v>
      </c>
      <c r="F319" s="352" t="s">
        <v>1969</v>
      </c>
      <c r="G319" s="353">
        <v>43294</v>
      </c>
      <c r="H319" s="352" t="s">
        <v>830</v>
      </c>
      <c r="I319" s="352" t="s">
        <v>1970</v>
      </c>
      <c r="J319" s="352" t="s">
        <v>1971</v>
      </c>
      <c r="K319" s="352" t="s">
        <v>91</v>
      </c>
      <c r="L319" s="381">
        <v>1354651786</v>
      </c>
      <c r="M319" s="376">
        <v>616821573</v>
      </c>
      <c r="N319" s="376">
        <v>737830213</v>
      </c>
      <c r="O319" s="376">
        <v>858081181</v>
      </c>
      <c r="P319" s="376">
        <v>96465703</v>
      </c>
      <c r="Q319" s="376">
        <v>259022901</v>
      </c>
      <c r="R319" s="376">
        <v>212549126</v>
      </c>
      <c r="S319" s="325">
        <v>1</v>
      </c>
      <c r="T319" s="246">
        <f t="shared" si="98"/>
        <v>50</v>
      </c>
      <c r="U319" s="77">
        <f t="shared" si="99"/>
        <v>1</v>
      </c>
      <c r="V319" s="377">
        <v>0</v>
      </c>
      <c r="W319" s="377">
        <v>0</v>
      </c>
      <c r="X319" s="377">
        <v>0</v>
      </c>
      <c r="Y319" s="377">
        <v>0</v>
      </c>
      <c r="Z319" s="377">
        <v>0</v>
      </c>
      <c r="AA319" s="377">
        <v>0</v>
      </c>
      <c r="AB319" s="377">
        <v>0</v>
      </c>
      <c r="AC319" s="247">
        <f t="shared" si="100"/>
        <v>0</v>
      </c>
      <c r="AD319" s="247">
        <f t="shared" si="101"/>
        <v>100</v>
      </c>
      <c r="AE319" s="82">
        <f t="shared" si="121"/>
        <v>5</v>
      </c>
      <c r="AF319" s="377">
        <v>0</v>
      </c>
      <c r="AG319" s="377">
        <v>0</v>
      </c>
      <c r="AH319" s="247">
        <f t="shared" si="102"/>
        <v>0</v>
      </c>
      <c r="AI319" s="247">
        <f t="shared" si="116"/>
        <v>100</v>
      </c>
      <c r="AJ319" s="82">
        <f t="shared" si="117"/>
        <v>3</v>
      </c>
      <c r="AK319" s="367" t="s">
        <v>2902</v>
      </c>
      <c r="AL319" s="367" t="s">
        <v>2902</v>
      </c>
      <c r="AM319" s="367" t="s">
        <v>2902</v>
      </c>
      <c r="AN319" s="367" t="s">
        <v>2902</v>
      </c>
      <c r="AO319" s="367" t="s">
        <v>2902</v>
      </c>
      <c r="AP319" s="296" t="s">
        <v>2326</v>
      </c>
      <c r="AQ319" s="296" t="s">
        <v>2326</v>
      </c>
      <c r="AR319" s="297"/>
      <c r="AS319" s="367" t="s">
        <v>2902</v>
      </c>
      <c r="AT319" s="367" t="s">
        <v>2902</v>
      </c>
      <c r="AU319" s="296" t="s">
        <v>2326</v>
      </c>
      <c r="AV319" s="297"/>
      <c r="AW319" s="325">
        <v>1</v>
      </c>
      <c r="AX319" s="247">
        <f t="shared" si="103"/>
        <v>100</v>
      </c>
      <c r="AY319" s="90">
        <f t="shared" si="104"/>
        <v>4</v>
      </c>
      <c r="AZ319" s="378">
        <v>0</v>
      </c>
      <c r="BA319" s="449" t="s">
        <v>3782</v>
      </c>
      <c r="BB319" s="247">
        <f t="shared" si="105"/>
        <v>100</v>
      </c>
      <c r="BC319" s="91">
        <f t="shared" si="106"/>
        <v>2</v>
      </c>
      <c r="BD319" s="325">
        <v>0</v>
      </c>
      <c r="BE319" s="325">
        <v>0</v>
      </c>
      <c r="BF319" s="325">
        <v>0</v>
      </c>
      <c r="BG319" s="252">
        <f t="shared" si="107"/>
        <v>0</v>
      </c>
      <c r="BH319" s="246">
        <f t="shared" si="108"/>
        <v>100</v>
      </c>
      <c r="BI319" s="90">
        <f t="shared" si="109"/>
        <v>1</v>
      </c>
      <c r="BJ319" s="325">
        <v>1</v>
      </c>
      <c r="BK319" s="247">
        <f t="shared" si="110"/>
        <v>50</v>
      </c>
      <c r="BL319" s="94">
        <f t="shared" si="111"/>
        <v>1</v>
      </c>
      <c r="BM319" s="325">
        <v>0</v>
      </c>
      <c r="BN319" s="325">
        <v>0</v>
      </c>
      <c r="BO319" s="325">
        <v>0</v>
      </c>
      <c r="BP319" s="211">
        <f t="shared" si="112"/>
        <v>0</v>
      </c>
      <c r="BQ319" s="253">
        <f t="shared" si="113"/>
        <v>25</v>
      </c>
      <c r="BR319" s="99">
        <f t="shared" si="114"/>
        <v>0.25</v>
      </c>
      <c r="BS319" s="101">
        <f t="shared" si="115"/>
        <v>17.25</v>
      </c>
    </row>
    <row r="320" spans="1:71" x14ac:dyDescent="0.6">
      <c r="A320" s="373" t="s">
        <v>72</v>
      </c>
      <c r="B320" s="1" t="s">
        <v>3234</v>
      </c>
      <c r="C320" s="380" t="s">
        <v>424</v>
      </c>
      <c r="D320" s="351" t="s">
        <v>203</v>
      </c>
      <c r="E320" s="352" t="s">
        <v>240</v>
      </c>
      <c r="F320" s="352" t="s">
        <v>669</v>
      </c>
      <c r="G320" s="353">
        <v>43294</v>
      </c>
      <c r="H320" s="352" t="s">
        <v>830</v>
      </c>
      <c r="I320" s="352" t="s">
        <v>815</v>
      </c>
      <c r="J320" s="352" t="s">
        <v>1220</v>
      </c>
      <c r="K320" s="352" t="s">
        <v>91</v>
      </c>
      <c r="L320" s="381">
        <v>1677616350</v>
      </c>
      <c r="M320" s="376">
        <v>845718444</v>
      </c>
      <c r="N320" s="376">
        <v>831897906</v>
      </c>
      <c r="O320" s="376">
        <v>5364505670</v>
      </c>
      <c r="P320" s="376">
        <v>178825560</v>
      </c>
      <c r="Q320" s="376">
        <v>303615954</v>
      </c>
      <c r="R320" s="376">
        <v>289706110</v>
      </c>
      <c r="S320" s="325">
        <v>1</v>
      </c>
      <c r="T320" s="246">
        <f t="shared" si="98"/>
        <v>50</v>
      </c>
      <c r="U320" s="77">
        <f t="shared" si="99"/>
        <v>1</v>
      </c>
      <c r="V320" s="377">
        <v>0</v>
      </c>
      <c r="W320" s="377">
        <v>0</v>
      </c>
      <c r="X320" s="377">
        <v>0</v>
      </c>
      <c r="Y320" s="377">
        <v>0</v>
      </c>
      <c r="Z320" s="377">
        <v>0</v>
      </c>
      <c r="AA320" s="377">
        <v>0</v>
      </c>
      <c r="AB320" s="377">
        <v>0</v>
      </c>
      <c r="AC320" s="247">
        <f t="shared" si="100"/>
        <v>0</v>
      </c>
      <c r="AD320" s="247">
        <f t="shared" si="101"/>
        <v>100</v>
      </c>
      <c r="AE320" s="82">
        <f t="shared" si="121"/>
        <v>5</v>
      </c>
      <c r="AF320" s="377">
        <v>0</v>
      </c>
      <c r="AG320" s="377">
        <v>0</v>
      </c>
      <c r="AH320" s="247">
        <f t="shared" si="102"/>
        <v>0</v>
      </c>
      <c r="AI320" s="247">
        <f t="shared" si="116"/>
        <v>100</v>
      </c>
      <c r="AJ320" s="82">
        <f t="shared" si="117"/>
        <v>3</v>
      </c>
      <c r="AK320" s="367" t="s">
        <v>2902</v>
      </c>
      <c r="AL320" s="367" t="s">
        <v>2902</v>
      </c>
      <c r="AM320" s="367" t="s">
        <v>2902</v>
      </c>
      <c r="AN320" s="367" t="s">
        <v>2902</v>
      </c>
      <c r="AO320" s="367" t="s">
        <v>2902</v>
      </c>
      <c r="AP320" s="296" t="s">
        <v>2326</v>
      </c>
      <c r="AQ320" s="296" t="s">
        <v>2326</v>
      </c>
      <c r="AR320" s="297"/>
      <c r="AS320" s="367" t="s">
        <v>2902</v>
      </c>
      <c r="AT320" s="367" t="s">
        <v>2902</v>
      </c>
      <c r="AU320" s="296" t="s">
        <v>2326</v>
      </c>
      <c r="AV320" s="297"/>
      <c r="AW320" s="325">
        <v>1</v>
      </c>
      <c r="AX320" s="247">
        <f t="shared" si="103"/>
        <v>100</v>
      </c>
      <c r="AY320" s="90">
        <f t="shared" si="104"/>
        <v>4</v>
      </c>
      <c r="AZ320" s="378">
        <v>0</v>
      </c>
      <c r="BA320" s="449" t="s">
        <v>3782</v>
      </c>
      <c r="BB320" s="247">
        <f t="shared" si="105"/>
        <v>100</v>
      </c>
      <c r="BC320" s="91">
        <f t="shared" si="106"/>
        <v>2</v>
      </c>
      <c r="BD320" s="325">
        <v>0</v>
      </c>
      <c r="BE320" s="325">
        <v>0</v>
      </c>
      <c r="BF320" s="325">
        <v>0</v>
      </c>
      <c r="BG320" s="252">
        <f t="shared" si="107"/>
        <v>0</v>
      </c>
      <c r="BH320" s="246">
        <f t="shared" si="108"/>
        <v>100</v>
      </c>
      <c r="BI320" s="90">
        <f t="shared" si="109"/>
        <v>1</v>
      </c>
      <c r="BJ320" s="325">
        <v>1</v>
      </c>
      <c r="BK320" s="247">
        <f t="shared" si="110"/>
        <v>50</v>
      </c>
      <c r="BL320" s="94">
        <f t="shared" si="111"/>
        <v>1</v>
      </c>
      <c r="BM320" s="325">
        <v>0</v>
      </c>
      <c r="BN320" s="325">
        <v>0</v>
      </c>
      <c r="BO320" s="325">
        <v>0</v>
      </c>
      <c r="BP320" s="211">
        <f t="shared" si="112"/>
        <v>0</v>
      </c>
      <c r="BQ320" s="253">
        <f t="shared" si="113"/>
        <v>25</v>
      </c>
      <c r="BR320" s="99">
        <f t="shared" si="114"/>
        <v>0.25</v>
      </c>
      <c r="BS320" s="101">
        <f t="shared" si="115"/>
        <v>17.25</v>
      </c>
    </row>
    <row r="321" spans="1:71" x14ac:dyDescent="0.6">
      <c r="A321" s="373" t="s">
        <v>1972</v>
      </c>
      <c r="B321" s="1" t="s">
        <v>3235</v>
      </c>
      <c r="C321" s="380" t="s">
        <v>1973</v>
      </c>
      <c r="D321" s="315" t="s">
        <v>203</v>
      </c>
      <c r="E321" s="352" t="s">
        <v>180</v>
      </c>
      <c r="F321" s="352" t="s">
        <v>1974</v>
      </c>
      <c r="G321" s="353">
        <v>39073</v>
      </c>
      <c r="H321" s="352" t="s">
        <v>830</v>
      </c>
      <c r="I321" s="352" t="s">
        <v>1975</v>
      </c>
      <c r="J321" s="352" t="s">
        <v>1976</v>
      </c>
      <c r="K321" s="352" t="s">
        <v>690</v>
      </c>
      <c r="L321" s="381">
        <v>554634238</v>
      </c>
      <c r="M321" s="376">
        <v>196390631</v>
      </c>
      <c r="N321" s="376">
        <v>358243607</v>
      </c>
      <c r="O321" s="376">
        <v>413339538</v>
      </c>
      <c r="P321" s="376">
        <v>76175846</v>
      </c>
      <c r="Q321" s="376">
        <v>71041699</v>
      </c>
      <c r="R321" s="376">
        <v>55937358</v>
      </c>
      <c r="S321" s="325">
        <v>0</v>
      </c>
      <c r="T321" s="246">
        <f t="shared" si="98"/>
        <v>100</v>
      </c>
      <c r="U321" s="77">
        <f t="shared" si="99"/>
        <v>2</v>
      </c>
      <c r="V321" s="377">
        <v>0</v>
      </c>
      <c r="W321" s="377">
        <v>0</v>
      </c>
      <c r="X321" s="377">
        <v>0</v>
      </c>
      <c r="Y321" s="377">
        <v>0</v>
      </c>
      <c r="Z321" s="377">
        <v>0</v>
      </c>
      <c r="AA321" s="377">
        <v>0</v>
      </c>
      <c r="AB321" s="377">
        <v>0</v>
      </c>
      <c r="AC321" s="247">
        <f t="shared" si="100"/>
        <v>0</v>
      </c>
      <c r="AD321" s="247">
        <f t="shared" si="101"/>
        <v>100</v>
      </c>
      <c r="AE321" s="82">
        <f t="shared" si="121"/>
        <v>5</v>
      </c>
      <c r="AF321" s="377">
        <v>0</v>
      </c>
      <c r="AG321" s="377">
        <v>0</v>
      </c>
      <c r="AH321" s="247">
        <f t="shared" si="102"/>
        <v>0</v>
      </c>
      <c r="AI321" s="247">
        <f t="shared" si="116"/>
        <v>100</v>
      </c>
      <c r="AJ321" s="82">
        <f t="shared" si="117"/>
        <v>3</v>
      </c>
      <c r="AK321" s="367" t="s">
        <v>2902</v>
      </c>
      <c r="AL321" s="367" t="s">
        <v>2902</v>
      </c>
      <c r="AM321" s="367" t="s">
        <v>2902</v>
      </c>
      <c r="AN321" s="367" t="s">
        <v>2902</v>
      </c>
      <c r="AO321" s="367" t="s">
        <v>2902</v>
      </c>
      <c r="AP321" s="296" t="s">
        <v>2326</v>
      </c>
      <c r="AQ321" s="296" t="s">
        <v>2326</v>
      </c>
      <c r="AR321" s="297"/>
      <c r="AS321" s="367" t="s">
        <v>2902</v>
      </c>
      <c r="AT321" s="367" t="s">
        <v>2902</v>
      </c>
      <c r="AU321" s="296" t="s">
        <v>2326</v>
      </c>
      <c r="AV321" s="297"/>
      <c r="AW321" s="325">
        <v>1</v>
      </c>
      <c r="AX321" s="247">
        <f t="shared" si="103"/>
        <v>100</v>
      </c>
      <c r="AY321" s="90">
        <f t="shared" si="104"/>
        <v>4</v>
      </c>
      <c r="AZ321" s="378">
        <v>0</v>
      </c>
      <c r="BA321" s="449" t="s">
        <v>3782</v>
      </c>
      <c r="BB321" s="247">
        <f t="shared" si="105"/>
        <v>100</v>
      </c>
      <c r="BC321" s="91">
        <f t="shared" si="106"/>
        <v>2</v>
      </c>
      <c r="BD321" s="325">
        <v>0</v>
      </c>
      <c r="BE321" s="325">
        <v>0</v>
      </c>
      <c r="BF321" s="325">
        <v>0</v>
      </c>
      <c r="BG321" s="252">
        <f t="shared" si="107"/>
        <v>0</v>
      </c>
      <c r="BH321" s="246">
        <f t="shared" si="108"/>
        <v>100</v>
      </c>
      <c r="BI321" s="90">
        <f t="shared" si="109"/>
        <v>1</v>
      </c>
      <c r="BJ321" s="325">
        <v>0</v>
      </c>
      <c r="BK321" s="247">
        <f t="shared" si="110"/>
        <v>100</v>
      </c>
      <c r="BL321" s="94">
        <f t="shared" si="111"/>
        <v>2</v>
      </c>
      <c r="BM321" s="325">
        <v>0</v>
      </c>
      <c r="BN321" s="325">
        <v>0</v>
      </c>
      <c r="BO321" s="325">
        <v>1</v>
      </c>
      <c r="BP321" s="211">
        <f t="shared" si="112"/>
        <v>1</v>
      </c>
      <c r="BQ321" s="253">
        <f t="shared" si="113"/>
        <v>50</v>
      </c>
      <c r="BR321" s="99">
        <f t="shared" si="114"/>
        <v>0.5</v>
      </c>
      <c r="BS321" s="101">
        <f t="shared" si="115"/>
        <v>19.5</v>
      </c>
    </row>
    <row r="322" spans="1:71" x14ac:dyDescent="0.6">
      <c r="A322" s="373" t="s">
        <v>272</v>
      </c>
      <c r="B322" s="1" t="s">
        <v>3236</v>
      </c>
      <c r="C322" s="380" t="s">
        <v>58</v>
      </c>
      <c r="D322" s="351" t="s">
        <v>202</v>
      </c>
      <c r="E322" s="352" t="s">
        <v>623</v>
      </c>
      <c r="F322" s="352" t="s">
        <v>1201</v>
      </c>
      <c r="G322" s="353">
        <v>33484</v>
      </c>
      <c r="H322" s="352" t="s">
        <v>830</v>
      </c>
      <c r="I322" s="352" t="s">
        <v>839</v>
      </c>
      <c r="J322" s="352" t="s">
        <v>1144</v>
      </c>
      <c r="K322" s="352" t="s">
        <v>346</v>
      </c>
      <c r="L322" s="381">
        <v>304125357</v>
      </c>
      <c r="M322" s="376">
        <v>159788539</v>
      </c>
      <c r="N322" s="376">
        <v>144336819</v>
      </c>
      <c r="O322" s="376">
        <v>222470898</v>
      </c>
      <c r="P322" s="376">
        <v>12661325</v>
      </c>
      <c r="Q322" s="376">
        <v>13022728</v>
      </c>
      <c r="R322" s="376">
        <v>9259054</v>
      </c>
      <c r="S322" s="325">
        <v>0</v>
      </c>
      <c r="T322" s="246">
        <f t="shared" si="98"/>
        <v>100</v>
      </c>
      <c r="U322" s="77">
        <f t="shared" si="99"/>
        <v>2</v>
      </c>
      <c r="V322" s="377">
        <v>0</v>
      </c>
      <c r="W322" s="377">
        <v>0</v>
      </c>
      <c r="X322" s="377">
        <v>0</v>
      </c>
      <c r="Y322" s="377">
        <v>0</v>
      </c>
      <c r="Z322" s="377">
        <v>0</v>
      </c>
      <c r="AA322" s="377">
        <v>0</v>
      </c>
      <c r="AB322" s="377">
        <v>0</v>
      </c>
      <c r="AC322" s="247">
        <f t="shared" si="100"/>
        <v>0</v>
      </c>
      <c r="AD322" s="247">
        <f t="shared" si="101"/>
        <v>100</v>
      </c>
      <c r="AE322" s="82">
        <f t="shared" si="121"/>
        <v>5</v>
      </c>
      <c r="AF322" s="377">
        <v>0</v>
      </c>
      <c r="AG322" s="377">
        <v>0</v>
      </c>
      <c r="AH322" s="247">
        <f t="shared" si="102"/>
        <v>0</v>
      </c>
      <c r="AI322" s="247">
        <f t="shared" si="116"/>
        <v>100</v>
      </c>
      <c r="AJ322" s="82">
        <f t="shared" si="117"/>
        <v>3</v>
      </c>
      <c r="AK322" s="367" t="s">
        <v>2902</v>
      </c>
      <c r="AL322" s="367" t="s">
        <v>2902</v>
      </c>
      <c r="AM322" s="367" t="s">
        <v>2902</v>
      </c>
      <c r="AN322" s="367" t="s">
        <v>2902</v>
      </c>
      <c r="AO322" s="367" t="s">
        <v>2902</v>
      </c>
      <c r="AP322" s="296" t="s">
        <v>2326</v>
      </c>
      <c r="AQ322" s="296" t="s">
        <v>2326</v>
      </c>
      <c r="AR322" s="297"/>
      <c r="AS322" s="367" t="s">
        <v>2902</v>
      </c>
      <c r="AT322" s="367" t="s">
        <v>2902</v>
      </c>
      <c r="AU322" s="296" t="s">
        <v>2326</v>
      </c>
      <c r="AV322" s="297"/>
      <c r="AW322" s="325">
        <v>1</v>
      </c>
      <c r="AX322" s="247">
        <f t="shared" si="103"/>
        <v>100</v>
      </c>
      <c r="AY322" s="90">
        <f t="shared" si="104"/>
        <v>4</v>
      </c>
      <c r="AZ322" s="378">
        <v>0</v>
      </c>
      <c r="BA322" s="449" t="s">
        <v>3782</v>
      </c>
      <c r="BB322" s="247">
        <f t="shared" si="105"/>
        <v>100</v>
      </c>
      <c r="BC322" s="91">
        <f t="shared" si="106"/>
        <v>2</v>
      </c>
      <c r="BD322" s="325">
        <v>0</v>
      </c>
      <c r="BE322" s="325">
        <v>0</v>
      </c>
      <c r="BF322" s="325">
        <v>0</v>
      </c>
      <c r="BG322" s="252">
        <f t="shared" si="107"/>
        <v>0</v>
      </c>
      <c r="BH322" s="246">
        <f t="shared" si="108"/>
        <v>100</v>
      </c>
      <c r="BI322" s="90">
        <f t="shared" si="109"/>
        <v>1</v>
      </c>
      <c r="BJ322" s="325">
        <v>0</v>
      </c>
      <c r="BK322" s="247">
        <f t="shared" si="110"/>
        <v>100</v>
      </c>
      <c r="BL322" s="94">
        <f t="shared" si="111"/>
        <v>2</v>
      </c>
      <c r="BM322" s="325">
        <v>0</v>
      </c>
      <c r="BN322" s="325">
        <v>0</v>
      </c>
      <c r="BO322" s="325">
        <v>1</v>
      </c>
      <c r="BP322" s="211">
        <f t="shared" si="112"/>
        <v>1</v>
      </c>
      <c r="BQ322" s="253">
        <f t="shared" si="113"/>
        <v>50</v>
      </c>
      <c r="BR322" s="99">
        <f t="shared" si="114"/>
        <v>0.5</v>
      </c>
      <c r="BS322" s="101">
        <f t="shared" si="115"/>
        <v>19.5</v>
      </c>
    </row>
    <row r="323" spans="1:71" x14ac:dyDescent="0.6">
      <c r="A323" s="373" t="s">
        <v>1977</v>
      </c>
      <c r="B323" s="1" t="s">
        <v>3237</v>
      </c>
      <c r="C323" s="380" t="s">
        <v>348</v>
      </c>
      <c r="D323" s="354" t="s">
        <v>481</v>
      </c>
      <c r="E323" s="352" t="s">
        <v>704</v>
      </c>
      <c r="F323" s="352" t="s">
        <v>551</v>
      </c>
      <c r="G323" s="353">
        <v>27368</v>
      </c>
      <c r="H323" s="352" t="s">
        <v>830</v>
      </c>
      <c r="I323" s="352" t="s">
        <v>802</v>
      </c>
      <c r="J323" s="352" t="s">
        <v>1222</v>
      </c>
      <c r="K323" s="352" t="s">
        <v>91</v>
      </c>
      <c r="L323" s="381">
        <v>13966098000</v>
      </c>
      <c r="M323" s="376">
        <v>13246051000</v>
      </c>
      <c r="N323" s="376">
        <v>720047000</v>
      </c>
      <c r="O323" s="376">
        <v>2423214000</v>
      </c>
      <c r="P323" s="376">
        <v>185978000</v>
      </c>
      <c r="Q323" s="376">
        <v>186768000</v>
      </c>
      <c r="R323" s="376">
        <v>147508000</v>
      </c>
      <c r="S323" s="325">
        <v>1</v>
      </c>
      <c r="T323" s="246">
        <f t="shared" ref="T323" si="122">IF(S323=1, 50, 100)</f>
        <v>50</v>
      </c>
      <c r="U323" s="77">
        <f t="shared" ref="U323" si="123">T323*0.02</f>
        <v>1</v>
      </c>
      <c r="V323" s="377">
        <v>0</v>
      </c>
      <c r="W323" s="377">
        <v>0</v>
      </c>
      <c r="X323" s="377">
        <v>0</v>
      </c>
      <c r="Y323" s="377">
        <v>0</v>
      </c>
      <c r="Z323" s="377">
        <v>0</v>
      </c>
      <c r="AA323" s="377">
        <v>0</v>
      </c>
      <c r="AB323" s="377">
        <v>0</v>
      </c>
      <c r="AC323" s="247">
        <f>SUM(V323:AB323)</f>
        <v>0</v>
      </c>
      <c r="AD323" s="247">
        <f>IF(AC323=0, 100, IF(AC323=1, 75, IF(AC323=2, 50, 25)))</f>
        <v>100</v>
      </c>
      <c r="AE323" s="81">
        <f>AD323*0.02</f>
        <v>2</v>
      </c>
      <c r="AF323" s="360" t="s">
        <v>2902</v>
      </c>
      <c r="AG323" s="360" t="s">
        <v>2902</v>
      </c>
      <c r="AH323" s="248" t="s">
        <v>2326</v>
      </c>
      <c r="AI323" s="248" t="s">
        <v>2326</v>
      </c>
      <c r="AJ323" s="248"/>
      <c r="AK323" s="373">
        <v>0</v>
      </c>
      <c r="AL323" s="373">
        <v>0</v>
      </c>
      <c r="AM323" s="373">
        <v>0</v>
      </c>
      <c r="AN323" s="373">
        <v>1</v>
      </c>
      <c r="AO323" s="370" t="s">
        <v>3242</v>
      </c>
      <c r="AP323" s="249">
        <f>SUM(AK323:AN323)</f>
        <v>1</v>
      </c>
      <c r="AQ323" s="250">
        <f>IF(AP323=0, 100, IF(AP323=1, 75, IF(AP323=2, 50, 25)))</f>
        <v>75</v>
      </c>
      <c r="AR323" s="83">
        <f>AQ323*0.05</f>
        <v>3.75</v>
      </c>
      <c r="AS323" s="395">
        <v>0</v>
      </c>
      <c r="AT323" s="370" t="s">
        <v>3240</v>
      </c>
      <c r="AU323" s="251">
        <f>IF(AS323=0, 100, IF(AS323=1, 200/3, IF(AS323&gt;=2, 100/3)))</f>
        <v>100</v>
      </c>
      <c r="AV323" s="87">
        <f>AU323*0.01</f>
        <v>1</v>
      </c>
      <c r="AW323" s="325">
        <v>0</v>
      </c>
      <c r="AX323" s="247">
        <f>IF(AW323=1, 100, 50)</f>
        <v>50</v>
      </c>
      <c r="AY323" s="90">
        <f>AX323*0.04</f>
        <v>2</v>
      </c>
      <c r="AZ323" s="378">
        <v>0</v>
      </c>
      <c r="BA323" s="449" t="s">
        <v>3782</v>
      </c>
      <c r="BB323" s="247">
        <f>IF(AZ323=0, 100, IF(AZ323=1, 200/3, IF(AZ323&gt;=2, 100/3)))</f>
        <v>100</v>
      </c>
      <c r="BC323" s="91">
        <f>BB323*0.02</f>
        <v>2</v>
      </c>
      <c r="BD323" s="325">
        <v>0</v>
      </c>
      <c r="BE323" s="325">
        <v>0</v>
      </c>
      <c r="BF323" s="325">
        <v>0</v>
      </c>
      <c r="BG323" s="252">
        <f>SUM(BD323:BF323)</f>
        <v>0</v>
      </c>
      <c r="BH323" s="246">
        <f>IF(BG323=0, 100, IF(BG323=1, 75, IF(BG323=2, 50, 25)))</f>
        <v>100</v>
      </c>
      <c r="BI323" s="90">
        <f>BH323*0.01</f>
        <v>1</v>
      </c>
      <c r="BJ323" s="325">
        <v>0</v>
      </c>
      <c r="BK323" s="247">
        <f>IF(BJ323=0, 100, 50)</f>
        <v>100</v>
      </c>
      <c r="BL323" s="94">
        <f>BK323*0.02</f>
        <v>2</v>
      </c>
      <c r="BM323" s="325">
        <v>0</v>
      </c>
      <c r="BN323" s="325">
        <v>0</v>
      </c>
      <c r="BO323" s="325">
        <v>1</v>
      </c>
      <c r="BP323" s="211">
        <f>SUM(BM323:BO323)</f>
        <v>1</v>
      </c>
      <c r="BQ323" s="253">
        <f>IF(BP323=0, 25, IF(BP323=1, 50, IF(BP323=2, 75, IF(BP323=3, 100))))</f>
        <v>50</v>
      </c>
      <c r="BR323" s="99">
        <f>BQ323*0.01</f>
        <v>0.5</v>
      </c>
      <c r="BS323" s="101">
        <f t="shared" ref="BS323" si="124">SUM(U323,AE323,AJ323,AR323,AV323,AY323,BC323,BI323,BL323,BR323)</f>
        <v>15.25</v>
      </c>
    </row>
  </sheetData>
  <autoFilter ref="A1:BS323"/>
  <phoneticPr fontId="16" type="noConversion"/>
  <dataValidations count="1">
    <dataValidation type="list" allowBlank="1" showInputMessage="1" showErrorMessage="1" sqref="S2:S323 AW2:AW323 BM2:BO323 BJ2:BJ323 BD2:BF323">
      <formula1>"1, 0"</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J79" r:id="rId79"/>
    <hyperlink ref="B80" r:id="rId80"/>
    <hyperlink ref="B81" r:id="rId81"/>
    <hyperlink ref="B82" r:id="rId82"/>
    <hyperlink ref="B83" r:id="rId83"/>
    <hyperlink ref="B84" r:id="rId84"/>
    <hyperlink ref="B85" r:id="rId85"/>
    <hyperlink ref="B86" r:id="rId86"/>
    <hyperlink ref="J74" r:id="rId87"/>
    <hyperlink ref="J11"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5" r:id="rId137"/>
    <hyperlink ref="B137" r:id="rId138"/>
    <hyperlink ref="B138" r:id="rId139"/>
    <hyperlink ref="B139" r:id="rId140"/>
    <hyperlink ref="B140" r:id="rId141"/>
    <hyperlink ref="B141" r:id="rId142"/>
    <hyperlink ref="B142" r:id="rId143"/>
    <hyperlink ref="B143" r:id="rId144"/>
    <hyperlink ref="B144" r:id="rId145"/>
    <hyperlink ref="B145" r:id="rId146"/>
    <hyperlink ref="B146" r:id="rId147"/>
    <hyperlink ref="B147" r:id="rId148"/>
    <hyperlink ref="B148" r:id="rId149"/>
    <hyperlink ref="B149" r:id="rId150"/>
    <hyperlink ref="B150" r:id="rId151"/>
    <hyperlink ref="B151" r:id="rId152"/>
    <hyperlink ref="B152" r:id="rId153"/>
    <hyperlink ref="B153" r:id="rId154"/>
    <hyperlink ref="B155" r:id="rId155"/>
    <hyperlink ref="B156" r:id="rId156"/>
    <hyperlink ref="B157" r:id="rId157"/>
    <hyperlink ref="B158" r:id="rId158"/>
    <hyperlink ref="B159" r:id="rId159"/>
    <hyperlink ref="B160" r:id="rId160"/>
    <hyperlink ref="B161" r:id="rId161"/>
    <hyperlink ref="B162" r:id="rId162"/>
    <hyperlink ref="B163" r:id="rId163"/>
    <hyperlink ref="B164" r:id="rId164"/>
    <hyperlink ref="B165" r:id="rId165"/>
    <hyperlink ref="B166" r:id="rId166"/>
    <hyperlink ref="B167" r:id="rId167"/>
    <hyperlink ref="B168" r:id="rId168"/>
    <hyperlink ref="B169" r:id="rId169"/>
    <hyperlink ref="B170" r:id="rId170"/>
    <hyperlink ref="B171"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5" r:id="rId213"/>
    <hyperlink ref="B216" r:id="rId214"/>
    <hyperlink ref="B214"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2" r:id="rId250"/>
    <hyperlink ref="B253" r:id="rId251"/>
    <hyperlink ref="B254" r:id="rId252"/>
    <hyperlink ref="B255" r:id="rId253"/>
    <hyperlink ref="B256" r:id="rId254"/>
    <hyperlink ref="B257" r:id="rId255"/>
    <hyperlink ref="B258" r:id="rId256"/>
    <hyperlink ref="B259" r:id="rId257"/>
    <hyperlink ref="B260" r:id="rId258"/>
    <hyperlink ref="B261" r:id="rId259"/>
    <hyperlink ref="B262" r:id="rId260"/>
    <hyperlink ref="B263" r:id="rId261"/>
    <hyperlink ref="B264" r:id="rId262"/>
    <hyperlink ref="B265" r:id="rId263"/>
    <hyperlink ref="B266" r:id="rId264"/>
    <hyperlink ref="B267" r:id="rId265"/>
    <hyperlink ref="B268" r:id="rId266"/>
    <hyperlink ref="B269" r:id="rId267"/>
    <hyperlink ref="B270" r:id="rId268"/>
    <hyperlink ref="B271" r:id="rId269"/>
    <hyperlink ref="B272" r:id="rId270"/>
    <hyperlink ref="J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136" r:id="rId323"/>
    <hyperlink ref="J162" r:id="rId324"/>
    <hyperlink ref="J195" r:id="rId325"/>
    <hyperlink ref="J199" r:id="rId326"/>
    <hyperlink ref="J222" r:id="rId327"/>
    <hyperlink ref="J237" r:id="rId328"/>
    <hyperlink ref="J284" r:id="rId329"/>
    <hyperlink ref="B172" r:id="rId330"/>
    <hyperlink ref="B154" r:id="rId331"/>
    <hyperlink ref="B251" r:id="rId332" display="https://dart.fss.or.kr/dsaf001/main.do?rcpNo=20230331000007"/>
  </hyperlinks>
  <pageMargins left="0.69972223043441772" right="0.69972223043441772" top="0.75" bottom="0.75" header="0.30000001192092896" footer="0.30000001192092896"/>
  <pageSetup paperSize="9" fitToWidth="0" fitToHeight="0"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FF00"/>
  </sheetPr>
  <dimension ref="A1:BL322"/>
  <sheetViews>
    <sheetView zoomScale="85" zoomScaleNormal="85" zoomScaleSheetLayoutView="75" workbookViewId="0">
      <pane xSplit="4" ySplit="1" topLeftCell="E2" activePane="bottomRight" state="frozen"/>
      <selection pane="topRight"/>
      <selection pane="bottomLeft"/>
      <selection pane="bottomRight" activeCell="U6" sqref="U6"/>
    </sheetView>
  </sheetViews>
  <sheetFormatPr defaultColWidth="9" defaultRowHeight="16.899999999999999" x14ac:dyDescent="0.6"/>
  <cols>
    <col min="1" max="1" width="20.5625" style="8" customWidth="1"/>
    <col min="2" max="3" width="9" customWidth="1"/>
    <col min="4" max="4" width="18.8125" customWidth="1"/>
    <col min="5" max="11" width="9" hidden="1" customWidth="1"/>
    <col min="12" max="18" width="15.5625" hidden="1" customWidth="1"/>
    <col min="19" max="20" width="10.5625" style="66" hidden="1" customWidth="1"/>
    <col min="21" max="21" width="10.5625" style="66" customWidth="1"/>
    <col min="22" max="23" width="10.5625" style="112" hidden="1" customWidth="1"/>
    <col min="24" max="26" width="10.5625" style="113" hidden="1" customWidth="1"/>
    <col min="27" max="27" width="10.5625" style="114" hidden="1" customWidth="1"/>
    <col min="28" max="28" width="10.5625" style="114" customWidth="1"/>
    <col min="29" max="29" width="10.5625" style="119" hidden="1" customWidth="1"/>
    <col min="30" max="30" width="10.5625" style="439" hidden="1" customWidth="1"/>
    <col min="31" max="31" width="10.5625" style="120" hidden="1" customWidth="1"/>
    <col min="32" max="32" width="10.5625" style="122" hidden="1" customWidth="1"/>
    <col min="33" max="33" width="10.5625" style="120" hidden="1" customWidth="1"/>
    <col min="34" max="34" width="10.5625" style="120" customWidth="1"/>
    <col min="35" max="40" width="10.5625" style="128" hidden="1" customWidth="1"/>
    <col min="41" max="41" width="10.5625" style="128" customWidth="1"/>
    <col min="42" max="42" width="15.5625" style="66" hidden="1" customWidth="1"/>
    <col min="43" max="43" width="10.5625" style="67" hidden="1" customWidth="1"/>
    <col min="44" max="44" width="10.5625" style="66" hidden="1" customWidth="1"/>
    <col min="45" max="45" width="10.5625" style="66" customWidth="1"/>
    <col min="46" max="52" width="10.5625" style="66" hidden="1" customWidth="1"/>
    <col min="53" max="53" width="10.5625" style="66" customWidth="1"/>
    <col min="54" max="58" width="10.5625" style="66" hidden="1" customWidth="1"/>
    <col min="59" max="59" width="10.5625" style="66" customWidth="1"/>
    <col min="60" max="60" width="15.5625" style="113" hidden="1" customWidth="1"/>
    <col min="61" max="61" width="10.5625" style="136" hidden="1" customWidth="1"/>
    <col min="62" max="62" width="10.5625" style="113" hidden="1" customWidth="1"/>
    <col min="63" max="64" width="10.5625" style="113" customWidth="1"/>
  </cols>
  <sheetData>
    <row r="1" spans="1:64" ht="100.05" customHeight="1" x14ac:dyDescent="0.6">
      <c r="A1" s="7" t="s">
        <v>695</v>
      </c>
      <c r="B1" s="5" t="s">
        <v>265</v>
      </c>
      <c r="C1" s="3" t="s">
        <v>510</v>
      </c>
      <c r="D1" s="7" t="s">
        <v>860</v>
      </c>
      <c r="E1" s="7" t="s">
        <v>807</v>
      </c>
      <c r="F1" s="7" t="s">
        <v>295</v>
      </c>
      <c r="G1" s="7" t="s">
        <v>680</v>
      </c>
      <c r="H1" s="7" t="s">
        <v>691</v>
      </c>
      <c r="I1" s="7" t="s">
        <v>364</v>
      </c>
      <c r="J1" s="7" t="s">
        <v>946</v>
      </c>
      <c r="K1" s="7" t="s">
        <v>696</v>
      </c>
      <c r="L1" s="4" t="s">
        <v>201</v>
      </c>
      <c r="M1" s="4" t="s">
        <v>263</v>
      </c>
      <c r="N1" s="4" t="s">
        <v>212</v>
      </c>
      <c r="O1" s="4" t="s">
        <v>198</v>
      </c>
      <c r="P1" s="4" t="s">
        <v>229</v>
      </c>
      <c r="Q1" s="4" t="s">
        <v>960</v>
      </c>
      <c r="R1" s="4" t="s">
        <v>277</v>
      </c>
      <c r="S1" s="102" t="s">
        <v>2331</v>
      </c>
      <c r="T1" s="103" t="s">
        <v>1004</v>
      </c>
      <c r="U1" s="104" t="s">
        <v>1336</v>
      </c>
      <c r="V1" s="108" t="s">
        <v>2332</v>
      </c>
      <c r="W1" s="108" t="s">
        <v>2333</v>
      </c>
      <c r="X1" s="109" t="s">
        <v>1339</v>
      </c>
      <c r="Y1" s="110" t="s">
        <v>1340</v>
      </c>
      <c r="Z1" s="111" t="s">
        <v>209</v>
      </c>
      <c r="AA1" s="111" t="s">
        <v>215</v>
      </c>
      <c r="AB1" s="115" t="s">
        <v>1338</v>
      </c>
      <c r="AC1" s="108" t="s">
        <v>2334</v>
      </c>
      <c r="AD1" s="108" t="s">
        <v>2335</v>
      </c>
      <c r="AE1" s="117" t="s">
        <v>1341</v>
      </c>
      <c r="AF1" s="121" t="s">
        <v>227</v>
      </c>
      <c r="AG1" s="117" t="s">
        <v>590</v>
      </c>
      <c r="AH1" s="118" t="s">
        <v>1337</v>
      </c>
      <c r="AI1" s="259" t="s">
        <v>2336</v>
      </c>
      <c r="AJ1" s="259" t="s">
        <v>2337</v>
      </c>
      <c r="AK1" s="259" t="s">
        <v>2338</v>
      </c>
      <c r="AL1" s="259" t="s">
        <v>2339</v>
      </c>
      <c r="AM1" s="127" t="s">
        <v>1342</v>
      </c>
      <c r="AN1" s="126" t="s">
        <v>588</v>
      </c>
      <c r="AO1" s="129" t="s">
        <v>1343</v>
      </c>
      <c r="AP1" s="131" t="s">
        <v>2340</v>
      </c>
      <c r="AQ1" s="132" t="s">
        <v>323</v>
      </c>
      <c r="AR1" s="125" t="s">
        <v>172</v>
      </c>
      <c r="AS1" s="104" t="s">
        <v>1344</v>
      </c>
      <c r="AT1" s="131" t="s">
        <v>2342</v>
      </c>
      <c r="AU1" s="131" t="s">
        <v>2343</v>
      </c>
      <c r="AV1" s="103" t="s">
        <v>1345</v>
      </c>
      <c r="AW1" s="131" t="s">
        <v>2344</v>
      </c>
      <c r="AX1" s="133" t="s">
        <v>2341</v>
      </c>
      <c r="AY1" s="126" t="s">
        <v>1346</v>
      </c>
      <c r="AZ1" s="125" t="s">
        <v>1347</v>
      </c>
      <c r="BA1" s="104" t="s">
        <v>1231</v>
      </c>
      <c r="BB1" s="131" t="s">
        <v>2345</v>
      </c>
      <c r="BC1" s="298" t="s">
        <v>2382</v>
      </c>
      <c r="BD1" s="298" t="s">
        <v>2383</v>
      </c>
      <c r="BE1" s="126" t="s">
        <v>1348</v>
      </c>
      <c r="BF1" s="125" t="s">
        <v>1349</v>
      </c>
      <c r="BG1" s="104" t="s">
        <v>1016</v>
      </c>
      <c r="BH1" s="441" t="s">
        <v>3542</v>
      </c>
      <c r="BI1" s="121" t="s">
        <v>75</v>
      </c>
      <c r="BJ1" s="117" t="s">
        <v>225</v>
      </c>
      <c r="BK1" s="118" t="s">
        <v>210</v>
      </c>
      <c r="BL1" s="135" t="s">
        <v>1350</v>
      </c>
    </row>
    <row r="2" spans="1:64" x14ac:dyDescent="0.6">
      <c r="A2" s="214" t="s">
        <v>1253</v>
      </c>
      <c r="B2" s="13" t="s">
        <v>1978</v>
      </c>
      <c r="C2" s="215" t="s">
        <v>35</v>
      </c>
      <c r="D2" s="216" t="s">
        <v>285</v>
      </c>
      <c r="E2" s="217" t="s">
        <v>504</v>
      </c>
      <c r="F2" s="217" t="s">
        <v>293</v>
      </c>
      <c r="G2" s="218">
        <v>43077</v>
      </c>
      <c r="H2" s="217" t="s">
        <v>830</v>
      </c>
      <c r="I2" s="217" t="s">
        <v>834</v>
      </c>
      <c r="J2" s="217" t="s">
        <v>1242</v>
      </c>
      <c r="K2" s="217" t="s">
        <v>91</v>
      </c>
      <c r="L2" s="205">
        <v>2857090834</v>
      </c>
      <c r="M2" s="205">
        <v>1925834121</v>
      </c>
      <c r="N2" s="205">
        <v>931256713</v>
      </c>
      <c r="O2" s="205">
        <v>7577772993</v>
      </c>
      <c r="P2" s="205">
        <v>249222456</v>
      </c>
      <c r="Q2" s="205">
        <v>250446471</v>
      </c>
      <c r="R2" s="206">
        <v>190700183</v>
      </c>
      <c r="S2" s="105">
        <v>1</v>
      </c>
      <c r="T2" s="254">
        <f>IF(S2=1, 100, 0)</f>
        <v>100</v>
      </c>
      <c r="U2" s="107">
        <f>T2*0.01</f>
        <v>1</v>
      </c>
      <c r="V2" s="45">
        <v>573</v>
      </c>
      <c r="W2" s="45">
        <v>667</v>
      </c>
      <c r="X2" s="255">
        <f>W2-V2</f>
        <v>94</v>
      </c>
      <c r="Y2" s="255">
        <f>AD2-AC2</f>
        <v>183</v>
      </c>
      <c r="Z2" s="256">
        <f>IF(Y2&lt;1, X2*100, (X2/Y2)*100)</f>
        <v>51.366120218579233</v>
      </c>
      <c r="AA2" s="257">
        <f>IF(Z2&lt;10, 20, IF(Z2&lt;20, 40, IF(Z2&lt;30, 60, IF(Z2&lt;40, 80, IF(Z2&gt;=40, 100)))))</f>
        <v>100</v>
      </c>
      <c r="AB2" s="116">
        <f>AA2*0.01</f>
        <v>1</v>
      </c>
      <c r="AC2" s="123">
        <v>2254</v>
      </c>
      <c r="AD2" s="123">
        <v>2437</v>
      </c>
      <c r="AE2" s="257">
        <f>AD2-AC2</f>
        <v>183</v>
      </c>
      <c r="AF2" s="258">
        <f>(AE2/AC2)*100</f>
        <v>8.1188997338065665</v>
      </c>
      <c r="AG2" s="257">
        <f>IF(AF2&lt;0, 20, IF(AF2&lt;0.5, 40, IF(AF2&lt;1.5, 60, IF(AF2&lt;2.5, 80, IF(AF2&gt;=2.5, 100)))))</f>
        <v>100</v>
      </c>
      <c r="AH2" s="124">
        <f>AG2*0.04</f>
        <v>4</v>
      </c>
      <c r="AI2" s="105">
        <v>0</v>
      </c>
      <c r="AJ2" s="105">
        <v>0</v>
      </c>
      <c r="AK2" s="105">
        <v>0</v>
      </c>
      <c r="AL2" s="105">
        <v>0</v>
      </c>
      <c r="AM2" s="260">
        <f>SUM(AI2:AL2)</f>
        <v>0</v>
      </c>
      <c r="AN2" s="260">
        <f>IF(AM2=4, 100, IF(AM2=3, 80, IF(AM2=2, 60, IF(AM2=1, 40, 20))))</f>
        <v>20</v>
      </c>
      <c r="AO2" s="130">
        <f>AN2*0.01</f>
        <v>0.2</v>
      </c>
      <c r="AP2" s="106">
        <v>936000</v>
      </c>
      <c r="AQ2" s="261">
        <f>(AP2/R2)*100</f>
        <v>0.49082281163830871</v>
      </c>
      <c r="AR2" s="261">
        <f>IF((25+((75*(AQ2-0)/(5-0))))&gt;100, 100, IF((25+((75*(AQ2-0)/(5-0))))&lt;25, 25, (25+((75*(AQ2-0)/(5-0))))))</f>
        <v>32.362342174574628</v>
      </c>
      <c r="AS2" s="107">
        <f>AR2*0.04</f>
        <v>1.2944936869829851</v>
      </c>
      <c r="AT2" s="105">
        <v>1</v>
      </c>
      <c r="AU2" s="105">
        <v>1</v>
      </c>
      <c r="AV2" s="262">
        <f>IF((AT2+AU2)=2, 50, IF((AT2+AU2)=1, 25, 0))</f>
        <v>50</v>
      </c>
      <c r="AW2" s="134">
        <v>5</v>
      </c>
      <c r="AX2" s="134" t="s">
        <v>3543</v>
      </c>
      <c r="AY2" s="262">
        <f>IF(AW2&gt;=3, 50, IF(AW2&gt;=1, 25, 0))</f>
        <v>50</v>
      </c>
      <c r="AZ2" s="262">
        <f>AV2+AY2</f>
        <v>100</v>
      </c>
      <c r="BA2" s="38">
        <f>AZ2*0.01</f>
        <v>1</v>
      </c>
      <c r="BB2" s="105">
        <v>0</v>
      </c>
      <c r="BC2" s="105">
        <v>0</v>
      </c>
      <c r="BD2" s="105">
        <v>0</v>
      </c>
      <c r="BE2" s="262">
        <f>SUM(BB2:BD2)</f>
        <v>0</v>
      </c>
      <c r="BF2" s="262">
        <f>IF(BE2&gt;=1, 100, 50)</f>
        <v>50</v>
      </c>
      <c r="BG2" s="38">
        <f>BF2*0.01</f>
        <v>0.5</v>
      </c>
      <c r="BH2" s="255">
        <f>Q2-R2</f>
        <v>59746288</v>
      </c>
      <c r="BI2" s="256">
        <f>BH2/O2*100</f>
        <v>0.78844124857251441</v>
      </c>
      <c r="BJ2" s="256">
        <f>IF((25+((75*(BI2-0))/(10-0)))&gt;100, 100, IF((25+((75*(BI2-0))/(10-0)))&lt;25, 25, (25+((75*(BI2-0))/(10-0)))))</f>
        <v>30.913309364293859</v>
      </c>
      <c r="BK2" s="55">
        <f>BJ2*0.02</f>
        <v>0.61826618728587723</v>
      </c>
      <c r="BL2" s="137">
        <f>U2+AB2+AH2+AO2+AS2+BA2+BG2+BK2</f>
        <v>9.6127598742688622</v>
      </c>
    </row>
    <row r="3" spans="1:64" x14ac:dyDescent="0.6">
      <c r="A3" s="214" t="s">
        <v>1428</v>
      </c>
      <c r="B3" s="13" t="s">
        <v>1979</v>
      </c>
      <c r="C3" s="215" t="s">
        <v>555</v>
      </c>
      <c r="D3" s="216" t="s">
        <v>191</v>
      </c>
      <c r="E3" s="217" t="s">
        <v>190</v>
      </c>
      <c r="F3" s="217" t="s">
        <v>396</v>
      </c>
      <c r="G3" s="218">
        <v>27547</v>
      </c>
      <c r="H3" s="217" t="s">
        <v>830</v>
      </c>
      <c r="I3" s="217" t="s">
        <v>544</v>
      </c>
      <c r="J3" s="217" t="s">
        <v>1037</v>
      </c>
      <c r="K3" s="217" t="s">
        <v>91</v>
      </c>
      <c r="L3" s="205">
        <v>657344581</v>
      </c>
      <c r="M3" s="205">
        <v>145796846</v>
      </c>
      <c r="N3" s="205">
        <v>511547734</v>
      </c>
      <c r="O3" s="205">
        <v>168169259</v>
      </c>
      <c r="P3" s="205">
        <v>24457946</v>
      </c>
      <c r="Q3" s="205">
        <v>48325988</v>
      </c>
      <c r="R3" s="206">
        <v>35650140</v>
      </c>
      <c r="S3" s="105">
        <v>1</v>
      </c>
      <c r="T3" s="254">
        <f t="shared" ref="T3:T66" si="0">IF(S3=1, 100, 0)</f>
        <v>100</v>
      </c>
      <c r="U3" s="107">
        <f t="shared" ref="U3:U66" si="1">T3*0.01</f>
        <v>1</v>
      </c>
      <c r="V3" s="45">
        <v>291</v>
      </c>
      <c r="W3" s="45">
        <f>15+286</f>
        <v>301</v>
      </c>
      <c r="X3" s="255">
        <f t="shared" ref="X3:X66" si="2">W3-V3</f>
        <v>10</v>
      </c>
      <c r="Y3" s="255">
        <f t="shared" ref="Y3:Y66" si="3">AD3-AC3</f>
        <v>-12</v>
      </c>
      <c r="Z3" s="256">
        <f t="shared" ref="Z3:Z66" si="4">IF(Y3&lt;1, X3*100, (X3/Y3)*100)</f>
        <v>1000</v>
      </c>
      <c r="AA3" s="257">
        <f t="shared" ref="AA3:AA66" si="5">IF(Z3&lt;10, 20, IF(Z3&lt;20, 40, IF(Z3&lt;30, 60, IF(Z3&lt;40, 80, IF(Z3&gt;=40, 100)))))</f>
        <v>100</v>
      </c>
      <c r="AB3" s="116">
        <f t="shared" ref="AB3:AB66" si="6">AA3*0.01</f>
        <v>1</v>
      </c>
      <c r="AC3" s="123">
        <v>552</v>
      </c>
      <c r="AD3" s="123">
        <v>540</v>
      </c>
      <c r="AE3" s="257">
        <f t="shared" ref="AE3:AE66" si="7">AD3-AC3</f>
        <v>-12</v>
      </c>
      <c r="AF3" s="258">
        <f t="shared" ref="AF3:AF66" si="8">(AE3/AC3)*100</f>
        <v>-2.1739130434782608</v>
      </c>
      <c r="AG3" s="257">
        <f t="shared" ref="AG3:AG66" si="9">IF(AF3&lt;0, 20, IF(AF3&lt;0.5, 40, IF(AF3&lt;1.5, 60, IF(AF3&lt;2.5, 80, IF(AF3&gt;=2.5, 100)))))</f>
        <v>20</v>
      </c>
      <c r="AH3" s="124">
        <f t="shared" ref="AH3:AH66" si="10">AG3*0.04</f>
        <v>0.8</v>
      </c>
      <c r="AI3" s="105">
        <v>0</v>
      </c>
      <c r="AJ3" s="105">
        <v>0</v>
      </c>
      <c r="AK3" s="105">
        <v>0</v>
      </c>
      <c r="AL3" s="105">
        <v>0</v>
      </c>
      <c r="AM3" s="260">
        <f t="shared" ref="AM3:AM66" si="11">SUM(AI3:AL3)</f>
        <v>0</v>
      </c>
      <c r="AN3" s="260">
        <f t="shared" ref="AN3:AN66" si="12">IF(AM3=4, 100, IF(AM3=3, 80, IF(AM3=2, 60, IF(AM3=1, 40, 20))))</f>
        <v>20</v>
      </c>
      <c r="AO3" s="130">
        <f t="shared" ref="AO3:AO66" si="13">AN3*0.01</f>
        <v>0.2</v>
      </c>
      <c r="AP3" s="106">
        <v>271502.65100000001</v>
      </c>
      <c r="AQ3" s="261">
        <f t="shared" ref="AQ3:AQ66" si="14">(AP3/R3)*100</f>
        <v>0.76157527291617932</v>
      </c>
      <c r="AR3" s="261">
        <f t="shared" ref="AR3:AR66" si="15">IF((25+((75*(AQ3-0)/(5-0))))&gt;100, 100, IF((25+((75*(AQ3-0)/(5-0))))&lt;25, 25, (25+((75*(AQ3-0)/(5-0))))))</f>
        <v>36.42362909374269</v>
      </c>
      <c r="AS3" s="107">
        <f t="shared" ref="AS3:AS66" si="16">AR3*0.04</f>
        <v>1.4569451637497077</v>
      </c>
      <c r="AT3" s="105">
        <v>0</v>
      </c>
      <c r="AU3" s="105">
        <v>1</v>
      </c>
      <c r="AV3" s="262">
        <f t="shared" ref="AV3:AV66" si="17">IF((AT3+AU3)=2, 50, IF((AT3+AU3)=1, 25, 0))</f>
        <v>25</v>
      </c>
      <c r="AW3" s="134">
        <v>0</v>
      </c>
      <c r="AX3" s="134"/>
      <c r="AY3" s="262">
        <f t="shared" ref="AY3:AY66" si="18">IF(AW3&gt;=3, 50, IF(AW3&gt;=1, 25, 0))</f>
        <v>0</v>
      </c>
      <c r="AZ3" s="262">
        <f t="shared" ref="AZ3:AZ66" si="19">AV3+AY3</f>
        <v>25</v>
      </c>
      <c r="BA3" s="38">
        <f t="shared" ref="BA3:BA66" si="20">AZ3*0.01</f>
        <v>0.25</v>
      </c>
      <c r="BB3" s="105">
        <v>0</v>
      </c>
      <c r="BC3" s="105">
        <v>0</v>
      </c>
      <c r="BD3" s="105">
        <v>0</v>
      </c>
      <c r="BE3" s="262">
        <f t="shared" ref="BE3:BE66" si="21">SUM(BB3:BD3)</f>
        <v>0</v>
      </c>
      <c r="BF3" s="262">
        <f t="shared" ref="BF3:BF66" si="22">IF(BE3&gt;=1, 100, 50)</f>
        <v>50</v>
      </c>
      <c r="BG3" s="38">
        <f t="shared" ref="BG3:BG66" si="23">BF3*0.01</f>
        <v>0.5</v>
      </c>
      <c r="BH3" s="255">
        <f t="shared" ref="BH3:BH66" si="24">Q3-R3</f>
        <v>12675848</v>
      </c>
      <c r="BI3" s="256">
        <f t="shared" ref="BI3:BI66" si="25">BH3/O3*100</f>
        <v>7.5375535786834851</v>
      </c>
      <c r="BJ3" s="256">
        <f t="shared" ref="BJ3:BJ66" si="26">IF((25+((75*(BI3-0))/(10-0)))&gt;100, 100, IF((25+((75*(BI3-0))/(10-0)))&lt;25, 25, (25+((75*(BI3-0))/(10-0)))))</f>
        <v>81.531651840126145</v>
      </c>
      <c r="BK3" s="55">
        <f t="shared" ref="BK3:BK66" si="27">BJ3*0.02</f>
        <v>1.630633036802523</v>
      </c>
      <c r="BL3" s="137">
        <f t="shared" ref="BL3:BL66" si="28">U3+AB3+AH3+AO3+AS3+BA3+BG3+BK3</f>
        <v>6.8375782005522314</v>
      </c>
    </row>
    <row r="4" spans="1:64" x14ac:dyDescent="0.6">
      <c r="A4" s="214" t="s">
        <v>1430</v>
      </c>
      <c r="B4" s="13" t="s">
        <v>1980</v>
      </c>
      <c r="C4" s="219" t="s">
        <v>1431</v>
      </c>
      <c r="D4" s="14" t="s">
        <v>285</v>
      </c>
      <c r="E4" s="217" t="s">
        <v>1432</v>
      </c>
      <c r="F4" s="217" t="s">
        <v>1433</v>
      </c>
      <c r="G4" s="218">
        <v>20638</v>
      </c>
      <c r="H4" s="217" t="s">
        <v>830</v>
      </c>
      <c r="I4" s="217" t="s">
        <v>1434</v>
      </c>
      <c r="J4" s="217" t="s">
        <v>1435</v>
      </c>
      <c r="K4" s="217" t="s">
        <v>91</v>
      </c>
      <c r="L4" s="220">
        <v>7825113458</v>
      </c>
      <c r="M4" s="206">
        <v>4398363795</v>
      </c>
      <c r="N4" s="206">
        <v>3426749663</v>
      </c>
      <c r="O4" s="206">
        <v>8214653866</v>
      </c>
      <c r="P4" s="206">
        <v>262723385</v>
      </c>
      <c r="Q4" s="206">
        <v>247777952</v>
      </c>
      <c r="R4" s="206">
        <v>200576209</v>
      </c>
      <c r="S4" s="105">
        <v>1</v>
      </c>
      <c r="T4" s="254">
        <f t="shared" si="0"/>
        <v>100</v>
      </c>
      <c r="U4" s="107">
        <f t="shared" si="1"/>
        <v>1</v>
      </c>
      <c r="V4" s="45">
        <v>863</v>
      </c>
      <c r="W4" s="45">
        <v>970</v>
      </c>
      <c r="X4" s="255">
        <f t="shared" si="2"/>
        <v>107</v>
      </c>
      <c r="Y4" s="255">
        <f t="shared" si="3"/>
        <v>540</v>
      </c>
      <c r="Z4" s="256">
        <f t="shared" si="4"/>
        <v>19.814814814814817</v>
      </c>
      <c r="AA4" s="257">
        <f t="shared" si="5"/>
        <v>40</v>
      </c>
      <c r="AB4" s="116">
        <f t="shared" si="6"/>
        <v>0.4</v>
      </c>
      <c r="AC4" s="123">
        <v>6199</v>
      </c>
      <c r="AD4" s="123">
        <v>6739</v>
      </c>
      <c r="AE4" s="257">
        <f t="shared" si="7"/>
        <v>540</v>
      </c>
      <c r="AF4" s="258">
        <f t="shared" si="8"/>
        <v>8.7110824326504268</v>
      </c>
      <c r="AG4" s="257">
        <f t="shared" si="9"/>
        <v>100</v>
      </c>
      <c r="AH4" s="124">
        <f t="shared" si="10"/>
        <v>4</v>
      </c>
      <c r="AI4" s="105">
        <v>0</v>
      </c>
      <c r="AJ4" s="105">
        <v>0</v>
      </c>
      <c r="AK4" s="105">
        <v>0</v>
      </c>
      <c r="AL4" s="105">
        <v>0</v>
      </c>
      <c r="AM4" s="260">
        <f t="shared" si="11"/>
        <v>0</v>
      </c>
      <c r="AN4" s="260">
        <f t="shared" si="12"/>
        <v>20</v>
      </c>
      <c r="AO4" s="130">
        <f t="shared" si="13"/>
        <v>0.2</v>
      </c>
      <c r="AP4" s="106">
        <v>4494405</v>
      </c>
      <c r="AQ4" s="261">
        <f t="shared" si="14"/>
        <v>2.2407468076136587</v>
      </c>
      <c r="AR4" s="261">
        <f t="shared" si="15"/>
        <v>58.611202114204886</v>
      </c>
      <c r="AS4" s="107">
        <f t="shared" si="16"/>
        <v>2.3444480845681954</v>
      </c>
      <c r="AT4" s="105">
        <v>1</v>
      </c>
      <c r="AU4" s="105">
        <v>1</v>
      </c>
      <c r="AV4" s="262">
        <f t="shared" si="17"/>
        <v>50</v>
      </c>
      <c r="AW4" s="134">
        <v>13</v>
      </c>
      <c r="AX4" s="1" t="s">
        <v>3642</v>
      </c>
      <c r="AY4" s="262">
        <f t="shared" si="18"/>
        <v>50</v>
      </c>
      <c r="AZ4" s="262">
        <f t="shared" si="19"/>
        <v>100</v>
      </c>
      <c r="BA4" s="38">
        <f t="shared" si="20"/>
        <v>1</v>
      </c>
      <c r="BB4" s="105">
        <v>0</v>
      </c>
      <c r="BC4" s="105">
        <v>0</v>
      </c>
      <c r="BD4" s="105">
        <v>0</v>
      </c>
      <c r="BE4" s="262">
        <f t="shared" si="21"/>
        <v>0</v>
      </c>
      <c r="BF4" s="262">
        <f t="shared" si="22"/>
        <v>50</v>
      </c>
      <c r="BG4" s="38">
        <f t="shared" si="23"/>
        <v>0.5</v>
      </c>
      <c r="BH4" s="255">
        <f t="shared" si="24"/>
        <v>47201743</v>
      </c>
      <c r="BI4" s="256">
        <f t="shared" si="25"/>
        <v>0.57460416190346641</v>
      </c>
      <c r="BJ4" s="256">
        <f t="shared" si="26"/>
        <v>29.309531214275999</v>
      </c>
      <c r="BK4" s="55">
        <f t="shared" si="27"/>
        <v>0.58619062428552005</v>
      </c>
      <c r="BL4" s="137">
        <f t="shared" si="28"/>
        <v>10.030638708853715</v>
      </c>
    </row>
    <row r="5" spans="1:64" x14ac:dyDescent="0.6">
      <c r="A5" s="214" t="s">
        <v>104</v>
      </c>
      <c r="B5" s="13" t="s">
        <v>1981</v>
      </c>
      <c r="C5" s="219" t="s">
        <v>449</v>
      </c>
      <c r="D5" s="216" t="s">
        <v>191</v>
      </c>
      <c r="E5" s="217" t="s">
        <v>178</v>
      </c>
      <c r="F5" s="217" t="s">
        <v>1248</v>
      </c>
      <c r="G5" s="218">
        <v>32473</v>
      </c>
      <c r="H5" s="217" t="s">
        <v>830</v>
      </c>
      <c r="I5" s="217" t="s">
        <v>1436</v>
      </c>
      <c r="J5" s="217" t="s">
        <v>1236</v>
      </c>
      <c r="K5" s="217" t="s">
        <v>690</v>
      </c>
      <c r="L5" s="220">
        <v>143409087</v>
      </c>
      <c r="M5" s="206">
        <v>67719807</v>
      </c>
      <c r="N5" s="206">
        <v>75689279</v>
      </c>
      <c r="O5" s="206">
        <v>152701472</v>
      </c>
      <c r="P5" s="206">
        <v>4135028</v>
      </c>
      <c r="Q5" s="206">
        <v>6675009</v>
      </c>
      <c r="R5" s="206">
        <v>7419861</v>
      </c>
      <c r="S5" s="105">
        <v>1</v>
      </c>
      <c r="T5" s="254">
        <f t="shared" si="0"/>
        <v>100</v>
      </c>
      <c r="U5" s="107">
        <f t="shared" si="1"/>
        <v>1</v>
      </c>
      <c r="V5" s="45">
        <v>185</v>
      </c>
      <c r="W5" s="45">
        <v>159</v>
      </c>
      <c r="X5" s="255">
        <f t="shared" si="2"/>
        <v>-26</v>
      </c>
      <c r="Y5" s="255">
        <f t="shared" si="3"/>
        <v>-44</v>
      </c>
      <c r="Z5" s="256">
        <f t="shared" si="4"/>
        <v>-2600</v>
      </c>
      <c r="AA5" s="257">
        <f t="shared" si="5"/>
        <v>20</v>
      </c>
      <c r="AB5" s="116">
        <f t="shared" si="6"/>
        <v>0.2</v>
      </c>
      <c r="AC5" s="123">
        <v>391</v>
      </c>
      <c r="AD5" s="123">
        <v>347</v>
      </c>
      <c r="AE5" s="257">
        <f t="shared" si="7"/>
        <v>-44</v>
      </c>
      <c r="AF5" s="258">
        <f t="shared" si="8"/>
        <v>-11.253196930946292</v>
      </c>
      <c r="AG5" s="257">
        <f t="shared" si="9"/>
        <v>20</v>
      </c>
      <c r="AH5" s="124">
        <f t="shared" si="10"/>
        <v>0.8</v>
      </c>
      <c r="AI5" s="105">
        <v>1</v>
      </c>
      <c r="AJ5" s="105">
        <v>0</v>
      </c>
      <c r="AK5" s="105">
        <v>0</v>
      </c>
      <c r="AL5" s="105">
        <v>0</v>
      </c>
      <c r="AM5" s="260">
        <f t="shared" si="11"/>
        <v>1</v>
      </c>
      <c r="AN5" s="260">
        <f t="shared" si="12"/>
        <v>40</v>
      </c>
      <c r="AO5" s="130">
        <f t="shared" si="13"/>
        <v>0.4</v>
      </c>
      <c r="AP5" s="106">
        <v>57668</v>
      </c>
      <c r="AQ5" s="261">
        <f t="shared" si="14"/>
        <v>0.77721132511781554</v>
      </c>
      <c r="AR5" s="261">
        <f t="shared" si="15"/>
        <v>36.658169876767232</v>
      </c>
      <c r="AS5" s="107">
        <f t="shared" si="16"/>
        <v>1.4663267950706893</v>
      </c>
      <c r="AT5" s="105">
        <v>0</v>
      </c>
      <c r="AU5" s="105">
        <v>1</v>
      </c>
      <c r="AV5" s="262">
        <f t="shared" si="17"/>
        <v>25</v>
      </c>
      <c r="AW5" s="134">
        <v>0</v>
      </c>
      <c r="AX5" s="134"/>
      <c r="AY5" s="262">
        <f t="shared" si="18"/>
        <v>0</v>
      </c>
      <c r="AZ5" s="262">
        <f t="shared" si="19"/>
        <v>25</v>
      </c>
      <c r="BA5" s="38">
        <f t="shared" si="20"/>
        <v>0.25</v>
      </c>
      <c r="BB5" s="105">
        <v>0</v>
      </c>
      <c r="BC5" s="105">
        <v>0</v>
      </c>
      <c r="BD5" s="105">
        <v>0</v>
      </c>
      <c r="BE5" s="262">
        <f t="shared" si="21"/>
        <v>0</v>
      </c>
      <c r="BF5" s="262">
        <f t="shared" si="22"/>
        <v>50</v>
      </c>
      <c r="BG5" s="38">
        <f t="shared" si="23"/>
        <v>0.5</v>
      </c>
      <c r="BH5" s="255">
        <f t="shared" si="24"/>
        <v>-744852</v>
      </c>
      <c r="BI5" s="256">
        <f t="shared" si="25"/>
        <v>-0.48778311711363204</v>
      </c>
      <c r="BJ5" s="256">
        <f t="shared" si="26"/>
        <v>25</v>
      </c>
      <c r="BK5" s="55">
        <f t="shared" si="27"/>
        <v>0.5</v>
      </c>
      <c r="BL5" s="137">
        <f t="shared" si="28"/>
        <v>5.1163267950706892</v>
      </c>
    </row>
    <row r="6" spans="1:64" x14ac:dyDescent="0.6">
      <c r="A6" s="214" t="s">
        <v>1437</v>
      </c>
      <c r="B6" s="13" t="s">
        <v>1982</v>
      </c>
      <c r="C6" s="219" t="s">
        <v>1438</v>
      </c>
      <c r="D6" s="14" t="s">
        <v>191</v>
      </c>
      <c r="E6" s="217" t="s">
        <v>178</v>
      </c>
      <c r="F6" s="217" t="s">
        <v>1439</v>
      </c>
      <c r="G6" s="218">
        <v>39353</v>
      </c>
      <c r="H6" s="217" t="s">
        <v>830</v>
      </c>
      <c r="I6" s="217" t="s">
        <v>1440</v>
      </c>
      <c r="J6" s="217" t="s">
        <v>1441</v>
      </c>
      <c r="K6" s="217" t="s">
        <v>91</v>
      </c>
      <c r="L6" s="220">
        <v>11450867716</v>
      </c>
      <c r="M6" s="206">
        <v>6158689194</v>
      </c>
      <c r="N6" s="206">
        <v>5292178522</v>
      </c>
      <c r="O6" s="206">
        <v>7842662871</v>
      </c>
      <c r="P6" s="206">
        <v>405033974</v>
      </c>
      <c r="Q6" s="206">
        <v>333649782</v>
      </c>
      <c r="R6" s="206">
        <v>265820089</v>
      </c>
      <c r="S6" s="105">
        <v>1</v>
      </c>
      <c r="T6" s="254">
        <f t="shared" si="0"/>
        <v>100</v>
      </c>
      <c r="U6" s="107">
        <f t="shared" si="1"/>
        <v>1</v>
      </c>
      <c r="V6" s="45">
        <f>1771+444</f>
        <v>2215</v>
      </c>
      <c r="W6" s="45">
        <f>1875+514</f>
        <v>2389</v>
      </c>
      <c r="X6" s="255">
        <f t="shared" si="2"/>
        <v>174</v>
      </c>
      <c r="Y6" s="255">
        <f t="shared" si="3"/>
        <v>391</v>
      </c>
      <c r="Z6" s="256">
        <f t="shared" si="4"/>
        <v>44.501278772378519</v>
      </c>
      <c r="AA6" s="257">
        <f t="shared" si="5"/>
        <v>100</v>
      </c>
      <c r="AB6" s="116">
        <f t="shared" si="6"/>
        <v>1</v>
      </c>
      <c r="AC6" s="123">
        <v>8079</v>
      </c>
      <c r="AD6" s="123">
        <v>8470</v>
      </c>
      <c r="AE6" s="257">
        <f t="shared" si="7"/>
        <v>391</v>
      </c>
      <c r="AF6" s="258">
        <f t="shared" si="8"/>
        <v>4.8397078846391883</v>
      </c>
      <c r="AG6" s="257">
        <f t="shared" si="9"/>
        <v>100</v>
      </c>
      <c r="AH6" s="124">
        <f t="shared" si="10"/>
        <v>4</v>
      </c>
      <c r="AI6" s="105">
        <v>0</v>
      </c>
      <c r="AJ6" s="105">
        <v>1</v>
      </c>
      <c r="AK6" s="105">
        <v>0</v>
      </c>
      <c r="AL6" s="105">
        <v>0</v>
      </c>
      <c r="AM6" s="260">
        <f t="shared" si="11"/>
        <v>1</v>
      </c>
      <c r="AN6" s="260">
        <f t="shared" si="12"/>
        <v>40</v>
      </c>
      <c r="AO6" s="130">
        <f t="shared" si="13"/>
        <v>0.4</v>
      </c>
      <c r="AP6" s="106">
        <v>13346062</v>
      </c>
      <c r="AQ6" s="261">
        <f t="shared" si="14"/>
        <v>5.0207123360040704</v>
      </c>
      <c r="AR6" s="261">
        <f t="shared" si="15"/>
        <v>100</v>
      </c>
      <c r="AS6" s="107">
        <f t="shared" si="16"/>
        <v>4</v>
      </c>
      <c r="AT6" s="105">
        <v>1</v>
      </c>
      <c r="AU6" s="105">
        <v>1</v>
      </c>
      <c r="AV6" s="262">
        <f t="shared" si="17"/>
        <v>50</v>
      </c>
      <c r="AW6" s="134">
        <v>8</v>
      </c>
      <c r="AX6" s="1" t="s">
        <v>3646</v>
      </c>
      <c r="AY6" s="262">
        <f t="shared" si="18"/>
        <v>50</v>
      </c>
      <c r="AZ6" s="262">
        <f t="shared" si="19"/>
        <v>100</v>
      </c>
      <c r="BA6" s="38">
        <f t="shared" si="20"/>
        <v>1</v>
      </c>
      <c r="BB6" s="105">
        <v>0</v>
      </c>
      <c r="BC6" s="105">
        <v>0</v>
      </c>
      <c r="BD6" s="105">
        <v>0</v>
      </c>
      <c r="BE6" s="262">
        <f t="shared" si="21"/>
        <v>0</v>
      </c>
      <c r="BF6" s="262">
        <f t="shared" si="22"/>
        <v>50</v>
      </c>
      <c r="BG6" s="38">
        <f t="shared" si="23"/>
        <v>0.5</v>
      </c>
      <c r="BH6" s="255">
        <f t="shared" si="24"/>
        <v>67829693</v>
      </c>
      <c r="BI6" s="256">
        <f t="shared" si="25"/>
        <v>0.86488089716077765</v>
      </c>
      <c r="BJ6" s="256">
        <f t="shared" si="26"/>
        <v>31.486606728705834</v>
      </c>
      <c r="BK6" s="55">
        <f t="shared" si="27"/>
        <v>0.6297321345741167</v>
      </c>
      <c r="BL6" s="137">
        <f t="shared" si="28"/>
        <v>12.529732134574116</v>
      </c>
    </row>
    <row r="7" spans="1:64" x14ac:dyDescent="0.6">
      <c r="A7" s="214" t="s">
        <v>750</v>
      </c>
      <c r="B7" s="13" t="s">
        <v>1983</v>
      </c>
      <c r="C7" s="219" t="s">
        <v>409</v>
      </c>
      <c r="D7" s="216" t="s">
        <v>285</v>
      </c>
      <c r="E7" s="217" t="s">
        <v>1034</v>
      </c>
      <c r="F7" s="217" t="s">
        <v>1019</v>
      </c>
      <c r="G7" s="218">
        <v>33975</v>
      </c>
      <c r="H7" s="217" t="s">
        <v>830</v>
      </c>
      <c r="I7" s="217" t="s">
        <v>969</v>
      </c>
      <c r="J7" s="217" t="s">
        <v>1040</v>
      </c>
      <c r="K7" s="217" t="s">
        <v>91</v>
      </c>
      <c r="L7" s="220">
        <v>428747549</v>
      </c>
      <c r="M7" s="206">
        <v>121241747</v>
      </c>
      <c r="N7" s="206">
        <v>307505802</v>
      </c>
      <c r="O7" s="206">
        <v>347588559</v>
      </c>
      <c r="P7" s="206">
        <v>12401397</v>
      </c>
      <c r="Q7" s="206">
        <v>14089238</v>
      </c>
      <c r="R7" s="206">
        <v>10922265</v>
      </c>
      <c r="S7" s="105">
        <v>1</v>
      </c>
      <c r="T7" s="254">
        <f t="shared" si="0"/>
        <v>100</v>
      </c>
      <c r="U7" s="107">
        <f t="shared" si="1"/>
        <v>1</v>
      </c>
      <c r="V7" s="45">
        <v>79</v>
      </c>
      <c r="W7" s="45">
        <f>70+26</f>
        <v>96</v>
      </c>
      <c r="X7" s="255">
        <f t="shared" si="2"/>
        <v>17</v>
      </c>
      <c r="Y7" s="255">
        <f t="shared" si="3"/>
        <v>25</v>
      </c>
      <c r="Z7" s="256">
        <f t="shared" si="4"/>
        <v>68</v>
      </c>
      <c r="AA7" s="257">
        <f t="shared" si="5"/>
        <v>100</v>
      </c>
      <c r="AB7" s="116">
        <f t="shared" si="6"/>
        <v>1</v>
      </c>
      <c r="AC7" s="123">
        <v>356</v>
      </c>
      <c r="AD7" s="123">
        <v>381</v>
      </c>
      <c r="AE7" s="257">
        <f t="shared" si="7"/>
        <v>25</v>
      </c>
      <c r="AF7" s="258">
        <f t="shared" si="8"/>
        <v>7.02247191011236</v>
      </c>
      <c r="AG7" s="257">
        <f t="shared" si="9"/>
        <v>100</v>
      </c>
      <c r="AH7" s="124">
        <f t="shared" si="10"/>
        <v>4</v>
      </c>
      <c r="AI7" s="105">
        <v>0</v>
      </c>
      <c r="AJ7" s="105">
        <v>0</v>
      </c>
      <c r="AK7" s="105">
        <v>0</v>
      </c>
      <c r="AL7" s="105">
        <v>0</v>
      </c>
      <c r="AM7" s="260">
        <f t="shared" si="11"/>
        <v>0</v>
      </c>
      <c r="AN7" s="260">
        <f t="shared" si="12"/>
        <v>20</v>
      </c>
      <c r="AO7" s="130">
        <f t="shared" si="13"/>
        <v>0.2</v>
      </c>
      <c r="AP7" s="106">
        <v>117788</v>
      </c>
      <c r="AQ7" s="261">
        <f t="shared" si="14"/>
        <v>1.0784210051669687</v>
      </c>
      <c r="AR7" s="261">
        <f t="shared" si="15"/>
        <v>41.176315077504533</v>
      </c>
      <c r="AS7" s="107">
        <f t="shared" si="16"/>
        <v>1.6470526031001813</v>
      </c>
      <c r="AT7" s="105">
        <v>1</v>
      </c>
      <c r="AU7" s="105">
        <v>1</v>
      </c>
      <c r="AV7" s="262">
        <f t="shared" si="17"/>
        <v>50</v>
      </c>
      <c r="AW7" s="134">
        <v>3</v>
      </c>
      <c r="AX7" s="134" t="s">
        <v>3544</v>
      </c>
      <c r="AY7" s="262">
        <f t="shared" si="18"/>
        <v>50</v>
      </c>
      <c r="AZ7" s="262">
        <f t="shared" si="19"/>
        <v>100</v>
      </c>
      <c r="BA7" s="38">
        <f t="shared" si="20"/>
        <v>1</v>
      </c>
      <c r="BB7" s="105">
        <v>0</v>
      </c>
      <c r="BC7" s="105">
        <v>0</v>
      </c>
      <c r="BD7" s="105">
        <v>0</v>
      </c>
      <c r="BE7" s="262">
        <f t="shared" si="21"/>
        <v>0</v>
      </c>
      <c r="BF7" s="262">
        <f t="shared" si="22"/>
        <v>50</v>
      </c>
      <c r="BG7" s="38">
        <f t="shared" si="23"/>
        <v>0.5</v>
      </c>
      <c r="BH7" s="255">
        <f t="shared" si="24"/>
        <v>3166973</v>
      </c>
      <c r="BI7" s="256">
        <f t="shared" si="25"/>
        <v>0.91112693959527014</v>
      </c>
      <c r="BJ7" s="256">
        <f t="shared" si="26"/>
        <v>31.833452046964524</v>
      </c>
      <c r="BK7" s="55">
        <f t="shared" si="27"/>
        <v>0.63666904093929044</v>
      </c>
      <c r="BL7" s="137">
        <f t="shared" si="28"/>
        <v>9.9837216440394716</v>
      </c>
    </row>
    <row r="8" spans="1:64" x14ac:dyDescent="0.6">
      <c r="A8" s="214" t="s">
        <v>499</v>
      </c>
      <c r="B8" s="13" t="s">
        <v>1984</v>
      </c>
      <c r="C8" s="219" t="s">
        <v>525</v>
      </c>
      <c r="D8" s="221" t="s">
        <v>481</v>
      </c>
      <c r="E8" s="217" t="s">
        <v>704</v>
      </c>
      <c r="F8" s="217" t="s">
        <v>1243</v>
      </c>
      <c r="G8" s="218">
        <v>26843</v>
      </c>
      <c r="H8" s="217" t="s">
        <v>830</v>
      </c>
      <c r="I8" s="217" t="s">
        <v>1442</v>
      </c>
      <c r="J8" s="217" t="s">
        <v>1068</v>
      </c>
      <c r="K8" s="217" t="s">
        <v>91</v>
      </c>
      <c r="L8" s="220">
        <v>50491197385</v>
      </c>
      <c r="M8" s="206">
        <v>45440998151</v>
      </c>
      <c r="N8" s="206">
        <v>5050199234</v>
      </c>
      <c r="O8" s="206">
        <v>14569718977</v>
      </c>
      <c r="P8" s="206">
        <v>1292467004</v>
      </c>
      <c r="Q8" s="206">
        <v>1295672581</v>
      </c>
      <c r="R8" s="206">
        <v>980567336</v>
      </c>
      <c r="S8" s="105">
        <v>1</v>
      </c>
      <c r="T8" s="254">
        <f t="shared" si="0"/>
        <v>100</v>
      </c>
      <c r="U8" s="107">
        <f t="shared" si="1"/>
        <v>1</v>
      </c>
      <c r="V8" s="45">
        <v>2513</v>
      </c>
      <c r="W8" s="45">
        <v>2497</v>
      </c>
      <c r="X8" s="255">
        <f t="shared" si="2"/>
        <v>-16</v>
      </c>
      <c r="Y8" s="255">
        <f t="shared" si="3"/>
        <v>-61</v>
      </c>
      <c r="Z8" s="256">
        <f t="shared" si="4"/>
        <v>-1600</v>
      </c>
      <c r="AA8" s="257">
        <f t="shared" si="5"/>
        <v>20</v>
      </c>
      <c r="AB8" s="116">
        <f t="shared" si="6"/>
        <v>0.2</v>
      </c>
      <c r="AC8" s="123">
        <v>4463</v>
      </c>
      <c r="AD8" s="123">
        <v>4402</v>
      </c>
      <c r="AE8" s="257">
        <f t="shared" si="7"/>
        <v>-61</v>
      </c>
      <c r="AF8" s="258">
        <f t="shared" si="8"/>
        <v>-1.3667936365673312</v>
      </c>
      <c r="AG8" s="257">
        <f t="shared" si="9"/>
        <v>20</v>
      </c>
      <c r="AH8" s="124">
        <f t="shared" si="10"/>
        <v>0.8</v>
      </c>
      <c r="AI8" s="105">
        <v>0</v>
      </c>
      <c r="AJ8" s="105">
        <v>0</v>
      </c>
      <c r="AK8" s="105">
        <v>0</v>
      </c>
      <c r="AL8" s="105">
        <v>0</v>
      </c>
      <c r="AM8" s="260">
        <f t="shared" si="11"/>
        <v>0</v>
      </c>
      <c r="AN8" s="260">
        <f t="shared" si="12"/>
        <v>20</v>
      </c>
      <c r="AO8" s="130">
        <f t="shared" si="13"/>
        <v>0.2</v>
      </c>
      <c r="AP8" s="106">
        <v>6290000</v>
      </c>
      <c r="AQ8" s="261">
        <f t="shared" si="14"/>
        <v>0.64146538122089769</v>
      </c>
      <c r="AR8" s="261">
        <f t="shared" si="15"/>
        <v>34.621980718313466</v>
      </c>
      <c r="AS8" s="107">
        <f t="shared" si="16"/>
        <v>1.3848792287325387</v>
      </c>
      <c r="AT8" s="105">
        <v>1</v>
      </c>
      <c r="AU8" s="105">
        <v>1</v>
      </c>
      <c r="AV8" s="262">
        <f t="shared" si="17"/>
        <v>50</v>
      </c>
      <c r="AW8" s="134">
        <v>8</v>
      </c>
      <c r="AX8" s="134" t="s">
        <v>3545</v>
      </c>
      <c r="AY8" s="262">
        <f t="shared" si="18"/>
        <v>50</v>
      </c>
      <c r="AZ8" s="262">
        <f t="shared" si="19"/>
        <v>100</v>
      </c>
      <c r="BA8" s="38">
        <f t="shared" si="20"/>
        <v>1</v>
      </c>
      <c r="BB8" s="105">
        <v>0</v>
      </c>
      <c r="BC8" s="105">
        <v>0</v>
      </c>
      <c r="BD8" s="105">
        <v>0</v>
      </c>
      <c r="BE8" s="262">
        <f t="shared" si="21"/>
        <v>0</v>
      </c>
      <c r="BF8" s="262">
        <f t="shared" si="22"/>
        <v>50</v>
      </c>
      <c r="BG8" s="38">
        <f t="shared" si="23"/>
        <v>0.5</v>
      </c>
      <c r="BH8" s="255">
        <f t="shared" si="24"/>
        <v>315105245</v>
      </c>
      <c r="BI8" s="256">
        <f t="shared" si="25"/>
        <v>2.1627407192783221</v>
      </c>
      <c r="BJ8" s="256">
        <f t="shared" si="26"/>
        <v>41.220555394587414</v>
      </c>
      <c r="BK8" s="55">
        <f t="shared" si="27"/>
        <v>0.82441110789174832</v>
      </c>
      <c r="BL8" s="137">
        <f t="shared" si="28"/>
        <v>5.909290336624287</v>
      </c>
    </row>
    <row r="9" spans="1:64" x14ac:dyDescent="0.6">
      <c r="A9" s="214" t="s">
        <v>1443</v>
      </c>
      <c r="B9" s="13" t="s">
        <v>1985</v>
      </c>
      <c r="C9" s="219" t="s">
        <v>1444</v>
      </c>
      <c r="D9" s="14" t="s">
        <v>203</v>
      </c>
      <c r="E9" s="217" t="s">
        <v>180</v>
      </c>
      <c r="F9" s="217" t="s">
        <v>1429</v>
      </c>
      <c r="G9" s="218">
        <v>27792</v>
      </c>
      <c r="H9" s="217" t="s">
        <v>830</v>
      </c>
      <c r="I9" s="217" t="s">
        <v>841</v>
      </c>
      <c r="J9" s="1" t="s">
        <v>3637</v>
      </c>
      <c r="K9" s="217" t="s">
        <v>91</v>
      </c>
      <c r="L9" s="220">
        <v>3649116385</v>
      </c>
      <c r="M9" s="206">
        <v>587165440</v>
      </c>
      <c r="N9" s="206">
        <v>3061950944</v>
      </c>
      <c r="O9" s="206">
        <v>223739892</v>
      </c>
      <c r="P9" s="206">
        <v>195878366</v>
      </c>
      <c r="Q9" s="206">
        <v>167506991</v>
      </c>
      <c r="R9" s="206">
        <v>146629624</v>
      </c>
      <c r="S9" s="105">
        <v>1</v>
      </c>
      <c r="T9" s="254">
        <f t="shared" si="0"/>
        <v>100</v>
      </c>
      <c r="U9" s="107">
        <f t="shared" si="1"/>
        <v>1</v>
      </c>
      <c r="V9" s="45">
        <v>6</v>
      </c>
      <c r="W9" s="45">
        <v>6</v>
      </c>
      <c r="X9" s="255">
        <f t="shared" si="2"/>
        <v>0</v>
      </c>
      <c r="Y9" s="255">
        <f t="shared" si="3"/>
        <v>1</v>
      </c>
      <c r="Z9" s="256">
        <f t="shared" si="4"/>
        <v>0</v>
      </c>
      <c r="AA9" s="257">
        <f t="shared" si="5"/>
        <v>20</v>
      </c>
      <c r="AB9" s="116">
        <f t="shared" si="6"/>
        <v>0.2</v>
      </c>
      <c r="AC9" s="123">
        <v>29</v>
      </c>
      <c r="AD9" s="123">
        <v>30</v>
      </c>
      <c r="AE9" s="257">
        <f t="shared" si="7"/>
        <v>1</v>
      </c>
      <c r="AF9" s="258">
        <f t="shared" si="8"/>
        <v>3.4482758620689653</v>
      </c>
      <c r="AG9" s="257">
        <f t="shared" si="9"/>
        <v>100</v>
      </c>
      <c r="AH9" s="124">
        <f t="shared" si="10"/>
        <v>4</v>
      </c>
      <c r="AI9" s="105">
        <v>0</v>
      </c>
      <c r="AJ9" s="105">
        <v>0</v>
      </c>
      <c r="AK9" s="105">
        <v>0</v>
      </c>
      <c r="AL9" s="105">
        <v>0</v>
      </c>
      <c r="AM9" s="260">
        <f t="shared" si="11"/>
        <v>0</v>
      </c>
      <c r="AN9" s="260">
        <f t="shared" si="12"/>
        <v>20</v>
      </c>
      <c r="AO9" s="130">
        <f t="shared" si="13"/>
        <v>0.2</v>
      </c>
      <c r="AP9" s="106">
        <v>729000</v>
      </c>
      <c r="AQ9" s="261">
        <f t="shared" si="14"/>
        <v>0.49717102186663187</v>
      </c>
      <c r="AR9" s="261">
        <f t="shared" si="15"/>
        <v>32.457565327999475</v>
      </c>
      <c r="AS9" s="107">
        <f t="shared" si="16"/>
        <v>1.2983026131199791</v>
      </c>
      <c r="AT9" s="105">
        <v>0</v>
      </c>
      <c r="AU9" s="105">
        <v>0</v>
      </c>
      <c r="AV9" s="262">
        <f t="shared" si="17"/>
        <v>0</v>
      </c>
      <c r="AW9" s="134">
        <v>0</v>
      </c>
      <c r="AX9" s="1"/>
      <c r="AY9" s="262">
        <f t="shared" si="18"/>
        <v>0</v>
      </c>
      <c r="AZ9" s="262">
        <f t="shared" si="19"/>
        <v>0</v>
      </c>
      <c r="BA9" s="38">
        <f t="shared" si="20"/>
        <v>0</v>
      </c>
      <c r="BB9" s="105">
        <v>0</v>
      </c>
      <c r="BC9" s="105">
        <v>0</v>
      </c>
      <c r="BD9" s="105">
        <v>0</v>
      </c>
      <c r="BE9" s="262">
        <f t="shared" si="21"/>
        <v>0</v>
      </c>
      <c r="BF9" s="262">
        <f t="shared" si="22"/>
        <v>50</v>
      </c>
      <c r="BG9" s="38">
        <f t="shared" si="23"/>
        <v>0.5</v>
      </c>
      <c r="BH9" s="255">
        <f t="shared" si="24"/>
        <v>20877367</v>
      </c>
      <c r="BI9" s="256">
        <f t="shared" si="25"/>
        <v>9.3310883514684093</v>
      </c>
      <c r="BJ9" s="256">
        <f t="shared" si="26"/>
        <v>94.983162636013077</v>
      </c>
      <c r="BK9" s="55">
        <f t="shared" si="27"/>
        <v>1.8996632527202615</v>
      </c>
      <c r="BL9" s="137">
        <f t="shared" si="28"/>
        <v>9.0979658658402407</v>
      </c>
    </row>
    <row r="10" spans="1:64" x14ac:dyDescent="0.6">
      <c r="A10" s="214" t="s">
        <v>305</v>
      </c>
      <c r="B10" s="13" t="s">
        <v>1986</v>
      </c>
      <c r="C10" s="219" t="s">
        <v>497</v>
      </c>
      <c r="D10" s="216" t="s">
        <v>285</v>
      </c>
      <c r="E10" s="217" t="s">
        <v>872</v>
      </c>
      <c r="F10" s="217" t="s">
        <v>657</v>
      </c>
      <c r="G10" s="218">
        <v>28481</v>
      </c>
      <c r="H10" s="217" t="s">
        <v>830</v>
      </c>
      <c r="I10" s="217" t="s">
        <v>1446</v>
      </c>
      <c r="J10" s="217" t="s">
        <v>659</v>
      </c>
      <c r="K10" s="217" t="s">
        <v>346</v>
      </c>
      <c r="L10" s="220">
        <v>1746816808</v>
      </c>
      <c r="M10" s="206">
        <v>748120989</v>
      </c>
      <c r="N10" s="206">
        <v>998695819</v>
      </c>
      <c r="O10" s="206">
        <v>1962419335</v>
      </c>
      <c r="P10" s="206">
        <v>81072832</v>
      </c>
      <c r="Q10" s="206">
        <v>84339672</v>
      </c>
      <c r="R10" s="206">
        <v>55421181</v>
      </c>
      <c r="S10" s="105">
        <v>1</v>
      </c>
      <c r="T10" s="254">
        <f t="shared" si="0"/>
        <v>100</v>
      </c>
      <c r="U10" s="107">
        <f t="shared" si="1"/>
        <v>1</v>
      </c>
      <c r="V10" s="45">
        <v>32</v>
      </c>
      <c r="W10" s="45">
        <f>14+6+16</f>
        <v>36</v>
      </c>
      <c r="X10" s="255">
        <f t="shared" si="2"/>
        <v>4</v>
      </c>
      <c r="Y10" s="255">
        <f t="shared" si="3"/>
        <v>94</v>
      </c>
      <c r="Z10" s="256">
        <f t="shared" si="4"/>
        <v>4.2553191489361701</v>
      </c>
      <c r="AA10" s="257">
        <f t="shared" si="5"/>
        <v>20</v>
      </c>
      <c r="AB10" s="116">
        <f t="shared" si="6"/>
        <v>0.2</v>
      </c>
      <c r="AC10" s="123">
        <v>899</v>
      </c>
      <c r="AD10" s="123">
        <v>993</v>
      </c>
      <c r="AE10" s="257">
        <f t="shared" si="7"/>
        <v>94</v>
      </c>
      <c r="AF10" s="258">
        <f t="shared" si="8"/>
        <v>10.456062291434929</v>
      </c>
      <c r="AG10" s="257">
        <f t="shared" si="9"/>
        <v>100</v>
      </c>
      <c r="AH10" s="124">
        <f t="shared" si="10"/>
        <v>4</v>
      </c>
      <c r="AI10" s="105">
        <v>0</v>
      </c>
      <c r="AJ10" s="105">
        <v>0</v>
      </c>
      <c r="AK10" s="105">
        <v>0</v>
      </c>
      <c r="AL10" s="105">
        <v>0</v>
      </c>
      <c r="AM10" s="260">
        <f t="shared" si="11"/>
        <v>0</v>
      </c>
      <c r="AN10" s="260">
        <f t="shared" si="12"/>
        <v>20</v>
      </c>
      <c r="AO10" s="130">
        <f t="shared" si="13"/>
        <v>0.2</v>
      </c>
      <c r="AP10" s="106">
        <v>1714000</v>
      </c>
      <c r="AQ10" s="261">
        <f t="shared" si="14"/>
        <v>3.0926803959663003</v>
      </c>
      <c r="AR10" s="261">
        <f t="shared" si="15"/>
        <v>71.390205939494507</v>
      </c>
      <c r="AS10" s="107">
        <f t="shared" si="16"/>
        <v>2.8556082375797804</v>
      </c>
      <c r="AT10" s="105">
        <v>1</v>
      </c>
      <c r="AU10" s="105">
        <v>1</v>
      </c>
      <c r="AV10" s="262">
        <f t="shared" si="17"/>
        <v>50</v>
      </c>
      <c r="AW10" s="134">
        <v>4</v>
      </c>
      <c r="AX10" s="134" t="s">
        <v>3546</v>
      </c>
      <c r="AY10" s="262">
        <f t="shared" si="18"/>
        <v>50</v>
      </c>
      <c r="AZ10" s="262">
        <f t="shared" si="19"/>
        <v>100</v>
      </c>
      <c r="BA10" s="38">
        <f t="shared" si="20"/>
        <v>1</v>
      </c>
      <c r="BB10" s="105">
        <v>0</v>
      </c>
      <c r="BC10" s="105">
        <v>0</v>
      </c>
      <c r="BD10" s="105">
        <v>0</v>
      </c>
      <c r="BE10" s="262">
        <f t="shared" si="21"/>
        <v>0</v>
      </c>
      <c r="BF10" s="262">
        <f t="shared" si="22"/>
        <v>50</v>
      </c>
      <c r="BG10" s="38">
        <f t="shared" si="23"/>
        <v>0.5</v>
      </c>
      <c r="BH10" s="255">
        <f t="shared" si="24"/>
        <v>28918491</v>
      </c>
      <c r="BI10" s="256">
        <f t="shared" si="25"/>
        <v>1.4736142517674491</v>
      </c>
      <c r="BJ10" s="256">
        <f t="shared" si="26"/>
        <v>36.052106888255864</v>
      </c>
      <c r="BK10" s="55">
        <f t="shared" si="27"/>
        <v>0.72104213776511727</v>
      </c>
      <c r="BL10" s="137">
        <f t="shared" si="28"/>
        <v>10.476650375344898</v>
      </c>
    </row>
    <row r="11" spans="1:64" x14ac:dyDescent="0.6">
      <c r="A11" s="214" t="s">
        <v>3639</v>
      </c>
      <c r="B11" s="13" t="s">
        <v>1987</v>
      </c>
      <c r="C11" s="219" t="s">
        <v>1448</v>
      </c>
      <c r="D11" s="14" t="s">
        <v>285</v>
      </c>
      <c r="E11" s="217" t="s">
        <v>867</v>
      </c>
      <c r="F11" s="217" t="s">
        <v>1449</v>
      </c>
      <c r="G11" s="218">
        <v>44221</v>
      </c>
      <c r="H11" s="217" t="s">
        <v>830</v>
      </c>
      <c r="I11" s="217" t="s">
        <v>1450</v>
      </c>
      <c r="J11" s="13" t="s">
        <v>1988</v>
      </c>
      <c r="K11" s="217" t="s">
        <v>91</v>
      </c>
      <c r="L11" s="220">
        <v>6952036110</v>
      </c>
      <c r="M11" s="206">
        <v>3038424778</v>
      </c>
      <c r="N11" s="206">
        <v>3913611332</v>
      </c>
      <c r="O11" s="206">
        <v>5275660012</v>
      </c>
      <c r="P11" s="206">
        <v>402580787</v>
      </c>
      <c r="Q11" s="206">
        <v>469747452</v>
      </c>
      <c r="R11" s="206">
        <v>310207542</v>
      </c>
      <c r="S11" s="105">
        <v>1</v>
      </c>
      <c r="T11" s="254">
        <f t="shared" si="0"/>
        <v>100</v>
      </c>
      <c r="U11" s="107">
        <f t="shared" si="1"/>
        <v>1</v>
      </c>
      <c r="V11" s="45">
        <f>21+82+58+60</f>
        <v>221</v>
      </c>
      <c r="W11" s="45">
        <f>20+98+62+68</f>
        <v>248</v>
      </c>
      <c r="X11" s="255">
        <f t="shared" si="2"/>
        <v>27</v>
      </c>
      <c r="Y11" s="255">
        <f t="shared" si="3"/>
        <v>123</v>
      </c>
      <c r="Z11" s="256">
        <f t="shared" si="4"/>
        <v>21.951219512195124</v>
      </c>
      <c r="AA11" s="257">
        <f t="shared" si="5"/>
        <v>60</v>
      </c>
      <c r="AB11" s="116">
        <f t="shared" si="6"/>
        <v>0.6</v>
      </c>
      <c r="AC11" s="123">
        <v>3287</v>
      </c>
      <c r="AD11" s="123">
        <v>3410</v>
      </c>
      <c r="AE11" s="257">
        <f t="shared" si="7"/>
        <v>123</v>
      </c>
      <c r="AF11" s="258">
        <f t="shared" si="8"/>
        <v>3.7420139945238824</v>
      </c>
      <c r="AG11" s="257">
        <f t="shared" si="9"/>
        <v>100</v>
      </c>
      <c r="AH11" s="124">
        <f t="shared" si="10"/>
        <v>4</v>
      </c>
      <c r="AI11" s="105">
        <v>0</v>
      </c>
      <c r="AJ11" s="105">
        <v>0</v>
      </c>
      <c r="AK11" s="105">
        <v>0</v>
      </c>
      <c r="AL11" s="105">
        <v>0</v>
      </c>
      <c r="AM11" s="260">
        <f t="shared" si="11"/>
        <v>0</v>
      </c>
      <c r="AN11" s="260">
        <f t="shared" si="12"/>
        <v>20</v>
      </c>
      <c r="AO11" s="130">
        <f t="shared" si="13"/>
        <v>0.2</v>
      </c>
      <c r="AP11" s="106">
        <v>8327000</v>
      </c>
      <c r="AQ11" s="261">
        <f t="shared" si="14"/>
        <v>2.6843318980297388</v>
      </c>
      <c r="AR11" s="261">
        <f t="shared" si="15"/>
        <v>65.264978470446081</v>
      </c>
      <c r="AS11" s="107">
        <f t="shared" si="16"/>
        <v>2.6105991388178431</v>
      </c>
      <c r="AT11" s="105">
        <v>0</v>
      </c>
      <c r="AU11" s="105">
        <v>1</v>
      </c>
      <c r="AV11" s="262">
        <f t="shared" si="17"/>
        <v>25</v>
      </c>
      <c r="AW11" s="134">
        <v>5</v>
      </c>
      <c r="AX11" s="1" t="s">
        <v>3640</v>
      </c>
      <c r="AY11" s="262">
        <f t="shared" si="18"/>
        <v>50</v>
      </c>
      <c r="AZ11" s="262">
        <f t="shared" si="19"/>
        <v>75</v>
      </c>
      <c r="BA11" s="38">
        <f t="shared" si="20"/>
        <v>0.75</v>
      </c>
      <c r="BB11" s="105">
        <v>0</v>
      </c>
      <c r="BC11" s="105">
        <v>0</v>
      </c>
      <c r="BD11" s="105">
        <v>0</v>
      </c>
      <c r="BE11" s="262">
        <f t="shared" si="21"/>
        <v>0</v>
      </c>
      <c r="BF11" s="262">
        <f t="shared" si="22"/>
        <v>50</v>
      </c>
      <c r="BG11" s="38">
        <f t="shared" si="23"/>
        <v>0.5</v>
      </c>
      <c r="BH11" s="255">
        <f t="shared" si="24"/>
        <v>159539910</v>
      </c>
      <c r="BI11" s="256">
        <f t="shared" si="25"/>
        <v>3.0240748955981056</v>
      </c>
      <c r="BJ11" s="256">
        <f t="shared" si="26"/>
        <v>47.680561716985792</v>
      </c>
      <c r="BK11" s="55">
        <f t="shared" si="27"/>
        <v>0.95361123433971584</v>
      </c>
      <c r="BL11" s="137">
        <f t="shared" si="28"/>
        <v>10.61421037315756</v>
      </c>
    </row>
    <row r="12" spans="1:64" x14ac:dyDescent="0.6">
      <c r="A12" s="214" t="s">
        <v>1451</v>
      </c>
      <c r="B12" s="13" t="s">
        <v>1989</v>
      </c>
      <c r="C12" s="219" t="s">
        <v>1452</v>
      </c>
      <c r="D12" s="14" t="s">
        <v>203</v>
      </c>
      <c r="E12" s="217" t="s">
        <v>617</v>
      </c>
      <c r="F12" s="217" t="s">
        <v>1453</v>
      </c>
      <c r="G12" s="218">
        <v>32410</v>
      </c>
      <c r="H12" s="217" t="s">
        <v>830</v>
      </c>
      <c r="I12" s="217" t="s">
        <v>1454</v>
      </c>
      <c r="J12" s="1" t="s">
        <v>3638</v>
      </c>
      <c r="K12" s="217" t="s">
        <v>50</v>
      </c>
      <c r="L12" s="220">
        <v>1632577263</v>
      </c>
      <c r="M12" s="206">
        <v>965677546</v>
      </c>
      <c r="N12" s="206">
        <v>666899717</v>
      </c>
      <c r="O12" s="206">
        <v>772331699</v>
      </c>
      <c r="P12" s="206">
        <v>96511673</v>
      </c>
      <c r="Q12" s="206">
        <v>50588116</v>
      </c>
      <c r="R12" s="206">
        <v>37870319</v>
      </c>
      <c r="S12" s="105">
        <v>1</v>
      </c>
      <c r="T12" s="254">
        <f t="shared" si="0"/>
        <v>100</v>
      </c>
      <c r="U12" s="107">
        <f t="shared" si="1"/>
        <v>1</v>
      </c>
      <c r="V12" s="45">
        <f>14+187</f>
        <v>201</v>
      </c>
      <c r="W12" s="45">
        <v>179</v>
      </c>
      <c r="X12" s="255">
        <f t="shared" si="2"/>
        <v>-22</v>
      </c>
      <c r="Y12" s="255">
        <f t="shared" si="3"/>
        <v>-31</v>
      </c>
      <c r="Z12" s="256">
        <f t="shared" si="4"/>
        <v>-2200</v>
      </c>
      <c r="AA12" s="257">
        <f t="shared" si="5"/>
        <v>20</v>
      </c>
      <c r="AB12" s="116">
        <f t="shared" si="6"/>
        <v>0.2</v>
      </c>
      <c r="AC12" s="123">
        <v>1167</v>
      </c>
      <c r="AD12" s="123">
        <v>1136</v>
      </c>
      <c r="AE12" s="257">
        <f t="shared" si="7"/>
        <v>-31</v>
      </c>
      <c r="AF12" s="258">
        <f t="shared" si="8"/>
        <v>-2.6563838903170525</v>
      </c>
      <c r="AG12" s="257">
        <f t="shared" si="9"/>
        <v>20</v>
      </c>
      <c r="AH12" s="124">
        <f t="shared" si="10"/>
        <v>0.8</v>
      </c>
      <c r="AI12" s="105">
        <v>0</v>
      </c>
      <c r="AJ12" s="105">
        <v>0</v>
      </c>
      <c r="AK12" s="105">
        <v>0</v>
      </c>
      <c r="AL12" s="105">
        <v>0</v>
      </c>
      <c r="AM12" s="260">
        <f t="shared" si="11"/>
        <v>0</v>
      </c>
      <c r="AN12" s="260">
        <f t="shared" si="12"/>
        <v>20</v>
      </c>
      <c r="AO12" s="130">
        <f t="shared" si="13"/>
        <v>0.2</v>
      </c>
      <c r="AP12" s="106">
        <v>24800</v>
      </c>
      <c r="AQ12" s="261">
        <f t="shared" si="14"/>
        <v>6.5486641398505255E-2</v>
      </c>
      <c r="AR12" s="261">
        <f t="shared" si="15"/>
        <v>25.982299620977578</v>
      </c>
      <c r="AS12" s="107">
        <f t="shared" si="16"/>
        <v>1.0392919848391031</v>
      </c>
      <c r="AT12" s="105">
        <v>0</v>
      </c>
      <c r="AU12" s="105">
        <v>1</v>
      </c>
      <c r="AV12" s="262">
        <f t="shared" si="17"/>
        <v>25</v>
      </c>
      <c r="AW12" s="134">
        <v>5</v>
      </c>
      <c r="AX12" s="1" t="s">
        <v>3641</v>
      </c>
      <c r="AY12" s="262">
        <f t="shared" si="18"/>
        <v>50</v>
      </c>
      <c r="AZ12" s="262">
        <f t="shared" si="19"/>
        <v>75</v>
      </c>
      <c r="BA12" s="38">
        <f t="shared" si="20"/>
        <v>0.75</v>
      </c>
      <c r="BB12" s="105">
        <v>0</v>
      </c>
      <c r="BC12" s="105">
        <v>0</v>
      </c>
      <c r="BD12" s="105">
        <v>0</v>
      </c>
      <c r="BE12" s="262">
        <f t="shared" si="21"/>
        <v>0</v>
      </c>
      <c r="BF12" s="262">
        <f t="shared" si="22"/>
        <v>50</v>
      </c>
      <c r="BG12" s="38">
        <f t="shared" si="23"/>
        <v>0.5</v>
      </c>
      <c r="BH12" s="255">
        <f t="shared" si="24"/>
        <v>12717797</v>
      </c>
      <c r="BI12" s="256">
        <f t="shared" si="25"/>
        <v>1.6466755173284684</v>
      </c>
      <c r="BJ12" s="256">
        <f t="shared" si="26"/>
        <v>37.350066379963515</v>
      </c>
      <c r="BK12" s="55">
        <f t="shared" si="27"/>
        <v>0.74700132759927029</v>
      </c>
      <c r="BL12" s="137">
        <f t="shared" si="28"/>
        <v>5.2362933124383737</v>
      </c>
    </row>
    <row r="13" spans="1:64" x14ac:dyDescent="0.6">
      <c r="A13" s="214" t="s">
        <v>1456</v>
      </c>
      <c r="B13" s="13" t="s">
        <v>1990</v>
      </c>
      <c r="C13" s="219" t="s">
        <v>496</v>
      </c>
      <c r="D13" s="216" t="s">
        <v>203</v>
      </c>
      <c r="E13" s="217" t="s">
        <v>200</v>
      </c>
      <c r="F13" s="217" t="s">
        <v>83</v>
      </c>
      <c r="G13" s="218">
        <v>41409</v>
      </c>
      <c r="H13" s="217" t="s">
        <v>830</v>
      </c>
      <c r="I13" s="217" t="s">
        <v>697</v>
      </c>
      <c r="J13" s="217" t="s">
        <v>1003</v>
      </c>
      <c r="K13" s="217" t="s">
        <v>484</v>
      </c>
      <c r="L13" s="220">
        <v>279626168</v>
      </c>
      <c r="M13" s="206">
        <v>94093073</v>
      </c>
      <c r="N13" s="206">
        <v>185533095</v>
      </c>
      <c r="O13" s="206">
        <v>246405810</v>
      </c>
      <c r="P13" s="206">
        <v>31078773</v>
      </c>
      <c r="Q13" s="206">
        <v>26528544</v>
      </c>
      <c r="R13" s="206">
        <v>19234317</v>
      </c>
      <c r="S13" s="105">
        <v>1</v>
      </c>
      <c r="T13" s="254">
        <f t="shared" si="0"/>
        <v>100</v>
      </c>
      <c r="U13" s="107">
        <f t="shared" si="1"/>
        <v>1</v>
      </c>
      <c r="V13" s="45">
        <v>25</v>
      </c>
      <c r="W13" s="45">
        <v>24</v>
      </c>
      <c r="X13" s="255">
        <f t="shared" si="2"/>
        <v>-1</v>
      </c>
      <c r="Y13" s="255">
        <f t="shared" si="3"/>
        <v>-3</v>
      </c>
      <c r="Z13" s="256">
        <f t="shared" si="4"/>
        <v>-100</v>
      </c>
      <c r="AA13" s="257">
        <f t="shared" si="5"/>
        <v>20</v>
      </c>
      <c r="AB13" s="116">
        <f t="shared" si="6"/>
        <v>0.2</v>
      </c>
      <c r="AC13" s="123">
        <v>166</v>
      </c>
      <c r="AD13" s="123">
        <v>163</v>
      </c>
      <c r="AE13" s="257">
        <f t="shared" si="7"/>
        <v>-3</v>
      </c>
      <c r="AF13" s="258">
        <f t="shared" si="8"/>
        <v>-1.8072289156626504</v>
      </c>
      <c r="AG13" s="257">
        <f t="shared" si="9"/>
        <v>20</v>
      </c>
      <c r="AH13" s="124">
        <f t="shared" si="10"/>
        <v>0.8</v>
      </c>
      <c r="AI13" s="105">
        <v>0</v>
      </c>
      <c r="AJ13" s="105">
        <v>0</v>
      </c>
      <c r="AK13" s="105">
        <v>0</v>
      </c>
      <c r="AL13" s="105">
        <v>0</v>
      </c>
      <c r="AM13" s="260">
        <f t="shared" si="11"/>
        <v>0</v>
      </c>
      <c r="AN13" s="260">
        <f t="shared" si="12"/>
        <v>20</v>
      </c>
      <c r="AO13" s="130">
        <f t="shared" si="13"/>
        <v>0.2</v>
      </c>
      <c r="AP13" s="106">
        <v>142600</v>
      </c>
      <c r="AQ13" s="261">
        <f t="shared" si="14"/>
        <v>0.74138322665681344</v>
      </c>
      <c r="AR13" s="261">
        <f t="shared" si="15"/>
        <v>36.120748399852204</v>
      </c>
      <c r="AS13" s="107">
        <f t="shared" si="16"/>
        <v>1.4448299359940882</v>
      </c>
      <c r="AT13" s="105">
        <v>0</v>
      </c>
      <c r="AU13" s="105">
        <v>1</v>
      </c>
      <c r="AV13" s="262">
        <f t="shared" si="17"/>
        <v>25</v>
      </c>
      <c r="AW13" s="134">
        <v>0</v>
      </c>
      <c r="AX13" s="134"/>
      <c r="AY13" s="262">
        <f t="shared" si="18"/>
        <v>0</v>
      </c>
      <c r="AZ13" s="262">
        <f t="shared" si="19"/>
        <v>25</v>
      </c>
      <c r="BA13" s="38">
        <f t="shared" si="20"/>
        <v>0.25</v>
      </c>
      <c r="BB13" s="105">
        <v>0</v>
      </c>
      <c r="BC13" s="105">
        <v>0</v>
      </c>
      <c r="BD13" s="105">
        <v>0</v>
      </c>
      <c r="BE13" s="262">
        <f t="shared" si="21"/>
        <v>0</v>
      </c>
      <c r="BF13" s="262">
        <f t="shared" si="22"/>
        <v>50</v>
      </c>
      <c r="BG13" s="38">
        <f t="shared" si="23"/>
        <v>0.5</v>
      </c>
      <c r="BH13" s="255">
        <f t="shared" si="24"/>
        <v>7294227</v>
      </c>
      <c r="BI13" s="256">
        <f t="shared" si="25"/>
        <v>2.9602495980106962</v>
      </c>
      <c r="BJ13" s="256">
        <f t="shared" si="26"/>
        <v>47.201871985080224</v>
      </c>
      <c r="BK13" s="55">
        <f t="shared" si="27"/>
        <v>0.94403743970160447</v>
      </c>
      <c r="BL13" s="137">
        <f t="shared" si="28"/>
        <v>5.3388673756956928</v>
      </c>
    </row>
    <row r="14" spans="1:64" x14ac:dyDescent="0.6">
      <c r="A14" s="214" t="s">
        <v>96</v>
      </c>
      <c r="B14" s="13" t="s">
        <v>1991</v>
      </c>
      <c r="C14" s="219" t="s">
        <v>66</v>
      </c>
      <c r="D14" s="216" t="s">
        <v>203</v>
      </c>
      <c r="E14" s="217" t="s">
        <v>195</v>
      </c>
      <c r="F14" s="217" t="s">
        <v>288</v>
      </c>
      <c r="G14" s="218">
        <v>37649</v>
      </c>
      <c r="H14" s="217" t="s">
        <v>830</v>
      </c>
      <c r="I14" s="217" t="s">
        <v>980</v>
      </c>
      <c r="J14" s="217" t="s">
        <v>1033</v>
      </c>
      <c r="K14" s="217" t="s">
        <v>341</v>
      </c>
      <c r="L14" s="220">
        <v>259398157</v>
      </c>
      <c r="M14" s="206">
        <v>76302600</v>
      </c>
      <c r="N14" s="206">
        <v>183095557</v>
      </c>
      <c r="O14" s="206">
        <v>261687162</v>
      </c>
      <c r="P14" s="206">
        <v>26367414</v>
      </c>
      <c r="Q14" s="206">
        <v>33010683</v>
      </c>
      <c r="R14" s="206">
        <v>28926448</v>
      </c>
      <c r="S14" s="105">
        <v>1</v>
      </c>
      <c r="T14" s="254">
        <f t="shared" si="0"/>
        <v>100</v>
      </c>
      <c r="U14" s="107">
        <f t="shared" si="1"/>
        <v>1</v>
      </c>
      <c r="V14" s="45">
        <v>12</v>
      </c>
      <c r="W14" s="45">
        <v>14</v>
      </c>
      <c r="X14" s="255">
        <f t="shared" si="2"/>
        <v>2</v>
      </c>
      <c r="Y14" s="255">
        <f t="shared" si="3"/>
        <v>-5</v>
      </c>
      <c r="Z14" s="256">
        <f t="shared" si="4"/>
        <v>200</v>
      </c>
      <c r="AA14" s="257">
        <f t="shared" si="5"/>
        <v>100</v>
      </c>
      <c r="AB14" s="116">
        <f t="shared" si="6"/>
        <v>1</v>
      </c>
      <c r="AC14" s="123">
        <v>164</v>
      </c>
      <c r="AD14" s="123">
        <v>159</v>
      </c>
      <c r="AE14" s="257">
        <f t="shared" si="7"/>
        <v>-5</v>
      </c>
      <c r="AF14" s="258">
        <f t="shared" si="8"/>
        <v>-3.0487804878048781</v>
      </c>
      <c r="AG14" s="257">
        <f t="shared" si="9"/>
        <v>20</v>
      </c>
      <c r="AH14" s="124">
        <f t="shared" si="10"/>
        <v>0.8</v>
      </c>
      <c r="AI14" s="105">
        <v>0</v>
      </c>
      <c r="AJ14" s="105">
        <v>0</v>
      </c>
      <c r="AK14" s="105">
        <v>0</v>
      </c>
      <c r="AL14" s="105">
        <v>0</v>
      </c>
      <c r="AM14" s="260">
        <f t="shared" si="11"/>
        <v>0</v>
      </c>
      <c r="AN14" s="260">
        <f t="shared" si="12"/>
        <v>20</v>
      </c>
      <c r="AO14" s="130">
        <f t="shared" si="13"/>
        <v>0.2</v>
      </c>
      <c r="AP14" s="106">
        <v>102000</v>
      </c>
      <c r="AQ14" s="261">
        <f t="shared" si="14"/>
        <v>0.35261847565936894</v>
      </c>
      <c r="AR14" s="261">
        <f t="shared" si="15"/>
        <v>30.289277134890533</v>
      </c>
      <c r="AS14" s="107">
        <f t="shared" si="16"/>
        <v>1.2115710853956214</v>
      </c>
      <c r="AT14" s="105">
        <v>0</v>
      </c>
      <c r="AU14" s="105">
        <v>1</v>
      </c>
      <c r="AV14" s="262">
        <f t="shared" si="17"/>
        <v>25</v>
      </c>
      <c r="AW14" s="134">
        <v>0</v>
      </c>
      <c r="AX14" s="134"/>
      <c r="AY14" s="262">
        <f t="shared" si="18"/>
        <v>0</v>
      </c>
      <c r="AZ14" s="262">
        <f t="shared" si="19"/>
        <v>25</v>
      </c>
      <c r="BA14" s="38">
        <f t="shared" si="20"/>
        <v>0.25</v>
      </c>
      <c r="BB14" s="105">
        <v>0</v>
      </c>
      <c r="BC14" s="105">
        <v>0</v>
      </c>
      <c r="BD14" s="105">
        <v>0</v>
      </c>
      <c r="BE14" s="262">
        <f t="shared" si="21"/>
        <v>0</v>
      </c>
      <c r="BF14" s="262">
        <f t="shared" si="22"/>
        <v>50</v>
      </c>
      <c r="BG14" s="38">
        <f t="shared" si="23"/>
        <v>0.5</v>
      </c>
      <c r="BH14" s="255">
        <f t="shared" si="24"/>
        <v>4084235</v>
      </c>
      <c r="BI14" s="256">
        <f t="shared" si="25"/>
        <v>1.5607318940621169</v>
      </c>
      <c r="BJ14" s="256">
        <f t="shared" si="26"/>
        <v>36.705489205465881</v>
      </c>
      <c r="BK14" s="55">
        <f t="shared" si="27"/>
        <v>0.7341097841093176</v>
      </c>
      <c r="BL14" s="137">
        <f t="shared" si="28"/>
        <v>5.6956808695049386</v>
      </c>
    </row>
    <row r="15" spans="1:64" x14ac:dyDescent="0.6">
      <c r="A15" s="214" t="s">
        <v>1457</v>
      </c>
      <c r="B15" s="13" t="s">
        <v>1992</v>
      </c>
      <c r="C15" s="219" t="s">
        <v>1458</v>
      </c>
      <c r="D15" s="14" t="s">
        <v>191</v>
      </c>
      <c r="E15" s="217" t="s">
        <v>190</v>
      </c>
      <c r="F15" s="217" t="s">
        <v>1459</v>
      </c>
      <c r="G15" s="218">
        <v>44337</v>
      </c>
      <c r="H15" s="217" t="s">
        <v>830</v>
      </c>
      <c r="I15" s="217" t="s">
        <v>1460</v>
      </c>
      <c r="J15" s="1" t="s">
        <v>3643</v>
      </c>
      <c r="K15" s="217" t="s">
        <v>91</v>
      </c>
      <c r="L15" s="220">
        <v>1329134616</v>
      </c>
      <c r="M15" s="206">
        <v>413421862</v>
      </c>
      <c r="N15" s="206">
        <v>915712754</v>
      </c>
      <c r="O15" s="206">
        <v>1615587865</v>
      </c>
      <c r="P15" s="206">
        <v>523701828</v>
      </c>
      <c r="Q15" s="206">
        <v>528169893</v>
      </c>
      <c r="R15" s="206">
        <v>385627456</v>
      </c>
      <c r="S15" s="105">
        <v>1</v>
      </c>
      <c r="T15" s="254">
        <f t="shared" si="0"/>
        <v>100</v>
      </c>
      <c r="U15" s="107">
        <f t="shared" si="1"/>
        <v>1</v>
      </c>
      <c r="V15" s="45">
        <v>263</v>
      </c>
      <c r="W15" s="45">
        <v>334</v>
      </c>
      <c r="X15" s="255">
        <f t="shared" si="2"/>
        <v>71</v>
      </c>
      <c r="Y15" s="255">
        <f t="shared" si="3"/>
        <v>109</v>
      </c>
      <c r="Z15" s="256">
        <f t="shared" si="4"/>
        <v>65.137614678899084</v>
      </c>
      <c r="AA15" s="257">
        <f t="shared" si="5"/>
        <v>100</v>
      </c>
      <c r="AB15" s="116">
        <f t="shared" si="6"/>
        <v>1</v>
      </c>
      <c r="AC15" s="123">
        <v>439</v>
      </c>
      <c r="AD15" s="123">
        <v>548</v>
      </c>
      <c r="AE15" s="257">
        <f t="shared" si="7"/>
        <v>109</v>
      </c>
      <c r="AF15" s="258">
        <f t="shared" si="8"/>
        <v>24.829157175398635</v>
      </c>
      <c r="AG15" s="257">
        <f t="shared" si="9"/>
        <v>100</v>
      </c>
      <c r="AH15" s="124">
        <f t="shared" si="10"/>
        <v>4</v>
      </c>
      <c r="AI15" s="105">
        <v>0</v>
      </c>
      <c r="AJ15" s="105">
        <v>0</v>
      </c>
      <c r="AK15" s="105">
        <v>0</v>
      </c>
      <c r="AL15" s="105">
        <v>0</v>
      </c>
      <c r="AM15" s="260">
        <f t="shared" si="11"/>
        <v>0</v>
      </c>
      <c r="AN15" s="260">
        <f t="shared" si="12"/>
        <v>20</v>
      </c>
      <c r="AO15" s="130">
        <f t="shared" si="13"/>
        <v>0.2</v>
      </c>
      <c r="AP15" s="106">
        <v>28202</v>
      </c>
      <c r="AQ15" s="261">
        <f t="shared" si="14"/>
        <v>7.3132759509737808E-3</v>
      </c>
      <c r="AR15" s="261">
        <f t="shared" si="15"/>
        <v>25.109699139264606</v>
      </c>
      <c r="AS15" s="107">
        <f t="shared" si="16"/>
        <v>1.0043879655705843</v>
      </c>
      <c r="AT15" s="105">
        <v>0</v>
      </c>
      <c r="AU15" s="105">
        <v>1</v>
      </c>
      <c r="AV15" s="262">
        <f t="shared" si="17"/>
        <v>25</v>
      </c>
      <c r="AW15" s="134">
        <v>5</v>
      </c>
      <c r="AX15" s="447" t="s">
        <v>3644</v>
      </c>
      <c r="AY15" s="262">
        <f t="shared" si="18"/>
        <v>50</v>
      </c>
      <c r="AZ15" s="262">
        <f t="shared" si="19"/>
        <v>75</v>
      </c>
      <c r="BA15" s="38">
        <f t="shared" si="20"/>
        <v>0.75</v>
      </c>
      <c r="BB15" s="105">
        <v>0</v>
      </c>
      <c r="BC15" s="105">
        <v>0</v>
      </c>
      <c r="BD15" s="105">
        <v>0</v>
      </c>
      <c r="BE15" s="262">
        <f t="shared" si="21"/>
        <v>0</v>
      </c>
      <c r="BF15" s="262">
        <f t="shared" si="22"/>
        <v>50</v>
      </c>
      <c r="BG15" s="38">
        <f t="shared" si="23"/>
        <v>0.5</v>
      </c>
      <c r="BH15" s="255">
        <f t="shared" si="24"/>
        <v>142542437</v>
      </c>
      <c r="BI15" s="256">
        <f t="shared" si="25"/>
        <v>8.8229455103019099</v>
      </c>
      <c r="BJ15" s="256">
        <f t="shared" si="26"/>
        <v>91.172091327264326</v>
      </c>
      <c r="BK15" s="55">
        <f t="shared" si="27"/>
        <v>1.8234418265452865</v>
      </c>
      <c r="BL15" s="137">
        <f t="shared" si="28"/>
        <v>10.27782979211587</v>
      </c>
    </row>
    <row r="16" spans="1:64" x14ac:dyDescent="0.6">
      <c r="A16" s="214" t="s">
        <v>1462</v>
      </c>
      <c r="B16" s="13" t="s">
        <v>1993</v>
      </c>
      <c r="C16" s="219" t="s">
        <v>1463</v>
      </c>
      <c r="D16" s="14" t="s">
        <v>285</v>
      </c>
      <c r="E16" s="217" t="s">
        <v>872</v>
      </c>
      <c r="F16" s="217" t="s">
        <v>1464</v>
      </c>
      <c r="G16" s="218">
        <v>29801</v>
      </c>
      <c r="H16" s="217" t="s">
        <v>830</v>
      </c>
      <c r="I16" s="217" t="s">
        <v>1465</v>
      </c>
      <c r="J16" s="1" t="s">
        <v>3645</v>
      </c>
      <c r="K16" s="217" t="s">
        <v>91</v>
      </c>
      <c r="L16" s="220">
        <v>12739404443</v>
      </c>
      <c r="M16" s="206">
        <v>7806315499</v>
      </c>
      <c r="N16" s="206">
        <v>4933088944</v>
      </c>
      <c r="O16" s="206">
        <v>8613702892</v>
      </c>
      <c r="P16" s="206">
        <v>281011393</v>
      </c>
      <c r="Q16" s="206">
        <v>360875361</v>
      </c>
      <c r="R16" s="206">
        <v>240672686</v>
      </c>
      <c r="S16" s="105">
        <v>1</v>
      </c>
      <c r="T16" s="254">
        <f t="shared" si="0"/>
        <v>100</v>
      </c>
      <c r="U16" s="107">
        <f t="shared" si="1"/>
        <v>1</v>
      </c>
      <c r="V16" s="45">
        <f>61+22+83+4+84</f>
        <v>254</v>
      </c>
      <c r="W16" s="45">
        <f>64+27+52+11+7+101</f>
        <v>262</v>
      </c>
      <c r="X16" s="255">
        <f t="shared" si="2"/>
        <v>8</v>
      </c>
      <c r="Y16" s="255">
        <f t="shared" si="3"/>
        <v>-139</v>
      </c>
      <c r="Z16" s="256">
        <f t="shared" si="4"/>
        <v>800</v>
      </c>
      <c r="AA16" s="257">
        <f t="shared" si="5"/>
        <v>100</v>
      </c>
      <c r="AB16" s="116">
        <f t="shared" si="6"/>
        <v>1</v>
      </c>
      <c r="AC16" s="123">
        <v>3945</v>
      </c>
      <c r="AD16" s="123">
        <v>3806</v>
      </c>
      <c r="AE16" s="257">
        <f t="shared" si="7"/>
        <v>-139</v>
      </c>
      <c r="AF16" s="258">
        <f t="shared" si="8"/>
        <v>-3.5234474017743982</v>
      </c>
      <c r="AG16" s="257">
        <f t="shared" si="9"/>
        <v>20</v>
      </c>
      <c r="AH16" s="124">
        <f t="shared" si="10"/>
        <v>0.8</v>
      </c>
      <c r="AI16" s="105">
        <v>0</v>
      </c>
      <c r="AJ16" s="105">
        <v>0</v>
      </c>
      <c r="AK16" s="105">
        <v>0</v>
      </c>
      <c r="AL16" s="105">
        <v>0</v>
      </c>
      <c r="AM16" s="260">
        <f t="shared" si="11"/>
        <v>0</v>
      </c>
      <c r="AN16" s="260">
        <f t="shared" si="12"/>
        <v>20</v>
      </c>
      <c r="AO16" s="130">
        <f t="shared" si="13"/>
        <v>0.2</v>
      </c>
      <c r="AP16" s="440">
        <v>0</v>
      </c>
      <c r="AQ16" s="261">
        <f t="shared" si="14"/>
        <v>0</v>
      </c>
      <c r="AR16" s="261">
        <f t="shared" si="15"/>
        <v>25</v>
      </c>
      <c r="AS16" s="107">
        <f t="shared" si="16"/>
        <v>1</v>
      </c>
      <c r="AT16" s="105">
        <v>0</v>
      </c>
      <c r="AU16" s="105">
        <v>1</v>
      </c>
      <c r="AV16" s="262">
        <f t="shared" si="17"/>
        <v>25</v>
      </c>
      <c r="AW16" s="134">
        <v>6</v>
      </c>
      <c r="AX16" s="447" t="s">
        <v>3647</v>
      </c>
      <c r="AY16" s="262">
        <f t="shared" si="18"/>
        <v>50</v>
      </c>
      <c r="AZ16" s="262">
        <f t="shared" si="19"/>
        <v>75</v>
      </c>
      <c r="BA16" s="38">
        <f t="shared" si="20"/>
        <v>0.75</v>
      </c>
      <c r="BB16" s="105">
        <v>0</v>
      </c>
      <c r="BC16" s="105">
        <v>0</v>
      </c>
      <c r="BD16" s="105">
        <v>0</v>
      </c>
      <c r="BE16" s="262">
        <f t="shared" si="21"/>
        <v>0</v>
      </c>
      <c r="BF16" s="262">
        <f t="shared" si="22"/>
        <v>50</v>
      </c>
      <c r="BG16" s="38">
        <f t="shared" si="23"/>
        <v>0.5</v>
      </c>
      <c r="BH16" s="255">
        <f t="shared" si="24"/>
        <v>120202675</v>
      </c>
      <c r="BI16" s="256">
        <f t="shared" si="25"/>
        <v>1.3954820186755983</v>
      </c>
      <c r="BJ16" s="256">
        <f t="shared" si="26"/>
        <v>35.466115140066989</v>
      </c>
      <c r="BK16" s="55">
        <f t="shared" si="27"/>
        <v>0.70932230280133979</v>
      </c>
      <c r="BL16" s="137">
        <f t="shared" si="28"/>
        <v>5.9593223028013398</v>
      </c>
    </row>
    <row r="17" spans="1:64" x14ac:dyDescent="0.6">
      <c r="A17" s="214" t="s">
        <v>1467</v>
      </c>
      <c r="B17" s="13" t="s">
        <v>1994</v>
      </c>
      <c r="C17" s="219" t="s">
        <v>1468</v>
      </c>
      <c r="D17" s="222" t="s">
        <v>285</v>
      </c>
      <c r="E17" s="217" t="s">
        <v>245</v>
      </c>
      <c r="F17" s="217" t="s">
        <v>1469</v>
      </c>
      <c r="G17" s="218">
        <v>27937</v>
      </c>
      <c r="H17" s="217" t="s">
        <v>830</v>
      </c>
      <c r="I17" s="217" t="s">
        <v>1470</v>
      </c>
      <c r="J17" s="1" t="s">
        <v>3648</v>
      </c>
      <c r="K17" s="217" t="s">
        <v>91</v>
      </c>
      <c r="L17" s="220">
        <v>997899096</v>
      </c>
      <c r="M17" s="206">
        <v>681241305</v>
      </c>
      <c r="N17" s="206">
        <v>316657791</v>
      </c>
      <c r="O17" s="206">
        <v>4351245277</v>
      </c>
      <c r="P17" s="206">
        <v>72635691</v>
      </c>
      <c r="Q17" s="206">
        <v>36029872</v>
      </c>
      <c r="R17" s="206">
        <v>42401579</v>
      </c>
      <c r="S17" s="105">
        <v>1</v>
      </c>
      <c r="T17" s="254">
        <f t="shared" si="0"/>
        <v>100</v>
      </c>
      <c r="U17" s="107">
        <f t="shared" si="1"/>
        <v>1</v>
      </c>
      <c r="V17" s="45">
        <f>496+1555+408+8+517</f>
        <v>2984</v>
      </c>
      <c r="W17" s="45">
        <f>594+1326+282+16+173+305</f>
        <v>2696</v>
      </c>
      <c r="X17" s="255">
        <f t="shared" si="2"/>
        <v>-288</v>
      </c>
      <c r="Y17" s="255">
        <f t="shared" si="3"/>
        <v>-125</v>
      </c>
      <c r="Z17" s="256">
        <f t="shared" si="4"/>
        <v>-28800</v>
      </c>
      <c r="AA17" s="257">
        <f t="shared" si="5"/>
        <v>20</v>
      </c>
      <c r="AB17" s="116">
        <f t="shared" si="6"/>
        <v>0.2</v>
      </c>
      <c r="AC17" s="123">
        <v>6709</v>
      </c>
      <c r="AD17" s="123">
        <v>6584</v>
      </c>
      <c r="AE17" s="257">
        <f t="shared" si="7"/>
        <v>-125</v>
      </c>
      <c r="AF17" s="258">
        <f t="shared" si="8"/>
        <v>-1.8631688776270681</v>
      </c>
      <c r="AG17" s="257">
        <f t="shared" si="9"/>
        <v>20</v>
      </c>
      <c r="AH17" s="124">
        <f t="shared" si="10"/>
        <v>0.8</v>
      </c>
      <c r="AI17" s="105">
        <v>0</v>
      </c>
      <c r="AJ17" s="105">
        <v>0</v>
      </c>
      <c r="AK17" s="105">
        <v>0</v>
      </c>
      <c r="AL17" s="105">
        <v>0</v>
      </c>
      <c r="AM17" s="260">
        <f t="shared" si="11"/>
        <v>0</v>
      </c>
      <c r="AN17" s="260">
        <f t="shared" si="12"/>
        <v>20</v>
      </c>
      <c r="AO17" s="130">
        <f t="shared" si="13"/>
        <v>0.2</v>
      </c>
      <c r="AP17" s="106">
        <v>4527000</v>
      </c>
      <c r="AQ17" s="261">
        <f t="shared" si="14"/>
        <v>10.676489193951952</v>
      </c>
      <c r="AR17" s="261">
        <f t="shared" si="15"/>
        <v>100</v>
      </c>
      <c r="AS17" s="107">
        <f t="shared" si="16"/>
        <v>4</v>
      </c>
      <c r="AT17" s="105">
        <v>0</v>
      </c>
      <c r="AU17" s="105">
        <v>1</v>
      </c>
      <c r="AV17" s="262">
        <f t="shared" si="17"/>
        <v>25</v>
      </c>
      <c r="AW17" s="134">
        <v>13</v>
      </c>
      <c r="AX17" s="447" t="s">
        <v>3652</v>
      </c>
      <c r="AY17" s="262">
        <f t="shared" si="18"/>
        <v>50</v>
      </c>
      <c r="AZ17" s="262">
        <f t="shared" si="19"/>
        <v>75</v>
      </c>
      <c r="BA17" s="38">
        <f t="shared" si="20"/>
        <v>0.75</v>
      </c>
      <c r="BB17" s="105">
        <v>0</v>
      </c>
      <c r="BC17" s="105">
        <v>0</v>
      </c>
      <c r="BD17" s="105">
        <v>0</v>
      </c>
      <c r="BE17" s="262">
        <f t="shared" si="21"/>
        <v>0</v>
      </c>
      <c r="BF17" s="262">
        <f t="shared" si="22"/>
        <v>50</v>
      </c>
      <c r="BG17" s="38">
        <f t="shared" si="23"/>
        <v>0.5</v>
      </c>
      <c r="BH17" s="255">
        <f t="shared" si="24"/>
        <v>-6371707</v>
      </c>
      <c r="BI17" s="256">
        <f t="shared" si="25"/>
        <v>-0.14643410321362127</v>
      </c>
      <c r="BJ17" s="256">
        <f t="shared" si="26"/>
        <v>25</v>
      </c>
      <c r="BK17" s="55">
        <f t="shared" si="27"/>
        <v>0.5</v>
      </c>
      <c r="BL17" s="137">
        <f t="shared" si="28"/>
        <v>7.95</v>
      </c>
    </row>
    <row r="18" spans="1:64" x14ac:dyDescent="0.6">
      <c r="A18" s="214" t="s">
        <v>402</v>
      </c>
      <c r="B18" s="13" t="s">
        <v>1995</v>
      </c>
      <c r="C18" s="219" t="s">
        <v>49</v>
      </c>
      <c r="D18" s="216" t="s">
        <v>202</v>
      </c>
      <c r="E18" s="217" t="s">
        <v>196</v>
      </c>
      <c r="F18" s="217" t="s">
        <v>120</v>
      </c>
      <c r="G18" s="218">
        <v>42271</v>
      </c>
      <c r="H18" s="217" t="s">
        <v>830</v>
      </c>
      <c r="I18" s="217" t="s">
        <v>679</v>
      </c>
      <c r="J18" s="217" t="s">
        <v>1472</v>
      </c>
      <c r="K18" s="217" t="s">
        <v>91</v>
      </c>
      <c r="L18" s="220">
        <v>384013805</v>
      </c>
      <c r="M18" s="206">
        <v>122371399</v>
      </c>
      <c r="N18" s="206">
        <v>261642406</v>
      </c>
      <c r="O18" s="206">
        <v>610731077</v>
      </c>
      <c r="P18" s="206">
        <v>12353544</v>
      </c>
      <c r="Q18" s="206">
        <v>16868521</v>
      </c>
      <c r="R18" s="206">
        <v>12791557</v>
      </c>
      <c r="S18" s="105">
        <v>1</v>
      </c>
      <c r="T18" s="254">
        <f t="shared" si="0"/>
        <v>100</v>
      </c>
      <c r="U18" s="107">
        <f t="shared" si="1"/>
        <v>1</v>
      </c>
      <c r="V18" s="45">
        <v>57</v>
      </c>
      <c r="W18" s="45">
        <f>5+41+17</f>
        <v>63</v>
      </c>
      <c r="X18" s="255">
        <f t="shared" si="2"/>
        <v>6</v>
      </c>
      <c r="Y18" s="255">
        <f t="shared" si="3"/>
        <v>5</v>
      </c>
      <c r="Z18" s="256">
        <f t="shared" si="4"/>
        <v>120</v>
      </c>
      <c r="AA18" s="257">
        <f t="shared" si="5"/>
        <v>100</v>
      </c>
      <c r="AB18" s="116">
        <f t="shared" si="6"/>
        <v>1</v>
      </c>
      <c r="AC18" s="123">
        <v>332</v>
      </c>
      <c r="AD18" s="123">
        <v>337</v>
      </c>
      <c r="AE18" s="257">
        <f t="shared" si="7"/>
        <v>5</v>
      </c>
      <c r="AF18" s="258">
        <f t="shared" si="8"/>
        <v>1.5060240963855422</v>
      </c>
      <c r="AG18" s="257">
        <f t="shared" si="9"/>
        <v>80</v>
      </c>
      <c r="AH18" s="124">
        <f t="shared" si="10"/>
        <v>3.2</v>
      </c>
      <c r="AI18" s="105">
        <v>0</v>
      </c>
      <c r="AJ18" s="105">
        <v>0</v>
      </c>
      <c r="AK18" s="105">
        <v>0</v>
      </c>
      <c r="AL18" s="105">
        <v>0</v>
      </c>
      <c r="AM18" s="260">
        <f t="shared" si="11"/>
        <v>0</v>
      </c>
      <c r="AN18" s="260">
        <f t="shared" si="12"/>
        <v>20</v>
      </c>
      <c r="AO18" s="130">
        <f t="shared" si="13"/>
        <v>0.2</v>
      </c>
      <c r="AP18" s="106">
        <v>0</v>
      </c>
      <c r="AQ18" s="261">
        <f t="shared" si="14"/>
        <v>0</v>
      </c>
      <c r="AR18" s="261">
        <f t="shared" si="15"/>
        <v>25</v>
      </c>
      <c r="AS18" s="107">
        <f t="shared" si="16"/>
        <v>1</v>
      </c>
      <c r="AT18" s="105">
        <v>0</v>
      </c>
      <c r="AU18" s="105">
        <v>1</v>
      </c>
      <c r="AV18" s="262">
        <f t="shared" si="17"/>
        <v>25</v>
      </c>
      <c r="AW18" s="134">
        <v>0</v>
      </c>
      <c r="AX18" s="134"/>
      <c r="AY18" s="262">
        <f t="shared" si="18"/>
        <v>0</v>
      </c>
      <c r="AZ18" s="262">
        <f t="shared" si="19"/>
        <v>25</v>
      </c>
      <c r="BA18" s="38">
        <f t="shared" si="20"/>
        <v>0.25</v>
      </c>
      <c r="BB18" s="105">
        <v>0</v>
      </c>
      <c r="BC18" s="105">
        <v>0</v>
      </c>
      <c r="BD18" s="105">
        <v>0</v>
      </c>
      <c r="BE18" s="262">
        <f t="shared" si="21"/>
        <v>0</v>
      </c>
      <c r="BF18" s="262">
        <f t="shared" si="22"/>
        <v>50</v>
      </c>
      <c r="BG18" s="38">
        <f t="shared" si="23"/>
        <v>0.5</v>
      </c>
      <c r="BH18" s="255">
        <f t="shared" si="24"/>
        <v>4076964</v>
      </c>
      <c r="BI18" s="256">
        <f t="shared" si="25"/>
        <v>0.66755469854696781</v>
      </c>
      <c r="BJ18" s="256">
        <f t="shared" si="26"/>
        <v>30.00666023910226</v>
      </c>
      <c r="BK18" s="55">
        <f t="shared" si="27"/>
        <v>0.60013320478204524</v>
      </c>
      <c r="BL18" s="137">
        <f t="shared" si="28"/>
        <v>7.7501332047820455</v>
      </c>
    </row>
    <row r="19" spans="1:64" x14ac:dyDescent="0.6">
      <c r="A19" s="214" t="s">
        <v>1473</v>
      </c>
      <c r="B19" s="13" t="s">
        <v>1996</v>
      </c>
      <c r="C19" s="219" t="s">
        <v>532</v>
      </c>
      <c r="D19" s="216" t="s">
        <v>203</v>
      </c>
      <c r="E19" s="217" t="s">
        <v>188</v>
      </c>
      <c r="F19" s="217" t="s">
        <v>643</v>
      </c>
      <c r="G19" s="218">
        <v>38985</v>
      </c>
      <c r="H19" s="217" t="s">
        <v>830</v>
      </c>
      <c r="I19" s="217" t="s">
        <v>302</v>
      </c>
      <c r="J19" s="217" t="s">
        <v>668</v>
      </c>
      <c r="K19" s="217" t="s">
        <v>425</v>
      </c>
      <c r="L19" s="220">
        <v>496666959</v>
      </c>
      <c r="M19" s="206">
        <v>232970639</v>
      </c>
      <c r="N19" s="206">
        <v>263696320</v>
      </c>
      <c r="O19" s="206">
        <v>847333959</v>
      </c>
      <c r="P19" s="206">
        <v>12420452</v>
      </c>
      <c r="Q19" s="206">
        <v>21136596</v>
      </c>
      <c r="R19" s="206">
        <v>15436443</v>
      </c>
      <c r="S19" s="105">
        <v>1</v>
      </c>
      <c r="T19" s="254">
        <f t="shared" si="0"/>
        <v>100</v>
      </c>
      <c r="U19" s="107">
        <f t="shared" si="1"/>
        <v>1</v>
      </c>
      <c r="V19" s="45">
        <v>29</v>
      </c>
      <c r="W19" s="45">
        <f>20+6+1</f>
        <v>27</v>
      </c>
      <c r="X19" s="255">
        <f t="shared" si="2"/>
        <v>-2</v>
      </c>
      <c r="Y19" s="255">
        <f t="shared" si="3"/>
        <v>2</v>
      </c>
      <c r="Z19" s="256">
        <f t="shared" si="4"/>
        <v>-100</v>
      </c>
      <c r="AA19" s="257">
        <f t="shared" si="5"/>
        <v>20</v>
      </c>
      <c r="AB19" s="116">
        <f t="shared" si="6"/>
        <v>0.2</v>
      </c>
      <c r="AC19" s="123">
        <v>363</v>
      </c>
      <c r="AD19" s="123">
        <v>365</v>
      </c>
      <c r="AE19" s="257">
        <f t="shared" si="7"/>
        <v>2</v>
      </c>
      <c r="AF19" s="258">
        <f t="shared" si="8"/>
        <v>0.55096418732782371</v>
      </c>
      <c r="AG19" s="257">
        <f t="shared" si="9"/>
        <v>60</v>
      </c>
      <c r="AH19" s="124">
        <f t="shared" si="10"/>
        <v>2.4</v>
      </c>
      <c r="AI19" s="105">
        <v>0</v>
      </c>
      <c r="AJ19" s="105">
        <v>0</v>
      </c>
      <c r="AK19" s="105">
        <v>0</v>
      </c>
      <c r="AL19" s="105">
        <v>0</v>
      </c>
      <c r="AM19" s="260">
        <f t="shared" si="11"/>
        <v>0</v>
      </c>
      <c r="AN19" s="260">
        <f t="shared" si="12"/>
        <v>20</v>
      </c>
      <c r="AO19" s="130">
        <f t="shared" si="13"/>
        <v>0.2</v>
      </c>
      <c r="AP19" s="106">
        <v>11600</v>
      </c>
      <c r="AQ19" s="261">
        <f t="shared" si="14"/>
        <v>7.514684568200071E-2</v>
      </c>
      <c r="AR19" s="261">
        <f t="shared" si="15"/>
        <v>26.12720268523001</v>
      </c>
      <c r="AS19" s="107">
        <f t="shared" si="16"/>
        <v>1.0450881074092004</v>
      </c>
      <c r="AT19" s="105">
        <v>0</v>
      </c>
      <c r="AU19" s="105">
        <v>1</v>
      </c>
      <c r="AV19" s="262">
        <f t="shared" si="17"/>
        <v>25</v>
      </c>
      <c r="AW19" s="134">
        <v>3</v>
      </c>
      <c r="AX19" s="134" t="s">
        <v>3547</v>
      </c>
      <c r="AY19" s="262">
        <f t="shared" si="18"/>
        <v>50</v>
      </c>
      <c r="AZ19" s="262">
        <f t="shared" si="19"/>
        <v>75</v>
      </c>
      <c r="BA19" s="38">
        <f t="shared" si="20"/>
        <v>0.75</v>
      </c>
      <c r="BB19" s="105">
        <v>0</v>
      </c>
      <c r="BC19" s="105">
        <v>0</v>
      </c>
      <c r="BD19" s="105">
        <v>0</v>
      </c>
      <c r="BE19" s="262">
        <f t="shared" si="21"/>
        <v>0</v>
      </c>
      <c r="BF19" s="262">
        <f t="shared" si="22"/>
        <v>50</v>
      </c>
      <c r="BG19" s="38">
        <f t="shared" si="23"/>
        <v>0.5</v>
      </c>
      <c r="BH19" s="255">
        <f t="shared" si="24"/>
        <v>5700153</v>
      </c>
      <c r="BI19" s="256">
        <f t="shared" si="25"/>
        <v>0.6727162223885329</v>
      </c>
      <c r="BJ19" s="256">
        <f t="shared" si="26"/>
        <v>30.045371667913997</v>
      </c>
      <c r="BK19" s="55">
        <f t="shared" si="27"/>
        <v>0.60090743335828001</v>
      </c>
      <c r="BL19" s="137">
        <f t="shared" si="28"/>
        <v>6.6959955407674805</v>
      </c>
    </row>
    <row r="20" spans="1:64" x14ac:dyDescent="0.6">
      <c r="A20" s="214" t="s">
        <v>1474</v>
      </c>
      <c r="B20" s="13" t="s">
        <v>1997</v>
      </c>
      <c r="C20" s="219" t="s">
        <v>1475</v>
      </c>
      <c r="D20" s="222" t="s">
        <v>285</v>
      </c>
      <c r="E20" s="217" t="s">
        <v>872</v>
      </c>
      <c r="F20" s="217" t="s">
        <v>1476</v>
      </c>
      <c r="G20" s="218">
        <v>43263</v>
      </c>
      <c r="H20" s="217" t="s">
        <v>830</v>
      </c>
      <c r="I20" s="217" t="s">
        <v>1477</v>
      </c>
      <c r="J20" s="1" t="s">
        <v>3649</v>
      </c>
      <c r="K20" s="217" t="s">
        <v>91</v>
      </c>
      <c r="L20" s="220">
        <v>7073844464</v>
      </c>
      <c r="M20" s="206">
        <v>4098482728</v>
      </c>
      <c r="N20" s="206">
        <v>2975361736</v>
      </c>
      <c r="O20" s="206">
        <v>3283542070</v>
      </c>
      <c r="P20" s="206">
        <v>110039015</v>
      </c>
      <c r="Q20" s="206">
        <v>105468581</v>
      </c>
      <c r="R20" s="206">
        <v>36587869</v>
      </c>
      <c r="S20" s="105">
        <v>1</v>
      </c>
      <c r="T20" s="254">
        <f t="shared" si="0"/>
        <v>100</v>
      </c>
      <c r="U20" s="107">
        <f t="shared" si="1"/>
        <v>1</v>
      </c>
      <c r="V20" s="45">
        <f>40+23</f>
        <v>63</v>
      </c>
      <c r="W20" s="45">
        <f>53+42</f>
        <v>95</v>
      </c>
      <c r="X20" s="255">
        <f t="shared" si="2"/>
        <v>32</v>
      </c>
      <c r="Y20" s="255">
        <f t="shared" si="3"/>
        <v>159</v>
      </c>
      <c r="Z20" s="256">
        <f t="shared" si="4"/>
        <v>20.125786163522015</v>
      </c>
      <c r="AA20" s="257">
        <f t="shared" si="5"/>
        <v>60</v>
      </c>
      <c r="AB20" s="116">
        <f t="shared" si="6"/>
        <v>0.6</v>
      </c>
      <c r="AC20" s="123">
        <v>905</v>
      </c>
      <c r="AD20" s="123">
        <v>1064</v>
      </c>
      <c r="AE20" s="257">
        <f t="shared" si="7"/>
        <v>159</v>
      </c>
      <c r="AF20" s="258">
        <f t="shared" si="8"/>
        <v>17.569060773480665</v>
      </c>
      <c r="AG20" s="257">
        <f t="shared" si="9"/>
        <v>100</v>
      </c>
      <c r="AH20" s="124">
        <f t="shared" si="10"/>
        <v>4</v>
      </c>
      <c r="AI20" s="105">
        <v>0</v>
      </c>
      <c r="AJ20" s="105">
        <v>0</v>
      </c>
      <c r="AK20" s="105">
        <v>0</v>
      </c>
      <c r="AL20" s="105">
        <v>0</v>
      </c>
      <c r="AM20" s="260">
        <f t="shared" si="11"/>
        <v>0</v>
      </c>
      <c r="AN20" s="260">
        <f t="shared" si="12"/>
        <v>20</v>
      </c>
      <c r="AO20" s="130">
        <f t="shared" si="13"/>
        <v>0.2</v>
      </c>
      <c r="AP20" s="106">
        <v>3943000</v>
      </c>
      <c r="AQ20" s="261">
        <f t="shared" si="14"/>
        <v>10.776795992136082</v>
      </c>
      <c r="AR20" s="261">
        <f t="shared" si="15"/>
        <v>100</v>
      </c>
      <c r="AS20" s="107">
        <f t="shared" si="16"/>
        <v>4</v>
      </c>
      <c r="AT20" s="105">
        <v>1</v>
      </c>
      <c r="AU20" s="105">
        <v>1</v>
      </c>
      <c r="AV20" s="262">
        <f t="shared" si="17"/>
        <v>50</v>
      </c>
      <c r="AW20" s="134">
        <v>8</v>
      </c>
      <c r="AX20" s="447" t="s">
        <v>3651</v>
      </c>
      <c r="AY20" s="262">
        <f t="shared" si="18"/>
        <v>50</v>
      </c>
      <c r="AZ20" s="262">
        <f t="shared" si="19"/>
        <v>100</v>
      </c>
      <c r="BA20" s="38">
        <f t="shared" si="20"/>
        <v>1</v>
      </c>
      <c r="BB20" s="105">
        <v>0</v>
      </c>
      <c r="BC20" s="105">
        <v>0</v>
      </c>
      <c r="BD20" s="105">
        <v>0</v>
      </c>
      <c r="BE20" s="262">
        <f t="shared" si="21"/>
        <v>0</v>
      </c>
      <c r="BF20" s="262">
        <f t="shared" si="22"/>
        <v>50</v>
      </c>
      <c r="BG20" s="38">
        <f t="shared" si="23"/>
        <v>0.5</v>
      </c>
      <c r="BH20" s="255">
        <f t="shared" si="24"/>
        <v>68880712</v>
      </c>
      <c r="BI20" s="256">
        <f t="shared" si="25"/>
        <v>2.0977563415229823</v>
      </c>
      <c r="BJ20" s="256">
        <f t="shared" si="26"/>
        <v>40.733172561422364</v>
      </c>
      <c r="BK20" s="55">
        <f t="shared" si="27"/>
        <v>0.8146634512284473</v>
      </c>
      <c r="BL20" s="137">
        <f t="shared" si="28"/>
        <v>12.114663451228449</v>
      </c>
    </row>
    <row r="21" spans="1:64" x14ac:dyDescent="0.6">
      <c r="A21" s="214" t="s">
        <v>1479</v>
      </c>
      <c r="B21" s="13" t="s">
        <v>1998</v>
      </c>
      <c r="C21" s="219" t="s">
        <v>1480</v>
      </c>
      <c r="D21" s="14" t="s">
        <v>202</v>
      </c>
      <c r="E21" s="217" t="s">
        <v>950</v>
      </c>
      <c r="F21" s="217" t="s">
        <v>1481</v>
      </c>
      <c r="G21" s="218">
        <v>43788</v>
      </c>
      <c r="H21" s="217" t="s">
        <v>830</v>
      </c>
      <c r="I21" s="217" t="s">
        <v>1482</v>
      </c>
      <c r="J21" s="1" t="s">
        <v>3650</v>
      </c>
      <c r="K21" s="217" t="s">
        <v>690</v>
      </c>
      <c r="L21" s="220">
        <v>654805747</v>
      </c>
      <c r="M21" s="206">
        <v>269730556</v>
      </c>
      <c r="N21" s="206">
        <v>385075191</v>
      </c>
      <c r="O21" s="206">
        <v>1022975319</v>
      </c>
      <c r="P21" s="206">
        <v>95989545</v>
      </c>
      <c r="Q21" s="206">
        <v>80403526</v>
      </c>
      <c r="R21" s="206">
        <v>64390770</v>
      </c>
      <c r="S21" s="105">
        <v>1</v>
      </c>
      <c r="T21" s="254">
        <f t="shared" si="0"/>
        <v>100</v>
      </c>
      <c r="U21" s="107">
        <f t="shared" si="1"/>
        <v>1</v>
      </c>
      <c r="V21" s="45">
        <v>19</v>
      </c>
      <c r="W21" s="45">
        <v>24</v>
      </c>
      <c r="X21" s="255">
        <f t="shared" si="2"/>
        <v>5</v>
      </c>
      <c r="Y21" s="255">
        <f t="shared" si="3"/>
        <v>26</v>
      </c>
      <c r="Z21" s="256">
        <f t="shared" si="4"/>
        <v>19.230769230769234</v>
      </c>
      <c r="AA21" s="257">
        <f t="shared" si="5"/>
        <v>40</v>
      </c>
      <c r="AB21" s="116">
        <f t="shared" si="6"/>
        <v>0.4</v>
      </c>
      <c r="AC21" s="123">
        <v>164</v>
      </c>
      <c r="AD21" s="123">
        <v>190</v>
      </c>
      <c r="AE21" s="257">
        <f t="shared" si="7"/>
        <v>26</v>
      </c>
      <c r="AF21" s="258">
        <f t="shared" si="8"/>
        <v>15.853658536585366</v>
      </c>
      <c r="AG21" s="257">
        <f t="shared" si="9"/>
        <v>100</v>
      </c>
      <c r="AH21" s="124">
        <f t="shared" si="10"/>
        <v>4</v>
      </c>
      <c r="AI21" s="105">
        <v>0</v>
      </c>
      <c r="AJ21" s="105">
        <v>0</v>
      </c>
      <c r="AK21" s="105">
        <v>0</v>
      </c>
      <c r="AL21" s="105">
        <v>0</v>
      </c>
      <c r="AM21" s="260">
        <f t="shared" si="11"/>
        <v>0</v>
      </c>
      <c r="AN21" s="260">
        <f t="shared" si="12"/>
        <v>20</v>
      </c>
      <c r="AO21" s="130">
        <f t="shared" si="13"/>
        <v>0.2</v>
      </c>
      <c r="AP21" s="106">
        <v>136046</v>
      </c>
      <c r="AQ21" s="261">
        <f t="shared" si="14"/>
        <v>0.21128183433743686</v>
      </c>
      <c r="AR21" s="261">
        <f t="shared" si="15"/>
        <v>28.169227515061554</v>
      </c>
      <c r="AS21" s="107">
        <f t="shared" si="16"/>
        <v>1.1267691006024623</v>
      </c>
      <c r="AT21" s="105">
        <v>0</v>
      </c>
      <c r="AU21" s="105">
        <v>1</v>
      </c>
      <c r="AV21" s="262">
        <f t="shared" si="17"/>
        <v>25</v>
      </c>
      <c r="AW21" s="134">
        <v>4</v>
      </c>
      <c r="AX21" s="447" t="s">
        <v>3653</v>
      </c>
      <c r="AY21" s="262">
        <f t="shared" si="18"/>
        <v>50</v>
      </c>
      <c r="AZ21" s="262">
        <f t="shared" si="19"/>
        <v>75</v>
      </c>
      <c r="BA21" s="38">
        <f t="shared" si="20"/>
        <v>0.75</v>
      </c>
      <c r="BB21" s="105">
        <v>0</v>
      </c>
      <c r="BC21" s="105">
        <v>0</v>
      </c>
      <c r="BD21" s="105">
        <v>0</v>
      </c>
      <c r="BE21" s="262">
        <f t="shared" si="21"/>
        <v>0</v>
      </c>
      <c r="BF21" s="262">
        <f t="shared" si="22"/>
        <v>50</v>
      </c>
      <c r="BG21" s="38">
        <f t="shared" si="23"/>
        <v>0.5</v>
      </c>
      <c r="BH21" s="255">
        <f t="shared" si="24"/>
        <v>16012756</v>
      </c>
      <c r="BI21" s="256">
        <f t="shared" si="25"/>
        <v>1.5653120561748373</v>
      </c>
      <c r="BJ21" s="256">
        <f t="shared" si="26"/>
        <v>36.739840421311278</v>
      </c>
      <c r="BK21" s="55">
        <f t="shared" si="27"/>
        <v>0.73479680842622563</v>
      </c>
      <c r="BL21" s="137">
        <f t="shared" si="28"/>
        <v>8.7115659090286872</v>
      </c>
    </row>
    <row r="22" spans="1:64" x14ac:dyDescent="0.6">
      <c r="A22" s="214" t="s">
        <v>1484</v>
      </c>
      <c r="B22" s="13" t="s">
        <v>1999</v>
      </c>
      <c r="C22" s="219" t="s">
        <v>1485</v>
      </c>
      <c r="D22" s="222" t="s">
        <v>285</v>
      </c>
      <c r="E22" s="217" t="s">
        <v>867</v>
      </c>
      <c r="F22" s="217" t="s">
        <v>1486</v>
      </c>
      <c r="G22" s="218">
        <v>34558</v>
      </c>
      <c r="H22" s="217" t="s">
        <v>830</v>
      </c>
      <c r="I22" s="217" t="s">
        <v>1487</v>
      </c>
      <c r="J22" s="1" t="s">
        <v>3654</v>
      </c>
      <c r="K22" s="217" t="s">
        <v>91</v>
      </c>
      <c r="L22" s="220">
        <v>1405053368</v>
      </c>
      <c r="M22" s="206">
        <v>1006454557</v>
      </c>
      <c r="N22" s="206">
        <v>398598812</v>
      </c>
      <c r="O22" s="206">
        <v>1379461788</v>
      </c>
      <c r="P22" s="206">
        <v>37587942</v>
      </c>
      <c r="Q22" s="206">
        <v>27839730</v>
      </c>
      <c r="R22" s="206">
        <v>18200083</v>
      </c>
      <c r="S22" s="105">
        <v>1</v>
      </c>
      <c r="T22" s="254">
        <f t="shared" si="0"/>
        <v>100</v>
      </c>
      <c r="U22" s="107">
        <f t="shared" si="1"/>
        <v>1</v>
      </c>
      <c r="V22" s="45">
        <v>36</v>
      </c>
      <c r="W22" s="45">
        <v>37</v>
      </c>
      <c r="X22" s="255">
        <f t="shared" si="2"/>
        <v>1</v>
      </c>
      <c r="Y22" s="255">
        <f t="shared" si="3"/>
        <v>21</v>
      </c>
      <c r="Z22" s="256">
        <f t="shared" si="4"/>
        <v>4.7619047619047619</v>
      </c>
      <c r="AA22" s="257">
        <f t="shared" si="5"/>
        <v>20</v>
      </c>
      <c r="AB22" s="116">
        <f t="shared" si="6"/>
        <v>0.2</v>
      </c>
      <c r="AC22" s="123">
        <v>622</v>
      </c>
      <c r="AD22" s="123">
        <v>643</v>
      </c>
      <c r="AE22" s="257">
        <f t="shared" si="7"/>
        <v>21</v>
      </c>
      <c r="AF22" s="258">
        <f t="shared" si="8"/>
        <v>3.3762057877813509</v>
      </c>
      <c r="AG22" s="257">
        <f t="shared" si="9"/>
        <v>100</v>
      </c>
      <c r="AH22" s="124">
        <f t="shared" si="10"/>
        <v>4</v>
      </c>
      <c r="AI22" s="105">
        <v>0</v>
      </c>
      <c r="AJ22" s="105">
        <v>0</v>
      </c>
      <c r="AK22" s="105">
        <v>0</v>
      </c>
      <c r="AL22" s="105">
        <v>0</v>
      </c>
      <c r="AM22" s="260">
        <f t="shared" si="11"/>
        <v>0</v>
      </c>
      <c r="AN22" s="260">
        <f t="shared" si="12"/>
        <v>20</v>
      </c>
      <c r="AO22" s="130">
        <f t="shared" si="13"/>
        <v>0.2</v>
      </c>
      <c r="AP22" s="106">
        <v>221001</v>
      </c>
      <c r="AQ22" s="261">
        <f t="shared" si="14"/>
        <v>1.2142856711147965</v>
      </c>
      <c r="AR22" s="261">
        <f t="shared" si="15"/>
        <v>43.214285066721949</v>
      </c>
      <c r="AS22" s="107">
        <f t="shared" si="16"/>
        <v>1.7285714026688781</v>
      </c>
      <c r="AT22" s="105">
        <v>0</v>
      </c>
      <c r="AU22" s="105">
        <v>1</v>
      </c>
      <c r="AV22" s="262">
        <f t="shared" si="17"/>
        <v>25</v>
      </c>
      <c r="AW22" s="134">
        <v>12</v>
      </c>
      <c r="AX22" s="447" t="s">
        <v>3655</v>
      </c>
      <c r="AY22" s="262">
        <f t="shared" si="18"/>
        <v>50</v>
      </c>
      <c r="AZ22" s="262">
        <f t="shared" si="19"/>
        <v>75</v>
      </c>
      <c r="BA22" s="38">
        <f t="shared" si="20"/>
        <v>0.75</v>
      </c>
      <c r="BB22" s="105">
        <v>0</v>
      </c>
      <c r="BC22" s="105">
        <v>0</v>
      </c>
      <c r="BD22" s="105">
        <v>0</v>
      </c>
      <c r="BE22" s="262">
        <f t="shared" si="21"/>
        <v>0</v>
      </c>
      <c r="BF22" s="262">
        <f t="shared" si="22"/>
        <v>50</v>
      </c>
      <c r="BG22" s="38">
        <f t="shared" si="23"/>
        <v>0.5</v>
      </c>
      <c r="BH22" s="255">
        <f t="shared" si="24"/>
        <v>9639647</v>
      </c>
      <c r="BI22" s="256">
        <f t="shared" si="25"/>
        <v>0.69879768210005688</v>
      </c>
      <c r="BJ22" s="256">
        <f t="shared" si="26"/>
        <v>30.240982615750426</v>
      </c>
      <c r="BK22" s="55">
        <f t="shared" si="27"/>
        <v>0.60481965231500856</v>
      </c>
      <c r="BL22" s="137">
        <f t="shared" si="28"/>
        <v>8.9833910549838869</v>
      </c>
    </row>
    <row r="23" spans="1:64" x14ac:dyDescent="0.6">
      <c r="A23" s="214" t="s">
        <v>1489</v>
      </c>
      <c r="B23" s="13" t="s">
        <v>2000</v>
      </c>
      <c r="C23" s="219" t="s">
        <v>1490</v>
      </c>
      <c r="D23" s="14" t="s">
        <v>285</v>
      </c>
      <c r="E23" s="217" t="s">
        <v>534</v>
      </c>
      <c r="F23" s="217" t="s">
        <v>1491</v>
      </c>
      <c r="G23" s="218">
        <v>34977</v>
      </c>
      <c r="H23" s="217" t="s">
        <v>830</v>
      </c>
      <c r="I23" s="217" t="s">
        <v>1492</v>
      </c>
      <c r="J23" s="1" t="s">
        <v>3657</v>
      </c>
      <c r="K23" s="217" t="s">
        <v>91</v>
      </c>
      <c r="L23" s="220">
        <v>25684209000</v>
      </c>
      <c r="M23" s="206">
        <v>5067672000</v>
      </c>
      <c r="N23" s="206">
        <v>20616537000</v>
      </c>
      <c r="O23" s="206">
        <v>18429889000</v>
      </c>
      <c r="P23" s="206">
        <v>9919892000</v>
      </c>
      <c r="Q23" s="206">
        <v>10124753000</v>
      </c>
      <c r="R23" s="206">
        <v>10047898000</v>
      </c>
      <c r="S23" s="105">
        <v>0</v>
      </c>
      <c r="T23" s="254">
        <f t="shared" si="0"/>
        <v>0</v>
      </c>
      <c r="U23" s="107">
        <f t="shared" si="1"/>
        <v>0</v>
      </c>
      <c r="V23" s="45">
        <f>324+19</f>
        <v>343</v>
      </c>
      <c r="W23" s="45">
        <f>340+23</f>
        <v>363</v>
      </c>
      <c r="X23" s="255">
        <f t="shared" si="2"/>
        <v>20</v>
      </c>
      <c r="Y23" s="255">
        <f t="shared" si="3"/>
        <v>119</v>
      </c>
      <c r="Z23" s="256">
        <f t="shared" si="4"/>
        <v>16.806722689075631</v>
      </c>
      <c r="AA23" s="257">
        <f t="shared" si="5"/>
        <v>40</v>
      </c>
      <c r="AB23" s="116">
        <f t="shared" si="6"/>
        <v>0.4</v>
      </c>
      <c r="AC23" s="123">
        <v>1558</v>
      </c>
      <c r="AD23" s="123">
        <v>1677</v>
      </c>
      <c r="AE23" s="257">
        <f t="shared" si="7"/>
        <v>119</v>
      </c>
      <c r="AF23" s="258">
        <f t="shared" si="8"/>
        <v>7.6379974326059044</v>
      </c>
      <c r="AG23" s="257">
        <f t="shared" si="9"/>
        <v>100</v>
      </c>
      <c r="AH23" s="124">
        <f t="shared" si="10"/>
        <v>4</v>
      </c>
      <c r="AI23" s="105">
        <v>0</v>
      </c>
      <c r="AJ23" s="105">
        <v>0</v>
      </c>
      <c r="AK23" s="105">
        <v>0</v>
      </c>
      <c r="AL23" s="105">
        <v>0</v>
      </c>
      <c r="AM23" s="260">
        <f t="shared" si="11"/>
        <v>0</v>
      </c>
      <c r="AN23" s="260">
        <f t="shared" si="12"/>
        <v>20</v>
      </c>
      <c r="AO23" s="130">
        <f t="shared" si="13"/>
        <v>0.2</v>
      </c>
      <c r="AP23" s="106">
        <v>26689000</v>
      </c>
      <c r="AQ23" s="261">
        <f t="shared" si="14"/>
        <v>0.26561774412917011</v>
      </c>
      <c r="AR23" s="261">
        <f t="shared" si="15"/>
        <v>28.984266161937551</v>
      </c>
      <c r="AS23" s="107">
        <f t="shared" si="16"/>
        <v>1.159370646477502</v>
      </c>
      <c r="AT23" s="105">
        <v>0</v>
      </c>
      <c r="AU23" s="105">
        <v>0</v>
      </c>
      <c r="AV23" s="262">
        <f t="shared" si="17"/>
        <v>0</v>
      </c>
      <c r="AW23" s="134">
        <v>10</v>
      </c>
      <c r="AX23" s="447" t="s">
        <v>3658</v>
      </c>
      <c r="AY23" s="262">
        <f t="shared" si="18"/>
        <v>50</v>
      </c>
      <c r="AZ23" s="262">
        <f t="shared" si="19"/>
        <v>50</v>
      </c>
      <c r="BA23" s="38">
        <f t="shared" si="20"/>
        <v>0.5</v>
      </c>
      <c r="BB23" s="105">
        <v>0</v>
      </c>
      <c r="BC23" s="105">
        <v>0</v>
      </c>
      <c r="BD23" s="105">
        <v>0</v>
      </c>
      <c r="BE23" s="262">
        <f t="shared" si="21"/>
        <v>0</v>
      </c>
      <c r="BF23" s="262">
        <f t="shared" si="22"/>
        <v>50</v>
      </c>
      <c r="BG23" s="38">
        <f t="shared" si="23"/>
        <v>0.5</v>
      </c>
      <c r="BH23" s="255">
        <f t="shared" si="24"/>
        <v>76855000</v>
      </c>
      <c r="BI23" s="256">
        <f t="shared" si="25"/>
        <v>0.41701282085855207</v>
      </c>
      <c r="BJ23" s="256">
        <f t="shared" si="26"/>
        <v>28.127596156439139</v>
      </c>
      <c r="BK23" s="55">
        <f t="shared" si="27"/>
        <v>0.56255192312878277</v>
      </c>
      <c r="BL23" s="137">
        <f t="shared" si="28"/>
        <v>7.3219225696062846</v>
      </c>
    </row>
    <row r="24" spans="1:64" x14ac:dyDescent="0.6">
      <c r="A24" s="214" t="s">
        <v>1494</v>
      </c>
      <c r="B24" s="13" t="s">
        <v>2001</v>
      </c>
      <c r="C24" s="219" t="s">
        <v>306</v>
      </c>
      <c r="D24" s="216" t="s">
        <v>191</v>
      </c>
      <c r="E24" s="217" t="s">
        <v>34</v>
      </c>
      <c r="F24" s="217" t="s">
        <v>670</v>
      </c>
      <c r="G24" s="218">
        <v>42670</v>
      </c>
      <c r="H24" s="217" t="s">
        <v>830</v>
      </c>
      <c r="I24" s="217" t="s">
        <v>692</v>
      </c>
      <c r="J24" s="217" t="s">
        <v>639</v>
      </c>
      <c r="K24" s="217" t="s">
        <v>425</v>
      </c>
      <c r="L24" s="220">
        <v>254329814</v>
      </c>
      <c r="M24" s="206">
        <v>113155622</v>
      </c>
      <c r="N24" s="206">
        <v>141174193</v>
      </c>
      <c r="O24" s="206">
        <v>184874804</v>
      </c>
      <c r="P24" s="206">
        <v>26315611</v>
      </c>
      <c r="Q24" s="206">
        <v>24849352</v>
      </c>
      <c r="R24" s="206">
        <v>19163516</v>
      </c>
      <c r="S24" s="105">
        <v>1</v>
      </c>
      <c r="T24" s="254">
        <f t="shared" si="0"/>
        <v>100</v>
      </c>
      <c r="U24" s="107">
        <f t="shared" si="1"/>
        <v>1</v>
      </c>
      <c r="V24" s="45">
        <v>55</v>
      </c>
      <c r="W24" s="45">
        <v>55</v>
      </c>
      <c r="X24" s="255">
        <f t="shared" si="2"/>
        <v>0</v>
      </c>
      <c r="Y24" s="255">
        <f t="shared" si="3"/>
        <v>-1</v>
      </c>
      <c r="Z24" s="256">
        <f t="shared" si="4"/>
        <v>0</v>
      </c>
      <c r="AA24" s="257">
        <f t="shared" si="5"/>
        <v>20</v>
      </c>
      <c r="AB24" s="116">
        <f t="shared" si="6"/>
        <v>0.2</v>
      </c>
      <c r="AC24" s="123">
        <v>261</v>
      </c>
      <c r="AD24" s="123">
        <v>260</v>
      </c>
      <c r="AE24" s="257">
        <f t="shared" si="7"/>
        <v>-1</v>
      </c>
      <c r="AF24" s="258">
        <f t="shared" si="8"/>
        <v>-0.38314176245210724</v>
      </c>
      <c r="AG24" s="257">
        <f t="shared" si="9"/>
        <v>20</v>
      </c>
      <c r="AH24" s="124">
        <f t="shared" si="10"/>
        <v>0.8</v>
      </c>
      <c r="AI24" s="105">
        <v>0</v>
      </c>
      <c r="AJ24" s="105">
        <v>0</v>
      </c>
      <c r="AK24" s="105">
        <v>0</v>
      </c>
      <c r="AL24" s="105">
        <v>0</v>
      </c>
      <c r="AM24" s="260">
        <f t="shared" si="11"/>
        <v>0</v>
      </c>
      <c r="AN24" s="260">
        <f t="shared" si="12"/>
        <v>20</v>
      </c>
      <c r="AO24" s="130">
        <f t="shared" si="13"/>
        <v>0.2</v>
      </c>
      <c r="AP24" s="106">
        <v>76141</v>
      </c>
      <c r="AQ24" s="261">
        <f t="shared" si="14"/>
        <v>0.39732270424696597</v>
      </c>
      <c r="AR24" s="261">
        <f t="shared" si="15"/>
        <v>30.959840563704489</v>
      </c>
      <c r="AS24" s="107">
        <f t="shared" si="16"/>
        <v>1.2383936225481795</v>
      </c>
      <c r="AT24" s="105">
        <v>1</v>
      </c>
      <c r="AU24" s="105">
        <v>1</v>
      </c>
      <c r="AV24" s="262">
        <f t="shared" si="17"/>
        <v>50</v>
      </c>
      <c r="AW24" s="134">
        <v>0</v>
      </c>
      <c r="AX24" s="134" t="s">
        <v>3548</v>
      </c>
      <c r="AY24" s="262">
        <f t="shared" si="18"/>
        <v>0</v>
      </c>
      <c r="AZ24" s="262">
        <f t="shared" si="19"/>
        <v>50</v>
      </c>
      <c r="BA24" s="38">
        <f t="shared" si="20"/>
        <v>0.5</v>
      </c>
      <c r="BB24" s="105">
        <v>0</v>
      </c>
      <c r="BC24" s="105">
        <v>0</v>
      </c>
      <c r="BD24" s="105">
        <v>0</v>
      </c>
      <c r="BE24" s="262">
        <f t="shared" si="21"/>
        <v>0</v>
      </c>
      <c r="BF24" s="262">
        <f t="shared" si="22"/>
        <v>50</v>
      </c>
      <c r="BG24" s="38">
        <f t="shared" si="23"/>
        <v>0.5</v>
      </c>
      <c r="BH24" s="255">
        <f t="shared" si="24"/>
        <v>5685836</v>
      </c>
      <c r="BI24" s="256">
        <f t="shared" si="25"/>
        <v>3.0755061679470392</v>
      </c>
      <c r="BJ24" s="256">
        <f t="shared" si="26"/>
        <v>48.066296259602794</v>
      </c>
      <c r="BK24" s="55">
        <f t="shared" si="27"/>
        <v>0.96132592519205595</v>
      </c>
      <c r="BL24" s="137">
        <f t="shared" si="28"/>
        <v>5.3997195477402355</v>
      </c>
    </row>
    <row r="25" spans="1:64" x14ac:dyDescent="0.6">
      <c r="A25" s="214" t="s">
        <v>1495</v>
      </c>
      <c r="B25" s="13" t="s">
        <v>2002</v>
      </c>
      <c r="C25" s="219" t="s">
        <v>1496</v>
      </c>
      <c r="D25" s="14" t="s">
        <v>203</v>
      </c>
      <c r="E25" s="217" t="s">
        <v>195</v>
      </c>
      <c r="F25" s="217" t="s">
        <v>1497</v>
      </c>
      <c r="G25" s="218">
        <v>31446</v>
      </c>
      <c r="H25" s="217" t="s">
        <v>830</v>
      </c>
      <c r="I25" s="217" t="s">
        <v>1498</v>
      </c>
      <c r="J25" s="1" t="s">
        <v>3656</v>
      </c>
      <c r="K25" s="217" t="s">
        <v>91</v>
      </c>
      <c r="L25" s="220">
        <v>2935263009</v>
      </c>
      <c r="M25" s="206">
        <v>1282845349</v>
      </c>
      <c r="N25" s="206">
        <v>1652417660</v>
      </c>
      <c r="O25" s="206">
        <v>3676462979</v>
      </c>
      <c r="P25" s="206">
        <v>325853385</v>
      </c>
      <c r="Q25" s="206">
        <v>376778870</v>
      </c>
      <c r="R25" s="206">
        <v>526787734</v>
      </c>
      <c r="S25" s="105">
        <v>1</v>
      </c>
      <c r="T25" s="254">
        <f t="shared" si="0"/>
        <v>100</v>
      </c>
      <c r="U25" s="107">
        <f t="shared" si="1"/>
        <v>1</v>
      </c>
      <c r="V25" s="45">
        <v>72</v>
      </c>
      <c r="W25" s="45">
        <v>71</v>
      </c>
      <c r="X25" s="255">
        <f t="shared" si="2"/>
        <v>-1</v>
      </c>
      <c r="Y25" s="255">
        <f t="shared" si="3"/>
        <v>-6</v>
      </c>
      <c r="Z25" s="256">
        <f t="shared" si="4"/>
        <v>-100</v>
      </c>
      <c r="AA25" s="257">
        <f t="shared" si="5"/>
        <v>20</v>
      </c>
      <c r="AB25" s="116">
        <f t="shared" si="6"/>
        <v>0.2</v>
      </c>
      <c r="AC25" s="123">
        <v>1107</v>
      </c>
      <c r="AD25" s="123">
        <v>1101</v>
      </c>
      <c r="AE25" s="257">
        <f t="shared" si="7"/>
        <v>-6</v>
      </c>
      <c r="AF25" s="258">
        <f t="shared" si="8"/>
        <v>-0.54200542005420049</v>
      </c>
      <c r="AG25" s="257">
        <f t="shared" si="9"/>
        <v>20</v>
      </c>
      <c r="AH25" s="124">
        <f t="shared" si="10"/>
        <v>0.8</v>
      </c>
      <c r="AI25" s="105">
        <v>0</v>
      </c>
      <c r="AJ25" s="105">
        <v>0</v>
      </c>
      <c r="AK25" s="105">
        <v>0</v>
      </c>
      <c r="AL25" s="105">
        <v>0</v>
      </c>
      <c r="AM25" s="260">
        <f t="shared" si="11"/>
        <v>0</v>
      </c>
      <c r="AN25" s="260">
        <f t="shared" si="12"/>
        <v>20</v>
      </c>
      <c r="AO25" s="130">
        <f t="shared" si="13"/>
        <v>0.2</v>
      </c>
      <c r="AP25" s="106">
        <v>206000</v>
      </c>
      <c r="AQ25" s="261">
        <f t="shared" si="14"/>
        <v>3.9104934816117036E-2</v>
      </c>
      <c r="AR25" s="261">
        <f t="shared" si="15"/>
        <v>25.586574022241756</v>
      </c>
      <c r="AS25" s="107">
        <f t="shared" si="16"/>
        <v>1.0234629608896701</v>
      </c>
      <c r="AT25" s="105">
        <v>0</v>
      </c>
      <c r="AU25" s="105">
        <v>0</v>
      </c>
      <c r="AV25" s="262">
        <f t="shared" si="17"/>
        <v>0</v>
      </c>
      <c r="AW25" s="134">
        <v>0</v>
      </c>
      <c r="AX25" s="134"/>
      <c r="AY25" s="262">
        <f t="shared" si="18"/>
        <v>0</v>
      </c>
      <c r="AZ25" s="262">
        <f t="shared" si="19"/>
        <v>0</v>
      </c>
      <c r="BA25" s="38">
        <f t="shared" si="20"/>
        <v>0</v>
      </c>
      <c r="BB25" s="105">
        <v>0</v>
      </c>
      <c r="BC25" s="105">
        <v>0</v>
      </c>
      <c r="BD25" s="105">
        <v>0</v>
      </c>
      <c r="BE25" s="262">
        <f t="shared" si="21"/>
        <v>0</v>
      </c>
      <c r="BF25" s="262">
        <f t="shared" si="22"/>
        <v>50</v>
      </c>
      <c r="BG25" s="38">
        <f t="shared" si="23"/>
        <v>0.5</v>
      </c>
      <c r="BH25" s="255">
        <f t="shared" si="24"/>
        <v>-150008864</v>
      </c>
      <c r="BI25" s="256">
        <f t="shared" si="25"/>
        <v>-4.0802495457414478</v>
      </c>
      <c r="BJ25" s="256">
        <f t="shared" si="26"/>
        <v>25</v>
      </c>
      <c r="BK25" s="55">
        <f t="shared" si="27"/>
        <v>0.5</v>
      </c>
      <c r="BL25" s="137">
        <f t="shared" si="28"/>
        <v>4.2234629608896705</v>
      </c>
    </row>
    <row r="26" spans="1:64" x14ac:dyDescent="0.6">
      <c r="A26" s="214" t="s">
        <v>313</v>
      </c>
      <c r="B26" s="13" t="s">
        <v>2003</v>
      </c>
      <c r="C26" s="219" t="s">
        <v>400</v>
      </c>
      <c r="D26" s="216" t="s">
        <v>203</v>
      </c>
      <c r="E26" s="217" t="s">
        <v>180</v>
      </c>
      <c r="F26" s="217" t="s">
        <v>115</v>
      </c>
      <c r="G26" s="218">
        <v>34695</v>
      </c>
      <c r="H26" s="217" t="s">
        <v>830</v>
      </c>
      <c r="I26" s="217" t="s">
        <v>1027</v>
      </c>
      <c r="J26" s="217" t="s">
        <v>1233</v>
      </c>
      <c r="K26" s="217" t="s">
        <v>91</v>
      </c>
      <c r="L26" s="220">
        <v>700649653</v>
      </c>
      <c r="M26" s="206">
        <v>158687185</v>
      </c>
      <c r="N26" s="206">
        <v>541962468</v>
      </c>
      <c r="O26" s="206">
        <v>797448219</v>
      </c>
      <c r="P26" s="206">
        <v>35898934</v>
      </c>
      <c r="Q26" s="206">
        <v>35959716</v>
      </c>
      <c r="R26" s="206">
        <v>29458044</v>
      </c>
      <c r="S26" s="105">
        <v>1</v>
      </c>
      <c r="T26" s="254">
        <f t="shared" si="0"/>
        <v>100</v>
      </c>
      <c r="U26" s="107">
        <f t="shared" si="1"/>
        <v>1</v>
      </c>
      <c r="V26" s="45">
        <v>26</v>
      </c>
      <c r="W26" s="45">
        <v>33</v>
      </c>
      <c r="X26" s="255">
        <f t="shared" si="2"/>
        <v>7</v>
      </c>
      <c r="Y26" s="255">
        <f t="shared" si="3"/>
        <v>24</v>
      </c>
      <c r="Z26" s="256">
        <f t="shared" si="4"/>
        <v>29.166666666666668</v>
      </c>
      <c r="AA26" s="257">
        <f t="shared" si="5"/>
        <v>60</v>
      </c>
      <c r="AB26" s="116">
        <f t="shared" si="6"/>
        <v>0.6</v>
      </c>
      <c r="AC26" s="123">
        <v>308</v>
      </c>
      <c r="AD26" s="123">
        <v>332</v>
      </c>
      <c r="AE26" s="257">
        <f t="shared" si="7"/>
        <v>24</v>
      </c>
      <c r="AF26" s="258">
        <f t="shared" si="8"/>
        <v>7.7922077922077921</v>
      </c>
      <c r="AG26" s="257">
        <f t="shared" si="9"/>
        <v>100</v>
      </c>
      <c r="AH26" s="124">
        <f t="shared" si="10"/>
        <v>4</v>
      </c>
      <c r="AI26" s="105">
        <v>0</v>
      </c>
      <c r="AJ26" s="105">
        <v>0</v>
      </c>
      <c r="AK26" s="105">
        <v>0</v>
      </c>
      <c r="AL26" s="105">
        <v>0</v>
      </c>
      <c r="AM26" s="260">
        <f t="shared" si="11"/>
        <v>0</v>
      </c>
      <c r="AN26" s="260">
        <f t="shared" si="12"/>
        <v>20</v>
      </c>
      <c r="AO26" s="130">
        <f t="shared" si="13"/>
        <v>0.2</v>
      </c>
      <c r="AP26" s="106">
        <v>8629</v>
      </c>
      <c r="AQ26" s="261">
        <f t="shared" si="14"/>
        <v>2.9292508355273007E-2</v>
      </c>
      <c r="AR26" s="261">
        <f t="shared" si="15"/>
        <v>25.439387625329097</v>
      </c>
      <c r="AS26" s="107">
        <f t="shared" si="16"/>
        <v>1.0175755050131639</v>
      </c>
      <c r="AT26" s="105">
        <v>0</v>
      </c>
      <c r="AU26" s="105">
        <v>1</v>
      </c>
      <c r="AV26" s="262">
        <f t="shared" si="17"/>
        <v>25</v>
      </c>
      <c r="AW26" s="134">
        <v>0</v>
      </c>
      <c r="AX26" s="134"/>
      <c r="AY26" s="262">
        <f t="shared" si="18"/>
        <v>0</v>
      </c>
      <c r="AZ26" s="262">
        <f t="shared" si="19"/>
        <v>25</v>
      </c>
      <c r="BA26" s="38">
        <f t="shared" si="20"/>
        <v>0.25</v>
      </c>
      <c r="BB26" s="105">
        <v>0</v>
      </c>
      <c r="BC26" s="105">
        <v>0</v>
      </c>
      <c r="BD26" s="105">
        <v>0</v>
      </c>
      <c r="BE26" s="262">
        <f t="shared" si="21"/>
        <v>0</v>
      </c>
      <c r="BF26" s="262">
        <f t="shared" si="22"/>
        <v>50</v>
      </c>
      <c r="BG26" s="38">
        <f t="shared" si="23"/>
        <v>0.5</v>
      </c>
      <c r="BH26" s="255">
        <f t="shared" si="24"/>
        <v>6501672</v>
      </c>
      <c r="BI26" s="256">
        <f t="shared" si="25"/>
        <v>0.8153096144791816</v>
      </c>
      <c r="BJ26" s="256">
        <f t="shared" si="26"/>
        <v>31.114822108593863</v>
      </c>
      <c r="BK26" s="55">
        <f t="shared" si="27"/>
        <v>0.6222964421718773</v>
      </c>
      <c r="BL26" s="137">
        <f t="shared" si="28"/>
        <v>8.1898719471850399</v>
      </c>
    </row>
    <row r="27" spans="1:64" x14ac:dyDescent="0.6">
      <c r="A27" s="214" t="s">
        <v>1500</v>
      </c>
      <c r="B27" s="13" t="s">
        <v>2004</v>
      </c>
      <c r="C27" s="219" t="s">
        <v>74</v>
      </c>
      <c r="D27" s="216" t="s">
        <v>285</v>
      </c>
      <c r="E27" s="217" t="s">
        <v>534</v>
      </c>
      <c r="F27" s="217" t="s">
        <v>1501</v>
      </c>
      <c r="G27" s="218">
        <v>39381</v>
      </c>
      <c r="H27" s="217" t="s">
        <v>830</v>
      </c>
      <c r="I27" s="217" t="s">
        <v>1502</v>
      </c>
      <c r="J27" s="217" t="s">
        <v>1503</v>
      </c>
      <c r="K27" s="217" t="s">
        <v>91</v>
      </c>
      <c r="L27" s="220">
        <v>1612037798</v>
      </c>
      <c r="M27" s="206">
        <v>1209670390</v>
      </c>
      <c r="N27" s="206">
        <v>402367409</v>
      </c>
      <c r="O27" s="206">
        <v>403836166</v>
      </c>
      <c r="P27" s="206">
        <v>64029204</v>
      </c>
      <c r="Q27" s="206">
        <v>42678216</v>
      </c>
      <c r="R27" s="206">
        <v>42137473</v>
      </c>
      <c r="S27" s="105">
        <v>1</v>
      </c>
      <c r="T27" s="254">
        <f t="shared" si="0"/>
        <v>100</v>
      </c>
      <c r="U27" s="107">
        <f t="shared" si="1"/>
        <v>1</v>
      </c>
      <c r="V27" s="45">
        <v>7</v>
      </c>
      <c r="W27" s="45">
        <v>11</v>
      </c>
      <c r="X27" s="255">
        <f t="shared" si="2"/>
        <v>4</v>
      </c>
      <c r="Y27" s="255">
        <f t="shared" si="3"/>
        <v>68</v>
      </c>
      <c r="Z27" s="256">
        <f t="shared" si="4"/>
        <v>5.8823529411764701</v>
      </c>
      <c r="AA27" s="257">
        <f t="shared" si="5"/>
        <v>20</v>
      </c>
      <c r="AB27" s="116">
        <f t="shared" si="6"/>
        <v>0.2</v>
      </c>
      <c r="AC27" s="123">
        <v>395</v>
      </c>
      <c r="AD27" s="123">
        <v>463</v>
      </c>
      <c r="AE27" s="257">
        <f t="shared" si="7"/>
        <v>68</v>
      </c>
      <c r="AF27" s="258">
        <f t="shared" si="8"/>
        <v>17.215189873417721</v>
      </c>
      <c r="AG27" s="257">
        <f t="shared" si="9"/>
        <v>100</v>
      </c>
      <c r="AH27" s="124">
        <f t="shared" si="10"/>
        <v>4</v>
      </c>
      <c r="AI27" s="105">
        <v>0</v>
      </c>
      <c r="AJ27" s="105">
        <v>0</v>
      </c>
      <c r="AK27" s="105">
        <v>0</v>
      </c>
      <c r="AL27" s="105">
        <v>0</v>
      </c>
      <c r="AM27" s="260">
        <f t="shared" si="11"/>
        <v>0</v>
      </c>
      <c r="AN27" s="260">
        <f t="shared" si="12"/>
        <v>20</v>
      </c>
      <c r="AO27" s="130">
        <f t="shared" si="13"/>
        <v>0.2</v>
      </c>
      <c r="AP27" s="106">
        <v>422729.179</v>
      </c>
      <c r="AQ27" s="261">
        <f t="shared" si="14"/>
        <v>1.0032143574437888</v>
      </c>
      <c r="AR27" s="261">
        <f t="shared" si="15"/>
        <v>40.04821536165683</v>
      </c>
      <c r="AS27" s="107">
        <f t="shared" si="16"/>
        <v>1.6019286144662732</v>
      </c>
      <c r="AT27" s="105">
        <v>0</v>
      </c>
      <c r="AU27" s="105">
        <v>1</v>
      </c>
      <c r="AV27" s="262">
        <f t="shared" si="17"/>
        <v>25</v>
      </c>
      <c r="AW27" s="134">
        <v>4</v>
      </c>
      <c r="AX27" s="134" t="s">
        <v>3549</v>
      </c>
      <c r="AY27" s="262">
        <f t="shared" si="18"/>
        <v>50</v>
      </c>
      <c r="AZ27" s="262">
        <f t="shared" si="19"/>
        <v>75</v>
      </c>
      <c r="BA27" s="38">
        <f t="shared" si="20"/>
        <v>0.75</v>
      </c>
      <c r="BB27" s="105">
        <v>0</v>
      </c>
      <c r="BC27" s="105">
        <v>0</v>
      </c>
      <c r="BD27" s="105">
        <v>0</v>
      </c>
      <c r="BE27" s="262">
        <f t="shared" si="21"/>
        <v>0</v>
      </c>
      <c r="BF27" s="262">
        <f t="shared" si="22"/>
        <v>50</v>
      </c>
      <c r="BG27" s="38">
        <f t="shared" si="23"/>
        <v>0.5</v>
      </c>
      <c r="BH27" s="255">
        <f t="shared" si="24"/>
        <v>540743</v>
      </c>
      <c r="BI27" s="256">
        <f t="shared" si="25"/>
        <v>0.13390157829499599</v>
      </c>
      <c r="BJ27" s="256">
        <f t="shared" si="26"/>
        <v>26.004261837212471</v>
      </c>
      <c r="BK27" s="55">
        <f t="shared" si="27"/>
        <v>0.52008523674424945</v>
      </c>
      <c r="BL27" s="137">
        <f t="shared" si="28"/>
        <v>8.7720138512105219</v>
      </c>
    </row>
    <row r="28" spans="1:64" x14ac:dyDescent="0.6">
      <c r="A28" s="214" t="s">
        <v>292</v>
      </c>
      <c r="B28" s="13" t="s">
        <v>2005</v>
      </c>
      <c r="C28" s="219" t="s">
        <v>398</v>
      </c>
      <c r="D28" s="216" t="s">
        <v>285</v>
      </c>
      <c r="E28" s="217" t="s">
        <v>283</v>
      </c>
      <c r="F28" s="217" t="s">
        <v>1008</v>
      </c>
      <c r="G28" s="218">
        <v>40437</v>
      </c>
      <c r="H28" s="217" t="s">
        <v>830</v>
      </c>
      <c r="I28" s="217" t="s">
        <v>686</v>
      </c>
      <c r="J28" s="217" t="s">
        <v>1025</v>
      </c>
      <c r="K28" s="217" t="s">
        <v>934</v>
      </c>
      <c r="L28" s="220">
        <v>302046228</v>
      </c>
      <c r="M28" s="206">
        <v>136864055</v>
      </c>
      <c r="N28" s="206">
        <v>165182173</v>
      </c>
      <c r="O28" s="206">
        <v>591580546</v>
      </c>
      <c r="P28" s="206">
        <v>16184660</v>
      </c>
      <c r="Q28" s="206">
        <v>17205979</v>
      </c>
      <c r="R28" s="206">
        <v>13158812</v>
      </c>
      <c r="S28" s="105">
        <v>1</v>
      </c>
      <c r="T28" s="254">
        <f t="shared" si="0"/>
        <v>100</v>
      </c>
      <c r="U28" s="107">
        <f t="shared" si="1"/>
        <v>1</v>
      </c>
      <c r="V28" s="45">
        <v>5663</v>
      </c>
      <c r="W28" s="190">
        <f>98+5765</f>
        <v>5863</v>
      </c>
      <c r="X28" s="255">
        <f t="shared" si="2"/>
        <v>200</v>
      </c>
      <c r="Y28" s="255">
        <f t="shared" si="3"/>
        <v>329</v>
      </c>
      <c r="Z28" s="256">
        <f t="shared" si="4"/>
        <v>60.790273556231</v>
      </c>
      <c r="AA28" s="257">
        <f t="shared" si="5"/>
        <v>100</v>
      </c>
      <c r="AB28" s="116">
        <f t="shared" si="6"/>
        <v>1</v>
      </c>
      <c r="AC28" s="123">
        <v>7076</v>
      </c>
      <c r="AD28" s="123">
        <v>7405</v>
      </c>
      <c r="AE28" s="257">
        <f t="shared" si="7"/>
        <v>329</v>
      </c>
      <c r="AF28" s="258">
        <f t="shared" si="8"/>
        <v>4.6495195025438099</v>
      </c>
      <c r="AG28" s="257">
        <f t="shared" si="9"/>
        <v>100</v>
      </c>
      <c r="AH28" s="124">
        <f t="shared" si="10"/>
        <v>4</v>
      </c>
      <c r="AI28" s="105">
        <v>0</v>
      </c>
      <c r="AJ28" s="105">
        <v>0</v>
      </c>
      <c r="AK28" s="105">
        <v>0</v>
      </c>
      <c r="AL28" s="105">
        <v>0</v>
      </c>
      <c r="AM28" s="260">
        <f t="shared" si="11"/>
        <v>0</v>
      </c>
      <c r="AN28" s="260">
        <f t="shared" si="12"/>
        <v>20</v>
      </c>
      <c r="AO28" s="130">
        <f t="shared" si="13"/>
        <v>0.2</v>
      </c>
      <c r="AP28" s="106">
        <v>226000</v>
      </c>
      <c r="AQ28" s="261">
        <f t="shared" si="14"/>
        <v>1.7174802710153469</v>
      </c>
      <c r="AR28" s="261">
        <f t="shared" si="15"/>
        <v>50.7622040652302</v>
      </c>
      <c r="AS28" s="107">
        <f t="shared" si="16"/>
        <v>2.0304881626092079</v>
      </c>
      <c r="AT28" s="105">
        <v>0</v>
      </c>
      <c r="AU28" s="105">
        <v>1</v>
      </c>
      <c r="AV28" s="262">
        <f t="shared" si="17"/>
        <v>25</v>
      </c>
      <c r="AW28" s="134">
        <v>9</v>
      </c>
      <c r="AX28" s="134" t="s">
        <v>3550</v>
      </c>
      <c r="AY28" s="262">
        <f t="shared" si="18"/>
        <v>50</v>
      </c>
      <c r="AZ28" s="262">
        <f t="shared" si="19"/>
        <v>75</v>
      </c>
      <c r="BA28" s="38">
        <f t="shared" si="20"/>
        <v>0.75</v>
      </c>
      <c r="BB28" s="105">
        <v>0</v>
      </c>
      <c r="BC28" s="105">
        <v>0</v>
      </c>
      <c r="BD28" s="105">
        <v>0</v>
      </c>
      <c r="BE28" s="262">
        <f t="shared" si="21"/>
        <v>0</v>
      </c>
      <c r="BF28" s="262">
        <f t="shared" si="22"/>
        <v>50</v>
      </c>
      <c r="BG28" s="38">
        <f t="shared" si="23"/>
        <v>0.5</v>
      </c>
      <c r="BH28" s="255">
        <f t="shared" si="24"/>
        <v>4047167</v>
      </c>
      <c r="BI28" s="256">
        <f t="shared" si="25"/>
        <v>0.68412780429733744</v>
      </c>
      <c r="BJ28" s="256">
        <f t="shared" si="26"/>
        <v>30.130958532230032</v>
      </c>
      <c r="BK28" s="55">
        <f t="shared" si="27"/>
        <v>0.60261917064460069</v>
      </c>
      <c r="BL28" s="137">
        <f t="shared" si="28"/>
        <v>10.08310733325381</v>
      </c>
    </row>
    <row r="29" spans="1:64" x14ac:dyDescent="0.6">
      <c r="A29" s="214" t="s">
        <v>3661</v>
      </c>
      <c r="B29" s="13" t="s">
        <v>2006</v>
      </c>
      <c r="C29" s="219" t="s">
        <v>1505</v>
      </c>
      <c r="D29" s="222" t="s">
        <v>285</v>
      </c>
      <c r="E29" s="217" t="s">
        <v>283</v>
      </c>
      <c r="F29" s="217" t="s">
        <v>1506</v>
      </c>
      <c r="G29" s="218">
        <v>40529</v>
      </c>
      <c r="H29" s="217" t="s">
        <v>830</v>
      </c>
      <c r="I29" s="217" t="s">
        <v>1507</v>
      </c>
      <c r="J29" s="1" t="s">
        <v>3659</v>
      </c>
      <c r="K29" s="217" t="s">
        <v>91</v>
      </c>
      <c r="L29" s="220">
        <v>396208069</v>
      </c>
      <c r="M29" s="206">
        <v>199203706</v>
      </c>
      <c r="N29" s="206">
        <v>197004363</v>
      </c>
      <c r="O29" s="206">
        <v>535783306</v>
      </c>
      <c r="P29" s="206">
        <v>19544619</v>
      </c>
      <c r="Q29" s="206">
        <v>19862607</v>
      </c>
      <c r="R29" s="206">
        <v>15916624</v>
      </c>
      <c r="S29" s="105">
        <v>1</v>
      </c>
      <c r="T29" s="254">
        <f t="shared" si="0"/>
        <v>100</v>
      </c>
      <c r="U29" s="107">
        <f t="shared" si="1"/>
        <v>1</v>
      </c>
      <c r="V29" s="45">
        <f>90+5373</f>
        <v>5463</v>
      </c>
      <c r="W29" s="45">
        <f>103+5391</f>
        <v>5494</v>
      </c>
      <c r="X29" s="255">
        <f t="shared" si="2"/>
        <v>31</v>
      </c>
      <c r="Y29" s="255">
        <f t="shared" si="3"/>
        <v>107</v>
      </c>
      <c r="Z29" s="256">
        <f t="shared" si="4"/>
        <v>28.971962616822427</v>
      </c>
      <c r="AA29" s="257">
        <f t="shared" si="5"/>
        <v>60</v>
      </c>
      <c r="AB29" s="116">
        <f t="shared" si="6"/>
        <v>0.6</v>
      </c>
      <c r="AC29" s="123">
        <v>6982</v>
      </c>
      <c r="AD29" s="123">
        <v>7089</v>
      </c>
      <c r="AE29" s="257">
        <f t="shared" si="7"/>
        <v>107</v>
      </c>
      <c r="AF29" s="258">
        <f t="shared" si="8"/>
        <v>1.5325121741621313</v>
      </c>
      <c r="AG29" s="257">
        <f t="shared" si="9"/>
        <v>80</v>
      </c>
      <c r="AH29" s="124">
        <f t="shared" si="10"/>
        <v>3.2</v>
      </c>
      <c r="AI29" s="105">
        <v>0</v>
      </c>
      <c r="AJ29" s="105">
        <v>0</v>
      </c>
      <c r="AK29" s="105">
        <v>0</v>
      </c>
      <c r="AL29" s="105">
        <v>0</v>
      </c>
      <c r="AM29" s="260">
        <f t="shared" si="11"/>
        <v>0</v>
      </c>
      <c r="AN29" s="260">
        <f t="shared" si="12"/>
        <v>20</v>
      </c>
      <c r="AO29" s="130">
        <f t="shared" si="13"/>
        <v>0.2</v>
      </c>
      <c r="AP29" s="106">
        <v>76914</v>
      </c>
      <c r="AQ29" s="261">
        <f t="shared" si="14"/>
        <v>0.48323061473337559</v>
      </c>
      <c r="AR29" s="261">
        <f t="shared" si="15"/>
        <v>32.248459221000637</v>
      </c>
      <c r="AS29" s="107">
        <f t="shared" si="16"/>
        <v>1.2899383688400254</v>
      </c>
      <c r="AT29" s="105">
        <v>0</v>
      </c>
      <c r="AU29" s="105">
        <v>1</v>
      </c>
      <c r="AV29" s="262">
        <f t="shared" si="17"/>
        <v>25</v>
      </c>
      <c r="AW29" s="134">
        <v>8</v>
      </c>
      <c r="AX29" s="447" t="s">
        <v>3660</v>
      </c>
      <c r="AY29" s="262">
        <f t="shared" si="18"/>
        <v>50</v>
      </c>
      <c r="AZ29" s="262">
        <f t="shared" si="19"/>
        <v>75</v>
      </c>
      <c r="BA29" s="38">
        <f t="shared" si="20"/>
        <v>0.75</v>
      </c>
      <c r="BB29" s="105">
        <v>0</v>
      </c>
      <c r="BC29" s="105">
        <v>0</v>
      </c>
      <c r="BD29" s="105">
        <v>0</v>
      </c>
      <c r="BE29" s="262">
        <f t="shared" si="21"/>
        <v>0</v>
      </c>
      <c r="BF29" s="262">
        <f t="shared" si="22"/>
        <v>50</v>
      </c>
      <c r="BG29" s="38">
        <f t="shared" si="23"/>
        <v>0.5</v>
      </c>
      <c r="BH29" s="255">
        <f t="shared" si="24"/>
        <v>3945983</v>
      </c>
      <c r="BI29" s="256">
        <f t="shared" si="25"/>
        <v>0.73648860571254904</v>
      </c>
      <c r="BJ29" s="256">
        <f t="shared" si="26"/>
        <v>30.523664542844116</v>
      </c>
      <c r="BK29" s="55">
        <f t="shared" si="27"/>
        <v>0.61047329085688229</v>
      </c>
      <c r="BL29" s="137">
        <f t="shared" si="28"/>
        <v>8.1504116596969087</v>
      </c>
    </row>
    <row r="30" spans="1:64" x14ac:dyDescent="0.6">
      <c r="A30" s="214" t="s">
        <v>709</v>
      </c>
      <c r="B30" s="13" t="s">
        <v>2007</v>
      </c>
      <c r="C30" s="219" t="s">
        <v>513</v>
      </c>
      <c r="D30" s="216" t="s">
        <v>191</v>
      </c>
      <c r="E30" s="217" t="s">
        <v>190</v>
      </c>
      <c r="F30" s="217" t="s">
        <v>618</v>
      </c>
      <c r="G30" s="218">
        <v>39052</v>
      </c>
      <c r="H30" s="217" t="s">
        <v>830</v>
      </c>
      <c r="I30" s="217" t="s">
        <v>970</v>
      </c>
      <c r="J30" s="217" t="s">
        <v>1047</v>
      </c>
      <c r="K30" s="217" t="s">
        <v>91</v>
      </c>
      <c r="L30" s="220">
        <v>1973686923</v>
      </c>
      <c r="M30" s="206">
        <v>455919080</v>
      </c>
      <c r="N30" s="206">
        <v>1517767844</v>
      </c>
      <c r="O30" s="206">
        <v>1271908968</v>
      </c>
      <c r="P30" s="206">
        <v>75779686</v>
      </c>
      <c r="Q30" s="206">
        <v>170929776</v>
      </c>
      <c r="R30" s="206">
        <v>155782948</v>
      </c>
      <c r="S30" s="105">
        <v>0</v>
      </c>
      <c r="T30" s="254">
        <f t="shared" si="0"/>
        <v>0</v>
      </c>
      <c r="U30" s="107">
        <f t="shared" si="1"/>
        <v>0</v>
      </c>
      <c r="V30" s="45">
        <v>509</v>
      </c>
      <c r="W30" s="45">
        <v>642</v>
      </c>
      <c r="X30" s="255">
        <f t="shared" si="2"/>
        <v>133</v>
      </c>
      <c r="Y30" s="255">
        <f t="shared" si="3"/>
        <v>148</v>
      </c>
      <c r="Z30" s="256">
        <f t="shared" si="4"/>
        <v>89.86486486486487</v>
      </c>
      <c r="AA30" s="257">
        <f t="shared" si="5"/>
        <v>100</v>
      </c>
      <c r="AB30" s="116">
        <f t="shared" si="6"/>
        <v>1</v>
      </c>
      <c r="AC30" s="123">
        <v>909</v>
      </c>
      <c r="AD30" s="123">
        <v>1057</v>
      </c>
      <c r="AE30" s="257">
        <f t="shared" si="7"/>
        <v>148</v>
      </c>
      <c r="AF30" s="258">
        <f t="shared" si="8"/>
        <v>16.281628162816279</v>
      </c>
      <c r="AG30" s="257">
        <f t="shared" si="9"/>
        <v>100</v>
      </c>
      <c r="AH30" s="124">
        <f t="shared" si="10"/>
        <v>4</v>
      </c>
      <c r="AI30" s="105">
        <v>0</v>
      </c>
      <c r="AJ30" s="105">
        <v>0</v>
      </c>
      <c r="AK30" s="105">
        <v>0</v>
      </c>
      <c r="AL30" s="105">
        <v>0</v>
      </c>
      <c r="AM30" s="260">
        <f t="shared" si="11"/>
        <v>0</v>
      </c>
      <c r="AN30" s="260">
        <f t="shared" si="12"/>
        <v>20</v>
      </c>
      <c r="AO30" s="130">
        <f t="shared" si="13"/>
        <v>0.2</v>
      </c>
      <c r="AP30" s="106">
        <v>286000</v>
      </c>
      <c r="AQ30" s="261">
        <f t="shared" si="14"/>
        <v>0.18358877121775868</v>
      </c>
      <c r="AR30" s="261">
        <f t="shared" si="15"/>
        <v>27.753831568266381</v>
      </c>
      <c r="AS30" s="107">
        <f t="shared" si="16"/>
        <v>1.1101532627306552</v>
      </c>
      <c r="AT30" s="105">
        <v>0</v>
      </c>
      <c r="AU30" s="105">
        <v>1</v>
      </c>
      <c r="AV30" s="262">
        <f t="shared" si="17"/>
        <v>25</v>
      </c>
      <c r="AW30" s="134">
        <v>1</v>
      </c>
      <c r="AX30" s="134" t="s">
        <v>3551</v>
      </c>
      <c r="AY30" s="262">
        <f t="shared" si="18"/>
        <v>25</v>
      </c>
      <c r="AZ30" s="262">
        <f t="shared" si="19"/>
        <v>50</v>
      </c>
      <c r="BA30" s="38">
        <f t="shared" si="20"/>
        <v>0.5</v>
      </c>
      <c r="BB30" s="105">
        <v>0</v>
      </c>
      <c r="BC30" s="105">
        <v>0</v>
      </c>
      <c r="BD30" s="105">
        <v>0</v>
      </c>
      <c r="BE30" s="262">
        <f t="shared" si="21"/>
        <v>0</v>
      </c>
      <c r="BF30" s="262">
        <f t="shared" si="22"/>
        <v>50</v>
      </c>
      <c r="BG30" s="38">
        <f t="shared" si="23"/>
        <v>0.5</v>
      </c>
      <c r="BH30" s="255">
        <f t="shared" si="24"/>
        <v>15146828</v>
      </c>
      <c r="BI30" s="256">
        <f t="shared" si="25"/>
        <v>1.1908735908842181</v>
      </c>
      <c r="BJ30" s="256">
        <f t="shared" si="26"/>
        <v>33.931551931631631</v>
      </c>
      <c r="BK30" s="55">
        <f t="shared" si="27"/>
        <v>0.67863103863263263</v>
      </c>
      <c r="BL30" s="137">
        <f t="shared" si="28"/>
        <v>7.988784301363288</v>
      </c>
    </row>
    <row r="31" spans="1:64" x14ac:dyDescent="0.6">
      <c r="A31" s="214" t="s">
        <v>1509</v>
      </c>
      <c r="B31" s="13" t="s">
        <v>2008</v>
      </c>
      <c r="C31" s="219" t="s">
        <v>1510</v>
      </c>
      <c r="D31" s="14" t="s">
        <v>191</v>
      </c>
      <c r="E31" s="217" t="s">
        <v>188</v>
      </c>
      <c r="F31" s="217" t="s">
        <v>1511</v>
      </c>
      <c r="G31" s="218">
        <v>37006</v>
      </c>
      <c r="H31" s="217" t="s">
        <v>830</v>
      </c>
      <c r="I31" s="217" t="s">
        <v>1512</v>
      </c>
      <c r="J31" s="1" t="s">
        <v>3662</v>
      </c>
      <c r="K31" s="217" t="s">
        <v>91</v>
      </c>
      <c r="L31" s="220">
        <v>4707323720</v>
      </c>
      <c r="M31" s="206">
        <v>579230693</v>
      </c>
      <c r="N31" s="206">
        <v>4128093027</v>
      </c>
      <c r="O31" s="206">
        <v>3783321412</v>
      </c>
      <c r="P31" s="206">
        <v>428276866</v>
      </c>
      <c r="Q31" s="206">
        <v>165920076</v>
      </c>
      <c r="R31" s="206">
        <v>76950845</v>
      </c>
      <c r="S31" s="105">
        <v>1</v>
      </c>
      <c r="T31" s="254">
        <f t="shared" si="0"/>
        <v>100</v>
      </c>
      <c r="U31" s="107">
        <f t="shared" si="1"/>
        <v>1</v>
      </c>
      <c r="V31" s="45">
        <f>246+525+253+1339</f>
        <v>2363</v>
      </c>
      <c r="W31" s="45">
        <f>269+546+265+1299</f>
        <v>2379</v>
      </c>
      <c r="X31" s="255">
        <f t="shared" si="2"/>
        <v>16</v>
      </c>
      <c r="Y31" s="255">
        <f t="shared" si="3"/>
        <v>-35</v>
      </c>
      <c r="Z31" s="256">
        <f t="shared" si="4"/>
        <v>1600</v>
      </c>
      <c r="AA31" s="257">
        <f t="shared" si="5"/>
        <v>100</v>
      </c>
      <c r="AB31" s="116">
        <f t="shared" si="6"/>
        <v>1</v>
      </c>
      <c r="AC31" s="123">
        <v>4461</v>
      </c>
      <c r="AD31" s="123">
        <v>4426</v>
      </c>
      <c r="AE31" s="257">
        <f t="shared" si="7"/>
        <v>-35</v>
      </c>
      <c r="AF31" s="258">
        <f t="shared" si="8"/>
        <v>-0.78457744900246573</v>
      </c>
      <c r="AG31" s="257">
        <f t="shared" si="9"/>
        <v>20</v>
      </c>
      <c r="AH31" s="124">
        <f t="shared" si="10"/>
        <v>0.8</v>
      </c>
      <c r="AI31" s="105">
        <v>1</v>
      </c>
      <c r="AJ31" s="105">
        <v>0</v>
      </c>
      <c r="AK31" s="105">
        <v>0</v>
      </c>
      <c r="AL31" s="105">
        <v>0</v>
      </c>
      <c r="AM31" s="260">
        <f t="shared" si="11"/>
        <v>1</v>
      </c>
      <c r="AN31" s="260">
        <f t="shared" si="12"/>
        <v>40</v>
      </c>
      <c r="AO31" s="130">
        <f t="shared" si="13"/>
        <v>0.4</v>
      </c>
      <c r="AP31" s="106">
        <v>48587000</v>
      </c>
      <c r="AQ31" s="261">
        <f t="shared" si="14"/>
        <v>63.140307296170697</v>
      </c>
      <c r="AR31" s="261">
        <f t="shared" si="15"/>
        <v>100</v>
      </c>
      <c r="AS31" s="107">
        <f t="shared" si="16"/>
        <v>4</v>
      </c>
      <c r="AT31" s="105">
        <v>1</v>
      </c>
      <c r="AU31" s="105">
        <v>1</v>
      </c>
      <c r="AV31" s="262">
        <f t="shared" si="17"/>
        <v>50</v>
      </c>
      <c r="AW31" s="134">
        <v>8</v>
      </c>
      <c r="AX31" s="447" t="s">
        <v>3663</v>
      </c>
      <c r="AY31" s="262">
        <f t="shared" si="18"/>
        <v>50</v>
      </c>
      <c r="AZ31" s="262">
        <f t="shared" si="19"/>
        <v>100</v>
      </c>
      <c r="BA31" s="38">
        <f t="shared" si="20"/>
        <v>1</v>
      </c>
      <c r="BB31" s="105">
        <v>0</v>
      </c>
      <c r="BC31" s="105">
        <v>0</v>
      </c>
      <c r="BD31" s="105">
        <v>0</v>
      </c>
      <c r="BE31" s="262">
        <f t="shared" si="21"/>
        <v>0</v>
      </c>
      <c r="BF31" s="262">
        <f t="shared" si="22"/>
        <v>50</v>
      </c>
      <c r="BG31" s="38">
        <f t="shared" si="23"/>
        <v>0.5</v>
      </c>
      <c r="BH31" s="255">
        <f t="shared" si="24"/>
        <v>88969231</v>
      </c>
      <c r="BI31" s="256">
        <f t="shared" si="25"/>
        <v>2.3516170399323184</v>
      </c>
      <c r="BJ31" s="256">
        <f t="shared" si="26"/>
        <v>42.63712779949239</v>
      </c>
      <c r="BK31" s="55">
        <f t="shared" si="27"/>
        <v>0.85274255598984783</v>
      </c>
      <c r="BL31" s="137">
        <f t="shared" si="28"/>
        <v>9.5527425559898465</v>
      </c>
    </row>
    <row r="32" spans="1:64" x14ac:dyDescent="0.6">
      <c r="A32" s="214" t="s">
        <v>67</v>
      </c>
      <c r="B32" s="13" t="s">
        <v>2009</v>
      </c>
      <c r="C32" s="219" t="s">
        <v>471</v>
      </c>
      <c r="D32" s="216" t="s">
        <v>285</v>
      </c>
      <c r="E32" s="217" t="s">
        <v>56</v>
      </c>
      <c r="F32" s="217" t="s">
        <v>148</v>
      </c>
      <c r="G32" s="218">
        <v>39559</v>
      </c>
      <c r="H32" s="217" t="s">
        <v>830</v>
      </c>
      <c r="I32" s="217" t="s">
        <v>806</v>
      </c>
      <c r="J32" s="217" t="s">
        <v>1042</v>
      </c>
      <c r="K32" s="217" t="s">
        <v>91</v>
      </c>
      <c r="L32" s="220">
        <v>18621116000</v>
      </c>
      <c r="M32" s="206">
        <v>10475153000</v>
      </c>
      <c r="N32" s="206">
        <v>8145963000</v>
      </c>
      <c r="O32" s="206">
        <v>12781569000</v>
      </c>
      <c r="P32" s="206">
        <v>1049830000</v>
      </c>
      <c r="Q32" s="206">
        <v>859263000</v>
      </c>
      <c r="R32" s="206">
        <v>661692000</v>
      </c>
      <c r="S32" s="105">
        <v>1</v>
      </c>
      <c r="T32" s="254">
        <f t="shared" si="0"/>
        <v>100</v>
      </c>
      <c r="U32" s="107">
        <f t="shared" si="1"/>
        <v>1</v>
      </c>
      <c r="V32" s="45">
        <v>1809</v>
      </c>
      <c r="W32" s="45">
        <v>1972</v>
      </c>
      <c r="X32" s="255">
        <f t="shared" si="2"/>
        <v>163</v>
      </c>
      <c r="Y32" s="255">
        <f t="shared" si="3"/>
        <v>312</v>
      </c>
      <c r="Z32" s="256">
        <f t="shared" si="4"/>
        <v>52.243589743589745</v>
      </c>
      <c r="AA32" s="257">
        <f t="shared" si="5"/>
        <v>100</v>
      </c>
      <c r="AB32" s="116">
        <f t="shared" si="6"/>
        <v>1</v>
      </c>
      <c r="AC32" s="123">
        <v>9951</v>
      </c>
      <c r="AD32" s="123">
        <v>10263</v>
      </c>
      <c r="AE32" s="257">
        <f t="shared" si="7"/>
        <v>312</v>
      </c>
      <c r="AF32" s="258">
        <f t="shared" si="8"/>
        <v>3.1353632800723541</v>
      </c>
      <c r="AG32" s="257">
        <f t="shared" si="9"/>
        <v>100</v>
      </c>
      <c r="AH32" s="124">
        <f t="shared" si="10"/>
        <v>4</v>
      </c>
      <c r="AI32" s="105">
        <v>0</v>
      </c>
      <c r="AJ32" s="105">
        <v>0</v>
      </c>
      <c r="AK32" s="105">
        <v>0</v>
      </c>
      <c r="AL32" s="105">
        <v>0</v>
      </c>
      <c r="AM32" s="260">
        <f t="shared" si="11"/>
        <v>0</v>
      </c>
      <c r="AN32" s="260">
        <f t="shared" si="12"/>
        <v>20</v>
      </c>
      <c r="AO32" s="130">
        <f t="shared" si="13"/>
        <v>0.2</v>
      </c>
      <c r="AP32" s="106">
        <v>6632000</v>
      </c>
      <c r="AQ32" s="261">
        <f t="shared" si="14"/>
        <v>1.0022790059423419</v>
      </c>
      <c r="AR32" s="261">
        <f t="shared" si="15"/>
        <v>40.034185089135129</v>
      </c>
      <c r="AS32" s="107">
        <f t="shared" si="16"/>
        <v>1.6013674035654051</v>
      </c>
      <c r="AT32" s="105">
        <v>0</v>
      </c>
      <c r="AU32" s="105">
        <v>1</v>
      </c>
      <c r="AV32" s="262">
        <f t="shared" si="17"/>
        <v>25</v>
      </c>
      <c r="AW32" s="134">
        <v>4</v>
      </c>
      <c r="AX32" s="134" t="s">
        <v>3552</v>
      </c>
      <c r="AY32" s="262">
        <f t="shared" si="18"/>
        <v>50</v>
      </c>
      <c r="AZ32" s="262">
        <f t="shared" si="19"/>
        <v>75</v>
      </c>
      <c r="BA32" s="38">
        <f t="shared" si="20"/>
        <v>0.75</v>
      </c>
      <c r="BB32" s="105">
        <v>1</v>
      </c>
      <c r="BC32" s="105">
        <v>0</v>
      </c>
      <c r="BD32" s="105">
        <v>0</v>
      </c>
      <c r="BE32" s="262">
        <f t="shared" si="21"/>
        <v>1</v>
      </c>
      <c r="BF32" s="262">
        <f t="shared" si="22"/>
        <v>100</v>
      </c>
      <c r="BG32" s="38">
        <f t="shared" si="23"/>
        <v>1</v>
      </c>
      <c r="BH32" s="255">
        <f t="shared" si="24"/>
        <v>197571000</v>
      </c>
      <c r="BI32" s="256">
        <f t="shared" si="25"/>
        <v>1.5457491955799791</v>
      </c>
      <c r="BJ32" s="256">
        <f t="shared" si="26"/>
        <v>36.593118966849843</v>
      </c>
      <c r="BK32" s="55">
        <f t="shared" si="27"/>
        <v>0.73186237933699683</v>
      </c>
      <c r="BL32" s="137">
        <f t="shared" si="28"/>
        <v>10.283229782902401</v>
      </c>
    </row>
    <row r="33" spans="1:64" x14ac:dyDescent="0.6">
      <c r="A33" s="214" t="s">
        <v>850</v>
      </c>
      <c r="B33" s="13" t="s">
        <v>2010</v>
      </c>
      <c r="C33" s="219" t="s">
        <v>498</v>
      </c>
      <c r="D33" s="216" t="s">
        <v>202</v>
      </c>
      <c r="E33" s="217" t="s">
        <v>205</v>
      </c>
      <c r="F33" s="217" t="s">
        <v>183</v>
      </c>
      <c r="G33" s="218">
        <v>39653</v>
      </c>
      <c r="H33" s="217" t="s">
        <v>830</v>
      </c>
      <c r="I33" s="217" t="s">
        <v>737</v>
      </c>
      <c r="J33" s="217" t="s">
        <v>1229</v>
      </c>
      <c r="K33" s="217" t="s">
        <v>91</v>
      </c>
      <c r="L33" s="220">
        <v>8668015355</v>
      </c>
      <c r="M33" s="206">
        <v>5103993834</v>
      </c>
      <c r="N33" s="206">
        <v>3564021521</v>
      </c>
      <c r="O33" s="206">
        <v>19092897004</v>
      </c>
      <c r="P33" s="206">
        <v>1016233433</v>
      </c>
      <c r="Q33" s="206">
        <v>955882532</v>
      </c>
      <c r="R33" s="206">
        <v>720393793</v>
      </c>
      <c r="S33" s="105">
        <v>1</v>
      </c>
      <c r="T33" s="254">
        <f t="shared" si="0"/>
        <v>100</v>
      </c>
      <c r="U33" s="107">
        <f t="shared" si="1"/>
        <v>1</v>
      </c>
      <c r="V33" s="45">
        <v>1216</v>
      </c>
      <c r="W33" s="45">
        <f>539+156+181+507</f>
        <v>1383</v>
      </c>
      <c r="X33" s="255">
        <f t="shared" si="2"/>
        <v>167</v>
      </c>
      <c r="Y33" s="255">
        <f t="shared" si="3"/>
        <v>2157</v>
      </c>
      <c r="Z33" s="256">
        <f t="shared" si="4"/>
        <v>7.7422345850718592</v>
      </c>
      <c r="AA33" s="257">
        <f t="shared" si="5"/>
        <v>20</v>
      </c>
      <c r="AB33" s="116">
        <f t="shared" si="6"/>
        <v>0.2</v>
      </c>
      <c r="AC33" s="123">
        <v>7999</v>
      </c>
      <c r="AD33" s="123">
        <v>10156</v>
      </c>
      <c r="AE33" s="257">
        <f t="shared" si="7"/>
        <v>2157</v>
      </c>
      <c r="AF33" s="258">
        <f t="shared" si="8"/>
        <v>26.965870733841729</v>
      </c>
      <c r="AG33" s="257">
        <f t="shared" si="9"/>
        <v>100</v>
      </c>
      <c r="AH33" s="124">
        <f t="shared" si="10"/>
        <v>4</v>
      </c>
      <c r="AI33" s="105">
        <v>1</v>
      </c>
      <c r="AJ33" s="105">
        <v>0</v>
      </c>
      <c r="AK33" s="105">
        <v>0</v>
      </c>
      <c r="AL33" s="105">
        <v>0</v>
      </c>
      <c r="AM33" s="260">
        <f t="shared" si="11"/>
        <v>1</v>
      </c>
      <c r="AN33" s="260">
        <f t="shared" si="12"/>
        <v>40</v>
      </c>
      <c r="AO33" s="130">
        <f t="shared" si="13"/>
        <v>0.4</v>
      </c>
      <c r="AP33" s="440">
        <v>0</v>
      </c>
      <c r="AQ33" s="261">
        <f t="shared" si="14"/>
        <v>0</v>
      </c>
      <c r="AR33" s="261">
        <f t="shared" si="15"/>
        <v>25</v>
      </c>
      <c r="AS33" s="107">
        <f t="shared" si="16"/>
        <v>1</v>
      </c>
      <c r="AT33" s="105">
        <v>0</v>
      </c>
      <c r="AU33" s="105">
        <v>1</v>
      </c>
      <c r="AV33" s="262">
        <f t="shared" si="17"/>
        <v>25</v>
      </c>
      <c r="AW33" s="134">
        <v>3</v>
      </c>
      <c r="AX33" s="134" t="s">
        <v>3553</v>
      </c>
      <c r="AY33" s="262">
        <f t="shared" si="18"/>
        <v>50</v>
      </c>
      <c r="AZ33" s="262">
        <f t="shared" si="19"/>
        <v>75</v>
      </c>
      <c r="BA33" s="38">
        <f t="shared" si="20"/>
        <v>0.75</v>
      </c>
      <c r="BB33" s="105">
        <v>0</v>
      </c>
      <c r="BC33" s="105">
        <v>0</v>
      </c>
      <c r="BD33" s="105">
        <v>0</v>
      </c>
      <c r="BE33" s="262">
        <f t="shared" si="21"/>
        <v>0</v>
      </c>
      <c r="BF33" s="262">
        <f t="shared" si="22"/>
        <v>50</v>
      </c>
      <c r="BG33" s="38">
        <f t="shared" si="23"/>
        <v>0.5</v>
      </c>
      <c r="BH33" s="255">
        <f t="shared" si="24"/>
        <v>235488739</v>
      </c>
      <c r="BI33" s="256">
        <f t="shared" si="25"/>
        <v>1.2333840116073775</v>
      </c>
      <c r="BJ33" s="256">
        <f t="shared" si="26"/>
        <v>34.250380087055333</v>
      </c>
      <c r="BK33" s="55">
        <f t="shared" si="27"/>
        <v>0.68500760174110664</v>
      </c>
      <c r="BL33" s="137">
        <f t="shared" si="28"/>
        <v>8.535007601741107</v>
      </c>
    </row>
    <row r="34" spans="1:64" x14ac:dyDescent="0.6">
      <c r="A34" s="214" t="s">
        <v>947</v>
      </c>
      <c r="B34" s="13" t="s">
        <v>2011</v>
      </c>
      <c r="C34" s="219" t="s">
        <v>895</v>
      </c>
      <c r="D34" s="216" t="s">
        <v>202</v>
      </c>
      <c r="E34" s="217" t="s">
        <v>606</v>
      </c>
      <c r="F34" s="217" t="s">
        <v>207</v>
      </c>
      <c r="G34" s="218">
        <v>42279</v>
      </c>
      <c r="H34" s="217" t="s">
        <v>830</v>
      </c>
      <c r="I34" s="217" t="s">
        <v>687</v>
      </c>
      <c r="J34" s="217" t="s">
        <v>1046</v>
      </c>
      <c r="K34" s="217" t="s">
        <v>690</v>
      </c>
      <c r="L34" s="220">
        <v>3007428048</v>
      </c>
      <c r="M34" s="206">
        <v>2072248980</v>
      </c>
      <c r="N34" s="206">
        <v>935179068</v>
      </c>
      <c r="O34" s="206">
        <v>2216162119</v>
      </c>
      <c r="P34" s="206">
        <v>178794933</v>
      </c>
      <c r="Q34" s="206">
        <v>157788508</v>
      </c>
      <c r="R34" s="206">
        <v>122939587</v>
      </c>
      <c r="S34" s="105">
        <v>1</v>
      </c>
      <c r="T34" s="254">
        <f t="shared" si="0"/>
        <v>100</v>
      </c>
      <c r="U34" s="107">
        <f t="shared" si="1"/>
        <v>1</v>
      </c>
      <c r="V34" s="45">
        <v>325</v>
      </c>
      <c r="W34" s="45">
        <f>196+70+22+117</f>
        <v>405</v>
      </c>
      <c r="X34" s="255">
        <f t="shared" si="2"/>
        <v>80</v>
      </c>
      <c r="Y34" s="255">
        <f t="shared" si="3"/>
        <v>535</v>
      </c>
      <c r="Z34" s="256">
        <f t="shared" si="4"/>
        <v>14.953271028037381</v>
      </c>
      <c r="AA34" s="257">
        <f t="shared" si="5"/>
        <v>40</v>
      </c>
      <c r="AB34" s="116">
        <f t="shared" si="6"/>
        <v>0.4</v>
      </c>
      <c r="AC34" s="123">
        <v>3124</v>
      </c>
      <c r="AD34" s="123">
        <v>3659</v>
      </c>
      <c r="AE34" s="257">
        <f t="shared" si="7"/>
        <v>535</v>
      </c>
      <c r="AF34" s="258">
        <f t="shared" si="8"/>
        <v>17.125480153649168</v>
      </c>
      <c r="AG34" s="257">
        <f t="shared" si="9"/>
        <v>100</v>
      </c>
      <c r="AH34" s="124">
        <f t="shared" si="10"/>
        <v>4</v>
      </c>
      <c r="AI34" s="105">
        <v>0</v>
      </c>
      <c r="AJ34" s="105">
        <v>1</v>
      </c>
      <c r="AK34" s="105">
        <v>0</v>
      </c>
      <c r="AL34" s="105">
        <v>0</v>
      </c>
      <c r="AM34" s="260">
        <f t="shared" si="11"/>
        <v>1</v>
      </c>
      <c r="AN34" s="260">
        <f t="shared" si="12"/>
        <v>40</v>
      </c>
      <c r="AO34" s="130">
        <f t="shared" si="13"/>
        <v>0.4</v>
      </c>
      <c r="AP34" s="106">
        <v>928788</v>
      </c>
      <c r="AQ34" s="261">
        <f t="shared" si="14"/>
        <v>0.75548326024553836</v>
      </c>
      <c r="AR34" s="261">
        <f t="shared" si="15"/>
        <v>36.33224890368308</v>
      </c>
      <c r="AS34" s="107">
        <f t="shared" si="16"/>
        <v>1.4532899561473231</v>
      </c>
      <c r="AT34" s="105">
        <v>1</v>
      </c>
      <c r="AU34" s="105">
        <v>1</v>
      </c>
      <c r="AV34" s="262">
        <f t="shared" si="17"/>
        <v>50</v>
      </c>
      <c r="AW34" s="134">
        <v>4</v>
      </c>
      <c r="AX34" s="134" t="s">
        <v>3554</v>
      </c>
      <c r="AY34" s="262">
        <f t="shared" si="18"/>
        <v>50</v>
      </c>
      <c r="AZ34" s="262">
        <f t="shared" si="19"/>
        <v>100</v>
      </c>
      <c r="BA34" s="38">
        <f t="shared" si="20"/>
        <v>1</v>
      </c>
      <c r="BB34" s="105">
        <v>0</v>
      </c>
      <c r="BC34" s="105">
        <v>0</v>
      </c>
      <c r="BD34" s="105">
        <v>0</v>
      </c>
      <c r="BE34" s="262">
        <f t="shared" si="21"/>
        <v>0</v>
      </c>
      <c r="BF34" s="262">
        <f t="shared" si="22"/>
        <v>50</v>
      </c>
      <c r="BG34" s="38">
        <f t="shared" si="23"/>
        <v>0.5</v>
      </c>
      <c r="BH34" s="255">
        <f t="shared" si="24"/>
        <v>34848921</v>
      </c>
      <c r="BI34" s="256">
        <f t="shared" si="25"/>
        <v>1.5724896974470846</v>
      </c>
      <c r="BJ34" s="256">
        <f t="shared" si="26"/>
        <v>36.793672730853132</v>
      </c>
      <c r="BK34" s="55">
        <f t="shared" si="27"/>
        <v>0.73587345461706266</v>
      </c>
      <c r="BL34" s="137">
        <f t="shared" si="28"/>
        <v>9.4891634107643856</v>
      </c>
    </row>
    <row r="35" spans="1:64" x14ac:dyDescent="0.6">
      <c r="A35" s="214" t="s">
        <v>1514</v>
      </c>
      <c r="B35" s="13" t="s">
        <v>2012</v>
      </c>
      <c r="C35" s="219" t="s">
        <v>436</v>
      </c>
      <c r="D35" s="216" t="s">
        <v>285</v>
      </c>
      <c r="E35" s="217" t="s">
        <v>444</v>
      </c>
      <c r="F35" s="217" t="s">
        <v>1158</v>
      </c>
      <c r="G35" s="218">
        <v>27789</v>
      </c>
      <c r="H35" s="217" t="s">
        <v>830</v>
      </c>
      <c r="I35" s="217" t="s">
        <v>720</v>
      </c>
      <c r="J35" s="217" t="s">
        <v>388</v>
      </c>
      <c r="K35" s="217" t="s">
        <v>91</v>
      </c>
      <c r="L35" s="220">
        <v>3782850589</v>
      </c>
      <c r="M35" s="206">
        <v>1473354089</v>
      </c>
      <c r="N35" s="206">
        <v>2309496500</v>
      </c>
      <c r="O35" s="206">
        <v>4108362284</v>
      </c>
      <c r="P35" s="206">
        <v>101552809</v>
      </c>
      <c r="Q35" s="206">
        <v>640421674</v>
      </c>
      <c r="R35" s="206">
        <v>528557910</v>
      </c>
      <c r="S35" s="105">
        <v>1</v>
      </c>
      <c r="T35" s="254">
        <f t="shared" si="0"/>
        <v>100</v>
      </c>
      <c r="U35" s="107">
        <f t="shared" si="1"/>
        <v>1</v>
      </c>
      <c r="V35" s="45">
        <v>204</v>
      </c>
      <c r="W35" s="45">
        <f>13+46+49+108</f>
        <v>216</v>
      </c>
      <c r="X35" s="255">
        <f t="shared" si="2"/>
        <v>12</v>
      </c>
      <c r="Y35" s="255">
        <f t="shared" si="3"/>
        <v>11</v>
      </c>
      <c r="Z35" s="256">
        <f t="shared" si="4"/>
        <v>109.09090909090908</v>
      </c>
      <c r="AA35" s="257">
        <f t="shared" si="5"/>
        <v>100</v>
      </c>
      <c r="AB35" s="116">
        <f t="shared" si="6"/>
        <v>1</v>
      </c>
      <c r="AC35" s="123">
        <v>367</v>
      </c>
      <c r="AD35" s="123">
        <v>378</v>
      </c>
      <c r="AE35" s="257">
        <f t="shared" si="7"/>
        <v>11</v>
      </c>
      <c r="AF35" s="258">
        <f t="shared" si="8"/>
        <v>2.9972752043596729</v>
      </c>
      <c r="AG35" s="257">
        <f t="shared" si="9"/>
        <v>100</v>
      </c>
      <c r="AH35" s="124">
        <f t="shared" si="10"/>
        <v>4</v>
      </c>
      <c r="AI35" s="105">
        <v>0</v>
      </c>
      <c r="AJ35" s="105">
        <v>0</v>
      </c>
      <c r="AK35" s="105">
        <v>0</v>
      </c>
      <c r="AL35" s="105">
        <v>0</v>
      </c>
      <c r="AM35" s="260">
        <f t="shared" si="11"/>
        <v>0</v>
      </c>
      <c r="AN35" s="260">
        <f t="shared" si="12"/>
        <v>20</v>
      </c>
      <c r="AO35" s="130">
        <f t="shared" si="13"/>
        <v>0.2</v>
      </c>
      <c r="AP35" s="440">
        <v>0</v>
      </c>
      <c r="AQ35" s="261">
        <f t="shared" si="14"/>
        <v>0</v>
      </c>
      <c r="AR35" s="261">
        <f t="shared" si="15"/>
        <v>25</v>
      </c>
      <c r="AS35" s="107">
        <f t="shared" si="16"/>
        <v>1</v>
      </c>
      <c r="AT35" s="105">
        <v>0</v>
      </c>
      <c r="AU35" s="105">
        <v>1</v>
      </c>
      <c r="AV35" s="262">
        <f t="shared" si="17"/>
        <v>25</v>
      </c>
      <c r="AW35" s="134">
        <v>0</v>
      </c>
      <c r="AX35" s="134"/>
      <c r="AY35" s="262">
        <f t="shared" si="18"/>
        <v>0</v>
      </c>
      <c r="AZ35" s="262">
        <f t="shared" si="19"/>
        <v>25</v>
      </c>
      <c r="BA35" s="38">
        <f t="shared" si="20"/>
        <v>0.25</v>
      </c>
      <c r="BB35" s="105">
        <v>0</v>
      </c>
      <c r="BC35" s="105">
        <v>0</v>
      </c>
      <c r="BD35" s="105">
        <v>0</v>
      </c>
      <c r="BE35" s="262">
        <f t="shared" si="21"/>
        <v>0</v>
      </c>
      <c r="BF35" s="262">
        <f t="shared" si="22"/>
        <v>50</v>
      </c>
      <c r="BG35" s="38">
        <f t="shared" si="23"/>
        <v>0.5</v>
      </c>
      <c r="BH35" s="255">
        <f t="shared" si="24"/>
        <v>111863764</v>
      </c>
      <c r="BI35" s="256">
        <f t="shared" si="25"/>
        <v>2.7228310520630803</v>
      </c>
      <c r="BJ35" s="256">
        <f t="shared" si="26"/>
        <v>45.4212328904731</v>
      </c>
      <c r="BK35" s="55">
        <f t="shared" si="27"/>
        <v>0.90842465780946202</v>
      </c>
      <c r="BL35" s="137">
        <f t="shared" si="28"/>
        <v>8.8584246578094614</v>
      </c>
    </row>
    <row r="36" spans="1:64" x14ac:dyDescent="0.6">
      <c r="A36" s="214" t="s">
        <v>458</v>
      </c>
      <c r="B36" s="13" t="s">
        <v>2013</v>
      </c>
      <c r="C36" s="219" t="s">
        <v>410</v>
      </c>
      <c r="D36" s="221" t="s">
        <v>350</v>
      </c>
      <c r="E36" s="217" t="s">
        <v>179</v>
      </c>
      <c r="F36" s="217" t="s">
        <v>186</v>
      </c>
      <c r="G36" s="218">
        <v>27667</v>
      </c>
      <c r="H36" s="217" t="s">
        <v>830</v>
      </c>
      <c r="I36" s="217" t="s">
        <v>723</v>
      </c>
      <c r="J36" s="217" t="s">
        <v>1005</v>
      </c>
      <c r="K36" s="217" t="s">
        <v>91</v>
      </c>
      <c r="L36" s="220">
        <v>50402862000</v>
      </c>
      <c r="M36" s="206">
        <v>43550273000</v>
      </c>
      <c r="N36" s="206">
        <v>6852589000</v>
      </c>
      <c r="O36" s="206">
        <v>10731117000</v>
      </c>
      <c r="P36" s="206">
        <v>550151000</v>
      </c>
      <c r="Q36" s="206">
        <v>480268000</v>
      </c>
      <c r="R36" s="206">
        <v>338500000</v>
      </c>
      <c r="S36" s="105">
        <v>1</v>
      </c>
      <c r="T36" s="254">
        <f t="shared" si="0"/>
        <v>100</v>
      </c>
      <c r="U36" s="107">
        <f t="shared" si="1"/>
        <v>1</v>
      </c>
      <c r="V36" s="45">
        <v>1049</v>
      </c>
      <c r="W36" s="45">
        <f>527+99+431</f>
        <v>1057</v>
      </c>
      <c r="X36" s="255">
        <f t="shared" si="2"/>
        <v>8</v>
      </c>
      <c r="Y36" s="255">
        <f t="shared" si="3"/>
        <v>-9</v>
      </c>
      <c r="Z36" s="256">
        <f t="shared" si="4"/>
        <v>800</v>
      </c>
      <c r="AA36" s="257">
        <f t="shared" si="5"/>
        <v>100</v>
      </c>
      <c r="AB36" s="116">
        <f t="shared" si="6"/>
        <v>1</v>
      </c>
      <c r="AC36" s="123">
        <v>2212</v>
      </c>
      <c r="AD36" s="123">
        <v>2203</v>
      </c>
      <c r="AE36" s="257">
        <f t="shared" si="7"/>
        <v>-9</v>
      </c>
      <c r="AF36" s="258">
        <f t="shared" si="8"/>
        <v>-0.40687160940325501</v>
      </c>
      <c r="AG36" s="257">
        <f t="shared" si="9"/>
        <v>20</v>
      </c>
      <c r="AH36" s="124">
        <f t="shared" si="10"/>
        <v>0.8</v>
      </c>
      <c r="AI36" s="105">
        <v>0</v>
      </c>
      <c r="AJ36" s="105">
        <v>0</v>
      </c>
      <c r="AK36" s="105">
        <v>0</v>
      </c>
      <c r="AL36" s="105">
        <v>0</v>
      </c>
      <c r="AM36" s="260">
        <f t="shared" si="11"/>
        <v>0</v>
      </c>
      <c r="AN36" s="260">
        <f t="shared" si="12"/>
        <v>20</v>
      </c>
      <c r="AO36" s="130">
        <f t="shared" si="13"/>
        <v>0.2</v>
      </c>
      <c r="AP36" s="106">
        <v>3164000</v>
      </c>
      <c r="AQ36" s="261">
        <f t="shared" si="14"/>
        <v>0.93471196454948302</v>
      </c>
      <c r="AR36" s="261">
        <f t="shared" si="15"/>
        <v>39.020679468242243</v>
      </c>
      <c r="AS36" s="107">
        <f t="shared" si="16"/>
        <v>1.5608271787296897</v>
      </c>
      <c r="AT36" s="105">
        <v>0</v>
      </c>
      <c r="AU36" s="105">
        <v>1</v>
      </c>
      <c r="AV36" s="262">
        <f t="shared" si="17"/>
        <v>25</v>
      </c>
      <c r="AW36" s="134">
        <v>0</v>
      </c>
      <c r="AX36" s="134"/>
      <c r="AY36" s="262">
        <f t="shared" si="18"/>
        <v>0</v>
      </c>
      <c r="AZ36" s="262">
        <f t="shared" si="19"/>
        <v>25</v>
      </c>
      <c r="BA36" s="38">
        <f t="shared" si="20"/>
        <v>0.25</v>
      </c>
      <c r="BB36" s="105">
        <v>0</v>
      </c>
      <c r="BC36" s="105">
        <v>0</v>
      </c>
      <c r="BD36" s="105">
        <v>0</v>
      </c>
      <c r="BE36" s="262">
        <f t="shared" si="21"/>
        <v>0</v>
      </c>
      <c r="BF36" s="262">
        <f t="shared" si="22"/>
        <v>50</v>
      </c>
      <c r="BG36" s="38">
        <f t="shared" si="23"/>
        <v>0.5</v>
      </c>
      <c r="BH36" s="255">
        <f t="shared" si="24"/>
        <v>141768000</v>
      </c>
      <c r="BI36" s="256">
        <f t="shared" si="25"/>
        <v>1.3210926691042508</v>
      </c>
      <c r="BJ36" s="256">
        <f t="shared" si="26"/>
        <v>34.90819501828188</v>
      </c>
      <c r="BK36" s="55">
        <f t="shared" si="27"/>
        <v>0.69816390036563758</v>
      </c>
      <c r="BL36" s="137">
        <f t="shared" si="28"/>
        <v>6.0089910790953267</v>
      </c>
    </row>
    <row r="37" spans="1:64" x14ac:dyDescent="0.6">
      <c r="A37" s="214" t="s">
        <v>307</v>
      </c>
      <c r="B37" s="13" t="s">
        <v>2014</v>
      </c>
      <c r="C37" s="219" t="s">
        <v>68</v>
      </c>
      <c r="D37" s="216" t="s">
        <v>203</v>
      </c>
      <c r="E37" s="217" t="s">
        <v>195</v>
      </c>
      <c r="F37" s="217" t="s">
        <v>967</v>
      </c>
      <c r="G37" s="218">
        <v>27573</v>
      </c>
      <c r="H37" s="217" t="s">
        <v>830</v>
      </c>
      <c r="I37" s="217" t="s">
        <v>1515</v>
      </c>
      <c r="J37" s="217" t="s">
        <v>1085</v>
      </c>
      <c r="K37" s="217" t="s">
        <v>91</v>
      </c>
      <c r="L37" s="220">
        <v>397444643</v>
      </c>
      <c r="M37" s="206">
        <v>209249323</v>
      </c>
      <c r="N37" s="206">
        <v>188195320</v>
      </c>
      <c r="O37" s="206">
        <v>355390202</v>
      </c>
      <c r="P37" s="206">
        <v>67734933</v>
      </c>
      <c r="Q37" s="206">
        <v>63871175</v>
      </c>
      <c r="R37" s="206">
        <v>48789612</v>
      </c>
      <c r="S37" s="105">
        <v>1</v>
      </c>
      <c r="T37" s="254">
        <f t="shared" si="0"/>
        <v>100</v>
      </c>
      <c r="U37" s="107">
        <f t="shared" si="1"/>
        <v>1</v>
      </c>
      <c r="V37" s="45">
        <v>22</v>
      </c>
      <c r="W37" s="45">
        <v>23</v>
      </c>
      <c r="X37" s="255">
        <f t="shared" si="2"/>
        <v>1</v>
      </c>
      <c r="Y37" s="255">
        <f t="shared" si="3"/>
        <v>5</v>
      </c>
      <c r="Z37" s="256">
        <f t="shared" si="4"/>
        <v>20</v>
      </c>
      <c r="AA37" s="257">
        <f t="shared" si="5"/>
        <v>60</v>
      </c>
      <c r="AB37" s="116">
        <f t="shared" si="6"/>
        <v>0.6</v>
      </c>
      <c r="AC37" s="123">
        <v>221</v>
      </c>
      <c r="AD37" s="123">
        <v>226</v>
      </c>
      <c r="AE37" s="257">
        <f t="shared" si="7"/>
        <v>5</v>
      </c>
      <c r="AF37" s="258">
        <f t="shared" si="8"/>
        <v>2.2624434389140271</v>
      </c>
      <c r="AG37" s="257">
        <f t="shared" si="9"/>
        <v>80</v>
      </c>
      <c r="AH37" s="124">
        <f t="shared" si="10"/>
        <v>3.2</v>
      </c>
      <c r="AI37" s="105">
        <v>0</v>
      </c>
      <c r="AJ37" s="105">
        <v>0</v>
      </c>
      <c r="AK37" s="105">
        <v>0</v>
      </c>
      <c r="AL37" s="105">
        <v>0</v>
      </c>
      <c r="AM37" s="260">
        <f t="shared" si="11"/>
        <v>0</v>
      </c>
      <c r="AN37" s="260">
        <f t="shared" si="12"/>
        <v>20</v>
      </c>
      <c r="AO37" s="130">
        <f t="shared" si="13"/>
        <v>0.2</v>
      </c>
      <c r="AP37" s="440">
        <v>0</v>
      </c>
      <c r="AQ37" s="261">
        <f t="shared" si="14"/>
        <v>0</v>
      </c>
      <c r="AR37" s="261">
        <f t="shared" si="15"/>
        <v>25</v>
      </c>
      <c r="AS37" s="107">
        <f t="shared" si="16"/>
        <v>1</v>
      </c>
      <c r="AT37" s="105">
        <v>0</v>
      </c>
      <c r="AU37" s="105">
        <v>1</v>
      </c>
      <c r="AV37" s="262">
        <f t="shared" si="17"/>
        <v>25</v>
      </c>
      <c r="AW37" s="134">
        <v>0</v>
      </c>
      <c r="AX37" s="134"/>
      <c r="AY37" s="262">
        <f t="shared" si="18"/>
        <v>0</v>
      </c>
      <c r="AZ37" s="262">
        <f t="shared" si="19"/>
        <v>25</v>
      </c>
      <c r="BA37" s="38">
        <f t="shared" si="20"/>
        <v>0.25</v>
      </c>
      <c r="BB37" s="105">
        <v>0</v>
      </c>
      <c r="BC37" s="105">
        <v>0</v>
      </c>
      <c r="BD37" s="105">
        <v>0</v>
      </c>
      <c r="BE37" s="262">
        <f t="shared" si="21"/>
        <v>0</v>
      </c>
      <c r="BF37" s="262">
        <f t="shared" si="22"/>
        <v>50</v>
      </c>
      <c r="BG37" s="38">
        <f t="shared" si="23"/>
        <v>0.5</v>
      </c>
      <c r="BH37" s="255">
        <f t="shared" si="24"/>
        <v>15081563</v>
      </c>
      <c r="BI37" s="256">
        <f t="shared" si="25"/>
        <v>4.2436631384677286</v>
      </c>
      <c r="BJ37" s="256">
        <f t="shared" si="26"/>
        <v>56.827473538507959</v>
      </c>
      <c r="BK37" s="55">
        <f t="shared" si="27"/>
        <v>1.1365494707701591</v>
      </c>
      <c r="BL37" s="137">
        <f t="shared" si="28"/>
        <v>7.8865494707701602</v>
      </c>
    </row>
    <row r="38" spans="1:64" ht="17.649999999999999" x14ac:dyDescent="0.6">
      <c r="A38" s="214" t="s">
        <v>1516</v>
      </c>
      <c r="B38" s="13" t="s">
        <v>2015</v>
      </c>
      <c r="C38" s="219" t="s">
        <v>1517</v>
      </c>
      <c r="D38" s="14" t="s">
        <v>203</v>
      </c>
      <c r="E38" s="217" t="s">
        <v>246</v>
      </c>
      <c r="F38" s="217" t="s">
        <v>1518</v>
      </c>
      <c r="G38" s="218">
        <v>44417</v>
      </c>
      <c r="H38" s="217" t="s">
        <v>830</v>
      </c>
      <c r="I38" s="217" t="s">
        <v>1519</v>
      </c>
      <c r="J38" s="1" t="s">
        <v>3664</v>
      </c>
      <c r="K38" s="217" t="s">
        <v>317</v>
      </c>
      <c r="L38" s="220">
        <v>498996616</v>
      </c>
      <c r="M38" s="206">
        <v>157543399</v>
      </c>
      <c r="N38" s="206">
        <v>341453217</v>
      </c>
      <c r="O38" s="206">
        <v>276440430</v>
      </c>
      <c r="P38" s="206">
        <v>52135090</v>
      </c>
      <c r="Q38" s="206">
        <v>53978399</v>
      </c>
      <c r="R38" s="206">
        <v>45710486</v>
      </c>
      <c r="S38" s="105">
        <v>1</v>
      </c>
      <c r="T38" s="254">
        <f t="shared" si="0"/>
        <v>100</v>
      </c>
      <c r="U38" s="107">
        <f t="shared" si="1"/>
        <v>1</v>
      </c>
      <c r="V38" s="45">
        <v>20</v>
      </c>
      <c r="W38" s="45">
        <v>22</v>
      </c>
      <c r="X38" s="255">
        <f t="shared" si="2"/>
        <v>2</v>
      </c>
      <c r="Y38" s="255">
        <f t="shared" si="3"/>
        <v>19</v>
      </c>
      <c r="Z38" s="256">
        <f t="shared" si="4"/>
        <v>10.526315789473683</v>
      </c>
      <c r="AA38" s="257">
        <f t="shared" si="5"/>
        <v>40</v>
      </c>
      <c r="AB38" s="116">
        <f t="shared" si="6"/>
        <v>0.4</v>
      </c>
      <c r="AC38" s="123">
        <v>300</v>
      </c>
      <c r="AD38" s="123">
        <v>319</v>
      </c>
      <c r="AE38" s="257">
        <f t="shared" si="7"/>
        <v>19</v>
      </c>
      <c r="AF38" s="258">
        <f t="shared" si="8"/>
        <v>6.3333333333333339</v>
      </c>
      <c r="AG38" s="257">
        <f t="shared" si="9"/>
        <v>100</v>
      </c>
      <c r="AH38" s="124">
        <f t="shared" si="10"/>
        <v>4</v>
      </c>
      <c r="AI38" s="105">
        <v>0</v>
      </c>
      <c r="AJ38" s="105">
        <v>0</v>
      </c>
      <c r="AK38" s="105">
        <v>0</v>
      </c>
      <c r="AL38" s="105">
        <v>0</v>
      </c>
      <c r="AM38" s="260">
        <f t="shared" si="11"/>
        <v>0</v>
      </c>
      <c r="AN38" s="260">
        <f t="shared" si="12"/>
        <v>20</v>
      </c>
      <c r="AO38" s="130">
        <f t="shared" si="13"/>
        <v>0.2</v>
      </c>
      <c r="AP38" s="106">
        <v>47557</v>
      </c>
      <c r="AQ38" s="261">
        <f t="shared" si="14"/>
        <v>0.10403958514026738</v>
      </c>
      <c r="AR38" s="261">
        <f t="shared" si="15"/>
        <v>26.56059377710401</v>
      </c>
      <c r="AS38" s="107">
        <f t="shared" si="16"/>
        <v>1.0624237510841605</v>
      </c>
      <c r="AT38" s="105">
        <v>0</v>
      </c>
      <c r="AU38" s="105">
        <v>1</v>
      </c>
      <c r="AV38" s="262">
        <f t="shared" si="17"/>
        <v>25</v>
      </c>
      <c r="AW38" s="134">
        <v>7</v>
      </c>
      <c r="AX38" s="447" t="s">
        <v>3666</v>
      </c>
      <c r="AY38" s="262">
        <f t="shared" si="18"/>
        <v>50</v>
      </c>
      <c r="AZ38" s="262">
        <f t="shared" si="19"/>
        <v>75</v>
      </c>
      <c r="BA38" s="38">
        <f t="shared" si="20"/>
        <v>0.75</v>
      </c>
      <c r="BB38" s="105">
        <v>0</v>
      </c>
      <c r="BC38" s="105">
        <v>0</v>
      </c>
      <c r="BD38" s="105">
        <v>0</v>
      </c>
      <c r="BE38" s="262">
        <f t="shared" si="21"/>
        <v>0</v>
      </c>
      <c r="BF38" s="262">
        <f t="shared" si="22"/>
        <v>50</v>
      </c>
      <c r="BG38" s="38">
        <f t="shared" si="23"/>
        <v>0.5</v>
      </c>
      <c r="BH38" s="255">
        <f t="shared" si="24"/>
        <v>8267913</v>
      </c>
      <c r="BI38" s="256">
        <f t="shared" si="25"/>
        <v>2.9908479740101694</v>
      </c>
      <c r="BJ38" s="256">
        <f t="shared" si="26"/>
        <v>47.431359805076269</v>
      </c>
      <c r="BK38" s="55">
        <f t="shared" si="27"/>
        <v>0.94862719610152535</v>
      </c>
      <c r="BL38" s="137">
        <f t="shared" si="28"/>
        <v>8.8610509471856851</v>
      </c>
    </row>
    <row r="39" spans="1:64" x14ac:dyDescent="0.6">
      <c r="A39" s="214" t="s">
        <v>1521</v>
      </c>
      <c r="B39" s="13" t="s">
        <v>2016</v>
      </c>
      <c r="C39" s="219" t="s">
        <v>1522</v>
      </c>
      <c r="D39" s="14" t="s">
        <v>202</v>
      </c>
      <c r="E39" s="217" t="s">
        <v>1523</v>
      </c>
      <c r="F39" s="217" t="s">
        <v>1524</v>
      </c>
      <c r="G39" s="218">
        <v>33975</v>
      </c>
      <c r="H39" s="217" t="s">
        <v>830</v>
      </c>
      <c r="I39" s="217" t="s">
        <v>1525</v>
      </c>
      <c r="J39" s="1" t="s">
        <v>3665</v>
      </c>
      <c r="K39" s="217" t="s">
        <v>91</v>
      </c>
      <c r="L39" s="220">
        <v>1689083868</v>
      </c>
      <c r="M39" s="206">
        <v>1058363402</v>
      </c>
      <c r="N39" s="206">
        <v>630720466</v>
      </c>
      <c r="O39" s="206">
        <v>903462137</v>
      </c>
      <c r="P39" s="206">
        <v>135794969</v>
      </c>
      <c r="Q39" s="206">
        <v>110455021</v>
      </c>
      <c r="R39" s="206">
        <v>82620907</v>
      </c>
      <c r="S39" s="105">
        <v>1</v>
      </c>
      <c r="T39" s="254">
        <f t="shared" si="0"/>
        <v>100</v>
      </c>
      <c r="U39" s="107">
        <f t="shared" si="1"/>
        <v>1</v>
      </c>
      <c r="V39" s="45">
        <f>8+2+7</f>
        <v>17</v>
      </c>
      <c r="W39" s="45">
        <f>10+2+8</f>
        <v>20</v>
      </c>
      <c r="X39" s="255">
        <f t="shared" si="2"/>
        <v>3</v>
      </c>
      <c r="Y39" s="255">
        <f t="shared" si="3"/>
        <v>-6</v>
      </c>
      <c r="Z39" s="256">
        <f t="shared" si="4"/>
        <v>300</v>
      </c>
      <c r="AA39" s="257">
        <f t="shared" si="5"/>
        <v>100</v>
      </c>
      <c r="AB39" s="116">
        <f t="shared" si="6"/>
        <v>1</v>
      </c>
      <c r="AC39" s="123">
        <v>202</v>
      </c>
      <c r="AD39" s="123">
        <v>196</v>
      </c>
      <c r="AE39" s="257">
        <f t="shared" si="7"/>
        <v>-6</v>
      </c>
      <c r="AF39" s="258">
        <f t="shared" si="8"/>
        <v>-2.9702970297029703</v>
      </c>
      <c r="AG39" s="257">
        <f t="shared" si="9"/>
        <v>20</v>
      </c>
      <c r="AH39" s="124">
        <f t="shared" si="10"/>
        <v>0.8</v>
      </c>
      <c r="AI39" s="105">
        <v>0</v>
      </c>
      <c r="AJ39" s="105">
        <v>0</v>
      </c>
      <c r="AK39" s="105">
        <v>0</v>
      </c>
      <c r="AL39" s="105">
        <v>0</v>
      </c>
      <c r="AM39" s="260">
        <f t="shared" si="11"/>
        <v>0</v>
      </c>
      <c r="AN39" s="260">
        <f t="shared" si="12"/>
        <v>20</v>
      </c>
      <c r="AO39" s="130">
        <f t="shared" si="13"/>
        <v>0.2</v>
      </c>
      <c r="AP39" s="106">
        <v>156642</v>
      </c>
      <c r="AQ39" s="261">
        <f t="shared" si="14"/>
        <v>0.18959123748181558</v>
      </c>
      <c r="AR39" s="261">
        <f t="shared" si="15"/>
        <v>27.843868562227232</v>
      </c>
      <c r="AS39" s="107">
        <f t="shared" si="16"/>
        <v>1.1137547424890892</v>
      </c>
      <c r="AT39" s="105">
        <v>0</v>
      </c>
      <c r="AU39" s="105">
        <v>1</v>
      </c>
      <c r="AV39" s="262">
        <f t="shared" si="17"/>
        <v>25</v>
      </c>
      <c r="AW39" s="134">
        <v>5</v>
      </c>
      <c r="AX39" s="447" t="s">
        <v>3667</v>
      </c>
      <c r="AY39" s="262">
        <f t="shared" si="18"/>
        <v>50</v>
      </c>
      <c r="AZ39" s="262">
        <f t="shared" si="19"/>
        <v>75</v>
      </c>
      <c r="BA39" s="38">
        <f t="shared" si="20"/>
        <v>0.75</v>
      </c>
      <c r="BB39" s="105">
        <v>0</v>
      </c>
      <c r="BC39" s="105">
        <v>0</v>
      </c>
      <c r="BD39" s="105">
        <v>0</v>
      </c>
      <c r="BE39" s="262">
        <f t="shared" si="21"/>
        <v>0</v>
      </c>
      <c r="BF39" s="262">
        <f t="shared" si="22"/>
        <v>50</v>
      </c>
      <c r="BG39" s="38">
        <f t="shared" si="23"/>
        <v>0.5</v>
      </c>
      <c r="BH39" s="255">
        <f t="shared" si="24"/>
        <v>27834114</v>
      </c>
      <c r="BI39" s="256">
        <f t="shared" si="25"/>
        <v>3.080827946196488</v>
      </c>
      <c r="BJ39" s="256">
        <f t="shared" si="26"/>
        <v>48.106209596473661</v>
      </c>
      <c r="BK39" s="55">
        <f t="shared" si="27"/>
        <v>0.96212419192947329</v>
      </c>
      <c r="BL39" s="137">
        <f t="shared" si="28"/>
        <v>6.3258789344185624</v>
      </c>
    </row>
    <row r="40" spans="1:64" x14ac:dyDescent="0.6">
      <c r="A40" s="214" t="s">
        <v>1527</v>
      </c>
      <c r="B40" s="13" t="s">
        <v>2017</v>
      </c>
      <c r="C40" s="219" t="s">
        <v>1528</v>
      </c>
      <c r="D40" s="14" t="s">
        <v>203</v>
      </c>
      <c r="E40" s="217" t="s">
        <v>195</v>
      </c>
      <c r="F40" s="217" t="s">
        <v>1529</v>
      </c>
      <c r="G40" s="218">
        <v>32470</v>
      </c>
      <c r="H40" s="217" t="s">
        <v>830</v>
      </c>
      <c r="I40" s="217" t="s">
        <v>1530</v>
      </c>
      <c r="J40" s="1" t="s">
        <v>3668</v>
      </c>
      <c r="K40" s="217" t="s">
        <v>690</v>
      </c>
      <c r="L40" s="220">
        <v>88291972</v>
      </c>
      <c r="M40" s="206">
        <v>36836002</v>
      </c>
      <c r="N40" s="206">
        <v>51455970</v>
      </c>
      <c r="O40" s="206">
        <v>125263993</v>
      </c>
      <c r="P40" s="206">
        <v>14179053</v>
      </c>
      <c r="Q40" s="206">
        <v>13787797</v>
      </c>
      <c r="R40" s="206">
        <v>10819014</v>
      </c>
      <c r="S40" s="105">
        <v>1</v>
      </c>
      <c r="T40" s="254">
        <f t="shared" si="0"/>
        <v>100</v>
      </c>
      <c r="U40" s="107">
        <f t="shared" si="1"/>
        <v>1</v>
      </c>
      <c r="V40" s="45">
        <v>6</v>
      </c>
      <c r="W40" s="45">
        <v>7</v>
      </c>
      <c r="X40" s="255">
        <f t="shared" si="2"/>
        <v>1</v>
      </c>
      <c r="Y40" s="255">
        <f t="shared" si="3"/>
        <v>-6</v>
      </c>
      <c r="Z40" s="256">
        <f t="shared" si="4"/>
        <v>100</v>
      </c>
      <c r="AA40" s="257">
        <f t="shared" si="5"/>
        <v>100</v>
      </c>
      <c r="AB40" s="116">
        <f t="shared" si="6"/>
        <v>1</v>
      </c>
      <c r="AC40" s="123">
        <v>71</v>
      </c>
      <c r="AD40" s="123">
        <v>65</v>
      </c>
      <c r="AE40" s="257">
        <f t="shared" si="7"/>
        <v>-6</v>
      </c>
      <c r="AF40" s="258">
        <f t="shared" si="8"/>
        <v>-8.4507042253521121</v>
      </c>
      <c r="AG40" s="257">
        <f t="shared" si="9"/>
        <v>20</v>
      </c>
      <c r="AH40" s="124">
        <f t="shared" si="10"/>
        <v>0.8</v>
      </c>
      <c r="AI40" s="105">
        <v>0</v>
      </c>
      <c r="AJ40" s="105">
        <v>0</v>
      </c>
      <c r="AK40" s="105">
        <v>0</v>
      </c>
      <c r="AL40" s="105">
        <v>0</v>
      </c>
      <c r="AM40" s="260">
        <f t="shared" si="11"/>
        <v>0</v>
      </c>
      <c r="AN40" s="260">
        <f t="shared" si="12"/>
        <v>20</v>
      </c>
      <c r="AO40" s="130">
        <f t="shared" si="13"/>
        <v>0.2</v>
      </c>
      <c r="AP40" s="440">
        <v>0</v>
      </c>
      <c r="AQ40" s="261">
        <f t="shared" si="14"/>
        <v>0</v>
      </c>
      <c r="AR40" s="261">
        <f t="shared" si="15"/>
        <v>25</v>
      </c>
      <c r="AS40" s="107">
        <f t="shared" si="16"/>
        <v>1</v>
      </c>
      <c r="AT40" s="105">
        <v>0</v>
      </c>
      <c r="AU40" s="105">
        <v>0</v>
      </c>
      <c r="AV40" s="262">
        <f t="shared" si="17"/>
        <v>0</v>
      </c>
      <c r="AW40" s="134">
        <v>0</v>
      </c>
      <c r="AX40" s="134"/>
      <c r="AY40" s="262">
        <f t="shared" si="18"/>
        <v>0</v>
      </c>
      <c r="AZ40" s="262">
        <f t="shared" si="19"/>
        <v>0</v>
      </c>
      <c r="BA40" s="38">
        <f t="shared" si="20"/>
        <v>0</v>
      </c>
      <c r="BB40" s="105">
        <v>0</v>
      </c>
      <c r="BC40" s="105">
        <v>0</v>
      </c>
      <c r="BD40" s="105">
        <v>0</v>
      </c>
      <c r="BE40" s="262">
        <f t="shared" si="21"/>
        <v>0</v>
      </c>
      <c r="BF40" s="262">
        <f t="shared" si="22"/>
        <v>50</v>
      </c>
      <c r="BG40" s="38">
        <f t="shared" si="23"/>
        <v>0.5</v>
      </c>
      <c r="BH40" s="255">
        <f t="shared" si="24"/>
        <v>2968783</v>
      </c>
      <c r="BI40" s="256">
        <f t="shared" si="25"/>
        <v>2.3700210482672386</v>
      </c>
      <c r="BJ40" s="256">
        <f t="shared" si="26"/>
        <v>42.775157862004292</v>
      </c>
      <c r="BK40" s="55">
        <f t="shared" si="27"/>
        <v>0.85550315724008585</v>
      </c>
      <c r="BL40" s="137">
        <f t="shared" si="28"/>
        <v>5.3555031572400855</v>
      </c>
    </row>
    <row r="41" spans="1:64" x14ac:dyDescent="0.6">
      <c r="A41" s="214" t="s">
        <v>550</v>
      </c>
      <c r="B41" s="13" t="s">
        <v>2018</v>
      </c>
      <c r="C41" s="219" t="s">
        <v>892</v>
      </c>
      <c r="D41" s="216" t="s">
        <v>203</v>
      </c>
      <c r="E41" s="217" t="s">
        <v>195</v>
      </c>
      <c r="F41" s="217" t="s">
        <v>174</v>
      </c>
      <c r="G41" s="218">
        <v>32718</v>
      </c>
      <c r="H41" s="217" t="s">
        <v>830</v>
      </c>
      <c r="I41" s="217" t="s">
        <v>780</v>
      </c>
      <c r="J41" s="217" t="s">
        <v>1024</v>
      </c>
      <c r="K41" s="217" t="s">
        <v>346</v>
      </c>
      <c r="L41" s="220">
        <v>784010055</v>
      </c>
      <c r="M41" s="206">
        <v>266944685</v>
      </c>
      <c r="N41" s="206">
        <v>517065370</v>
      </c>
      <c r="O41" s="206">
        <v>504474738</v>
      </c>
      <c r="P41" s="206">
        <v>87061651</v>
      </c>
      <c r="Q41" s="206">
        <v>64111344</v>
      </c>
      <c r="R41" s="206">
        <v>47519888</v>
      </c>
      <c r="S41" s="105">
        <v>1</v>
      </c>
      <c r="T41" s="254">
        <f t="shared" si="0"/>
        <v>100</v>
      </c>
      <c r="U41" s="107">
        <f t="shared" si="1"/>
        <v>1</v>
      </c>
      <c r="V41" s="45">
        <v>29</v>
      </c>
      <c r="W41" s="45">
        <f>24+7</f>
        <v>31</v>
      </c>
      <c r="X41" s="255">
        <f t="shared" si="2"/>
        <v>2</v>
      </c>
      <c r="Y41" s="255">
        <f t="shared" si="3"/>
        <v>18</v>
      </c>
      <c r="Z41" s="256">
        <f t="shared" si="4"/>
        <v>11.111111111111111</v>
      </c>
      <c r="AA41" s="257">
        <f t="shared" si="5"/>
        <v>40</v>
      </c>
      <c r="AB41" s="116">
        <f t="shared" si="6"/>
        <v>0.4</v>
      </c>
      <c r="AC41" s="123">
        <v>479</v>
      </c>
      <c r="AD41" s="123">
        <v>497</v>
      </c>
      <c r="AE41" s="257">
        <f t="shared" si="7"/>
        <v>18</v>
      </c>
      <c r="AF41" s="258">
        <f t="shared" si="8"/>
        <v>3.7578288100208765</v>
      </c>
      <c r="AG41" s="257">
        <f t="shared" si="9"/>
        <v>100</v>
      </c>
      <c r="AH41" s="124">
        <f t="shared" si="10"/>
        <v>4</v>
      </c>
      <c r="AI41" s="105">
        <v>0</v>
      </c>
      <c r="AJ41" s="105">
        <v>0</v>
      </c>
      <c r="AK41" s="105">
        <v>0</v>
      </c>
      <c r="AL41" s="105">
        <v>0</v>
      </c>
      <c r="AM41" s="260">
        <f t="shared" si="11"/>
        <v>0</v>
      </c>
      <c r="AN41" s="260">
        <f t="shared" si="12"/>
        <v>20</v>
      </c>
      <c r="AO41" s="130">
        <f t="shared" si="13"/>
        <v>0.2</v>
      </c>
      <c r="AP41" s="106">
        <v>2223604</v>
      </c>
      <c r="AQ41" s="261">
        <f t="shared" si="14"/>
        <v>4.6793123754837129</v>
      </c>
      <c r="AR41" s="261">
        <f t="shared" si="15"/>
        <v>95.189685632255689</v>
      </c>
      <c r="AS41" s="107">
        <f t="shared" si="16"/>
        <v>3.8075874252902278</v>
      </c>
      <c r="AT41" s="105">
        <v>0</v>
      </c>
      <c r="AU41" s="105">
        <v>1</v>
      </c>
      <c r="AV41" s="262">
        <f t="shared" si="17"/>
        <v>25</v>
      </c>
      <c r="AW41" s="134">
        <v>0</v>
      </c>
      <c r="AX41" s="134"/>
      <c r="AY41" s="262">
        <f t="shared" si="18"/>
        <v>0</v>
      </c>
      <c r="AZ41" s="262">
        <f t="shared" si="19"/>
        <v>25</v>
      </c>
      <c r="BA41" s="38">
        <f t="shared" si="20"/>
        <v>0.25</v>
      </c>
      <c r="BB41" s="105">
        <v>0</v>
      </c>
      <c r="BC41" s="105">
        <v>0</v>
      </c>
      <c r="BD41" s="105">
        <v>0</v>
      </c>
      <c r="BE41" s="262">
        <f t="shared" si="21"/>
        <v>0</v>
      </c>
      <c r="BF41" s="262">
        <f t="shared" si="22"/>
        <v>50</v>
      </c>
      <c r="BG41" s="38">
        <f t="shared" si="23"/>
        <v>0.5</v>
      </c>
      <c r="BH41" s="255">
        <f t="shared" si="24"/>
        <v>16591456</v>
      </c>
      <c r="BI41" s="256">
        <f t="shared" si="25"/>
        <v>3.2888576474170246</v>
      </c>
      <c r="BJ41" s="256">
        <f t="shared" si="26"/>
        <v>49.666432355627684</v>
      </c>
      <c r="BK41" s="55">
        <f t="shared" si="27"/>
        <v>0.99332864711255375</v>
      </c>
      <c r="BL41" s="137">
        <f t="shared" si="28"/>
        <v>11.150916072402781</v>
      </c>
    </row>
    <row r="42" spans="1:64" x14ac:dyDescent="0.6">
      <c r="A42" s="214" t="s">
        <v>1532</v>
      </c>
      <c r="B42" s="13" t="s">
        <v>2019</v>
      </c>
      <c r="C42" s="219" t="s">
        <v>457</v>
      </c>
      <c r="D42" s="216" t="s">
        <v>285</v>
      </c>
      <c r="E42" s="217" t="s">
        <v>171</v>
      </c>
      <c r="F42" s="217" t="s">
        <v>1031</v>
      </c>
      <c r="G42" s="218">
        <v>35669</v>
      </c>
      <c r="H42" s="217" t="s">
        <v>830</v>
      </c>
      <c r="I42" s="217" t="s">
        <v>728</v>
      </c>
      <c r="J42" s="217" t="s">
        <v>1043</v>
      </c>
      <c r="K42" s="217" t="s">
        <v>690</v>
      </c>
      <c r="L42" s="220">
        <v>4987103374</v>
      </c>
      <c r="M42" s="206">
        <v>2920774145</v>
      </c>
      <c r="N42" s="206">
        <v>2066329229</v>
      </c>
      <c r="O42" s="206">
        <v>6978937449</v>
      </c>
      <c r="P42" s="206">
        <v>427890389</v>
      </c>
      <c r="Q42" s="206">
        <v>355031852</v>
      </c>
      <c r="R42" s="206">
        <v>268904384</v>
      </c>
      <c r="S42" s="105">
        <v>1</v>
      </c>
      <c r="T42" s="254">
        <f t="shared" si="0"/>
        <v>100</v>
      </c>
      <c r="U42" s="107">
        <f t="shared" si="1"/>
        <v>1</v>
      </c>
      <c r="V42" s="45">
        <v>91</v>
      </c>
      <c r="W42" s="45">
        <v>106</v>
      </c>
      <c r="X42" s="255">
        <f t="shared" si="2"/>
        <v>15</v>
      </c>
      <c r="Y42" s="255">
        <f t="shared" si="3"/>
        <v>31</v>
      </c>
      <c r="Z42" s="256">
        <f t="shared" si="4"/>
        <v>48.387096774193552</v>
      </c>
      <c r="AA42" s="257">
        <f t="shared" si="5"/>
        <v>100</v>
      </c>
      <c r="AB42" s="116">
        <f t="shared" si="6"/>
        <v>1</v>
      </c>
      <c r="AC42" s="123">
        <v>531</v>
      </c>
      <c r="AD42" s="123">
        <v>562</v>
      </c>
      <c r="AE42" s="257">
        <f t="shared" si="7"/>
        <v>31</v>
      </c>
      <c r="AF42" s="258">
        <f t="shared" si="8"/>
        <v>5.8380414312617699</v>
      </c>
      <c r="AG42" s="257">
        <f t="shared" si="9"/>
        <v>100</v>
      </c>
      <c r="AH42" s="124">
        <f t="shared" si="10"/>
        <v>4</v>
      </c>
      <c r="AI42" s="105">
        <v>0</v>
      </c>
      <c r="AJ42" s="105">
        <v>0</v>
      </c>
      <c r="AK42" s="105">
        <v>0</v>
      </c>
      <c r="AL42" s="105">
        <v>0</v>
      </c>
      <c r="AM42" s="260">
        <f t="shared" si="11"/>
        <v>0</v>
      </c>
      <c r="AN42" s="260">
        <f t="shared" si="12"/>
        <v>20</v>
      </c>
      <c r="AO42" s="130">
        <f t="shared" si="13"/>
        <v>0.2</v>
      </c>
      <c r="AP42" s="106">
        <v>8101233</v>
      </c>
      <c r="AQ42" s="261">
        <f t="shared" si="14"/>
        <v>3.0126816377973218</v>
      </c>
      <c r="AR42" s="261">
        <f t="shared" si="15"/>
        <v>70.190224566959827</v>
      </c>
      <c r="AS42" s="107">
        <f t="shared" si="16"/>
        <v>2.807608982678393</v>
      </c>
      <c r="AT42" s="105">
        <v>1</v>
      </c>
      <c r="AU42" s="105">
        <v>1</v>
      </c>
      <c r="AV42" s="262">
        <f t="shared" si="17"/>
        <v>50</v>
      </c>
      <c r="AW42" s="134">
        <v>4</v>
      </c>
      <c r="AX42" s="134" t="s">
        <v>3555</v>
      </c>
      <c r="AY42" s="262">
        <f t="shared" si="18"/>
        <v>50</v>
      </c>
      <c r="AZ42" s="262">
        <f t="shared" si="19"/>
        <v>100</v>
      </c>
      <c r="BA42" s="38">
        <f t="shared" si="20"/>
        <v>1</v>
      </c>
      <c r="BB42" s="105">
        <v>0</v>
      </c>
      <c r="BC42" s="105">
        <v>0</v>
      </c>
      <c r="BD42" s="105">
        <v>0</v>
      </c>
      <c r="BE42" s="262">
        <f t="shared" si="21"/>
        <v>0</v>
      </c>
      <c r="BF42" s="262">
        <f t="shared" si="22"/>
        <v>50</v>
      </c>
      <c r="BG42" s="38">
        <f t="shared" si="23"/>
        <v>0.5</v>
      </c>
      <c r="BH42" s="255">
        <f t="shared" si="24"/>
        <v>86127468</v>
      </c>
      <c r="BI42" s="256">
        <f t="shared" si="25"/>
        <v>1.2341057450277197</v>
      </c>
      <c r="BJ42" s="256">
        <f t="shared" si="26"/>
        <v>34.2557930877079</v>
      </c>
      <c r="BK42" s="55">
        <f t="shared" si="27"/>
        <v>0.68511586175415806</v>
      </c>
      <c r="BL42" s="137">
        <f t="shared" si="28"/>
        <v>11.192724844432551</v>
      </c>
    </row>
    <row r="43" spans="1:64" x14ac:dyDescent="0.6">
      <c r="A43" s="214" t="s">
        <v>1533</v>
      </c>
      <c r="B43" s="13" t="s">
        <v>2020</v>
      </c>
      <c r="C43" s="219" t="s">
        <v>450</v>
      </c>
      <c r="D43" s="216" t="s">
        <v>285</v>
      </c>
      <c r="E43" s="217" t="s">
        <v>185</v>
      </c>
      <c r="F43" s="217" t="s">
        <v>175</v>
      </c>
      <c r="G43" s="218">
        <v>41117</v>
      </c>
      <c r="H43" s="217" t="s">
        <v>830</v>
      </c>
      <c r="I43" s="217" t="s">
        <v>732</v>
      </c>
      <c r="J43" s="217" t="s">
        <v>157</v>
      </c>
      <c r="K43" s="217" t="s">
        <v>91</v>
      </c>
      <c r="L43" s="220">
        <v>3341658508</v>
      </c>
      <c r="M43" s="206">
        <v>2823131632</v>
      </c>
      <c r="N43" s="206">
        <v>518526876</v>
      </c>
      <c r="O43" s="206">
        <v>1247543929</v>
      </c>
      <c r="P43" s="206">
        <v>94379336</v>
      </c>
      <c r="Q43" s="206">
        <v>30714021</v>
      </c>
      <c r="R43" s="206">
        <v>21213587</v>
      </c>
      <c r="S43" s="105">
        <v>1</v>
      </c>
      <c r="T43" s="254">
        <f t="shared" si="0"/>
        <v>100</v>
      </c>
      <c r="U43" s="107">
        <f t="shared" si="1"/>
        <v>1</v>
      </c>
      <c r="V43" s="45">
        <v>117</v>
      </c>
      <c r="W43" s="45">
        <v>127</v>
      </c>
      <c r="X43" s="255">
        <f t="shared" si="2"/>
        <v>10</v>
      </c>
      <c r="Y43" s="255">
        <f t="shared" si="3"/>
        <v>10</v>
      </c>
      <c r="Z43" s="256">
        <f t="shared" si="4"/>
        <v>100</v>
      </c>
      <c r="AA43" s="257">
        <f t="shared" si="5"/>
        <v>100</v>
      </c>
      <c r="AB43" s="116">
        <f t="shared" si="6"/>
        <v>1</v>
      </c>
      <c r="AC43" s="123">
        <v>562</v>
      </c>
      <c r="AD43" s="123">
        <v>572</v>
      </c>
      <c r="AE43" s="257">
        <f t="shared" si="7"/>
        <v>10</v>
      </c>
      <c r="AF43" s="258">
        <f t="shared" si="8"/>
        <v>1.7793594306049825</v>
      </c>
      <c r="AG43" s="257">
        <f t="shared" si="9"/>
        <v>80</v>
      </c>
      <c r="AH43" s="124">
        <f t="shared" si="10"/>
        <v>3.2</v>
      </c>
      <c r="AI43" s="105">
        <v>0</v>
      </c>
      <c r="AJ43" s="105">
        <v>0</v>
      </c>
      <c r="AK43" s="105">
        <v>0</v>
      </c>
      <c r="AL43" s="105">
        <v>0</v>
      </c>
      <c r="AM43" s="260">
        <f t="shared" si="11"/>
        <v>0</v>
      </c>
      <c r="AN43" s="260">
        <f t="shared" si="12"/>
        <v>20</v>
      </c>
      <c r="AO43" s="130">
        <f t="shared" si="13"/>
        <v>0.2</v>
      </c>
      <c r="AP43" s="106">
        <v>1067195</v>
      </c>
      <c r="AQ43" s="261">
        <f t="shared" si="14"/>
        <v>5.0307145132975393</v>
      </c>
      <c r="AR43" s="261">
        <f t="shared" si="15"/>
        <v>100</v>
      </c>
      <c r="AS43" s="107">
        <f t="shared" si="16"/>
        <v>4</v>
      </c>
      <c r="AT43" s="105">
        <v>0</v>
      </c>
      <c r="AU43" s="105">
        <v>1</v>
      </c>
      <c r="AV43" s="262">
        <f t="shared" si="17"/>
        <v>25</v>
      </c>
      <c r="AW43" s="134">
        <v>4</v>
      </c>
      <c r="AX43" s="134" t="s">
        <v>3556</v>
      </c>
      <c r="AY43" s="262">
        <f t="shared" si="18"/>
        <v>50</v>
      </c>
      <c r="AZ43" s="262">
        <f t="shared" si="19"/>
        <v>75</v>
      </c>
      <c r="BA43" s="38">
        <f t="shared" si="20"/>
        <v>0.75</v>
      </c>
      <c r="BB43" s="105">
        <v>0</v>
      </c>
      <c r="BC43" s="105">
        <v>0</v>
      </c>
      <c r="BD43" s="105">
        <v>0</v>
      </c>
      <c r="BE43" s="262">
        <f t="shared" si="21"/>
        <v>0</v>
      </c>
      <c r="BF43" s="262">
        <f t="shared" si="22"/>
        <v>50</v>
      </c>
      <c r="BG43" s="38">
        <f t="shared" si="23"/>
        <v>0.5</v>
      </c>
      <c r="BH43" s="255">
        <f t="shared" si="24"/>
        <v>9500434</v>
      </c>
      <c r="BI43" s="256">
        <f t="shared" si="25"/>
        <v>0.76153101940188273</v>
      </c>
      <c r="BJ43" s="256">
        <f t="shared" si="26"/>
        <v>30.711482645514121</v>
      </c>
      <c r="BK43" s="55">
        <f t="shared" si="27"/>
        <v>0.61422965291028242</v>
      </c>
      <c r="BL43" s="137">
        <f t="shared" si="28"/>
        <v>11.264229652910283</v>
      </c>
    </row>
    <row r="44" spans="1:64" x14ac:dyDescent="0.6">
      <c r="A44" s="214" t="s">
        <v>1534</v>
      </c>
      <c r="B44" s="13" t="s">
        <v>2021</v>
      </c>
      <c r="C44" s="219" t="s">
        <v>1535</v>
      </c>
      <c r="D44" s="14" t="s">
        <v>191</v>
      </c>
      <c r="E44" s="217" t="s">
        <v>1091</v>
      </c>
      <c r="F44" s="217" t="s">
        <v>1536</v>
      </c>
      <c r="G44" s="218">
        <v>44273</v>
      </c>
      <c r="H44" s="217" t="s">
        <v>830</v>
      </c>
      <c r="I44" s="217" t="s">
        <v>1537</v>
      </c>
      <c r="J44" s="1" t="s">
        <v>3669</v>
      </c>
      <c r="K44" s="217" t="s">
        <v>690</v>
      </c>
      <c r="L44" s="220">
        <v>2142189396</v>
      </c>
      <c r="M44" s="206">
        <v>399934106</v>
      </c>
      <c r="N44" s="206">
        <v>1742255291</v>
      </c>
      <c r="O44" s="206">
        <v>456725871</v>
      </c>
      <c r="P44" s="206">
        <v>115378989</v>
      </c>
      <c r="Q44" s="206">
        <v>142097807</v>
      </c>
      <c r="R44" s="206">
        <v>122816574</v>
      </c>
      <c r="S44" s="105">
        <v>1</v>
      </c>
      <c r="T44" s="254">
        <f t="shared" si="0"/>
        <v>100</v>
      </c>
      <c r="U44" s="107">
        <f t="shared" si="1"/>
        <v>1</v>
      </c>
      <c r="V44" s="45">
        <v>261</v>
      </c>
      <c r="W44" s="45">
        <v>358</v>
      </c>
      <c r="X44" s="255">
        <f t="shared" si="2"/>
        <v>97</v>
      </c>
      <c r="Y44" s="255">
        <f t="shared" si="3"/>
        <v>220</v>
      </c>
      <c r="Z44" s="256">
        <f t="shared" si="4"/>
        <v>44.090909090909093</v>
      </c>
      <c r="AA44" s="257">
        <f t="shared" si="5"/>
        <v>100</v>
      </c>
      <c r="AB44" s="116">
        <f t="shared" si="6"/>
        <v>1</v>
      </c>
      <c r="AC44" s="123">
        <v>679</v>
      </c>
      <c r="AD44" s="123">
        <v>899</v>
      </c>
      <c r="AE44" s="257">
        <f t="shared" si="7"/>
        <v>220</v>
      </c>
      <c r="AF44" s="258">
        <f t="shared" si="8"/>
        <v>32.400589101620028</v>
      </c>
      <c r="AG44" s="257">
        <f t="shared" si="9"/>
        <v>100</v>
      </c>
      <c r="AH44" s="124">
        <f t="shared" si="10"/>
        <v>4</v>
      </c>
      <c r="AI44" s="105">
        <v>0</v>
      </c>
      <c r="AJ44" s="105">
        <v>0</v>
      </c>
      <c r="AK44" s="105">
        <v>0</v>
      </c>
      <c r="AL44" s="105">
        <v>0</v>
      </c>
      <c r="AM44" s="260">
        <f t="shared" si="11"/>
        <v>0</v>
      </c>
      <c r="AN44" s="260">
        <f t="shared" si="12"/>
        <v>20</v>
      </c>
      <c r="AO44" s="130">
        <f t="shared" si="13"/>
        <v>0.2</v>
      </c>
      <c r="AP44" s="106">
        <v>5162259</v>
      </c>
      <c r="AQ44" s="261">
        <f t="shared" si="14"/>
        <v>4.2032266752531298</v>
      </c>
      <c r="AR44" s="261">
        <f t="shared" si="15"/>
        <v>88.048400128796942</v>
      </c>
      <c r="AS44" s="107">
        <f t="shared" si="16"/>
        <v>3.5219360051518778</v>
      </c>
      <c r="AT44" s="105">
        <v>1</v>
      </c>
      <c r="AU44" s="105">
        <v>1</v>
      </c>
      <c r="AV44" s="262">
        <f t="shared" si="17"/>
        <v>50</v>
      </c>
      <c r="AW44" s="134">
        <v>11</v>
      </c>
      <c r="AX44" s="447" t="s">
        <v>3671</v>
      </c>
      <c r="AY44" s="262">
        <f t="shared" si="18"/>
        <v>50</v>
      </c>
      <c r="AZ44" s="262">
        <f t="shared" si="19"/>
        <v>100</v>
      </c>
      <c r="BA44" s="38">
        <f t="shared" si="20"/>
        <v>1</v>
      </c>
      <c r="BB44" s="105">
        <v>0</v>
      </c>
      <c r="BC44" s="105">
        <v>0</v>
      </c>
      <c r="BD44" s="105">
        <v>0</v>
      </c>
      <c r="BE44" s="262">
        <f t="shared" si="21"/>
        <v>0</v>
      </c>
      <c r="BF44" s="262">
        <f t="shared" si="22"/>
        <v>50</v>
      </c>
      <c r="BG44" s="38">
        <f t="shared" si="23"/>
        <v>0.5</v>
      </c>
      <c r="BH44" s="255">
        <f t="shared" si="24"/>
        <v>19281233</v>
      </c>
      <c r="BI44" s="256">
        <f t="shared" si="25"/>
        <v>4.2216205002321843</v>
      </c>
      <c r="BJ44" s="256">
        <f t="shared" si="26"/>
        <v>56.662153751741378</v>
      </c>
      <c r="BK44" s="55">
        <f t="shared" si="27"/>
        <v>1.1332430750348277</v>
      </c>
      <c r="BL44" s="137">
        <f t="shared" si="28"/>
        <v>12.355179080186707</v>
      </c>
    </row>
    <row r="45" spans="1:64" x14ac:dyDescent="0.6">
      <c r="A45" s="214" t="s">
        <v>1539</v>
      </c>
      <c r="B45" s="13" t="s">
        <v>2022</v>
      </c>
      <c r="C45" s="219" t="s">
        <v>1540</v>
      </c>
      <c r="D45" s="14" t="s">
        <v>203</v>
      </c>
      <c r="E45" s="217" t="s">
        <v>187</v>
      </c>
      <c r="F45" s="217" t="s">
        <v>1541</v>
      </c>
      <c r="G45" s="218">
        <v>39288</v>
      </c>
      <c r="H45" s="217" t="s">
        <v>830</v>
      </c>
      <c r="I45" s="217" t="s">
        <v>1542</v>
      </c>
      <c r="J45" s="1" t="s">
        <v>3670</v>
      </c>
      <c r="K45" s="217" t="s">
        <v>91</v>
      </c>
      <c r="L45" s="220">
        <v>19550742827</v>
      </c>
      <c r="M45" s="206">
        <v>3581307796</v>
      </c>
      <c r="N45" s="206">
        <v>15969435031</v>
      </c>
      <c r="O45" s="206">
        <v>1983533544</v>
      </c>
      <c r="P45" s="206">
        <v>611371885</v>
      </c>
      <c r="Q45" s="206">
        <v>602096059</v>
      </c>
      <c r="R45" s="206">
        <v>453183233</v>
      </c>
      <c r="S45" s="105">
        <v>1</v>
      </c>
      <c r="T45" s="254">
        <f t="shared" si="0"/>
        <v>100</v>
      </c>
      <c r="U45" s="107">
        <f t="shared" si="1"/>
        <v>1</v>
      </c>
      <c r="V45" s="45">
        <v>384</v>
      </c>
      <c r="W45" s="45">
        <v>426</v>
      </c>
      <c r="X45" s="255">
        <f t="shared" si="2"/>
        <v>42</v>
      </c>
      <c r="Y45" s="255">
        <f t="shared" si="3"/>
        <v>143</v>
      </c>
      <c r="Z45" s="256">
        <f t="shared" si="4"/>
        <v>29.37062937062937</v>
      </c>
      <c r="AA45" s="257">
        <f t="shared" si="5"/>
        <v>60</v>
      </c>
      <c r="AB45" s="116">
        <f t="shared" si="6"/>
        <v>0.6</v>
      </c>
      <c r="AC45" s="123">
        <v>1285</v>
      </c>
      <c r="AD45" s="123">
        <v>1428</v>
      </c>
      <c r="AE45" s="257">
        <f t="shared" si="7"/>
        <v>143</v>
      </c>
      <c r="AF45" s="258">
        <f t="shared" si="8"/>
        <v>11.1284046692607</v>
      </c>
      <c r="AG45" s="257">
        <f t="shared" si="9"/>
        <v>100</v>
      </c>
      <c r="AH45" s="124">
        <f t="shared" si="10"/>
        <v>4</v>
      </c>
      <c r="AI45" s="105">
        <v>0</v>
      </c>
      <c r="AJ45" s="105">
        <v>0</v>
      </c>
      <c r="AK45" s="105">
        <v>0</v>
      </c>
      <c r="AL45" s="105">
        <v>0</v>
      </c>
      <c r="AM45" s="260">
        <f t="shared" si="11"/>
        <v>0</v>
      </c>
      <c r="AN45" s="260">
        <f t="shared" si="12"/>
        <v>20</v>
      </c>
      <c r="AO45" s="130">
        <f t="shared" si="13"/>
        <v>0.2</v>
      </c>
      <c r="AP45" s="106">
        <v>197000</v>
      </c>
      <c r="AQ45" s="261">
        <f t="shared" si="14"/>
        <v>4.3470275520983363E-2</v>
      </c>
      <c r="AR45" s="261">
        <f t="shared" si="15"/>
        <v>25.652054132814751</v>
      </c>
      <c r="AS45" s="107">
        <f t="shared" si="16"/>
        <v>1.02608216531259</v>
      </c>
      <c r="AT45" s="105">
        <v>1</v>
      </c>
      <c r="AU45" s="105">
        <v>1</v>
      </c>
      <c r="AV45" s="262">
        <f t="shared" si="17"/>
        <v>50</v>
      </c>
      <c r="AW45" s="134">
        <v>17</v>
      </c>
      <c r="AX45" s="447" t="s">
        <v>3672</v>
      </c>
      <c r="AY45" s="262">
        <f t="shared" si="18"/>
        <v>50</v>
      </c>
      <c r="AZ45" s="262">
        <f t="shared" si="19"/>
        <v>100</v>
      </c>
      <c r="BA45" s="38">
        <f t="shared" si="20"/>
        <v>1</v>
      </c>
      <c r="BB45" s="105">
        <v>0</v>
      </c>
      <c r="BC45" s="105">
        <v>0</v>
      </c>
      <c r="BD45" s="105">
        <v>0</v>
      </c>
      <c r="BE45" s="262">
        <f t="shared" si="21"/>
        <v>0</v>
      </c>
      <c r="BF45" s="262">
        <f t="shared" si="22"/>
        <v>50</v>
      </c>
      <c r="BG45" s="38">
        <f t="shared" si="23"/>
        <v>0.5</v>
      </c>
      <c r="BH45" s="255">
        <f t="shared" si="24"/>
        <v>148912826</v>
      </c>
      <c r="BI45" s="256">
        <f t="shared" si="25"/>
        <v>7.5074518628861666</v>
      </c>
      <c r="BJ45" s="256">
        <f t="shared" si="26"/>
        <v>81.305888971646255</v>
      </c>
      <c r="BK45" s="55">
        <f t="shared" si="27"/>
        <v>1.6261177794329251</v>
      </c>
      <c r="BL45" s="137">
        <f t="shared" si="28"/>
        <v>9.9521999447455158</v>
      </c>
    </row>
    <row r="46" spans="1:64" x14ac:dyDescent="0.6">
      <c r="A46" s="214" t="s">
        <v>1544</v>
      </c>
      <c r="B46" s="13" t="s">
        <v>2023</v>
      </c>
      <c r="C46" s="219" t="s">
        <v>543</v>
      </c>
      <c r="D46" s="221" t="s">
        <v>350</v>
      </c>
      <c r="E46" s="217" t="s">
        <v>179</v>
      </c>
      <c r="F46" s="217" t="s">
        <v>199</v>
      </c>
      <c r="G46" s="218">
        <v>31675</v>
      </c>
      <c r="H46" s="217" t="s">
        <v>830</v>
      </c>
      <c r="I46" s="217" t="s">
        <v>1545</v>
      </c>
      <c r="J46" s="217" t="s">
        <v>1035</v>
      </c>
      <c r="K46" s="217" t="s">
        <v>91</v>
      </c>
      <c r="L46" s="220">
        <v>5612706908</v>
      </c>
      <c r="M46" s="206">
        <v>5005166436</v>
      </c>
      <c r="N46" s="206">
        <v>607540471</v>
      </c>
      <c r="O46" s="206">
        <v>1137658845</v>
      </c>
      <c r="P46" s="206">
        <v>12048913</v>
      </c>
      <c r="Q46" s="206">
        <v>5565314</v>
      </c>
      <c r="R46" s="206">
        <v>4440548</v>
      </c>
      <c r="S46" s="105">
        <v>1</v>
      </c>
      <c r="T46" s="254">
        <f t="shared" si="0"/>
        <v>100</v>
      </c>
      <c r="U46" s="107">
        <f t="shared" si="1"/>
        <v>1</v>
      </c>
      <c r="V46" s="45">
        <v>300</v>
      </c>
      <c r="W46" s="45">
        <f>147+34+128</f>
        <v>309</v>
      </c>
      <c r="X46" s="255">
        <f t="shared" si="2"/>
        <v>9</v>
      </c>
      <c r="Y46" s="255">
        <f t="shared" si="3"/>
        <v>19</v>
      </c>
      <c r="Z46" s="256">
        <f t="shared" si="4"/>
        <v>47.368421052631575</v>
      </c>
      <c r="AA46" s="257">
        <f t="shared" si="5"/>
        <v>100</v>
      </c>
      <c r="AB46" s="116">
        <f t="shared" si="6"/>
        <v>1</v>
      </c>
      <c r="AC46" s="123">
        <v>789</v>
      </c>
      <c r="AD46" s="123">
        <v>808</v>
      </c>
      <c r="AE46" s="257">
        <f t="shared" si="7"/>
        <v>19</v>
      </c>
      <c r="AF46" s="258">
        <f t="shared" si="8"/>
        <v>2.4081115335868186</v>
      </c>
      <c r="AG46" s="257">
        <f t="shared" si="9"/>
        <v>80</v>
      </c>
      <c r="AH46" s="124">
        <f t="shared" si="10"/>
        <v>3.2</v>
      </c>
      <c r="AI46" s="105">
        <v>0</v>
      </c>
      <c r="AJ46" s="105">
        <v>0</v>
      </c>
      <c r="AK46" s="105">
        <v>0</v>
      </c>
      <c r="AL46" s="105">
        <v>0</v>
      </c>
      <c r="AM46" s="260">
        <f t="shared" si="11"/>
        <v>0</v>
      </c>
      <c r="AN46" s="260">
        <f t="shared" si="12"/>
        <v>20</v>
      </c>
      <c r="AO46" s="130">
        <f t="shared" si="13"/>
        <v>0.2</v>
      </c>
      <c r="AP46" s="106">
        <v>107000</v>
      </c>
      <c r="AQ46" s="261">
        <f t="shared" si="14"/>
        <v>2.4096125072851371</v>
      </c>
      <c r="AR46" s="261">
        <f t="shared" si="15"/>
        <v>61.144187609277054</v>
      </c>
      <c r="AS46" s="107">
        <f t="shared" si="16"/>
        <v>2.4457675043710823</v>
      </c>
      <c r="AT46" s="105">
        <v>0</v>
      </c>
      <c r="AU46" s="105">
        <v>1</v>
      </c>
      <c r="AV46" s="262">
        <f t="shared" si="17"/>
        <v>25</v>
      </c>
      <c r="AW46" s="134">
        <v>3</v>
      </c>
      <c r="AX46" s="134" t="s">
        <v>3556</v>
      </c>
      <c r="AY46" s="262">
        <f t="shared" si="18"/>
        <v>50</v>
      </c>
      <c r="AZ46" s="262">
        <f t="shared" si="19"/>
        <v>75</v>
      </c>
      <c r="BA46" s="38">
        <f t="shared" si="20"/>
        <v>0.75</v>
      </c>
      <c r="BB46" s="105">
        <v>0</v>
      </c>
      <c r="BC46" s="105">
        <v>0</v>
      </c>
      <c r="BD46" s="105">
        <v>0</v>
      </c>
      <c r="BE46" s="262">
        <f t="shared" si="21"/>
        <v>0</v>
      </c>
      <c r="BF46" s="262">
        <f t="shared" si="22"/>
        <v>50</v>
      </c>
      <c r="BG46" s="38">
        <f t="shared" si="23"/>
        <v>0.5</v>
      </c>
      <c r="BH46" s="255">
        <f t="shared" si="24"/>
        <v>1124766</v>
      </c>
      <c r="BI46" s="256">
        <f t="shared" si="25"/>
        <v>9.8866721332439525E-2</v>
      </c>
      <c r="BJ46" s="256">
        <f t="shared" si="26"/>
        <v>25.741500409993296</v>
      </c>
      <c r="BK46" s="55">
        <f t="shared" si="27"/>
        <v>0.51483000819986591</v>
      </c>
      <c r="BL46" s="137">
        <f t="shared" si="28"/>
        <v>9.6105975125709477</v>
      </c>
    </row>
    <row r="47" spans="1:64" x14ac:dyDescent="0.6">
      <c r="A47" s="214" t="s">
        <v>1546</v>
      </c>
      <c r="B47" s="13" t="s">
        <v>2024</v>
      </c>
      <c r="C47" s="219" t="s">
        <v>1547</v>
      </c>
      <c r="D47" s="14" t="s">
        <v>203</v>
      </c>
      <c r="E47" s="217" t="s">
        <v>1548</v>
      </c>
      <c r="F47" s="217" t="s">
        <v>1549</v>
      </c>
      <c r="G47" s="218">
        <v>43105</v>
      </c>
      <c r="H47" s="217" t="s">
        <v>830</v>
      </c>
      <c r="I47" s="217" t="s">
        <v>1550</v>
      </c>
      <c r="J47" s="1" t="s">
        <v>3673</v>
      </c>
      <c r="K47" s="217" t="s">
        <v>690</v>
      </c>
      <c r="L47" s="220">
        <v>1810477193</v>
      </c>
      <c r="M47" s="206">
        <v>690879147</v>
      </c>
      <c r="N47" s="206">
        <v>1119598046</v>
      </c>
      <c r="O47" s="206">
        <v>1256030179</v>
      </c>
      <c r="P47" s="206">
        <v>107526937</v>
      </c>
      <c r="Q47" s="206">
        <v>88400704</v>
      </c>
      <c r="R47" s="206">
        <v>69270430</v>
      </c>
      <c r="S47" s="105">
        <v>1</v>
      </c>
      <c r="T47" s="254">
        <f t="shared" si="0"/>
        <v>100</v>
      </c>
      <c r="U47" s="107">
        <f t="shared" si="1"/>
        <v>1</v>
      </c>
      <c r="V47" s="45">
        <f>35+78+151+264</f>
        <v>528</v>
      </c>
      <c r="W47" s="45">
        <f>37+89+148+274</f>
        <v>548</v>
      </c>
      <c r="X47" s="255">
        <f t="shared" si="2"/>
        <v>20</v>
      </c>
      <c r="Y47" s="255">
        <f t="shared" si="3"/>
        <v>-22</v>
      </c>
      <c r="Z47" s="256">
        <f t="shared" si="4"/>
        <v>2000</v>
      </c>
      <c r="AA47" s="257">
        <f t="shared" si="5"/>
        <v>100</v>
      </c>
      <c r="AB47" s="116">
        <f t="shared" si="6"/>
        <v>1</v>
      </c>
      <c r="AC47" s="123">
        <v>1359</v>
      </c>
      <c r="AD47" s="123">
        <v>1337</v>
      </c>
      <c r="AE47" s="257">
        <f t="shared" si="7"/>
        <v>-22</v>
      </c>
      <c r="AF47" s="258">
        <f t="shared" si="8"/>
        <v>-1.6188373804267846</v>
      </c>
      <c r="AG47" s="257">
        <f t="shared" si="9"/>
        <v>20</v>
      </c>
      <c r="AH47" s="124">
        <f t="shared" si="10"/>
        <v>0.8</v>
      </c>
      <c r="AI47" s="105">
        <v>0</v>
      </c>
      <c r="AJ47" s="105">
        <v>0</v>
      </c>
      <c r="AK47" s="105">
        <v>0</v>
      </c>
      <c r="AL47" s="105">
        <v>0</v>
      </c>
      <c r="AM47" s="260">
        <f t="shared" si="11"/>
        <v>0</v>
      </c>
      <c r="AN47" s="260">
        <f t="shared" si="12"/>
        <v>20</v>
      </c>
      <c r="AO47" s="130">
        <f t="shared" si="13"/>
        <v>0.2</v>
      </c>
      <c r="AP47" s="106">
        <v>1698450</v>
      </c>
      <c r="AQ47" s="261">
        <f t="shared" si="14"/>
        <v>2.4519120207569087</v>
      </c>
      <c r="AR47" s="261">
        <f t="shared" si="15"/>
        <v>61.778680311353632</v>
      </c>
      <c r="AS47" s="107">
        <f t="shared" si="16"/>
        <v>2.4711472124541451</v>
      </c>
      <c r="AT47" s="105">
        <v>1</v>
      </c>
      <c r="AU47" s="105">
        <v>1</v>
      </c>
      <c r="AV47" s="262">
        <f t="shared" si="17"/>
        <v>50</v>
      </c>
      <c r="AW47" s="134">
        <v>6</v>
      </c>
      <c r="AX47" s="447" t="s">
        <v>3674</v>
      </c>
      <c r="AY47" s="262">
        <f t="shared" si="18"/>
        <v>50</v>
      </c>
      <c r="AZ47" s="262">
        <f t="shared" si="19"/>
        <v>100</v>
      </c>
      <c r="BA47" s="38">
        <f t="shared" si="20"/>
        <v>1</v>
      </c>
      <c r="BB47" s="105">
        <v>0</v>
      </c>
      <c r="BC47" s="105">
        <v>0</v>
      </c>
      <c r="BD47" s="105">
        <v>0</v>
      </c>
      <c r="BE47" s="262">
        <f t="shared" si="21"/>
        <v>0</v>
      </c>
      <c r="BF47" s="262">
        <f t="shared" si="22"/>
        <v>50</v>
      </c>
      <c r="BG47" s="38">
        <f t="shared" si="23"/>
        <v>0.5</v>
      </c>
      <c r="BH47" s="255">
        <f t="shared" si="24"/>
        <v>19130274</v>
      </c>
      <c r="BI47" s="256">
        <f t="shared" si="25"/>
        <v>1.5230743910334021</v>
      </c>
      <c r="BJ47" s="256">
        <f t="shared" si="26"/>
        <v>36.423057932750517</v>
      </c>
      <c r="BK47" s="55">
        <f t="shared" si="27"/>
        <v>0.72846115865501038</v>
      </c>
      <c r="BL47" s="137">
        <f t="shared" si="28"/>
        <v>7.6996083711091554</v>
      </c>
    </row>
    <row r="48" spans="1:64" x14ac:dyDescent="0.6">
      <c r="A48" s="214" t="s">
        <v>1552</v>
      </c>
      <c r="B48" s="13" t="s">
        <v>2025</v>
      </c>
      <c r="C48" s="219" t="s">
        <v>1553</v>
      </c>
      <c r="D48" s="14" t="s">
        <v>285</v>
      </c>
      <c r="E48" s="217" t="s">
        <v>56</v>
      </c>
      <c r="F48" s="217" t="s">
        <v>1554</v>
      </c>
      <c r="G48" s="218">
        <v>32819</v>
      </c>
      <c r="H48" s="217" t="s">
        <v>830</v>
      </c>
      <c r="I48" s="217" t="s">
        <v>1555</v>
      </c>
      <c r="J48" s="1" t="s">
        <v>3675</v>
      </c>
      <c r="K48" s="217" t="s">
        <v>91</v>
      </c>
      <c r="L48" s="220">
        <v>26432121000</v>
      </c>
      <c r="M48" s="206">
        <v>16048739000</v>
      </c>
      <c r="N48" s="206">
        <v>10383382000</v>
      </c>
      <c r="O48" s="206">
        <v>12414588000</v>
      </c>
      <c r="P48" s="206">
        <v>1321131000</v>
      </c>
      <c r="Q48" s="206">
        <v>1146250000</v>
      </c>
      <c r="R48" s="206">
        <v>869490000</v>
      </c>
      <c r="S48" s="105">
        <v>1</v>
      </c>
      <c r="T48" s="254">
        <f t="shared" si="0"/>
        <v>100</v>
      </c>
      <c r="U48" s="107">
        <f t="shared" si="1"/>
        <v>1</v>
      </c>
      <c r="V48" s="45">
        <v>873</v>
      </c>
      <c r="W48" s="45">
        <v>929</v>
      </c>
      <c r="X48" s="255">
        <f t="shared" si="2"/>
        <v>56</v>
      </c>
      <c r="Y48" s="255">
        <f t="shared" si="3"/>
        <v>101</v>
      </c>
      <c r="Z48" s="256">
        <f t="shared" si="4"/>
        <v>55.445544554455452</v>
      </c>
      <c r="AA48" s="257">
        <f t="shared" si="5"/>
        <v>100</v>
      </c>
      <c r="AB48" s="116">
        <f t="shared" si="6"/>
        <v>1</v>
      </c>
      <c r="AC48" s="123">
        <v>5042</v>
      </c>
      <c r="AD48" s="123">
        <v>5143</v>
      </c>
      <c r="AE48" s="257">
        <f t="shared" si="7"/>
        <v>101</v>
      </c>
      <c r="AF48" s="258">
        <f t="shared" si="8"/>
        <v>2.0031733439111465</v>
      </c>
      <c r="AG48" s="257">
        <f t="shared" si="9"/>
        <v>80</v>
      </c>
      <c r="AH48" s="124">
        <f t="shared" si="10"/>
        <v>3.2</v>
      </c>
      <c r="AI48" s="105">
        <v>0</v>
      </c>
      <c r="AJ48" s="105">
        <v>0</v>
      </c>
      <c r="AK48" s="105">
        <v>0</v>
      </c>
      <c r="AL48" s="105">
        <v>0</v>
      </c>
      <c r="AM48" s="260">
        <f t="shared" si="11"/>
        <v>0</v>
      </c>
      <c r="AN48" s="260">
        <f t="shared" si="12"/>
        <v>20</v>
      </c>
      <c r="AO48" s="130">
        <f t="shared" si="13"/>
        <v>0.2</v>
      </c>
      <c r="AP48" s="106">
        <v>11442000</v>
      </c>
      <c r="AQ48" s="261">
        <f t="shared" si="14"/>
        <v>1.3159438291412207</v>
      </c>
      <c r="AR48" s="261">
        <f t="shared" si="15"/>
        <v>44.739157437118308</v>
      </c>
      <c r="AS48" s="107">
        <f t="shared" si="16"/>
        <v>1.7895662974847324</v>
      </c>
      <c r="AT48" s="105">
        <v>1</v>
      </c>
      <c r="AU48" s="105">
        <v>1</v>
      </c>
      <c r="AV48" s="262">
        <f t="shared" si="17"/>
        <v>50</v>
      </c>
      <c r="AW48" s="134">
        <v>9</v>
      </c>
      <c r="AX48" s="447" t="s">
        <v>3676</v>
      </c>
      <c r="AY48" s="262">
        <f t="shared" si="18"/>
        <v>50</v>
      </c>
      <c r="AZ48" s="262">
        <f t="shared" si="19"/>
        <v>100</v>
      </c>
      <c r="BA48" s="38">
        <f t="shared" si="20"/>
        <v>1</v>
      </c>
      <c r="BB48" s="105">
        <v>0</v>
      </c>
      <c r="BC48" s="105">
        <v>0</v>
      </c>
      <c r="BD48" s="105">
        <v>0</v>
      </c>
      <c r="BE48" s="262">
        <f t="shared" si="21"/>
        <v>0</v>
      </c>
      <c r="BF48" s="262">
        <f t="shared" si="22"/>
        <v>50</v>
      </c>
      <c r="BG48" s="38">
        <f t="shared" si="23"/>
        <v>0.5</v>
      </c>
      <c r="BH48" s="255">
        <f t="shared" si="24"/>
        <v>276760000</v>
      </c>
      <c r="BI48" s="256">
        <f t="shared" si="25"/>
        <v>2.2293128052255939</v>
      </c>
      <c r="BJ48" s="256">
        <f t="shared" si="26"/>
        <v>41.719846039191957</v>
      </c>
      <c r="BK48" s="55">
        <f t="shared" si="27"/>
        <v>0.8343969207838392</v>
      </c>
      <c r="BL48" s="137">
        <f t="shared" si="28"/>
        <v>9.5239632182685714</v>
      </c>
    </row>
    <row r="49" spans="1:64" x14ac:dyDescent="0.6">
      <c r="A49" s="214" t="s">
        <v>479</v>
      </c>
      <c r="B49" s="13" t="s">
        <v>2026</v>
      </c>
      <c r="C49" s="219" t="s">
        <v>907</v>
      </c>
      <c r="D49" s="216" t="s">
        <v>202</v>
      </c>
      <c r="E49" s="217" t="s">
        <v>950</v>
      </c>
      <c r="F49" s="217" t="s">
        <v>961</v>
      </c>
      <c r="G49" s="218">
        <v>35425</v>
      </c>
      <c r="H49" s="217" t="s">
        <v>830</v>
      </c>
      <c r="I49" s="217" t="s">
        <v>616</v>
      </c>
      <c r="J49" s="217" t="s">
        <v>1041</v>
      </c>
      <c r="K49" s="217" t="s">
        <v>690</v>
      </c>
      <c r="L49" s="220">
        <v>91800233000</v>
      </c>
      <c r="M49" s="206">
        <v>31637411000</v>
      </c>
      <c r="N49" s="206">
        <v>60162822000</v>
      </c>
      <c r="O49" s="206">
        <v>37878699000</v>
      </c>
      <c r="P49" s="206">
        <v>7660947000</v>
      </c>
      <c r="Q49" s="206">
        <v>4467040000</v>
      </c>
      <c r="R49" s="206">
        <v>2790457000</v>
      </c>
      <c r="S49" s="105">
        <v>1</v>
      </c>
      <c r="T49" s="254">
        <f t="shared" si="0"/>
        <v>100</v>
      </c>
      <c r="U49" s="107">
        <f t="shared" si="1"/>
        <v>1</v>
      </c>
      <c r="V49" s="45">
        <v>10575</v>
      </c>
      <c r="W49" s="45">
        <v>10776</v>
      </c>
      <c r="X49" s="255">
        <f t="shared" si="2"/>
        <v>201</v>
      </c>
      <c r="Y49" s="255">
        <f t="shared" si="3"/>
        <v>1800</v>
      </c>
      <c r="Z49" s="256">
        <f t="shared" si="4"/>
        <v>11.166666666666666</v>
      </c>
      <c r="AA49" s="257">
        <f t="shared" si="5"/>
        <v>40</v>
      </c>
      <c r="AB49" s="116">
        <f t="shared" si="6"/>
        <v>0.4</v>
      </c>
      <c r="AC49" s="123">
        <v>30056</v>
      </c>
      <c r="AD49" s="123">
        <v>31856</v>
      </c>
      <c r="AE49" s="257">
        <f t="shared" si="7"/>
        <v>1800</v>
      </c>
      <c r="AF49" s="258">
        <f t="shared" si="8"/>
        <v>5.988820867713601</v>
      </c>
      <c r="AG49" s="257">
        <f t="shared" si="9"/>
        <v>100</v>
      </c>
      <c r="AH49" s="124">
        <f t="shared" si="10"/>
        <v>4</v>
      </c>
      <c r="AI49" s="105">
        <v>0</v>
      </c>
      <c r="AJ49" s="105">
        <v>0</v>
      </c>
      <c r="AK49" s="105">
        <v>0</v>
      </c>
      <c r="AL49" s="105">
        <v>0</v>
      </c>
      <c r="AM49" s="260">
        <f t="shared" si="11"/>
        <v>0</v>
      </c>
      <c r="AN49" s="260">
        <f t="shared" si="12"/>
        <v>20</v>
      </c>
      <c r="AO49" s="130">
        <f t="shared" si="13"/>
        <v>0.2</v>
      </c>
      <c r="AP49" s="106">
        <v>57728000</v>
      </c>
      <c r="AQ49" s="261">
        <f t="shared" si="14"/>
        <v>2.0687650804151434</v>
      </c>
      <c r="AR49" s="261">
        <f t="shared" si="15"/>
        <v>56.031476206227147</v>
      </c>
      <c r="AS49" s="107">
        <f t="shared" si="16"/>
        <v>2.241259048249086</v>
      </c>
      <c r="AT49" s="105">
        <v>0</v>
      </c>
      <c r="AU49" s="105">
        <v>1</v>
      </c>
      <c r="AV49" s="262">
        <f t="shared" si="17"/>
        <v>25</v>
      </c>
      <c r="AW49" s="134">
        <v>4</v>
      </c>
      <c r="AX49" s="134" t="s">
        <v>3557</v>
      </c>
      <c r="AY49" s="262">
        <f t="shared" si="18"/>
        <v>50</v>
      </c>
      <c r="AZ49" s="262">
        <f t="shared" si="19"/>
        <v>75</v>
      </c>
      <c r="BA49" s="38">
        <f t="shared" si="20"/>
        <v>0.75</v>
      </c>
      <c r="BB49" s="105">
        <v>1</v>
      </c>
      <c r="BC49" s="105">
        <v>0</v>
      </c>
      <c r="BD49" s="105">
        <v>0</v>
      </c>
      <c r="BE49" s="262">
        <f t="shared" si="21"/>
        <v>1</v>
      </c>
      <c r="BF49" s="262">
        <f t="shared" si="22"/>
        <v>100</v>
      </c>
      <c r="BG49" s="38">
        <f t="shared" si="23"/>
        <v>1</v>
      </c>
      <c r="BH49" s="255">
        <f t="shared" si="24"/>
        <v>1676583000</v>
      </c>
      <c r="BI49" s="256">
        <f t="shared" si="25"/>
        <v>4.4261895056110561</v>
      </c>
      <c r="BJ49" s="256">
        <f t="shared" si="26"/>
        <v>58.196421292082917</v>
      </c>
      <c r="BK49" s="55">
        <f t="shared" si="27"/>
        <v>1.1639284258416585</v>
      </c>
      <c r="BL49" s="137">
        <f t="shared" si="28"/>
        <v>10.755187474090745</v>
      </c>
    </row>
    <row r="50" spans="1:64" x14ac:dyDescent="0.6">
      <c r="A50" s="214" t="s">
        <v>1557</v>
      </c>
      <c r="B50" s="13" t="s">
        <v>2027</v>
      </c>
      <c r="C50" s="219" t="s">
        <v>1558</v>
      </c>
      <c r="D50" s="14" t="s">
        <v>202</v>
      </c>
      <c r="E50" s="217" t="s">
        <v>954</v>
      </c>
      <c r="F50" s="217" t="s">
        <v>1559</v>
      </c>
      <c r="G50" s="218">
        <v>27949</v>
      </c>
      <c r="H50" s="217" t="s">
        <v>830</v>
      </c>
      <c r="I50" s="217" t="s">
        <v>1560</v>
      </c>
      <c r="J50" s="1" t="s">
        <v>3677</v>
      </c>
      <c r="K50" s="217" t="s">
        <v>50</v>
      </c>
      <c r="L50" s="220">
        <v>913694578</v>
      </c>
      <c r="M50" s="206">
        <v>256815975</v>
      </c>
      <c r="N50" s="206">
        <v>656878603</v>
      </c>
      <c r="O50" s="206">
        <v>320369756</v>
      </c>
      <c r="P50" s="206">
        <v>25070424</v>
      </c>
      <c r="Q50" s="206">
        <v>28857902</v>
      </c>
      <c r="R50" s="206">
        <v>22824949</v>
      </c>
      <c r="S50" s="105">
        <v>1</v>
      </c>
      <c r="T50" s="254">
        <f t="shared" si="0"/>
        <v>100</v>
      </c>
      <c r="U50" s="107">
        <f t="shared" si="1"/>
        <v>1</v>
      </c>
      <c r="V50" s="45">
        <v>19</v>
      </c>
      <c r="W50" s="45">
        <v>20</v>
      </c>
      <c r="X50" s="255">
        <f t="shared" si="2"/>
        <v>1</v>
      </c>
      <c r="Y50" s="255">
        <f t="shared" si="3"/>
        <v>-25</v>
      </c>
      <c r="Z50" s="256">
        <f t="shared" si="4"/>
        <v>100</v>
      </c>
      <c r="AA50" s="257">
        <f t="shared" si="5"/>
        <v>100</v>
      </c>
      <c r="AB50" s="116">
        <f t="shared" si="6"/>
        <v>1</v>
      </c>
      <c r="AC50" s="123">
        <v>581</v>
      </c>
      <c r="AD50" s="123">
        <v>556</v>
      </c>
      <c r="AE50" s="257">
        <f t="shared" si="7"/>
        <v>-25</v>
      </c>
      <c r="AF50" s="258">
        <f t="shared" si="8"/>
        <v>-4.3029259896729775</v>
      </c>
      <c r="AG50" s="257">
        <f t="shared" si="9"/>
        <v>20</v>
      </c>
      <c r="AH50" s="124">
        <f t="shared" si="10"/>
        <v>0.8</v>
      </c>
      <c r="AI50" s="105">
        <v>0</v>
      </c>
      <c r="AJ50" s="105">
        <v>0</v>
      </c>
      <c r="AK50" s="105">
        <v>0</v>
      </c>
      <c r="AL50" s="105">
        <v>0</v>
      </c>
      <c r="AM50" s="260">
        <f t="shared" si="11"/>
        <v>0</v>
      </c>
      <c r="AN50" s="260">
        <f t="shared" si="12"/>
        <v>20</v>
      </c>
      <c r="AO50" s="130">
        <f t="shared" si="13"/>
        <v>0.2</v>
      </c>
      <c r="AP50" s="106">
        <v>3005000</v>
      </c>
      <c r="AQ50" s="261">
        <f t="shared" si="14"/>
        <v>13.165418244746133</v>
      </c>
      <c r="AR50" s="261">
        <f t="shared" si="15"/>
        <v>100</v>
      </c>
      <c r="AS50" s="107">
        <f t="shared" si="16"/>
        <v>4</v>
      </c>
      <c r="AT50" s="105">
        <v>1</v>
      </c>
      <c r="AU50" s="105">
        <v>1</v>
      </c>
      <c r="AV50" s="262">
        <f t="shared" si="17"/>
        <v>50</v>
      </c>
      <c r="AW50" s="134">
        <v>3</v>
      </c>
      <c r="AX50" s="447" t="s">
        <v>3678</v>
      </c>
      <c r="AY50" s="262">
        <f t="shared" si="18"/>
        <v>50</v>
      </c>
      <c r="AZ50" s="262">
        <f t="shared" si="19"/>
        <v>100</v>
      </c>
      <c r="BA50" s="38">
        <f t="shared" si="20"/>
        <v>1</v>
      </c>
      <c r="BB50" s="105">
        <v>0</v>
      </c>
      <c r="BC50" s="105">
        <v>0</v>
      </c>
      <c r="BD50" s="105">
        <v>0</v>
      </c>
      <c r="BE50" s="262">
        <f t="shared" si="21"/>
        <v>0</v>
      </c>
      <c r="BF50" s="262">
        <f t="shared" si="22"/>
        <v>50</v>
      </c>
      <c r="BG50" s="38">
        <f t="shared" si="23"/>
        <v>0.5</v>
      </c>
      <c r="BH50" s="255">
        <f t="shared" si="24"/>
        <v>6032953</v>
      </c>
      <c r="BI50" s="256">
        <f t="shared" si="25"/>
        <v>1.8831218886966348</v>
      </c>
      <c r="BJ50" s="256">
        <f t="shared" si="26"/>
        <v>39.123414165224759</v>
      </c>
      <c r="BK50" s="55">
        <f t="shared" si="27"/>
        <v>0.78246828330449514</v>
      </c>
      <c r="BL50" s="137">
        <f t="shared" si="28"/>
        <v>9.282468283304496</v>
      </c>
    </row>
    <row r="51" spans="1:64" x14ac:dyDescent="0.6">
      <c r="A51" s="214" t="s">
        <v>338</v>
      </c>
      <c r="B51" s="13" t="s">
        <v>2028</v>
      </c>
      <c r="C51" s="219" t="s">
        <v>80</v>
      </c>
      <c r="D51" s="216" t="s">
        <v>202</v>
      </c>
      <c r="E51" s="217" t="s">
        <v>954</v>
      </c>
      <c r="F51" s="217" t="s">
        <v>146</v>
      </c>
      <c r="G51" s="218">
        <v>37326</v>
      </c>
      <c r="H51" s="217" t="s">
        <v>830</v>
      </c>
      <c r="I51" s="217" t="s">
        <v>1562</v>
      </c>
      <c r="J51" s="217" t="s">
        <v>1239</v>
      </c>
      <c r="K51" s="217" t="s">
        <v>484</v>
      </c>
      <c r="L51" s="220">
        <v>1219422735</v>
      </c>
      <c r="M51" s="206">
        <v>343607691</v>
      </c>
      <c r="N51" s="206">
        <v>875815044</v>
      </c>
      <c r="O51" s="206">
        <v>1004821817</v>
      </c>
      <c r="P51" s="206">
        <v>113170594</v>
      </c>
      <c r="Q51" s="206">
        <v>122466158</v>
      </c>
      <c r="R51" s="206">
        <v>91032057</v>
      </c>
      <c r="S51" s="105">
        <v>1</v>
      </c>
      <c r="T51" s="254">
        <f t="shared" si="0"/>
        <v>100</v>
      </c>
      <c r="U51" s="107">
        <f t="shared" si="1"/>
        <v>1</v>
      </c>
      <c r="V51" s="45">
        <v>20</v>
      </c>
      <c r="W51" s="45">
        <v>19</v>
      </c>
      <c r="X51" s="255">
        <f t="shared" si="2"/>
        <v>-1</v>
      </c>
      <c r="Y51" s="255">
        <f t="shared" si="3"/>
        <v>-25</v>
      </c>
      <c r="Z51" s="256">
        <f t="shared" si="4"/>
        <v>-100</v>
      </c>
      <c r="AA51" s="257">
        <f t="shared" si="5"/>
        <v>20</v>
      </c>
      <c r="AB51" s="116">
        <f t="shared" si="6"/>
        <v>0.2</v>
      </c>
      <c r="AC51" s="123">
        <v>698</v>
      </c>
      <c r="AD51" s="123">
        <v>673</v>
      </c>
      <c r="AE51" s="257">
        <f t="shared" si="7"/>
        <v>-25</v>
      </c>
      <c r="AF51" s="258">
        <f t="shared" si="8"/>
        <v>-3.5816618911174785</v>
      </c>
      <c r="AG51" s="257">
        <f t="shared" si="9"/>
        <v>20</v>
      </c>
      <c r="AH51" s="124">
        <f t="shared" si="10"/>
        <v>0.8</v>
      </c>
      <c r="AI51" s="105">
        <v>0</v>
      </c>
      <c r="AJ51" s="105">
        <v>0</v>
      </c>
      <c r="AK51" s="105">
        <v>0</v>
      </c>
      <c r="AL51" s="105">
        <v>0</v>
      </c>
      <c r="AM51" s="260">
        <f t="shared" si="11"/>
        <v>0</v>
      </c>
      <c r="AN51" s="260">
        <f t="shared" si="12"/>
        <v>20</v>
      </c>
      <c r="AO51" s="130">
        <f t="shared" si="13"/>
        <v>0.2</v>
      </c>
      <c r="AP51" s="106">
        <v>10077000</v>
      </c>
      <c r="AQ51" s="261">
        <f t="shared" si="14"/>
        <v>11.069726788663031</v>
      </c>
      <c r="AR51" s="261">
        <f t="shared" si="15"/>
        <v>100</v>
      </c>
      <c r="AS51" s="107">
        <f t="shared" si="16"/>
        <v>4</v>
      </c>
      <c r="AT51" s="105">
        <v>1</v>
      </c>
      <c r="AU51" s="105">
        <v>1</v>
      </c>
      <c r="AV51" s="262">
        <f t="shared" si="17"/>
        <v>50</v>
      </c>
      <c r="AW51" s="134">
        <v>3</v>
      </c>
      <c r="AX51" s="134" t="s">
        <v>3558</v>
      </c>
      <c r="AY51" s="262">
        <f t="shared" si="18"/>
        <v>50</v>
      </c>
      <c r="AZ51" s="262">
        <f t="shared" si="19"/>
        <v>100</v>
      </c>
      <c r="BA51" s="38">
        <f t="shared" si="20"/>
        <v>1</v>
      </c>
      <c r="BB51" s="105">
        <v>0</v>
      </c>
      <c r="BC51" s="105">
        <v>0</v>
      </c>
      <c r="BD51" s="105">
        <v>0</v>
      </c>
      <c r="BE51" s="262">
        <f t="shared" si="21"/>
        <v>0</v>
      </c>
      <c r="BF51" s="262">
        <f t="shared" si="22"/>
        <v>50</v>
      </c>
      <c r="BG51" s="38">
        <f t="shared" si="23"/>
        <v>0.5</v>
      </c>
      <c r="BH51" s="255">
        <f t="shared" si="24"/>
        <v>31434101</v>
      </c>
      <c r="BI51" s="256">
        <f t="shared" si="25"/>
        <v>3.1283258850658497</v>
      </c>
      <c r="BJ51" s="256">
        <f t="shared" si="26"/>
        <v>48.46244413799387</v>
      </c>
      <c r="BK51" s="55">
        <f t="shared" si="27"/>
        <v>0.96924888275987742</v>
      </c>
      <c r="BL51" s="137">
        <f t="shared" si="28"/>
        <v>8.6692488827598773</v>
      </c>
    </row>
    <row r="52" spans="1:64" x14ac:dyDescent="0.6">
      <c r="A52" s="214" t="s">
        <v>519</v>
      </c>
      <c r="B52" s="13" t="s">
        <v>2029</v>
      </c>
      <c r="C52" s="219" t="s">
        <v>33</v>
      </c>
      <c r="D52" s="216" t="s">
        <v>202</v>
      </c>
      <c r="E52" s="217" t="s">
        <v>613</v>
      </c>
      <c r="F52" s="217" t="s">
        <v>956</v>
      </c>
      <c r="G52" s="218">
        <v>31936</v>
      </c>
      <c r="H52" s="217" t="s">
        <v>830</v>
      </c>
      <c r="I52" s="217" t="s">
        <v>1563</v>
      </c>
      <c r="J52" s="217" t="s">
        <v>1165</v>
      </c>
      <c r="K52" s="217" t="s">
        <v>690</v>
      </c>
      <c r="L52" s="220">
        <v>692740658</v>
      </c>
      <c r="M52" s="206">
        <v>395155324</v>
      </c>
      <c r="N52" s="206">
        <v>297585335</v>
      </c>
      <c r="O52" s="206">
        <v>1186678750</v>
      </c>
      <c r="P52" s="206">
        <v>24052569</v>
      </c>
      <c r="Q52" s="206">
        <v>10186256</v>
      </c>
      <c r="R52" s="206">
        <v>7026979</v>
      </c>
      <c r="S52" s="105">
        <v>1</v>
      </c>
      <c r="T52" s="254">
        <f t="shared" si="0"/>
        <v>100</v>
      </c>
      <c r="U52" s="107">
        <f t="shared" si="1"/>
        <v>1</v>
      </c>
      <c r="V52" s="45">
        <v>26</v>
      </c>
      <c r="W52" s="45">
        <f>6+4+23</f>
        <v>33</v>
      </c>
      <c r="X52" s="255">
        <f t="shared" si="2"/>
        <v>7</v>
      </c>
      <c r="Y52" s="255">
        <f t="shared" si="3"/>
        <v>27</v>
      </c>
      <c r="Z52" s="256">
        <f t="shared" si="4"/>
        <v>25.925925925925924</v>
      </c>
      <c r="AA52" s="257">
        <f t="shared" si="5"/>
        <v>60</v>
      </c>
      <c r="AB52" s="116">
        <f t="shared" si="6"/>
        <v>0.6</v>
      </c>
      <c r="AC52" s="123">
        <v>399</v>
      </c>
      <c r="AD52" s="123">
        <v>426</v>
      </c>
      <c r="AE52" s="257">
        <f t="shared" si="7"/>
        <v>27</v>
      </c>
      <c r="AF52" s="258">
        <f t="shared" si="8"/>
        <v>6.7669172932330826</v>
      </c>
      <c r="AG52" s="257">
        <f t="shared" si="9"/>
        <v>100</v>
      </c>
      <c r="AH52" s="124">
        <f t="shared" si="10"/>
        <v>4</v>
      </c>
      <c r="AI52" s="105">
        <v>0</v>
      </c>
      <c r="AJ52" s="105">
        <v>0</v>
      </c>
      <c r="AK52" s="105">
        <v>0</v>
      </c>
      <c r="AL52" s="105">
        <v>0</v>
      </c>
      <c r="AM52" s="260">
        <f t="shared" si="11"/>
        <v>0</v>
      </c>
      <c r="AN52" s="260">
        <f t="shared" si="12"/>
        <v>20</v>
      </c>
      <c r="AO52" s="130">
        <f t="shared" si="13"/>
        <v>0.2</v>
      </c>
      <c r="AP52" s="106">
        <v>75342</v>
      </c>
      <c r="AQ52" s="261">
        <f t="shared" si="14"/>
        <v>1.0721819433358204</v>
      </c>
      <c r="AR52" s="261">
        <f t="shared" si="15"/>
        <v>41.082729150037309</v>
      </c>
      <c r="AS52" s="107">
        <f t="shared" si="16"/>
        <v>1.6433091660014925</v>
      </c>
      <c r="AT52" s="105">
        <v>0</v>
      </c>
      <c r="AU52" s="105">
        <v>1</v>
      </c>
      <c r="AV52" s="262">
        <f t="shared" si="17"/>
        <v>25</v>
      </c>
      <c r="AW52" s="134">
        <v>0</v>
      </c>
      <c r="AX52" s="134"/>
      <c r="AY52" s="262">
        <f t="shared" si="18"/>
        <v>0</v>
      </c>
      <c r="AZ52" s="262">
        <f t="shared" si="19"/>
        <v>25</v>
      </c>
      <c r="BA52" s="38">
        <f t="shared" si="20"/>
        <v>0.25</v>
      </c>
      <c r="BB52" s="105">
        <v>0</v>
      </c>
      <c r="BC52" s="105">
        <v>0</v>
      </c>
      <c r="BD52" s="105">
        <v>0</v>
      </c>
      <c r="BE52" s="262">
        <f t="shared" si="21"/>
        <v>0</v>
      </c>
      <c r="BF52" s="262">
        <f t="shared" si="22"/>
        <v>50</v>
      </c>
      <c r="BG52" s="38">
        <f t="shared" si="23"/>
        <v>0.5</v>
      </c>
      <c r="BH52" s="255">
        <f t="shared" si="24"/>
        <v>3159277</v>
      </c>
      <c r="BI52" s="256">
        <f t="shared" si="25"/>
        <v>0.2662284969710631</v>
      </c>
      <c r="BJ52" s="256">
        <f t="shared" si="26"/>
        <v>26.996713727282973</v>
      </c>
      <c r="BK52" s="55">
        <f t="shared" si="27"/>
        <v>0.53993427454565945</v>
      </c>
      <c r="BL52" s="137">
        <f t="shared" si="28"/>
        <v>8.7332434405471524</v>
      </c>
    </row>
    <row r="53" spans="1:64" x14ac:dyDescent="0.6">
      <c r="A53" s="214" t="s">
        <v>1564</v>
      </c>
      <c r="B53" s="13" t="s">
        <v>2030</v>
      </c>
      <c r="C53" s="219" t="s">
        <v>1565</v>
      </c>
      <c r="D53" s="14" t="s">
        <v>285</v>
      </c>
      <c r="E53" s="217" t="s">
        <v>1566</v>
      </c>
      <c r="F53" s="217" t="s">
        <v>1567</v>
      </c>
      <c r="G53" s="218">
        <v>32826</v>
      </c>
      <c r="H53" s="217" t="s">
        <v>830</v>
      </c>
      <c r="I53" s="217" t="s">
        <v>1568</v>
      </c>
      <c r="J53" s="1" t="s">
        <v>3679</v>
      </c>
      <c r="K53" s="217" t="s">
        <v>91</v>
      </c>
      <c r="L53" s="220">
        <v>57863012</v>
      </c>
      <c r="M53" s="206">
        <v>24529480</v>
      </c>
      <c r="N53" s="206">
        <v>33333532</v>
      </c>
      <c r="O53" s="206">
        <v>30093883</v>
      </c>
      <c r="P53" s="206">
        <v>4174665</v>
      </c>
      <c r="Q53" s="206">
        <v>4390397</v>
      </c>
      <c r="R53" s="206">
        <v>4613111</v>
      </c>
      <c r="S53" s="105">
        <v>1</v>
      </c>
      <c r="T53" s="254">
        <f t="shared" si="0"/>
        <v>100</v>
      </c>
      <c r="U53" s="107">
        <f t="shared" si="1"/>
        <v>1</v>
      </c>
      <c r="V53" s="45">
        <v>8</v>
      </c>
      <c r="W53" s="45">
        <v>17</v>
      </c>
      <c r="X53" s="255">
        <f t="shared" si="2"/>
        <v>9</v>
      </c>
      <c r="Y53" s="255">
        <f t="shared" si="3"/>
        <v>3</v>
      </c>
      <c r="Z53" s="256">
        <f t="shared" si="4"/>
        <v>300</v>
      </c>
      <c r="AA53" s="257">
        <f t="shared" si="5"/>
        <v>100</v>
      </c>
      <c r="AB53" s="116">
        <f t="shared" si="6"/>
        <v>1</v>
      </c>
      <c r="AC53" s="123">
        <v>49</v>
      </c>
      <c r="AD53" s="123">
        <v>52</v>
      </c>
      <c r="AE53" s="257">
        <f t="shared" si="7"/>
        <v>3</v>
      </c>
      <c r="AF53" s="258">
        <f t="shared" si="8"/>
        <v>6.1224489795918364</v>
      </c>
      <c r="AG53" s="257">
        <f t="shared" si="9"/>
        <v>100</v>
      </c>
      <c r="AH53" s="124">
        <f t="shared" si="10"/>
        <v>4</v>
      </c>
      <c r="AI53" s="105">
        <v>0</v>
      </c>
      <c r="AJ53" s="105">
        <v>0</v>
      </c>
      <c r="AK53" s="105">
        <v>0</v>
      </c>
      <c r="AL53" s="105">
        <v>0</v>
      </c>
      <c r="AM53" s="260">
        <f t="shared" si="11"/>
        <v>0</v>
      </c>
      <c r="AN53" s="260">
        <f t="shared" si="12"/>
        <v>20</v>
      </c>
      <c r="AO53" s="130">
        <f t="shared" si="13"/>
        <v>0.2</v>
      </c>
      <c r="AP53" s="106">
        <v>49500</v>
      </c>
      <c r="AQ53" s="261">
        <f t="shared" si="14"/>
        <v>1.0730285917681148</v>
      </c>
      <c r="AR53" s="261">
        <f t="shared" si="15"/>
        <v>41.095428876521723</v>
      </c>
      <c r="AS53" s="107">
        <f t="shared" si="16"/>
        <v>1.6438171550608689</v>
      </c>
      <c r="AT53" s="105">
        <v>0</v>
      </c>
      <c r="AU53" s="105">
        <v>0</v>
      </c>
      <c r="AV53" s="262">
        <f t="shared" si="17"/>
        <v>0</v>
      </c>
      <c r="AW53" s="134">
        <v>0</v>
      </c>
      <c r="AX53" s="134"/>
      <c r="AY53" s="262">
        <f t="shared" si="18"/>
        <v>0</v>
      </c>
      <c r="AZ53" s="262">
        <f t="shared" si="19"/>
        <v>0</v>
      </c>
      <c r="BA53" s="38">
        <f t="shared" si="20"/>
        <v>0</v>
      </c>
      <c r="BB53" s="105">
        <v>0</v>
      </c>
      <c r="BC53" s="105">
        <v>0</v>
      </c>
      <c r="BD53" s="105">
        <v>0</v>
      </c>
      <c r="BE53" s="262">
        <f t="shared" si="21"/>
        <v>0</v>
      </c>
      <c r="BF53" s="262">
        <f t="shared" si="22"/>
        <v>50</v>
      </c>
      <c r="BG53" s="38">
        <f t="shared" si="23"/>
        <v>0.5</v>
      </c>
      <c r="BH53" s="255">
        <f t="shared" si="24"/>
        <v>-222714</v>
      </c>
      <c r="BI53" s="256">
        <f t="shared" si="25"/>
        <v>-0.74006401899017149</v>
      </c>
      <c r="BJ53" s="256">
        <f t="shared" si="26"/>
        <v>25</v>
      </c>
      <c r="BK53" s="55">
        <f t="shared" si="27"/>
        <v>0.5</v>
      </c>
      <c r="BL53" s="137">
        <f t="shared" si="28"/>
        <v>8.8438171550608686</v>
      </c>
    </row>
    <row r="54" spans="1:64" x14ac:dyDescent="0.6">
      <c r="A54" s="214" t="s">
        <v>1570</v>
      </c>
      <c r="B54" s="13" t="s">
        <v>2031</v>
      </c>
      <c r="C54" s="219" t="s">
        <v>1571</v>
      </c>
      <c r="D54" s="14" t="s">
        <v>203</v>
      </c>
      <c r="E54" s="217" t="s">
        <v>1067</v>
      </c>
      <c r="F54" s="217" t="s">
        <v>1572</v>
      </c>
      <c r="G54" s="218">
        <v>28306</v>
      </c>
      <c r="H54" s="217" t="s">
        <v>830</v>
      </c>
      <c r="I54" s="217" t="s">
        <v>1573</v>
      </c>
      <c r="J54" s="1" t="s">
        <v>3680</v>
      </c>
      <c r="K54" s="217" t="s">
        <v>91</v>
      </c>
      <c r="L54" s="220">
        <v>342108581</v>
      </c>
      <c r="M54" s="206">
        <v>116198537</v>
      </c>
      <c r="N54" s="206">
        <v>225910045</v>
      </c>
      <c r="O54" s="206">
        <v>202589425</v>
      </c>
      <c r="P54" s="206">
        <v>26820420</v>
      </c>
      <c r="Q54" s="206">
        <v>25169767</v>
      </c>
      <c r="R54" s="206">
        <v>18699263</v>
      </c>
      <c r="S54" s="105">
        <v>0</v>
      </c>
      <c r="T54" s="254">
        <f t="shared" si="0"/>
        <v>0</v>
      </c>
      <c r="U54" s="107">
        <f t="shared" si="1"/>
        <v>0</v>
      </c>
      <c r="V54" s="45">
        <v>57</v>
      </c>
      <c r="W54" s="45">
        <v>56</v>
      </c>
      <c r="X54" s="255">
        <f t="shared" si="2"/>
        <v>-1</v>
      </c>
      <c r="Y54" s="255">
        <f t="shared" si="3"/>
        <v>-45</v>
      </c>
      <c r="Z54" s="256">
        <f t="shared" si="4"/>
        <v>-100</v>
      </c>
      <c r="AA54" s="257">
        <f t="shared" si="5"/>
        <v>20</v>
      </c>
      <c r="AB54" s="116">
        <f t="shared" si="6"/>
        <v>0.2</v>
      </c>
      <c r="AC54" s="123">
        <v>373</v>
      </c>
      <c r="AD54" s="123">
        <v>328</v>
      </c>
      <c r="AE54" s="257">
        <f t="shared" si="7"/>
        <v>-45</v>
      </c>
      <c r="AF54" s="258">
        <f t="shared" si="8"/>
        <v>-12.064343163538874</v>
      </c>
      <c r="AG54" s="257">
        <f t="shared" si="9"/>
        <v>20</v>
      </c>
      <c r="AH54" s="124">
        <f t="shared" si="10"/>
        <v>0.8</v>
      </c>
      <c r="AI54" s="105">
        <v>0</v>
      </c>
      <c r="AJ54" s="105">
        <v>0</v>
      </c>
      <c r="AK54" s="105">
        <v>0</v>
      </c>
      <c r="AL54" s="105">
        <v>0</v>
      </c>
      <c r="AM54" s="260">
        <f t="shared" si="11"/>
        <v>0</v>
      </c>
      <c r="AN54" s="260">
        <f t="shared" si="12"/>
        <v>20</v>
      </c>
      <c r="AO54" s="130">
        <f t="shared" si="13"/>
        <v>0.2</v>
      </c>
      <c r="AP54" s="106">
        <v>2300</v>
      </c>
      <c r="AQ54" s="261">
        <f t="shared" si="14"/>
        <v>1.2299950003377138E-2</v>
      </c>
      <c r="AR54" s="261">
        <f t="shared" si="15"/>
        <v>25.184499250050656</v>
      </c>
      <c r="AS54" s="107">
        <f t="shared" si="16"/>
        <v>1.0073799700020263</v>
      </c>
      <c r="AT54" s="105">
        <v>1</v>
      </c>
      <c r="AU54" s="105">
        <v>1</v>
      </c>
      <c r="AV54" s="262">
        <f t="shared" si="17"/>
        <v>50</v>
      </c>
      <c r="AW54" s="134">
        <v>3</v>
      </c>
      <c r="AX54" s="447" t="s">
        <v>3681</v>
      </c>
      <c r="AY54" s="262">
        <f t="shared" si="18"/>
        <v>50</v>
      </c>
      <c r="AZ54" s="262">
        <f t="shared" si="19"/>
        <v>100</v>
      </c>
      <c r="BA54" s="38">
        <f t="shared" si="20"/>
        <v>1</v>
      </c>
      <c r="BB54" s="105">
        <v>0</v>
      </c>
      <c r="BC54" s="105">
        <v>0</v>
      </c>
      <c r="BD54" s="105">
        <v>0</v>
      </c>
      <c r="BE54" s="262">
        <f t="shared" si="21"/>
        <v>0</v>
      </c>
      <c r="BF54" s="262">
        <f t="shared" si="22"/>
        <v>50</v>
      </c>
      <c r="BG54" s="38">
        <f t="shared" si="23"/>
        <v>0.5</v>
      </c>
      <c r="BH54" s="255">
        <f t="shared" si="24"/>
        <v>6470504</v>
      </c>
      <c r="BI54" s="256">
        <f t="shared" si="25"/>
        <v>3.1939001751942384</v>
      </c>
      <c r="BJ54" s="256">
        <f t="shared" si="26"/>
        <v>48.954251313956789</v>
      </c>
      <c r="BK54" s="55">
        <f t="shared" si="27"/>
        <v>0.97908502627913585</v>
      </c>
      <c r="BL54" s="137">
        <f t="shared" si="28"/>
        <v>4.6864649962811624</v>
      </c>
    </row>
    <row r="55" spans="1:64" x14ac:dyDescent="0.6">
      <c r="A55" s="214" t="s">
        <v>464</v>
      </c>
      <c r="B55" s="13" t="s">
        <v>2032</v>
      </c>
      <c r="C55" s="219" t="s">
        <v>314</v>
      </c>
      <c r="D55" s="216" t="s">
        <v>285</v>
      </c>
      <c r="E55" s="217" t="s">
        <v>978</v>
      </c>
      <c r="F55" s="217" t="s">
        <v>332</v>
      </c>
      <c r="G55" s="218">
        <v>42867</v>
      </c>
      <c r="H55" s="217" t="s">
        <v>830</v>
      </c>
      <c r="I55" s="217" t="s">
        <v>206</v>
      </c>
      <c r="J55" s="217" t="s">
        <v>1023</v>
      </c>
      <c r="K55" s="217" t="s">
        <v>407</v>
      </c>
      <c r="L55" s="220">
        <v>1064615087</v>
      </c>
      <c r="M55" s="206">
        <v>672093137</v>
      </c>
      <c r="N55" s="206">
        <v>392521950</v>
      </c>
      <c r="O55" s="206">
        <v>2304288140</v>
      </c>
      <c r="P55" s="206">
        <v>25053659</v>
      </c>
      <c r="Q55" s="206">
        <v>30627192</v>
      </c>
      <c r="R55" s="206">
        <v>23488574</v>
      </c>
      <c r="S55" s="105">
        <v>1</v>
      </c>
      <c r="T55" s="254">
        <f t="shared" si="0"/>
        <v>100</v>
      </c>
      <c r="U55" s="107">
        <f t="shared" si="1"/>
        <v>1</v>
      </c>
      <c r="V55" s="45">
        <v>20</v>
      </c>
      <c r="W55" s="45">
        <v>19</v>
      </c>
      <c r="X55" s="255">
        <f t="shared" si="2"/>
        <v>-1</v>
      </c>
      <c r="Y55" s="255">
        <f t="shared" si="3"/>
        <v>4</v>
      </c>
      <c r="Z55" s="256">
        <f t="shared" si="4"/>
        <v>-25</v>
      </c>
      <c r="AA55" s="257">
        <f t="shared" si="5"/>
        <v>20</v>
      </c>
      <c r="AB55" s="116">
        <f t="shared" si="6"/>
        <v>0.2</v>
      </c>
      <c r="AC55" s="123">
        <v>258</v>
      </c>
      <c r="AD55" s="123">
        <v>262</v>
      </c>
      <c r="AE55" s="257">
        <f t="shared" si="7"/>
        <v>4</v>
      </c>
      <c r="AF55" s="258">
        <f t="shared" si="8"/>
        <v>1.5503875968992249</v>
      </c>
      <c r="AG55" s="257">
        <f t="shared" si="9"/>
        <v>80</v>
      </c>
      <c r="AH55" s="124">
        <f t="shared" si="10"/>
        <v>3.2</v>
      </c>
      <c r="AI55" s="105">
        <v>0</v>
      </c>
      <c r="AJ55" s="105">
        <v>0</v>
      </c>
      <c r="AK55" s="105">
        <v>0</v>
      </c>
      <c r="AL55" s="105">
        <v>0</v>
      </c>
      <c r="AM55" s="260">
        <f t="shared" si="11"/>
        <v>0</v>
      </c>
      <c r="AN55" s="260">
        <f t="shared" si="12"/>
        <v>20</v>
      </c>
      <c r="AO55" s="130">
        <f t="shared" si="13"/>
        <v>0.2</v>
      </c>
      <c r="AP55" s="106">
        <v>293581</v>
      </c>
      <c r="AQ55" s="261">
        <f t="shared" si="14"/>
        <v>1.2498885628391065</v>
      </c>
      <c r="AR55" s="261">
        <f t="shared" si="15"/>
        <v>43.748328442586597</v>
      </c>
      <c r="AS55" s="107">
        <f t="shared" si="16"/>
        <v>1.7499331377034639</v>
      </c>
      <c r="AT55" s="105">
        <v>1</v>
      </c>
      <c r="AU55" s="105">
        <v>1</v>
      </c>
      <c r="AV55" s="262">
        <f t="shared" si="17"/>
        <v>50</v>
      </c>
      <c r="AW55" s="134">
        <v>3</v>
      </c>
      <c r="AX55" s="134" t="s">
        <v>3559</v>
      </c>
      <c r="AY55" s="262">
        <f t="shared" si="18"/>
        <v>50</v>
      </c>
      <c r="AZ55" s="262">
        <f t="shared" si="19"/>
        <v>100</v>
      </c>
      <c r="BA55" s="38">
        <f t="shared" si="20"/>
        <v>1</v>
      </c>
      <c r="BB55" s="105">
        <v>0</v>
      </c>
      <c r="BC55" s="105">
        <v>0</v>
      </c>
      <c r="BD55" s="105">
        <v>0</v>
      </c>
      <c r="BE55" s="262">
        <f t="shared" si="21"/>
        <v>0</v>
      </c>
      <c r="BF55" s="262">
        <f t="shared" si="22"/>
        <v>50</v>
      </c>
      <c r="BG55" s="38">
        <f t="shared" si="23"/>
        <v>0.5</v>
      </c>
      <c r="BH55" s="255">
        <f t="shared" si="24"/>
        <v>7138618</v>
      </c>
      <c r="BI55" s="256">
        <f t="shared" si="25"/>
        <v>0.30979710723156351</v>
      </c>
      <c r="BJ55" s="256">
        <f t="shared" si="26"/>
        <v>27.323478304236726</v>
      </c>
      <c r="BK55" s="55">
        <f t="shared" si="27"/>
        <v>0.54646956608473451</v>
      </c>
      <c r="BL55" s="137">
        <f t="shared" si="28"/>
        <v>8.3964027037881994</v>
      </c>
    </row>
    <row r="56" spans="1:64" x14ac:dyDescent="0.6">
      <c r="A56" s="214" t="s">
        <v>489</v>
      </c>
      <c r="B56" s="13" t="s">
        <v>2033</v>
      </c>
      <c r="C56" s="219" t="s">
        <v>474</v>
      </c>
      <c r="D56" s="216" t="s">
        <v>285</v>
      </c>
      <c r="E56" s="217" t="s">
        <v>867</v>
      </c>
      <c r="F56" s="217" t="s">
        <v>1225</v>
      </c>
      <c r="G56" s="218">
        <v>35094</v>
      </c>
      <c r="H56" s="217" t="s">
        <v>830</v>
      </c>
      <c r="I56" s="217" t="s">
        <v>1575</v>
      </c>
      <c r="J56" s="217" t="s">
        <v>1065</v>
      </c>
      <c r="K56" s="217" t="s">
        <v>934</v>
      </c>
      <c r="L56" s="220">
        <v>1800240035</v>
      </c>
      <c r="M56" s="206">
        <v>1098232792</v>
      </c>
      <c r="N56" s="206">
        <v>702007244</v>
      </c>
      <c r="O56" s="206">
        <v>2052333741</v>
      </c>
      <c r="P56" s="206">
        <v>96367097</v>
      </c>
      <c r="Q56" s="206">
        <v>87514929</v>
      </c>
      <c r="R56" s="206">
        <v>58220411</v>
      </c>
      <c r="S56" s="105">
        <v>1</v>
      </c>
      <c r="T56" s="254">
        <f t="shared" si="0"/>
        <v>100</v>
      </c>
      <c r="U56" s="107">
        <f t="shared" si="1"/>
        <v>1</v>
      </c>
      <c r="V56" s="45">
        <v>37</v>
      </c>
      <c r="W56" s="45">
        <v>58</v>
      </c>
      <c r="X56" s="255">
        <f t="shared" si="2"/>
        <v>21</v>
      </c>
      <c r="Y56" s="255">
        <f t="shared" si="3"/>
        <v>106</v>
      </c>
      <c r="Z56" s="256">
        <f t="shared" si="4"/>
        <v>19.811320754716981</v>
      </c>
      <c r="AA56" s="257">
        <f t="shared" si="5"/>
        <v>40</v>
      </c>
      <c r="AB56" s="116">
        <f t="shared" si="6"/>
        <v>0.4</v>
      </c>
      <c r="AC56" s="123">
        <v>921</v>
      </c>
      <c r="AD56" s="123">
        <v>1027</v>
      </c>
      <c r="AE56" s="257">
        <f t="shared" si="7"/>
        <v>106</v>
      </c>
      <c r="AF56" s="258">
        <f t="shared" si="8"/>
        <v>11.509229098805646</v>
      </c>
      <c r="AG56" s="257">
        <f t="shared" si="9"/>
        <v>100</v>
      </c>
      <c r="AH56" s="124">
        <f t="shared" si="10"/>
        <v>4</v>
      </c>
      <c r="AI56" s="105">
        <v>0</v>
      </c>
      <c r="AJ56" s="105">
        <v>0</v>
      </c>
      <c r="AK56" s="105">
        <v>0</v>
      </c>
      <c r="AL56" s="105">
        <v>0</v>
      </c>
      <c r="AM56" s="260">
        <f t="shared" si="11"/>
        <v>0</v>
      </c>
      <c r="AN56" s="260">
        <f t="shared" si="12"/>
        <v>20</v>
      </c>
      <c r="AO56" s="130">
        <f t="shared" si="13"/>
        <v>0.2</v>
      </c>
      <c r="AP56" s="106">
        <v>2073250</v>
      </c>
      <c r="AQ56" s="261">
        <f t="shared" si="14"/>
        <v>3.5610363520106372</v>
      </c>
      <c r="AR56" s="261">
        <f t="shared" si="15"/>
        <v>78.415545280159563</v>
      </c>
      <c r="AS56" s="107">
        <f t="shared" si="16"/>
        <v>3.1366218112063824</v>
      </c>
      <c r="AT56" s="105">
        <v>1</v>
      </c>
      <c r="AU56" s="105">
        <v>1</v>
      </c>
      <c r="AV56" s="262">
        <f t="shared" si="17"/>
        <v>50</v>
      </c>
      <c r="AW56" s="134">
        <v>3</v>
      </c>
      <c r="AX56" s="134" t="s">
        <v>3560</v>
      </c>
      <c r="AY56" s="262">
        <f t="shared" si="18"/>
        <v>50</v>
      </c>
      <c r="AZ56" s="262">
        <f t="shared" si="19"/>
        <v>100</v>
      </c>
      <c r="BA56" s="38">
        <f t="shared" si="20"/>
        <v>1</v>
      </c>
      <c r="BB56" s="105">
        <v>0</v>
      </c>
      <c r="BC56" s="105">
        <v>0</v>
      </c>
      <c r="BD56" s="105">
        <v>0</v>
      </c>
      <c r="BE56" s="262">
        <f t="shared" si="21"/>
        <v>0</v>
      </c>
      <c r="BF56" s="262">
        <f t="shared" si="22"/>
        <v>50</v>
      </c>
      <c r="BG56" s="38">
        <f t="shared" si="23"/>
        <v>0.5</v>
      </c>
      <c r="BH56" s="255">
        <f t="shared" si="24"/>
        <v>29294518</v>
      </c>
      <c r="BI56" s="256">
        <f t="shared" si="25"/>
        <v>1.427375938658312</v>
      </c>
      <c r="BJ56" s="256">
        <f t="shared" si="26"/>
        <v>35.705319539937342</v>
      </c>
      <c r="BK56" s="55">
        <f t="shared" si="27"/>
        <v>0.71410639079874683</v>
      </c>
      <c r="BL56" s="137">
        <f t="shared" si="28"/>
        <v>10.950728202005131</v>
      </c>
    </row>
    <row r="57" spans="1:64" x14ac:dyDescent="0.6">
      <c r="A57" s="214" t="s">
        <v>5</v>
      </c>
      <c r="B57" s="13" t="s">
        <v>2034</v>
      </c>
      <c r="C57" s="219" t="s">
        <v>514</v>
      </c>
      <c r="D57" s="216" t="s">
        <v>191</v>
      </c>
      <c r="E57" s="217" t="s">
        <v>1020</v>
      </c>
      <c r="F57" s="217" t="s">
        <v>1078</v>
      </c>
      <c r="G57" s="218">
        <v>33252</v>
      </c>
      <c r="H57" s="217" t="s">
        <v>830</v>
      </c>
      <c r="I57" s="217" t="s">
        <v>994</v>
      </c>
      <c r="J57" s="217" t="s">
        <v>1021</v>
      </c>
      <c r="K57" s="217" t="s">
        <v>484</v>
      </c>
      <c r="L57" s="220">
        <v>252929703</v>
      </c>
      <c r="M57" s="206">
        <v>156846243</v>
      </c>
      <c r="N57" s="206">
        <v>96083460</v>
      </c>
      <c r="O57" s="206">
        <v>272260521</v>
      </c>
      <c r="P57" s="206">
        <v>5775173</v>
      </c>
      <c r="Q57" s="206">
        <v>1931650</v>
      </c>
      <c r="R57" s="206">
        <v>1853171</v>
      </c>
      <c r="S57" s="105">
        <v>1</v>
      </c>
      <c r="T57" s="254">
        <f t="shared" si="0"/>
        <v>100</v>
      </c>
      <c r="U57" s="107">
        <f t="shared" si="1"/>
        <v>1</v>
      </c>
      <c r="V57" s="45">
        <v>21</v>
      </c>
      <c r="W57" s="190">
        <f>21+1</f>
        <v>22</v>
      </c>
      <c r="X57" s="255">
        <f t="shared" si="2"/>
        <v>1</v>
      </c>
      <c r="Y57" s="255">
        <f t="shared" si="3"/>
        <v>-4</v>
      </c>
      <c r="Z57" s="256">
        <f t="shared" si="4"/>
        <v>100</v>
      </c>
      <c r="AA57" s="257">
        <f t="shared" si="5"/>
        <v>100</v>
      </c>
      <c r="AB57" s="116">
        <f t="shared" si="6"/>
        <v>1</v>
      </c>
      <c r="AC57" s="123">
        <v>121</v>
      </c>
      <c r="AD57" s="123">
        <v>117</v>
      </c>
      <c r="AE57" s="257">
        <f t="shared" si="7"/>
        <v>-4</v>
      </c>
      <c r="AF57" s="258">
        <f t="shared" si="8"/>
        <v>-3.3057851239669422</v>
      </c>
      <c r="AG57" s="257">
        <f t="shared" si="9"/>
        <v>20</v>
      </c>
      <c r="AH57" s="124">
        <f t="shared" si="10"/>
        <v>0.8</v>
      </c>
      <c r="AI57" s="105">
        <v>0</v>
      </c>
      <c r="AJ57" s="105">
        <v>0</v>
      </c>
      <c r="AK57" s="105">
        <v>0</v>
      </c>
      <c r="AL57" s="105">
        <v>0</v>
      </c>
      <c r="AM57" s="260">
        <f t="shared" si="11"/>
        <v>0</v>
      </c>
      <c r="AN57" s="260">
        <f t="shared" si="12"/>
        <v>20</v>
      </c>
      <c r="AO57" s="130">
        <f t="shared" si="13"/>
        <v>0.2</v>
      </c>
      <c r="AP57" s="106">
        <v>16300</v>
      </c>
      <c r="AQ57" s="261">
        <f t="shared" si="14"/>
        <v>0.87957344465243625</v>
      </c>
      <c r="AR57" s="261">
        <f t="shared" si="15"/>
        <v>38.193601669786545</v>
      </c>
      <c r="AS57" s="107">
        <f t="shared" si="16"/>
        <v>1.5277440667914619</v>
      </c>
      <c r="AT57" s="105">
        <v>0</v>
      </c>
      <c r="AU57" s="105">
        <v>1</v>
      </c>
      <c r="AV57" s="262">
        <f t="shared" si="17"/>
        <v>25</v>
      </c>
      <c r="AW57" s="134">
        <v>0</v>
      </c>
      <c r="AX57" s="134"/>
      <c r="AY57" s="262">
        <f t="shared" si="18"/>
        <v>0</v>
      </c>
      <c r="AZ57" s="262">
        <f t="shared" si="19"/>
        <v>25</v>
      </c>
      <c r="BA57" s="38">
        <f t="shared" si="20"/>
        <v>0.25</v>
      </c>
      <c r="BB57" s="105">
        <v>0</v>
      </c>
      <c r="BC57" s="105">
        <v>0</v>
      </c>
      <c r="BD57" s="105">
        <v>0</v>
      </c>
      <c r="BE57" s="262">
        <f t="shared" si="21"/>
        <v>0</v>
      </c>
      <c r="BF57" s="262">
        <f t="shared" si="22"/>
        <v>50</v>
      </c>
      <c r="BG57" s="38">
        <f t="shared" si="23"/>
        <v>0.5</v>
      </c>
      <c r="BH57" s="255">
        <f t="shared" si="24"/>
        <v>78479</v>
      </c>
      <c r="BI57" s="256">
        <f t="shared" si="25"/>
        <v>2.8824965041479519E-2</v>
      </c>
      <c r="BJ57" s="256">
        <f t="shared" si="26"/>
        <v>25.216187237811095</v>
      </c>
      <c r="BK57" s="55">
        <f t="shared" si="27"/>
        <v>0.50432374475622188</v>
      </c>
      <c r="BL57" s="137">
        <f t="shared" si="28"/>
        <v>5.7820678115476838</v>
      </c>
    </row>
    <row r="58" spans="1:64" x14ac:dyDescent="0.6">
      <c r="A58" s="214" t="s">
        <v>896</v>
      </c>
      <c r="B58" s="13" t="s">
        <v>2035</v>
      </c>
      <c r="C58" s="219" t="s">
        <v>501</v>
      </c>
      <c r="D58" s="216" t="s">
        <v>203</v>
      </c>
      <c r="E58" s="217" t="s">
        <v>200</v>
      </c>
      <c r="F58" s="217" t="s">
        <v>173</v>
      </c>
      <c r="G58" s="218">
        <v>33082</v>
      </c>
      <c r="H58" s="217" t="s">
        <v>830</v>
      </c>
      <c r="I58" s="217" t="s">
        <v>1576</v>
      </c>
      <c r="J58" s="217" t="s">
        <v>1237</v>
      </c>
      <c r="K58" s="217" t="s">
        <v>91</v>
      </c>
      <c r="L58" s="220">
        <v>10091235345</v>
      </c>
      <c r="M58" s="206">
        <v>1690777750</v>
      </c>
      <c r="N58" s="206">
        <v>8400457595</v>
      </c>
      <c r="O58" s="206">
        <v>8081377635</v>
      </c>
      <c r="P58" s="206">
        <v>931364084</v>
      </c>
      <c r="Q58" s="206">
        <v>876898600</v>
      </c>
      <c r="R58" s="206">
        <v>656193706</v>
      </c>
      <c r="S58" s="105">
        <v>1</v>
      </c>
      <c r="T58" s="254">
        <f t="shared" si="0"/>
        <v>100</v>
      </c>
      <c r="U58" s="107">
        <f t="shared" si="1"/>
        <v>1</v>
      </c>
      <c r="V58" s="45">
        <v>65</v>
      </c>
      <c r="W58" s="45">
        <v>88</v>
      </c>
      <c r="X58" s="255">
        <f t="shared" si="2"/>
        <v>23</v>
      </c>
      <c r="Y58" s="255">
        <f t="shared" si="3"/>
        <v>88</v>
      </c>
      <c r="Z58" s="256">
        <f t="shared" si="4"/>
        <v>26.136363636363637</v>
      </c>
      <c r="AA58" s="257">
        <f t="shared" si="5"/>
        <v>60</v>
      </c>
      <c r="AB58" s="116">
        <f t="shared" si="6"/>
        <v>0.6</v>
      </c>
      <c r="AC58" s="123">
        <v>1448</v>
      </c>
      <c r="AD58" s="123">
        <v>1536</v>
      </c>
      <c r="AE58" s="257">
        <f t="shared" si="7"/>
        <v>88</v>
      </c>
      <c r="AF58" s="258">
        <f t="shared" si="8"/>
        <v>6.0773480662983426</v>
      </c>
      <c r="AG58" s="257">
        <f t="shared" si="9"/>
        <v>100</v>
      </c>
      <c r="AH58" s="124">
        <f t="shared" si="10"/>
        <v>4</v>
      </c>
      <c r="AI58" s="105">
        <v>0</v>
      </c>
      <c r="AJ58" s="105">
        <v>0</v>
      </c>
      <c r="AK58" s="105">
        <v>0</v>
      </c>
      <c r="AL58" s="105">
        <v>0</v>
      </c>
      <c r="AM58" s="260">
        <f t="shared" si="11"/>
        <v>0</v>
      </c>
      <c r="AN58" s="260">
        <f t="shared" si="12"/>
        <v>20</v>
      </c>
      <c r="AO58" s="130">
        <f t="shared" si="13"/>
        <v>0.2</v>
      </c>
      <c r="AP58" s="106">
        <v>7957571</v>
      </c>
      <c r="AQ58" s="261">
        <f t="shared" si="14"/>
        <v>1.2126862734645005</v>
      </c>
      <c r="AR58" s="261">
        <f t="shared" si="15"/>
        <v>43.19029410196751</v>
      </c>
      <c r="AS58" s="107">
        <f t="shared" si="16"/>
        <v>1.7276117640787003</v>
      </c>
      <c r="AT58" s="105">
        <v>0</v>
      </c>
      <c r="AU58" s="105">
        <v>1</v>
      </c>
      <c r="AV58" s="262">
        <f t="shared" si="17"/>
        <v>25</v>
      </c>
      <c r="AW58" s="134">
        <v>4</v>
      </c>
      <c r="AX58" s="134" t="s">
        <v>3561</v>
      </c>
      <c r="AY58" s="262">
        <f t="shared" si="18"/>
        <v>50</v>
      </c>
      <c r="AZ58" s="262">
        <f t="shared" si="19"/>
        <v>75</v>
      </c>
      <c r="BA58" s="38">
        <f t="shared" si="20"/>
        <v>0.75</v>
      </c>
      <c r="BB58" s="105">
        <v>0</v>
      </c>
      <c r="BC58" s="105">
        <v>0</v>
      </c>
      <c r="BD58" s="105">
        <v>0</v>
      </c>
      <c r="BE58" s="262">
        <f t="shared" si="21"/>
        <v>0</v>
      </c>
      <c r="BF58" s="262">
        <f t="shared" si="22"/>
        <v>50</v>
      </c>
      <c r="BG58" s="38">
        <f t="shared" si="23"/>
        <v>0.5</v>
      </c>
      <c r="BH58" s="255">
        <f t="shared" si="24"/>
        <v>220704894</v>
      </c>
      <c r="BI58" s="256">
        <f t="shared" si="25"/>
        <v>2.7310305738484404</v>
      </c>
      <c r="BJ58" s="256">
        <f t="shared" si="26"/>
        <v>45.482729303863302</v>
      </c>
      <c r="BK58" s="55">
        <f t="shared" si="27"/>
        <v>0.90965458607726601</v>
      </c>
      <c r="BL58" s="137">
        <f t="shared" si="28"/>
        <v>9.6872663501559657</v>
      </c>
    </row>
    <row r="59" spans="1:64" x14ac:dyDescent="0.6">
      <c r="A59" s="214" t="s">
        <v>520</v>
      </c>
      <c r="B59" s="13" t="s">
        <v>2036</v>
      </c>
      <c r="C59" s="219" t="s">
        <v>401</v>
      </c>
      <c r="D59" s="216" t="s">
        <v>203</v>
      </c>
      <c r="E59" s="217" t="s">
        <v>195</v>
      </c>
      <c r="F59" s="217" t="s">
        <v>636</v>
      </c>
      <c r="G59" s="218">
        <v>27905</v>
      </c>
      <c r="H59" s="217" t="s">
        <v>830</v>
      </c>
      <c r="I59" s="217" t="s">
        <v>591</v>
      </c>
      <c r="J59" s="217" t="s">
        <v>1028</v>
      </c>
      <c r="K59" s="217" t="s">
        <v>484</v>
      </c>
      <c r="L59" s="220">
        <v>1426860291</v>
      </c>
      <c r="M59" s="206">
        <v>243570816</v>
      </c>
      <c r="N59" s="206">
        <v>1183289475</v>
      </c>
      <c r="O59" s="206">
        <v>559167200</v>
      </c>
      <c r="P59" s="206">
        <v>43001257</v>
      </c>
      <c r="Q59" s="206">
        <v>60233515</v>
      </c>
      <c r="R59" s="206">
        <v>45128788</v>
      </c>
      <c r="S59" s="105">
        <v>1</v>
      </c>
      <c r="T59" s="254">
        <f t="shared" si="0"/>
        <v>100</v>
      </c>
      <c r="U59" s="107">
        <f t="shared" si="1"/>
        <v>1</v>
      </c>
      <c r="V59" s="45">
        <v>57</v>
      </c>
      <c r="W59" s="45">
        <v>52</v>
      </c>
      <c r="X59" s="255">
        <f t="shared" si="2"/>
        <v>-5</v>
      </c>
      <c r="Y59" s="255">
        <f t="shared" si="3"/>
        <v>-34</v>
      </c>
      <c r="Z59" s="256">
        <f t="shared" si="4"/>
        <v>-500</v>
      </c>
      <c r="AA59" s="257">
        <f t="shared" si="5"/>
        <v>20</v>
      </c>
      <c r="AB59" s="116">
        <f t="shared" si="6"/>
        <v>0.2</v>
      </c>
      <c r="AC59" s="123">
        <v>783</v>
      </c>
      <c r="AD59" s="123">
        <v>749</v>
      </c>
      <c r="AE59" s="257">
        <f t="shared" si="7"/>
        <v>-34</v>
      </c>
      <c r="AF59" s="258">
        <f t="shared" si="8"/>
        <v>-4.3422733077905491</v>
      </c>
      <c r="AG59" s="257">
        <f t="shared" si="9"/>
        <v>20</v>
      </c>
      <c r="AH59" s="124">
        <f t="shared" si="10"/>
        <v>0.8</v>
      </c>
      <c r="AI59" s="105">
        <v>0</v>
      </c>
      <c r="AJ59" s="105">
        <v>0</v>
      </c>
      <c r="AK59" s="105">
        <v>0</v>
      </c>
      <c r="AL59" s="105">
        <v>0</v>
      </c>
      <c r="AM59" s="260">
        <f t="shared" si="11"/>
        <v>0</v>
      </c>
      <c r="AN59" s="260">
        <f t="shared" si="12"/>
        <v>20</v>
      </c>
      <c r="AO59" s="130">
        <f t="shared" si="13"/>
        <v>0.2</v>
      </c>
      <c r="AP59" s="106">
        <v>458000</v>
      </c>
      <c r="AQ59" s="261">
        <f t="shared" si="14"/>
        <v>1.0148732556256552</v>
      </c>
      <c r="AR59" s="261">
        <f t="shared" si="15"/>
        <v>40.223098834384828</v>
      </c>
      <c r="AS59" s="107">
        <f t="shared" si="16"/>
        <v>1.6089239533753932</v>
      </c>
      <c r="AT59" s="105">
        <v>0</v>
      </c>
      <c r="AU59" s="105">
        <v>1</v>
      </c>
      <c r="AV59" s="262">
        <f t="shared" si="17"/>
        <v>25</v>
      </c>
      <c r="AW59" s="134">
        <v>0</v>
      </c>
      <c r="AX59" s="134"/>
      <c r="AY59" s="262">
        <f t="shared" si="18"/>
        <v>0</v>
      </c>
      <c r="AZ59" s="262">
        <f t="shared" si="19"/>
        <v>25</v>
      </c>
      <c r="BA59" s="38">
        <f t="shared" si="20"/>
        <v>0.25</v>
      </c>
      <c r="BB59" s="105">
        <v>0</v>
      </c>
      <c r="BC59" s="105">
        <v>0</v>
      </c>
      <c r="BD59" s="105">
        <v>0</v>
      </c>
      <c r="BE59" s="262">
        <f t="shared" si="21"/>
        <v>0</v>
      </c>
      <c r="BF59" s="262">
        <f t="shared" si="22"/>
        <v>50</v>
      </c>
      <c r="BG59" s="38">
        <f t="shared" si="23"/>
        <v>0.5</v>
      </c>
      <c r="BH59" s="255">
        <f t="shared" si="24"/>
        <v>15104727</v>
      </c>
      <c r="BI59" s="256">
        <f t="shared" si="25"/>
        <v>2.7012898825252982</v>
      </c>
      <c r="BJ59" s="256">
        <f t="shared" si="26"/>
        <v>45.259674118939735</v>
      </c>
      <c r="BK59" s="55">
        <f t="shared" si="27"/>
        <v>0.90519348237879471</v>
      </c>
      <c r="BL59" s="137">
        <f t="shared" si="28"/>
        <v>5.4641174357541873</v>
      </c>
    </row>
    <row r="60" spans="1:64" x14ac:dyDescent="0.6">
      <c r="A60" s="214" t="s">
        <v>549</v>
      </c>
      <c r="B60" s="13" t="s">
        <v>2037</v>
      </c>
      <c r="C60" s="219" t="s">
        <v>365</v>
      </c>
      <c r="D60" s="216" t="s">
        <v>191</v>
      </c>
      <c r="E60" s="217" t="s">
        <v>34</v>
      </c>
      <c r="F60" s="217" t="s">
        <v>566</v>
      </c>
      <c r="G60" s="218">
        <v>32829</v>
      </c>
      <c r="H60" s="217" t="s">
        <v>830</v>
      </c>
      <c r="I60" s="217" t="s">
        <v>693</v>
      </c>
      <c r="J60" s="217" t="s">
        <v>974</v>
      </c>
      <c r="K60" s="217" t="s">
        <v>91</v>
      </c>
      <c r="L60" s="220">
        <v>767629606</v>
      </c>
      <c r="M60" s="206">
        <v>261642769</v>
      </c>
      <c r="N60" s="206">
        <v>505986838</v>
      </c>
      <c r="O60" s="206">
        <v>850526444</v>
      </c>
      <c r="P60" s="206">
        <v>33566313</v>
      </c>
      <c r="Q60" s="206">
        <v>31909767</v>
      </c>
      <c r="R60" s="206">
        <v>23739402</v>
      </c>
      <c r="S60" s="105">
        <v>1</v>
      </c>
      <c r="T60" s="254">
        <f t="shared" si="0"/>
        <v>100</v>
      </c>
      <c r="U60" s="107">
        <f t="shared" si="1"/>
        <v>1</v>
      </c>
      <c r="V60" s="45">
        <v>195</v>
      </c>
      <c r="W60" s="45">
        <v>199</v>
      </c>
      <c r="X60" s="255">
        <f t="shared" si="2"/>
        <v>4</v>
      </c>
      <c r="Y60" s="255">
        <f t="shared" si="3"/>
        <v>-5</v>
      </c>
      <c r="Z60" s="256">
        <f t="shared" si="4"/>
        <v>400</v>
      </c>
      <c r="AA60" s="257">
        <f t="shared" si="5"/>
        <v>100</v>
      </c>
      <c r="AB60" s="116">
        <f t="shared" si="6"/>
        <v>1</v>
      </c>
      <c r="AC60" s="123">
        <v>1011</v>
      </c>
      <c r="AD60" s="123">
        <v>1006</v>
      </c>
      <c r="AE60" s="257">
        <f t="shared" si="7"/>
        <v>-5</v>
      </c>
      <c r="AF60" s="258">
        <f t="shared" si="8"/>
        <v>-0.4945598417408506</v>
      </c>
      <c r="AG60" s="257">
        <f t="shared" si="9"/>
        <v>20</v>
      </c>
      <c r="AH60" s="124">
        <f t="shared" si="10"/>
        <v>0.8</v>
      </c>
      <c r="AI60" s="105">
        <v>0</v>
      </c>
      <c r="AJ60" s="105">
        <v>0</v>
      </c>
      <c r="AK60" s="105">
        <v>0</v>
      </c>
      <c r="AL60" s="105">
        <v>0</v>
      </c>
      <c r="AM60" s="260">
        <f t="shared" si="11"/>
        <v>0</v>
      </c>
      <c r="AN60" s="260">
        <f t="shared" si="12"/>
        <v>20</v>
      </c>
      <c r="AO60" s="130">
        <f t="shared" si="13"/>
        <v>0.2</v>
      </c>
      <c r="AP60" s="106">
        <v>948293</v>
      </c>
      <c r="AQ60" s="261">
        <f t="shared" si="14"/>
        <v>3.994595146078237</v>
      </c>
      <c r="AR60" s="261">
        <f t="shared" si="15"/>
        <v>84.918927191173552</v>
      </c>
      <c r="AS60" s="107">
        <f t="shared" si="16"/>
        <v>3.3967570876469422</v>
      </c>
      <c r="AT60" s="105">
        <v>1</v>
      </c>
      <c r="AU60" s="105">
        <v>1</v>
      </c>
      <c r="AV60" s="262">
        <f t="shared" si="17"/>
        <v>50</v>
      </c>
      <c r="AW60" s="134">
        <v>3</v>
      </c>
      <c r="AX60" s="134" t="s">
        <v>3562</v>
      </c>
      <c r="AY60" s="262">
        <f t="shared" si="18"/>
        <v>50</v>
      </c>
      <c r="AZ60" s="262">
        <f t="shared" si="19"/>
        <v>100</v>
      </c>
      <c r="BA60" s="38">
        <f t="shared" si="20"/>
        <v>1</v>
      </c>
      <c r="BB60" s="105">
        <v>0</v>
      </c>
      <c r="BC60" s="105">
        <v>0</v>
      </c>
      <c r="BD60" s="105">
        <v>0</v>
      </c>
      <c r="BE60" s="262">
        <f t="shared" si="21"/>
        <v>0</v>
      </c>
      <c r="BF60" s="262">
        <f t="shared" si="22"/>
        <v>50</v>
      </c>
      <c r="BG60" s="38">
        <f t="shared" si="23"/>
        <v>0.5</v>
      </c>
      <c r="BH60" s="255">
        <f t="shared" si="24"/>
        <v>8170365</v>
      </c>
      <c r="BI60" s="256">
        <f t="shared" si="25"/>
        <v>0.96062445296527432</v>
      </c>
      <c r="BJ60" s="256">
        <f t="shared" si="26"/>
        <v>32.204683397239556</v>
      </c>
      <c r="BK60" s="55">
        <f t="shared" si="27"/>
        <v>0.64409366794479117</v>
      </c>
      <c r="BL60" s="137">
        <f t="shared" si="28"/>
        <v>8.5408507555917339</v>
      </c>
    </row>
    <row r="61" spans="1:64" x14ac:dyDescent="0.6">
      <c r="A61" s="214" t="s">
        <v>1577</v>
      </c>
      <c r="B61" s="13" t="s">
        <v>2038</v>
      </c>
      <c r="C61" s="219" t="s">
        <v>101</v>
      </c>
      <c r="D61" s="216" t="s">
        <v>202</v>
      </c>
      <c r="E61" s="217" t="s">
        <v>382</v>
      </c>
      <c r="F61" s="217" t="s">
        <v>127</v>
      </c>
      <c r="G61" s="218">
        <v>33130</v>
      </c>
      <c r="H61" s="217" t="s">
        <v>830</v>
      </c>
      <c r="I61" s="217" t="s">
        <v>369</v>
      </c>
      <c r="J61" s="217" t="s">
        <v>1032</v>
      </c>
      <c r="K61" s="217" t="s">
        <v>690</v>
      </c>
      <c r="L61" s="220">
        <v>153664335</v>
      </c>
      <c r="M61" s="206">
        <v>48649816</v>
      </c>
      <c r="N61" s="206">
        <v>105014518</v>
      </c>
      <c r="O61" s="206">
        <v>130228176</v>
      </c>
      <c r="P61" s="206">
        <v>4340165</v>
      </c>
      <c r="Q61" s="206">
        <v>4654301</v>
      </c>
      <c r="R61" s="206">
        <v>4153557</v>
      </c>
      <c r="S61" s="105">
        <v>1</v>
      </c>
      <c r="T61" s="254">
        <f t="shared" si="0"/>
        <v>100</v>
      </c>
      <c r="U61" s="107">
        <f t="shared" si="1"/>
        <v>1</v>
      </c>
      <c r="V61" s="45">
        <v>7</v>
      </c>
      <c r="W61" s="45">
        <f>3+5</f>
        <v>8</v>
      </c>
      <c r="X61" s="255">
        <f t="shared" si="2"/>
        <v>1</v>
      </c>
      <c r="Y61" s="255">
        <f t="shared" si="3"/>
        <v>-9</v>
      </c>
      <c r="Z61" s="256">
        <f t="shared" si="4"/>
        <v>100</v>
      </c>
      <c r="AA61" s="257">
        <f t="shared" si="5"/>
        <v>100</v>
      </c>
      <c r="AB61" s="116">
        <f t="shared" si="6"/>
        <v>1</v>
      </c>
      <c r="AC61" s="123">
        <v>196</v>
      </c>
      <c r="AD61" s="123">
        <v>187</v>
      </c>
      <c r="AE61" s="257">
        <f t="shared" si="7"/>
        <v>-9</v>
      </c>
      <c r="AF61" s="258">
        <f t="shared" si="8"/>
        <v>-4.591836734693878</v>
      </c>
      <c r="AG61" s="257">
        <f t="shared" si="9"/>
        <v>20</v>
      </c>
      <c r="AH61" s="124">
        <f t="shared" si="10"/>
        <v>0.8</v>
      </c>
      <c r="AI61" s="105">
        <v>0</v>
      </c>
      <c r="AJ61" s="105">
        <v>0</v>
      </c>
      <c r="AK61" s="105">
        <v>0</v>
      </c>
      <c r="AL61" s="105">
        <v>0</v>
      </c>
      <c r="AM61" s="260">
        <f t="shared" si="11"/>
        <v>0</v>
      </c>
      <c r="AN61" s="260">
        <f t="shared" si="12"/>
        <v>20</v>
      </c>
      <c r="AO61" s="130">
        <f t="shared" si="13"/>
        <v>0.2</v>
      </c>
      <c r="AP61" s="106">
        <v>5000</v>
      </c>
      <c r="AQ61" s="261">
        <f t="shared" si="14"/>
        <v>0.12037875006891682</v>
      </c>
      <c r="AR61" s="261">
        <f t="shared" si="15"/>
        <v>26.805681251033754</v>
      </c>
      <c r="AS61" s="107">
        <f t="shared" si="16"/>
        <v>1.0722272500413501</v>
      </c>
      <c r="AT61" s="105">
        <v>0</v>
      </c>
      <c r="AU61" s="105">
        <v>1</v>
      </c>
      <c r="AV61" s="262">
        <f t="shared" si="17"/>
        <v>25</v>
      </c>
      <c r="AW61" s="134">
        <v>0</v>
      </c>
      <c r="AX61" s="134"/>
      <c r="AY61" s="262">
        <f t="shared" si="18"/>
        <v>0</v>
      </c>
      <c r="AZ61" s="262">
        <f t="shared" si="19"/>
        <v>25</v>
      </c>
      <c r="BA61" s="38">
        <f t="shared" si="20"/>
        <v>0.25</v>
      </c>
      <c r="BB61" s="105">
        <v>0</v>
      </c>
      <c r="BC61" s="105">
        <v>0</v>
      </c>
      <c r="BD61" s="105">
        <v>0</v>
      </c>
      <c r="BE61" s="262">
        <f t="shared" si="21"/>
        <v>0</v>
      </c>
      <c r="BF61" s="262">
        <f t="shared" si="22"/>
        <v>50</v>
      </c>
      <c r="BG61" s="38">
        <f t="shared" si="23"/>
        <v>0.5</v>
      </c>
      <c r="BH61" s="255">
        <f t="shared" si="24"/>
        <v>500744</v>
      </c>
      <c r="BI61" s="256">
        <f t="shared" si="25"/>
        <v>0.38451279544912004</v>
      </c>
      <c r="BJ61" s="256">
        <f t="shared" si="26"/>
        <v>27.883845965868399</v>
      </c>
      <c r="BK61" s="55">
        <f t="shared" si="27"/>
        <v>0.55767691931736796</v>
      </c>
      <c r="BL61" s="137">
        <f t="shared" si="28"/>
        <v>5.379904169358718</v>
      </c>
    </row>
    <row r="62" spans="1:64" x14ac:dyDescent="0.6">
      <c r="A62" s="214" t="s">
        <v>353</v>
      </c>
      <c r="B62" s="13" t="s">
        <v>2039</v>
      </c>
      <c r="C62" s="219" t="s">
        <v>492</v>
      </c>
      <c r="D62" s="216" t="s">
        <v>285</v>
      </c>
      <c r="E62" s="217" t="s">
        <v>504</v>
      </c>
      <c r="F62" s="217" t="s">
        <v>713</v>
      </c>
      <c r="G62" s="218">
        <v>37294</v>
      </c>
      <c r="H62" s="217" t="s">
        <v>830</v>
      </c>
      <c r="I62" s="217" t="s">
        <v>727</v>
      </c>
      <c r="J62" s="217" t="s">
        <v>1250</v>
      </c>
      <c r="K62" s="217" t="s">
        <v>487</v>
      </c>
      <c r="L62" s="220">
        <v>913454051</v>
      </c>
      <c r="M62" s="206">
        <v>123544315</v>
      </c>
      <c r="N62" s="206">
        <v>789909736</v>
      </c>
      <c r="O62" s="206">
        <v>184873955</v>
      </c>
      <c r="P62" s="206">
        <v>65584851</v>
      </c>
      <c r="Q62" s="206">
        <v>76860200</v>
      </c>
      <c r="R62" s="206">
        <v>56946615</v>
      </c>
      <c r="S62" s="105">
        <v>1</v>
      </c>
      <c r="T62" s="254">
        <f t="shared" si="0"/>
        <v>100</v>
      </c>
      <c r="U62" s="107">
        <f t="shared" si="1"/>
        <v>1</v>
      </c>
      <c r="V62" s="45">
        <v>123</v>
      </c>
      <c r="W62" s="45">
        <v>128</v>
      </c>
      <c r="X62" s="255">
        <f t="shared" si="2"/>
        <v>5</v>
      </c>
      <c r="Y62" s="255">
        <f t="shared" si="3"/>
        <v>1</v>
      </c>
      <c r="Z62" s="256">
        <f t="shared" si="4"/>
        <v>500</v>
      </c>
      <c r="AA62" s="257">
        <f t="shared" si="5"/>
        <v>100</v>
      </c>
      <c r="AB62" s="116">
        <f t="shared" si="6"/>
        <v>1</v>
      </c>
      <c r="AC62" s="123">
        <v>169</v>
      </c>
      <c r="AD62" s="123">
        <v>170</v>
      </c>
      <c r="AE62" s="257">
        <f t="shared" si="7"/>
        <v>1</v>
      </c>
      <c r="AF62" s="258">
        <f t="shared" si="8"/>
        <v>0.59171597633136097</v>
      </c>
      <c r="AG62" s="257">
        <f t="shared" si="9"/>
        <v>60</v>
      </c>
      <c r="AH62" s="124">
        <f t="shared" si="10"/>
        <v>2.4</v>
      </c>
      <c r="AI62" s="105">
        <v>0</v>
      </c>
      <c r="AJ62" s="105">
        <v>0</v>
      </c>
      <c r="AK62" s="105">
        <v>0</v>
      </c>
      <c r="AL62" s="105">
        <v>0</v>
      </c>
      <c r="AM62" s="260">
        <f t="shared" si="11"/>
        <v>0</v>
      </c>
      <c r="AN62" s="260">
        <f t="shared" si="12"/>
        <v>20</v>
      </c>
      <c r="AO62" s="130">
        <f t="shared" si="13"/>
        <v>0.2</v>
      </c>
      <c r="AP62" s="106">
        <v>622266</v>
      </c>
      <c r="AQ62" s="261">
        <f t="shared" si="14"/>
        <v>1.0927181536602306</v>
      </c>
      <c r="AR62" s="261">
        <f t="shared" si="15"/>
        <v>41.390772304903457</v>
      </c>
      <c r="AS62" s="107">
        <f t="shared" si="16"/>
        <v>1.6556308921961382</v>
      </c>
      <c r="AT62" s="105">
        <v>0</v>
      </c>
      <c r="AU62" s="105">
        <v>1</v>
      </c>
      <c r="AV62" s="262">
        <f t="shared" si="17"/>
        <v>25</v>
      </c>
      <c r="AW62" s="134">
        <v>3</v>
      </c>
      <c r="AX62" s="134" t="s">
        <v>3563</v>
      </c>
      <c r="AY62" s="262">
        <f t="shared" si="18"/>
        <v>50</v>
      </c>
      <c r="AZ62" s="262">
        <f t="shared" si="19"/>
        <v>75</v>
      </c>
      <c r="BA62" s="38">
        <f t="shared" si="20"/>
        <v>0.75</v>
      </c>
      <c r="BB62" s="105">
        <v>0</v>
      </c>
      <c r="BC62" s="105">
        <v>0</v>
      </c>
      <c r="BD62" s="105">
        <v>0</v>
      </c>
      <c r="BE62" s="262">
        <f t="shared" si="21"/>
        <v>0</v>
      </c>
      <c r="BF62" s="262">
        <f t="shared" si="22"/>
        <v>50</v>
      </c>
      <c r="BG62" s="38">
        <f t="shared" si="23"/>
        <v>0.5</v>
      </c>
      <c r="BH62" s="255">
        <f t="shared" si="24"/>
        <v>19913585</v>
      </c>
      <c r="BI62" s="256">
        <f t="shared" si="25"/>
        <v>10.771438843291907</v>
      </c>
      <c r="BJ62" s="256">
        <f t="shared" si="26"/>
        <v>100</v>
      </c>
      <c r="BK62" s="55">
        <f t="shared" si="27"/>
        <v>2</v>
      </c>
      <c r="BL62" s="137">
        <f t="shared" si="28"/>
        <v>9.5056308921961392</v>
      </c>
    </row>
    <row r="63" spans="1:64" x14ac:dyDescent="0.6">
      <c r="A63" s="214" t="s">
        <v>1578</v>
      </c>
      <c r="B63" s="13" t="s">
        <v>2040</v>
      </c>
      <c r="C63" s="219" t="s">
        <v>1579</v>
      </c>
      <c r="D63" s="79" t="s">
        <v>350</v>
      </c>
      <c r="E63" s="217" t="s">
        <v>179</v>
      </c>
      <c r="F63" s="217" t="s">
        <v>992</v>
      </c>
      <c r="G63" s="218">
        <v>37455</v>
      </c>
      <c r="H63" s="217" t="s">
        <v>830</v>
      </c>
      <c r="I63" s="217" t="s">
        <v>1580</v>
      </c>
      <c r="J63" s="1" t="s">
        <v>3682</v>
      </c>
      <c r="K63" s="217" t="s">
        <v>91</v>
      </c>
      <c r="L63" s="220">
        <v>12149139534</v>
      </c>
      <c r="M63" s="206">
        <v>10584274049</v>
      </c>
      <c r="N63" s="206">
        <v>1564865485</v>
      </c>
      <c r="O63" s="206">
        <v>4036211805</v>
      </c>
      <c r="P63" s="206">
        <v>90025670</v>
      </c>
      <c r="Q63" s="206">
        <v>63262018</v>
      </c>
      <c r="R63" s="206">
        <v>44599774</v>
      </c>
      <c r="S63" s="105">
        <v>1</v>
      </c>
      <c r="T63" s="254">
        <f t="shared" si="0"/>
        <v>100</v>
      </c>
      <c r="U63" s="107">
        <f t="shared" si="1"/>
        <v>1</v>
      </c>
      <c r="V63" s="45">
        <f>127+201</f>
        <v>328</v>
      </c>
      <c r="W63" s="45">
        <f>127+201</f>
        <v>328</v>
      </c>
      <c r="X63" s="255">
        <f t="shared" si="2"/>
        <v>0</v>
      </c>
      <c r="Y63" s="255">
        <f t="shared" si="3"/>
        <v>0</v>
      </c>
      <c r="Z63" s="256">
        <f t="shared" si="4"/>
        <v>0</v>
      </c>
      <c r="AA63" s="257">
        <f t="shared" si="5"/>
        <v>20</v>
      </c>
      <c r="AB63" s="116">
        <f t="shared" si="6"/>
        <v>0.2</v>
      </c>
      <c r="AC63" s="123">
        <v>779</v>
      </c>
      <c r="AD63" s="123">
        <v>779</v>
      </c>
      <c r="AE63" s="257">
        <f t="shared" si="7"/>
        <v>0</v>
      </c>
      <c r="AF63" s="258">
        <f t="shared" si="8"/>
        <v>0</v>
      </c>
      <c r="AG63" s="257">
        <f t="shared" si="9"/>
        <v>40</v>
      </c>
      <c r="AH63" s="124">
        <f t="shared" si="10"/>
        <v>1.6</v>
      </c>
      <c r="AI63" s="105">
        <v>0</v>
      </c>
      <c r="AJ63" s="105">
        <v>0</v>
      </c>
      <c r="AK63" s="105">
        <v>0</v>
      </c>
      <c r="AL63" s="105">
        <v>0</v>
      </c>
      <c r="AM63" s="260">
        <f t="shared" si="11"/>
        <v>0</v>
      </c>
      <c r="AN63" s="260">
        <f t="shared" si="12"/>
        <v>20</v>
      </c>
      <c r="AO63" s="130">
        <f t="shared" si="13"/>
        <v>0.2</v>
      </c>
      <c r="AP63" s="106">
        <v>185502</v>
      </c>
      <c r="AQ63" s="261">
        <f t="shared" si="14"/>
        <v>0.41592587442259238</v>
      </c>
      <c r="AR63" s="261">
        <f t="shared" si="15"/>
        <v>31.238888116338885</v>
      </c>
      <c r="AS63" s="107">
        <f t="shared" si="16"/>
        <v>1.2495555246535555</v>
      </c>
      <c r="AT63" s="105">
        <v>1</v>
      </c>
      <c r="AU63" s="105">
        <v>1</v>
      </c>
      <c r="AV63" s="262">
        <f t="shared" si="17"/>
        <v>50</v>
      </c>
      <c r="AW63" s="134">
        <v>4</v>
      </c>
      <c r="AX63" s="447" t="s">
        <v>3683</v>
      </c>
      <c r="AY63" s="262">
        <f t="shared" si="18"/>
        <v>50</v>
      </c>
      <c r="AZ63" s="262">
        <f t="shared" si="19"/>
        <v>100</v>
      </c>
      <c r="BA63" s="38">
        <f t="shared" si="20"/>
        <v>1</v>
      </c>
      <c r="BB63" s="105">
        <v>0</v>
      </c>
      <c r="BC63" s="105">
        <v>0</v>
      </c>
      <c r="BD63" s="105">
        <v>0</v>
      </c>
      <c r="BE63" s="262">
        <f t="shared" si="21"/>
        <v>0</v>
      </c>
      <c r="BF63" s="262">
        <f t="shared" si="22"/>
        <v>50</v>
      </c>
      <c r="BG63" s="38">
        <f t="shared" si="23"/>
        <v>0.5</v>
      </c>
      <c r="BH63" s="255">
        <f t="shared" si="24"/>
        <v>18662244</v>
      </c>
      <c r="BI63" s="256">
        <f t="shared" si="25"/>
        <v>0.46237028435627398</v>
      </c>
      <c r="BJ63" s="256">
        <f t="shared" si="26"/>
        <v>28.467777132672055</v>
      </c>
      <c r="BK63" s="55">
        <f t="shared" si="27"/>
        <v>0.56935554265344113</v>
      </c>
      <c r="BL63" s="137">
        <f t="shared" si="28"/>
        <v>6.3189110673069964</v>
      </c>
    </row>
    <row r="64" spans="1:64" x14ac:dyDescent="0.6">
      <c r="A64" s="214" t="s">
        <v>1582</v>
      </c>
      <c r="B64" s="13" t="s">
        <v>2041</v>
      </c>
      <c r="C64" s="219" t="s">
        <v>322</v>
      </c>
      <c r="D64" s="216" t="s">
        <v>191</v>
      </c>
      <c r="E64" s="217" t="s">
        <v>568</v>
      </c>
      <c r="F64" s="217" t="s">
        <v>176</v>
      </c>
      <c r="G64" s="218">
        <v>44147</v>
      </c>
      <c r="H64" s="217" t="s">
        <v>830</v>
      </c>
      <c r="I64" s="217" t="s">
        <v>719</v>
      </c>
      <c r="J64" s="217" t="s">
        <v>1045</v>
      </c>
      <c r="K64" s="217" t="s">
        <v>31</v>
      </c>
      <c r="L64" s="220">
        <v>262827323</v>
      </c>
      <c r="M64" s="206">
        <v>108764144</v>
      </c>
      <c r="N64" s="206">
        <v>154063179</v>
      </c>
      <c r="O64" s="206">
        <v>498874562</v>
      </c>
      <c r="P64" s="206">
        <v>2862765</v>
      </c>
      <c r="Q64" s="206">
        <v>2792639</v>
      </c>
      <c r="R64" s="206">
        <v>2643471</v>
      </c>
      <c r="S64" s="105">
        <v>1</v>
      </c>
      <c r="T64" s="254">
        <f t="shared" si="0"/>
        <v>100</v>
      </c>
      <c r="U64" s="107">
        <f t="shared" si="1"/>
        <v>1</v>
      </c>
      <c r="V64" s="45">
        <v>80</v>
      </c>
      <c r="W64" s="45">
        <v>89</v>
      </c>
      <c r="X64" s="255">
        <f t="shared" si="2"/>
        <v>9</v>
      </c>
      <c r="Y64" s="255">
        <f t="shared" si="3"/>
        <v>45</v>
      </c>
      <c r="Z64" s="256">
        <f t="shared" si="4"/>
        <v>20</v>
      </c>
      <c r="AA64" s="257">
        <f t="shared" si="5"/>
        <v>60</v>
      </c>
      <c r="AB64" s="116">
        <f t="shared" si="6"/>
        <v>0.6</v>
      </c>
      <c r="AC64" s="123">
        <v>279</v>
      </c>
      <c r="AD64" s="123">
        <v>324</v>
      </c>
      <c r="AE64" s="257">
        <f t="shared" si="7"/>
        <v>45</v>
      </c>
      <c r="AF64" s="258">
        <f t="shared" si="8"/>
        <v>16.129032258064516</v>
      </c>
      <c r="AG64" s="257">
        <f t="shared" si="9"/>
        <v>100</v>
      </c>
      <c r="AH64" s="124">
        <f t="shared" si="10"/>
        <v>4</v>
      </c>
      <c r="AI64" s="105">
        <v>0</v>
      </c>
      <c r="AJ64" s="105">
        <v>0</v>
      </c>
      <c r="AK64" s="105">
        <v>0</v>
      </c>
      <c r="AL64" s="105">
        <v>0</v>
      </c>
      <c r="AM64" s="260">
        <f t="shared" si="11"/>
        <v>0</v>
      </c>
      <c r="AN64" s="260">
        <f t="shared" si="12"/>
        <v>20</v>
      </c>
      <c r="AO64" s="130">
        <f t="shared" si="13"/>
        <v>0.2</v>
      </c>
      <c r="AP64" s="106">
        <v>1957948</v>
      </c>
      <c r="AQ64" s="261">
        <f t="shared" si="14"/>
        <v>74.067315283579802</v>
      </c>
      <c r="AR64" s="261">
        <f t="shared" si="15"/>
        <v>100</v>
      </c>
      <c r="AS64" s="107">
        <f t="shared" si="16"/>
        <v>4</v>
      </c>
      <c r="AT64" s="105">
        <v>1</v>
      </c>
      <c r="AU64" s="105">
        <v>1</v>
      </c>
      <c r="AV64" s="262">
        <f t="shared" si="17"/>
        <v>50</v>
      </c>
      <c r="AW64" s="134">
        <v>3</v>
      </c>
      <c r="AX64" s="134" t="s">
        <v>3564</v>
      </c>
      <c r="AY64" s="262">
        <f t="shared" si="18"/>
        <v>50</v>
      </c>
      <c r="AZ64" s="262">
        <f t="shared" si="19"/>
        <v>100</v>
      </c>
      <c r="BA64" s="38">
        <f t="shared" si="20"/>
        <v>1</v>
      </c>
      <c r="BB64" s="105">
        <v>0</v>
      </c>
      <c r="BC64" s="105">
        <v>0</v>
      </c>
      <c r="BD64" s="105">
        <v>0</v>
      </c>
      <c r="BE64" s="262">
        <f t="shared" si="21"/>
        <v>0</v>
      </c>
      <c r="BF64" s="262">
        <f t="shared" si="22"/>
        <v>50</v>
      </c>
      <c r="BG64" s="38">
        <f t="shared" si="23"/>
        <v>0.5</v>
      </c>
      <c r="BH64" s="255">
        <f t="shared" si="24"/>
        <v>149168</v>
      </c>
      <c r="BI64" s="256">
        <f t="shared" si="25"/>
        <v>2.9900903225448482E-2</v>
      </c>
      <c r="BJ64" s="256">
        <f t="shared" si="26"/>
        <v>25.224256774190863</v>
      </c>
      <c r="BK64" s="55">
        <f t="shared" si="27"/>
        <v>0.50448513548381724</v>
      </c>
      <c r="BL64" s="137">
        <f t="shared" si="28"/>
        <v>11.804485135483818</v>
      </c>
    </row>
    <row r="65" spans="1:64" x14ac:dyDescent="0.6">
      <c r="A65" s="214" t="s">
        <v>512</v>
      </c>
      <c r="B65" s="13" t="s">
        <v>2042</v>
      </c>
      <c r="C65" s="219" t="s">
        <v>14</v>
      </c>
      <c r="D65" s="216" t="s">
        <v>203</v>
      </c>
      <c r="E65" s="217" t="s">
        <v>188</v>
      </c>
      <c r="F65" s="217" t="s">
        <v>582</v>
      </c>
      <c r="G65" s="218">
        <v>38645</v>
      </c>
      <c r="H65" s="217" t="s">
        <v>830</v>
      </c>
      <c r="I65" s="217" t="s">
        <v>703</v>
      </c>
      <c r="J65" s="217" t="s">
        <v>1055</v>
      </c>
      <c r="K65" s="217" t="s">
        <v>425</v>
      </c>
      <c r="L65" s="220">
        <v>196645335</v>
      </c>
      <c r="M65" s="206">
        <v>74168153</v>
      </c>
      <c r="N65" s="206">
        <v>122477182</v>
      </c>
      <c r="O65" s="206">
        <v>324927356</v>
      </c>
      <c r="P65" s="206">
        <v>17219652</v>
      </c>
      <c r="Q65" s="206">
        <v>5989331</v>
      </c>
      <c r="R65" s="206">
        <v>2870341</v>
      </c>
      <c r="S65" s="105">
        <v>1</v>
      </c>
      <c r="T65" s="254">
        <f t="shared" si="0"/>
        <v>100</v>
      </c>
      <c r="U65" s="107">
        <f t="shared" si="1"/>
        <v>1</v>
      </c>
      <c r="V65" s="45">
        <v>11</v>
      </c>
      <c r="W65" s="45">
        <f>10</f>
        <v>10</v>
      </c>
      <c r="X65" s="255">
        <f t="shared" si="2"/>
        <v>-1</v>
      </c>
      <c r="Y65" s="255">
        <f t="shared" si="3"/>
        <v>6</v>
      </c>
      <c r="Z65" s="256">
        <f t="shared" si="4"/>
        <v>-16.666666666666664</v>
      </c>
      <c r="AA65" s="257">
        <f t="shared" si="5"/>
        <v>20</v>
      </c>
      <c r="AB65" s="116">
        <f t="shared" si="6"/>
        <v>0.2</v>
      </c>
      <c r="AC65" s="123">
        <v>165</v>
      </c>
      <c r="AD65" s="123">
        <v>171</v>
      </c>
      <c r="AE65" s="257">
        <f t="shared" si="7"/>
        <v>6</v>
      </c>
      <c r="AF65" s="258">
        <f t="shared" si="8"/>
        <v>3.6363636363636362</v>
      </c>
      <c r="AG65" s="257">
        <f t="shared" si="9"/>
        <v>100</v>
      </c>
      <c r="AH65" s="124">
        <f t="shared" si="10"/>
        <v>4</v>
      </c>
      <c r="AI65" s="105">
        <v>0</v>
      </c>
      <c r="AJ65" s="105">
        <v>0</v>
      </c>
      <c r="AK65" s="105">
        <v>0</v>
      </c>
      <c r="AL65" s="105">
        <v>0</v>
      </c>
      <c r="AM65" s="260">
        <f t="shared" si="11"/>
        <v>0</v>
      </c>
      <c r="AN65" s="260">
        <f t="shared" si="12"/>
        <v>20</v>
      </c>
      <c r="AO65" s="130">
        <f t="shared" si="13"/>
        <v>0.2</v>
      </c>
      <c r="AP65" s="106">
        <v>14700</v>
      </c>
      <c r="AQ65" s="261">
        <f t="shared" si="14"/>
        <v>0.51213427254810495</v>
      </c>
      <c r="AR65" s="261">
        <f t="shared" si="15"/>
        <v>32.682014088221571</v>
      </c>
      <c r="AS65" s="107">
        <f t="shared" si="16"/>
        <v>1.3072805635288629</v>
      </c>
      <c r="AT65" s="105">
        <v>0</v>
      </c>
      <c r="AU65" s="105">
        <v>1</v>
      </c>
      <c r="AV65" s="262">
        <f t="shared" si="17"/>
        <v>25</v>
      </c>
      <c r="AW65" s="134">
        <v>0</v>
      </c>
      <c r="AX65" s="134"/>
      <c r="AY65" s="262">
        <f t="shared" si="18"/>
        <v>0</v>
      </c>
      <c r="AZ65" s="262">
        <f t="shared" si="19"/>
        <v>25</v>
      </c>
      <c r="BA65" s="38">
        <f t="shared" si="20"/>
        <v>0.25</v>
      </c>
      <c r="BB65" s="105">
        <v>0</v>
      </c>
      <c r="BC65" s="105">
        <v>0</v>
      </c>
      <c r="BD65" s="105">
        <v>0</v>
      </c>
      <c r="BE65" s="262">
        <f t="shared" si="21"/>
        <v>0</v>
      </c>
      <c r="BF65" s="262">
        <f t="shared" si="22"/>
        <v>50</v>
      </c>
      <c r="BG65" s="38">
        <f t="shared" si="23"/>
        <v>0.5</v>
      </c>
      <c r="BH65" s="255">
        <f t="shared" si="24"/>
        <v>3118990</v>
      </c>
      <c r="BI65" s="256">
        <f t="shared" si="25"/>
        <v>0.95990378846402824</v>
      </c>
      <c r="BJ65" s="256">
        <f t="shared" si="26"/>
        <v>32.199278413480215</v>
      </c>
      <c r="BK65" s="55">
        <f t="shared" si="27"/>
        <v>0.64398556826960429</v>
      </c>
      <c r="BL65" s="137">
        <f t="shared" si="28"/>
        <v>8.101266131798468</v>
      </c>
    </row>
    <row r="66" spans="1:64" x14ac:dyDescent="0.6">
      <c r="A66" s="214" t="s">
        <v>863</v>
      </c>
      <c r="B66" s="13" t="s">
        <v>2043</v>
      </c>
      <c r="C66" s="219" t="s">
        <v>106</v>
      </c>
      <c r="D66" s="216" t="s">
        <v>203</v>
      </c>
      <c r="E66" s="217" t="s">
        <v>187</v>
      </c>
      <c r="F66" s="217" t="s">
        <v>143</v>
      </c>
      <c r="G66" s="218">
        <v>33269</v>
      </c>
      <c r="H66" s="217" t="s">
        <v>830</v>
      </c>
      <c r="I66" s="217" t="s">
        <v>570</v>
      </c>
      <c r="J66" s="217" t="s">
        <v>1054</v>
      </c>
      <c r="K66" s="217" t="s">
        <v>50</v>
      </c>
      <c r="L66" s="220">
        <v>315529254</v>
      </c>
      <c r="M66" s="206">
        <v>128655873</v>
      </c>
      <c r="N66" s="206">
        <v>186873382</v>
      </c>
      <c r="O66" s="206">
        <v>1220548455</v>
      </c>
      <c r="P66" s="206">
        <v>27189227</v>
      </c>
      <c r="Q66" s="206">
        <v>23861778</v>
      </c>
      <c r="R66" s="206">
        <v>17593831</v>
      </c>
      <c r="S66" s="105">
        <v>1</v>
      </c>
      <c r="T66" s="254">
        <f t="shared" si="0"/>
        <v>100</v>
      </c>
      <c r="U66" s="107">
        <f t="shared" si="1"/>
        <v>1</v>
      </c>
      <c r="V66" s="45">
        <v>23</v>
      </c>
      <c r="W66" s="45">
        <f>15+1+3+1</f>
        <v>20</v>
      </c>
      <c r="X66" s="255">
        <f t="shared" si="2"/>
        <v>-3</v>
      </c>
      <c r="Y66" s="255">
        <f t="shared" si="3"/>
        <v>-7</v>
      </c>
      <c r="Z66" s="256">
        <f t="shared" si="4"/>
        <v>-300</v>
      </c>
      <c r="AA66" s="257">
        <f t="shared" si="5"/>
        <v>20</v>
      </c>
      <c r="AB66" s="116">
        <f t="shared" si="6"/>
        <v>0.2</v>
      </c>
      <c r="AC66" s="123">
        <v>114</v>
      </c>
      <c r="AD66" s="123">
        <v>107</v>
      </c>
      <c r="AE66" s="257">
        <f t="shared" si="7"/>
        <v>-7</v>
      </c>
      <c r="AF66" s="258">
        <f t="shared" si="8"/>
        <v>-6.140350877192982</v>
      </c>
      <c r="AG66" s="257">
        <f t="shared" si="9"/>
        <v>20</v>
      </c>
      <c r="AH66" s="124">
        <f t="shared" si="10"/>
        <v>0.8</v>
      </c>
      <c r="AI66" s="105">
        <v>0</v>
      </c>
      <c r="AJ66" s="105">
        <v>0</v>
      </c>
      <c r="AK66" s="105">
        <v>0</v>
      </c>
      <c r="AL66" s="105">
        <v>0</v>
      </c>
      <c r="AM66" s="260">
        <f t="shared" si="11"/>
        <v>0</v>
      </c>
      <c r="AN66" s="260">
        <f t="shared" si="12"/>
        <v>20</v>
      </c>
      <c r="AO66" s="130">
        <f t="shared" si="13"/>
        <v>0.2</v>
      </c>
      <c r="AP66" s="440">
        <v>0</v>
      </c>
      <c r="AQ66" s="261">
        <f t="shared" si="14"/>
        <v>0</v>
      </c>
      <c r="AR66" s="261">
        <f t="shared" si="15"/>
        <v>25</v>
      </c>
      <c r="AS66" s="107">
        <f t="shared" si="16"/>
        <v>1</v>
      </c>
      <c r="AT66" s="105">
        <v>0</v>
      </c>
      <c r="AU66" s="105">
        <v>1</v>
      </c>
      <c r="AV66" s="262">
        <f t="shared" si="17"/>
        <v>25</v>
      </c>
      <c r="AW66" s="134">
        <v>0</v>
      </c>
      <c r="AX66" s="134"/>
      <c r="AY66" s="262">
        <f t="shared" si="18"/>
        <v>0</v>
      </c>
      <c r="AZ66" s="262">
        <f t="shared" si="19"/>
        <v>25</v>
      </c>
      <c r="BA66" s="38">
        <f t="shared" si="20"/>
        <v>0.25</v>
      </c>
      <c r="BB66" s="105">
        <v>0</v>
      </c>
      <c r="BC66" s="105">
        <v>0</v>
      </c>
      <c r="BD66" s="105">
        <v>0</v>
      </c>
      <c r="BE66" s="262">
        <f t="shared" si="21"/>
        <v>0</v>
      </c>
      <c r="BF66" s="262">
        <f t="shared" si="22"/>
        <v>50</v>
      </c>
      <c r="BG66" s="38">
        <f t="shared" si="23"/>
        <v>0.5</v>
      </c>
      <c r="BH66" s="255">
        <f t="shared" si="24"/>
        <v>6267947</v>
      </c>
      <c r="BI66" s="256">
        <f t="shared" si="25"/>
        <v>0.51353528606940879</v>
      </c>
      <c r="BJ66" s="256">
        <f t="shared" si="26"/>
        <v>28.851514645520567</v>
      </c>
      <c r="BK66" s="55">
        <f t="shared" si="27"/>
        <v>0.5770302929104113</v>
      </c>
      <c r="BL66" s="137">
        <f t="shared" si="28"/>
        <v>4.5270302929104114</v>
      </c>
    </row>
    <row r="67" spans="1:64" x14ac:dyDescent="0.6">
      <c r="A67" s="214" t="s">
        <v>941</v>
      </c>
      <c r="B67" s="13" t="s">
        <v>2044</v>
      </c>
      <c r="C67" s="219" t="s">
        <v>866</v>
      </c>
      <c r="D67" s="216" t="s">
        <v>285</v>
      </c>
      <c r="E67" s="217" t="s">
        <v>872</v>
      </c>
      <c r="F67" s="217" t="s">
        <v>1106</v>
      </c>
      <c r="G67" s="218">
        <v>27937</v>
      </c>
      <c r="H67" s="217" t="s">
        <v>830</v>
      </c>
      <c r="I67" s="217" t="s">
        <v>779</v>
      </c>
      <c r="J67" s="217" t="s">
        <v>1030</v>
      </c>
      <c r="K67" s="217" t="s">
        <v>341</v>
      </c>
      <c r="L67" s="220">
        <v>1690618825</v>
      </c>
      <c r="M67" s="206">
        <v>1132886300</v>
      </c>
      <c r="N67" s="206">
        <v>557732525</v>
      </c>
      <c r="O67" s="206">
        <v>2041695477</v>
      </c>
      <c r="P67" s="206">
        <v>55276798</v>
      </c>
      <c r="Q67" s="206">
        <v>60210595</v>
      </c>
      <c r="R67" s="206">
        <v>23918674</v>
      </c>
      <c r="S67" s="105">
        <v>1</v>
      </c>
      <c r="T67" s="254">
        <f t="shared" ref="T67:T129" si="29">IF(S67=1, 100, 0)</f>
        <v>100</v>
      </c>
      <c r="U67" s="107">
        <f t="shared" ref="U67:U129" si="30">T67*0.01</f>
        <v>1</v>
      </c>
      <c r="V67" s="45">
        <v>42</v>
      </c>
      <c r="W67" s="45">
        <f>47</f>
        <v>47</v>
      </c>
      <c r="X67" s="255">
        <f t="shared" ref="X67:X129" si="31">W67-V67</f>
        <v>5</v>
      </c>
      <c r="Y67" s="255">
        <f t="shared" ref="Y67:Y129" si="32">AD67-AC67</f>
        <v>33</v>
      </c>
      <c r="Z67" s="256">
        <f t="shared" ref="Z67:Z129" si="33">IF(Y67&lt;1, X67*100, (X67/Y67)*100)</f>
        <v>15.151515151515152</v>
      </c>
      <c r="AA67" s="257">
        <f t="shared" ref="AA67:AA129" si="34">IF(Z67&lt;10, 20, IF(Z67&lt;20, 40, IF(Z67&lt;30, 60, IF(Z67&lt;40, 80, IF(Z67&gt;=40, 100)))))</f>
        <v>40</v>
      </c>
      <c r="AB67" s="116">
        <f t="shared" ref="AB67:AB129" si="35">AA67*0.01</f>
        <v>0.4</v>
      </c>
      <c r="AC67" s="123">
        <v>831</v>
      </c>
      <c r="AD67" s="123">
        <v>864</v>
      </c>
      <c r="AE67" s="257">
        <f t="shared" ref="AE67:AE129" si="36">AD67-AC67</f>
        <v>33</v>
      </c>
      <c r="AF67" s="258">
        <f t="shared" ref="AF67:AF129" si="37">(AE67/AC67)*100</f>
        <v>3.9711191335740073</v>
      </c>
      <c r="AG67" s="257">
        <f t="shared" ref="AG67:AG129" si="38">IF(AF67&lt;0, 20, IF(AF67&lt;0.5, 40, IF(AF67&lt;1.5, 60, IF(AF67&lt;2.5, 80, IF(AF67&gt;=2.5, 100)))))</f>
        <v>100</v>
      </c>
      <c r="AH67" s="124">
        <f t="shared" ref="AH67:AH129" si="39">AG67*0.04</f>
        <v>4</v>
      </c>
      <c r="AI67" s="105">
        <v>0</v>
      </c>
      <c r="AJ67" s="105">
        <v>0</v>
      </c>
      <c r="AK67" s="105">
        <v>0</v>
      </c>
      <c r="AL67" s="105">
        <v>0</v>
      </c>
      <c r="AM67" s="260">
        <f t="shared" ref="AM67:AM129" si="40">SUM(AI67:AL67)</f>
        <v>0</v>
      </c>
      <c r="AN67" s="260">
        <f t="shared" ref="AN67:AN129" si="41">IF(AM67=4, 100, IF(AM67=3, 80, IF(AM67=2, 60, IF(AM67=1, 40, 20))))</f>
        <v>20</v>
      </c>
      <c r="AO67" s="130">
        <f t="shared" ref="AO67:AO129" si="42">AN67*0.01</f>
        <v>0.2</v>
      </c>
      <c r="AP67" s="440">
        <v>0</v>
      </c>
      <c r="AQ67" s="261">
        <f t="shared" ref="AQ67:AQ130" si="43">(AP67/R67)*100</f>
        <v>0</v>
      </c>
      <c r="AR67" s="261">
        <f t="shared" ref="AR67:AR129" si="44">IF((25+((75*(AQ67-0)/(5-0))))&gt;100, 100, IF((25+((75*(AQ67-0)/(5-0))))&lt;25, 25, (25+((75*(AQ67-0)/(5-0))))))</f>
        <v>25</v>
      </c>
      <c r="AS67" s="107">
        <f t="shared" ref="AS67:AS129" si="45">AR67*0.04</f>
        <v>1</v>
      </c>
      <c r="AT67" s="105">
        <v>0</v>
      </c>
      <c r="AU67" s="105">
        <v>1</v>
      </c>
      <c r="AV67" s="262">
        <f t="shared" ref="AV67:AV129" si="46">IF((AT67+AU67)=2, 50, IF((AT67+AU67)=1, 25, 0))</f>
        <v>25</v>
      </c>
      <c r="AW67" s="134">
        <v>0</v>
      </c>
      <c r="AX67" s="134"/>
      <c r="AY67" s="262">
        <f t="shared" ref="AY67:AY129" si="47">IF(AW67&gt;=3, 50, IF(AW67&gt;=1, 25, 0))</f>
        <v>0</v>
      </c>
      <c r="AZ67" s="262">
        <f t="shared" ref="AZ67:AZ129" si="48">AV67+AY67</f>
        <v>25</v>
      </c>
      <c r="BA67" s="38">
        <f t="shared" ref="BA67:BA129" si="49">AZ67*0.01</f>
        <v>0.25</v>
      </c>
      <c r="BB67" s="105">
        <v>0</v>
      </c>
      <c r="BC67" s="105">
        <v>0</v>
      </c>
      <c r="BD67" s="105">
        <v>0</v>
      </c>
      <c r="BE67" s="262">
        <f t="shared" ref="BE67:BE129" si="50">SUM(BB67:BD67)</f>
        <v>0</v>
      </c>
      <c r="BF67" s="262">
        <f t="shared" ref="BF67:BF129" si="51">IF(BE67&gt;=1, 100, 50)</f>
        <v>50</v>
      </c>
      <c r="BG67" s="38">
        <f t="shared" ref="BG67:BG129" si="52">BF67*0.01</f>
        <v>0.5</v>
      </c>
      <c r="BH67" s="255">
        <f t="shared" ref="BH67:BH129" si="53">Q67-R67</f>
        <v>36291921</v>
      </c>
      <c r="BI67" s="256">
        <f t="shared" ref="BI67:BI129" si="54">BH67/O67*100</f>
        <v>1.7775383943802507</v>
      </c>
      <c r="BJ67" s="256">
        <f t="shared" ref="BJ67:BJ130" si="55">IF((25+((75*(BI67-0))/(10-0)))&gt;100, 100, IF((25+((75*(BI67-0))/(10-0)))&lt;25, 25, (25+((75*(BI67-0))/(10-0)))))</f>
        <v>38.331537957851879</v>
      </c>
      <c r="BK67" s="55">
        <f t="shared" ref="BK67:BK129" si="56">BJ67*0.02</f>
        <v>0.7666307591570376</v>
      </c>
      <c r="BL67" s="137">
        <f t="shared" ref="BL67:BL130" si="57">U67+AB67+AH67+AO67+AS67+BA67+BG67+BK67</f>
        <v>8.1166307591570384</v>
      </c>
    </row>
    <row r="68" spans="1:64" x14ac:dyDescent="0.6">
      <c r="A68" s="214" t="s">
        <v>1583</v>
      </c>
      <c r="B68" s="13" t="s">
        <v>2045</v>
      </c>
      <c r="C68" s="219" t="s">
        <v>870</v>
      </c>
      <c r="D68" s="216" t="s">
        <v>203</v>
      </c>
      <c r="E68" s="217" t="s">
        <v>180</v>
      </c>
      <c r="F68" s="217" t="s">
        <v>141</v>
      </c>
      <c r="G68" s="218">
        <v>32164</v>
      </c>
      <c r="H68" s="217" t="s">
        <v>830</v>
      </c>
      <c r="I68" s="217" t="s">
        <v>735</v>
      </c>
      <c r="J68" s="217" t="s">
        <v>982</v>
      </c>
      <c r="K68" s="217" t="s">
        <v>91</v>
      </c>
      <c r="L68" s="220">
        <v>4278839838</v>
      </c>
      <c r="M68" s="206">
        <v>1085433049</v>
      </c>
      <c r="N68" s="206">
        <v>3193406789</v>
      </c>
      <c r="O68" s="206">
        <v>5086855586</v>
      </c>
      <c r="P68" s="206">
        <v>656205503</v>
      </c>
      <c r="Q68" s="206">
        <v>747318671</v>
      </c>
      <c r="R68" s="206">
        <v>575138552</v>
      </c>
      <c r="S68" s="105">
        <v>1</v>
      </c>
      <c r="T68" s="254">
        <f t="shared" si="29"/>
        <v>100</v>
      </c>
      <c r="U68" s="107">
        <f t="shared" si="30"/>
        <v>1</v>
      </c>
      <c r="V68" s="45">
        <v>188</v>
      </c>
      <c r="W68" s="45">
        <v>204</v>
      </c>
      <c r="X68" s="255">
        <f t="shared" si="31"/>
        <v>16</v>
      </c>
      <c r="Y68" s="255">
        <f t="shared" si="32"/>
        <v>58</v>
      </c>
      <c r="Z68" s="256">
        <f t="shared" si="33"/>
        <v>27.586206896551722</v>
      </c>
      <c r="AA68" s="257">
        <f t="shared" si="34"/>
        <v>60</v>
      </c>
      <c r="AB68" s="116">
        <f t="shared" si="35"/>
        <v>0.6</v>
      </c>
      <c r="AC68" s="123">
        <v>1327</v>
      </c>
      <c r="AD68" s="123">
        <v>1385</v>
      </c>
      <c r="AE68" s="257">
        <f t="shared" si="36"/>
        <v>58</v>
      </c>
      <c r="AF68" s="258">
        <f t="shared" si="37"/>
        <v>4.3707611152976638</v>
      </c>
      <c r="AG68" s="257">
        <f t="shared" si="38"/>
        <v>100</v>
      </c>
      <c r="AH68" s="124">
        <f t="shared" si="39"/>
        <v>4</v>
      </c>
      <c r="AI68" s="105">
        <v>0</v>
      </c>
      <c r="AJ68" s="105">
        <v>0</v>
      </c>
      <c r="AK68" s="105">
        <v>0</v>
      </c>
      <c r="AL68" s="105">
        <v>0</v>
      </c>
      <c r="AM68" s="260">
        <f t="shared" si="40"/>
        <v>0</v>
      </c>
      <c r="AN68" s="260">
        <f t="shared" si="41"/>
        <v>20</v>
      </c>
      <c r="AO68" s="130">
        <f t="shared" si="42"/>
        <v>0.2</v>
      </c>
      <c r="AP68" s="106">
        <v>503000</v>
      </c>
      <c r="AQ68" s="261">
        <f t="shared" si="43"/>
        <v>8.7457187185740942E-2</v>
      </c>
      <c r="AR68" s="261">
        <f t="shared" si="44"/>
        <v>26.311857807786115</v>
      </c>
      <c r="AS68" s="107">
        <f t="shared" si="45"/>
        <v>1.0524743123114446</v>
      </c>
      <c r="AT68" s="105">
        <v>0</v>
      </c>
      <c r="AU68" s="105">
        <v>1</v>
      </c>
      <c r="AV68" s="262">
        <f t="shared" si="46"/>
        <v>25</v>
      </c>
      <c r="AW68" s="134">
        <v>3</v>
      </c>
      <c r="AX68" s="134" t="s">
        <v>3565</v>
      </c>
      <c r="AY68" s="262">
        <f t="shared" si="47"/>
        <v>50</v>
      </c>
      <c r="AZ68" s="262">
        <f t="shared" si="48"/>
        <v>75</v>
      </c>
      <c r="BA68" s="38">
        <f t="shared" si="49"/>
        <v>0.75</v>
      </c>
      <c r="BB68" s="105">
        <v>0</v>
      </c>
      <c r="BC68" s="105">
        <v>0</v>
      </c>
      <c r="BD68" s="105">
        <v>0</v>
      </c>
      <c r="BE68" s="262">
        <f t="shared" si="50"/>
        <v>0</v>
      </c>
      <c r="BF68" s="262">
        <f t="shared" si="51"/>
        <v>50</v>
      </c>
      <c r="BG68" s="38">
        <f t="shared" si="52"/>
        <v>0.5</v>
      </c>
      <c r="BH68" s="255">
        <f t="shared" si="53"/>
        <v>172180119</v>
      </c>
      <c r="BI68" s="256">
        <f t="shared" si="54"/>
        <v>3.3848045435744751</v>
      </c>
      <c r="BJ68" s="256">
        <f t="shared" si="55"/>
        <v>50.386034076808563</v>
      </c>
      <c r="BK68" s="55">
        <f t="shared" si="56"/>
        <v>1.0077206815361712</v>
      </c>
      <c r="BL68" s="137">
        <f t="shared" si="57"/>
        <v>9.1101949938476139</v>
      </c>
    </row>
    <row r="69" spans="1:64" x14ac:dyDescent="0.6">
      <c r="A69" s="214" t="s">
        <v>1584</v>
      </c>
      <c r="B69" s="13" t="s">
        <v>2046</v>
      </c>
      <c r="C69" s="219" t="s">
        <v>485</v>
      </c>
      <c r="D69" s="216" t="s">
        <v>202</v>
      </c>
      <c r="E69" s="217" t="s">
        <v>572</v>
      </c>
      <c r="F69" s="217" t="s">
        <v>1235</v>
      </c>
      <c r="G69" s="218">
        <v>39385</v>
      </c>
      <c r="H69" s="217" t="s">
        <v>746</v>
      </c>
      <c r="I69" s="217" t="s">
        <v>726</v>
      </c>
      <c r="J69" s="217" t="s">
        <v>1062</v>
      </c>
      <c r="K69" s="217" t="s">
        <v>346</v>
      </c>
      <c r="L69" s="220">
        <v>270299658</v>
      </c>
      <c r="M69" s="206">
        <v>18481909</v>
      </c>
      <c r="N69" s="206">
        <v>251817749</v>
      </c>
      <c r="O69" s="206">
        <v>116116871</v>
      </c>
      <c r="P69" s="206">
        <v>9240856</v>
      </c>
      <c r="Q69" s="206">
        <v>9598370</v>
      </c>
      <c r="R69" s="206">
        <v>7492215</v>
      </c>
      <c r="S69" s="105">
        <v>1</v>
      </c>
      <c r="T69" s="254">
        <f t="shared" si="29"/>
        <v>100</v>
      </c>
      <c r="U69" s="107">
        <f t="shared" si="30"/>
        <v>1</v>
      </c>
      <c r="V69" s="45">
        <v>40</v>
      </c>
      <c r="W69" s="45">
        <v>39</v>
      </c>
      <c r="X69" s="255">
        <f t="shared" si="31"/>
        <v>-1</v>
      </c>
      <c r="Y69" s="255">
        <f t="shared" si="32"/>
        <v>-2</v>
      </c>
      <c r="Z69" s="256">
        <f t="shared" si="33"/>
        <v>-100</v>
      </c>
      <c r="AA69" s="257">
        <f t="shared" si="34"/>
        <v>20</v>
      </c>
      <c r="AB69" s="116">
        <f t="shared" si="35"/>
        <v>0.2</v>
      </c>
      <c r="AC69" s="123">
        <v>437</v>
      </c>
      <c r="AD69" s="123">
        <v>435</v>
      </c>
      <c r="AE69" s="257">
        <f t="shared" si="36"/>
        <v>-2</v>
      </c>
      <c r="AF69" s="258">
        <f t="shared" si="37"/>
        <v>-0.45766590389016021</v>
      </c>
      <c r="AG69" s="257">
        <f t="shared" si="38"/>
        <v>20</v>
      </c>
      <c r="AH69" s="124">
        <f t="shared" si="39"/>
        <v>0.8</v>
      </c>
      <c r="AI69" s="105">
        <v>0</v>
      </c>
      <c r="AJ69" s="105">
        <v>0</v>
      </c>
      <c r="AK69" s="105">
        <v>0</v>
      </c>
      <c r="AL69" s="105">
        <v>0</v>
      </c>
      <c r="AM69" s="260">
        <f t="shared" si="40"/>
        <v>0</v>
      </c>
      <c r="AN69" s="260">
        <f t="shared" si="41"/>
        <v>20</v>
      </c>
      <c r="AO69" s="130">
        <f t="shared" si="42"/>
        <v>0.2</v>
      </c>
      <c r="AP69" s="106">
        <v>55105</v>
      </c>
      <c r="AQ69" s="261">
        <f t="shared" si="43"/>
        <v>0.73549677898992494</v>
      </c>
      <c r="AR69" s="261">
        <f t="shared" si="44"/>
        <v>36.032451684848873</v>
      </c>
      <c r="AS69" s="107">
        <f t="shared" si="45"/>
        <v>1.4412980673939548</v>
      </c>
      <c r="AT69" s="105">
        <v>0</v>
      </c>
      <c r="AU69" s="105">
        <v>1</v>
      </c>
      <c r="AV69" s="262">
        <f t="shared" si="46"/>
        <v>25</v>
      </c>
      <c r="AW69" s="134">
        <v>0</v>
      </c>
      <c r="AX69" s="134"/>
      <c r="AY69" s="262">
        <f t="shared" si="47"/>
        <v>0</v>
      </c>
      <c r="AZ69" s="262">
        <f t="shared" si="48"/>
        <v>25</v>
      </c>
      <c r="BA69" s="38">
        <f t="shared" si="49"/>
        <v>0.25</v>
      </c>
      <c r="BB69" s="105">
        <v>0</v>
      </c>
      <c r="BC69" s="105">
        <v>0</v>
      </c>
      <c r="BD69" s="105">
        <v>0</v>
      </c>
      <c r="BE69" s="262">
        <f t="shared" si="50"/>
        <v>0</v>
      </c>
      <c r="BF69" s="262">
        <f t="shared" si="51"/>
        <v>50</v>
      </c>
      <c r="BG69" s="38">
        <f t="shared" si="52"/>
        <v>0.5</v>
      </c>
      <c r="BH69" s="255">
        <f t="shared" si="53"/>
        <v>2106155</v>
      </c>
      <c r="BI69" s="256">
        <f t="shared" si="54"/>
        <v>1.8138234193375742</v>
      </c>
      <c r="BJ69" s="256">
        <f t="shared" si="55"/>
        <v>38.603675645031807</v>
      </c>
      <c r="BK69" s="55">
        <f t="shared" si="56"/>
        <v>0.77207351290063619</v>
      </c>
      <c r="BL69" s="137">
        <f t="shared" si="57"/>
        <v>5.1633715802945916</v>
      </c>
    </row>
    <row r="70" spans="1:64" x14ac:dyDescent="0.6">
      <c r="A70" s="214" t="s">
        <v>781</v>
      </c>
      <c r="B70" s="13" t="s">
        <v>2047</v>
      </c>
      <c r="C70" s="219" t="s">
        <v>503</v>
      </c>
      <c r="D70" s="216" t="s">
        <v>202</v>
      </c>
      <c r="E70" s="217" t="s">
        <v>996</v>
      </c>
      <c r="F70" s="217" t="s">
        <v>389</v>
      </c>
      <c r="G70" s="218">
        <v>26866</v>
      </c>
      <c r="H70" s="217" t="s">
        <v>830</v>
      </c>
      <c r="I70" s="217" t="s">
        <v>988</v>
      </c>
      <c r="J70" s="217" t="s">
        <v>1060</v>
      </c>
      <c r="K70" s="217" t="s">
        <v>91</v>
      </c>
      <c r="L70" s="220">
        <v>46715448000</v>
      </c>
      <c r="M70" s="206">
        <v>20245275000</v>
      </c>
      <c r="N70" s="206">
        <v>26470173000</v>
      </c>
      <c r="O70" s="206">
        <v>46409721000</v>
      </c>
      <c r="P70" s="206">
        <v>3000886000</v>
      </c>
      <c r="Q70" s="206">
        <v>2639370000</v>
      </c>
      <c r="R70" s="206">
        <v>1953513000</v>
      </c>
      <c r="S70" s="105">
        <v>1</v>
      </c>
      <c r="T70" s="254">
        <f t="shared" si="29"/>
        <v>100</v>
      </c>
      <c r="U70" s="107">
        <f t="shared" si="30"/>
        <v>1</v>
      </c>
      <c r="V70" s="45">
        <v>1375</v>
      </c>
      <c r="W70" s="45">
        <v>1448</v>
      </c>
      <c r="X70" s="255">
        <f t="shared" si="31"/>
        <v>73</v>
      </c>
      <c r="Y70" s="255">
        <f t="shared" si="32"/>
        <v>-302</v>
      </c>
      <c r="Z70" s="256">
        <f t="shared" si="33"/>
        <v>7300</v>
      </c>
      <c r="AA70" s="257">
        <f t="shared" si="34"/>
        <v>100</v>
      </c>
      <c r="AB70" s="116">
        <f t="shared" si="35"/>
        <v>1</v>
      </c>
      <c r="AC70" s="123">
        <v>34562</v>
      </c>
      <c r="AD70" s="123">
        <v>34260</v>
      </c>
      <c r="AE70" s="257">
        <f t="shared" si="36"/>
        <v>-302</v>
      </c>
      <c r="AF70" s="258">
        <f t="shared" si="37"/>
        <v>-0.87379202592442562</v>
      </c>
      <c r="AG70" s="257">
        <f t="shared" si="38"/>
        <v>20</v>
      </c>
      <c r="AH70" s="124">
        <f t="shared" si="39"/>
        <v>0.8</v>
      </c>
      <c r="AI70" s="105">
        <v>0</v>
      </c>
      <c r="AJ70" s="105">
        <v>0</v>
      </c>
      <c r="AK70" s="105">
        <v>0</v>
      </c>
      <c r="AL70" s="105">
        <v>0</v>
      </c>
      <c r="AM70" s="260">
        <f t="shared" si="40"/>
        <v>0</v>
      </c>
      <c r="AN70" s="260">
        <f t="shared" si="41"/>
        <v>20</v>
      </c>
      <c r="AO70" s="130">
        <f t="shared" si="42"/>
        <v>0.2</v>
      </c>
      <c r="AP70" s="106">
        <v>24365000</v>
      </c>
      <c r="AQ70" s="261">
        <f t="shared" si="43"/>
        <v>1.2472402282452177</v>
      </c>
      <c r="AR70" s="261">
        <f t="shared" si="44"/>
        <v>43.708603423678269</v>
      </c>
      <c r="AS70" s="107">
        <f t="shared" si="45"/>
        <v>1.7483441369471309</v>
      </c>
      <c r="AT70" s="105">
        <v>1</v>
      </c>
      <c r="AU70" s="105">
        <v>1</v>
      </c>
      <c r="AV70" s="262">
        <f t="shared" si="46"/>
        <v>50</v>
      </c>
      <c r="AW70" s="134">
        <v>6</v>
      </c>
      <c r="AX70" s="134" t="s">
        <v>3566</v>
      </c>
      <c r="AY70" s="262">
        <f t="shared" si="47"/>
        <v>50</v>
      </c>
      <c r="AZ70" s="262">
        <f t="shared" si="48"/>
        <v>100</v>
      </c>
      <c r="BA70" s="38">
        <f t="shared" si="49"/>
        <v>1</v>
      </c>
      <c r="BB70" s="105">
        <v>0</v>
      </c>
      <c r="BC70" s="105">
        <v>0</v>
      </c>
      <c r="BD70" s="105">
        <v>0</v>
      </c>
      <c r="BE70" s="262">
        <f t="shared" si="50"/>
        <v>0</v>
      </c>
      <c r="BF70" s="262">
        <f t="shared" si="51"/>
        <v>50</v>
      </c>
      <c r="BG70" s="38">
        <f t="shared" si="52"/>
        <v>0.5</v>
      </c>
      <c r="BH70" s="255">
        <f t="shared" si="53"/>
        <v>685857000</v>
      </c>
      <c r="BI70" s="256">
        <f t="shared" si="54"/>
        <v>1.4778304743525608</v>
      </c>
      <c r="BJ70" s="256">
        <f t="shared" si="55"/>
        <v>36.083728557644207</v>
      </c>
      <c r="BK70" s="55">
        <f t="shared" si="56"/>
        <v>0.72167457115288414</v>
      </c>
      <c r="BL70" s="137">
        <f t="shared" si="57"/>
        <v>6.9700187081000147</v>
      </c>
    </row>
    <row r="71" spans="1:64" x14ac:dyDescent="0.6">
      <c r="A71" s="214" t="s">
        <v>99</v>
      </c>
      <c r="B71" s="13" t="s">
        <v>2048</v>
      </c>
      <c r="C71" s="219" t="s">
        <v>309</v>
      </c>
      <c r="D71" s="216" t="s">
        <v>285</v>
      </c>
      <c r="E71" s="217" t="s">
        <v>867</v>
      </c>
      <c r="F71" s="217" t="s">
        <v>397</v>
      </c>
      <c r="G71" s="218">
        <v>28122</v>
      </c>
      <c r="H71" s="217" t="s">
        <v>830</v>
      </c>
      <c r="I71" s="217" t="s">
        <v>725</v>
      </c>
      <c r="J71" s="217" t="s">
        <v>1249</v>
      </c>
      <c r="K71" s="217" t="s">
        <v>690</v>
      </c>
      <c r="L71" s="220">
        <v>345786655</v>
      </c>
      <c r="M71" s="206">
        <v>238784577</v>
      </c>
      <c r="N71" s="206">
        <v>107002078</v>
      </c>
      <c r="O71" s="206">
        <v>450379452</v>
      </c>
      <c r="P71" s="206">
        <v>11115820</v>
      </c>
      <c r="Q71" s="206">
        <v>15758165</v>
      </c>
      <c r="R71" s="206">
        <v>19332576</v>
      </c>
      <c r="S71" s="105">
        <v>0</v>
      </c>
      <c r="T71" s="254">
        <f t="shared" si="29"/>
        <v>0</v>
      </c>
      <c r="U71" s="107">
        <f t="shared" si="30"/>
        <v>0</v>
      </c>
      <c r="V71" s="45">
        <v>18</v>
      </c>
      <c r="W71" s="45">
        <f>6+8+4+18</f>
        <v>36</v>
      </c>
      <c r="X71" s="255">
        <f t="shared" si="31"/>
        <v>18</v>
      </c>
      <c r="Y71" s="255">
        <f t="shared" si="32"/>
        <v>75</v>
      </c>
      <c r="Z71" s="256">
        <f t="shared" si="33"/>
        <v>24</v>
      </c>
      <c r="AA71" s="257">
        <f t="shared" si="34"/>
        <v>60</v>
      </c>
      <c r="AB71" s="116">
        <f t="shared" si="35"/>
        <v>0.6</v>
      </c>
      <c r="AC71" s="123">
        <v>294</v>
      </c>
      <c r="AD71" s="123">
        <v>369</v>
      </c>
      <c r="AE71" s="257">
        <f t="shared" si="36"/>
        <v>75</v>
      </c>
      <c r="AF71" s="258">
        <f t="shared" si="37"/>
        <v>25.510204081632654</v>
      </c>
      <c r="AG71" s="257">
        <f t="shared" si="38"/>
        <v>100</v>
      </c>
      <c r="AH71" s="124">
        <f t="shared" si="39"/>
        <v>4</v>
      </c>
      <c r="AI71" s="105">
        <v>0</v>
      </c>
      <c r="AJ71" s="105">
        <v>0</v>
      </c>
      <c r="AK71" s="105">
        <v>0</v>
      </c>
      <c r="AL71" s="105">
        <v>0</v>
      </c>
      <c r="AM71" s="260">
        <f t="shared" si="40"/>
        <v>0</v>
      </c>
      <c r="AN71" s="260">
        <f t="shared" si="41"/>
        <v>20</v>
      </c>
      <c r="AO71" s="130">
        <f t="shared" si="42"/>
        <v>0.2</v>
      </c>
      <c r="AP71" s="440">
        <v>0</v>
      </c>
      <c r="AQ71" s="261">
        <f t="shared" si="43"/>
        <v>0</v>
      </c>
      <c r="AR71" s="261">
        <f t="shared" si="44"/>
        <v>25</v>
      </c>
      <c r="AS71" s="107">
        <f t="shared" si="45"/>
        <v>1</v>
      </c>
      <c r="AT71" s="105">
        <v>0</v>
      </c>
      <c r="AU71" s="105">
        <v>1</v>
      </c>
      <c r="AV71" s="262">
        <f t="shared" si="46"/>
        <v>25</v>
      </c>
      <c r="AW71" s="134">
        <v>0</v>
      </c>
      <c r="AX71" s="134"/>
      <c r="AY71" s="262">
        <f t="shared" si="47"/>
        <v>0</v>
      </c>
      <c r="AZ71" s="262">
        <f t="shared" si="48"/>
        <v>25</v>
      </c>
      <c r="BA71" s="38">
        <f t="shared" si="49"/>
        <v>0.25</v>
      </c>
      <c r="BB71" s="105">
        <v>0</v>
      </c>
      <c r="BC71" s="105">
        <v>0</v>
      </c>
      <c r="BD71" s="105">
        <v>0</v>
      </c>
      <c r="BE71" s="262">
        <f t="shared" si="50"/>
        <v>0</v>
      </c>
      <c r="BF71" s="262">
        <f t="shared" si="51"/>
        <v>50</v>
      </c>
      <c r="BG71" s="38">
        <f t="shared" si="52"/>
        <v>0.5</v>
      </c>
      <c r="BH71" s="255">
        <f t="shared" si="53"/>
        <v>-3574411</v>
      </c>
      <c r="BI71" s="256">
        <f t="shared" si="54"/>
        <v>-0.7936443334897082</v>
      </c>
      <c r="BJ71" s="256">
        <f t="shared" si="55"/>
        <v>25</v>
      </c>
      <c r="BK71" s="55">
        <f t="shared" si="56"/>
        <v>0.5</v>
      </c>
      <c r="BL71" s="137">
        <f t="shared" si="57"/>
        <v>7.05</v>
      </c>
    </row>
    <row r="72" spans="1:64" x14ac:dyDescent="0.6">
      <c r="A72" s="214" t="s">
        <v>81</v>
      </c>
      <c r="B72" s="13" t="s">
        <v>2049</v>
      </c>
      <c r="C72" s="219" t="s">
        <v>857</v>
      </c>
      <c r="D72" s="216" t="s">
        <v>203</v>
      </c>
      <c r="E72" s="217" t="s">
        <v>1067</v>
      </c>
      <c r="F72" s="217" t="s">
        <v>1246</v>
      </c>
      <c r="G72" s="218">
        <v>35013</v>
      </c>
      <c r="H72" s="217" t="s">
        <v>830</v>
      </c>
      <c r="I72" s="217" t="s">
        <v>701</v>
      </c>
      <c r="J72" s="217" t="s">
        <v>1080</v>
      </c>
      <c r="K72" s="217" t="s">
        <v>91</v>
      </c>
      <c r="L72" s="220">
        <v>883470621</v>
      </c>
      <c r="M72" s="206">
        <v>371844780</v>
      </c>
      <c r="N72" s="206">
        <v>511625841</v>
      </c>
      <c r="O72" s="206">
        <v>2169565871</v>
      </c>
      <c r="P72" s="206">
        <v>63633740</v>
      </c>
      <c r="Q72" s="206">
        <v>65632977</v>
      </c>
      <c r="R72" s="206">
        <v>47307536</v>
      </c>
      <c r="S72" s="105">
        <v>1</v>
      </c>
      <c r="T72" s="254">
        <f t="shared" si="29"/>
        <v>100</v>
      </c>
      <c r="U72" s="107">
        <f t="shared" si="30"/>
        <v>1</v>
      </c>
      <c r="V72" s="45">
        <v>17</v>
      </c>
      <c r="W72" s="45">
        <f>15+10</f>
        <v>25</v>
      </c>
      <c r="X72" s="255">
        <f t="shared" si="31"/>
        <v>8</v>
      </c>
      <c r="Y72" s="255">
        <f t="shared" si="32"/>
        <v>20</v>
      </c>
      <c r="Z72" s="256">
        <f t="shared" si="33"/>
        <v>40</v>
      </c>
      <c r="AA72" s="257">
        <f t="shared" si="34"/>
        <v>100</v>
      </c>
      <c r="AB72" s="116">
        <f t="shared" si="35"/>
        <v>1</v>
      </c>
      <c r="AC72" s="123">
        <v>469</v>
      </c>
      <c r="AD72" s="123">
        <v>489</v>
      </c>
      <c r="AE72" s="257">
        <f t="shared" si="36"/>
        <v>20</v>
      </c>
      <c r="AF72" s="258">
        <f t="shared" si="37"/>
        <v>4.2643923240938166</v>
      </c>
      <c r="AG72" s="257">
        <f t="shared" si="38"/>
        <v>100</v>
      </c>
      <c r="AH72" s="124">
        <f t="shared" si="39"/>
        <v>4</v>
      </c>
      <c r="AI72" s="105">
        <v>0</v>
      </c>
      <c r="AJ72" s="105">
        <v>0</v>
      </c>
      <c r="AK72" s="105">
        <v>0</v>
      </c>
      <c r="AL72" s="105">
        <v>0</v>
      </c>
      <c r="AM72" s="260">
        <f t="shared" si="40"/>
        <v>0</v>
      </c>
      <c r="AN72" s="260">
        <f t="shared" si="41"/>
        <v>20</v>
      </c>
      <c r="AO72" s="130">
        <f t="shared" si="42"/>
        <v>0.2</v>
      </c>
      <c r="AP72" s="106">
        <v>129845.24</v>
      </c>
      <c r="AQ72" s="261">
        <f t="shared" si="43"/>
        <v>0.2744705198765795</v>
      </c>
      <c r="AR72" s="261">
        <f t="shared" si="44"/>
        <v>29.117057798148693</v>
      </c>
      <c r="AS72" s="107">
        <f t="shared" si="45"/>
        <v>1.1646823119259477</v>
      </c>
      <c r="AT72" s="105">
        <v>0</v>
      </c>
      <c r="AU72" s="105">
        <v>1</v>
      </c>
      <c r="AV72" s="262">
        <f t="shared" si="46"/>
        <v>25</v>
      </c>
      <c r="AW72" s="134">
        <v>0</v>
      </c>
      <c r="AX72" s="134"/>
      <c r="AY72" s="262">
        <f t="shared" si="47"/>
        <v>0</v>
      </c>
      <c r="AZ72" s="262">
        <f t="shared" si="48"/>
        <v>25</v>
      </c>
      <c r="BA72" s="38">
        <f t="shared" si="49"/>
        <v>0.25</v>
      </c>
      <c r="BB72" s="105">
        <v>0</v>
      </c>
      <c r="BC72" s="105">
        <v>0</v>
      </c>
      <c r="BD72" s="105">
        <v>0</v>
      </c>
      <c r="BE72" s="262">
        <f t="shared" si="50"/>
        <v>0</v>
      </c>
      <c r="BF72" s="262">
        <f t="shared" si="51"/>
        <v>50</v>
      </c>
      <c r="BG72" s="38">
        <f t="shared" si="52"/>
        <v>0.5</v>
      </c>
      <c r="BH72" s="255">
        <f t="shared" si="53"/>
        <v>18325441</v>
      </c>
      <c r="BI72" s="256">
        <f t="shared" si="54"/>
        <v>0.84465935074621201</v>
      </c>
      <c r="BJ72" s="256">
        <f t="shared" si="55"/>
        <v>31.334945130596591</v>
      </c>
      <c r="BK72" s="55">
        <f t="shared" si="56"/>
        <v>0.62669890261193184</v>
      </c>
      <c r="BL72" s="137">
        <f t="shared" si="57"/>
        <v>8.7413812145378795</v>
      </c>
    </row>
    <row r="73" spans="1:64" x14ac:dyDescent="0.6">
      <c r="A73" s="214" t="s">
        <v>1586</v>
      </c>
      <c r="B73" s="13" t="s">
        <v>2050</v>
      </c>
      <c r="C73" s="219" t="s">
        <v>102</v>
      </c>
      <c r="D73" s="216" t="s">
        <v>203</v>
      </c>
      <c r="E73" s="217" t="s">
        <v>197</v>
      </c>
      <c r="F73" s="217" t="s">
        <v>117</v>
      </c>
      <c r="G73" s="218">
        <v>32130</v>
      </c>
      <c r="H73" s="217" t="s">
        <v>830</v>
      </c>
      <c r="I73" s="217" t="s">
        <v>951</v>
      </c>
      <c r="J73" s="217" t="s">
        <v>1157</v>
      </c>
      <c r="K73" s="217" t="s">
        <v>50</v>
      </c>
      <c r="L73" s="220">
        <v>736767227</v>
      </c>
      <c r="M73" s="206">
        <v>105463213</v>
      </c>
      <c r="N73" s="206">
        <v>631304014</v>
      </c>
      <c r="O73" s="206">
        <v>737876931</v>
      </c>
      <c r="P73" s="206">
        <v>30653869</v>
      </c>
      <c r="Q73" s="206">
        <v>35607383</v>
      </c>
      <c r="R73" s="206">
        <v>31223584</v>
      </c>
      <c r="S73" s="105">
        <v>1</v>
      </c>
      <c r="T73" s="254">
        <f t="shared" si="29"/>
        <v>100</v>
      </c>
      <c r="U73" s="107">
        <f t="shared" si="30"/>
        <v>1</v>
      </c>
      <c r="V73" s="45">
        <v>75</v>
      </c>
      <c r="W73" s="45">
        <f>64+18</f>
        <v>82</v>
      </c>
      <c r="X73" s="255">
        <f t="shared" si="31"/>
        <v>7</v>
      </c>
      <c r="Y73" s="255">
        <f t="shared" si="32"/>
        <v>41</v>
      </c>
      <c r="Z73" s="256">
        <f t="shared" si="33"/>
        <v>17.073170731707318</v>
      </c>
      <c r="AA73" s="257">
        <f t="shared" si="34"/>
        <v>40</v>
      </c>
      <c r="AB73" s="116">
        <f t="shared" si="35"/>
        <v>0.4</v>
      </c>
      <c r="AC73" s="123">
        <v>748</v>
      </c>
      <c r="AD73" s="123">
        <v>789</v>
      </c>
      <c r="AE73" s="257">
        <f t="shared" si="36"/>
        <v>41</v>
      </c>
      <c r="AF73" s="258">
        <f t="shared" si="37"/>
        <v>5.4812834224598923</v>
      </c>
      <c r="AG73" s="257">
        <f t="shared" si="38"/>
        <v>100</v>
      </c>
      <c r="AH73" s="124">
        <f t="shared" si="39"/>
        <v>4</v>
      </c>
      <c r="AI73" s="105">
        <v>0</v>
      </c>
      <c r="AJ73" s="105">
        <v>0</v>
      </c>
      <c r="AK73" s="105">
        <v>0</v>
      </c>
      <c r="AL73" s="105">
        <v>0</v>
      </c>
      <c r="AM73" s="260">
        <f t="shared" si="40"/>
        <v>0</v>
      </c>
      <c r="AN73" s="260">
        <f t="shared" si="41"/>
        <v>20</v>
      </c>
      <c r="AO73" s="130">
        <f t="shared" si="42"/>
        <v>0.2</v>
      </c>
      <c r="AP73" s="106">
        <v>208000</v>
      </c>
      <c r="AQ73" s="261">
        <f t="shared" si="43"/>
        <v>0.66616311567563802</v>
      </c>
      <c r="AR73" s="261">
        <f t="shared" si="44"/>
        <v>34.992446735134571</v>
      </c>
      <c r="AS73" s="107">
        <f t="shared" si="45"/>
        <v>1.3996978694053828</v>
      </c>
      <c r="AT73" s="105">
        <v>1</v>
      </c>
      <c r="AU73" s="105">
        <v>1</v>
      </c>
      <c r="AV73" s="262">
        <f t="shared" si="46"/>
        <v>50</v>
      </c>
      <c r="AW73" s="134">
        <v>2</v>
      </c>
      <c r="AX73" s="134" t="s">
        <v>3567</v>
      </c>
      <c r="AY73" s="262">
        <f t="shared" si="47"/>
        <v>25</v>
      </c>
      <c r="AZ73" s="262">
        <f t="shared" si="48"/>
        <v>75</v>
      </c>
      <c r="BA73" s="38">
        <f t="shared" si="49"/>
        <v>0.75</v>
      </c>
      <c r="BB73" s="105">
        <v>0</v>
      </c>
      <c r="BC73" s="105">
        <v>0</v>
      </c>
      <c r="BD73" s="105">
        <v>0</v>
      </c>
      <c r="BE73" s="262">
        <f t="shared" si="50"/>
        <v>0</v>
      </c>
      <c r="BF73" s="262">
        <f t="shared" si="51"/>
        <v>50</v>
      </c>
      <c r="BG73" s="38">
        <f t="shared" si="52"/>
        <v>0.5</v>
      </c>
      <c r="BH73" s="255">
        <f t="shared" si="53"/>
        <v>4383799</v>
      </c>
      <c r="BI73" s="256">
        <f t="shared" si="54"/>
        <v>0.59410977845030366</v>
      </c>
      <c r="BJ73" s="256">
        <f t="shared" si="55"/>
        <v>29.455823338377279</v>
      </c>
      <c r="BK73" s="55">
        <f t="shared" si="56"/>
        <v>0.58911646676754559</v>
      </c>
      <c r="BL73" s="137">
        <f t="shared" si="57"/>
        <v>8.8388143361729306</v>
      </c>
    </row>
    <row r="74" spans="1:64" x14ac:dyDescent="0.6">
      <c r="A74" s="214" t="s">
        <v>28</v>
      </c>
      <c r="B74" s="13" t="s">
        <v>2051</v>
      </c>
      <c r="C74" s="219" t="s">
        <v>849</v>
      </c>
      <c r="D74" s="216" t="s">
        <v>203</v>
      </c>
      <c r="E74" s="217" t="s">
        <v>188</v>
      </c>
      <c r="F74" s="217" t="s">
        <v>442</v>
      </c>
      <c r="G74" s="218">
        <v>38901</v>
      </c>
      <c r="H74" s="217" t="s">
        <v>830</v>
      </c>
      <c r="I74" s="217" t="s">
        <v>738</v>
      </c>
      <c r="J74" s="13" t="s">
        <v>2052</v>
      </c>
      <c r="K74" s="217" t="s">
        <v>690</v>
      </c>
      <c r="L74" s="220">
        <v>593723438</v>
      </c>
      <c r="M74" s="206">
        <v>279635129</v>
      </c>
      <c r="N74" s="206">
        <v>314088309</v>
      </c>
      <c r="O74" s="206">
        <v>667825639</v>
      </c>
      <c r="P74" s="206">
        <v>18091323</v>
      </c>
      <c r="Q74" s="206">
        <v>10916465</v>
      </c>
      <c r="R74" s="206">
        <v>7428246</v>
      </c>
      <c r="S74" s="105">
        <v>1</v>
      </c>
      <c r="T74" s="254">
        <f t="shared" si="29"/>
        <v>100</v>
      </c>
      <c r="U74" s="107">
        <f t="shared" si="30"/>
        <v>1</v>
      </c>
      <c r="V74" s="45">
        <v>79</v>
      </c>
      <c r="W74" s="45">
        <v>80</v>
      </c>
      <c r="X74" s="255">
        <f t="shared" si="31"/>
        <v>1</v>
      </c>
      <c r="Y74" s="255">
        <f t="shared" si="32"/>
        <v>-5</v>
      </c>
      <c r="Z74" s="256">
        <f t="shared" si="33"/>
        <v>100</v>
      </c>
      <c r="AA74" s="257">
        <f t="shared" si="34"/>
        <v>100</v>
      </c>
      <c r="AB74" s="116">
        <f t="shared" si="35"/>
        <v>1</v>
      </c>
      <c r="AC74" s="123">
        <v>757</v>
      </c>
      <c r="AD74" s="123">
        <v>752</v>
      </c>
      <c r="AE74" s="257">
        <f t="shared" si="36"/>
        <v>-5</v>
      </c>
      <c r="AF74" s="258">
        <f t="shared" si="37"/>
        <v>-0.66050198150594452</v>
      </c>
      <c r="AG74" s="257">
        <f t="shared" si="38"/>
        <v>20</v>
      </c>
      <c r="AH74" s="124">
        <f t="shared" si="39"/>
        <v>0.8</v>
      </c>
      <c r="AI74" s="105">
        <v>0</v>
      </c>
      <c r="AJ74" s="105">
        <v>0</v>
      </c>
      <c r="AK74" s="105">
        <v>0</v>
      </c>
      <c r="AL74" s="105">
        <v>0</v>
      </c>
      <c r="AM74" s="260">
        <f t="shared" si="40"/>
        <v>0</v>
      </c>
      <c r="AN74" s="260">
        <f t="shared" si="41"/>
        <v>20</v>
      </c>
      <c r="AO74" s="130">
        <f t="shared" si="42"/>
        <v>0.2</v>
      </c>
      <c r="AP74" s="106">
        <v>438087</v>
      </c>
      <c r="AQ74" s="261">
        <f t="shared" si="43"/>
        <v>5.8975833595171734</v>
      </c>
      <c r="AR74" s="261">
        <f t="shared" si="44"/>
        <v>100</v>
      </c>
      <c r="AS74" s="107">
        <f t="shared" si="45"/>
        <v>4</v>
      </c>
      <c r="AT74" s="105">
        <v>0</v>
      </c>
      <c r="AU74" s="105">
        <v>1</v>
      </c>
      <c r="AV74" s="262">
        <f t="shared" si="46"/>
        <v>25</v>
      </c>
      <c r="AW74" s="134">
        <v>2</v>
      </c>
      <c r="AX74" s="134" t="s">
        <v>3568</v>
      </c>
      <c r="AY74" s="262">
        <f t="shared" si="47"/>
        <v>25</v>
      </c>
      <c r="AZ74" s="262">
        <f t="shared" si="48"/>
        <v>50</v>
      </c>
      <c r="BA74" s="38">
        <f t="shared" si="49"/>
        <v>0.5</v>
      </c>
      <c r="BB74" s="105">
        <v>0</v>
      </c>
      <c r="BC74" s="105">
        <v>0</v>
      </c>
      <c r="BD74" s="105">
        <v>0</v>
      </c>
      <c r="BE74" s="262">
        <f t="shared" si="50"/>
        <v>0</v>
      </c>
      <c r="BF74" s="262">
        <f t="shared" si="51"/>
        <v>50</v>
      </c>
      <c r="BG74" s="38">
        <f t="shared" si="52"/>
        <v>0.5</v>
      </c>
      <c r="BH74" s="255">
        <f t="shared" si="53"/>
        <v>3488219</v>
      </c>
      <c r="BI74" s="256">
        <f t="shared" si="54"/>
        <v>0.52232480999430453</v>
      </c>
      <c r="BJ74" s="256">
        <f t="shared" si="55"/>
        <v>28.917436074957283</v>
      </c>
      <c r="BK74" s="55">
        <f t="shared" si="56"/>
        <v>0.57834872149914573</v>
      </c>
      <c r="BL74" s="137">
        <f t="shared" si="57"/>
        <v>8.578348721499145</v>
      </c>
    </row>
    <row r="75" spans="1:64" x14ac:dyDescent="0.6">
      <c r="A75" s="214" t="s">
        <v>729</v>
      </c>
      <c r="B75" s="13" t="s">
        <v>2053</v>
      </c>
      <c r="C75" s="219" t="s">
        <v>493</v>
      </c>
      <c r="D75" s="216" t="s">
        <v>191</v>
      </c>
      <c r="E75" s="217" t="s">
        <v>34</v>
      </c>
      <c r="F75" s="217" t="s">
        <v>184</v>
      </c>
      <c r="G75" s="218">
        <v>32721</v>
      </c>
      <c r="H75" s="217" t="s">
        <v>830</v>
      </c>
      <c r="I75" s="217" t="s">
        <v>776</v>
      </c>
      <c r="J75" s="217" t="s">
        <v>1058</v>
      </c>
      <c r="K75" s="217" t="s">
        <v>690</v>
      </c>
      <c r="L75" s="220">
        <v>1943161484</v>
      </c>
      <c r="M75" s="206">
        <v>692777309</v>
      </c>
      <c r="N75" s="206">
        <v>1250384175</v>
      </c>
      <c r="O75" s="206">
        <v>1244928840</v>
      </c>
      <c r="P75" s="206">
        <v>70305248</v>
      </c>
      <c r="Q75" s="206">
        <v>56807679</v>
      </c>
      <c r="R75" s="206">
        <v>54307547</v>
      </c>
      <c r="S75" s="105">
        <v>1</v>
      </c>
      <c r="T75" s="254">
        <f t="shared" si="29"/>
        <v>100</v>
      </c>
      <c r="U75" s="107">
        <f t="shared" si="30"/>
        <v>1</v>
      </c>
      <c r="V75" s="45">
        <v>502</v>
      </c>
      <c r="W75" s="45">
        <v>519</v>
      </c>
      <c r="X75" s="255">
        <f t="shared" si="31"/>
        <v>17</v>
      </c>
      <c r="Y75" s="255">
        <f t="shared" si="32"/>
        <v>12</v>
      </c>
      <c r="Z75" s="256">
        <f t="shared" si="33"/>
        <v>141.66666666666669</v>
      </c>
      <c r="AA75" s="257">
        <f t="shared" si="34"/>
        <v>100</v>
      </c>
      <c r="AB75" s="116">
        <f t="shared" si="35"/>
        <v>1</v>
      </c>
      <c r="AC75" s="123">
        <v>2093</v>
      </c>
      <c r="AD75" s="123">
        <v>2105</v>
      </c>
      <c r="AE75" s="257">
        <f t="shared" si="36"/>
        <v>12</v>
      </c>
      <c r="AF75" s="258">
        <f t="shared" si="37"/>
        <v>0.5733397037744864</v>
      </c>
      <c r="AG75" s="257">
        <f t="shared" si="38"/>
        <v>60</v>
      </c>
      <c r="AH75" s="124">
        <f t="shared" si="39"/>
        <v>2.4</v>
      </c>
      <c r="AI75" s="105">
        <v>0</v>
      </c>
      <c r="AJ75" s="105">
        <v>0</v>
      </c>
      <c r="AK75" s="105">
        <v>0</v>
      </c>
      <c r="AL75" s="105">
        <v>0</v>
      </c>
      <c r="AM75" s="260">
        <f t="shared" si="40"/>
        <v>0</v>
      </c>
      <c r="AN75" s="260">
        <f t="shared" si="41"/>
        <v>20</v>
      </c>
      <c r="AO75" s="130">
        <f t="shared" si="42"/>
        <v>0.2</v>
      </c>
      <c r="AP75" s="106">
        <v>5521000</v>
      </c>
      <c r="AQ75" s="261">
        <f t="shared" si="43"/>
        <v>10.166174509778541</v>
      </c>
      <c r="AR75" s="261">
        <f t="shared" si="44"/>
        <v>100</v>
      </c>
      <c r="AS75" s="107">
        <f t="shared" si="45"/>
        <v>4</v>
      </c>
      <c r="AT75" s="105">
        <v>0</v>
      </c>
      <c r="AU75" s="105">
        <v>1</v>
      </c>
      <c r="AV75" s="262">
        <f t="shared" si="46"/>
        <v>25</v>
      </c>
      <c r="AW75" s="134">
        <v>1</v>
      </c>
      <c r="AX75" s="134" t="s">
        <v>3569</v>
      </c>
      <c r="AY75" s="262">
        <f t="shared" si="47"/>
        <v>25</v>
      </c>
      <c r="AZ75" s="262">
        <f t="shared" si="48"/>
        <v>50</v>
      </c>
      <c r="BA75" s="38">
        <f t="shared" si="49"/>
        <v>0.5</v>
      </c>
      <c r="BB75" s="105">
        <v>0</v>
      </c>
      <c r="BC75" s="105">
        <v>0</v>
      </c>
      <c r="BD75" s="105">
        <v>0</v>
      </c>
      <c r="BE75" s="262">
        <f t="shared" si="50"/>
        <v>0</v>
      </c>
      <c r="BF75" s="262">
        <f t="shared" si="51"/>
        <v>50</v>
      </c>
      <c r="BG75" s="38">
        <f t="shared" si="52"/>
        <v>0.5</v>
      </c>
      <c r="BH75" s="255">
        <f t="shared" si="53"/>
        <v>2500132</v>
      </c>
      <c r="BI75" s="256">
        <f t="shared" si="54"/>
        <v>0.20082529375735242</v>
      </c>
      <c r="BJ75" s="256">
        <f t="shared" si="55"/>
        <v>26.506189703180144</v>
      </c>
      <c r="BK75" s="55">
        <f t="shared" si="56"/>
        <v>0.53012379406360288</v>
      </c>
      <c r="BL75" s="137">
        <f t="shared" si="57"/>
        <v>10.130123794063604</v>
      </c>
    </row>
    <row r="76" spans="1:64" x14ac:dyDescent="0.6">
      <c r="A76" s="214" t="s">
        <v>97</v>
      </c>
      <c r="B76" s="13" t="s">
        <v>2054</v>
      </c>
      <c r="C76" s="219" t="s">
        <v>404</v>
      </c>
      <c r="D76" s="221" t="s">
        <v>350</v>
      </c>
      <c r="E76" s="217" t="s">
        <v>179</v>
      </c>
      <c r="F76" s="217" t="s">
        <v>578</v>
      </c>
      <c r="G76" s="218">
        <v>35388</v>
      </c>
      <c r="H76" s="217" t="s">
        <v>830</v>
      </c>
      <c r="I76" s="217" t="s">
        <v>1587</v>
      </c>
      <c r="J76" s="217" t="s">
        <v>1038</v>
      </c>
      <c r="K76" s="217" t="s">
        <v>91</v>
      </c>
      <c r="L76" s="220">
        <v>3939974802</v>
      </c>
      <c r="M76" s="206">
        <v>3279267721</v>
      </c>
      <c r="N76" s="206">
        <v>660707081</v>
      </c>
      <c r="O76" s="206">
        <v>1268326077</v>
      </c>
      <c r="P76" s="206">
        <v>46098647</v>
      </c>
      <c r="Q76" s="206">
        <v>67910650</v>
      </c>
      <c r="R76" s="206">
        <v>48368439</v>
      </c>
      <c r="S76" s="105">
        <v>1</v>
      </c>
      <c r="T76" s="254">
        <f t="shared" si="29"/>
        <v>100</v>
      </c>
      <c r="U76" s="107">
        <f t="shared" si="30"/>
        <v>1</v>
      </c>
      <c r="V76" s="45">
        <v>91</v>
      </c>
      <c r="W76" s="45">
        <v>120</v>
      </c>
      <c r="X76" s="255">
        <f t="shared" si="31"/>
        <v>29</v>
      </c>
      <c r="Y76" s="255">
        <f t="shared" si="32"/>
        <v>40</v>
      </c>
      <c r="Z76" s="256">
        <f t="shared" si="33"/>
        <v>72.5</v>
      </c>
      <c r="AA76" s="257">
        <f t="shared" si="34"/>
        <v>100</v>
      </c>
      <c r="AB76" s="116">
        <f t="shared" si="35"/>
        <v>1</v>
      </c>
      <c r="AC76" s="123">
        <v>170</v>
      </c>
      <c r="AD76" s="123">
        <v>210</v>
      </c>
      <c r="AE76" s="257">
        <f t="shared" si="36"/>
        <v>40</v>
      </c>
      <c r="AF76" s="258">
        <f t="shared" si="37"/>
        <v>23.52941176470588</v>
      </c>
      <c r="AG76" s="257">
        <f t="shared" si="38"/>
        <v>100</v>
      </c>
      <c r="AH76" s="124">
        <f t="shared" si="39"/>
        <v>4</v>
      </c>
      <c r="AI76" s="105">
        <v>0</v>
      </c>
      <c r="AJ76" s="105">
        <v>0</v>
      </c>
      <c r="AK76" s="105">
        <v>0</v>
      </c>
      <c r="AL76" s="105">
        <v>0</v>
      </c>
      <c r="AM76" s="260">
        <f t="shared" si="40"/>
        <v>0</v>
      </c>
      <c r="AN76" s="260">
        <f t="shared" si="41"/>
        <v>20</v>
      </c>
      <c r="AO76" s="130">
        <f t="shared" si="42"/>
        <v>0.2</v>
      </c>
      <c r="AP76" s="106">
        <v>469000</v>
      </c>
      <c r="AQ76" s="261">
        <f t="shared" si="43"/>
        <v>0.96964055424654072</v>
      </c>
      <c r="AR76" s="261">
        <f t="shared" si="44"/>
        <v>39.544608313698113</v>
      </c>
      <c r="AS76" s="107">
        <f t="shared" si="45"/>
        <v>1.5817843325479246</v>
      </c>
      <c r="AT76" s="105">
        <v>1</v>
      </c>
      <c r="AU76" s="105">
        <v>1</v>
      </c>
      <c r="AV76" s="262">
        <f t="shared" si="46"/>
        <v>50</v>
      </c>
      <c r="AW76" s="134">
        <v>6</v>
      </c>
      <c r="AX76" s="134" t="s">
        <v>3556</v>
      </c>
      <c r="AY76" s="262">
        <f t="shared" si="47"/>
        <v>50</v>
      </c>
      <c r="AZ76" s="262">
        <f t="shared" si="48"/>
        <v>100</v>
      </c>
      <c r="BA76" s="38">
        <f t="shared" si="49"/>
        <v>1</v>
      </c>
      <c r="BB76" s="105">
        <v>0</v>
      </c>
      <c r="BC76" s="105">
        <v>0</v>
      </c>
      <c r="BD76" s="105">
        <v>0</v>
      </c>
      <c r="BE76" s="262">
        <f t="shared" si="50"/>
        <v>0</v>
      </c>
      <c r="BF76" s="262">
        <f t="shared" si="51"/>
        <v>50</v>
      </c>
      <c r="BG76" s="38">
        <f t="shared" si="52"/>
        <v>0.5</v>
      </c>
      <c r="BH76" s="255">
        <f t="shared" si="53"/>
        <v>19542211</v>
      </c>
      <c r="BI76" s="256">
        <f t="shared" si="54"/>
        <v>1.5407876061512216</v>
      </c>
      <c r="BJ76" s="256">
        <f t="shared" si="55"/>
        <v>36.555907046134166</v>
      </c>
      <c r="BK76" s="55">
        <f t="shared" si="56"/>
        <v>0.73111814092268335</v>
      </c>
      <c r="BL76" s="137">
        <f t="shared" si="57"/>
        <v>10.012902473470609</v>
      </c>
    </row>
    <row r="77" spans="1:64" x14ac:dyDescent="0.6">
      <c r="A77" s="214" t="s">
        <v>1588</v>
      </c>
      <c r="B77" s="13" t="s">
        <v>2055</v>
      </c>
      <c r="C77" s="219" t="s">
        <v>1589</v>
      </c>
      <c r="D77" s="14" t="s">
        <v>202</v>
      </c>
      <c r="E77" s="217" t="s">
        <v>572</v>
      </c>
      <c r="F77" s="217" t="s">
        <v>1590</v>
      </c>
      <c r="G77" s="218">
        <v>27572</v>
      </c>
      <c r="H77" s="217" t="s">
        <v>830</v>
      </c>
      <c r="I77" s="217" t="s">
        <v>1591</v>
      </c>
      <c r="J77" s="1" t="s">
        <v>3684</v>
      </c>
      <c r="K77" s="217" t="s">
        <v>308</v>
      </c>
      <c r="L77" s="220">
        <v>1037444849</v>
      </c>
      <c r="M77" s="206">
        <v>756037859</v>
      </c>
      <c r="N77" s="206">
        <v>281406990</v>
      </c>
      <c r="O77" s="206">
        <v>1020419354</v>
      </c>
      <c r="P77" s="206">
        <v>62957426</v>
      </c>
      <c r="Q77" s="206">
        <v>23841777</v>
      </c>
      <c r="R77" s="206">
        <v>11209133</v>
      </c>
      <c r="S77" s="105">
        <v>1</v>
      </c>
      <c r="T77" s="254">
        <f t="shared" si="29"/>
        <v>100</v>
      </c>
      <c r="U77" s="107">
        <f t="shared" si="30"/>
        <v>1</v>
      </c>
      <c r="V77" s="45">
        <f>26</f>
        <v>26</v>
      </c>
      <c r="W77" s="45">
        <f>37</f>
        <v>37</v>
      </c>
      <c r="X77" s="255">
        <f t="shared" si="31"/>
        <v>11</v>
      </c>
      <c r="Y77" s="255">
        <f t="shared" si="32"/>
        <v>78</v>
      </c>
      <c r="Z77" s="256">
        <f t="shared" si="33"/>
        <v>14.102564102564102</v>
      </c>
      <c r="AA77" s="257">
        <f t="shared" si="34"/>
        <v>40</v>
      </c>
      <c r="AB77" s="116">
        <f t="shared" si="35"/>
        <v>0.4</v>
      </c>
      <c r="AC77" s="123">
        <v>847</v>
      </c>
      <c r="AD77" s="123">
        <v>925</v>
      </c>
      <c r="AE77" s="257">
        <f t="shared" si="36"/>
        <v>78</v>
      </c>
      <c r="AF77" s="258">
        <f t="shared" si="37"/>
        <v>9.208972845336481</v>
      </c>
      <c r="AG77" s="257">
        <f t="shared" si="38"/>
        <v>100</v>
      </c>
      <c r="AH77" s="124">
        <f t="shared" si="39"/>
        <v>4</v>
      </c>
      <c r="AI77" s="105">
        <v>0</v>
      </c>
      <c r="AJ77" s="105">
        <v>0</v>
      </c>
      <c r="AK77" s="105">
        <v>0</v>
      </c>
      <c r="AL77" s="105">
        <v>0</v>
      </c>
      <c r="AM77" s="260">
        <f t="shared" si="40"/>
        <v>0</v>
      </c>
      <c r="AN77" s="260">
        <f t="shared" si="41"/>
        <v>20</v>
      </c>
      <c r="AO77" s="130">
        <f t="shared" si="42"/>
        <v>0.2</v>
      </c>
      <c r="AP77" s="106">
        <v>71925</v>
      </c>
      <c r="AQ77" s="261">
        <f t="shared" si="43"/>
        <v>0.64166425717314624</v>
      </c>
      <c r="AR77" s="261">
        <f t="shared" si="44"/>
        <v>34.624963857597194</v>
      </c>
      <c r="AS77" s="107">
        <f t="shared" si="45"/>
        <v>1.3849985543038879</v>
      </c>
      <c r="AT77" s="105">
        <v>0</v>
      </c>
      <c r="AU77" s="105">
        <v>1</v>
      </c>
      <c r="AV77" s="262">
        <f t="shared" si="46"/>
        <v>25</v>
      </c>
      <c r="AW77" s="134">
        <v>4</v>
      </c>
      <c r="AX77" s="447" t="s">
        <v>3685</v>
      </c>
      <c r="AY77" s="262">
        <f t="shared" si="47"/>
        <v>50</v>
      </c>
      <c r="AZ77" s="262">
        <f t="shared" si="48"/>
        <v>75</v>
      </c>
      <c r="BA77" s="38">
        <f t="shared" si="49"/>
        <v>0.75</v>
      </c>
      <c r="BB77" s="105">
        <v>0</v>
      </c>
      <c r="BC77" s="105">
        <v>0</v>
      </c>
      <c r="BD77" s="105">
        <v>0</v>
      </c>
      <c r="BE77" s="262">
        <f t="shared" si="50"/>
        <v>0</v>
      </c>
      <c r="BF77" s="262">
        <f t="shared" si="51"/>
        <v>50</v>
      </c>
      <c r="BG77" s="38">
        <f t="shared" si="52"/>
        <v>0.5</v>
      </c>
      <c r="BH77" s="255">
        <f t="shared" si="53"/>
        <v>12632644</v>
      </c>
      <c r="BI77" s="256">
        <f t="shared" si="54"/>
        <v>1.2379855351116753</v>
      </c>
      <c r="BJ77" s="256">
        <f t="shared" si="55"/>
        <v>34.284891513337563</v>
      </c>
      <c r="BK77" s="55">
        <f t="shared" si="56"/>
        <v>0.68569783026675124</v>
      </c>
      <c r="BL77" s="137">
        <f t="shared" si="57"/>
        <v>8.9206963845706397</v>
      </c>
    </row>
    <row r="78" spans="1:64" x14ac:dyDescent="0.6">
      <c r="A78" s="214" t="s">
        <v>700</v>
      </c>
      <c r="B78" s="13" t="s">
        <v>2056</v>
      </c>
      <c r="C78" s="219" t="s">
        <v>545</v>
      </c>
      <c r="D78" s="216" t="s">
        <v>191</v>
      </c>
      <c r="E78" s="217" t="s">
        <v>178</v>
      </c>
      <c r="F78" s="217" t="s">
        <v>137</v>
      </c>
      <c r="G78" s="218">
        <v>25659</v>
      </c>
      <c r="H78" s="217" t="s">
        <v>830</v>
      </c>
      <c r="I78" s="217" t="s">
        <v>716</v>
      </c>
      <c r="J78" s="217" t="s">
        <v>1228</v>
      </c>
      <c r="K78" s="217" t="s">
        <v>91</v>
      </c>
      <c r="L78" s="220">
        <v>2858930432</v>
      </c>
      <c r="M78" s="206">
        <v>1570209001</v>
      </c>
      <c r="N78" s="206">
        <v>1288721432</v>
      </c>
      <c r="O78" s="206">
        <v>3289633814</v>
      </c>
      <c r="P78" s="206">
        <v>129259533</v>
      </c>
      <c r="Q78" s="206">
        <v>115619859</v>
      </c>
      <c r="R78" s="206">
        <v>84739843</v>
      </c>
      <c r="S78" s="105">
        <v>1</v>
      </c>
      <c r="T78" s="254">
        <f t="shared" si="29"/>
        <v>100</v>
      </c>
      <c r="U78" s="107">
        <f t="shared" si="30"/>
        <v>1</v>
      </c>
      <c r="V78" s="45">
        <v>2435</v>
      </c>
      <c r="W78" s="45">
        <f>2326+101</f>
        <v>2427</v>
      </c>
      <c r="X78" s="255">
        <f t="shared" si="31"/>
        <v>-8</v>
      </c>
      <c r="Y78" s="255">
        <f t="shared" si="32"/>
        <v>138</v>
      </c>
      <c r="Z78" s="256">
        <f t="shared" si="33"/>
        <v>-5.7971014492753623</v>
      </c>
      <c r="AA78" s="257">
        <f t="shared" si="34"/>
        <v>20</v>
      </c>
      <c r="AB78" s="116">
        <f t="shared" si="35"/>
        <v>0.2</v>
      </c>
      <c r="AC78" s="123">
        <v>4775</v>
      </c>
      <c r="AD78" s="123">
        <v>4913</v>
      </c>
      <c r="AE78" s="257">
        <f t="shared" si="36"/>
        <v>138</v>
      </c>
      <c r="AF78" s="258">
        <f t="shared" si="37"/>
        <v>2.8900523560209423</v>
      </c>
      <c r="AG78" s="257">
        <f t="shared" si="38"/>
        <v>100</v>
      </c>
      <c r="AH78" s="124">
        <f t="shared" si="39"/>
        <v>4</v>
      </c>
      <c r="AI78" s="105">
        <v>0</v>
      </c>
      <c r="AJ78" s="105">
        <v>0</v>
      </c>
      <c r="AK78" s="105">
        <v>0</v>
      </c>
      <c r="AL78" s="105">
        <v>0</v>
      </c>
      <c r="AM78" s="260">
        <f t="shared" si="40"/>
        <v>0</v>
      </c>
      <c r="AN78" s="260">
        <f t="shared" si="41"/>
        <v>20</v>
      </c>
      <c r="AO78" s="130">
        <f t="shared" si="42"/>
        <v>0.2</v>
      </c>
      <c r="AP78" s="106">
        <v>4906000</v>
      </c>
      <c r="AQ78" s="261">
        <f t="shared" si="43"/>
        <v>5.7894844105387362</v>
      </c>
      <c r="AR78" s="261">
        <f t="shared" si="44"/>
        <v>100</v>
      </c>
      <c r="AS78" s="107">
        <f t="shared" si="45"/>
        <v>4</v>
      </c>
      <c r="AT78" s="105">
        <v>0</v>
      </c>
      <c r="AU78" s="105">
        <v>1</v>
      </c>
      <c r="AV78" s="262">
        <f t="shared" si="46"/>
        <v>25</v>
      </c>
      <c r="AW78" s="134">
        <v>4</v>
      </c>
      <c r="AX78" s="134" t="s">
        <v>3570</v>
      </c>
      <c r="AY78" s="262">
        <f t="shared" si="47"/>
        <v>50</v>
      </c>
      <c r="AZ78" s="262">
        <f t="shared" si="48"/>
        <v>75</v>
      </c>
      <c r="BA78" s="38">
        <f t="shared" si="49"/>
        <v>0.75</v>
      </c>
      <c r="BB78" s="105">
        <v>0</v>
      </c>
      <c r="BC78" s="105">
        <v>0</v>
      </c>
      <c r="BD78" s="105">
        <v>0</v>
      </c>
      <c r="BE78" s="262">
        <f t="shared" si="50"/>
        <v>0</v>
      </c>
      <c r="BF78" s="262">
        <f t="shared" si="51"/>
        <v>50</v>
      </c>
      <c r="BG78" s="38">
        <f t="shared" si="52"/>
        <v>0.5</v>
      </c>
      <c r="BH78" s="255">
        <f t="shared" si="53"/>
        <v>30880016</v>
      </c>
      <c r="BI78" s="256">
        <f t="shared" si="54"/>
        <v>0.93870679066408691</v>
      </c>
      <c r="BJ78" s="256">
        <f t="shared" si="55"/>
        <v>32.040300929980653</v>
      </c>
      <c r="BK78" s="55">
        <f t="shared" si="56"/>
        <v>0.64080601859961306</v>
      </c>
      <c r="BL78" s="137">
        <f t="shared" si="57"/>
        <v>11.290806018599614</v>
      </c>
    </row>
    <row r="79" spans="1:64" x14ac:dyDescent="0.6">
      <c r="A79" s="214" t="s">
        <v>1593</v>
      </c>
      <c r="B79" s="13" t="s">
        <v>2057</v>
      </c>
      <c r="C79" s="219" t="s">
        <v>1594</v>
      </c>
      <c r="D79" s="14" t="s">
        <v>203</v>
      </c>
      <c r="E79" s="217" t="s">
        <v>1595</v>
      </c>
      <c r="F79" s="217" t="s">
        <v>1596</v>
      </c>
      <c r="G79" s="218">
        <v>40389</v>
      </c>
      <c r="H79" s="217" t="s">
        <v>830</v>
      </c>
      <c r="I79" s="217" t="s">
        <v>1597</v>
      </c>
      <c r="J79" s="1" t="s">
        <v>2058</v>
      </c>
      <c r="K79" s="217" t="s">
        <v>91</v>
      </c>
      <c r="L79" s="220">
        <v>991695975</v>
      </c>
      <c r="M79" s="206">
        <v>405389777</v>
      </c>
      <c r="N79" s="206">
        <v>586306198</v>
      </c>
      <c r="O79" s="206">
        <v>881208064</v>
      </c>
      <c r="P79" s="206">
        <v>14182419</v>
      </c>
      <c r="Q79" s="206">
        <v>20162956</v>
      </c>
      <c r="R79" s="206">
        <v>20025770</v>
      </c>
      <c r="S79" s="105">
        <v>1</v>
      </c>
      <c r="T79" s="254">
        <f t="shared" si="29"/>
        <v>100</v>
      </c>
      <c r="U79" s="107">
        <f t="shared" si="30"/>
        <v>1</v>
      </c>
      <c r="V79" s="45">
        <f>11+5+21</f>
        <v>37</v>
      </c>
      <c r="W79" s="45">
        <f>10+5+24</f>
        <v>39</v>
      </c>
      <c r="X79" s="255">
        <f t="shared" si="31"/>
        <v>2</v>
      </c>
      <c r="Y79" s="255">
        <f t="shared" si="32"/>
        <v>-22</v>
      </c>
      <c r="Z79" s="256">
        <f t="shared" si="33"/>
        <v>200</v>
      </c>
      <c r="AA79" s="257">
        <f t="shared" si="34"/>
        <v>100</v>
      </c>
      <c r="AB79" s="116">
        <f t="shared" si="35"/>
        <v>1</v>
      </c>
      <c r="AC79" s="123">
        <v>324</v>
      </c>
      <c r="AD79" s="123">
        <v>302</v>
      </c>
      <c r="AE79" s="257">
        <f t="shared" si="36"/>
        <v>-22</v>
      </c>
      <c r="AF79" s="258">
        <f t="shared" si="37"/>
        <v>-6.7901234567901234</v>
      </c>
      <c r="AG79" s="257">
        <f t="shared" si="38"/>
        <v>20</v>
      </c>
      <c r="AH79" s="124">
        <f t="shared" si="39"/>
        <v>0.8</v>
      </c>
      <c r="AI79" s="105">
        <v>0</v>
      </c>
      <c r="AJ79" s="105">
        <v>0</v>
      </c>
      <c r="AK79" s="105">
        <v>0</v>
      </c>
      <c r="AL79" s="105">
        <v>0</v>
      </c>
      <c r="AM79" s="260">
        <f t="shared" si="40"/>
        <v>0</v>
      </c>
      <c r="AN79" s="260">
        <f t="shared" si="41"/>
        <v>20</v>
      </c>
      <c r="AO79" s="130">
        <f t="shared" si="42"/>
        <v>0.2</v>
      </c>
      <c r="AP79" s="106">
        <v>91835</v>
      </c>
      <c r="AQ79" s="261">
        <f t="shared" si="43"/>
        <v>0.458584114368636</v>
      </c>
      <c r="AR79" s="261">
        <f t="shared" si="44"/>
        <v>31.878761715529539</v>
      </c>
      <c r="AS79" s="107">
        <f t="shared" si="45"/>
        <v>1.2751504686211816</v>
      </c>
      <c r="AT79" s="105">
        <v>0</v>
      </c>
      <c r="AU79" s="105">
        <v>0</v>
      </c>
      <c r="AV79" s="262">
        <f t="shared" si="46"/>
        <v>0</v>
      </c>
      <c r="AW79" s="134">
        <v>3</v>
      </c>
      <c r="AX79" s="447" t="s">
        <v>3686</v>
      </c>
      <c r="AY79" s="262">
        <f t="shared" si="47"/>
        <v>50</v>
      </c>
      <c r="AZ79" s="262">
        <f t="shared" si="48"/>
        <v>50</v>
      </c>
      <c r="BA79" s="38">
        <f t="shared" si="49"/>
        <v>0.5</v>
      </c>
      <c r="BB79" s="105">
        <v>0</v>
      </c>
      <c r="BC79" s="105">
        <v>0</v>
      </c>
      <c r="BD79" s="105">
        <v>0</v>
      </c>
      <c r="BE79" s="262">
        <f t="shared" si="50"/>
        <v>0</v>
      </c>
      <c r="BF79" s="262">
        <f t="shared" si="51"/>
        <v>50</v>
      </c>
      <c r="BG79" s="38">
        <f t="shared" si="52"/>
        <v>0.5</v>
      </c>
      <c r="BH79" s="255">
        <f t="shared" si="53"/>
        <v>137186</v>
      </c>
      <c r="BI79" s="256">
        <f t="shared" si="54"/>
        <v>1.5567946504856314E-2</v>
      </c>
      <c r="BJ79" s="256">
        <f t="shared" si="55"/>
        <v>25.116759598786423</v>
      </c>
      <c r="BK79" s="55">
        <f t="shared" si="56"/>
        <v>0.50233519197572851</v>
      </c>
      <c r="BL79" s="137">
        <f t="shared" si="57"/>
        <v>5.77748566059691</v>
      </c>
    </row>
    <row r="80" spans="1:64" x14ac:dyDescent="0.6">
      <c r="A80" s="214" t="s">
        <v>82</v>
      </c>
      <c r="B80" s="13" t="s">
        <v>2059</v>
      </c>
      <c r="C80" s="219" t="s">
        <v>427</v>
      </c>
      <c r="D80" s="14" t="s">
        <v>203</v>
      </c>
      <c r="E80" s="217" t="s">
        <v>978</v>
      </c>
      <c r="F80" s="217" t="s">
        <v>556</v>
      </c>
      <c r="G80" s="218">
        <v>40536</v>
      </c>
      <c r="H80" s="217" t="s">
        <v>830</v>
      </c>
      <c r="I80" s="217" t="s">
        <v>972</v>
      </c>
      <c r="J80" s="217" t="s">
        <v>638</v>
      </c>
      <c r="K80" s="217" t="s">
        <v>308</v>
      </c>
      <c r="L80" s="220">
        <v>838882273</v>
      </c>
      <c r="M80" s="206">
        <v>521359056</v>
      </c>
      <c r="N80" s="206">
        <v>317523216</v>
      </c>
      <c r="O80" s="206">
        <v>1019977255</v>
      </c>
      <c r="P80" s="206">
        <v>1019269</v>
      </c>
      <c r="Q80" s="206">
        <v>1770357</v>
      </c>
      <c r="R80" s="206">
        <v>1219262</v>
      </c>
      <c r="S80" s="105">
        <v>1</v>
      </c>
      <c r="T80" s="254">
        <f t="shared" si="29"/>
        <v>100</v>
      </c>
      <c r="U80" s="107">
        <f t="shared" si="30"/>
        <v>1</v>
      </c>
      <c r="V80" s="45">
        <v>29</v>
      </c>
      <c r="W80" s="45">
        <v>30</v>
      </c>
      <c r="X80" s="255">
        <f t="shared" si="31"/>
        <v>1</v>
      </c>
      <c r="Y80" s="255">
        <f t="shared" si="32"/>
        <v>-12</v>
      </c>
      <c r="Z80" s="256">
        <f t="shared" si="33"/>
        <v>100</v>
      </c>
      <c r="AA80" s="257">
        <f t="shared" si="34"/>
        <v>100</v>
      </c>
      <c r="AB80" s="116">
        <f t="shared" si="35"/>
        <v>1</v>
      </c>
      <c r="AC80" s="123">
        <v>408</v>
      </c>
      <c r="AD80" s="123">
        <v>396</v>
      </c>
      <c r="AE80" s="257">
        <f t="shared" si="36"/>
        <v>-12</v>
      </c>
      <c r="AF80" s="258">
        <f t="shared" si="37"/>
        <v>-2.9411764705882351</v>
      </c>
      <c r="AG80" s="257">
        <f t="shared" si="38"/>
        <v>20</v>
      </c>
      <c r="AH80" s="124">
        <f t="shared" si="39"/>
        <v>0.8</v>
      </c>
      <c r="AI80" s="105">
        <v>0</v>
      </c>
      <c r="AJ80" s="105">
        <v>0</v>
      </c>
      <c r="AK80" s="105">
        <v>0</v>
      </c>
      <c r="AL80" s="105">
        <v>0</v>
      </c>
      <c r="AM80" s="260">
        <f t="shared" si="40"/>
        <v>0</v>
      </c>
      <c r="AN80" s="260">
        <f t="shared" si="41"/>
        <v>20</v>
      </c>
      <c r="AO80" s="130">
        <f t="shared" si="42"/>
        <v>0.2</v>
      </c>
      <c r="AP80" s="106">
        <v>309797.59999999998</v>
      </c>
      <c r="AQ80" s="261">
        <f t="shared" si="43"/>
        <v>25.408616031665055</v>
      </c>
      <c r="AR80" s="261">
        <f t="shared" si="44"/>
        <v>100</v>
      </c>
      <c r="AS80" s="107">
        <f t="shared" si="45"/>
        <v>4</v>
      </c>
      <c r="AT80" s="105">
        <v>0</v>
      </c>
      <c r="AU80" s="105">
        <v>1</v>
      </c>
      <c r="AV80" s="262">
        <f t="shared" si="46"/>
        <v>25</v>
      </c>
      <c r="AW80" s="134">
        <v>0</v>
      </c>
      <c r="AX80" s="134"/>
      <c r="AY80" s="262">
        <f t="shared" si="47"/>
        <v>0</v>
      </c>
      <c r="AZ80" s="262">
        <f t="shared" si="48"/>
        <v>25</v>
      </c>
      <c r="BA80" s="38">
        <f t="shared" si="49"/>
        <v>0.25</v>
      </c>
      <c r="BB80" s="105">
        <v>1</v>
      </c>
      <c r="BC80" s="105">
        <v>0</v>
      </c>
      <c r="BD80" s="105">
        <v>0</v>
      </c>
      <c r="BE80" s="262">
        <f t="shared" si="50"/>
        <v>1</v>
      </c>
      <c r="BF80" s="262">
        <f t="shared" si="51"/>
        <v>100</v>
      </c>
      <c r="BG80" s="38">
        <f t="shared" si="52"/>
        <v>1</v>
      </c>
      <c r="BH80" s="255">
        <f t="shared" si="53"/>
        <v>551095</v>
      </c>
      <c r="BI80" s="256">
        <f t="shared" si="54"/>
        <v>5.4030126387475175E-2</v>
      </c>
      <c r="BJ80" s="256">
        <f t="shared" si="55"/>
        <v>25.405225947906064</v>
      </c>
      <c r="BK80" s="55">
        <f t="shared" si="56"/>
        <v>0.50810451895812125</v>
      </c>
      <c r="BL80" s="137">
        <f t="shared" si="57"/>
        <v>8.7581045189581204</v>
      </c>
    </row>
    <row r="81" spans="1:64" x14ac:dyDescent="0.6">
      <c r="A81" s="214" t="s">
        <v>932</v>
      </c>
      <c r="B81" s="13" t="s">
        <v>2060</v>
      </c>
      <c r="C81" s="219" t="s">
        <v>452</v>
      </c>
      <c r="D81" s="216" t="s">
        <v>285</v>
      </c>
      <c r="E81" s="217" t="s">
        <v>872</v>
      </c>
      <c r="F81" s="217" t="s">
        <v>286</v>
      </c>
      <c r="G81" s="218">
        <v>36973</v>
      </c>
      <c r="H81" s="217" t="s">
        <v>830</v>
      </c>
      <c r="I81" s="217" t="s">
        <v>771</v>
      </c>
      <c r="J81" s="217" t="s">
        <v>1598</v>
      </c>
      <c r="K81" s="217" t="s">
        <v>91</v>
      </c>
      <c r="L81" s="220">
        <v>9668849513</v>
      </c>
      <c r="M81" s="206">
        <v>6674852812</v>
      </c>
      <c r="N81" s="206">
        <v>2993996701</v>
      </c>
      <c r="O81" s="206">
        <v>9318914840</v>
      </c>
      <c r="P81" s="206">
        <v>433402928</v>
      </c>
      <c r="Q81" s="206">
        <v>364861645</v>
      </c>
      <c r="R81" s="206">
        <v>254741243</v>
      </c>
      <c r="S81" s="105">
        <v>1</v>
      </c>
      <c r="T81" s="254">
        <f t="shared" si="29"/>
        <v>100</v>
      </c>
      <c r="U81" s="107">
        <f t="shared" si="30"/>
        <v>1</v>
      </c>
      <c r="V81" s="45">
        <v>329</v>
      </c>
      <c r="W81" s="45">
        <f>15+140+36+171</f>
        <v>362</v>
      </c>
      <c r="X81" s="255">
        <f t="shared" si="31"/>
        <v>33</v>
      </c>
      <c r="Y81" s="255">
        <f t="shared" si="32"/>
        <v>-19</v>
      </c>
      <c r="Z81" s="256">
        <f t="shared" si="33"/>
        <v>3300</v>
      </c>
      <c r="AA81" s="257">
        <f t="shared" si="34"/>
        <v>100</v>
      </c>
      <c r="AB81" s="116">
        <f t="shared" si="35"/>
        <v>1</v>
      </c>
      <c r="AC81" s="123">
        <v>3694</v>
      </c>
      <c r="AD81" s="123">
        <v>3675</v>
      </c>
      <c r="AE81" s="257">
        <f t="shared" si="36"/>
        <v>-19</v>
      </c>
      <c r="AF81" s="258">
        <f t="shared" si="37"/>
        <v>-0.5143475906876015</v>
      </c>
      <c r="AG81" s="257">
        <f t="shared" si="38"/>
        <v>20</v>
      </c>
      <c r="AH81" s="124">
        <f t="shared" si="39"/>
        <v>0.8</v>
      </c>
      <c r="AI81" s="105">
        <v>0</v>
      </c>
      <c r="AJ81" s="105">
        <v>0</v>
      </c>
      <c r="AK81" s="105">
        <v>0</v>
      </c>
      <c r="AL81" s="105">
        <v>0</v>
      </c>
      <c r="AM81" s="260">
        <f t="shared" si="40"/>
        <v>0</v>
      </c>
      <c r="AN81" s="260">
        <f t="shared" si="41"/>
        <v>20</v>
      </c>
      <c r="AO81" s="130">
        <f t="shared" si="42"/>
        <v>0.2</v>
      </c>
      <c r="AP81" s="106">
        <v>1389000</v>
      </c>
      <c r="AQ81" s="261">
        <f t="shared" si="43"/>
        <v>0.54525917501313281</v>
      </c>
      <c r="AR81" s="261">
        <f t="shared" si="44"/>
        <v>33.178887625196992</v>
      </c>
      <c r="AS81" s="107">
        <f t="shared" si="45"/>
        <v>1.3271555050078798</v>
      </c>
      <c r="AT81" s="105">
        <v>1</v>
      </c>
      <c r="AU81" s="105">
        <v>1</v>
      </c>
      <c r="AV81" s="262">
        <f t="shared" si="46"/>
        <v>50</v>
      </c>
      <c r="AW81" s="134">
        <v>3</v>
      </c>
      <c r="AX81" s="134" t="s">
        <v>3571</v>
      </c>
      <c r="AY81" s="262">
        <f t="shared" si="47"/>
        <v>50</v>
      </c>
      <c r="AZ81" s="262">
        <f t="shared" si="48"/>
        <v>100</v>
      </c>
      <c r="BA81" s="38">
        <f t="shared" si="49"/>
        <v>1</v>
      </c>
      <c r="BB81" s="105">
        <v>0</v>
      </c>
      <c r="BC81" s="105">
        <v>0</v>
      </c>
      <c r="BD81" s="105">
        <v>0</v>
      </c>
      <c r="BE81" s="262">
        <f t="shared" si="50"/>
        <v>0</v>
      </c>
      <c r="BF81" s="262">
        <f t="shared" si="51"/>
        <v>50</v>
      </c>
      <c r="BG81" s="38">
        <f t="shared" si="52"/>
        <v>0.5</v>
      </c>
      <c r="BH81" s="255">
        <f t="shared" si="53"/>
        <v>110120402</v>
      </c>
      <c r="BI81" s="256">
        <f t="shared" si="54"/>
        <v>1.1816869656038191</v>
      </c>
      <c r="BJ81" s="256">
        <f t="shared" si="55"/>
        <v>33.862652242028645</v>
      </c>
      <c r="BK81" s="55">
        <f t="shared" si="56"/>
        <v>0.67725304484057292</v>
      </c>
      <c r="BL81" s="137">
        <f t="shared" si="57"/>
        <v>6.5044085498484527</v>
      </c>
    </row>
    <row r="82" spans="1:64" x14ac:dyDescent="0.6">
      <c r="A82" s="214" t="s">
        <v>761</v>
      </c>
      <c r="B82" s="13" t="s">
        <v>2061</v>
      </c>
      <c r="C82" s="219" t="s">
        <v>552</v>
      </c>
      <c r="D82" s="216" t="s">
        <v>191</v>
      </c>
      <c r="E82" s="217" t="s">
        <v>34</v>
      </c>
      <c r="F82" s="217" t="s">
        <v>131</v>
      </c>
      <c r="G82" s="218">
        <v>26841</v>
      </c>
      <c r="H82" s="217" t="s">
        <v>830</v>
      </c>
      <c r="I82" s="217" t="s">
        <v>739</v>
      </c>
      <c r="J82" s="217" t="s">
        <v>1247</v>
      </c>
      <c r="K82" s="217" t="s">
        <v>690</v>
      </c>
      <c r="L82" s="220">
        <v>467020461</v>
      </c>
      <c r="M82" s="206">
        <v>22242291</v>
      </c>
      <c r="N82" s="206">
        <v>444778170</v>
      </c>
      <c r="O82" s="206">
        <v>102401976</v>
      </c>
      <c r="P82" s="206">
        <v>54478995</v>
      </c>
      <c r="Q82" s="206">
        <v>56254195</v>
      </c>
      <c r="R82" s="206">
        <v>53906527</v>
      </c>
      <c r="S82" s="105">
        <v>1</v>
      </c>
      <c r="T82" s="254">
        <f t="shared" si="29"/>
        <v>100</v>
      </c>
      <c r="U82" s="107">
        <f t="shared" si="30"/>
        <v>1</v>
      </c>
      <c r="V82" s="45">
        <v>183</v>
      </c>
      <c r="W82" s="45">
        <v>188</v>
      </c>
      <c r="X82" s="255">
        <f t="shared" si="31"/>
        <v>5</v>
      </c>
      <c r="Y82" s="255">
        <f t="shared" si="32"/>
        <v>2</v>
      </c>
      <c r="Z82" s="256">
        <f t="shared" si="33"/>
        <v>250</v>
      </c>
      <c r="AA82" s="257">
        <f t="shared" si="34"/>
        <v>100</v>
      </c>
      <c r="AB82" s="116">
        <f t="shared" si="35"/>
        <v>1</v>
      </c>
      <c r="AC82" s="123">
        <v>316</v>
      </c>
      <c r="AD82" s="123">
        <v>318</v>
      </c>
      <c r="AE82" s="257">
        <f t="shared" si="36"/>
        <v>2</v>
      </c>
      <c r="AF82" s="258">
        <f t="shared" si="37"/>
        <v>0.63291139240506333</v>
      </c>
      <c r="AG82" s="257">
        <f t="shared" si="38"/>
        <v>60</v>
      </c>
      <c r="AH82" s="124">
        <f t="shared" si="39"/>
        <v>2.4</v>
      </c>
      <c r="AI82" s="105">
        <v>0</v>
      </c>
      <c r="AJ82" s="105">
        <v>0</v>
      </c>
      <c r="AK82" s="105">
        <v>0</v>
      </c>
      <c r="AL82" s="105">
        <v>0</v>
      </c>
      <c r="AM82" s="260">
        <f t="shared" si="40"/>
        <v>0</v>
      </c>
      <c r="AN82" s="260">
        <f t="shared" si="41"/>
        <v>20</v>
      </c>
      <c r="AO82" s="130">
        <f t="shared" si="42"/>
        <v>0.2</v>
      </c>
      <c r="AP82" s="106">
        <v>140000</v>
      </c>
      <c r="AQ82" s="261">
        <f t="shared" si="43"/>
        <v>0.25970881040064031</v>
      </c>
      <c r="AR82" s="261">
        <f t="shared" si="44"/>
        <v>28.895632156009604</v>
      </c>
      <c r="AS82" s="107">
        <f t="shared" si="45"/>
        <v>1.1558252862403842</v>
      </c>
      <c r="AT82" s="105">
        <v>0</v>
      </c>
      <c r="AU82" s="105">
        <v>1</v>
      </c>
      <c r="AV82" s="262">
        <f t="shared" si="46"/>
        <v>25</v>
      </c>
      <c r="AW82" s="134">
        <v>0</v>
      </c>
      <c r="AX82" s="134"/>
      <c r="AY82" s="262">
        <f t="shared" si="47"/>
        <v>0</v>
      </c>
      <c r="AZ82" s="262">
        <f t="shared" si="48"/>
        <v>25</v>
      </c>
      <c r="BA82" s="38">
        <f t="shared" si="49"/>
        <v>0.25</v>
      </c>
      <c r="BB82" s="105">
        <v>0</v>
      </c>
      <c r="BC82" s="105">
        <v>0</v>
      </c>
      <c r="BD82" s="105">
        <v>0</v>
      </c>
      <c r="BE82" s="262">
        <f t="shared" si="50"/>
        <v>0</v>
      </c>
      <c r="BF82" s="262">
        <f t="shared" si="51"/>
        <v>50</v>
      </c>
      <c r="BG82" s="38">
        <f t="shared" si="52"/>
        <v>0.5</v>
      </c>
      <c r="BH82" s="255">
        <f t="shared" si="53"/>
        <v>2347668</v>
      </c>
      <c r="BI82" s="256">
        <f t="shared" si="54"/>
        <v>2.2926002912287551</v>
      </c>
      <c r="BJ82" s="256">
        <f t="shared" si="55"/>
        <v>42.194502184215665</v>
      </c>
      <c r="BK82" s="55">
        <f t="shared" si="56"/>
        <v>0.84389004368431331</v>
      </c>
      <c r="BL82" s="137">
        <f t="shared" si="57"/>
        <v>7.349715329924698</v>
      </c>
    </row>
    <row r="83" spans="1:64" x14ac:dyDescent="0.6">
      <c r="A83" s="214" t="s">
        <v>1599</v>
      </c>
      <c r="B83" s="13" t="s">
        <v>2062</v>
      </c>
      <c r="C83" s="219" t="s">
        <v>1600</v>
      </c>
      <c r="D83" s="14" t="s">
        <v>191</v>
      </c>
      <c r="E83" s="217" t="s">
        <v>34</v>
      </c>
      <c r="F83" s="217" t="s">
        <v>1601</v>
      </c>
      <c r="G83" s="218">
        <v>37561</v>
      </c>
      <c r="H83" s="217" t="s">
        <v>830</v>
      </c>
      <c r="I83" s="217" t="s">
        <v>1602</v>
      </c>
      <c r="J83" s="1" t="s">
        <v>3687</v>
      </c>
      <c r="K83" s="217" t="s">
        <v>690</v>
      </c>
      <c r="L83" s="220">
        <v>1374022214</v>
      </c>
      <c r="M83" s="206">
        <v>714171561</v>
      </c>
      <c r="N83" s="206">
        <v>659850653</v>
      </c>
      <c r="O83" s="206">
        <v>1161253630</v>
      </c>
      <c r="P83" s="206">
        <v>105963323</v>
      </c>
      <c r="Q83" s="206">
        <v>44624254</v>
      </c>
      <c r="R83" s="206">
        <v>48561673</v>
      </c>
      <c r="S83" s="105">
        <v>1</v>
      </c>
      <c r="T83" s="254">
        <f t="shared" si="29"/>
        <v>100</v>
      </c>
      <c r="U83" s="107">
        <f t="shared" si="30"/>
        <v>1</v>
      </c>
      <c r="V83" s="45">
        <v>449</v>
      </c>
      <c r="W83" s="45">
        <v>513</v>
      </c>
      <c r="X83" s="255">
        <f t="shared" si="31"/>
        <v>64</v>
      </c>
      <c r="Y83" s="255">
        <f t="shared" si="32"/>
        <v>176</v>
      </c>
      <c r="Z83" s="256">
        <f t="shared" si="33"/>
        <v>36.363636363636367</v>
      </c>
      <c r="AA83" s="257">
        <f t="shared" si="34"/>
        <v>80</v>
      </c>
      <c r="AB83" s="116">
        <f t="shared" si="35"/>
        <v>0.8</v>
      </c>
      <c r="AC83" s="123">
        <v>1448</v>
      </c>
      <c r="AD83" s="123">
        <v>1624</v>
      </c>
      <c r="AE83" s="257">
        <f t="shared" si="36"/>
        <v>176</v>
      </c>
      <c r="AF83" s="258">
        <f t="shared" si="37"/>
        <v>12.154696132596685</v>
      </c>
      <c r="AG83" s="257">
        <f t="shared" si="38"/>
        <v>100</v>
      </c>
      <c r="AH83" s="124">
        <f t="shared" si="39"/>
        <v>4</v>
      </c>
      <c r="AI83" s="105">
        <v>1</v>
      </c>
      <c r="AJ83" s="105">
        <v>0</v>
      </c>
      <c r="AK83" s="105">
        <v>0</v>
      </c>
      <c r="AL83" s="105">
        <v>0</v>
      </c>
      <c r="AM83" s="260">
        <f t="shared" si="40"/>
        <v>1</v>
      </c>
      <c r="AN83" s="260">
        <f t="shared" si="41"/>
        <v>40</v>
      </c>
      <c r="AO83" s="130">
        <f t="shared" si="42"/>
        <v>0.4</v>
      </c>
      <c r="AP83" s="106">
        <v>2155882</v>
      </c>
      <c r="AQ83" s="261">
        <f t="shared" si="43"/>
        <v>4.4394722562379592</v>
      </c>
      <c r="AR83" s="261">
        <f t="shared" si="44"/>
        <v>91.592083843569384</v>
      </c>
      <c r="AS83" s="107">
        <f t="shared" si="45"/>
        <v>3.6636833537427753</v>
      </c>
      <c r="AT83" s="105">
        <v>0</v>
      </c>
      <c r="AU83" s="105">
        <v>1</v>
      </c>
      <c r="AV83" s="262">
        <f t="shared" si="46"/>
        <v>25</v>
      </c>
      <c r="AW83" s="134">
        <v>9</v>
      </c>
      <c r="AX83" s="447" t="s">
        <v>3688</v>
      </c>
      <c r="AY83" s="262">
        <f t="shared" si="47"/>
        <v>50</v>
      </c>
      <c r="AZ83" s="262">
        <f t="shared" si="48"/>
        <v>75</v>
      </c>
      <c r="BA83" s="38">
        <f t="shared" si="49"/>
        <v>0.75</v>
      </c>
      <c r="BB83" s="105">
        <v>0</v>
      </c>
      <c r="BC83" s="105">
        <v>0</v>
      </c>
      <c r="BD83" s="105">
        <v>0</v>
      </c>
      <c r="BE83" s="262">
        <f t="shared" si="50"/>
        <v>0</v>
      </c>
      <c r="BF83" s="262">
        <f t="shared" si="51"/>
        <v>50</v>
      </c>
      <c r="BG83" s="38">
        <f t="shared" si="52"/>
        <v>0.5</v>
      </c>
      <c r="BH83" s="255">
        <f t="shared" si="53"/>
        <v>-3937419</v>
      </c>
      <c r="BI83" s="256">
        <f t="shared" si="54"/>
        <v>-0.33906623826872345</v>
      </c>
      <c r="BJ83" s="256">
        <f t="shared" si="55"/>
        <v>25</v>
      </c>
      <c r="BK83" s="55">
        <f t="shared" si="56"/>
        <v>0.5</v>
      </c>
      <c r="BL83" s="137">
        <f t="shared" si="57"/>
        <v>11.613683353742775</v>
      </c>
    </row>
    <row r="84" spans="1:64" x14ac:dyDescent="0.6">
      <c r="A84" s="214" t="s">
        <v>559</v>
      </c>
      <c r="B84" s="13" t="s">
        <v>2063</v>
      </c>
      <c r="C84" s="219" t="s">
        <v>89</v>
      </c>
      <c r="D84" s="216" t="s">
        <v>202</v>
      </c>
      <c r="E84" s="217" t="s">
        <v>954</v>
      </c>
      <c r="F84" s="217" t="s">
        <v>122</v>
      </c>
      <c r="G84" s="218">
        <v>28298</v>
      </c>
      <c r="H84" s="217" t="s">
        <v>830</v>
      </c>
      <c r="I84" s="217" t="s">
        <v>1604</v>
      </c>
      <c r="J84" s="217" t="s">
        <v>1014</v>
      </c>
      <c r="K84" s="217" t="s">
        <v>425</v>
      </c>
      <c r="L84" s="220">
        <v>688386355</v>
      </c>
      <c r="M84" s="206">
        <v>261400791</v>
      </c>
      <c r="N84" s="206">
        <v>426985565</v>
      </c>
      <c r="O84" s="206">
        <v>696217415</v>
      </c>
      <c r="P84" s="206">
        <v>16849939</v>
      </c>
      <c r="Q84" s="206">
        <v>6695668</v>
      </c>
      <c r="R84" s="206">
        <v>10606180</v>
      </c>
      <c r="S84" s="105">
        <v>1</v>
      </c>
      <c r="T84" s="254">
        <f t="shared" si="29"/>
        <v>100</v>
      </c>
      <c r="U84" s="107">
        <f t="shared" si="30"/>
        <v>1</v>
      </c>
      <c r="V84" s="45">
        <v>19</v>
      </c>
      <c r="W84" s="45">
        <v>17</v>
      </c>
      <c r="X84" s="255">
        <f t="shared" si="31"/>
        <v>-2</v>
      </c>
      <c r="Y84" s="255">
        <f t="shared" si="32"/>
        <v>-58</v>
      </c>
      <c r="Z84" s="256">
        <f t="shared" si="33"/>
        <v>-200</v>
      </c>
      <c r="AA84" s="257">
        <f t="shared" si="34"/>
        <v>20</v>
      </c>
      <c r="AB84" s="116">
        <f t="shared" si="35"/>
        <v>0.2</v>
      </c>
      <c r="AC84" s="123">
        <v>760</v>
      </c>
      <c r="AD84" s="123">
        <v>702</v>
      </c>
      <c r="AE84" s="257">
        <f t="shared" si="36"/>
        <v>-58</v>
      </c>
      <c r="AF84" s="258">
        <f t="shared" si="37"/>
        <v>-7.6315789473684212</v>
      </c>
      <c r="AG84" s="257">
        <f t="shared" si="38"/>
        <v>20</v>
      </c>
      <c r="AH84" s="124">
        <f t="shared" si="39"/>
        <v>0.8</v>
      </c>
      <c r="AI84" s="105">
        <v>0</v>
      </c>
      <c r="AJ84" s="105">
        <v>0</v>
      </c>
      <c r="AK84" s="105">
        <v>0</v>
      </c>
      <c r="AL84" s="105">
        <v>0</v>
      </c>
      <c r="AM84" s="260">
        <f t="shared" si="40"/>
        <v>0</v>
      </c>
      <c r="AN84" s="260">
        <f t="shared" si="41"/>
        <v>20</v>
      </c>
      <c r="AO84" s="130">
        <f t="shared" si="42"/>
        <v>0.2</v>
      </c>
      <c r="AP84" s="106">
        <v>5000</v>
      </c>
      <c r="AQ84" s="261">
        <f t="shared" si="43"/>
        <v>4.7142326454953622E-2</v>
      </c>
      <c r="AR84" s="261">
        <f t="shared" si="44"/>
        <v>25.707134896824304</v>
      </c>
      <c r="AS84" s="107">
        <f t="shared" si="45"/>
        <v>1.0282853958729721</v>
      </c>
      <c r="AT84" s="105">
        <v>0</v>
      </c>
      <c r="AU84" s="105">
        <v>1</v>
      </c>
      <c r="AV84" s="262">
        <f t="shared" si="46"/>
        <v>25</v>
      </c>
      <c r="AW84" s="134">
        <v>0</v>
      </c>
      <c r="AX84" s="134"/>
      <c r="AY84" s="262">
        <f t="shared" si="47"/>
        <v>0</v>
      </c>
      <c r="AZ84" s="262">
        <f t="shared" si="48"/>
        <v>25</v>
      </c>
      <c r="BA84" s="38">
        <f t="shared" si="49"/>
        <v>0.25</v>
      </c>
      <c r="BB84" s="105">
        <v>0</v>
      </c>
      <c r="BC84" s="105">
        <v>0</v>
      </c>
      <c r="BD84" s="105">
        <v>0</v>
      </c>
      <c r="BE84" s="262">
        <f t="shared" si="50"/>
        <v>0</v>
      </c>
      <c r="BF84" s="262">
        <f t="shared" si="51"/>
        <v>50</v>
      </c>
      <c r="BG84" s="38">
        <f t="shared" si="52"/>
        <v>0.5</v>
      </c>
      <c r="BH84" s="255">
        <f t="shared" si="53"/>
        <v>-3910512</v>
      </c>
      <c r="BI84" s="256">
        <f t="shared" si="54"/>
        <v>-0.56167971609845468</v>
      </c>
      <c r="BJ84" s="256">
        <f t="shared" si="55"/>
        <v>25</v>
      </c>
      <c r="BK84" s="55">
        <f t="shared" si="56"/>
        <v>0.5</v>
      </c>
      <c r="BL84" s="137">
        <f t="shared" si="57"/>
        <v>4.4782853958729723</v>
      </c>
    </row>
    <row r="85" spans="1:64" x14ac:dyDescent="0.6">
      <c r="A85" s="214" t="s">
        <v>333</v>
      </c>
      <c r="B85" s="13" t="s">
        <v>2064</v>
      </c>
      <c r="C85" s="219" t="s">
        <v>40</v>
      </c>
      <c r="D85" s="216" t="s">
        <v>191</v>
      </c>
      <c r="E85" s="217" t="s">
        <v>34</v>
      </c>
      <c r="F85" s="217" t="s">
        <v>139</v>
      </c>
      <c r="G85" s="218">
        <v>36509</v>
      </c>
      <c r="H85" s="217" t="s">
        <v>830</v>
      </c>
      <c r="I85" s="217" t="s">
        <v>451</v>
      </c>
      <c r="J85" s="217" t="s">
        <v>1227</v>
      </c>
      <c r="K85" s="217" t="s">
        <v>91</v>
      </c>
      <c r="L85" s="220">
        <v>424552601</v>
      </c>
      <c r="M85" s="206">
        <v>177887391</v>
      </c>
      <c r="N85" s="206">
        <v>246665210</v>
      </c>
      <c r="O85" s="206">
        <v>452801417</v>
      </c>
      <c r="P85" s="206">
        <v>47688591</v>
      </c>
      <c r="Q85" s="206">
        <v>39855973</v>
      </c>
      <c r="R85" s="206">
        <v>31496020</v>
      </c>
      <c r="S85" s="105">
        <v>1</v>
      </c>
      <c r="T85" s="254">
        <f t="shared" si="29"/>
        <v>100</v>
      </c>
      <c r="U85" s="107">
        <f t="shared" si="30"/>
        <v>1</v>
      </c>
      <c r="V85" s="45">
        <v>308</v>
      </c>
      <c r="W85" s="45">
        <v>332</v>
      </c>
      <c r="X85" s="255">
        <f t="shared" si="31"/>
        <v>24</v>
      </c>
      <c r="Y85" s="255">
        <f t="shared" si="32"/>
        <v>70</v>
      </c>
      <c r="Z85" s="256">
        <f t="shared" si="33"/>
        <v>34.285714285714285</v>
      </c>
      <c r="AA85" s="257">
        <f t="shared" si="34"/>
        <v>80</v>
      </c>
      <c r="AB85" s="116">
        <f t="shared" si="35"/>
        <v>0.8</v>
      </c>
      <c r="AC85" s="123">
        <v>1017</v>
      </c>
      <c r="AD85" s="123">
        <v>1087</v>
      </c>
      <c r="AE85" s="257">
        <f t="shared" si="36"/>
        <v>70</v>
      </c>
      <c r="AF85" s="258">
        <f t="shared" si="37"/>
        <v>6.8829891838741402</v>
      </c>
      <c r="AG85" s="257">
        <f t="shared" si="38"/>
        <v>100</v>
      </c>
      <c r="AH85" s="124">
        <f t="shared" si="39"/>
        <v>4</v>
      </c>
      <c r="AI85" s="105">
        <v>0</v>
      </c>
      <c r="AJ85" s="105">
        <v>0</v>
      </c>
      <c r="AK85" s="105">
        <v>0</v>
      </c>
      <c r="AL85" s="105">
        <v>0</v>
      </c>
      <c r="AM85" s="260">
        <f t="shared" si="40"/>
        <v>0</v>
      </c>
      <c r="AN85" s="260">
        <f t="shared" si="41"/>
        <v>20</v>
      </c>
      <c r="AO85" s="130">
        <f t="shared" si="42"/>
        <v>0.2</v>
      </c>
      <c r="AP85" s="106">
        <v>458339</v>
      </c>
      <c r="AQ85" s="261">
        <f t="shared" si="43"/>
        <v>1.4552283113866451</v>
      </c>
      <c r="AR85" s="261">
        <f t="shared" si="44"/>
        <v>46.828424670799677</v>
      </c>
      <c r="AS85" s="107">
        <f t="shared" si="45"/>
        <v>1.8731369868319871</v>
      </c>
      <c r="AT85" s="105">
        <v>0</v>
      </c>
      <c r="AU85" s="105">
        <v>1</v>
      </c>
      <c r="AV85" s="262">
        <f t="shared" si="46"/>
        <v>25</v>
      </c>
      <c r="AW85" s="134">
        <v>3</v>
      </c>
      <c r="AX85" s="134" t="s">
        <v>3572</v>
      </c>
      <c r="AY85" s="262">
        <f t="shared" si="47"/>
        <v>50</v>
      </c>
      <c r="AZ85" s="262">
        <f t="shared" si="48"/>
        <v>75</v>
      </c>
      <c r="BA85" s="38">
        <f t="shared" si="49"/>
        <v>0.75</v>
      </c>
      <c r="BB85" s="105">
        <v>0</v>
      </c>
      <c r="BC85" s="105">
        <v>0</v>
      </c>
      <c r="BD85" s="105">
        <v>0</v>
      </c>
      <c r="BE85" s="262">
        <f t="shared" si="50"/>
        <v>0</v>
      </c>
      <c r="BF85" s="262">
        <f t="shared" si="51"/>
        <v>50</v>
      </c>
      <c r="BG85" s="38">
        <f t="shared" si="52"/>
        <v>0.5</v>
      </c>
      <c r="BH85" s="255">
        <f t="shared" si="53"/>
        <v>8359953</v>
      </c>
      <c r="BI85" s="256">
        <f t="shared" si="54"/>
        <v>1.8462735950316163</v>
      </c>
      <c r="BJ85" s="256">
        <f t="shared" si="55"/>
        <v>38.847051962737126</v>
      </c>
      <c r="BK85" s="55">
        <f t="shared" si="56"/>
        <v>0.77694103925474256</v>
      </c>
      <c r="BL85" s="137">
        <f t="shared" si="57"/>
        <v>9.9000780260867298</v>
      </c>
    </row>
    <row r="86" spans="1:64" x14ac:dyDescent="0.6">
      <c r="A86" s="214" t="s">
        <v>423</v>
      </c>
      <c r="B86" s="13" t="s">
        <v>2065</v>
      </c>
      <c r="C86" s="219" t="s">
        <v>316</v>
      </c>
      <c r="D86" s="216" t="s">
        <v>202</v>
      </c>
      <c r="E86" s="217" t="s">
        <v>954</v>
      </c>
      <c r="F86" s="217" t="s">
        <v>118</v>
      </c>
      <c r="G86" s="218">
        <v>32714</v>
      </c>
      <c r="H86" s="217" t="s">
        <v>830</v>
      </c>
      <c r="I86" s="217" t="s">
        <v>751</v>
      </c>
      <c r="J86" s="217" t="s">
        <v>1056</v>
      </c>
      <c r="K86" s="217" t="s">
        <v>50</v>
      </c>
      <c r="L86" s="220">
        <v>250352084</v>
      </c>
      <c r="M86" s="206">
        <v>48446955</v>
      </c>
      <c r="N86" s="206">
        <v>201905129</v>
      </c>
      <c r="O86" s="206">
        <v>318979683</v>
      </c>
      <c r="P86" s="206">
        <v>34727495</v>
      </c>
      <c r="Q86" s="206">
        <v>41272114</v>
      </c>
      <c r="R86" s="206">
        <v>31646295</v>
      </c>
      <c r="S86" s="105">
        <v>1</v>
      </c>
      <c r="T86" s="254">
        <f t="shared" si="29"/>
        <v>100</v>
      </c>
      <c r="U86" s="107">
        <f t="shared" si="30"/>
        <v>1</v>
      </c>
      <c r="V86" s="45">
        <v>2</v>
      </c>
      <c r="W86" s="45">
        <v>3</v>
      </c>
      <c r="X86" s="255">
        <f t="shared" si="31"/>
        <v>1</v>
      </c>
      <c r="Y86" s="255">
        <f t="shared" si="32"/>
        <v>-2</v>
      </c>
      <c r="Z86" s="256">
        <f t="shared" si="33"/>
        <v>100</v>
      </c>
      <c r="AA86" s="257">
        <f t="shared" si="34"/>
        <v>100</v>
      </c>
      <c r="AB86" s="116">
        <f t="shared" si="35"/>
        <v>1</v>
      </c>
      <c r="AC86" s="123">
        <v>102</v>
      </c>
      <c r="AD86" s="123">
        <v>100</v>
      </c>
      <c r="AE86" s="257">
        <f t="shared" si="36"/>
        <v>-2</v>
      </c>
      <c r="AF86" s="258">
        <f t="shared" si="37"/>
        <v>-1.9607843137254901</v>
      </c>
      <c r="AG86" s="257">
        <f t="shared" si="38"/>
        <v>20</v>
      </c>
      <c r="AH86" s="124">
        <f t="shared" si="39"/>
        <v>0.8</v>
      </c>
      <c r="AI86" s="105">
        <v>0</v>
      </c>
      <c r="AJ86" s="105">
        <v>0</v>
      </c>
      <c r="AK86" s="105">
        <v>0</v>
      </c>
      <c r="AL86" s="105">
        <v>0</v>
      </c>
      <c r="AM86" s="260">
        <f t="shared" si="40"/>
        <v>0</v>
      </c>
      <c r="AN86" s="260">
        <f t="shared" si="41"/>
        <v>20</v>
      </c>
      <c r="AO86" s="130">
        <f t="shared" si="42"/>
        <v>0.2</v>
      </c>
      <c r="AP86" s="106">
        <v>320000</v>
      </c>
      <c r="AQ86" s="261">
        <f t="shared" si="43"/>
        <v>1.0111768218048907</v>
      </c>
      <c r="AR86" s="261">
        <f t="shared" si="44"/>
        <v>40.167652327073363</v>
      </c>
      <c r="AS86" s="107">
        <f t="shared" si="45"/>
        <v>1.6067060930829344</v>
      </c>
      <c r="AT86" s="105">
        <v>0</v>
      </c>
      <c r="AU86" s="105">
        <v>1</v>
      </c>
      <c r="AV86" s="262">
        <f t="shared" si="46"/>
        <v>25</v>
      </c>
      <c r="AW86" s="134">
        <v>0</v>
      </c>
      <c r="AX86" s="134"/>
      <c r="AY86" s="262">
        <f t="shared" si="47"/>
        <v>0</v>
      </c>
      <c r="AZ86" s="262">
        <f t="shared" si="48"/>
        <v>25</v>
      </c>
      <c r="BA86" s="38">
        <f t="shared" si="49"/>
        <v>0.25</v>
      </c>
      <c r="BB86" s="105">
        <v>0</v>
      </c>
      <c r="BC86" s="105">
        <v>0</v>
      </c>
      <c r="BD86" s="105">
        <v>0</v>
      </c>
      <c r="BE86" s="262">
        <f t="shared" si="50"/>
        <v>0</v>
      </c>
      <c r="BF86" s="262">
        <f t="shared" si="51"/>
        <v>50</v>
      </c>
      <c r="BG86" s="38">
        <f t="shared" si="52"/>
        <v>0.5</v>
      </c>
      <c r="BH86" s="255">
        <f t="shared" si="53"/>
        <v>9625819</v>
      </c>
      <c r="BI86" s="256">
        <f t="shared" si="54"/>
        <v>3.0176903147778225</v>
      </c>
      <c r="BJ86" s="256">
        <f t="shared" si="55"/>
        <v>47.632677360833668</v>
      </c>
      <c r="BK86" s="55">
        <f t="shared" si="56"/>
        <v>0.95265354721667339</v>
      </c>
      <c r="BL86" s="137">
        <f t="shared" si="57"/>
        <v>6.3093596402996077</v>
      </c>
    </row>
    <row r="87" spans="1:64" x14ac:dyDescent="0.6">
      <c r="A87" s="214" t="s">
        <v>1605</v>
      </c>
      <c r="B87" s="13" t="s">
        <v>2066</v>
      </c>
      <c r="C87" s="219" t="s">
        <v>1606</v>
      </c>
      <c r="D87" s="14" t="s">
        <v>202</v>
      </c>
      <c r="E87" s="217" t="s">
        <v>613</v>
      </c>
      <c r="F87" s="217" t="s">
        <v>1607</v>
      </c>
      <c r="G87" s="218">
        <v>25199</v>
      </c>
      <c r="H87" s="217" t="s">
        <v>830</v>
      </c>
      <c r="I87" s="217" t="s">
        <v>1608</v>
      </c>
      <c r="J87" s="1" t="s">
        <v>3689</v>
      </c>
      <c r="K87" s="217" t="s">
        <v>690</v>
      </c>
      <c r="L87" s="220">
        <v>1552592143</v>
      </c>
      <c r="M87" s="206">
        <v>682188473</v>
      </c>
      <c r="N87" s="206">
        <v>870403670</v>
      </c>
      <c r="O87" s="206">
        <v>2199525188</v>
      </c>
      <c r="P87" s="206">
        <v>28784541</v>
      </c>
      <c r="Q87" s="206">
        <v>14593912</v>
      </c>
      <c r="R87" s="206">
        <v>8438935</v>
      </c>
      <c r="S87" s="105">
        <v>1</v>
      </c>
      <c r="T87" s="254">
        <f t="shared" si="29"/>
        <v>100</v>
      </c>
      <c r="U87" s="107">
        <f t="shared" si="30"/>
        <v>1</v>
      </c>
      <c r="V87" s="45">
        <f>59</f>
        <v>59</v>
      </c>
      <c r="W87" s="45">
        <f>58+425</f>
        <v>483</v>
      </c>
      <c r="X87" s="255">
        <f t="shared" si="31"/>
        <v>424</v>
      </c>
      <c r="Y87" s="255">
        <f t="shared" si="32"/>
        <v>15</v>
      </c>
      <c r="Z87" s="256">
        <f t="shared" si="33"/>
        <v>2826.6666666666665</v>
      </c>
      <c r="AA87" s="257">
        <f t="shared" si="34"/>
        <v>100</v>
      </c>
      <c r="AB87" s="116">
        <f t="shared" si="35"/>
        <v>1</v>
      </c>
      <c r="AC87" s="123">
        <v>866</v>
      </c>
      <c r="AD87" s="123">
        <v>881</v>
      </c>
      <c r="AE87" s="257">
        <f t="shared" si="36"/>
        <v>15</v>
      </c>
      <c r="AF87" s="258">
        <f t="shared" si="37"/>
        <v>1.7321016166281753</v>
      </c>
      <c r="AG87" s="257">
        <f t="shared" si="38"/>
        <v>80</v>
      </c>
      <c r="AH87" s="124">
        <f t="shared" si="39"/>
        <v>3.2</v>
      </c>
      <c r="AI87" s="105">
        <v>0</v>
      </c>
      <c r="AJ87" s="105">
        <v>0</v>
      </c>
      <c r="AK87" s="105">
        <v>0</v>
      </c>
      <c r="AL87" s="105">
        <v>0</v>
      </c>
      <c r="AM87" s="260">
        <f t="shared" si="40"/>
        <v>0</v>
      </c>
      <c r="AN87" s="260">
        <f t="shared" si="41"/>
        <v>20</v>
      </c>
      <c r="AO87" s="130">
        <f t="shared" si="42"/>
        <v>0.2</v>
      </c>
      <c r="AP87" s="440">
        <v>0</v>
      </c>
      <c r="AQ87" s="261">
        <f t="shared" si="43"/>
        <v>0</v>
      </c>
      <c r="AR87" s="261">
        <f t="shared" si="44"/>
        <v>25</v>
      </c>
      <c r="AS87" s="107">
        <f t="shared" si="45"/>
        <v>1</v>
      </c>
      <c r="AT87" s="105">
        <v>1</v>
      </c>
      <c r="AU87" s="105">
        <v>1</v>
      </c>
      <c r="AV87" s="262">
        <f t="shared" si="46"/>
        <v>50</v>
      </c>
      <c r="AW87" s="134">
        <v>8</v>
      </c>
      <c r="AX87" s="447" t="s">
        <v>3690</v>
      </c>
      <c r="AY87" s="262">
        <f t="shared" si="47"/>
        <v>50</v>
      </c>
      <c r="AZ87" s="262">
        <f t="shared" si="48"/>
        <v>100</v>
      </c>
      <c r="BA87" s="38">
        <f t="shared" si="49"/>
        <v>1</v>
      </c>
      <c r="BB87" s="105">
        <v>0</v>
      </c>
      <c r="BC87" s="105">
        <v>0</v>
      </c>
      <c r="BD87" s="105">
        <v>0</v>
      </c>
      <c r="BE87" s="262">
        <f t="shared" si="50"/>
        <v>0</v>
      </c>
      <c r="BF87" s="262">
        <f t="shared" si="51"/>
        <v>50</v>
      </c>
      <c r="BG87" s="38">
        <f t="shared" si="52"/>
        <v>0.5</v>
      </c>
      <c r="BH87" s="255">
        <f t="shared" si="53"/>
        <v>6154977</v>
      </c>
      <c r="BI87" s="256">
        <f t="shared" si="54"/>
        <v>0.27983207619443728</v>
      </c>
      <c r="BJ87" s="256">
        <f t="shared" si="55"/>
        <v>27.098740571458279</v>
      </c>
      <c r="BK87" s="55">
        <f t="shared" si="56"/>
        <v>0.54197481142916559</v>
      </c>
      <c r="BL87" s="137">
        <f t="shared" si="57"/>
        <v>8.4419748114291657</v>
      </c>
    </row>
    <row r="88" spans="1:64" x14ac:dyDescent="0.6">
      <c r="A88" s="214" t="s">
        <v>1610</v>
      </c>
      <c r="B88" s="13" t="s">
        <v>2067</v>
      </c>
      <c r="C88" s="219" t="s">
        <v>1611</v>
      </c>
      <c r="D88" s="14" t="s">
        <v>203</v>
      </c>
      <c r="E88" s="217" t="s">
        <v>195</v>
      </c>
      <c r="F88" s="217" t="s">
        <v>1612</v>
      </c>
      <c r="G88" s="218">
        <v>38656</v>
      </c>
      <c r="H88" s="217" t="s">
        <v>830</v>
      </c>
      <c r="I88" s="217" t="s">
        <v>1613</v>
      </c>
      <c r="J88" s="1" t="s">
        <v>3691</v>
      </c>
      <c r="K88" s="217" t="s">
        <v>484</v>
      </c>
      <c r="L88" s="220">
        <v>970387263</v>
      </c>
      <c r="M88" s="206">
        <v>262154054</v>
      </c>
      <c r="N88" s="206">
        <v>708233209</v>
      </c>
      <c r="O88" s="206">
        <v>1283527751</v>
      </c>
      <c r="P88" s="206">
        <v>140978130</v>
      </c>
      <c r="Q88" s="206">
        <v>164027486</v>
      </c>
      <c r="R88" s="206">
        <v>128769206</v>
      </c>
      <c r="S88" s="105">
        <v>1</v>
      </c>
      <c r="T88" s="254">
        <f t="shared" si="29"/>
        <v>100</v>
      </c>
      <c r="U88" s="107">
        <f t="shared" si="30"/>
        <v>1</v>
      </c>
      <c r="V88" s="45">
        <v>25</v>
      </c>
      <c r="W88" s="45">
        <v>25</v>
      </c>
      <c r="X88" s="255">
        <f t="shared" si="31"/>
        <v>0</v>
      </c>
      <c r="Y88" s="255">
        <f t="shared" si="32"/>
        <v>7</v>
      </c>
      <c r="Z88" s="256">
        <f t="shared" si="33"/>
        <v>0</v>
      </c>
      <c r="AA88" s="257">
        <f t="shared" si="34"/>
        <v>20</v>
      </c>
      <c r="AB88" s="116">
        <f t="shared" si="35"/>
        <v>0.2</v>
      </c>
      <c r="AC88" s="123">
        <v>394</v>
      </c>
      <c r="AD88" s="123">
        <v>401</v>
      </c>
      <c r="AE88" s="257">
        <f t="shared" si="36"/>
        <v>7</v>
      </c>
      <c r="AF88" s="258">
        <f t="shared" si="37"/>
        <v>1.7766497461928936</v>
      </c>
      <c r="AG88" s="257">
        <f t="shared" si="38"/>
        <v>80</v>
      </c>
      <c r="AH88" s="124">
        <f t="shared" si="39"/>
        <v>3.2</v>
      </c>
      <c r="AI88" s="105">
        <v>0</v>
      </c>
      <c r="AJ88" s="105">
        <v>0</v>
      </c>
      <c r="AK88" s="105">
        <v>0</v>
      </c>
      <c r="AL88" s="105">
        <v>0</v>
      </c>
      <c r="AM88" s="260">
        <f t="shared" si="40"/>
        <v>0</v>
      </c>
      <c r="AN88" s="260">
        <f t="shared" si="41"/>
        <v>20</v>
      </c>
      <c r="AO88" s="130">
        <f t="shared" si="42"/>
        <v>0.2</v>
      </c>
      <c r="AP88" s="106">
        <v>294040</v>
      </c>
      <c r="AQ88" s="261">
        <f t="shared" si="43"/>
        <v>0.22834651943105091</v>
      </c>
      <c r="AR88" s="261">
        <f t="shared" si="44"/>
        <v>28.425197791465763</v>
      </c>
      <c r="AS88" s="107">
        <f t="shared" si="45"/>
        <v>1.1370079116586305</v>
      </c>
      <c r="AT88" s="105">
        <v>0</v>
      </c>
      <c r="AU88" s="105">
        <v>0</v>
      </c>
      <c r="AV88" s="262">
        <f t="shared" si="46"/>
        <v>0</v>
      </c>
      <c r="AW88" s="134">
        <v>0</v>
      </c>
      <c r="AX88" s="447"/>
      <c r="AY88" s="262">
        <f t="shared" si="47"/>
        <v>0</v>
      </c>
      <c r="AZ88" s="262">
        <f t="shared" si="48"/>
        <v>0</v>
      </c>
      <c r="BA88" s="38">
        <f t="shared" si="49"/>
        <v>0</v>
      </c>
      <c r="BB88" s="105">
        <v>0</v>
      </c>
      <c r="BC88" s="105">
        <v>0</v>
      </c>
      <c r="BD88" s="105">
        <v>0</v>
      </c>
      <c r="BE88" s="262">
        <f t="shared" si="50"/>
        <v>0</v>
      </c>
      <c r="BF88" s="262">
        <f t="shared" si="51"/>
        <v>50</v>
      </c>
      <c r="BG88" s="38">
        <f t="shared" si="52"/>
        <v>0.5</v>
      </c>
      <c r="BH88" s="255">
        <f t="shared" si="53"/>
        <v>35258280</v>
      </c>
      <c r="BI88" s="256">
        <f t="shared" si="54"/>
        <v>2.7469822894386335</v>
      </c>
      <c r="BJ88" s="256">
        <f t="shared" si="55"/>
        <v>45.602367170789748</v>
      </c>
      <c r="BK88" s="55">
        <f t="shared" si="56"/>
        <v>0.91204734341579496</v>
      </c>
      <c r="BL88" s="137">
        <f t="shared" si="57"/>
        <v>7.1490552550744262</v>
      </c>
    </row>
    <row r="89" spans="1:64" x14ac:dyDescent="0.6">
      <c r="A89" s="214" t="s">
        <v>913</v>
      </c>
      <c r="B89" s="13" t="s">
        <v>2068</v>
      </c>
      <c r="C89" s="219" t="s">
        <v>486</v>
      </c>
      <c r="D89" s="216" t="s">
        <v>191</v>
      </c>
      <c r="E89" s="217" t="s">
        <v>1020</v>
      </c>
      <c r="F89" s="217" t="s">
        <v>156</v>
      </c>
      <c r="G89" s="218">
        <v>25897</v>
      </c>
      <c r="H89" s="217" t="s">
        <v>830</v>
      </c>
      <c r="I89" s="217" t="s">
        <v>204</v>
      </c>
      <c r="J89" s="217" t="s">
        <v>1238</v>
      </c>
      <c r="K89" s="217" t="s">
        <v>91</v>
      </c>
      <c r="L89" s="220">
        <v>891133540</v>
      </c>
      <c r="M89" s="206">
        <v>131474747</v>
      </c>
      <c r="N89" s="206">
        <v>759658793</v>
      </c>
      <c r="O89" s="206">
        <v>462786649</v>
      </c>
      <c r="P89" s="206">
        <v>21452774</v>
      </c>
      <c r="Q89" s="206">
        <v>31309680</v>
      </c>
      <c r="R89" s="206">
        <v>23472409</v>
      </c>
      <c r="S89" s="105">
        <v>0</v>
      </c>
      <c r="T89" s="254">
        <f t="shared" si="29"/>
        <v>0</v>
      </c>
      <c r="U89" s="107">
        <f t="shared" si="30"/>
        <v>0</v>
      </c>
      <c r="V89" s="45">
        <v>56</v>
      </c>
      <c r="W89" s="45">
        <f>52+0</f>
        <v>52</v>
      </c>
      <c r="X89" s="255">
        <f t="shared" si="31"/>
        <v>-4</v>
      </c>
      <c r="Y89" s="255">
        <f t="shared" si="32"/>
        <v>-5</v>
      </c>
      <c r="Z89" s="256">
        <f t="shared" si="33"/>
        <v>-400</v>
      </c>
      <c r="AA89" s="257">
        <f t="shared" si="34"/>
        <v>20</v>
      </c>
      <c r="AB89" s="116">
        <f t="shared" si="35"/>
        <v>0.2</v>
      </c>
      <c r="AC89" s="123">
        <v>349</v>
      </c>
      <c r="AD89" s="123">
        <v>344</v>
      </c>
      <c r="AE89" s="257">
        <f t="shared" si="36"/>
        <v>-5</v>
      </c>
      <c r="AF89" s="258">
        <f t="shared" si="37"/>
        <v>-1.4326647564469914</v>
      </c>
      <c r="AG89" s="257">
        <f t="shared" si="38"/>
        <v>20</v>
      </c>
      <c r="AH89" s="124">
        <f t="shared" si="39"/>
        <v>0.8</v>
      </c>
      <c r="AI89" s="105">
        <v>0</v>
      </c>
      <c r="AJ89" s="105">
        <v>0</v>
      </c>
      <c r="AK89" s="105">
        <v>0</v>
      </c>
      <c r="AL89" s="105">
        <v>0</v>
      </c>
      <c r="AM89" s="260">
        <f t="shared" si="40"/>
        <v>0</v>
      </c>
      <c r="AN89" s="260">
        <f t="shared" si="41"/>
        <v>20</v>
      </c>
      <c r="AO89" s="130">
        <f t="shared" si="42"/>
        <v>0.2</v>
      </c>
      <c r="AP89" s="106">
        <v>97235</v>
      </c>
      <c r="AQ89" s="261">
        <f t="shared" si="43"/>
        <v>0.41425232493179548</v>
      </c>
      <c r="AR89" s="261">
        <f t="shared" si="44"/>
        <v>31.213784873976934</v>
      </c>
      <c r="AS89" s="107">
        <f t="shared" si="45"/>
        <v>1.2485513949590774</v>
      </c>
      <c r="AT89" s="105">
        <v>0</v>
      </c>
      <c r="AU89" s="105">
        <v>1</v>
      </c>
      <c r="AV89" s="262">
        <f t="shared" si="46"/>
        <v>25</v>
      </c>
      <c r="AW89" s="134">
        <v>0</v>
      </c>
      <c r="AX89" s="134"/>
      <c r="AY89" s="262">
        <f t="shared" si="47"/>
        <v>0</v>
      </c>
      <c r="AZ89" s="262">
        <f t="shared" si="48"/>
        <v>25</v>
      </c>
      <c r="BA89" s="38">
        <f t="shared" si="49"/>
        <v>0.25</v>
      </c>
      <c r="BB89" s="105">
        <v>0</v>
      </c>
      <c r="BC89" s="105">
        <v>0</v>
      </c>
      <c r="BD89" s="105">
        <v>0</v>
      </c>
      <c r="BE89" s="262">
        <f t="shared" si="50"/>
        <v>0</v>
      </c>
      <c r="BF89" s="262">
        <f t="shared" si="51"/>
        <v>50</v>
      </c>
      <c r="BG89" s="38">
        <f t="shared" si="52"/>
        <v>0.5</v>
      </c>
      <c r="BH89" s="255">
        <f t="shared" si="53"/>
        <v>7837271</v>
      </c>
      <c r="BI89" s="256">
        <f t="shared" si="54"/>
        <v>1.6934954837039822</v>
      </c>
      <c r="BJ89" s="256">
        <f t="shared" si="55"/>
        <v>37.701216127779865</v>
      </c>
      <c r="BK89" s="55">
        <f t="shared" si="56"/>
        <v>0.75402432255559737</v>
      </c>
      <c r="BL89" s="137">
        <f t="shared" si="57"/>
        <v>3.9525757175146747</v>
      </c>
    </row>
    <row r="90" spans="1:64" x14ac:dyDescent="0.6">
      <c r="A90" s="214" t="s">
        <v>1615</v>
      </c>
      <c r="B90" s="13" t="s">
        <v>2069</v>
      </c>
      <c r="C90" s="219" t="s">
        <v>1616</v>
      </c>
      <c r="D90" s="14" t="s">
        <v>191</v>
      </c>
      <c r="E90" s="217" t="s">
        <v>240</v>
      </c>
      <c r="F90" s="217" t="s">
        <v>1617</v>
      </c>
      <c r="G90" s="218">
        <v>31404</v>
      </c>
      <c r="H90" s="217" t="s">
        <v>830</v>
      </c>
      <c r="I90" s="217" t="s">
        <v>1618</v>
      </c>
      <c r="J90" s="1" t="s">
        <v>3692</v>
      </c>
      <c r="K90" s="217" t="s">
        <v>91</v>
      </c>
      <c r="L90" s="220">
        <v>836764532</v>
      </c>
      <c r="M90" s="206">
        <v>122779865</v>
      </c>
      <c r="N90" s="206">
        <v>713984667</v>
      </c>
      <c r="O90" s="206">
        <v>150864212</v>
      </c>
      <c r="P90" s="206">
        <v>6382962</v>
      </c>
      <c r="Q90" s="206">
        <v>23763677</v>
      </c>
      <c r="R90" s="206">
        <v>33439084</v>
      </c>
      <c r="S90" s="105">
        <v>1</v>
      </c>
      <c r="T90" s="254">
        <f t="shared" si="29"/>
        <v>100</v>
      </c>
      <c r="U90" s="107">
        <f t="shared" si="30"/>
        <v>1</v>
      </c>
      <c r="V90" s="45">
        <v>14</v>
      </c>
      <c r="W90" s="45">
        <v>13</v>
      </c>
      <c r="X90" s="255">
        <f t="shared" si="31"/>
        <v>-1</v>
      </c>
      <c r="Y90" s="255">
        <f t="shared" si="32"/>
        <v>0</v>
      </c>
      <c r="Z90" s="256">
        <f t="shared" si="33"/>
        <v>-100</v>
      </c>
      <c r="AA90" s="257">
        <f t="shared" si="34"/>
        <v>20</v>
      </c>
      <c r="AB90" s="116">
        <f t="shared" si="35"/>
        <v>0.2</v>
      </c>
      <c r="AC90" s="123">
        <v>161</v>
      </c>
      <c r="AD90" s="123">
        <v>161</v>
      </c>
      <c r="AE90" s="257">
        <f t="shared" si="36"/>
        <v>0</v>
      </c>
      <c r="AF90" s="258">
        <f t="shared" si="37"/>
        <v>0</v>
      </c>
      <c r="AG90" s="257">
        <f t="shared" si="38"/>
        <v>40</v>
      </c>
      <c r="AH90" s="124">
        <f t="shared" si="39"/>
        <v>1.6</v>
      </c>
      <c r="AI90" s="105">
        <v>0</v>
      </c>
      <c r="AJ90" s="105">
        <v>0</v>
      </c>
      <c r="AK90" s="105">
        <v>0</v>
      </c>
      <c r="AL90" s="105">
        <v>0</v>
      </c>
      <c r="AM90" s="260">
        <f t="shared" si="40"/>
        <v>0</v>
      </c>
      <c r="AN90" s="260">
        <f t="shared" si="41"/>
        <v>20</v>
      </c>
      <c r="AO90" s="130">
        <f t="shared" si="42"/>
        <v>0.2</v>
      </c>
      <c r="AP90" s="106">
        <v>39555</v>
      </c>
      <c r="AQ90" s="261">
        <f t="shared" si="43"/>
        <v>0.11828972348644479</v>
      </c>
      <c r="AR90" s="261">
        <f t="shared" si="44"/>
        <v>26.774345852296673</v>
      </c>
      <c r="AS90" s="107">
        <f t="shared" si="45"/>
        <v>1.0709738340918669</v>
      </c>
      <c r="AT90" s="105">
        <v>0</v>
      </c>
      <c r="AU90" s="105">
        <v>1</v>
      </c>
      <c r="AV90" s="262">
        <f t="shared" si="46"/>
        <v>25</v>
      </c>
      <c r="AW90" s="134">
        <v>9</v>
      </c>
      <c r="AX90" s="447" t="s">
        <v>3693</v>
      </c>
      <c r="AY90" s="262">
        <f t="shared" si="47"/>
        <v>50</v>
      </c>
      <c r="AZ90" s="262">
        <f t="shared" si="48"/>
        <v>75</v>
      </c>
      <c r="BA90" s="38">
        <f t="shared" si="49"/>
        <v>0.75</v>
      </c>
      <c r="BB90" s="105">
        <v>0</v>
      </c>
      <c r="BC90" s="105">
        <v>0</v>
      </c>
      <c r="BD90" s="105">
        <v>0</v>
      </c>
      <c r="BE90" s="262">
        <f t="shared" si="50"/>
        <v>0</v>
      </c>
      <c r="BF90" s="262">
        <f t="shared" si="51"/>
        <v>50</v>
      </c>
      <c r="BG90" s="38">
        <f t="shared" si="52"/>
        <v>0.5</v>
      </c>
      <c r="BH90" s="255">
        <f t="shared" si="53"/>
        <v>-9675407</v>
      </c>
      <c r="BI90" s="256">
        <f t="shared" si="54"/>
        <v>-6.413321537118426</v>
      </c>
      <c r="BJ90" s="256">
        <f t="shared" si="55"/>
        <v>25</v>
      </c>
      <c r="BK90" s="55">
        <f t="shared" si="56"/>
        <v>0.5</v>
      </c>
      <c r="BL90" s="137">
        <f t="shared" si="57"/>
        <v>5.8209738340918671</v>
      </c>
    </row>
    <row r="91" spans="1:64" x14ac:dyDescent="0.6">
      <c r="A91" s="214" t="s">
        <v>721</v>
      </c>
      <c r="B91" s="13" t="s">
        <v>2070</v>
      </c>
      <c r="C91" s="219" t="s">
        <v>875</v>
      </c>
      <c r="D91" s="216" t="s">
        <v>191</v>
      </c>
      <c r="E91" s="217" t="s">
        <v>190</v>
      </c>
      <c r="F91" s="217" t="s">
        <v>1241</v>
      </c>
      <c r="G91" s="218">
        <v>33136</v>
      </c>
      <c r="H91" s="217" t="s">
        <v>830</v>
      </c>
      <c r="I91" s="217" t="s">
        <v>736</v>
      </c>
      <c r="J91" s="217" t="s">
        <v>1150</v>
      </c>
      <c r="K91" s="217" t="s">
        <v>91</v>
      </c>
      <c r="L91" s="220">
        <v>297649820</v>
      </c>
      <c r="M91" s="206">
        <v>54998742</v>
      </c>
      <c r="N91" s="206">
        <v>242651079</v>
      </c>
      <c r="O91" s="206">
        <v>319305280</v>
      </c>
      <c r="P91" s="206">
        <v>30195182</v>
      </c>
      <c r="Q91" s="206">
        <v>31995216</v>
      </c>
      <c r="R91" s="206">
        <v>25431135</v>
      </c>
      <c r="S91" s="105">
        <v>0</v>
      </c>
      <c r="T91" s="254">
        <f t="shared" si="29"/>
        <v>0</v>
      </c>
      <c r="U91" s="107">
        <f t="shared" si="30"/>
        <v>0</v>
      </c>
      <c r="V91" s="45">
        <v>296</v>
      </c>
      <c r="W91" s="45">
        <v>292</v>
      </c>
      <c r="X91" s="255">
        <f t="shared" si="31"/>
        <v>-4</v>
      </c>
      <c r="Y91" s="255">
        <f t="shared" si="32"/>
        <v>-7</v>
      </c>
      <c r="Z91" s="256">
        <f t="shared" si="33"/>
        <v>-400</v>
      </c>
      <c r="AA91" s="257">
        <f t="shared" si="34"/>
        <v>20</v>
      </c>
      <c r="AB91" s="116">
        <f t="shared" si="35"/>
        <v>0.2</v>
      </c>
      <c r="AC91" s="123">
        <v>452</v>
      </c>
      <c r="AD91" s="123">
        <v>445</v>
      </c>
      <c r="AE91" s="257">
        <f t="shared" si="36"/>
        <v>-7</v>
      </c>
      <c r="AF91" s="258">
        <f t="shared" si="37"/>
        <v>-1.5486725663716814</v>
      </c>
      <c r="AG91" s="257">
        <f t="shared" si="38"/>
        <v>20</v>
      </c>
      <c r="AH91" s="124">
        <f t="shared" si="39"/>
        <v>0.8</v>
      </c>
      <c r="AI91" s="105">
        <v>0</v>
      </c>
      <c r="AJ91" s="105">
        <v>0</v>
      </c>
      <c r="AK91" s="105">
        <v>0</v>
      </c>
      <c r="AL91" s="105">
        <v>0</v>
      </c>
      <c r="AM91" s="260">
        <f t="shared" si="40"/>
        <v>0</v>
      </c>
      <c r="AN91" s="260">
        <f t="shared" si="41"/>
        <v>20</v>
      </c>
      <c r="AO91" s="130">
        <f t="shared" si="42"/>
        <v>0.2</v>
      </c>
      <c r="AP91" s="106">
        <v>10630</v>
      </c>
      <c r="AQ91" s="261">
        <f t="shared" si="43"/>
        <v>4.1799156820959818E-2</v>
      </c>
      <c r="AR91" s="261">
        <f t="shared" si="44"/>
        <v>25.626987352314398</v>
      </c>
      <c r="AS91" s="107">
        <f t="shared" si="45"/>
        <v>1.025079494092576</v>
      </c>
      <c r="AT91" s="105">
        <v>0</v>
      </c>
      <c r="AU91" s="105">
        <v>1</v>
      </c>
      <c r="AV91" s="262">
        <f t="shared" si="46"/>
        <v>25</v>
      </c>
      <c r="AW91" s="134">
        <v>0</v>
      </c>
      <c r="AX91" s="134"/>
      <c r="AY91" s="262">
        <f t="shared" si="47"/>
        <v>0</v>
      </c>
      <c r="AZ91" s="262">
        <f t="shared" si="48"/>
        <v>25</v>
      </c>
      <c r="BA91" s="38">
        <f t="shared" si="49"/>
        <v>0.25</v>
      </c>
      <c r="BB91" s="105">
        <v>0</v>
      </c>
      <c r="BC91" s="105">
        <v>0</v>
      </c>
      <c r="BD91" s="105">
        <v>0</v>
      </c>
      <c r="BE91" s="262">
        <f t="shared" si="50"/>
        <v>0</v>
      </c>
      <c r="BF91" s="262">
        <f t="shared" si="51"/>
        <v>50</v>
      </c>
      <c r="BG91" s="38">
        <f t="shared" si="52"/>
        <v>0.5</v>
      </c>
      <c r="BH91" s="255">
        <f t="shared" si="53"/>
        <v>6564081</v>
      </c>
      <c r="BI91" s="256">
        <f t="shared" si="54"/>
        <v>2.0557383203935746</v>
      </c>
      <c r="BJ91" s="256">
        <f t="shared" si="55"/>
        <v>40.418037402951811</v>
      </c>
      <c r="BK91" s="55">
        <f t="shared" si="56"/>
        <v>0.80836074805903624</v>
      </c>
      <c r="BL91" s="137">
        <f t="shared" si="57"/>
        <v>3.7834402421516122</v>
      </c>
    </row>
    <row r="92" spans="1:64" x14ac:dyDescent="0.6">
      <c r="A92" s="214" t="s">
        <v>408</v>
      </c>
      <c r="B92" s="13" t="s">
        <v>2071</v>
      </c>
      <c r="C92" s="219" t="s">
        <v>874</v>
      </c>
      <c r="D92" s="216" t="s">
        <v>285</v>
      </c>
      <c r="E92" s="217" t="s">
        <v>1034</v>
      </c>
      <c r="F92" s="217" t="s">
        <v>987</v>
      </c>
      <c r="G92" s="218">
        <v>32444</v>
      </c>
      <c r="H92" s="217" t="s">
        <v>830</v>
      </c>
      <c r="I92" s="217" t="s">
        <v>752</v>
      </c>
      <c r="J92" s="217" t="s">
        <v>1059</v>
      </c>
      <c r="K92" s="217" t="s">
        <v>1620</v>
      </c>
      <c r="L92" s="220">
        <v>823154130</v>
      </c>
      <c r="M92" s="206">
        <v>397729314</v>
      </c>
      <c r="N92" s="206">
        <v>425424816</v>
      </c>
      <c r="O92" s="206">
        <v>297680162</v>
      </c>
      <c r="P92" s="206">
        <v>45164807</v>
      </c>
      <c r="Q92" s="206">
        <v>31718775</v>
      </c>
      <c r="R92" s="206">
        <v>23212712</v>
      </c>
      <c r="S92" s="105">
        <v>1</v>
      </c>
      <c r="T92" s="254">
        <f t="shared" si="29"/>
        <v>100</v>
      </c>
      <c r="U92" s="107">
        <f t="shared" si="30"/>
        <v>1</v>
      </c>
      <c r="V92" s="45">
        <v>557</v>
      </c>
      <c r="W92" s="45">
        <v>631</v>
      </c>
      <c r="X92" s="255">
        <f t="shared" si="31"/>
        <v>74</v>
      </c>
      <c r="Y92" s="255">
        <f t="shared" si="32"/>
        <v>68</v>
      </c>
      <c r="Z92" s="256">
        <f t="shared" si="33"/>
        <v>108.8235294117647</v>
      </c>
      <c r="AA92" s="257">
        <f t="shared" si="34"/>
        <v>100</v>
      </c>
      <c r="AB92" s="116">
        <f t="shared" si="35"/>
        <v>1</v>
      </c>
      <c r="AC92" s="123">
        <v>1646</v>
      </c>
      <c r="AD92" s="123">
        <v>1714</v>
      </c>
      <c r="AE92" s="257">
        <f t="shared" si="36"/>
        <v>68</v>
      </c>
      <c r="AF92" s="258">
        <f t="shared" si="37"/>
        <v>4.1312272174969626</v>
      </c>
      <c r="AG92" s="257">
        <f t="shared" si="38"/>
        <v>100</v>
      </c>
      <c r="AH92" s="124">
        <f t="shared" si="39"/>
        <v>4</v>
      </c>
      <c r="AI92" s="105">
        <v>0</v>
      </c>
      <c r="AJ92" s="105">
        <v>0</v>
      </c>
      <c r="AK92" s="105">
        <v>0</v>
      </c>
      <c r="AL92" s="105">
        <v>0</v>
      </c>
      <c r="AM92" s="260">
        <f t="shared" si="40"/>
        <v>0</v>
      </c>
      <c r="AN92" s="260">
        <f t="shared" si="41"/>
        <v>20</v>
      </c>
      <c r="AO92" s="130">
        <f t="shared" si="42"/>
        <v>0.2</v>
      </c>
      <c r="AP92" s="106">
        <v>1718910</v>
      </c>
      <c r="AQ92" s="261">
        <f t="shared" si="43"/>
        <v>7.4050373777954075</v>
      </c>
      <c r="AR92" s="261">
        <f t="shared" si="44"/>
        <v>100</v>
      </c>
      <c r="AS92" s="107">
        <f t="shared" si="45"/>
        <v>4</v>
      </c>
      <c r="AT92" s="105">
        <v>0</v>
      </c>
      <c r="AU92" s="105">
        <v>1</v>
      </c>
      <c r="AV92" s="262">
        <f t="shared" si="46"/>
        <v>25</v>
      </c>
      <c r="AW92" s="134">
        <v>0</v>
      </c>
      <c r="AX92" s="134"/>
      <c r="AY92" s="262">
        <f t="shared" si="47"/>
        <v>0</v>
      </c>
      <c r="AZ92" s="262">
        <f t="shared" si="48"/>
        <v>25</v>
      </c>
      <c r="BA92" s="38">
        <f t="shared" si="49"/>
        <v>0.25</v>
      </c>
      <c r="BB92" s="105">
        <v>0</v>
      </c>
      <c r="BC92" s="105">
        <v>0</v>
      </c>
      <c r="BD92" s="105">
        <v>0</v>
      </c>
      <c r="BE92" s="262">
        <f t="shared" si="50"/>
        <v>0</v>
      </c>
      <c r="BF92" s="262">
        <f t="shared" si="51"/>
        <v>50</v>
      </c>
      <c r="BG92" s="38">
        <f t="shared" si="52"/>
        <v>0.5</v>
      </c>
      <c r="BH92" s="255">
        <f t="shared" si="53"/>
        <v>8506063</v>
      </c>
      <c r="BI92" s="256">
        <f t="shared" si="54"/>
        <v>2.8574504067892841</v>
      </c>
      <c r="BJ92" s="256">
        <f t="shared" si="55"/>
        <v>46.430878050919631</v>
      </c>
      <c r="BK92" s="55">
        <f t="shared" si="56"/>
        <v>0.92861756101839266</v>
      </c>
      <c r="BL92" s="137">
        <f t="shared" si="57"/>
        <v>11.878617561018391</v>
      </c>
    </row>
    <row r="93" spans="1:64" x14ac:dyDescent="0.6">
      <c r="A93" s="214" t="s">
        <v>1621</v>
      </c>
      <c r="B93" s="13" t="s">
        <v>2072</v>
      </c>
      <c r="C93" s="219" t="s">
        <v>1622</v>
      </c>
      <c r="D93" s="14" t="s">
        <v>203</v>
      </c>
      <c r="E93" s="217" t="s">
        <v>246</v>
      </c>
      <c r="F93" s="217" t="s">
        <v>1623</v>
      </c>
      <c r="G93" s="218">
        <v>32045</v>
      </c>
      <c r="H93" s="217" t="s">
        <v>830</v>
      </c>
      <c r="I93" s="217" t="s">
        <v>1624</v>
      </c>
      <c r="J93" s="1" t="s">
        <v>3694</v>
      </c>
      <c r="K93" s="217" t="s">
        <v>690</v>
      </c>
      <c r="L93" s="220">
        <v>120573135</v>
      </c>
      <c r="M93" s="206">
        <v>37891105</v>
      </c>
      <c r="N93" s="206">
        <v>82682030</v>
      </c>
      <c r="O93" s="206">
        <v>116399706</v>
      </c>
      <c r="P93" s="206">
        <v>4903685</v>
      </c>
      <c r="Q93" s="206">
        <v>6345779</v>
      </c>
      <c r="R93" s="206">
        <v>5059159</v>
      </c>
      <c r="S93" s="105">
        <v>1</v>
      </c>
      <c r="T93" s="254">
        <f t="shared" si="29"/>
        <v>100</v>
      </c>
      <c r="U93" s="107">
        <f t="shared" si="30"/>
        <v>1</v>
      </c>
      <c r="V93" s="45">
        <v>19</v>
      </c>
      <c r="W93" s="45">
        <v>19</v>
      </c>
      <c r="X93" s="255">
        <f t="shared" si="31"/>
        <v>0</v>
      </c>
      <c r="Y93" s="255">
        <f t="shared" si="32"/>
        <v>-12</v>
      </c>
      <c r="Z93" s="256">
        <f t="shared" si="33"/>
        <v>0</v>
      </c>
      <c r="AA93" s="257">
        <f t="shared" si="34"/>
        <v>20</v>
      </c>
      <c r="AB93" s="116">
        <f t="shared" si="35"/>
        <v>0.2</v>
      </c>
      <c r="AC93" s="123">
        <v>168</v>
      </c>
      <c r="AD93" s="123">
        <v>156</v>
      </c>
      <c r="AE93" s="257">
        <f t="shared" si="36"/>
        <v>-12</v>
      </c>
      <c r="AF93" s="258">
        <f t="shared" si="37"/>
        <v>-7.1428571428571423</v>
      </c>
      <c r="AG93" s="257">
        <f t="shared" si="38"/>
        <v>20</v>
      </c>
      <c r="AH93" s="124">
        <f t="shared" si="39"/>
        <v>0.8</v>
      </c>
      <c r="AI93" s="105">
        <v>0</v>
      </c>
      <c r="AJ93" s="105">
        <v>0</v>
      </c>
      <c r="AK93" s="105">
        <v>0</v>
      </c>
      <c r="AL93" s="105">
        <v>0</v>
      </c>
      <c r="AM93" s="260">
        <f t="shared" si="40"/>
        <v>0</v>
      </c>
      <c r="AN93" s="260">
        <f t="shared" si="41"/>
        <v>20</v>
      </c>
      <c r="AO93" s="130">
        <f t="shared" si="42"/>
        <v>0.2</v>
      </c>
      <c r="AP93" s="440">
        <v>0</v>
      </c>
      <c r="AQ93" s="261">
        <f t="shared" si="43"/>
        <v>0</v>
      </c>
      <c r="AR93" s="261">
        <f t="shared" si="44"/>
        <v>25</v>
      </c>
      <c r="AS93" s="107">
        <f t="shared" si="45"/>
        <v>1</v>
      </c>
      <c r="AT93" s="105">
        <v>0</v>
      </c>
      <c r="AU93" s="105">
        <v>0</v>
      </c>
      <c r="AV93" s="262">
        <f t="shared" si="46"/>
        <v>0</v>
      </c>
      <c r="AW93" s="134">
        <v>0</v>
      </c>
      <c r="AX93" s="134"/>
      <c r="AY93" s="262">
        <f t="shared" si="47"/>
        <v>0</v>
      </c>
      <c r="AZ93" s="262">
        <f t="shared" si="48"/>
        <v>0</v>
      </c>
      <c r="BA93" s="38">
        <f t="shared" si="49"/>
        <v>0</v>
      </c>
      <c r="BB93" s="105">
        <v>0</v>
      </c>
      <c r="BC93" s="105">
        <v>0</v>
      </c>
      <c r="BD93" s="105">
        <v>0</v>
      </c>
      <c r="BE93" s="262">
        <f t="shared" si="50"/>
        <v>0</v>
      </c>
      <c r="BF93" s="262">
        <f t="shared" si="51"/>
        <v>50</v>
      </c>
      <c r="BG93" s="38">
        <f t="shared" si="52"/>
        <v>0.5</v>
      </c>
      <c r="BH93" s="255">
        <f t="shared" si="53"/>
        <v>1286620</v>
      </c>
      <c r="BI93" s="256">
        <f t="shared" si="54"/>
        <v>1.1053464344660802</v>
      </c>
      <c r="BJ93" s="256">
        <f t="shared" si="55"/>
        <v>33.290098258495604</v>
      </c>
      <c r="BK93" s="55">
        <f t="shared" si="56"/>
        <v>0.66580196516991208</v>
      </c>
      <c r="BL93" s="137">
        <f t="shared" si="57"/>
        <v>4.3658019651699123</v>
      </c>
    </row>
    <row r="94" spans="1:64" x14ac:dyDescent="0.6">
      <c r="A94" s="214" t="s">
        <v>767</v>
      </c>
      <c r="B94" s="13" t="s">
        <v>2073</v>
      </c>
      <c r="C94" s="219" t="s">
        <v>297</v>
      </c>
      <c r="D94" s="216" t="s">
        <v>202</v>
      </c>
      <c r="E94" s="217" t="s">
        <v>189</v>
      </c>
      <c r="F94" s="217" t="s">
        <v>177</v>
      </c>
      <c r="G94" s="218">
        <v>42809</v>
      </c>
      <c r="H94" s="217" t="s">
        <v>830</v>
      </c>
      <c r="I94" s="217" t="s">
        <v>714</v>
      </c>
      <c r="J94" s="217" t="s">
        <v>1154</v>
      </c>
      <c r="K94" s="217" t="s">
        <v>91</v>
      </c>
      <c r="L94" s="220">
        <v>605644843</v>
      </c>
      <c r="M94" s="206">
        <v>281549415</v>
      </c>
      <c r="N94" s="206">
        <v>324095428</v>
      </c>
      <c r="O94" s="206">
        <v>285310921</v>
      </c>
      <c r="P94" s="206">
        <v>109357470</v>
      </c>
      <c r="Q94" s="206">
        <v>87471331</v>
      </c>
      <c r="R94" s="206">
        <v>61496044</v>
      </c>
      <c r="S94" s="105">
        <v>1</v>
      </c>
      <c r="T94" s="254">
        <f t="shared" si="29"/>
        <v>100</v>
      </c>
      <c r="U94" s="107">
        <f t="shared" si="30"/>
        <v>1</v>
      </c>
      <c r="V94" s="45">
        <v>139</v>
      </c>
      <c r="W94" s="45">
        <v>117</v>
      </c>
      <c r="X94" s="255">
        <f t="shared" si="31"/>
        <v>-22</v>
      </c>
      <c r="Y94" s="255">
        <f t="shared" si="32"/>
        <v>113</v>
      </c>
      <c r="Z94" s="256">
        <f t="shared" si="33"/>
        <v>-19.469026548672566</v>
      </c>
      <c r="AA94" s="257">
        <f t="shared" si="34"/>
        <v>20</v>
      </c>
      <c r="AB94" s="116">
        <f t="shared" si="35"/>
        <v>0.2</v>
      </c>
      <c r="AC94" s="123">
        <v>607</v>
      </c>
      <c r="AD94" s="123">
        <v>720</v>
      </c>
      <c r="AE94" s="257">
        <f t="shared" si="36"/>
        <v>113</v>
      </c>
      <c r="AF94" s="258">
        <f t="shared" si="37"/>
        <v>18.616144975288304</v>
      </c>
      <c r="AG94" s="257">
        <f t="shared" si="38"/>
        <v>100</v>
      </c>
      <c r="AH94" s="124">
        <f t="shared" si="39"/>
        <v>4</v>
      </c>
      <c r="AI94" s="105">
        <v>0</v>
      </c>
      <c r="AJ94" s="105">
        <v>0</v>
      </c>
      <c r="AK94" s="105">
        <v>0</v>
      </c>
      <c r="AL94" s="105">
        <v>0</v>
      </c>
      <c r="AM94" s="260">
        <f t="shared" si="40"/>
        <v>0</v>
      </c>
      <c r="AN94" s="260">
        <f t="shared" si="41"/>
        <v>20</v>
      </c>
      <c r="AO94" s="130">
        <f t="shared" si="42"/>
        <v>0.2</v>
      </c>
      <c r="AP94" s="106">
        <v>364650</v>
      </c>
      <c r="AQ94" s="261">
        <f t="shared" si="43"/>
        <v>0.59296497186062891</v>
      </c>
      <c r="AR94" s="261">
        <f t="shared" si="44"/>
        <v>33.894474577909435</v>
      </c>
      <c r="AS94" s="107">
        <f t="shared" si="45"/>
        <v>1.3557789831163773</v>
      </c>
      <c r="AT94" s="105">
        <v>0</v>
      </c>
      <c r="AU94" s="105">
        <v>1</v>
      </c>
      <c r="AV94" s="262">
        <f t="shared" si="46"/>
        <v>25</v>
      </c>
      <c r="AW94" s="134">
        <v>0</v>
      </c>
      <c r="AX94" s="134"/>
      <c r="AY94" s="262">
        <f t="shared" si="47"/>
        <v>0</v>
      </c>
      <c r="AZ94" s="262">
        <f t="shared" si="48"/>
        <v>25</v>
      </c>
      <c r="BA94" s="38">
        <f t="shared" si="49"/>
        <v>0.25</v>
      </c>
      <c r="BB94" s="105">
        <v>0</v>
      </c>
      <c r="BC94" s="105">
        <v>0</v>
      </c>
      <c r="BD94" s="105">
        <v>0</v>
      </c>
      <c r="BE94" s="262">
        <f t="shared" si="50"/>
        <v>0</v>
      </c>
      <c r="BF94" s="262">
        <f t="shared" si="51"/>
        <v>50</v>
      </c>
      <c r="BG94" s="38">
        <f t="shared" si="52"/>
        <v>0.5</v>
      </c>
      <c r="BH94" s="255">
        <f t="shared" si="53"/>
        <v>25975287</v>
      </c>
      <c r="BI94" s="256">
        <f t="shared" si="54"/>
        <v>9.1042035506239873</v>
      </c>
      <c r="BJ94" s="256">
        <f t="shared" si="55"/>
        <v>93.281526629679902</v>
      </c>
      <c r="BK94" s="55">
        <f t="shared" si="56"/>
        <v>1.865630532593598</v>
      </c>
      <c r="BL94" s="137">
        <f t="shared" si="57"/>
        <v>9.3714095157099759</v>
      </c>
    </row>
    <row r="95" spans="1:64" x14ac:dyDescent="0.6">
      <c r="A95" s="214" t="s">
        <v>468</v>
      </c>
      <c r="B95" s="13" t="s">
        <v>2074</v>
      </c>
      <c r="C95" s="219" t="s">
        <v>527</v>
      </c>
      <c r="D95" s="216" t="s">
        <v>285</v>
      </c>
      <c r="E95" s="217" t="s">
        <v>1167</v>
      </c>
      <c r="F95" s="217" t="s">
        <v>646</v>
      </c>
      <c r="G95" s="218">
        <v>40402</v>
      </c>
      <c r="H95" s="217" t="s">
        <v>830</v>
      </c>
      <c r="I95" s="217" t="s">
        <v>1626</v>
      </c>
      <c r="J95" s="217" t="s">
        <v>1063</v>
      </c>
      <c r="K95" s="217" t="s">
        <v>91</v>
      </c>
      <c r="L95" s="220">
        <v>495800634</v>
      </c>
      <c r="M95" s="206">
        <v>219426512</v>
      </c>
      <c r="N95" s="206">
        <v>276374122</v>
      </c>
      <c r="O95" s="206">
        <v>550919165</v>
      </c>
      <c r="P95" s="206">
        <v>10121946</v>
      </c>
      <c r="Q95" s="206">
        <v>5248704</v>
      </c>
      <c r="R95" s="206">
        <v>3912437</v>
      </c>
      <c r="S95" s="105">
        <v>1</v>
      </c>
      <c r="T95" s="254">
        <f t="shared" si="29"/>
        <v>100</v>
      </c>
      <c r="U95" s="107">
        <f t="shared" si="30"/>
        <v>1</v>
      </c>
      <c r="V95" s="45">
        <v>165</v>
      </c>
      <c r="W95" s="45">
        <f>105+72+3</f>
        <v>180</v>
      </c>
      <c r="X95" s="255">
        <f t="shared" si="31"/>
        <v>15</v>
      </c>
      <c r="Y95" s="255">
        <f t="shared" si="32"/>
        <v>72</v>
      </c>
      <c r="Z95" s="256">
        <f t="shared" si="33"/>
        <v>20.833333333333336</v>
      </c>
      <c r="AA95" s="257">
        <f t="shared" si="34"/>
        <v>60</v>
      </c>
      <c r="AB95" s="116">
        <f t="shared" si="35"/>
        <v>0.6</v>
      </c>
      <c r="AC95" s="123">
        <v>1873</v>
      </c>
      <c r="AD95" s="123">
        <v>1945</v>
      </c>
      <c r="AE95" s="257">
        <f t="shared" si="36"/>
        <v>72</v>
      </c>
      <c r="AF95" s="258">
        <f t="shared" si="37"/>
        <v>3.844100373731981</v>
      </c>
      <c r="AG95" s="257">
        <f t="shared" si="38"/>
        <v>100</v>
      </c>
      <c r="AH95" s="124">
        <f t="shared" si="39"/>
        <v>4</v>
      </c>
      <c r="AI95" s="105">
        <v>0</v>
      </c>
      <c r="AJ95" s="105">
        <v>0</v>
      </c>
      <c r="AK95" s="105">
        <v>0</v>
      </c>
      <c r="AL95" s="105">
        <v>0</v>
      </c>
      <c r="AM95" s="260">
        <f t="shared" si="40"/>
        <v>0</v>
      </c>
      <c r="AN95" s="260">
        <f t="shared" si="41"/>
        <v>20</v>
      </c>
      <c r="AO95" s="130">
        <f t="shared" si="42"/>
        <v>0.2</v>
      </c>
      <c r="AP95" s="106">
        <v>113655</v>
      </c>
      <c r="AQ95" s="261">
        <f t="shared" si="43"/>
        <v>2.9049669042594166</v>
      </c>
      <c r="AR95" s="261">
        <f t="shared" si="44"/>
        <v>68.574503563891255</v>
      </c>
      <c r="AS95" s="107">
        <f t="shared" si="45"/>
        <v>2.7429801425556501</v>
      </c>
      <c r="AT95" s="105">
        <v>0</v>
      </c>
      <c r="AU95" s="105">
        <v>1</v>
      </c>
      <c r="AV95" s="262">
        <f t="shared" si="46"/>
        <v>25</v>
      </c>
      <c r="AW95" s="134">
        <v>2</v>
      </c>
      <c r="AX95" s="134" t="s">
        <v>3573</v>
      </c>
      <c r="AY95" s="262">
        <f t="shared" si="47"/>
        <v>25</v>
      </c>
      <c r="AZ95" s="262">
        <f t="shared" si="48"/>
        <v>50</v>
      </c>
      <c r="BA95" s="38">
        <f t="shared" si="49"/>
        <v>0.5</v>
      </c>
      <c r="BB95" s="105">
        <v>0</v>
      </c>
      <c r="BC95" s="105">
        <v>0</v>
      </c>
      <c r="BD95" s="105">
        <v>0</v>
      </c>
      <c r="BE95" s="262">
        <f t="shared" si="50"/>
        <v>0</v>
      </c>
      <c r="BF95" s="262">
        <f t="shared" si="51"/>
        <v>50</v>
      </c>
      <c r="BG95" s="38">
        <f t="shared" si="52"/>
        <v>0.5</v>
      </c>
      <c r="BH95" s="255">
        <f t="shared" si="53"/>
        <v>1336267</v>
      </c>
      <c r="BI95" s="256">
        <f t="shared" si="54"/>
        <v>0.24255228078696447</v>
      </c>
      <c r="BJ95" s="256">
        <f t="shared" si="55"/>
        <v>26.819142105902234</v>
      </c>
      <c r="BK95" s="55">
        <f t="shared" si="56"/>
        <v>0.53638284211804466</v>
      </c>
      <c r="BL95" s="137">
        <f t="shared" si="57"/>
        <v>10.079362984673693</v>
      </c>
    </row>
    <row r="96" spans="1:64" x14ac:dyDescent="0.6">
      <c r="A96" s="214" t="s">
        <v>507</v>
      </c>
      <c r="B96" s="13" t="s">
        <v>2075</v>
      </c>
      <c r="C96" s="219" t="s">
        <v>548</v>
      </c>
      <c r="D96" s="216" t="s">
        <v>203</v>
      </c>
      <c r="E96" s="217" t="s">
        <v>180</v>
      </c>
      <c r="F96" s="217" t="s">
        <v>1176</v>
      </c>
      <c r="G96" s="218">
        <v>35423</v>
      </c>
      <c r="H96" s="217" t="s">
        <v>830</v>
      </c>
      <c r="I96" s="217" t="s">
        <v>571</v>
      </c>
      <c r="J96" s="217" t="s">
        <v>1163</v>
      </c>
      <c r="K96" s="217" t="s">
        <v>425</v>
      </c>
      <c r="L96" s="220">
        <v>92085226</v>
      </c>
      <c r="M96" s="206">
        <v>42058880</v>
      </c>
      <c r="N96" s="206">
        <v>50026346</v>
      </c>
      <c r="O96" s="206">
        <v>193400697</v>
      </c>
      <c r="P96" s="206">
        <v>13461075</v>
      </c>
      <c r="Q96" s="206">
        <v>12948368</v>
      </c>
      <c r="R96" s="206">
        <v>10621743</v>
      </c>
      <c r="S96" s="105">
        <v>1</v>
      </c>
      <c r="T96" s="254">
        <f t="shared" si="29"/>
        <v>100</v>
      </c>
      <c r="U96" s="107">
        <f t="shared" si="30"/>
        <v>1</v>
      </c>
      <c r="V96" s="45">
        <v>16</v>
      </c>
      <c r="W96" s="45">
        <v>22</v>
      </c>
      <c r="X96" s="255">
        <f t="shared" si="31"/>
        <v>6</v>
      </c>
      <c r="Y96" s="255">
        <f t="shared" si="32"/>
        <v>5</v>
      </c>
      <c r="Z96" s="256">
        <f t="shared" si="33"/>
        <v>120</v>
      </c>
      <c r="AA96" s="257">
        <f t="shared" si="34"/>
        <v>100</v>
      </c>
      <c r="AB96" s="116">
        <f t="shared" si="35"/>
        <v>1</v>
      </c>
      <c r="AC96" s="123">
        <v>150</v>
      </c>
      <c r="AD96" s="123">
        <v>155</v>
      </c>
      <c r="AE96" s="257">
        <f t="shared" si="36"/>
        <v>5</v>
      </c>
      <c r="AF96" s="258">
        <f t="shared" si="37"/>
        <v>3.3333333333333335</v>
      </c>
      <c r="AG96" s="257">
        <f t="shared" si="38"/>
        <v>100</v>
      </c>
      <c r="AH96" s="124">
        <f t="shared" si="39"/>
        <v>4</v>
      </c>
      <c r="AI96" s="105">
        <v>0</v>
      </c>
      <c r="AJ96" s="105">
        <v>0</v>
      </c>
      <c r="AK96" s="105">
        <v>0</v>
      </c>
      <c r="AL96" s="105">
        <v>0</v>
      </c>
      <c r="AM96" s="260">
        <f t="shared" si="40"/>
        <v>0</v>
      </c>
      <c r="AN96" s="260">
        <f t="shared" si="41"/>
        <v>20</v>
      </c>
      <c r="AO96" s="130">
        <f t="shared" si="42"/>
        <v>0.2</v>
      </c>
      <c r="AP96" s="106">
        <v>12000</v>
      </c>
      <c r="AQ96" s="261">
        <f t="shared" si="43"/>
        <v>0.11297580820774895</v>
      </c>
      <c r="AR96" s="261">
        <f t="shared" si="44"/>
        <v>26.694637123116234</v>
      </c>
      <c r="AS96" s="107">
        <f t="shared" si="45"/>
        <v>1.0677854849246493</v>
      </c>
      <c r="AT96" s="105">
        <v>0</v>
      </c>
      <c r="AU96" s="105">
        <v>1</v>
      </c>
      <c r="AV96" s="262">
        <f t="shared" si="46"/>
        <v>25</v>
      </c>
      <c r="AW96" s="134">
        <v>0</v>
      </c>
      <c r="AX96" s="134"/>
      <c r="AY96" s="262">
        <f t="shared" si="47"/>
        <v>0</v>
      </c>
      <c r="AZ96" s="262">
        <f t="shared" si="48"/>
        <v>25</v>
      </c>
      <c r="BA96" s="38">
        <f t="shared" si="49"/>
        <v>0.25</v>
      </c>
      <c r="BB96" s="105">
        <v>0</v>
      </c>
      <c r="BC96" s="105">
        <v>0</v>
      </c>
      <c r="BD96" s="105">
        <v>0</v>
      </c>
      <c r="BE96" s="262">
        <f t="shared" si="50"/>
        <v>0</v>
      </c>
      <c r="BF96" s="262">
        <f t="shared" si="51"/>
        <v>50</v>
      </c>
      <c r="BG96" s="38">
        <f t="shared" si="52"/>
        <v>0.5</v>
      </c>
      <c r="BH96" s="255">
        <f t="shared" si="53"/>
        <v>2326625</v>
      </c>
      <c r="BI96" s="256">
        <f t="shared" si="54"/>
        <v>1.2030075568962402</v>
      </c>
      <c r="BJ96" s="256">
        <f t="shared" si="55"/>
        <v>34.022556676721806</v>
      </c>
      <c r="BK96" s="55">
        <f t="shared" si="56"/>
        <v>0.68045113353443609</v>
      </c>
      <c r="BL96" s="137">
        <f t="shared" si="57"/>
        <v>8.6982366184590862</v>
      </c>
    </row>
    <row r="97" spans="1:64" x14ac:dyDescent="0.6">
      <c r="A97" s="214" t="s">
        <v>1627</v>
      </c>
      <c r="B97" s="13" t="s">
        <v>2076</v>
      </c>
      <c r="C97" s="219" t="s">
        <v>856</v>
      </c>
      <c r="D97" s="216" t="s">
        <v>203</v>
      </c>
      <c r="E97" s="217" t="s">
        <v>1067</v>
      </c>
      <c r="F97" s="217" t="s">
        <v>154</v>
      </c>
      <c r="G97" s="218">
        <v>28305</v>
      </c>
      <c r="H97" s="217" t="s">
        <v>830</v>
      </c>
      <c r="I97" s="217" t="s">
        <v>194</v>
      </c>
      <c r="J97" s="217" t="s">
        <v>665</v>
      </c>
      <c r="K97" s="217" t="s">
        <v>91</v>
      </c>
      <c r="L97" s="220">
        <v>215451170</v>
      </c>
      <c r="M97" s="206">
        <v>65681714</v>
      </c>
      <c r="N97" s="206">
        <v>149769456</v>
      </c>
      <c r="O97" s="206">
        <v>146246080</v>
      </c>
      <c r="P97" s="206">
        <v>9308222</v>
      </c>
      <c r="Q97" s="206">
        <v>8741705</v>
      </c>
      <c r="R97" s="206">
        <v>6752046</v>
      </c>
      <c r="S97" s="105">
        <v>1</v>
      </c>
      <c r="T97" s="254">
        <f t="shared" si="29"/>
        <v>100</v>
      </c>
      <c r="U97" s="107">
        <f t="shared" si="30"/>
        <v>1</v>
      </c>
      <c r="V97" s="45">
        <v>21</v>
      </c>
      <c r="W97" s="45">
        <v>19</v>
      </c>
      <c r="X97" s="255">
        <f t="shared" si="31"/>
        <v>-2</v>
      </c>
      <c r="Y97" s="255">
        <f t="shared" si="32"/>
        <v>4</v>
      </c>
      <c r="Z97" s="256">
        <f t="shared" si="33"/>
        <v>-50</v>
      </c>
      <c r="AA97" s="257">
        <f t="shared" si="34"/>
        <v>20</v>
      </c>
      <c r="AB97" s="116">
        <f t="shared" si="35"/>
        <v>0.2</v>
      </c>
      <c r="AC97" s="123">
        <v>216</v>
      </c>
      <c r="AD97" s="123">
        <v>220</v>
      </c>
      <c r="AE97" s="257">
        <f t="shared" si="36"/>
        <v>4</v>
      </c>
      <c r="AF97" s="258">
        <f t="shared" si="37"/>
        <v>1.8518518518518516</v>
      </c>
      <c r="AG97" s="257">
        <f t="shared" si="38"/>
        <v>80</v>
      </c>
      <c r="AH97" s="124">
        <f t="shared" si="39"/>
        <v>3.2</v>
      </c>
      <c r="AI97" s="105">
        <v>0</v>
      </c>
      <c r="AJ97" s="105">
        <v>0</v>
      </c>
      <c r="AK97" s="105">
        <v>0</v>
      </c>
      <c r="AL97" s="105">
        <v>0</v>
      </c>
      <c r="AM97" s="260">
        <f t="shared" si="40"/>
        <v>0</v>
      </c>
      <c r="AN97" s="260">
        <f t="shared" si="41"/>
        <v>20</v>
      </c>
      <c r="AO97" s="130">
        <f t="shared" si="42"/>
        <v>0.2</v>
      </c>
      <c r="AP97" s="106">
        <v>30000</v>
      </c>
      <c r="AQ97" s="261">
        <f t="shared" si="43"/>
        <v>0.44430976921661969</v>
      </c>
      <c r="AR97" s="261">
        <f t="shared" si="44"/>
        <v>31.664646538249293</v>
      </c>
      <c r="AS97" s="107">
        <f t="shared" si="45"/>
        <v>1.2665858615299717</v>
      </c>
      <c r="AT97" s="105">
        <v>0</v>
      </c>
      <c r="AU97" s="105">
        <v>1</v>
      </c>
      <c r="AV97" s="262">
        <f t="shared" si="46"/>
        <v>25</v>
      </c>
      <c r="AW97" s="134">
        <v>0</v>
      </c>
      <c r="AX97" s="134"/>
      <c r="AY97" s="262">
        <f t="shared" si="47"/>
        <v>0</v>
      </c>
      <c r="AZ97" s="262">
        <f t="shared" si="48"/>
        <v>25</v>
      </c>
      <c r="BA97" s="38">
        <f t="shared" si="49"/>
        <v>0.25</v>
      </c>
      <c r="BB97" s="105">
        <v>0</v>
      </c>
      <c r="BC97" s="105">
        <v>0</v>
      </c>
      <c r="BD97" s="105">
        <v>0</v>
      </c>
      <c r="BE97" s="262">
        <f t="shared" si="50"/>
        <v>0</v>
      </c>
      <c r="BF97" s="262">
        <f t="shared" si="51"/>
        <v>50</v>
      </c>
      <c r="BG97" s="38">
        <f t="shared" si="52"/>
        <v>0.5</v>
      </c>
      <c r="BH97" s="255">
        <f t="shared" si="53"/>
        <v>1989659</v>
      </c>
      <c r="BI97" s="256">
        <f t="shared" si="54"/>
        <v>1.3604870639951512</v>
      </c>
      <c r="BJ97" s="256">
        <f t="shared" si="55"/>
        <v>35.203652979963636</v>
      </c>
      <c r="BK97" s="55">
        <f t="shared" si="56"/>
        <v>0.70407305959927269</v>
      </c>
      <c r="BL97" s="137">
        <f t="shared" si="57"/>
        <v>7.3206589211292448</v>
      </c>
    </row>
    <row r="98" spans="1:64" x14ac:dyDescent="0.6">
      <c r="A98" s="214" t="s">
        <v>868</v>
      </c>
      <c r="B98" s="13" t="s">
        <v>2077</v>
      </c>
      <c r="C98" s="219" t="s">
        <v>538</v>
      </c>
      <c r="D98" s="216" t="s">
        <v>285</v>
      </c>
      <c r="E98" s="217" t="s">
        <v>867</v>
      </c>
      <c r="F98" s="217" t="s">
        <v>149</v>
      </c>
      <c r="G98" s="218">
        <v>28793</v>
      </c>
      <c r="H98" s="217" t="s">
        <v>830</v>
      </c>
      <c r="I98" s="217" t="s">
        <v>1628</v>
      </c>
      <c r="J98" s="217" t="s">
        <v>1155</v>
      </c>
      <c r="K98" s="217" t="s">
        <v>91</v>
      </c>
      <c r="L98" s="220">
        <v>1256174707</v>
      </c>
      <c r="M98" s="206">
        <v>687867321</v>
      </c>
      <c r="N98" s="206">
        <v>568307386</v>
      </c>
      <c r="O98" s="206">
        <v>1300137418</v>
      </c>
      <c r="P98" s="206">
        <v>26971265</v>
      </c>
      <c r="Q98" s="206">
        <v>57193340</v>
      </c>
      <c r="R98" s="206">
        <v>46104412</v>
      </c>
      <c r="S98" s="105">
        <v>1</v>
      </c>
      <c r="T98" s="254">
        <f t="shared" si="29"/>
        <v>100</v>
      </c>
      <c r="U98" s="107">
        <f t="shared" si="30"/>
        <v>1</v>
      </c>
      <c r="V98" s="45">
        <v>45</v>
      </c>
      <c r="W98" s="45">
        <f>2+17+4+26</f>
        <v>49</v>
      </c>
      <c r="X98" s="255">
        <f t="shared" si="31"/>
        <v>4</v>
      </c>
      <c r="Y98" s="255">
        <f t="shared" si="32"/>
        <v>78</v>
      </c>
      <c r="Z98" s="256">
        <f t="shared" si="33"/>
        <v>5.1282051282051277</v>
      </c>
      <c r="AA98" s="257">
        <f t="shared" si="34"/>
        <v>20</v>
      </c>
      <c r="AB98" s="116">
        <f t="shared" si="35"/>
        <v>0.2</v>
      </c>
      <c r="AC98" s="123">
        <v>637</v>
      </c>
      <c r="AD98" s="123">
        <v>715</v>
      </c>
      <c r="AE98" s="257">
        <f t="shared" si="36"/>
        <v>78</v>
      </c>
      <c r="AF98" s="258">
        <f t="shared" si="37"/>
        <v>12.244897959183673</v>
      </c>
      <c r="AG98" s="257">
        <f t="shared" si="38"/>
        <v>100</v>
      </c>
      <c r="AH98" s="124">
        <f t="shared" si="39"/>
        <v>4</v>
      </c>
      <c r="AI98" s="105">
        <v>0</v>
      </c>
      <c r="AJ98" s="105">
        <v>0</v>
      </c>
      <c r="AK98" s="105">
        <v>0</v>
      </c>
      <c r="AL98" s="105">
        <v>0</v>
      </c>
      <c r="AM98" s="260">
        <f t="shared" si="40"/>
        <v>0</v>
      </c>
      <c r="AN98" s="260">
        <f t="shared" si="41"/>
        <v>20</v>
      </c>
      <c r="AO98" s="130">
        <f t="shared" si="42"/>
        <v>0.2</v>
      </c>
      <c r="AP98" s="440">
        <v>0</v>
      </c>
      <c r="AQ98" s="261">
        <f t="shared" si="43"/>
        <v>0</v>
      </c>
      <c r="AR98" s="261">
        <f t="shared" si="44"/>
        <v>25</v>
      </c>
      <c r="AS98" s="107">
        <f t="shared" si="45"/>
        <v>1</v>
      </c>
      <c r="AT98" s="105">
        <v>0</v>
      </c>
      <c r="AU98" s="105">
        <v>1</v>
      </c>
      <c r="AV98" s="262">
        <f t="shared" si="46"/>
        <v>25</v>
      </c>
      <c r="AW98" s="134">
        <v>2</v>
      </c>
      <c r="AX98" s="134" t="s">
        <v>3574</v>
      </c>
      <c r="AY98" s="262">
        <f t="shared" si="47"/>
        <v>25</v>
      </c>
      <c r="AZ98" s="262">
        <f t="shared" si="48"/>
        <v>50</v>
      </c>
      <c r="BA98" s="38">
        <f t="shared" si="49"/>
        <v>0.5</v>
      </c>
      <c r="BB98" s="105">
        <v>0</v>
      </c>
      <c r="BC98" s="105">
        <v>0</v>
      </c>
      <c r="BD98" s="105">
        <v>0</v>
      </c>
      <c r="BE98" s="262">
        <f t="shared" si="50"/>
        <v>0</v>
      </c>
      <c r="BF98" s="262">
        <f t="shared" si="51"/>
        <v>50</v>
      </c>
      <c r="BG98" s="38">
        <f t="shared" si="52"/>
        <v>0.5</v>
      </c>
      <c r="BH98" s="255">
        <f t="shared" si="53"/>
        <v>11088928</v>
      </c>
      <c r="BI98" s="256">
        <f t="shared" si="54"/>
        <v>0.85290430430485453</v>
      </c>
      <c r="BJ98" s="256">
        <f t="shared" si="55"/>
        <v>31.396782282286409</v>
      </c>
      <c r="BK98" s="55">
        <f t="shared" si="56"/>
        <v>0.62793564564572824</v>
      </c>
      <c r="BL98" s="137">
        <f t="shared" si="57"/>
        <v>8.0279356456457283</v>
      </c>
    </row>
    <row r="99" spans="1:64" x14ac:dyDescent="0.6">
      <c r="A99" s="214" t="s">
        <v>782</v>
      </c>
      <c r="B99" s="13" t="s">
        <v>2078</v>
      </c>
      <c r="C99" s="219" t="s">
        <v>431</v>
      </c>
      <c r="D99" s="216" t="s">
        <v>285</v>
      </c>
      <c r="E99" s="217" t="s">
        <v>568</v>
      </c>
      <c r="F99" s="217" t="s">
        <v>1036</v>
      </c>
      <c r="G99" s="218">
        <v>42566</v>
      </c>
      <c r="H99" s="217" t="s">
        <v>830</v>
      </c>
      <c r="I99" s="217" t="s">
        <v>699</v>
      </c>
      <c r="J99" s="217" t="s">
        <v>1022</v>
      </c>
      <c r="K99" s="217" t="s">
        <v>91</v>
      </c>
      <c r="L99" s="220">
        <v>1605210800</v>
      </c>
      <c r="M99" s="206">
        <v>74995068</v>
      </c>
      <c r="N99" s="206">
        <v>1530215732</v>
      </c>
      <c r="O99" s="206">
        <v>516898546</v>
      </c>
      <c r="P99" s="206">
        <v>34700109</v>
      </c>
      <c r="Q99" s="206">
        <v>126366266</v>
      </c>
      <c r="R99" s="206">
        <v>167855852</v>
      </c>
      <c r="S99" s="105">
        <v>1</v>
      </c>
      <c r="T99" s="254">
        <f t="shared" si="29"/>
        <v>100</v>
      </c>
      <c r="U99" s="107">
        <f t="shared" si="30"/>
        <v>1</v>
      </c>
      <c r="V99" s="45">
        <v>37</v>
      </c>
      <c r="W99" s="45">
        <v>38</v>
      </c>
      <c r="X99" s="255">
        <f t="shared" si="31"/>
        <v>1</v>
      </c>
      <c r="Y99" s="255">
        <f t="shared" si="32"/>
        <v>3</v>
      </c>
      <c r="Z99" s="256">
        <f t="shared" si="33"/>
        <v>33.333333333333329</v>
      </c>
      <c r="AA99" s="257">
        <f t="shared" si="34"/>
        <v>80</v>
      </c>
      <c r="AB99" s="116">
        <f t="shared" si="35"/>
        <v>0.8</v>
      </c>
      <c r="AC99" s="123">
        <v>271</v>
      </c>
      <c r="AD99" s="123">
        <v>274</v>
      </c>
      <c r="AE99" s="257">
        <f t="shared" si="36"/>
        <v>3</v>
      </c>
      <c r="AF99" s="258">
        <f t="shared" si="37"/>
        <v>1.107011070110701</v>
      </c>
      <c r="AG99" s="257">
        <f t="shared" si="38"/>
        <v>60</v>
      </c>
      <c r="AH99" s="124">
        <f t="shared" si="39"/>
        <v>2.4</v>
      </c>
      <c r="AI99" s="105">
        <v>0</v>
      </c>
      <c r="AJ99" s="105">
        <v>0</v>
      </c>
      <c r="AK99" s="105">
        <v>0</v>
      </c>
      <c r="AL99" s="105">
        <v>0</v>
      </c>
      <c r="AM99" s="260">
        <f t="shared" si="40"/>
        <v>0</v>
      </c>
      <c r="AN99" s="260">
        <f t="shared" si="41"/>
        <v>20</v>
      </c>
      <c r="AO99" s="130">
        <f t="shared" si="42"/>
        <v>0.2</v>
      </c>
      <c r="AP99" s="106">
        <v>440343</v>
      </c>
      <c r="AQ99" s="261">
        <f t="shared" si="43"/>
        <v>0.26233401740440959</v>
      </c>
      <c r="AR99" s="261">
        <f t="shared" si="44"/>
        <v>28.935010261066143</v>
      </c>
      <c r="AS99" s="107">
        <f t="shared" si="45"/>
        <v>1.1574004104426459</v>
      </c>
      <c r="AT99" s="105">
        <v>0</v>
      </c>
      <c r="AU99" s="105">
        <v>1</v>
      </c>
      <c r="AV99" s="262">
        <f t="shared" si="46"/>
        <v>25</v>
      </c>
      <c r="AW99" s="134">
        <v>0</v>
      </c>
      <c r="AX99" s="134"/>
      <c r="AY99" s="262">
        <f t="shared" si="47"/>
        <v>0</v>
      </c>
      <c r="AZ99" s="262">
        <f t="shared" si="48"/>
        <v>25</v>
      </c>
      <c r="BA99" s="38">
        <f t="shared" si="49"/>
        <v>0.25</v>
      </c>
      <c r="BB99" s="105">
        <v>0</v>
      </c>
      <c r="BC99" s="105">
        <v>0</v>
      </c>
      <c r="BD99" s="105">
        <v>0</v>
      </c>
      <c r="BE99" s="262">
        <f t="shared" si="50"/>
        <v>0</v>
      </c>
      <c r="BF99" s="262">
        <f t="shared" si="51"/>
        <v>50</v>
      </c>
      <c r="BG99" s="38">
        <f t="shared" si="52"/>
        <v>0.5</v>
      </c>
      <c r="BH99" s="255">
        <f t="shared" si="53"/>
        <v>-41489586</v>
      </c>
      <c r="BI99" s="256">
        <f t="shared" si="54"/>
        <v>-8.0266401058903334</v>
      </c>
      <c r="BJ99" s="256">
        <f t="shared" si="55"/>
        <v>25</v>
      </c>
      <c r="BK99" s="55">
        <f t="shared" si="56"/>
        <v>0.5</v>
      </c>
      <c r="BL99" s="137">
        <f t="shared" si="57"/>
        <v>6.8074004104426464</v>
      </c>
    </row>
    <row r="100" spans="1:64" x14ac:dyDescent="0.6">
      <c r="A100" s="214" t="s">
        <v>440</v>
      </c>
      <c r="B100" s="13" t="s">
        <v>2079</v>
      </c>
      <c r="C100" s="219" t="s">
        <v>108</v>
      </c>
      <c r="D100" s="216" t="s">
        <v>191</v>
      </c>
      <c r="E100" s="217" t="s">
        <v>34</v>
      </c>
      <c r="F100" s="217" t="s">
        <v>242</v>
      </c>
      <c r="G100" s="218">
        <v>41372</v>
      </c>
      <c r="H100" s="217" t="s">
        <v>830</v>
      </c>
      <c r="I100" s="217" t="s">
        <v>768</v>
      </c>
      <c r="J100" s="217" t="s">
        <v>1057</v>
      </c>
      <c r="K100" s="217" t="s">
        <v>91</v>
      </c>
      <c r="L100" s="220">
        <v>1135143086</v>
      </c>
      <c r="M100" s="206">
        <v>463178728</v>
      </c>
      <c r="N100" s="206">
        <v>671964358</v>
      </c>
      <c r="O100" s="206">
        <v>635839633</v>
      </c>
      <c r="P100" s="206">
        <v>30527351</v>
      </c>
      <c r="Q100" s="206">
        <v>13547054</v>
      </c>
      <c r="R100" s="206">
        <v>9019750</v>
      </c>
      <c r="S100" s="105">
        <v>1</v>
      </c>
      <c r="T100" s="254">
        <f t="shared" si="29"/>
        <v>100</v>
      </c>
      <c r="U100" s="107">
        <f t="shared" si="30"/>
        <v>1</v>
      </c>
      <c r="V100" s="45">
        <v>480</v>
      </c>
      <c r="W100" s="45">
        <v>447</v>
      </c>
      <c r="X100" s="255">
        <f t="shared" si="31"/>
        <v>-33</v>
      </c>
      <c r="Y100" s="255">
        <f t="shared" si="32"/>
        <v>3</v>
      </c>
      <c r="Z100" s="256">
        <f t="shared" si="33"/>
        <v>-1100</v>
      </c>
      <c r="AA100" s="257">
        <f t="shared" si="34"/>
        <v>20</v>
      </c>
      <c r="AB100" s="116">
        <f t="shared" si="35"/>
        <v>0.2</v>
      </c>
      <c r="AC100" s="123">
        <v>1640</v>
      </c>
      <c r="AD100" s="123">
        <v>1643</v>
      </c>
      <c r="AE100" s="257">
        <f t="shared" si="36"/>
        <v>3</v>
      </c>
      <c r="AF100" s="258">
        <f t="shared" si="37"/>
        <v>0.18292682926829271</v>
      </c>
      <c r="AG100" s="257">
        <f t="shared" si="38"/>
        <v>40</v>
      </c>
      <c r="AH100" s="124">
        <f t="shared" si="39"/>
        <v>1.6</v>
      </c>
      <c r="AI100" s="105">
        <v>0</v>
      </c>
      <c r="AJ100" s="105">
        <v>0</v>
      </c>
      <c r="AK100" s="105">
        <v>0</v>
      </c>
      <c r="AL100" s="105">
        <v>0</v>
      </c>
      <c r="AM100" s="260">
        <f t="shared" si="40"/>
        <v>0</v>
      </c>
      <c r="AN100" s="260">
        <f t="shared" si="41"/>
        <v>20</v>
      </c>
      <c r="AO100" s="130">
        <f t="shared" si="42"/>
        <v>0.2</v>
      </c>
      <c r="AP100" s="106">
        <v>972161</v>
      </c>
      <c r="AQ100" s="261">
        <f t="shared" si="43"/>
        <v>10.778136866321129</v>
      </c>
      <c r="AR100" s="261">
        <f t="shared" si="44"/>
        <v>100</v>
      </c>
      <c r="AS100" s="107">
        <f t="shared" si="45"/>
        <v>4</v>
      </c>
      <c r="AT100" s="105">
        <v>0</v>
      </c>
      <c r="AU100" s="105">
        <v>1</v>
      </c>
      <c r="AV100" s="262">
        <f t="shared" si="46"/>
        <v>25</v>
      </c>
      <c r="AW100" s="134">
        <v>4</v>
      </c>
      <c r="AX100" s="134" t="s">
        <v>3575</v>
      </c>
      <c r="AY100" s="262">
        <f t="shared" si="47"/>
        <v>50</v>
      </c>
      <c r="AZ100" s="262">
        <f t="shared" si="48"/>
        <v>75</v>
      </c>
      <c r="BA100" s="38">
        <f t="shared" si="49"/>
        <v>0.75</v>
      </c>
      <c r="BB100" s="105">
        <v>0</v>
      </c>
      <c r="BC100" s="105">
        <v>0</v>
      </c>
      <c r="BD100" s="105">
        <v>0</v>
      </c>
      <c r="BE100" s="262">
        <f t="shared" si="50"/>
        <v>0</v>
      </c>
      <c r="BF100" s="262">
        <f t="shared" si="51"/>
        <v>50</v>
      </c>
      <c r="BG100" s="38">
        <f t="shared" si="52"/>
        <v>0.5</v>
      </c>
      <c r="BH100" s="255">
        <f t="shared" si="53"/>
        <v>4527304</v>
      </c>
      <c r="BI100" s="256">
        <f t="shared" si="54"/>
        <v>0.7120197869137862</v>
      </c>
      <c r="BJ100" s="256">
        <f t="shared" si="55"/>
        <v>30.340148401853398</v>
      </c>
      <c r="BK100" s="55">
        <f t="shared" si="56"/>
        <v>0.60680296803706801</v>
      </c>
      <c r="BL100" s="137">
        <f t="shared" si="57"/>
        <v>8.8568029680370675</v>
      </c>
    </row>
    <row r="101" spans="1:64" x14ac:dyDescent="0.6">
      <c r="A101" s="214" t="s">
        <v>59</v>
      </c>
      <c r="B101" s="13" t="s">
        <v>2080</v>
      </c>
      <c r="C101" s="219" t="s">
        <v>521</v>
      </c>
      <c r="D101" s="216" t="s">
        <v>203</v>
      </c>
      <c r="E101" s="217" t="s">
        <v>197</v>
      </c>
      <c r="F101" s="217" t="s">
        <v>221</v>
      </c>
      <c r="G101" s="218">
        <v>43068</v>
      </c>
      <c r="H101" s="217" t="s">
        <v>830</v>
      </c>
      <c r="I101" s="217" t="s">
        <v>416</v>
      </c>
      <c r="J101" s="217" t="s">
        <v>1232</v>
      </c>
      <c r="K101" s="217" t="s">
        <v>50</v>
      </c>
      <c r="L101" s="220">
        <v>455083382</v>
      </c>
      <c r="M101" s="206">
        <v>77689901</v>
      </c>
      <c r="N101" s="206">
        <v>377393482</v>
      </c>
      <c r="O101" s="206">
        <v>201504926</v>
      </c>
      <c r="P101" s="206">
        <v>20813521</v>
      </c>
      <c r="Q101" s="206">
        <v>29530469</v>
      </c>
      <c r="R101" s="206">
        <v>23064473</v>
      </c>
      <c r="S101" s="105">
        <v>1</v>
      </c>
      <c r="T101" s="254">
        <f t="shared" si="29"/>
        <v>100</v>
      </c>
      <c r="U101" s="107">
        <f t="shared" si="30"/>
        <v>1</v>
      </c>
      <c r="V101" s="45">
        <v>102</v>
      </c>
      <c r="W101" s="45">
        <v>94</v>
      </c>
      <c r="X101" s="255">
        <f t="shared" si="31"/>
        <v>-8</v>
      </c>
      <c r="Y101" s="255">
        <f t="shared" si="32"/>
        <v>-43</v>
      </c>
      <c r="Z101" s="256">
        <f t="shared" si="33"/>
        <v>-800</v>
      </c>
      <c r="AA101" s="257">
        <f t="shared" si="34"/>
        <v>20</v>
      </c>
      <c r="AB101" s="116">
        <f t="shared" si="35"/>
        <v>0.2</v>
      </c>
      <c r="AC101" s="123">
        <v>559</v>
      </c>
      <c r="AD101" s="123">
        <v>516</v>
      </c>
      <c r="AE101" s="257">
        <f t="shared" si="36"/>
        <v>-43</v>
      </c>
      <c r="AF101" s="258">
        <f t="shared" si="37"/>
        <v>-7.6923076923076925</v>
      </c>
      <c r="AG101" s="257">
        <f t="shared" si="38"/>
        <v>20</v>
      </c>
      <c r="AH101" s="124">
        <f t="shared" si="39"/>
        <v>0.8</v>
      </c>
      <c r="AI101" s="105">
        <v>0</v>
      </c>
      <c r="AJ101" s="105">
        <v>0</v>
      </c>
      <c r="AK101" s="105">
        <v>0</v>
      </c>
      <c r="AL101" s="105">
        <v>0</v>
      </c>
      <c r="AM101" s="260">
        <f t="shared" si="40"/>
        <v>0</v>
      </c>
      <c r="AN101" s="260">
        <f t="shared" si="41"/>
        <v>20</v>
      </c>
      <c r="AO101" s="130">
        <f t="shared" si="42"/>
        <v>0.2</v>
      </c>
      <c r="AP101" s="106">
        <v>12400</v>
      </c>
      <c r="AQ101" s="261">
        <f t="shared" si="43"/>
        <v>5.3762338294050763E-2</v>
      </c>
      <c r="AR101" s="261">
        <f t="shared" si="44"/>
        <v>25.806435074410761</v>
      </c>
      <c r="AS101" s="107">
        <f t="shared" si="45"/>
        <v>1.0322574029764304</v>
      </c>
      <c r="AT101" s="105">
        <v>0</v>
      </c>
      <c r="AU101" s="105">
        <v>1</v>
      </c>
      <c r="AV101" s="262">
        <f t="shared" si="46"/>
        <v>25</v>
      </c>
      <c r="AW101" s="134">
        <v>0</v>
      </c>
      <c r="AX101" s="134"/>
      <c r="AY101" s="262">
        <f t="shared" si="47"/>
        <v>0</v>
      </c>
      <c r="AZ101" s="262">
        <f t="shared" si="48"/>
        <v>25</v>
      </c>
      <c r="BA101" s="38">
        <f t="shared" si="49"/>
        <v>0.25</v>
      </c>
      <c r="BB101" s="105">
        <v>0</v>
      </c>
      <c r="BC101" s="105">
        <v>0</v>
      </c>
      <c r="BD101" s="105">
        <v>0</v>
      </c>
      <c r="BE101" s="262">
        <f t="shared" si="50"/>
        <v>0</v>
      </c>
      <c r="BF101" s="262">
        <f t="shared" si="51"/>
        <v>50</v>
      </c>
      <c r="BG101" s="38">
        <f t="shared" si="52"/>
        <v>0.5</v>
      </c>
      <c r="BH101" s="255">
        <f t="shared" si="53"/>
        <v>6465996</v>
      </c>
      <c r="BI101" s="256">
        <f t="shared" si="54"/>
        <v>3.2088525716736074</v>
      </c>
      <c r="BJ101" s="256">
        <f t="shared" si="55"/>
        <v>49.066394287552058</v>
      </c>
      <c r="BK101" s="55">
        <f t="shared" si="56"/>
        <v>0.98132788575104113</v>
      </c>
      <c r="BL101" s="137">
        <f t="shared" si="57"/>
        <v>4.9635852887274714</v>
      </c>
    </row>
    <row r="102" spans="1:64" x14ac:dyDescent="0.6">
      <c r="A102" s="214" t="s">
        <v>100</v>
      </c>
      <c r="B102" s="13" t="s">
        <v>2081</v>
      </c>
      <c r="C102" s="219" t="s">
        <v>32</v>
      </c>
      <c r="D102" s="221" t="s">
        <v>481</v>
      </c>
      <c r="E102" s="217" t="s">
        <v>704</v>
      </c>
      <c r="F102" s="217" t="s">
        <v>360</v>
      </c>
      <c r="G102" s="218">
        <v>40094</v>
      </c>
      <c r="H102" s="217" t="s">
        <v>830</v>
      </c>
      <c r="I102" s="217" t="s">
        <v>971</v>
      </c>
      <c r="J102" s="217" t="s">
        <v>1160</v>
      </c>
      <c r="K102" s="217" t="s">
        <v>91</v>
      </c>
      <c r="L102" s="220">
        <v>37434509044</v>
      </c>
      <c r="M102" s="206">
        <v>35502248501</v>
      </c>
      <c r="N102" s="206">
        <v>1932260544</v>
      </c>
      <c r="O102" s="206">
        <v>10262246106</v>
      </c>
      <c r="P102" s="206">
        <v>152919076</v>
      </c>
      <c r="Q102" s="206">
        <v>119769829</v>
      </c>
      <c r="R102" s="206">
        <v>97027738</v>
      </c>
      <c r="S102" s="105">
        <v>0</v>
      </c>
      <c r="T102" s="254">
        <f t="shared" si="29"/>
        <v>0</v>
      </c>
      <c r="U102" s="107">
        <f t="shared" si="30"/>
        <v>0</v>
      </c>
      <c r="V102" s="45">
        <v>530</v>
      </c>
      <c r="W102" s="45">
        <f>280+191+16</f>
        <v>487</v>
      </c>
      <c r="X102" s="255">
        <f t="shared" si="31"/>
        <v>-43</v>
      </c>
      <c r="Y102" s="255">
        <f t="shared" si="32"/>
        <v>-76</v>
      </c>
      <c r="Z102" s="256">
        <f t="shared" si="33"/>
        <v>-4300</v>
      </c>
      <c r="AA102" s="257">
        <f t="shared" si="34"/>
        <v>20</v>
      </c>
      <c r="AB102" s="116">
        <f t="shared" si="35"/>
        <v>0.2</v>
      </c>
      <c r="AC102" s="123">
        <v>944</v>
      </c>
      <c r="AD102" s="123">
        <v>868</v>
      </c>
      <c r="AE102" s="257">
        <f t="shared" si="36"/>
        <v>-76</v>
      </c>
      <c r="AF102" s="258">
        <f t="shared" si="37"/>
        <v>-8.0508474576271176</v>
      </c>
      <c r="AG102" s="257">
        <f t="shared" si="38"/>
        <v>20</v>
      </c>
      <c r="AH102" s="124">
        <f t="shared" si="39"/>
        <v>0.8</v>
      </c>
      <c r="AI102" s="105">
        <v>0</v>
      </c>
      <c r="AJ102" s="105">
        <v>0</v>
      </c>
      <c r="AK102" s="105">
        <v>0</v>
      </c>
      <c r="AL102" s="105">
        <v>0</v>
      </c>
      <c r="AM102" s="260">
        <f t="shared" si="40"/>
        <v>0</v>
      </c>
      <c r="AN102" s="260">
        <f t="shared" si="41"/>
        <v>20</v>
      </c>
      <c r="AO102" s="130">
        <f t="shared" si="42"/>
        <v>0.2</v>
      </c>
      <c r="AP102" s="106">
        <v>3126000</v>
      </c>
      <c r="AQ102" s="261">
        <f t="shared" si="43"/>
        <v>3.2217591221182542</v>
      </c>
      <c r="AR102" s="261">
        <f t="shared" si="44"/>
        <v>73.326386831773817</v>
      </c>
      <c r="AS102" s="107">
        <f t="shared" si="45"/>
        <v>2.9330554732709526</v>
      </c>
      <c r="AT102" s="105">
        <v>0</v>
      </c>
      <c r="AU102" s="105">
        <v>1</v>
      </c>
      <c r="AV102" s="262">
        <f t="shared" si="46"/>
        <v>25</v>
      </c>
      <c r="AW102" s="134">
        <v>0</v>
      </c>
      <c r="AX102" s="134"/>
      <c r="AY102" s="262">
        <f t="shared" si="47"/>
        <v>0</v>
      </c>
      <c r="AZ102" s="262">
        <f t="shared" si="48"/>
        <v>25</v>
      </c>
      <c r="BA102" s="38">
        <f t="shared" si="49"/>
        <v>0.25</v>
      </c>
      <c r="BB102" s="105">
        <v>0</v>
      </c>
      <c r="BC102" s="105">
        <v>0</v>
      </c>
      <c r="BD102" s="105">
        <v>0</v>
      </c>
      <c r="BE102" s="262">
        <f t="shared" si="50"/>
        <v>0</v>
      </c>
      <c r="BF102" s="262">
        <f t="shared" si="51"/>
        <v>50</v>
      </c>
      <c r="BG102" s="38">
        <f t="shared" si="52"/>
        <v>0.5</v>
      </c>
      <c r="BH102" s="255">
        <f t="shared" si="53"/>
        <v>22742091</v>
      </c>
      <c r="BI102" s="256">
        <f t="shared" si="54"/>
        <v>0.22160929259632003</v>
      </c>
      <c r="BJ102" s="256">
        <f t="shared" si="55"/>
        <v>26.6620696944724</v>
      </c>
      <c r="BK102" s="55">
        <f t="shared" si="56"/>
        <v>0.53324139388944802</v>
      </c>
      <c r="BL102" s="137">
        <f t="shared" si="57"/>
        <v>5.4162968671604013</v>
      </c>
    </row>
    <row r="103" spans="1:64" x14ac:dyDescent="0.6">
      <c r="A103" s="214" t="s">
        <v>1629</v>
      </c>
      <c r="B103" s="13" t="s">
        <v>2082</v>
      </c>
      <c r="C103" s="219" t="s">
        <v>1630</v>
      </c>
      <c r="D103" s="14" t="s">
        <v>191</v>
      </c>
      <c r="E103" s="217" t="s">
        <v>178</v>
      </c>
      <c r="F103" s="217" t="s">
        <v>1631</v>
      </c>
      <c r="G103" s="218">
        <v>36853</v>
      </c>
      <c r="H103" s="217" t="s">
        <v>830</v>
      </c>
      <c r="I103" s="217" t="s">
        <v>1632</v>
      </c>
      <c r="J103" s="1" t="s">
        <v>3695</v>
      </c>
      <c r="K103" s="217" t="s">
        <v>91</v>
      </c>
      <c r="L103" s="220">
        <v>1442896840</v>
      </c>
      <c r="M103" s="206">
        <v>718936776</v>
      </c>
      <c r="N103" s="206">
        <v>723960064</v>
      </c>
      <c r="O103" s="206">
        <v>1876232243</v>
      </c>
      <c r="P103" s="206">
        <v>86186465</v>
      </c>
      <c r="Q103" s="206">
        <v>91831146</v>
      </c>
      <c r="R103" s="206">
        <v>73560010</v>
      </c>
      <c r="S103" s="105">
        <v>1</v>
      </c>
      <c r="T103" s="254">
        <f t="shared" si="29"/>
        <v>100</v>
      </c>
      <c r="U103" s="107">
        <f t="shared" si="30"/>
        <v>1</v>
      </c>
      <c r="V103" s="45">
        <v>1890</v>
      </c>
      <c r="W103" s="45">
        <v>1954</v>
      </c>
      <c r="X103" s="255">
        <f t="shared" si="31"/>
        <v>64</v>
      </c>
      <c r="Y103" s="255">
        <f t="shared" si="32"/>
        <v>72</v>
      </c>
      <c r="Z103" s="256">
        <f t="shared" si="33"/>
        <v>88.888888888888886</v>
      </c>
      <c r="AA103" s="257">
        <f t="shared" si="34"/>
        <v>100</v>
      </c>
      <c r="AB103" s="116">
        <f t="shared" si="35"/>
        <v>1</v>
      </c>
      <c r="AC103" s="123">
        <v>3012</v>
      </c>
      <c r="AD103" s="123">
        <v>3084</v>
      </c>
      <c r="AE103" s="257">
        <f t="shared" si="36"/>
        <v>72</v>
      </c>
      <c r="AF103" s="258">
        <f t="shared" si="37"/>
        <v>2.3904382470119523</v>
      </c>
      <c r="AG103" s="257">
        <f t="shared" si="38"/>
        <v>80</v>
      </c>
      <c r="AH103" s="124">
        <f t="shared" si="39"/>
        <v>3.2</v>
      </c>
      <c r="AI103" s="105">
        <v>0</v>
      </c>
      <c r="AJ103" s="105">
        <v>0</v>
      </c>
      <c r="AK103" s="105">
        <v>0</v>
      </c>
      <c r="AL103" s="105">
        <v>0</v>
      </c>
      <c r="AM103" s="260">
        <f t="shared" si="40"/>
        <v>0</v>
      </c>
      <c r="AN103" s="260">
        <f t="shared" si="41"/>
        <v>20</v>
      </c>
      <c r="AO103" s="130">
        <f t="shared" si="42"/>
        <v>0.2</v>
      </c>
      <c r="AP103" s="106">
        <v>324171</v>
      </c>
      <c r="AQ103" s="261">
        <f t="shared" si="43"/>
        <v>0.44068917337015046</v>
      </c>
      <c r="AR103" s="261">
        <f t="shared" si="44"/>
        <v>31.610337600552256</v>
      </c>
      <c r="AS103" s="107">
        <f t="shared" si="45"/>
        <v>1.2644135040220903</v>
      </c>
      <c r="AT103" s="105">
        <v>0</v>
      </c>
      <c r="AU103" s="105">
        <v>1</v>
      </c>
      <c r="AV103" s="262">
        <f t="shared" si="46"/>
        <v>25</v>
      </c>
      <c r="AW103" s="134">
        <v>6</v>
      </c>
      <c r="AX103" s="447" t="s">
        <v>3696</v>
      </c>
      <c r="AY103" s="262">
        <f t="shared" si="47"/>
        <v>50</v>
      </c>
      <c r="AZ103" s="262">
        <f t="shared" si="48"/>
        <v>75</v>
      </c>
      <c r="BA103" s="38">
        <f t="shared" si="49"/>
        <v>0.75</v>
      </c>
      <c r="BB103" s="105">
        <v>0</v>
      </c>
      <c r="BC103" s="105">
        <v>0</v>
      </c>
      <c r="BD103" s="105">
        <v>0</v>
      </c>
      <c r="BE103" s="262">
        <f t="shared" si="50"/>
        <v>0</v>
      </c>
      <c r="BF103" s="262">
        <f t="shared" si="51"/>
        <v>50</v>
      </c>
      <c r="BG103" s="38">
        <f t="shared" si="52"/>
        <v>0.5</v>
      </c>
      <c r="BH103" s="255">
        <f t="shared" si="53"/>
        <v>18271136</v>
      </c>
      <c r="BI103" s="256">
        <f t="shared" si="54"/>
        <v>0.9738205954069622</v>
      </c>
      <c r="BJ103" s="256">
        <f t="shared" si="55"/>
        <v>32.303654465552214</v>
      </c>
      <c r="BK103" s="55">
        <f t="shared" si="56"/>
        <v>0.64607308931104424</v>
      </c>
      <c r="BL103" s="137">
        <f t="shared" si="57"/>
        <v>8.5604865933331347</v>
      </c>
    </row>
    <row r="104" spans="1:64" x14ac:dyDescent="0.6">
      <c r="A104" s="214" t="s">
        <v>1634</v>
      </c>
      <c r="B104" s="13" t="s">
        <v>2083</v>
      </c>
      <c r="C104" s="219" t="s">
        <v>1635</v>
      </c>
      <c r="D104" s="14" t="s">
        <v>203</v>
      </c>
      <c r="E104" s="217" t="s">
        <v>246</v>
      </c>
      <c r="F104" s="217" t="s">
        <v>1636</v>
      </c>
      <c r="G104" s="218">
        <v>34422</v>
      </c>
      <c r="H104" s="217" t="s">
        <v>830</v>
      </c>
      <c r="I104" s="217" t="s">
        <v>1637</v>
      </c>
      <c r="J104" s="1" t="s">
        <v>3697</v>
      </c>
      <c r="K104" s="217" t="s">
        <v>425</v>
      </c>
      <c r="L104" s="220">
        <v>1380267325</v>
      </c>
      <c r="M104" s="206">
        <v>678125020</v>
      </c>
      <c r="N104" s="206">
        <v>702142305</v>
      </c>
      <c r="O104" s="206">
        <v>1300951533</v>
      </c>
      <c r="P104" s="206">
        <v>82521356</v>
      </c>
      <c r="Q104" s="206">
        <v>74612978</v>
      </c>
      <c r="R104" s="206">
        <v>59394229</v>
      </c>
      <c r="S104" s="105">
        <v>1</v>
      </c>
      <c r="T104" s="254">
        <f t="shared" si="29"/>
        <v>100</v>
      </c>
      <c r="U104" s="107">
        <f t="shared" si="30"/>
        <v>1</v>
      </c>
      <c r="V104" s="45">
        <f>37+6+1+18+5+4+5+7+8+9+17</f>
        <v>117</v>
      </c>
      <c r="W104" s="45">
        <f>89+37</f>
        <v>126</v>
      </c>
      <c r="X104" s="255">
        <f t="shared" si="31"/>
        <v>9</v>
      </c>
      <c r="Y104" s="255">
        <f t="shared" si="32"/>
        <v>-80</v>
      </c>
      <c r="Z104" s="256">
        <f t="shared" si="33"/>
        <v>900</v>
      </c>
      <c r="AA104" s="257">
        <f t="shared" si="34"/>
        <v>100</v>
      </c>
      <c r="AB104" s="116">
        <f t="shared" si="35"/>
        <v>1</v>
      </c>
      <c r="AC104" s="123">
        <v>1656</v>
      </c>
      <c r="AD104" s="123">
        <v>1576</v>
      </c>
      <c r="AE104" s="257">
        <f t="shared" si="36"/>
        <v>-80</v>
      </c>
      <c r="AF104" s="258">
        <f t="shared" si="37"/>
        <v>-4.8309178743961354</v>
      </c>
      <c r="AG104" s="257">
        <f t="shared" si="38"/>
        <v>20</v>
      </c>
      <c r="AH104" s="124">
        <f t="shared" si="39"/>
        <v>0.8</v>
      </c>
      <c r="AI104" s="105">
        <v>0</v>
      </c>
      <c r="AJ104" s="105">
        <v>0</v>
      </c>
      <c r="AK104" s="105">
        <v>0</v>
      </c>
      <c r="AL104" s="105">
        <v>0</v>
      </c>
      <c r="AM104" s="260">
        <f t="shared" si="40"/>
        <v>0</v>
      </c>
      <c r="AN104" s="260">
        <f t="shared" si="41"/>
        <v>20</v>
      </c>
      <c r="AO104" s="130">
        <f t="shared" si="42"/>
        <v>0.2</v>
      </c>
      <c r="AP104" s="106">
        <v>21880</v>
      </c>
      <c r="AQ104" s="261">
        <f t="shared" si="43"/>
        <v>3.6838595884458744E-2</v>
      </c>
      <c r="AR104" s="261">
        <f t="shared" si="44"/>
        <v>25.55257893826688</v>
      </c>
      <c r="AS104" s="107">
        <f t="shared" si="45"/>
        <v>1.0221031575306752</v>
      </c>
      <c r="AT104" s="105">
        <v>0</v>
      </c>
      <c r="AU104" s="105">
        <v>0</v>
      </c>
      <c r="AV104" s="262">
        <f t="shared" si="46"/>
        <v>0</v>
      </c>
      <c r="AW104" s="134">
        <v>1</v>
      </c>
      <c r="AX104" s="447" t="s">
        <v>3698</v>
      </c>
      <c r="AY104" s="262">
        <f t="shared" si="47"/>
        <v>25</v>
      </c>
      <c r="AZ104" s="262">
        <f t="shared" si="48"/>
        <v>25</v>
      </c>
      <c r="BA104" s="38">
        <f t="shared" si="49"/>
        <v>0.25</v>
      </c>
      <c r="BB104" s="105">
        <v>0</v>
      </c>
      <c r="BC104" s="105">
        <v>0</v>
      </c>
      <c r="BD104" s="105">
        <v>0</v>
      </c>
      <c r="BE104" s="262">
        <f t="shared" si="50"/>
        <v>0</v>
      </c>
      <c r="BF104" s="262">
        <f t="shared" si="51"/>
        <v>50</v>
      </c>
      <c r="BG104" s="38">
        <f t="shared" si="52"/>
        <v>0.5</v>
      </c>
      <c r="BH104" s="255">
        <f t="shared" si="53"/>
        <v>15218749</v>
      </c>
      <c r="BI104" s="256">
        <f t="shared" si="54"/>
        <v>1.1698167544263158</v>
      </c>
      <c r="BJ104" s="256">
        <f t="shared" si="55"/>
        <v>33.773625658197368</v>
      </c>
      <c r="BK104" s="55">
        <f t="shared" si="56"/>
        <v>0.67547251316394741</v>
      </c>
      <c r="BL104" s="137">
        <f t="shared" si="57"/>
        <v>5.4475756706946221</v>
      </c>
    </row>
    <row r="105" spans="1:64" x14ac:dyDescent="0.6">
      <c r="A105" s="214" t="s">
        <v>865</v>
      </c>
      <c r="B105" s="13" t="s">
        <v>2084</v>
      </c>
      <c r="C105" s="219" t="s">
        <v>852</v>
      </c>
      <c r="D105" s="216" t="s">
        <v>203</v>
      </c>
      <c r="E105" s="217" t="s">
        <v>197</v>
      </c>
      <c r="F105" s="217" t="s">
        <v>357</v>
      </c>
      <c r="G105" s="218">
        <v>41201</v>
      </c>
      <c r="H105" s="217" t="s">
        <v>830</v>
      </c>
      <c r="I105" s="217" t="s">
        <v>774</v>
      </c>
      <c r="J105" s="217" t="s">
        <v>1048</v>
      </c>
      <c r="K105" s="217" t="s">
        <v>484</v>
      </c>
      <c r="L105" s="220">
        <v>372451008</v>
      </c>
      <c r="M105" s="206">
        <v>160285008</v>
      </c>
      <c r="N105" s="206">
        <v>212166000</v>
      </c>
      <c r="O105" s="206">
        <v>382323241</v>
      </c>
      <c r="P105" s="206">
        <v>10643381</v>
      </c>
      <c r="Q105" s="206">
        <v>10453576</v>
      </c>
      <c r="R105" s="206">
        <v>9587170</v>
      </c>
      <c r="S105" s="105">
        <v>1</v>
      </c>
      <c r="T105" s="254">
        <f t="shared" si="29"/>
        <v>100</v>
      </c>
      <c r="U105" s="107">
        <f t="shared" si="30"/>
        <v>1</v>
      </c>
      <c r="V105" s="45">
        <v>37</v>
      </c>
      <c r="W105" s="45">
        <f>27+21</f>
        <v>48</v>
      </c>
      <c r="X105" s="255">
        <f t="shared" si="31"/>
        <v>11</v>
      </c>
      <c r="Y105" s="255">
        <f t="shared" si="32"/>
        <v>33</v>
      </c>
      <c r="Z105" s="256">
        <f t="shared" si="33"/>
        <v>33.333333333333329</v>
      </c>
      <c r="AA105" s="257">
        <f t="shared" si="34"/>
        <v>80</v>
      </c>
      <c r="AB105" s="116">
        <f t="shared" si="35"/>
        <v>0.8</v>
      </c>
      <c r="AC105" s="123">
        <v>517</v>
      </c>
      <c r="AD105" s="123">
        <v>550</v>
      </c>
      <c r="AE105" s="257">
        <f t="shared" si="36"/>
        <v>33</v>
      </c>
      <c r="AF105" s="258">
        <f t="shared" si="37"/>
        <v>6.3829787234042552</v>
      </c>
      <c r="AG105" s="257">
        <f t="shared" si="38"/>
        <v>100</v>
      </c>
      <c r="AH105" s="124">
        <f t="shared" si="39"/>
        <v>4</v>
      </c>
      <c r="AI105" s="105">
        <v>0</v>
      </c>
      <c r="AJ105" s="105">
        <v>0</v>
      </c>
      <c r="AK105" s="105">
        <v>0</v>
      </c>
      <c r="AL105" s="105">
        <v>0</v>
      </c>
      <c r="AM105" s="260">
        <f t="shared" si="40"/>
        <v>0</v>
      </c>
      <c r="AN105" s="260">
        <f t="shared" si="41"/>
        <v>20</v>
      </c>
      <c r="AO105" s="130">
        <f t="shared" si="42"/>
        <v>0.2</v>
      </c>
      <c r="AP105" s="106">
        <v>87226</v>
      </c>
      <c r="AQ105" s="261">
        <f t="shared" si="43"/>
        <v>0.90982010332559038</v>
      </c>
      <c r="AR105" s="261">
        <f t="shared" si="44"/>
        <v>38.647301549883856</v>
      </c>
      <c r="AS105" s="107">
        <f t="shared" si="45"/>
        <v>1.5458920619953542</v>
      </c>
      <c r="AT105" s="105">
        <v>0</v>
      </c>
      <c r="AU105" s="105">
        <v>1</v>
      </c>
      <c r="AV105" s="262">
        <f t="shared" si="46"/>
        <v>25</v>
      </c>
      <c r="AW105" s="134">
        <v>2</v>
      </c>
      <c r="AX105" s="134" t="s">
        <v>3576</v>
      </c>
      <c r="AY105" s="262">
        <f t="shared" si="47"/>
        <v>25</v>
      </c>
      <c r="AZ105" s="262">
        <f t="shared" si="48"/>
        <v>50</v>
      </c>
      <c r="BA105" s="38">
        <f t="shared" si="49"/>
        <v>0.5</v>
      </c>
      <c r="BB105" s="105">
        <v>0</v>
      </c>
      <c r="BC105" s="105">
        <v>0</v>
      </c>
      <c r="BD105" s="105">
        <v>0</v>
      </c>
      <c r="BE105" s="262">
        <f t="shared" si="50"/>
        <v>0</v>
      </c>
      <c r="BF105" s="262">
        <f t="shared" si="51"/>
        <v>50</v>
      </c>
      <c r="BG105" s="38">
        <f t="shared" si="52"/>
        <v>0.5</v>
      </c>
      <c r="BH105" s="255">
        <f t="shared" si="53"/>
        <v>866406</v>
      </c>
      <c r="BI105" s="256">
        <f t="shared" si="54"/>
        <v>0.2266160952532833</v>
      </c>
      <c r="BJ105" s="256">
        <f t="shared" si="55"/>
        <v>26.699620714399625</v>
      </c>
      <c r="BK105" s="55">
        <f t="shared" si="56"/>
        <v>0.53399241428799249</v>
      </c>
      <c r="BL105" s="137">
        <f t="shared" si="57"/>
        <v>9.0798844762833451</v>
      </c>
    </row>
    <row r="106" spans="1:64" x14ac:dyDescent="0.6">
      <c r="A106" s="214" t="s">
        <v>48</v>
      </c>
      <c r="B106" s="13" t="s">
        <v>2085</v>
      </c>
      <c r="C106" s="219" t="s">
        <v>432</v>
      </c>
      <c r="D106" s="216" t="s">
        <v>203</v>
      </c>
      <c r="E106" s="217" t="s">
        <v>195</v>
      </c>
      <c r="F106" s="217" t="s">
        <v>128</v>
      </c>
      <c r="G106" s="218">
        <v>38533</v>
      </c>
      <c r="H106" s="217" t="s">
        <v>830</v>
      </c>
      <c r="I106" s="217" t="s">
        <v>193</v>
      </c>
      <c r="J106" s="217" t="s">
        <v>1044</v>
      </c>
      <c r="K106" s="217" t="s">
        <v>31</v>
      </c>
      <c r="L106" s="220">
        <v>457877289</v>
      </c>
      <c r="M106" s="206">
        <v>52176470</v>
      </c>
      <c r="N106" s="206">
        <v>405700820</v>
      </c>
      <c r="O106" s="206">
        <v>441052792</v>
      </c>
      <c r="P106" s="206">
        <v>20091259</v>
      </c>
      <c r="Q106" s="206">
        <v>24421805</v>
      </c>
      <c r="R106" s="206">
        <v>18622026</v>
      </c>
      <c r="S106" s="105">
        <v>1</v>
      </c>
      <c r="T106" s="254">
        <f t="shared" si="29"/>
        <v>100</v>
      </c>
      <c r="U106" s="107">
        <f t="shared" si="30"/>
        <v>1</v>
      </c>
      <c r="V106" s="45">
        <v>3</v>
      </c>
      <c r="W106" s="45">
        <v>6</v>
      </c>
      <c r="X106" s="255">
        <f t="shared" si="31"/>
        <v>3</v>
      </c>
      <c r="Y106" s="255">
        <f t="shared" si="32"/>
        <v>12</v>
      </c>
      <c r="Z106" s="256">
        <f t="shared" si="33"/>
        <v>25</v>
      </c>
      <c r="AA106" s="257">
        <f t="shared" si="34"/>
        <v>60</v>
      </c>
      <c r="AB106" s="116">
        <f t="shared" si="35"/>
        <v>0.6</v>
      </c>
      <c r="AC106" s="123">
        <v>225</v>
      </c>
      <c r="AD106" s="123">
        <v>237</v>
      </c>
      <c r="AE106" s="257">
        <f t="shared" si="36"/>
        <v>12</v>
      </c>
      <c r="AF106" s="258">
        <f t="shared" si="37"/>
        <v>5.3333333333333339</v>
      </c>
      <c r="AG106" s="257">
        <f t="shared" si="38"/>
        <v>100</v>
      </c>
      <c r="AH106" s="124">
        <f t="shared" si="39"/>
        <v>4</v>
      </c>
      <c r="AI106" s="105">
        <v>0</v>
      </c>
      <c r="AJ106" s="105">
        <v>0</v>
      </c>
      <c r="AK106" s="105">
        <v>0</v>
      </c>
      <c r="AL106" s="105">
        <v>0</v>
      </c>
      <c r="AM106" s="260">
        <f t="shared" si="40"/>
        <v>0</v>
      </c>
      <c r="AN106" s="260">
        <f t="shared" si="41"/>
        <v>20</v>
      </c>
      <c r="AO106" s="130">
        <f t="shared" si="42"/>
        <v>0.2</v>
      </c>
      <c r="AP106" s="106">
        <v>68140</v>
      </c>
      <c r="AQ106" s="261">
        <f t="shared" si="43"/>
        <v>0.36591077684028578</v>
      </c>
      <c r="AR106" s="261">
        <f t="shared" si="44"/>
        <v>30.488661652604286</v>
      </c>
      <c r="AS106" s="107">
        <f t="shared" si="45"/>
        <v>1.2195464661041715</v>
      </c>
      <c r="AT106" s="105">
        <v>0</v>
      </c>
      <c r="AU106" s="105">
        <v>1</v>
      </c>
      <c r="AV106" s="262">
        <f t="shared" si="46"/>
        <v>25</v>
      </c>
      <c r="AW106" s="134">
        <v>3</v>
      </c>
      <c r="AX106" s="134" t="s">
        <v>3556</v>
      </c>
      <c r="AY106" s="262">
        <f t="shared" si="47"/>
        <v>50</v>
      </c>
      <c r="AZ106" s="262">
        <f t="shared" si="48"/>
        <v>75</v>
      </c>
      <c r="BA106" s="38">
        <f t="shared" si="49"/>
        <v>0.75</v>
      </c>
      <c r="BB106" s="105">
        <v>0</v>
      </c>
      <c r="BC106" s="105">
        <v>0</v>
      </c>
      <c r="BD106" s="105">
        <v>0</v>
      </c>
      <c r="BE106" s="262">
        <f t="shared" si="50"/>
        <v>0</v>
      </c>
      <c r="BF106" s="262">
        <f t="shared" si="51"/>
        <v>50</v>
      </c>
      <c r="BG106" s="38">
        <f t="shared" si="52"/>
        <v>0.5</v>
      </c>
      <c r="BH106" s="255">
        <f t="shared" si="53"/>
        <v>5799779</v>
      </c>
      <c r="BI106" s="256">
        <f t="shared" si="54"/>
        <v>1.3149852138335405</v>
      </c>
      <c r="BJ106" s="256">
        <f t="shared" si="55"/>
        <v>34.862389103751553</v>
      </c>
      <c r="BK106" s="55">
        <f t="shared" si="56"/>
        <v>0.69724778207503113</v>
      </c>
      <c r="BL106" s="137">
        <f t="shared" si="57"/>
        <v>8.9667942481792018</v>
      </c>
    </row>
    <row r="107" spans="1:64" x14ac:dyDescent="0.6">
      <c r="A107" s="214" t="s">
        <v>1639</v>
      </c>
      <c r="B107" s="13" t="s">
        <v>2086</v>
      </c>
      <c r="C107" s="219" t="s">
        <v>873</v>
      </c>
      <c r="D107" s="216" t="s">
        <v>203</v>
      </c>
      <c r="E107" s="217" t="s">
        <v>195</v>
      </c>
      <c r="F107" s="217" t="s">
        <v>1075</v>
      </c>
      <c r="G107" s="218">
        <v>42271</v>
      </c>
      <c r="H107" s="217" t="s">
        <v>830</v>
      </c>
      <c r="I107" s="217" t="s">
        <v>1640</v>
      </c>
      <c r="J107" s="217" t="s">
        <v>1172</v>
      </c>
      <c r="K107" s="217" t="s">
        <v>690</v>
      </c>
      <c r="L107" s="220">
        <v>179708719</v>
      </c>
      <c r="M107" s="206">
        <v>22028248</v>
      </c>
      <c r="N107" s="206">
        <v>157680471</v>
      </c>
      <c r="O107" s="206">
        <v>196757615</v>
      </c>
      <c r="P107" s="206">
        <v>2456930</v>
      </c>
      <c r="Q107" s="206">
        <v>3926033</v>
      </c>
      <c r="R107" s="206">
        <v>3345149</v>
      </c>
      <c r="S107" s="105">
        <v>1</v>
      </c>
      <c r="T107" s="254">
        <f t="shared" si="29"/>
        <v>100</v>
      </c>
      <c r="U107" s="107">
        <f t="shared" si="30"/>
        <v>1</v>
      </c>
      <c r="V107" s="45">
        <v>13</v>
      </c>
      <c r="W107" s="45">
        <v>13</v>
      </c>
      <c r="X107" s="255">
        <f t="shared" si="31"/>
        <v>0</v>
      </c>
      <c r="Y107" s="255">
        <f t="shared" si="32"/>
        <v>33</v>
      </c>
      <c r="Z107" s="256">
        <f t="shared" si="33"/>
        <v>0</v>
      </c>
      <c r="AA107" s="257">
        <f t="shared" si="34"/>
        <v>20</v>
      </c>
      <c r="AB107" s="116">
        <f t="shared" si="35"/>
        <v>0.2</v>
      </c>
      <c r="AC107" s="123">
        <v>127</v>
      </c>
      <c r="AD107" s="123">
        <v>160</v>
      </c>
      <c r="AE107" s="257">
        <f t="shared" si="36"/>
        <v>33</v>
      </c>
      <c r="AF107" s="258">
        <f t="shared" si="37"/>
        <v>25.984251968503933</v>
      </c>
      <c r="AG107" s="257">
        <f t="shared" si="38"/>
        <v>100</v>
      </c>
      <c r="AH107" s="124">
        <f t="shared" si="39"/>
        <v>4</v>
      </c>
      <c r="AI107" s="105">
        <v>0</v>
      </c>
      <c r="AJ107" s="105">
        <v>0</v>
      </c>
      <c r="AK107" s="105">
        <v>0</v>
      </c>
      <c r="AL107" s="105">
        <v>0</v>
      </c>
      <c r="AM107" s="260">
        <f t="shared" si="40"/>
        <v>0</v>
      </c>
      <c r="AN107" s="260">
        <f t="shared" si="41"/>
        <v>20</v>
      </c>
      <c r="AO107" s="130">
        <f t="shared" si="42"/>
        <v>0.2</v>
      </c>
      <c r="AP107" s="440">
        <v>0</v>
      </c>
      <c r="AQ107" s="261">
        <f t="shared" si="43"/>
        <v>0</v>
      </c>
      <c r="AR107" s="261">
        <f t="shared" si="44"/>
        <v>25</v>
      </c>
      <c r="AS107" s="107">
        <f t="shared" si="45"/>
        <v>1</v>
      </c>
      <c r="AT107" s="105">
        <v>0</v>
      </c>
      <c r="AU107" s="105">
        <v>1</v>
      </c>
      <c r="AV107" s="262">
        <f t="shared" si="46"/>
        <v>25</v>
      </c>
      <c r="AW107" s="134">
        <v>0</v>
      </c>
      <c r="AX107" s="134"/>
      <c r="AY107" s="262">
        <f t="shared" si="47"/>
        <v>0</v>
      </c>
      <c r="AZ107" s="262">
        <f t="shared" si="48"/>
        <v>25</v>
      </c>
      <c r="BA107" s="38">
        <f t="shared" si="49"/>
        <v>0.25</v>
      </c>
      <c r="BB107" s="105">
        <v>0</v>
      </c>
      <c r="BC107" s="105">
        <v>0</v>
      </c>
      <c r="BD107" s="105">
        <v>0</v>
      </c>
      <c r="BE107" s="262">
        <f t="shared" si="50"/>
        <v>0</v>
      </c>
      <c r="BF107" s="262">
        <f t="shared" si="51"/>
        <v>50</v>
      </c>
      <c r="BG107" s="38">
        <f t="shared" si="52"/>
        <v>0.5</v>
      </c>
      <c r="BH107" s="255">
        <f t="shared" si="53"/>
        <v>580884</v>
      </c>
      <c r="BI107" s="256">
        <f t="shared" si="54"/>
        <v>0.29522821772361896</v>
      </c>
      <c r="BJ107" s="256">
        <f t="shared" si="55"/>
        <v>27.214211632927142</v>
      </c>
      <c r="BK107" s="55">
        <f t="shared" si="56"/>
        <v>0.54428423265854287</v>
      </c>
      <c r="BL107" s="137">
        <f t="shared" si="57"/>
        <v>7.6942842326585428</v>
      </c>
    </row>
    <row r="108" spans="1:64" x14ac:dyDescent="0.6">
      <c r="A108" s="214" t="s">
        <v>370</v>
      </c>
      <c r="B108" s="13" t="s">
        <v>2087</v>
      </c>
      <c r="C108" s="219" t="s">
        <v>319</v>
      </c>
      <c r="D108" s="216" t="s">
        <v>191</v>
      </c>
      <c r="E108" s="217" t="s">
        <v>34</v>
      </c>
      <c r="F108" s="217" t="s">
        <v>567</v>
      </c>
      <c r="G108" s="218">
        <v>27843</v>
      </c>
      <c r="H108" s="217" t="s">
        <v>830</v>
      </c>
      <c r="I108" s="217" t="s">
        <v>1641</v>
      </c>
      <c r="J108" s="217" t="s">
        <v>1191</v>
      </c>
      <c r="K108" s="217" t="s">
        <v>91</v>
      </c>
      <c r="L108" s="220">
        <v>429874042</v>
      </c>
      <c r="M108" s="206">
        <v>70083130</v>
      </c>
      <c r="N108" s="206">
        <v>359790911</v>
      </c>
      <c r="O108" s="206">
        <v>315927932</v>
      </c>
      <c r="P108" s="206">
        <v>26579957</v>
      </c>
      <c r="Q108" s="206">
        <v>20948525</v>
      </c>
      <c r="R108" s="206">
        <v>18208234</v>
      </c>
      <c r="S108" s="105">
        <v>1</v>
      </c>
      <c r="T108" s="254">
        <f t="shared" si="29"/>
        <v>100</v>
      </c>
      <c r="U108" s="107">
        <f t="shared" si="30"/>
        <v>1</v>
      </c>
      <c r="V108" s="45">
        <v>192</v>
      </c>
      <c r="W108" s="45">
        <v>219</v>
      </c>
      <c r="X108" s="255">
        <f t="shared" si="31"/>
        <v>27</v>
      </c>
      <c r="Y108" s="255">
        <f t="shared" si="32"/>
        <v>40</v>
      </c>
      <c r="Z108" s="256">
        <f t="shared" si="33"/>
        <v>67.5</v>
      </c>
      <c r="AA108" s="257">
        <f t="shared" si="34"/>
        <v>100</v>
      </c>
      <c r="AB108" s="116">
        <f t="shared" si="35"/>
        <v>1</v>
      </c>
      <c r="AC108" s="123">
        <v>717</v>
      </c>
      <c r="AD108" s="123">
        <v>757</v>
      </c>
      <c r="AE108" s="257">
        <f t="shared" si="36"/>
        <v>40</v>
      </c>
      <c r="AF108" s="258">
        <f t="shared" si="37"/>
        <v>5.5788005578800561</v>
      </c>
      <c r="AG108" s="257">
        <f t="shared" si="38"/>
        <v>100</v>
      </c>
      <c r="AH108" s="124">
        <f t="shared" si="39"/>
        <v>4</v>
      </c>
      <c r="AI108" s="105">
        <v>0</v>
      </c>
      <c r="AJ108" s="105">
        <v>0</v>
      </c>
      <c r="AK108" s="105">
        <v>0</v>
      </c>
      <c r="AL108" s="105">
        <v>0</v>
      </c>
      <c r="AM108" s="260">
        <f t="shared" si="40"/>
        <v>0</v>
      </c>
      <c r="AN108" s="260">
        <f t="shared" si="41"/>
        <v>20</v>
      </c>
      <c r="AO108" s="130">
        <f t="shared" si="42"/>
        <v>0.2</v>
      </c>
      <c r="AP108" s="106">
        <v>107542</v>
      </c>
      <c r="AQ108" s="261">
        <f t="shared" si="43"/>
        <v>0.59062290170480014</v>
      </c>
      <c r="AR108" s="261">
        <f t="shared" si="44"/>
        <v>33.859343525572001</v>
      </c>
      <c r="AS108" s="107">
        <f t="shared" si="45"/>
        <v>1.35437374102288</v>
      </c>
      <c r="AT108" s="105">
        <v>0</v>
      </c>
      <c r="AU108" s="105">
        <v>1</v>
      </c>
      <c r="AV108" s="262">
        <f t="shared" si="46"/>
        <v>25</v>
      </c>
      <c r="AW108" s="134">
        <v>2</v>
      </c>
      <c r="AX108" s="134" t="s">
        <v>3577</v>
      </c>
      <c r="AY108" s="262">
        <f t="shared" si="47"/>
        <v>25</v>
      </c>
      <c r="AZ108" s="262">
        <f t="shared" si="48"/>
        <v>50</v>
      </c>
      <c r="BA108" s="38">
        <f t="shared" si="49"/>
        <v>0.5</v>
      </c>
      <c r="BB108" s="105">
        <v>0</v>
      </c>
      <c r="BC108" s="105">
        <v>0</v>
      </c>
      <c r="BD108" s="105">
        <v>0</v>
      </c>
      <c r="BE108" s="262">
        <f t="shared" si="50"/>
        <v>0</v>
      </c>
      <c r="BF108" s="262">
        <f t="shared" si="51"/>
        <v>50</v>
      </c>
      <c r="BG108" s="38">
        <f t="shared" si="52"/>
        <v>0.5</v>
      </c>
      <c r="BH108" s="255">
        <f t="shared" si="53"/>
        <v>2740291</v>
      </c>
      <c r="BI108" s="256">
        <f t="shared" si="54"/>
        <v>0.86737851340096139</v>
      </c>
      <c r="BJ108" s="256">
        <f t="shared" si="55"/>
        <v>31.505338850507211</v>
      </c>
      <c r="BK108" s="55">
        <f t="shared" si="56"/>
        <v>0.63010677701014428</v>
      </c>
      <c r="BL108" s="137">
        <f t="shared" si="57"/>
        <v>9.1844805180330251</v>
      </c>
    </row>
    <row r="109" spans="1:64" x14ac:dyDescent="0.6">
      <c r="A109" s="214" t="s">
        <v>446</v>
      </c>
      <c r="B109" s="13" t="s">
        <v>2088</v>
      </c>
      <c r="C109" s="219" t="s">
        <v>523</v>
      </c>
      <c r="D109" s="216" t="s">
        <v>202</v>
      </c>
      <c r="E109" s="217" t="s">
        <v>382</v>
      </c>
      <c r="F109" s="217" t="s">
        <v>443</v>
      </c>
      <c r="G109" s="218">
        <v>43756</v>
      </c>
      <c r="H109" s="217" t="s">
        <v>830</v>
      </c>
      <c r="I109" s="217" t="s">
        <v>1001</v>
      </c>
      <c r="J109" s="217" t="s">
        <v>676</v>
      </c>
      <c r="K109" s="217" t="s">
        <v>320</v>
      </c>
      <c r="L109" s="220">
        <v>1026929716</v>
      </c>
      <c r="M109" s="206">
        <v>503865290</v>
      </c>
      <c r="N109" s="206">
        <v>523064426</v>
      </c>
      <c r="O109" s="206">
        <v>312148721</v>
      </c>
      <c r="P109" s="206">
        <v>7221936</v>
      </c>
      <c r="Q109" s="206">
        <v>4276527</v>
      </c>
      <c r="R109" s="206">
        <v>3863590</v>
      </c>
      <c r="S109" s="105">
        <v>1</v>
      </c>
      <c r="T109" s="254">
        <f t="shared" si="29"/>
        <v>100</v>
      </c>
      <c r="U109" s="107">
        <f t="shared" si="30"/>
        <v>1</v>
      </c>
      <c r="V109" s="45">
        <v>55</v>
      </c>
      <c r="W109" s="45">
        <v>45</v>
      </c>
      <c r="X109" s="255">
        <f t="shared" si="31"/>
        <v>-10</v>
      </c>
      <c r="Y109" s="255">
        <f t="shared" si="32"/>
        <v>-19</v>
      </c>
      <c r="Z109" s="256">
        <f t="shared" si="33"/>
        <v>-1000</v>
      </c>
      <c r="AA109" s="257">
        <f t="shared" si="34"/>
        <v>20</v>
      </c>
      <c r="AB109" s="116">
        <f t="shared" si="35"/>
        <v>0.2</v>
      </c>
      <c r="AC109" s="123">
        <v>466</v>
      </c>
      <c r="AD109" s="123">
        <v>447</v>
      </c>
      <c r="AE109" s="257">
        <f t="shared" si="36"/>
        <v>-19</v>
      </c>
      <c r="AF109" s="258">
        <f t="shared" si="37"/>
        <v>-4.0772532188841204</v>
      </c>
      <c r="AG109" s="257">
        <f t="shared" si="38"/>
        <v>20</v>
      </c>
      <c r="AH109" s="124">
        <f t="shared" si="39"/>
        <v>0.8</v>
      </c>
      <c r="AI109" s="105">
        <v>0</v>
      </c>
      <c r="AJ109" s="105">
        <v>0</v>
      </c>
      <c r="AK109" s="105">
        <v>0</v>
      </c>
      <c r="AL109" s="105">
        <v>0</v>
      </c>
      <c r="AM109" s="260">
        <f t="shared" si="40"/>
        <v>0</v>
      </c>
      <c r="AN109" s="260">
        <f t="shared" si="41"/>
        <v>20</v>
      </c>
      <c r="AO109" s="130">
        <f t="shared" si="42"/>
        <v>0.2</v>
      </c>
      <c r="AP109" s="106">
        <v>1679745.4720000001</v>
      </c>
      <c r="AQ109" s="261">
        <f t="shared" si="43"/>
        <v>43.476286873089535</v>
      </c>
      <c r="AR109" s="261">
        <f t="shared" si="44"/>
        <v>100</v>
      </c>
      <c r="AS109" s="107">
        <f t="shared" si="45"/>
        <v>4</v>
      </c>
      <c r="AT109" s="105">
        <v>0</v>
      </c>
      <c r="AU109" s="105">
        <v>1</v>
      </c>
      <c r="AV109" s="262">
        <f t="shared" si="46"/>
        <v>25</v>
      </c>
      <c r="AW109" s="134">
        <v>1</v>
      </c>
      <c r="AX109" s="134" t="s">
        <v>3578</v>
      </c>
      <c r="AY109" s="262">
        <f t="shared" si="47"/>
        <v>25</v>
      </c>
      <c r="AZ109" s="262">
        <f t="shared" si="48"/>
        <v>50</v>
      </c>
      <c r="BA109" s="38">
        <f t="shared" si="49"/>
        <v>0.5</v>
      </c>
      <c r="BB109" s="105">
        <v>0</v>
      </c>
      <c r="BC109" s="105">
        <v>0</v>
      </c>
      <c r="BD109" s="105">
        <v>0</v>
      </c>
      <c r="BE109" s="262">
        <f t="shared" si="50"/>
        <v>0</v>
      </c>
      <c r="BF109" s="262">
        <f t="shared" si="51"/>
        <v>50</v>
      </c>
      <c r="BG109" s="38">
        <f t="shared" si="52"/>
        <v>0.5</v>
      </c>
      <c r="BH109" s="255">
        <f t="shared" si="53"/>
        <v>412937</v>
      </c>
      <c r="BI109" s="256">
        <f t="shared" si="54"/>
        <v>0.1322885446005079</v>
      </c>
      <c r="BJ109" s="256">
        <f t="shared" si="55"/>
        <v>25.992164084503809</v>
      </c>
      <c r="BK109" s="55">
        <f t="shared" si="56"/>
        <v>0.51984328169007621</v>
      </c>
      <c r="BL109" s="137">
        <f t="shared" si="57"/>
        <v>7.7198432816900766</v>
      </c>
    </row>
    <row r="110" spans="1:64" x14ac:dyDescent="0.6">
      <c r="A110" s="214" t="s">
        <v>748</v>
      </c>
      <c r="B110" s="13" t="s">
        <v>2089</v>
      </c>
      <c r="C110" s="219" t="s">
        <v>98</v>
      </c>
      <c r="D110" s="216" t="s">
        <v>202</v>
      </c>
      <c r="E110" s="217" t="s">
        <v>954</v>
      </c>
      <c r="F110" s="217" t="s">
        <v>625</v>
      </c>
      <c r="G110" s="218">
        <v>42580</v>
      </c>
      <c r="H110" s="217" t="s">
        <v>830</v>
      </c>
      <c r="I110" s="217" t="s">
        <v>261</v>
      </c>
      <c r="J110" s="217" t="s">
        <v>1053</v>
      </c>
      <c r="K110" s="217" t="s">
        <v>91</v>
      </c>
      <c r="L110" s="220">
        <v>287289681</v>
      </c>
      <c r="M110" s="206">
        <v>116203289</v>
      </c>
      <c r="N110" s="206">
        <v>171086392</v>
      </c>
      <c r="O110" s="206">
        <v>227240330</v>
      </c>
      <c r="P110" s="206">
        <v>10840684</v>
      </c>
      <c r="Q110" s="206">
        <v>18488363</v>
      </c>
      <c r="R110" s="206">
        <v>14109027</v>
      </c>
      <c r="S110" s="105">
        <v>1</v>
      </c>
      <c r="T110" s="254">
        <f t="shared" si="29"/>
        <v>100</v>
      </c>
      <c r="U110" s="107">
        <f t="shared" si="30"/>
        <v>1</v>
      </c>
      <c r="V110" s="45">
        <v>265</v>
      </c>
      <c r="W110" s="45">
        <f>31+243</f>
        <v>274</v>
      </c>
      <c r="X110" s="255">
        <f t="shared" si="31"/>
        <v>9</v>
      </c>
      <c r="Y110" s="255">
        <f t="shared" si="32"/>
        <v>35</v>
      </c>
      <c r="Z110" s="256">
        <f t="shared" si="33"/>
        <v>25.714285714285712</v>
      </c>
      <c r="AA110" s="257">
        <f t="shared" si="34"/>
        <v>60</v>
      </c>
      <c r="AB110" s="116">
        <f t="shared" si="35"/>
        <v>0.6</v>
      </c>
      <c r="AC110" s="123">
        <v>491</v>
      </c>
      <c r="AD110" s="123">
        <v>526</v>
      </c>
      <c r="AE110" s="257">
        <f t="shared" si="36"/>
        <v>35</v>
      </c>
      <c r="AF110" s="258">
        <f t="shared" si="37"/>
        <v>7.1283095723014247</v>
      </c>
      <c r="AG110" s="257">
        <f t="shared" si="38"/>
        <v>100</v>
      </c>
      <c r="AH110" s="124">
        <f t="shared" si="39"/>
        <v>4</v>
      </c>
      <c r="AI110" s="105">
        <v>0</v>
      </c>
      <c r="AJ110" s="105">
        <v>0</v>
      </c>
      <c r="AK110" s="105">
        <v>0</v>
      </c>
      <c r="AL110" s="105">
        <v>0</v>
      </c>
      <c r="AM110" s="260">
        <f t="shared" si="40"/>
        <v>0</v>
      </c>
      <c r="AN110" s="260">
        <f t="shared" si="41"/>
        <v>20</v>
      </c>
      <c r="AO110" s="130">
        <f t="shared" si="42"/>
        <v>0.2</v>
      </c>
      <c r="AP110" s="106">
        <v>14317</v>
      </c>
      <c r="AQ110" s="261">
        <f t="shared" si="43"/>
        <v>0.10147404211502324</v>
      </c>
      <c r="AR110" s="261">
        <f t="shared" si="44"/>
        <v>26.522110631725347</v>
      </c>
      <c r="AS110" s="107">
        <f t="shared" si="45"/>
        <v>1.0608844252690139</v>
      </c>
      <c r="AT110" s="105">
        <v>0</v>
      </c>
      <c r="AU110" s="105">
        <v>1</v>
      </c>
      <c r="AV110" s="262">
        <f t="shared" si="46"/>
        <v>25</v>
      </c>
      <c r="AW110" s="134">
        <v>0</v>
      </c>
      <c r="AX110" s="134"/>
      <c r="AY110" s="262">
        <f t="shared" si="47"/>
        <v>0</v>
      </c>
      <c r="AZ110" s="262">
        <f t="shared" si="48"/>
        <v>25</v>
      </c>
      <c r="BA110" s="38">
        <f t="shared" si="49"/>
        <v>0.25</v>
      </c>
      <c r="BB110" s="105">
        <v>0</v>
      </c>
      <c r="BC110" s="105">
        <v>0</v>
      </c>
      <c r="BD110" s="105">
        <v>0</v>
      </c>
      <c r="BE110" s="262">
        <f t="shared" si="50"/>
        <v>0</v>
      </c>
      <c r="BF110" s="262">
        <f t="shared" si="51"/>
        <v>50</v>
      </c>
      <c r="BG110" s="38">
        <f t="shared" si="52"/>
        <v>0.5</v>
      </c>
      <c r="BH110" s="255">
        <f t="shared" si="53"/>
        <v>4379336</v>
      </c>
      <c r="BI110" s="256">
        <f t="shared" si="54"/>
        <v>1.9271825560189952</v>
      </c>
      <c r="BJ110" s="256">
        <f t="shared" si="55"/>
        <v>39.453869170142468</v>
      </c>
      <c r="BK110" s="55">
        <f t="shared" si="56"/>
        <v>0.78907738340284939</v>
      </c>
      <c r="BL110" s="137">
        <f t="shared" si="57"/>
        <v>8.399961808671863</v>
      </c>
    </row>
    <row r="111" spans="1:64" x14ac:dyDescent="0.6">
      <c r="A111" s="214" t="s">
        <v>688</v>
      </c>
      <c r="B111" s="13" t="s">
        <v>2090</v>
      </c>
      <c r="C111" s="219" t="s">
        <v>21</v>
      </c>
      <c r="D111" s="216" t="s">
        <v>203</v>
      </c>
      <c r="E111" s="217" t="s">
        <v>195</v>
      </c>
      <c r="F111" s="217" t="s">
        <v>640</v>
      </c>
      <c r="G111" s="218">
        <v>36390</v>
      </c>
      <c r="H111" s="217" t="s">
        <v>830</v>
      </c>
      <c r="I111" s="217" t="s">
        <v>621</v>
      </c>
      <c r="J111" s="217" t="s">
        <v>1193</v>
      </c>
      <c r="K111" s="217" t="s">
        <v>50</v>
      </c>
      <c r="L111" s="220">
        <v>306956323</v>
      </c>
      <c r="M111" s="206">
        <v>41595074</v>
      </c>
      <c r="N111" s="206">
        <v>265361249</v>
      </c>
      <c r="O111" s="206">
        <v>240604203</v>
      </c>
      <c r="P111" s="206">
        <v>24501432</v>
      </c>
      <c r="Q111" s="206">
        <v>44413864</v>
      </c>
      <c r="R111" s="206">
        <v>37642494</v>
      </c>
      <c r="S111" s="105">
        <v>1</v>
      </c>
      <c r="T111" s="254">
        <f t="shared" si="29"/>
        <v>100</v>
      </c>
      <c r="U111" s="107">
        <f t="shared" si="30"/>
        <v>1</v>
      </c>
      <c r="V111" s="45">
        <v>9</v>
      </c>
      <c r="W111" s="45">
        <v>10</v>
      </c>
      <c r="X111" s="255">
        <f t="shared" si="31"/>
        <v>1</v>
      </c>
      <c r="Y111" s="255">
        <f t="shared" si="32"/>
        <v>0</v>
      </c>
      <c r="Z111" s="256">
        <f t="shared" si="33"/>
        <v>100</v>
      </c>
      <c r="AA111" s="257">
        <f t="shared" si="34"/>
        <v>100</v>
      </c>
      <c r="AB111" s="116">
        <f t="shared" si="35"/>
        <v>1</v>
      </c>
      <c r="AC111" s="123">
        <v>184</v>
      </c>
      <c r="AD111" s="123">
        <v>184</v>
      </c>
      <c r="AE111" s="257">
        <f t="shared" si="36"/>
        <v>0</v>
      </c>
      <c r="AF111" s="258">
        <f t="shared" si="37"/>
        <v>0</v>
      </c>
      <c r="AG111" s="257">
        <f t="shared" si="38"/>
        <v>40</v>
      </c>
      <c r="AH111" s="124">
        <f t="shared" si="39"/>
        <v>1.6</v>
      </c>
      <c r="AI111" s="105">
        <v>0</v>
      </c>
      <c r="AJ111" s="105">
        <v>0</v>
      </c>
      <c r="AK111" s="105">
        <v>0</v>
      </c>
      <c r="AL111" s="105">
        <v>0</v>
      </c>
      <c r="AM111" s="260">
        <f t="shared" si="40"/>
        <v>0</v>
      </c>
      <c r="AN111" s="260">
        <f t="shared" si="41"/>
        <v>20</v>
      </c>
      <c r="AO111" s="130">
        <f t="shared" si="42"/>
        <v>0.2</v>
      </c>
      <c r="AP111" s="106">
        <v>34000</v>
      </c>
      <c r="AQ111" s="261">
        <f t="shared" si="43"/>
        <v>9.0323452000815888E-2</v>
      </c>
      <c r="AR111" s="261">
        <f t="shared" si="44"/>
        <v>26.35485178001224</v>
      </c>
      <c r="AS111" s="107">
        <f t="shared" si="45"/>
        <v>1.0541940712004896</v>
      </c>
      <c r="AT111" s="105">
        <v>0</v>
      </c>
      <c r="AU111" s="105">
        <v>1</v>
      </c>
      <c r="AV111" s="262">
        <f t="shared" si="46"/>
        <v>25</v>
      </c>
      <c r="AW111" s="134">
        <v>0</v>
      </c>
      <c r="AX111" s="134"/>
      <c r="AY111" s="262">
        <f t="shared" si="47"/>
        <v>0</v>
      </c>
      <c r="AZ111" s="262">
        <f t="shared" si="48"/>
        <v>25</v>
      </c>
      <c r="BA111" s="38">
        <f t="shared" si="49"/>
        <v>0.25</v>
      </c>
      <c r="BB111" s="105">
        <v>0</v>
      </c>
      <c r="BC111" s="105">
        <v>0</v>
      </c>
      <c r="BD111" s="105">
        <v>0</v>
      </c>
      <c r="BE111" s="262">
        <f t="shared" si="50"/>
        <v>0</v>
      </c>
      <c r="BF111" s="262">
        <f t="shared" si="51"/>
        <v>50</v>
      </c>
      <c r="BG111" s="38">
        <f t="shared" si="52"/>
        <v>0.5</v>
      </c>
      <c r="BH111" s="255">
        <f t="shared" si="53"/>
        <v>6771370</v>
      </c>
      <c r="BI111" s="256">
        <f t="shared" si="54"/>
        <v>2.8143190831957328</v>
      </c>
      <c r="BJ111" s="256">
        <f t="shared" si="55"/>
        <v>46.107393123967995</v>
      </c>
      <c r="BK111" s="55">
        <f t="shared" si="56"/>
        <v>0.92214786247935987</v>
      </c>
      <c r="BL111" s="137">
        <f t="shared" si="57"/>
        <v>6.5263419336798494</v>
      </c>
    </row>
    <row r="112" spans="1:64" x14ac:dyDescent="0.6">
      <c r="A112" s="214" t="s">
        <v>681</v>
      </c>
      <c r="B112" s="13" t="s">
        <v>2091</v>
      </c>
      <c r="C112" s="219" t="s">
        <v>321</v>
      </c>
      <c r="D112" s="216" t="s">
        <v>202</v>
      </c>
      <c r="E112" s="217" t="s">
        <v>161</v>
      </c>
      <c r="F112" s="217" t="s">
        <v>158</v>
      </c>
      <c r="G112" s="218">
        <v>35277</v>
      </c>
      <c r="H112" s="217" t="s">
        <v>830</v>
      </c>
      <c r="I112" s="217" t="s">
        <v>77</v>
      </c>
      <c r="J112" s="217" t="s">
        <v>958</v>
      </c>
      <c r="K112" s="217" t="s">
        <v>91</v>
      </c>
      <c r="L112" s="220">
        <v>217873583</v>
      </c>
      <c r="M112" s="206">
        <v>87027381</v>
      </c>
      <c r="N112" s="206">
        <v>130846203</v>
      </c>
      <c r="O112" s="206">
        <v>151824315</v>
      </c>
      <c r="P112" s="206">
        <v>7759514</v>
      </c>
      <c r="Q112" s="206">
        <v>12802990</v>
      </c>
      <c r="R112" s="206">
        <v>10828940</v>
      </c>
      <c r="S112" s="105">
        <v>1</v>
      </c>
      <c r="T112" s="254">
        <f t="shared" si="29"/>
        <v>100</v>
      </c>
      <c r="U112" s="107">
        <f t="shared" si="30"/>
        <v>1</v>
      </c>
      <c r="V112" s="45">
        <v>31</v>
      </c>
      <c r="W112" s="45">
        <v>25</v>
      </c>
      <c r="X112" s="255">
        <f t="shared" si="31"/>
        <v>-6</v>
      </c>
      <c r="Y112" s="255">
        <f t="shared" si="32"/>
        <v>-12</v>
      </c>
      <c r="Z112" s="256">
        <f t="shared" si="33"/>
        <v>-600</v>
      </c>
      <c r="AA112" s="257">
        <f t="shared" si="34"/>
        <v>20</v>
      </c>
      <c r="AB112" s="116">
        <f t="shared" si="35"/>
        <v>0.2</v>
      </c>
      <c r="AC112" s="123">
        <v>197</v>
      </c>
      <c r="AD112" s="123">
        <v>185</v>
      </c>
      <c r="AE112" s="257">
        <f t="shared" si="36"/>
        <v>-12</v>
      </c>
      <c r="AF112" s="258">
        <f t="shared" si="37"/>
        <v>-6.091370558375635</v>
      </c>
      <c r="AG112" s="257">
        <f t="shared" si="38"/>
        <v>20</v>
      </c>
      <c r="AH112" s="124">
        <f t="shared" si="39"/>
        <v>0.8</v>
      </c>
      <c r="AI112" s="105">
        <v>0</v>
      </c>
      <c r="AJ112" s="105">
        <v>0</v>
      </c>
      <c r="AK112" s="105">
        <v>0</v>
      </c>
      <c r="AL112" s="105">
        <v>0</v>
      </c>
      <c r="AM112" s="260">
        <f t="shared" si="40"/>
        <v>0</v>
      </c>
      <c r="AN112" s="260">
        <f t="shared" si="41"/>
        <v>20</v>
      </c>
      <c r="AO112" s="130">
        <f t="shared" si="42"/>
        <v>0.2</v>
      </c>
      <c r="AP112" s="440">
        <v>0</v>
      </c>
      <c r="AQ112" s="261">
        <f t="shared" si="43"/>
        <v>0</v>
      </c>
      <c r="AR112" s="261">
        <f t="shared" si="44"/>
        <v>25</v>
      </c>
      <c r="AS112" s="107">
        <f t="shared" si="45"/>
        <v>1</v>
      </c>
      <c r="AT112" s="105">
        <v>0</v>
      </c>
      <c r="AU112" s="105">
        <v>1</v>
      </c>
      <c r="AV112" s="262">
        <f t="shared" si="46"/>
        <v>25</v>
      </c>
      <c r="AW112" s="134">
        <v>0</v>
      </c>
      <c r="AX112" s="134"/>
      <c r="AY112" s="262">
        <f t="shared" si="47"/>
        <v>0</v>
      </c>
      <c r="AZ112" s="262">
        <f t="shared" si="48"/>
        <v>25</v>
      </c>
      <c r="BA112" s="38">
        <f t="shared" si="49"/>
        <v>0.25</v>
      </c>
      <c r="BB112" s="105">
        <v>0</v>
      </c>
      <c r="BC112" s="105">
        <v>0</v>
      </c>
      <c r="BD112" s="105">
        <v>0</v>
      </c>
      <c r="BE112" s="262">
        <f t="shared" si="50"/>
        <v>0</v>
      </c>
      <c r="BF112" s="262">
        <f t="shared" si="51"/>
        <v>50</v>
      </c>
      <c r="BG112" s="38">
        <f t="shared" si="52"/>
        <v>0.5</v>
      </c>
      <c r="BH112" s="255">
        <f t="shared" si="53"/>
        <v>1974050</v>
      </c>
      <c r="BI112" s="256">
        <f t="shared" si="54"/>
        <v>1.3002199285404317</v>
      </c>
      <c r="BJ112" s="256">
        <f t="shared" si="55"/>
        <v>34.751649464053237</v>
      </c>
      <c r="BK112" s="55">
        <f t="shared" si="56"/>
        <v>0.69503298928106472</v>
      </c>
      <c r="BL112" s="137">
        <f t="shared" si="57"/>
        <v>4.6450329892810647</v>
      </c>
    </row>
    <row r="113" spans="1:64" x14ac:dyDescent="0.6">
      <c r="A113" s="214" t="s">
        <v>898</v>
      </c>
      <c r="B113" s="13" t="s">
        <v>2092</v>
      </c>
      <c r="C113" s="219" t="s">
        <v>342</v>
      </c>
      <c r="D113" s="216" t="s">
        <v>202</v>
      </c>
      <c r="E113" s="217" t="s">
        <v>572</v>
      </c>
      <c r="F113" s="217" t="s">
        <v>557</v>
      </c>
      <c r="G113" s="218">
        <v>42019</v>
      </c>
      <c r="H113" s="217" t="s">
        <v>830</v>
      </c>
      <c r="I113" s="217" t="s">
        <v>745</v>
      </c>
      <c r="J113" s="217" t="s">
        <v>1049</v>
      </c>
      <c r="K113" s="217" t="s">
        <v>50</v>
      </c>
      <c r="L113" s="220">
        <v>254037930</v>
      </c>
      <c r="M113" s="206">
        <v>46334209</v>
      </c>
      <c r="N113" s="206">
        <v>207703722</v>
      </c>
      <c r="O113" s="206">
        <v>296998154</v>
      </c>
      <c r="P113" s="206">
        <v>11495556</v>
      </c>
      <c r="Q113" s="206">
        <v>30484094</v>
      </c>
      <c r="R113" s="206">
        <v>29253768</v>
      </c>
      <c r="S113" s="105">
        <v>0</v>
      </c>
      <c r="T113" s="254">
        <f t="shared" si="29"/>
        <v>0</v>
      </c>
      <c r="U113" s="107">
        <f t="shared" si="30"/>
        <v>0</v>
      </c>
      <c r="V113" s="45">
        <v>12</v>
      </c>
      <c r="W113" s="45">
        <v>12</v>
      </c>
      <c r="X113" s="255">
        <f t="shared" si="31"/>
        <v>0</v>
      </c>
      <c r="Y113" s="255">
        <f t="shared" si="32"/>
        <v>-3</v>
      </c>
      <c r="Z113" s="256">
        <f t="shared" si="33"/>
        <v>0</v>
      </c>
      <c r="AA113" s="257">
        <f t="shared" si="34"/>
        <v>20</v>
      </c>
      <c r="AB113" s="116">
        <f t="shared" si="35"/>
        <v>0.2</v>
      </c>
      <c r="AC113" s="123">
        <v>368</v>
      </c>
      <c r="AD113" s="123">
        <v>365</v>
      </c>
      <c r="AE113" s="257">
        <f t="shared" si="36"/>
        <v>-3</v>
      </c>
      <c r="AF113" s="258">
        <f t="shared" si="37"/>
        <v>-0.81521739130434778</v>
      </c>
      <c r="AG113" s="257">
        <f t="shared" si="38"/>
        <v>20</v>
      </c>
      <c r="AH113" s="124">
        <f t="shared" si="39"/>
        <v>0.8</v>
      </c>
      <c r="AI113" s="105">
        <v>0</v>
      </c>
      <c r="AJ113" s="105">
        <v>0</v>
      </c>
      <c r="AK113" s="105">
        <v>0</v>
      </c>
      <c r="AL113" s="105">
        <v>0</v>
      </c>
      <c r="AM113" s="260">
        <f t="shared" si="40"/>
        <v>0</v>
      </c>
      <c r="AN113" s="260">
        <f t="shared" si="41"/>
        <v>20</v>
      </c>
      <c r="AO113" s="130">
        <f t="shared" si="42"/>
        <v>0.2</v>
      </c>
      <c r="AP113" s="106">
        <v>180000</v>
      </c>
      <c r="AQ113" s="261">
        <f t="shared" si="43"/>
        <v>0.61530535143370246</v>
      </c>
      <c r="AR113" s="261">
        <f t="shared" si="44"/>
        <v>34.22958027150554</v>
      </c>
      <c r="AS113" s="107">
        <f t="shared" si="45"/>
        <v>1.3691832108602215</v>
      </c>
      <c r="AT113" s="105">
        <v>0</v>
      </c>
      <c r="AU113" s="105">
        <v>1</v>
      </c>
      <c r="AV113" s="262">
        <f t="shared" si="46"/>
        <v>25</v>
      </c>
      <c r="AW113" s="134">
        <v>0</v>
      </c>
      <c r="AX113" s="134"/>
      <c r="AY113" s="262">
        <f t="shared" si="47"/>
        <v>0</v>
      </c>
      <c r="AZ113" s="262">
        <f t="shared" si="48"/>
        <v>25</v>
      </c>
      <c r="BA113" s="38">
        <f t="shared" si="49"/>
        <v>0.25</v>
      </c>
      <c r="BB113" s="105">
        <v>0</v>
      </c>
      <c r="BC113" s="105">
        <v>0</v>
      </c>
      <c r="BD113" s="105">
        <v>0</v>
      </c>
      <c r="BE113" s="262">
        <f t="shared" si="50"/>
        <v>0</v>
      </c>
      <c r="BF113" s="262">
        <f t="shared" si="51"/>
        <v>50</v>
      </c>
      <c r="BG113" s="38">
        <f t="shared" si="52"/>
        <v>0.5</v>
      </c>
      <c r="BH113" s="255">
        <f t="shared" si="53"/>
        <v>1230326</v>
      </c>
      <c r="BI113" s="256">
        <f t="shared" si="54"/>
        <v>0.41425375324049996</v>
      </c>
      <c r="BJ113" s="256">
        <f t="shared" si="55"/>
        <v>28.106903149303751</v>
      </c>
      <c r="BK113" s="55">
        <f t="shared" si="56"/>
        <v>0.56213806298607505</v>
      </c>
      <c r="BL113" s="137">
        <f t="shared" si="57"/>
        <v>3.8813212738462965</v>
      </c>
    </row>
    <row r="114" spans="1:64" x14ac:dyDescent="0.6">
      <c r="A114" s="214" t="s">
        <v>1642</v>
      </c>
      <c r="B114" s="13" t="s">
        <v>2093</v>
      </c>
      <c r="C114" s="219" t="s">
        <v>1643</v>
      </c>
      <c r="D114" s="14" t="s">
        <v>285</v>
      </c>
      <c r="E114" s="217" t="s">
        <v>185</v>
      </c>
      <c r="F114" s="217" t="s">
        <v>1644</v>
      </c>
      <c r="G114" s="218">
        <v>44427</v>
      </c>
      <c r="H114" s="217" t="s">
        <v>830</v>
      </c>
      <c r="I114" s="217" t="s">
        <v>1645</v>
      </c>
      <c r="J114" s="1" t="s">
        <v>3699</v>
      </c>
      <c r="K114" s="217" t="s">
        <v>690</v>
      </c>
      <c r="L114" s="220">
        <v>6047349340</v>
      </c>
      <c r="M114" s="206">
        <v>4946497236</v>
      </c>
      <c r="N114" s="206">
        <v>1100852104</v>
      </c>
      <c r="O114" s="206">
        <v>2522065710</v>
      </c>
      <c r="P114" s="206">
        <v>286357383</v>
      </c>
      <c r="Q114" s="206">
        <v>120975036</v>
      </c>
      <c r="R114" s="206">
        <v>78010954</v>
      </c>
      <c r="S114" s="105">
        <v>1</v>
      </c>
      <c r="T114" s="254">
        <f t="shared" si="29"/>
        <v>100</v>
      </c>
      <c r="U114" s="107">
        <f t="shared" si="30"/>
        <v>1</v>
      </c>
      <c r="V114" s="45">
        <f>246+16</f>
        <v>262</v>
      </c>
      <c r="W114" s="45">
        <f>273+24</f>
        <v>297</v>
      </c>
      <c r="X114" s="255">
        <f t="shared" si="31"/>
        <v>35</v>
      </c>
      <c r="Y114" s="255">
        <f t="shared" si="32"/>
        <v>91</v>
      </c>
      <c r="Z114" s="256">
        <f t="shared" si="33"/>
        <v>38.461538461538467</v>
      </c>
      <c r="AA114" s="257">
        <f t="shared" si="34"/>
        <v>80</v>
      </c>
      <c r="AB114" s="116">
        <f t="shared" si="35"/>
        <v>0.8</v>
      </c>
      <c r="AC114" s="123">
        <v>860</v>
      </c>
      <c r="AD114" s="123">
        <v>951</v>
      </c>
      <c r="AE114" s="257">
        <f t="shared" si="36"/>
        <v>91</v>
      </c>
      <c r="AF114" s="258">
        <f t="shared" si="37"/>
        <v>10.58139534883721</v>
      </c>
      <c r="AG114" s="257">
        <f t="shared" si="38"/>
        <v>100</v>
      </c>
      <c r="AH114" s="124">
        <f t="shared" si="39"/>
        <v>4</v>
      </c>
      <c r="AI114" s="105">
        <v>0</v>
      </c>
      <c r="AJ114" s="105">
        <v>0</v>
      </c>
      <c r="AK114" s="105">
        <v>0</v>
      </c>
      <c r="AL114" s="105">
        <v>0</v>
      </c>
      <c r="AM114" s="260">
        <f t="shared" si="40"/>
        <v>0</v>
      </c>
      <c r="AN114" s="260">
        <f t="shared" si="41"/>
        <v>20</v>
      </c>
      <c r="AO114" s="130">
        <f t="shared" si="42"/>
        <v>0.2</v>
      </c>
      <c r="AP114" s="106">
        <v>1319355</v>
      </c>
      <c r="AQ114" s="261">
        <f t="shared" si="43"/>
        <v>1.6912432579660543</v>
      </c>
      <c r="AR114" s="261">
        <f t="shared" si="44"/>
        <v>50.368648869490812</v>
      </c>
      <c r="AS114" s="107">
        <f t="shared" si="45"/>
        <v>2.0147459547796327</v>
      </c>
      <c r="AT114" s="105">
        <v>1</v>
      </c>
      <c r="AU114" s="105">
        <v>1</v>
      </c>
      <c r="AV114" s="262">
        <f t="shared" si="46"/>
        <v>50</v>
      </c>
      <c r="AW114" s="134">
        <v>7</v>
      </c>
      <c r="AX114" s="447" t="s">
        <v>3700</v>
      </c>
      <c r="AY114" s="262">
        <f t="shared" si="47"/>
        <v>50</v>
      </c>
      <c r="AZ114" s="262">
        <f t="shared" si="48"/>
        <v>100</v>
      </c>
      <c r="BA114" s="38">
        <f t="shared" si="49"/>
        <v>1</v>
      </c>
      <c r="BB114" s="105">
        <v>0</v>
      </c>
      <c r="BC114" s="105">
        <v>0</v>
      </c>
      <c r="BD114" s="105">
        <v>0</v>
      </c>
      <c r="BE114" s="262">
        <f t="shared" si="50"/>
        <v>0</v>
      </c>
      <c r="BF114" s="262">
        <f t="shared" si="51"/>
        <v>50</v>
      </c>
      <c r="BG114" s="38">
        <f t="shared" si="52"/>
        <v>0.5</v>
      </c>
      <c r="BH114" s="255">
        <f t="shared" si="53"/>
        <v>42964082</v>
      </c>
      <c r="BI114" s="256">
        <f t="shared" si="54"/>
        <v>1.7035274628114268</v>
      </c>
      <c r="BJ114" s="256">
        <f t="shared" si="55"/>
        <v>37.776455971085696</v>
      </c>
      <c r="BK114" s="55">
        <f t="shared" si="56"/>
        <v>0.75552911942171397</v>
      </c>
      <c r="BL114" s="137">
        <f t="shared" si="57"/>
        <v>10.270275074201347</v>
      </c>
    </row>
    <row r="115" spans="1:64" x14ac:dyDescent="0.6">
      <c r="A115" s="214" t="s">
        <v>1647</v>
      </c>
      <c r="B115" s="13" t="s">
        <v>2094</v>
      </c>
      <c r="C115" s="219" t="s">
        <v>303</v>
      </c>
      <c r="D115" s="216" t="s">
        <v>202</v>
      </c>
      <c r="E115" s="217" t="s">
        <v>205</v>
      </c>
      <c r="F115" s="217" t="s">
        <v>136</v>
      </c>
      <c r="G115" s="218">
        <v>40606</v>
      </c>
      <c r="H115" s="217" t="s">
        <v>830</v>
      </c>
      <c r="I115" s="217" t="s">
        <v>1648</v>
      </c>
      <c r="J115" s="217" t="s">
        <v>1649</v>
      </c>
      <c r="K115" s="217" t="s">
        <v>320</v>
      </c>
      <c r="L115" s="220">
        <v>835420294</v>
      </c>
      <c r="M115" s="206">
        <v>225524201</v>
      </c>
      <c r="N115" s="206">
        <v>609896093</v>
      </c>
      <c r="O115" s="206">
        <v>312422244</v>
      </c>
      <c r="P115" s="206">
        <v>22539859</v>
      </c>
      <c r="Q115" s="206">
        <v>7001542</v>
      </c>
      <c r="R115" s="206">
        <v>4884512</v>
      </c>
      <c r="S115" s="105">
        <v>1</v>
      </c>
      <c r="T115" s="254">
        <f t="shared" si="29"/>
        <v>100</v>
      </c>
      <c r="U115" s="107">
        <f t="shared" si="30"/>
        <v>1</v>
      </c>
      <c r="V115" s="45">
        <v>22</v>
      </c>
      <c r="W115" s="45">
        <v>25</v>
      </c>
      <c r="X115" s="255">
        <f t="shared" si="31"/>
        <v>3</v>
      </c>
      <c r="Y115" s="255">
        <f t="shared" si="32"/>
        <v>47</v>
      </c>
      <c r="Z115" s="256">
        <f t="shared" si="33"/>
        <v>6.3829787234042552</v>
      </c>
      <c r="AA115" s="257">
        <f t="shared" si="34"/>
        <v>20</v>
      </c>
      <c r="AB115" s="116">
        <f t="shared" si="35"/>
        <v>0.2</v>
      </c>
      <c r="AC115" s="123">
        <v>474</v>
      </c>
      <c r="AD115" s="123">
        <v>521</v>
      </c>
      <c r="AE115" s="257">
        <f t="shared" si="36"/>
        <v>47</v>
      </c>
      <c r="AF115" s="258">
        <f t="shared" si="37"/>
        <v>9.9156118143459917</v>
      </c>
      <c r="AG115" s="257">
        <f t="shared" si="38"/>
        <v>100</v>
      </c>
      <c r="AH115" s="124">
        <f t="shared" si="39"/>
        <v>4</v>
      </c>
      <c r="AI115" s="105">
        <v>0</v>
      </c>
      <c r="AJ115" s="105">
        <v>0</v>
      </c>
      <c r="AK115" s="105">
        <v>0</v>
      </c>
      <c r="AL115" s="105">
        <v>0</v>
      </c>
      <c r="AM115" s="260">
        <f t="shared" si="40"/>
        <v>0</v>
      </c>
      <c r="AN115" s="260">
        <f t="shared" si="41"/>
        <v>20</v>
      </c>
      <c r="AO115" s="130">
        <f t="shared" si="42"/>
        <v>0.2</v>
      </c>
      <c r="AP115" s="106">
        <v>0</v>
      </c>
      <c r="AQ115" s="261">
        <f t="shared" si="43"/>
        <v>0</v>
      </c>
      <c r="AR115" s="261">
        <f t="shared" si="44"/>
        <v>25</v>
      </c>
      <c r="AS115" s="107">
        <f t="shared" si="45"/>
        <v>1</v>
      </c>
      <c r="AT115" s="105">
        <v>0</v>
      </c>
      <c r="AU115" s="105">
        <v>1</v>
      </c>
      <c r="AV115" s="262">
        <f t="shared" si="46"/>
        <v>25</v>
      </c>
      <c r="AW115" s="134">
        <v>0</v>
      </c>
      <c r="AX115" s="134"/>
      <c r="AY115" s="262">
        <f t="shared" si="47"/>
        <v>0</v>
      </c>
      <c r="AZ115" s="262">
        <f t="shared" si="48"/>
        <v>25</v>
      </c>
      <c r="BA115" s="38">
        <f t="shared" si="49"/>
        <v>0.25</v>
      </c>
      <c r="BB115" s="105">
        <v>0</v>
      </c>
      <c r="BC115" s="105">
        <v>0</v>
      </c>
      <c r="BD115" s="105">
        <v>0</v>
      </c>
      <c r="BE115" s="262">
        <f t="shared" si="50"/>
        <v>0</v>
      </c>
      <c r="BF115" s="262">
        <f t="shared" si="51"/>
        <v>50</v>
      </c>
      <c r="BG115" s="38">
        <f t="shared" si="52"/>
        <v>0.5</v>
      </c>
      <c r="BH115" s="255">
        <f t="shared" si="53"/>
        <v>2117030</v>
      </c>
      <c r="BI115" s="256">
        <f t="shared" si="54"/>
        <v>0.67761820441952914</v>
      </c>
      <c r="BJ115" s="256">
        <f t="shared" si="55"/>
        <v>30.082136533146468</v>
      </c>
      <c r="BK115" s="55">
        <f t="shared" si="56"/>
        <v>0.60164273066292939</v>
      </c>
      <c r="BL115" s="137">
        <f t="shared" si="57"/>
        <v>7.7516427306629296</v>
      </c>
    </row>
    <row r="116" spans="1:64" x14ac:dyDescent="0.6">
      <c r="A116" s="214" t="s">
        <v>1650</v>
      </c>
      <c r="B116" s="13" t="s">
        <v>2095</v>
      </c>
      <c r="C116" s="219" t="s">
        <v>375</v>
      </c>
      <c r="D116" s="216" t="s">
        <v>191</v>
      </c>
      <c r="E116" s="217" t="s">
        <v>178</v>
      </c>
      <c r="F116" s="217" t="s">
        <v>635</v>
      </c>
      <c r="G116" s="218">
        <v>43038</v>
      </c>
      <c r="H116" s="217" t="s">
        <v>830</v>
      </c>
      <c r="I116" s="217" t="s">
        <v>1651</v>
      </c>
      <c r="J116" s="217" t="s">
        <v>1652</v>
      </c>
      <c r="K116" s="217" t="s">
        <v>91</v>
      </c>
      <c r="L116" s="220">
        <v>3758489001</v>
      </c>
      <c r="M116" s="206">
        <v>1736640152</v>
      </c>
      <c r="N116" s="206">
        <v>2021848848</v>
      </c>
      <c r="O116" s="206">
        <v>2443855289</v>
      </c>
      <c r="P116" s="206">
        <v>80897560</v>
      </c>
      <c r="Q116" s="206">
        <v>19509459</v>
      </c>
      <c r="R116" s="206">
        <v>18708119</v>
      </c>
      <c r="S116" s="105">
        <v>1</v>
      </c>
      <c r="T116" s="254">
        <f t="shared" si="29"/>
        <v>100</v>
      </c>
      <c r="U116" s="107">
        <f t="shared" si="30"/>
        <v>1</v>
      </c>
      <c r="V116" s="45">
        <v>1406</v>
      </c>
      <c r="W116" s="45">
        <f>103+832+854</f>
        <v>1789</v>
      </c>
      <c r="X116" s="255">
        <f t="shared" si="31"/>
        <v>383</v>
      </c>
      <c r="Y116" s="255">
        <f t="shared" si="32"/>
        <v>1679</v>
      </c>
      <c r="Z116" s="256">
        <f t="shared" si="33"/>
        <v>22.81119714115545</v>
      </c>
      <c r="AA116" s="257">
        <f t="shared" si="34"/>
        <v>60</v>
      </c>
      <c r="AB116" s="116">
        <f t="shared" si="35"/>
        <v>0.6</v>
      </c>
      <c r="AC116" s="123">
        <v>4024</v>
      </c>
      <c r="AD116" s="123">
        <v>5703</v>
      </c>
      <c r="AE116" s="257">
        <f t="shared" si="36"/>
        <v>1679</v>
      </c>
      <c r="AF116" s="258">
        <f t="shared" si="37"/>
        <v>41.72465208747515</v>
      </c>
      <c r="AG116" s="257">
        <f t="shared" si="38"/>
        <v>100</v>
      </c>
      <c r="AH116" s="124">
        <f t="shared" si="39"/>
        <v>4</v>
      </c>
      <c r="AI116" s="105">
        <v>0</v>
      </c>
      <c r="AJ116" s="105">
        <v>0</v>
      </c>
      <c r="AK116" s="105">
        <v>0</v>
      </c>
      <c r="AL116" s="105">
        <v>0</v>
      </c>
      <c r="AM116" s="260">
        <f t="shared" si="40"/>
        <v>0</v>
      </c>
      <c r="AN116" s="260">
        <f t="shared" si="41"/>
        <v>20</v>
      </c>
      <c r="AO116" s="130">
        <f t="shared" si="42"/>
        <v>0.2</v>
      </c>
      <c r="AP116" s="106">
        <v>8090000</v>
      </c>
      <c r="AQ116" s="261">
        <f t="shared" si="43"/>
        <v>43.243257112059212</v>
      </c>
      <c r="AR116" s="261">
        <f t="shared" si="44"/>
        <v>100</v>
      </c>
      <c r="AS116" s="107">
        <f t="shared" si="45"/>
        <v>4</v>
      </c>
      <c r="AT116" s="105">
        <v>0</v>
      </c>
      <c r="AU116" s="105">
        <v>1</v>
      </c>
      <c r="AV116" s="262">
        <f t="shared" si="46"/>
        <v>25</v>
      </c>
      <c r="AW116" s="134">
        <v>3</v>
      </c>
      <c r="AX116" s="134" t="s">
        <v>3580</v>
      </c>
      <c r="AY116" s="262">
        <f t="shared" si="47"/>
        <v>50</v>
      </c>
      <c r="AZ116" s="262">
        <f t="shared" si="48"/>
        <v>75</v>
      </c>
      <c r="BA116" s="38">
        <f t="shared" si="49"/>
        <v>0.75</v>
      </c>
      <c r="BB116" s="105">
        <v>0</v>
      </c>
      <c r="BC116" s="105">
        <v>0</v>
      </c>
      <c r="BD116" s="105">
        <v>0</v>
      </c>
      <c r="BE116" s="262">
        <f t="shared" si="50"/>
        <v>0</v>
      </c>
      <c r="BF116" s="262">
        <f t="shared" si="51"/>
        <v>50</v>
      </c>
      <c r="BG116" s="38">
        <f t="shared" si="52"/>
        <v>0.5</v>
      </c>
      <c r="BH116" s="255">
        <f t="shared" si="53"/>
        <v>801340</v>
      </c>
      <c r="BI116" s="256">
        <f t="shared" si="54"/>
        <v>3.2789993892310208E-2</v>
      </c>
      <c r="BJ116" s="256">
        <f t="shared" si="55"/>
        <v>25.245924954192326</v>
      </c>
      <c r="BK116" s="55">
        <f t="shared" si="56"/>
        <v>0.50491849908384656</v>
      </c>
      <c r="BL116" s="137">
        <f t="shared" si="57"/>
        <v>11.554918499083847</v>
      </c>
    </row>
    <row r="117" spans="1:64" x14ac:dyDescent="0.6">
      <c r="A117" s="214" t="s">
        <v>511</v>
      </c>
      <c r="B117" s="13" t="s">
        <v>2096</v>
      </c>
      <c r="C117" s="219" t="s">
        <v>515</v>
      </c>
      <c r="D117" s="216" t="s">
        <v>203</v>
      </c>
      <c r="E117" s="217" t="s">
        <v>180</v>
      </c>
      <c r="F117" s="217" t="s">
        <v>391</v>
      </c>
      <c r="G117" s="218">
        <v>27865</v>
      </c>
      <c r="H117" s="217" t="s">
        <v>830</v>
      </c>
      <c r="I117" s="217" t="s">
        <v>742</v>
      </c>
      <c r="J117" s="217" t="s">
        <v>671</v>
      </c>
      <c r="K117" s="217" t="s">
        <v>407</v>
      </c>
      <c r="L117" s="220">
        <v>2511638063</v>
      </c>
      <c r="M117" s="206">
        <v>407361084</v>
      </c>
      <c r="N117" s="206">
        <v>2104276979</v>
      </c>
      <c r="O117" s="206">
        <v>2461065167</v>
      </c>
      <c r="P117" s="206">
        <v>406388582</v>
      </c>
      <c r="Q117" s="206">
        <v>513833216</v>
      </c>
      <c r="R117" s="206">
        <v>386538587</v>
      </c>
      <c r="S117" s="105">
        <v>1</v>
      </c>
      <c r="T117" s="254">
        <f t="shared" si="29"/>
        <v>100</v>
      </c>
      <c r="U117" s="107">
        <f t="shared" si="30"/>
        <v>1</v>
      </c>
      <c r="V117" s="45">
        <v>91</v>
      </c>
      <c r="W117" s="45">
        <v>117</v>
      </c>
      <c r="X117" s="255">
        <f t="shared" si="31"/>
        <v>26</v>
      </c>
      <c r="Y117" s="255">
        <f t="shared" si="32"/>
        <v>62</v>
      </c>
      <c r="Z117" s="256">
        <f t="shared" si="33"/>
        <v>41.935483870967744</v>
      </c>
      <c r="AA117" s="257">
        <f t="shared" si="34"/>
        <v>100</v>
      </c>
      <c r="AB117" s="116">
        <f t="shared" si="35"/>
        <v>1</v>
      </c>
      <c r="AC117" s="123">
        <v>846</v>
      </c>
      <c r="AD117" s="123">
        <v>908</v>
      </c>
      <c r="AE117" s="257">
        <f t="shared" si="36"/>
        <v>62</v>
      </c>
      <c r="AF117" s="258">
        <f t="shared" si="37"/>
        <v>7.328605200945626</v>
      </c>
      <c r="AG117" s="257">
        <f t="shared" si="38"/>
        <v>100</v>
      </c>
      <c r="AH117" s="124">
        <f t="shared" si="39"/>
        <v>4</v>
      </c>
      <c r="AI117" s="105">
        <v>0</v>
      </c>
      <c r="AJ117" s="105">
        <v>0</v>
      </c>
      <c r="AK117" s="105">
        <v>0</v>
      </c>
      <c r="AL117" s="105">
        <v>0</v>
      </c>
      <c r="AM117" s="260">
        <f t="shared" si="40"/>
        <v>0</v>
      </c>
      <c r="AN117" s="260">
        <f t="shared" si="41"/>
        <v>20</v>
      </c>
      <c r="AO117" s="130">
        <f t="shared" si="42"/>
        <v>0.2</v>
      </c>
      <c r="AP117" s="106">
        <v>4864518</v>
      </c>
      <c r="AQ117" s="261">
        <f t="shared" si="43"/>
        <v>1.2584818601823056</v>
      </c>
      <c r="AR117" s="261">
        <f t="shared" si="44"/>
        <v>43.877227902734582</v>
      </c>
      <c r="AS117" s="107">
        <f t="shared" si="45"/>
        <v>1.7550891161093833</v>
      </c>
      <c r="AT117" s="105">
        <v>0</v>
      </c>
      <c r="AU117" s="105">
        <v>1</v>
      </c>
      <c r="AV117" s="262">
        <f t="shared" si="46"/>
        <v>25</v>
      </c>
      <c r="AW117" s="134">
        <v>3</v>
      </c>
      <c r="AX117" s="134" t="s">
        <v>3579</v>
      </c>
      <c r="AY117" s="262">
        <f t="shared" si="47"/>
        <v>50</v>
      </c>
      <c r="AZ117" s="262">
        <f t="shared" si="48"/>
        <v>75</v>
      </c>
      <c r="BA117" s="38">
        <f t="shared" si="49"/>
        <v>0.75</v>
      </c>
      <c r="BB117" s="105">
        <v>1</v>
      </c>
      <c r="BC117" s="105">
        <v>0</v>
      </c>
      <c r="BD117" s="105">
        <v>1</v>
      </c>
      <c r="BE117" s="262">
        <f t="shared" si="50"/>
        <v>2</v>
      </c>
      <c r="BF117" s="262">
        <f t="shared" si="51"/>
        <v>100</v>
      </c>
      <c r="BG117" s="38">
        <f t="shared" si="52"/>
        <v>1</v>
      </c>
      <c r="BH117" s="255">
        <f t="shared" si="53"/>
        <v>127294629</v>
      </c>
      <c r="BI117" s="256">
        <f t="shared" si="54"/>
        <v>5.172338819258905</v>
      </c>
      <c r="BJ117" s="256">
        <f t="shared" si="55"/>
        <v>63.792541144441785</v>
      </c>
      <c r="BK117" s="55">
        <f t="shared" si="56"/>
        <v>1.2758508228888357</v>
      </c>
      <c r="BL117" s="137">
        <f t="shared" si="57"/>
        <v>10.980939938998221</v>
      </c>
    </row>
    <row r="118" spans="1:64" x14ac:dyDescent="0.6">
      <c r="A118" s="214" t="s">
        <v>15</v>
      </c>
      <c r="B118" s="13" t="s">
        <v>2097</v>
      </c>
      <c r="C118" s="219" t="s">
        <v>71</v>
      </c>
      <c r="D118" s="216" t="s">
        <v>203</v>
      </c>
      <c r="E118" s="217" t="s">
        <v>195</v>
      </c>
      <c r="F118" s="217" t="s">
        <v>1162</v>
      </c>
      <c r="G118" s="218">
        <v>28294</v>
      </c>
      <c r="H118" s="217" t="s">
        <v>755</v>
      </c>
      <c r="I118" s="217" t="s">
        <v>765</v>
      </c>
      <c r="J118" s="217" t="s">
        <v>1159</v>
      </c>
      <c r="K118" s="217" t="s">
        <v>484</v>
      </c>
      <c r="L118" s="220">
        <v>257003015</v>
      </c>
      <c r="M118" s="206">
        <v>25657000</v>
      </c>
      <c r="N118" s="206">
        <v>231346015</v>
      </c>
      <c r="O118" s="206">
        <v>253705017</v>
      </c>
      <c r="P118" s="206">
        <v>209474</v>
      </c>
      <c r="Q118" s="206">
        <v>8220332</v>
      </c>
      <c r="R118" s="206">
        <v>6363937</v>
      </c>
      <c r="S118" s="105">
        <v>1</v>
      </c>
      <c r="T118" s="254">
        <f t="shared" si="29"/>
        <v>100</v>
      </c>
      <c r="U118" s="107">
        <f t="shared" si="30"/>
        <v>1</v>
      </c>
      <c r="V118" s="45">
        <v>11</v>
      </c>
      <c r="W118" s="45">
        <v>11</v>
      </c>
      <c r="X118" s="255">
        <f t="shared" si="31"/>
        <v>0</v>
      </c>
      <c r="Y118" s="255">
        <f t="shared" si="32"/>
        <v>0</v>
      </c>
      <c r="Z118" s="256">
        <f t="shared" si="33"/>
        <v>0</v>
      </c>
      <c r="AA118" s="257">
        <f t="shared" si="34"/>
        <v>20</v>
      </c>
      <c r="AB118" s="116">
        <f t="shared" si="35"/>
        <v>0.2</v>
      </c>
      <c r="AC118" s="123">
        <v>165</v>
      </c>
      <c r="AD118" s="123">
        <v>165</v>
      </c>
      <c r="AE118" s="257">
        <f t="shared" si="36"/>
        <v>0</v>
      </c>
      <c r="AF118" s="258">
        <f t="shared" si="37"/>
        <v>0</v>
      </c>
      <c r="AG118" s="257">
        <f t="shared" si="38"/>
        <v>40</v>
      </c>
      <c r="AH118" s="124">
        <f t="shared" si="39"/>
        <v>1.6</v>
      </c>
      <c r="AI118" s="105">
        <v>0</v>
      </c>
      <c r="AJ118" s="105">
        <v>0</v>
      </c>
      <c r="AK118" s="105">
        <v>0</v>
      </c>
      <c r="AL118" s="105">
        <v>0</v>
      </c>
      <c r="AM118" s="260">
        <f t="shared" si="40"/>
        <v>0</v>
      </c>
      <c r="AN118" s="260">
        <f t="shared" si="41"/>
        <v>20</v>
      </c>
      <c r="AO118" s="130">
        <f t="shared" si="42"/>
        <v>0.2</v>
      </c>
      <c r="AP118" s="106">
        <v>1200</v>
      </c>
      <c r="AQ118" s="261">
        <f t="shared" si="43"/>
        <v>1.8856252033921769E-2</v>
      </c>
      <c r="AR118" s="261">
        <f t="shared" si="44"/>
        <v>25.282843780508827</v>
      </c>
      <c r="AS118" s="107">
        <f t="shared" si="45"/>
        <v>1.0113137512203532</v>
      </c>
      <c r="AT118" s="105">
        <v>0</v>
      </c>
      <c r="AU118" s="105">
        <v>1</v>
      </c>
      <c r="AV118" s="262">
        <f t="shared" si="46"/>
        <v>25</v>
      </c>
      <c r="AW118" s="134">
        <v>0</v>
      </c>
      <c r="AX118" s="134"/>
      <c r="AY118" s="262">
        <f t="shared" si="47"/>
        <v>0</v>
      </c>
      <c r="AZ118" s="262">
        <f t="shared" si="48"/>
        <v>25</v>
      </c>
      <c r="BA118" s="38">
        <f t="shared" si="49"/>
        <v>0.25</v>
      </c>
      <c r="BB118" s="105">
        <v>0</v>
      </c>
      <c r="BC118" s="105">
        <v>0</v>
      </c>
      <c r="BD118" s="105">
        <v>0</v>
      </c>
      <c r="BE118" s="262">
        <f t="shared" si="50"/>
        <v>0</v>
      </c>
      <c r="BF118" s="262">
        <f t="shared" si="51"/>
        <v>50</v>
      </c>
      <c r="BG118" s="38">
        <f t="shared" si="52"/>
        <v>0.5</v>
      </c>
      <c r="BH118" s="255">
        <f t="shared" si="53"/>
        <v>1856395</v>
      </c>
      <c r="BI118" s="256">
        <f t="shared" si="54"/>
        <v>0.73171394951168822</v>
      </c>
      <c r="BJ118" s="256">
        <f t="shared" si="55"/>
        <v>30.487854621337661</v>
      </c>
      <c r="BK118" s="55">
        <f t="shared" si="56"/>
        <v>0.60975709242675324</v>
      </c>
      <c r="BL118" s="137">
        <f t="shared" si="57"/>
        <v>5.3710708436471064</v>
      </c>
    </row>
    <row r="119" spans="1:64" x14ac:dyDescent="0.6">
      <c r="A119" s="214" t="s">
        <v>753</v>
      </c>
      <c r="B119" s="13" t="s">
        <v>2098</v>
      </c>
      <c r="C119" s="219" t="s">
        <v>430</v>
      </c>
      <c r="D119" s="216" t="s">
        <v>202</v>
      </c>
      <c r="E119" s="217" t="s">
        <v>954</v>
      </c>
      <c r="F119" s="217" t="s">
        <v>647</v>
      </c>
      <c r="G119" s="218">
        <v>34348</v>
      </c>
      <c r="H119" s="217" t="s">
        <v>830</v>
      </c>
      <c r="I119" s="217" t="s">
        <v>966</v>
      </c>
      <c r="J119" s="217" t="s">
        <v>1151</v>
      </c>
      <c r="K119" s="217" t="s">
        <v>91</v>
      </c>
      <c r="L119" s="220">
        <v>463199227</v>
      </c>
      <c r="M119" s="206">
        <v>33561119</v>
      </c>
      <c r="N119" s="206">
        <v>429638109</v>
      </c>
      <c r="O119" s="206">
        <v>223860213</v>
      </c>
      <c r="P119" s="206">
        <v>14271412</v>
      </c>
      <c r="Q119" s="206">
        <v>23103260</v>
      </c>
      <c r="R119" s="206">
        <v>17789582</v>
      </c>
      <c r="S119" s="105">
        <v>1</v>
      </c>
      <c r="T119" s="254">
        <f t="shared" si="29"/>
        <v>100</v>
      </c>
      <c r="U119" s="107">
        <f t="shared" si="30"/>
        <v>1</v>
      </c>
      <c r="V119" s="45">
        <v>17</v>
      </c>
      <c r="W119" s="45">
        <v>16</v>
      </c>
      <c r="X119" s="255">
        <f t="shared" si="31"/>
        <v>-1</v>
      </c>
      <c r="Y119" s="255">
        <f t="shared" si="32"/>
        <v>-7</v>
      </c>
      <c r="Z119" s="256">
        <f t="shared" si="33"/>
        <v>-100</v>
      </c>
      <c r="AA119" s="257">
        <f t="shared" si="34"/>
        <v>20</v>
      </c>
      <c r="AB119" s="116">
        <f t="shared" si="35"/>
        <v>0.2</v>
      </c>
      <c r="AC119" s="123">
        <v>277</v>
      </c>
      <c r="AD119" s="123">
        <v>270</v>
      </c>
      <c r="AE119" s="257">
        <f t="shared" si="36"/>
        <v>-7</v>
      </c>
      <c r="AF119" s="258">
        <f t="shared" si="37"/>
        <v>-2.5270758122743682</v>
      </c>
      <c r="AG119" s="257">
        <f t="shared" si="38"/>
        <v>20</v>
      </c>
      <c r="AH119" s="124">
        <f t="shared" si="39"/>
        <v>0.8</v>
      </c>
      <c r="AI119" s="105">
        <v>0</v>
      </c>
      <c r="AJ119" s="105">
        <v>0</v>
      </c>
      <c r="AK119" s="105">
        <v>0</v>
      </c>
      <c r="AL119" s="105">
        <v>0</v>
      </c>
      <c r="AM119" s="260">
        <f t="shared" si="40"/>
        <v>0</v>
      </c>
      <c r="AN119" s="260">
        <f t="shared" si="41"/>
        <v>20</v>
      </c>
      <c r="AO119" s="130">
        <f t="shared" si="42"/>
        <v>0.2</v>
      </c>
      <c r="AP119" s="440">
        <v>0</v>
      </c>
      <c r="AQ119" s="261">
        <f t="shared" si="43"/>
        <v>0</v>
      </c>
      <c r="AR119" s="261">
        <f t="shared" si="44"/>
        <v>25</v>
      </c>
      <c r="AS119" s="107">
        <f t="shared" si="45"/>
        <v>1</v>
      </c>
      <c r="AT119" s="105">
        <v>0</v>
      </c>
      <c r="AU119" s="105">
        <v>1</v>
      </c>
      <c r="AV119" s="262">
        <f t="shared" si="46"/>
        <v>25</v>
      </c>
      <c r="AW119" s="134">
        <v>0</v>
      </c>
      <c r="AX119" s="134"/>
      <c r="AY119" s="262">
        <f t="shared" si="47"/>
        <v>0</v>
      </c>
      <c r="AZ119" s="262">
        <f t="shared" si="48"/>
        <v>25</v>
      </c>
      <c r="BA119" s="38">
        <f t="shared" si="49"/>
        <v>0.25</v>
      </c>
      <c r="BB119" s="105">
        <v>0</v>
      </c>
      <c r="BC119" s="105">
        <v>0</v>
      </c>
      <c r="BD119" s="105">
        <v>0</v>
      </c>
      <c r="BE119" s="262">
        <f t="shared" si="50"/>
        <v>0</v>
      </c>
      <c r="BF119" s="262">
        <f t="shared" si="51"/>
        <v>50</v>
      </c>
      <c r="BG119" s="38">
        <f t="shared" si="52"/>
        <v>0.5</v>
      </c>
      <c r="BH119" s="255">
        <f t="shared" si="53"/>
        <v>5313678</v>
      </c>
      <c r="BI119" s="256">
        <f t="shared" si="54"/>
        <v>2.3736589583250329</v>
      </c>
      <c r="BJ119" s="256">
        <f t="shared" si="55"/>
        <v>42.802442187437748</v>
      </c>
      <c r="BK119" s="55">
        <f t="shared" si="56"/>
        <v>0.85604884374875501</v>
      </c>
      <c r="BL119" s="137">
        <f t="shared" si="57"/>
        <v>4.806048843748755</v>
      </c>
    </row>
    <row r="120" spans="1:64" x14ac:dyDescent="0.6">
      <c r="A120" s="214" t="s">
        <v>1658</v>
      </c>
      <c r="B120" s="13" t="s">
        <v>2099</v>
      </c>
      <c r="C120" s="219" t="s">
        <v>420</v>
      </c>
      <c r="D120" s="216" t="s">
        <v>203</v>
      </c>
      <c r="E120" s="217" t="s">
        <v>195</v>
      </c>
      <c r="F120" s="217" t="s">
        <v>1188</v>
      </c>
      <c r="G120" s="218">
        <v>34643</v>
      </c>
      <c r="H120" s="217" t="s">
        <v>830</v>
      </c>
      <c r="I120" s="217" t="s">
        <v>1515</v>
      </c>
      <c r="J120" s="217" t="s">
        <v>673</v>
      </c>
      <c r="K120" s="217" t="s">
        <v>91</v>
      </c>
      <c r="L120" s="220">
        <v>206906858</v>
      </c>
      <c r="M120" s="206">
        <v>39013430</v>
      </c>
      <c r="N120" s="206">
        <v>167893428</v>
      </c>
      <c r="O120" s="206">
        <v>192206731</v>
      </c>
      <c r="P120" s="206">
        <v>3006102</v>
      </c>
      <c r="Q120" s="206">
        <v>24358747</v>
      </c>
      <c r="R120" s="206">
        <v>26217228</v>
      </c>
      <c r="S120" s="105">
        <v>1</v>
      </c>
      <c r="T120" s="254">
        <f t="shared" si="29"/>
        <v>100</v>
      </c>
      <c r="U120" s="107">
        <f t="shared" si="30"/>
        <v>1</v>
      </c>
      <c r="V120" s="45">
        <v>12</v>
      </c>
      <c r="W120" s="45">
        <v>11</v>
      </c>
      <c r="X120" s="255">
        <f t="shared" si="31"/>
        <v>-1</v>
      </c>
      <c r="Y120" s="255">
        <f t="shared" si="32"/>
        <v>1</v>
      </c>
      <c r="Z120" s="256">
        <f t="shared" si="33"/>
        <v>-100</v>
      </c>
      <c r="AA120" s="257">
        <f t="shared" si="34"/>
        <v>20</v>
      </c>
      <c r="AB120" s="116">
        <f t="shared" si="35"/>
        <v>0.2</v>
      </c>
      <c r="AC120" s="123">
        <v>63</v>
      </c>
      <c r="AD120" s="123">
        <v>64</v>
      </c>
      <c r="AE120" s="257">
        <f t="shared" si="36"/>
        <v>1</v>
      </c>
      <c r="AF120" s="258">
        <f t="shared" si="37"/>
        <v>1.5873015873015872</v>
      </c>
      <c r="AG120" s="257">
        <f t="shared" si="38"/>
        <v>80</v>
      </c>
      <c r="AH120" s="124">
        <f t="shared" si="39"/>
        <v>3.2</v>
      </c>
      <c r="AI120" s="105">
        <v>0</v>
      </c>
      <c r="AJ120" s="105">
        <v>0</v>
      </c>
      <c r="AK120" s="105">
        <v>0</v>
      </c>
      <c r="AL120" s="105">
        <v>0</v>
      </c>
      <c r="AM120" s="260">
        <f t="shared" si="40"/>
        <v>0</v>
      </c>
      <c r="AN120" s="260">
        <f t="shared" si="41"/>
        <v>20</v>
      </c>
      <c r="AO120" s="130">
        <f t="shared" si="42"/>
        <v>0.2</v>
      </c>
      <c r="AP120" s="440">
        <v>0</v>
      </c>
      <c r="AQ120" s="261">
        <f t="shared" si="43"/>
        <v>0</v>
      </c>
      <c r="AR120" s="261">
        <f t="shared" si="44"/>
        <v>25</v>
      </c>
      <c r="AS120" s="107">
        <f t="shared" si="45"/>
        <v>1</v>
      </c>
      <c r="AT120" s="105">
        <v>0</v>
      </c>
      <c r="AU120" s="105">
        <v>1</v>
      </c>
      <c r="AV120" s="262">
        <f t="shared" si="46"/>
        <v>25</v>
      </c>
      <c r="AW120" s="134">
        <v>0</v>
      </c>
      <c r="AX120" s="134"/>
      <c r="AY120" s="262">
        <f t="shared" si="47"/>
        <v>0</v>
      </c>
      <c r="AZ120" s="262">
        <f t="shared" si="48"/>
        <v>25</v>
      </c>
      <c r="BA120" s="38">
        <f t="shared" si="49"/>
        <v>0.25</v>
      </c>
      <c r="BB120" s="105">
        <v>0</v>
      </c>
      <c r="BC120" s="105">
        <v>0</v>
      </c>
      <c r="BD120" s="105">
        <v>0</v>
      </c>
      <c r="BE120" s="262">
        <f t="shared" si="50"/>
        <v>0</v>
      </c>
      <c r="BF120" s="262">
        <f t="shared" si="51"/>
        <v>50</v>
      </c>
      <c r="BG120" s="38">
        <f t="shared" si="52"/>
        <v>0.5</v>
      </c>
      <c r="BH120" s="255">
        <f t="shared" si="53"/>
        <v>-1858481</v>
      </c>
      <c r="BI120" s="256">
        <f t="shared" si="54"/>
        <v>-0.96691775065879459</v>
      </c>
      <c r="BJ120" s="256">
        <f t="shared" si="55"/>
        <v>25</v>
      </c>
      <c r="BK120" s="55">
        <f t="shared" si="56"/>
        <v>0.5</v>
      </c>
      <c r="BL120" s="137">
        <f t="shared" si="57"/>
        <v>6.8500000000000005</v>
      </c>
    </row>
    <row r="121" spans="1:64" x14ac:dyDescent="0.6">
      <c r="A121" s="214" t="s">
        <v>1659</v>
      </c>
      <c r="B121" s="13" t="s">
        <v>2100</v>
      </c>
      <c r="C121" s="219" t="s">
        <v>476</v>
      </c>
      <c r="D121" s="221" t="s">
        <v>481</v>
      </c>
      <c r="E121" s="217" t="s">
        <v>704</v>
      </c>
      <c r="F121" s="217" t="s">
        <v>57</v>
      </c>
      <c r="G121" s="218">
        <v>42193</v>
      </c>
      <c r="H121" s="217" t="s">
        <v>830</v>
      </c>
      <c r="I121" s="217" t="s">
        <v>271</v>
      </c>
      <c r="J121" s="217" t="s">
        <v>1171</v>
      </c>
      <c r="K121" s="217" t="s">
        <v>91</v>
      </c>
      <c r="L121" s="220">
        <v>37208616897</v>
      </c>
      <c r="M121" s="206">
        <v>35852992352</v>
      </c>
      <c r="N121" s="206">
        <v>1355624545</v>
      </c>
      <c r="O121" s="206">
        <v>3209343241</v>
      </c>
      <c r="P121" s="206">
        <v>76354621</v>
      </c>
      <c r="Q121" s="206">
        <v>78489213</v>
      </c>
      <c r="R121" s="206">
        <v>56143790</v>
      </c>
      <c r="S121" s="105">
        <v>0</v>
      </c>
      <c r="T121" s="254">
        <f t="shared" si="29"/>
        <v>0</v>
      </c>
      <c r="U121" s="107">
        <f t="shared" si="30"/>
        <v>0</v>
      </c>
      <c r="V121" s="45">
        <v>446</v>
      </c>
      <c r="W121" s="45">
        <v>397</v>
      </c>
      <c r="X121" s="255">
        <f t="shared" si="31"/>
        <v>-49</v>
      </c>
      <c r="Y121" s="255">
        <f t="shared" si="32"/>
        <v>-85</v>
      </c>
      <c r="Z121" s="256">
        <f t="shared" si="33"/>
        <v>-4900</v>
      </c>
      <c r="AA121" s="257">
        <f t="shared" si="34"/>
        <v>20</v>
      </c>
      <c r="AB121" s="116">
        <f t="shared" si="35"/>
        <v>0.2</v>
      </c>
      <c r="AC121" s="123">
        <v>833</v>
      </c>
      <c r="AD121" s="123">
        <v>748</v>
      </c>
      <c r="AE121" s="257">
        <f t="shared" si="36"/>
        <v>-85</v>
      </c>
      <c r="AF121" s="258">
        <f t="shared" si="37"/>
        <v>-10.204081632653061</v>
      </c>
      <c r="AG121" s="257">
        <f t="shared" si="38"/>
        <v>20</v>
      </c>
      <c r="AH121" s="124">
        <f t="shared" si="39"/>
        <v>0.8</v>
      </c>
      <c r="AI121" s="105">
        <v>0</v>
      </c>
      <c r="AJ121" s="105">
        <v>0</v>
      </c>
      <c r="AK121" s="105">
        <v>0</v>
      </c>
      <c r="AL121" s="105">
        <v>0</v>
      </c>
      <c r="AM121" s="260">
        <f t="shared" si="40"/>
        <v>0</v>
      </c>
      <c r="AN121" s="260">
        <f t="shared" si="41"/>
        <v>20</v>
      </c>
      <c r="AO121" s="130">
        <f t="shared" si="42"/>
        <v>0.2</v>
      </c>
      <c r="AP121" s="106">
        <v>781000</v>
      </c>
      <c r="AQ121" s="261">
        <f t="shared" si="43"/>
        <v>1.3910710338578851</v>
      </c>
      <c r="AR121" s="261">
        <f t="shared" si="44"/>
        <v>45.866065507868278</v>
      </c>
      <c r="AS121" s="107">
        <f t="shared" si="45"/>
        <v>1.8346426203147312</v>
      </c>
      <c r="AT121" s="105">
        <v>0</v>
      </c>
      <c r="AU121" s="105">
        <v>1</v>
      </c>
      <c r="AV121" s="262">
        <f t="shared" si="46"/>
        <v>25</v>
      </c>
      <c r="AW121" s="134">
        <v>9</v>
      </c>
      <c r="AX121" s="134" t="s">
        <v>3581</v>
      </c>
      <c r="AY121" s="262">
        <f t="shared" si="47"/>
        <v>50</v>
      </c>
      <c r="AZ121" s="262">
        <f t="shared" si="48"/>
        <v>75</v>
      </c>
      <c r="BA121" s="38">
        <f t="shared" si="49"/>
        <v>0.75</v>
      </c>
      <c r="BB121" s="105">
        <v>0</v>
      </c>
      <c r="BC121" s="105">
        <v>0</v>
      </c>
      <c r="BD121" s="105">
        <v>0</v>
      </c>
      <c r="BE121" s="262">
        <f t="shared" si="50"/>
        <v>0</v>
      </c>
      <c r="BF121" s="262">
        <f t="shared" si="51"/>
        <v>50</v>
      </c>
      <c r="BG121" s="38">
        <f t="shared" si="52"/>
        <v>0.5</v>
      </c>
      <c r="BH121" s="255">
        <f t="shared" si="53"/>
        <v>22345423</v>
      </c>
      <c r="BI121" s="256">
        <f t="shared" si="54"/>
        <v>0.69626155016804581</v>
      </c>
      <c r="BJ121" s="256">
        <f t="shared" si="55"/>
        <v>30.221961626260345</v>
      </c>
      <c r="BK121" s="55">
        <f t="shared" si="56"/>
        <v>0.60443923252520693</v>
      </c>
      <c r="BL121" s="137">
        <f t="shared" si="57"/>
        <v>4.8890818528399382</v>
      </c>
    </row>
    <row r="122" spans="1:64" x14ac:dyDescent="0.6">
      <c r="A122" s="214" t="s">
        <v>92</v>
      </c>
      <c r="B122" s="13" t="s">
        <v>2101</v>
      </c>
      <c r="C122" s="219" t="s">
        <v>900</v>
      </c>
      <c r="D122" s="221" t="s">
        <v>350</v>
      </c>
      <c r="E122" s="217" t="s">
        <v>179</v>
      </c>
      <c r="F122" s="217" t="s">
        <v>1076</v>
      </c>
      <c r="G122" s="218">
        <v>27667</v>
      </c>
      <c r="H122" s="217" t="s">
        <v>830</v>
      </c>
      <c r="I122" s="217" t="s">
        <v>217</v>
      </c>
      <c r="J122" s="217" t="s">
        <v>289</v>
      </c>
      <c r="K122" s="217" t="s">
        <v>91</v>
      </c>
      <c r="L122" s="220">
        <v>77528737937</v>
      </c>
      <c r="M122" s="206">
        <v>68433158478</v>
      </c>
      <c r="N122" s="206">
        <v>9095579460</v>
      </c>
      <c r="O122" s="206">
        <v>16761431115</v>
      </c>
      <c r="P122" s="206">
        <v>548389982</v>
      </c>
      <c r="Q122" s="206">
        <v>553208432</v>
      </c>
      <c r="R122" s="206">
        <v>397574440</v>
      </c>
      <c r="S122" s="105">
        <v>1</v>
      </c>
      <c r="T122" s="254">
        <f t="shared" si="29"/>
        <v>100</v>
      </c>
      <c r="U122" s="107">
        <f t="shared" si="30"/>
        <v>1</v>
      </c>
      <c r="V122" s="45">
        <v>1527</v>
      </c>
      <c r="W122" s="45">
        <f>712+191+529+3+1</f>
        <v>1436</v>
      </c>
      <c r="X122" s="255">
        <f t="shared" si="31"/>
        <v>-91</v>
      </c>
      <c r="Y122" s="255">
        <f t="shared" si="32"/>
        <v>-215</v>
      </c>
      <c r="Z122" s="256">
        <f t="shared" si="33"/>
        <v>-9100</v>
      </c>
      <c r="AA122" s="257">
        <f t="shared" si="34"/>
        <v>20</v>
      </c>
      <c r="AB122" s="116">
        <f t="shared" si="35"/>
        <v>0.2</v>
      </c>
      <c r="AC122" s="123">
        <v>3091</v>
      </c>
      <c r="AD122" s="123">
        <v>2876</v>
      </c>
      <c r="AE122" s="257">
        <f t="shared" si="36"/>
        <v>-215</v>
      </c>
      <c r="AF122" s="258">
        <f t="shared" si="37"/>
        <v>-6.9556777741831128</v>
      </c>
      <c r="AG122" s="257">
        <f t="shared" si="38"/>
        <v>20</v>
      </c>
      <c r="AH122" s="124">
        <f t="shared" si="39"/>
        <v>0.8</v>
      </c>
      <c r="AI122" s="105">
        <v>0</v>
      </c>
      <c r="AJ122" s="105">
        <v>0</v>
      </c>
      <c r="AK122" s="105">
        <v>0</v>
      </c>
      <c r="AL122" s="105">
        <v>0</v>
      </c>
      <c r="AM122" s="260">
        <f t="shared" si="40"/>
        <v>0</v>
      </c>
      <c r="AN122" s="260">
        <f t="shared" si="41"/>
        <v>20</v>
      </c>
      <c r="AO122" s="130">
        <f t="shared" si="42"/>
        <v>0.2</v>
      </c>
      <c r="AP122" s="106">
        <v>3252000</v>
      </c>
      <c r="AQ122" s="261">
        <f t="shared" si="43"/>
        <v>0.81796002781265309</v>
      </c>
      <c r="AR122" s="261">
        <f t="shared" si="44"/>
        <v>37.2694004171898</v>
      </c>
      <c r="AS122" s="107">
        <f t="shared" si="45"/>
        <v>1.4907760166875921</v>
      </c>
      <c r="AT122" s="105">
        <v>1</v>
      </c>
      <c r="AU122" s="105">
        <v>1</v>
      </c>
      <c r="AV122" s="262">
        <f t="shared" si="46"/>
        <v>50</v>
      </c>
      <c r="AW122" s="134">
        <v>3</v>
      </c>
      <c r="AX122" s="134" t="s">
        <v>3582</v>
      </c>
      <c r="AY122" s="262">
        <f t="shared" si="47"/>
        <v>50</v>
      </c>
      <c r="AZ122" s="262">
        <f t="shared" si="48"/>
        <v>100</v>
      </c>
      <c r="BA122" s="38">
        <f t="shared" si="49"/>
        <v>1</v>
      </c>
      <c r="BB122" s="105">
        <v>0</v>
      </c>
      <c r="BC122" s="105">
        <v>0</v>
      </c>
      <c r="BD122" s="105">
        <v>0</v>
      </c>
      <c r="BE122" s="262">
        <f t="shared" si="50"/>
        <v>0</v>
      </c>
      <c r="BF122" s="262">
        <f t="shared" si="51"/>
        <v>50</v>
      </c>
      <c r="BG122" s="38">
        <f t="shared" si="52"/>
        <v>0.5</v>
      </c>
      <c r="BH122" s="255">
        <f t="shared" si="53"/>
        <v>155633992</v>
      </c>
      <c r="BI122" s="256">
        <f t="shared" si="54"/>
        <v>0.92852448536283583</v>
      </c>
      <c r="BJ122" s="256">
        <f t="shared" si="55"/>
        <v>31.963933640221271</v>
      </c>
      <c r="BK122" s="55">
        <f t="shared" si="56"/>
        <v>0.63927867280442541</v>
      </c>
      <c r="BL122" s="137">
        <f t="shared" si="57"/>
        <v>5.8300546894920178</v>
      </c>
    </row>
    <row r="123" spans="1:64" x14ac:dyDescent="0.6">
      <c r="A123" s="214" t="s">
        <v>339</v>
      </c>
      <c r="B123" s="13" t="s">
        <v>2102</v>
      </c>
      <c r="C123" s="219" t="s">
        <v>461</v>
      </c>
      <c r="D123" s="216" t="s">
        <v>203</v>
      </c>
      <c r="E123" s="217" t="s">
        <v>188</v>
      </c>
      <c r="F123" s="217" t="s">
        <v>652</v>
      </c>
      <c r="G123" s="218">
        <v>32776</v>
      </c>
      <c r="H123" s="217" t="s">
        <v>830</v>
      </c>
      <c r="I123" s="217" t="s">
        <v>1660</v>
      </c>
      <c r="J123" s="217" t="s">
        <v>1052</v>
      </c>
      <c r="K123" s="217" t="s">
        <v>690</v>
      </c>
      <c r="L123" s="220">
        <v>391399991</v>
      </c>
      <c r="M123" s="206">
        <v>70411675</v>
      </c>
      <c r="N123" s="206">
        <v>320988317</v>
      </c>
      <c r="O123" s="206">
        <v>425547908</v>
      </c>
      <c r="P123" s="206">
        <v>77084280</v>
      </c>
      <c r="Q123" s="206">
        <v>83250609</v>
      </c>
      <c r="R123" s="206">
        <v>65769136</v>
      </c>
      <c r="S123" s="105">
        <v>0</v>
      </c>
      <c r="T123" s="254">
        <f t="shared" si="29"/>
        <v>0</v>
      </c>
      <c r="U123" s="107">
        <f t="shared" si="30"/>
        <v>0</v>
      </c>
      <c r="V123" s="45">
        <v>74</v>
      </c>
      <c r="W123" s="45">
        <f>20+32+6+14+8+1+1</f>
        <v>82</v>
      </c>
      <c r="X123" s="255">
        <f t="shared" si="31"/>
        <v>8</v>
      </c>
      <c r="Y123" s="255">
        <f t="shared" si="32"/>
        <v>34</v>
      </c>
      <c r="Z123" s="256">
        <f t="shared" si="33"/>
        <v>23.52941176470588</v>
      </c>
      <c r="AA123" s="257">
        <f t="shared" si="34"/>
        <v>60</v>
      </c>
      <c r="AB123" s="116">
        <f t="shared" si="35"/>
        <v>0.6</v>
      </c>
      <c r="AC123" s="123">
        <v>621</v>
      </c>
      <c r="AD123" s="123">
        <v>655</v>
      </c>
      <c r="AE123" s="257">
        <f t="shared" si="36"/>
        <v>34</v>
      </c>
      <c r="AF123" s="258">
        <f t="shared" si="37"/>
        <v>5.4750402576489536</v>
      </c>
      <c r="AG123" s="257">
        <f t="shared" si="38"/>
        <v>100</v>
      </c>
      <c r="AH123" s="124">
        <f t="shared" si="39"/>
        <v>4</v>
      </c>
      <c r="AI123" s="105">
        <v>0</v>
      </c>
      <c r="AJ123" s="105">
        <v>0</v>
      </c>
      <c r="AK123" s="105">
        <v>0</v>
      </c>
      <c r="AL123" s="105">
        <v>0</v>
      </c>
      <c r="AM123" s="260">
        <f t="shared" si="40"/>
        <v>0</v>
      </c>
      <c r="AN123" s="260">
        <f t="shared" si="41"/>
        <v>20</v>
      </c>
      <c r="AO123" s="130">
        <f t="shared" si="42"/>
        <v>0.2</v>
      </c>
      <c r="AP123" s="106">
        <v>52500</v>
      </c>
      <c r="AQ123" s="261">
        <f t="shared" si="43"/>
        <v>7.9824676425732585E-2</v>
      </c>
      <c r="AR123" s="261">
        <f t="shared" si="44"/>
        <v>26.197370146385989</v>
      </c>
      <c r="AS123" s="107">
        <f t="shared" si="45"/>
        <v>1.0478948058554396</v>
      </c>
      <c r="AT123" s="105">
        <v>0</v>
      </c>
      <c r="AU123" s="105">
        <v>1</v>
      </c>
      <c r="AV123" s="262">
        <f t="shared" si="46"/>
        <v>25</v>
      </c>
      <c r="AW123" s="134">
        <v>0</v>
      </c>
      <c r="AX123" s="134"/>
      <c r="AY123" s="262">
        <f t="shared" si="47"/>
        <v>0</v>
      </c>
      <c r="AZ123" s="262">
        <f t="shared" si="48"/>
        <v>25</v>
      </c>
      <c r="BA123" s="38">
        <f t="shared" si="49"/>
        <v>0.25</v>
      </c>
      <c r="BB123" s="105">
        <v>0</v>
      </c>
      <c r="BC123" s="105">
        <v>0</v>
      </c>
      <c r="BD123" s="105">
        <v>0</v>
      </c>
      <c r="BE123" s="262">
        <f t="shared" si="50"/>
        <v>0</v>
      </c>
      <c r="BF123" s="262">
        <f t="shared" si="51"/>
        <v>50</v>
      </c>
      <c r="BG123" s="38">
        <f t="shared" si="52"/>
        <v>0.5</v>
      </c>
      <c r="BH123" s="255">
        <f t="shared" si="53"/>
        <v>17481473</v>
      </c>
      <c r="BI123" s="256">
        <f t="shared" si="54"/>
        <v>4.1079917610592505</v>
      </c>
      <c r="BJ123" s="256">
        <f t="shared" si="55"/>
        <v>55.809938207944377</v>
      </c>
      <c r="BK123" s="55">
        <f t="shared" si="56"/>
        <v>1.1161987641588875</v>
      </c>
      <c r="BL123" s="137">
        <f t="shared" si="57"/>
        <v>7.7140935700143274</v>
      </c>
    </row>
    <row r="124" spans="1:64" x14ac:dyDescent="0.6">
      <c r="A124" s="214" t="s">
        <v>1661</v>
      </c>
      <c r="B124" s="13" t="s">
        <v>2103</v>
      </c>
      <c r="C124" s="219" t="s">
        <v>933</v>
      </c>
      <c r="D124" s="216" t="s">
        <v>203</v>
      </c>
      <c r="E124" s="217" t="s">
        <v>180</v>
      </c>
      <c r="F124" s="217" t="s">
        <v>87</v>
      </c>
      <c r="G124" s="218">
        <v>42877</v>
      </c>
      <c r="H124" s="217" t="s">
        <v>830</v>
      </c>
      <c r="I124" s="217" t="s">
        <v>921</v>
      </c>
      <c r="J124" s="217" t="s">
        <v>1161</v>
      </c>
      <c r="K124" s="217" t="s">
        <v>320</v>
      </c>
      <c r="L124" s="220">
        <v>448351412</v>
      </c>
      <c r="M124" s="206">
        <v>63280350</v>
      </c>
      <c r="N124" s="206">
        <v>385071063</v>
      </c>
      <c r="O124" s="206">
        <v>611355371</v>
      </c>
      <c r="P124" s="206">
        <v>85525773</v>
      </c>
      <c r="Q124" s="206">
        <v>90825472</v>
      </c>
      <c r="R124" s="206">
        <v>70423830</v>
      </c>
      <c r="S124" s="105">
        <v>1</v>
      </c>
      <c r="T124" s="254">
        <f t="shared" si="29"/>
        <v>100</v>
      </c>
      <c r="U124" s="107">
        <f t="shared" si="30"/>
        <v>1</v>
      </c>
      <c r="V124" s="45">
        <v>59</v>
      </c>
      <c r="W124" s="45">
        <f>50+15</f>
        <v>65</v>
      </c>
      <c r="X124" s="255">
        <f t="shared" si="31"/>
        <v>6</v>
      </c>
      <c r="Y124" s="255">
        <f t="shared" si="32"/>
        <v>18</v>
      </c>
      <c r="Z124" s="256">
        <f t="shared" si="33"/>
        <v>33.333333333333329</v>
      </c>
      <c r="AA124" s="257">
        <f t="shared" si="34"/>
        <v>80</v>
      </c>
      <c r="AB124" s="116">
        <f t="shared" si="35"/>
        <v>0.8</v>
      </c>
      <c r="AC124" s="123">
        <v>457</v>
      </c>
      <c r="AD124" s="123">
        <v>475</v>
      </c>
      <c r="AE124" s="257">
        <f t="shared" si="36"/>
        <v>18</v>
      </c>
      <c r="AF124" s="258">
        <f t="shared" si="37"/>
        <v>3.9387308533916849</v>
      </c>
      <c r="AG124" s="257">
        <f t="shared" si="38"/>
        <v>100</v>
      </c>
      <c r="AH124" s="124">
        <f t="shared" si="39"/>
        <v>4</v>
      </c>
      <c r="AI124" s="105">
        <v>0</v>
      </c>
      <c r="AJ124" s="105">
        <v>0</v>
      </c>
      <c r="AK124" s="105">
        <v>0</v>
      </c>
      <c r="AL124" s="105">
        <v>0</v>
      </c>
      <c r="AM124" s="260">
        <f t="shared" si="40"/>
        <v>0</v>
      </c>
      <c r="AN124" s="260">
        <f t="shared" si="41"/>
        <v>20</v>
      </c>
      <c r="AO124" s="130">
        <f t="shared" si="42"/>
        <v>0.2</v>
      </c>
      <c r="AP124" s="106">
        <v>55240</v>
      </c>
      <c r="AQ124" s="261">
        <f t="shared" si="43"/>
        <v>7.8439357813967228E-2</v>
      </c>
      <c r="AR124" s="261">
        <f t="shared" si="44"/>
        <v>26.17659036720951</v>
      </c>
      <c r="AS124" s="107">
        <f t="shared" si="45"/>
        <v>1.0470636146883805</v>
      </c>
      <c r="AT124" s="105">
        <v>0</v>
      </c>
      <c r="AU124" s="105">
        <v>1</v>
      </c>
      <c r="AV124" s="262">
        <f t="shared" si="46"/>
        <v>25</v>
      </c>
      <c r="AW124" s="134">
        <v>0</v>
      </c>
      <c r="AX124" s="134"/>
      <c r="AY124" s="262">
        <f t="shared" si="47"/>
        <v>0</v>
      </c>
      <c r="AZ124" s="262">
        <f t="shared" si="48"/>
        <v>25</v>
      </c>
      <c r="BA124" s="38">
        <f t="shared" si="49"/>
        <v>0.25</v>
      </c>
      <c r="BB124" s="105">
        <v>0</v>
      </c>
      <c r="BC124" s="105">
        <v>0</v>
      </c>
      <c r="BD124" s="105">
        <v>0</v>
      </c>
      <c r="BE124" s="262">
        <f t="shared" si="50"/>
        <v>0</v>
      </c>
      <c r="BF124" s="262">
        <f t="shared" si="51"/>
        <v>50</v>
      </c>
      <c r="BG124" s="38">
        <f t="shared" si="52"/>
        <v>0.5</v>
      </c>
      <c r="BH124" s="255">
        <f t="shared" si="53"/>
        <v>20401642</v>
      </c>
      <c r="BI124" s="256">
        <f t="shared" si="54"/>
        <v>3.3371166702320507</v>
      </c>
      <c r="BJ124" s="256">
        <f t="shared" si="55"/>
        <v>50.028375026740378</v>
      </c>
      <c r="BK124" s="55">
        <f t="shared" si="56"/>
        <v>1.0005675005348076</v>
      </c>
      <c r="BL124" s="137">
        <f t="shared" si="57"/>
        <v>8.7976311152231883</v>
      </c>
    </row>
    <row r="125" spans="1:64" x14ac:dyDescent="0.6">
      <c r="A125" s="214" t="s">
        <v>878</v>
      </c>
      <c r="B125" s="13" t="s">
        <v>2104</v>
      </c>
      <c r="C125" s="219" t="s">
        <v>437</v>
      </c>
      <c r="D125" s="216" t="s">
        <v>203</v>
      </c>
      <c r="E125" s="217" t="s">
        <v>188</v>
      </c>
      <c r="F125" s="217" t="s">
        <v>376</v>
      </c>
      <c r="G125" s="218">
        <v>40589</v>
      </c>
      <c r="H125" s="217" t="s">
        <v>830</v>
      </c>
      <c r="I125" s="217" t="s">
        <v>1662</v>
      </c>
      <c r="J125" s="217" t="s">
        <v>672</v>
      </c>
      <c r="K125" s="217" t="s">
        <v>407</v>
      </c>
      <c r="L125" s="220">
        <v>147864036</v>
      </c>
      <c r="M125" s="206">
        <v>15155439</v>
      </c>
      <c r="N125" s="206">
        <v>132708596</v>
      </c>
      <c r="O125" s="206">
        <v>235165568</v>
      </c>
      <c r="P125" s="206">
        <v>18983200</v>
      </c>
      <c r="Q125" s="206">
        <v>20938723</v>
      </c>
      <c r="R125" s="206">
        <v>16260515</v>
      </c>
      <c r="S125" s="105">
        <v>1</v>
      </c>
      <c r="T125" s="254">
        <f t="shared" si="29"/>
        <v>100</v>
      </c>
      <c r="U125" s="107">
        <f t="shared" si="30"/>
        <v>1</v>
      </c>
      <c r="V125" s="45">
        <v>32</v>
      </c>
      <c r="W125" s="45">
        <f>29+2</f>
        <v>31</v>
      </c>
      <c r="X125" s="255">
        <f t="shared" si="31"/>
        <v>-1</v>
      </c>
      <c r="Y125" s="255">
        <f t="shared" si="32"/>
        <v>2</v>
      </c>
      <c r="Z125" s="256">
        <f t="shared" si="33"/>
        <v>-50</v>
      </c>
      <c r="AA125" s="257">
        <f t="shared" si="34"/>
        <v>20</v>
      </c>
      <c r="AB125" s="116">
        <f t="shared" si="35"/>
        <v>0.2</v>
      </c>
      <c r="AC125" s="123">
        <v>201</v>
      </c>
      <c r="AD125" s="123">
        <v>203</v>
      </c>
      <c r="AE125" s="257">
        <f t="shared" si="36"/>
        <v>2</v>
      </c>
      <c r="AF125" s="258">
        <f t="shared" si="37"/>
        <v>0.99502487562189057</v>
      </c>
      <c r="AG125" s="257">
        <f t="shared" si="38"/>
        <v>60</v>
      </c>
      <c r="AH125" s="124">
        <f t="shared" si="39"/>
        <v>2.4</v>
      </c>
      <c r="AI125" s="105">
        <v>0</v>
      </c>
      <c r="AJ125" s="105">
        <v>0</v>
      </c>
      <c r="AK125" s="105">
        <v>0</v>
      </c>
      <c r="AL125" s="105">
        <v>0</v>
      </c>
      <c r="AM125" s="260">
        <f t="shared" si="40"/>
        <v>0</v>
      </c>
      <c r="AN125" s="260">
        <f t="shared" si="41"/>
        <v>20</v>
      </c>
      <c r="AO125" s="130">
        <f t="shared" si="42"/>
        <v>0.2</v>
      </c>
      <c r="AP125" s="106">
        <v>13470</v>
      </c>
      <c r="AQ125" s="261">
        <f t="shared" si="43"/>
        <v>8.2838704678172864E-2</v>
      </c>
      <c r="AR125" s="261">
        <f t="shared" si="44"/>
        <v>26.242580570172592</v>
      </c>
      <c r="AS125" s="107">
        <f t="shared" si="45"/>
        <v>1.0497032228069036</v>
      </c>
      <c r="AT125" s="105">
        <v>0</v>
      </c>
      <c r="AU125" s="105">
        <v>1</v>
      </c>
      <c r="AV125" s="262">
        <f t="shared" si="46"/>
        <v>25</v>
      </c>
      <c r="AW125" s="134">
        <v>0</v>
      </c>
      <c r="AX125" s="134"/>
      <c r="AY125" s="262">
        <f t="shared" si="47"/>
        <v>0</v>
      </c>
      <c r="AZ125" s="262">
        <f t="shared" si="48"/>
        <v>25</v>
      </c>
      <c r="BA125" s="38">
        <f t="shared" si="49"/>
        <v>0.25</v>
      </c>
      <c r="BB125" s="105">
        <v>0</v>
      </c>
      <c r="BC125" s="105">
        <v>0</v>
      </c>
      <c r="BD125" s="105">
        <v>0</v>
      </c>
      <c r="BE125" s="262">
        <f t="shared" si="50"/>
        <v>0</v>
      </c>
      <c r="BF125" s="262">
        <f t="shared" si="51"/>
        <v>50</v>
      </c>
      <c r="BG125" s="38">
        <f t="shared" si="52"/>
        <v>0.5</v>
      </c>
      <c r="BH125" s="255">
        <f t="shared" si="53"/>
        <v>4678208</v>
      </c>
      <c r="BI125" s="256">
        <f t="shared" si="54"/>
        <v>1.9893252399943175</v>
      </c>
      <c r="BJ125" s="256">
        <f t="shared" si="55"/>
        <v>39.919939299957377</v>
      </c>
      <c r="BK125" s="55">
        <f t="shared" si="56"/>
        <v>0.7983987859991476</v>
      </c>
      <c r="BL125" s="137">
        <f t="shared" si="57"/>
        <v>6.3981020088060507</v>
      </c>
    </row>
    <row r="126" spans="1:64" x14ac:dyDescent="0.6">
      <c r="A126" s="214" t="s">
        <v>938</v>
      </c>
      <c r="B126" s="13" t="s">
        <v>2105</v>
      </c>
      <c r="C126" s="219" t="s">
        <v>52</v>
      </c>
      <c r="D126" s="216" t="s">
        <v>203</v>
      </c>
      <c r="E126" s="217" t="s">
        <v>187</v>
      </c>
      <c r="F126" s="217" t="s">
        <v>1170</v>
      </c>
      <c r="G126" s="218">
        <v>32778</v>
      </c>
      <c r="H126" s="217" t="s">
        <v>830</v>
      </c>
      <c r="I126" s="217" t="s">
        <v>708</v>
      </c>
      <c r="J126" s="217" t="s">
        <v>1173</v>
      </c>
      <c r="K126" s="217" t="s">
        <v>484</v>
      </c>
      <c r="L126" s="220">
        <v>342398880</v>
      </c>
      <c r="M126" s="206">
        <v>36181307</v>
      </c>
      <c r="N126" s="206">
        <v>306217573</v>
      </c>
      <c r="O126" s="206">
        <v>418789690</v>
      </c>
      <c r="P126" s="206">
        <v>44057917</v>
      </c>
      <c r="Q126" s="206">
        <v>28817308</v>
      </c>
      <c r="R126" s="206">
        <v>20885280</v>
      </c>
      <c r="S126" s="105">
        <v>1</v>
      </c>
      <c r="T126" s="254">
        <f t="shared" si="29"/>
        <v>100</v>
      </c>
      <c r="U126" s="107">
        <f t="shared" si="30"/>
        <v>1</v>
      </c>
      <c r="V126" s="45">
        <v>12</v>
      </c>
      <c r="W126" s="45">
        <v>9</v>
      </c>
      <c r="X126" s="255">
        <f t="shared" si="31"/>
        <v>-3</v>
      </c>
      <c r="Y126" s="255">
        <f t="shared" si="32"/>
        <v>-6</v>
      </c>
      <c r="Z126" s="256">
        <f t="shared" si="33"/>
        <v>-300</v>
      </c>
      <c r="AA126" s="257">
        <f t="shared" si="34"/>
        <v>20</v>
      </c>
      <c r="AB126" s="116">
        <f t="shared" si="35"/>
        <v>0.2</v>
      </c>
      <c r="AC126" s="123">
        <v>84</v>
      </c>
      <c r="AD126" s="123">
        <v>78</v>
      </c>
      <c r="AE126" s="257">
        <f t="shared" si="36"/>
        <v>-6</v>
      </c>
      <c r="AF126" s="258">
        <f t="shared" si="37"/>
        <v>-7.1428571428571423</v>
      </c>
      <c r="AG126" s="257">
        <f t="shared" si="38"/>
        <v>20</v>
      </c>
      <c r="AH126" s="124">
        <f t="shared" si="39"/>
        <v>0.8</v>
      </c>
      <c r="AI126" s="105">
        <v>0</v>
      </c>
      <c r="AJ126" s="105">
        <v>0</v>
      </c>
      <c r="AK126" s="105">
        <v>0</v>
      </c>
      <c r="AL126" s="105">
        <v>0</v>
      </c>
      <c r="AM126" s="260">
        <f t="shared" si="40"/>
        <v>0</v>
      </c>
      <c r="AN126" s="260">
        <f t="shared" si="41"/>
        <v>20</v>
      </c>
      <c r="AO126" s="130">
        <f t="shared" si="42"/>
        <v>0.2</v>
      </c>
      <c r="AP126" s="106">
        <v>3260</v>
      </c>
      <c r="AQ126" s="261">
        <f t="shared" si="43"/>
        <v>1.5609079696322003E-2</v>
      </c>
      <c r="AR126" s="261">
        <f t="shared" si="44"/>
        <v>25.23413619544483</v>
      </c>
      <c r="AS126" s="107">
        <f t="shared" si="45"/>
        <v>1.0093654478177931</v>
      </c>
      <c r="AT126" s="105">
        <v>0</v>
      </c>
      <c r="AU126" s="105">
        <v>1</v>
      </c>
      <c r="AV126" s="262">
        <f t="shared" si="46"/>
        <v>25</v>
      </c>
      <c r="AW126" s="134">
        <v>0</v>
      </c>
      <c r="AX126" s="134"/>
      <c r="AY126" s="262">
        <f t="shared" si="47"/>
        <v>0</v>
      </c>
      <c r="AZ126" s="262">
        <f t="shared" si="48"/>
        <v>25</v>
      </c>
      <c r="BA126" s="38">
        <f t="shared" si="49"/>
        <v>0.25</v>
      </c>
      <c r="BB126" s="105">
        <v>0</v>
      </c>
      <c r="BC126" s="105">
        <v>0</v>
      </c>
      <c r="BD126" s="105">
        <v>0</v>
      </c>
      <c r="BE126" s="262">
        <f t="shared" si="50"/>
        <v>0</v>
      </c>
      <c r="BF126" s="262">
        <f t="shared" si="51"/>
        <v>50</v>
      </c>
      <c r="BG126" s="38">
        <f t="shared" si="52"/>
        <v>0.5</v>
      </c>
      <c r="BH126" s="255">
        <f t="shared" si="53"/>
        <v>7932028</v>
      </c>
      <c r="BI126" s="256">
        <f t="shared" si="54"/>
        <v>1.8940361210898002</v>
      </c>
      <c r="BJ126" s="256">
        <f t="shared" si="55"/>
        <v>39.205270908173503</v>
      </c>
      <c r="BK126" s="55">
        <f t="shared" si="56"/>
        <v>0.78410541816347012</v>
      </c>
      <c r="BL126" s="137">
        <f t="shared" si="57"/>
        <v>4.7434708659812639</v>
      </c>
    </row>
    <row r="127" spans="1:64" x14ac:dyDescent="0.6">
      <c r="A127" s="214" t="s">
        <v>743</v>
      </c>
      <c r="B127" s="13" t="s">
        <v>2106</v>
      </c>
      <c r="C127" s="219" t="s">
        <v>880</v>
      </c>
      <c r="D127" s="216" t="s">
        <v>191</v>
      </c>
      <c r="E127" s="217" t="s">
        <v>633</v>
      </c>
      <c r="F127" s="217" t="s">
        <v>1156</v>
      </c>
      <c r="G127" s="218">
        <v>32658</v>
      </c>
      <c r="H127" s="217" t="s">
        <v>712</v>
      </c>
      <c r="I127" s="217" t="s">
        <v>264</v>
      </c>
      <c r="J127" s="217" t="s">
        <v>1109</v>
      </c>
      <c r="K127" s="217" t="s">
        <v>91</v>
      </c>
      <c r="L127" s="220">
        <v>241989773</v>
      </c>
      <c r="M127" s="206">
        <v>40624252</v>
      </c>
      <c r="N127" s="206">
        <v>201365521</v>
      </c>
      <c r="O127" s="206">
        <v>93315362</v>
      </c>
      <c r="P127" s="206">
        <v>2071431</v>
      </c>
      <c r="Q127" s="206">
        <v>7052481</v>
      </c>
      <c r="R127" s="206">
        <v>5569068</v>
      </c>
      <c r="S127" s="105">
        <v>1</v>
      </c>
      <c r="T127" s="254">
        <f t="shared" si="29"/>
        <v>100</v>
      </c>
      <c r="U127" s="107">
        <f t="shared" si="30"/>
        <v>1</v>
      </c>
      <c r="V127" s="45">
        <v>44</v>
      </c>
      <c r="W127" s="45">
        <v>44</v>
      </c>
      <c r="X127" s="255">
        <f t="shared" si="31"/>
        <v>0</v>
      </c>
      <c r="Y127" s="255">
        <f t="shared" si="32"/>
        <v>0</v>
      </c>
      <c r="Z127" s="256">
        <f t="shared" si="33"/>
        <v>0</v>
      </c>
      <c r="AA127" s="257">
        <f t="shared" si="34"/>
        <v>20</v>
      </c>
      <c r="AB127" s="116">
        <f t="shared" si="35"/>
        <v>0.2</v>
      </c>
      <c r="AC127" s="123">
        <v>245</v>
      </c>
      <c r="AD127" s="123">
        <v>245</v>
      </c>
      <c r="AE127" s="257">
        <f t="shared" si="36"/>
        <v>0</v>
      </c>
      <c r="AF127" s="258">
        <f t="shared" si="37"/>
        <v>0</v>
      </c>
      <c r="AG127" s="257">
        <f t="shared" si="38"/>
        <v>40</v>
      </c>
      <c r="AH127" s="124">
        <f t="shared" si="39"/>
        <v>1.6</v>
      </c>
      <c r="AI127" s="105">
        <v>0</v>
      </c>
      <c r="AJ127" s="105">
        <v>0</v>
      </c>
      <c r="AK127" s="105">
        <v>0</v>
      </c>
      <c r="AL127" s="105">
        <v>0</v>
      </c>
      <c r="AM127" s="260">
        <f t="shared" si="40"/>
        <v>0</v>
      </c>
      <c r="AN127" s="260">
        <f t="shared" si="41"/>
        <v>20</v>
      </c>
      <c r="AO127" s="130">
        <f t="shared" si="42"/>
        <v>0.2</v>
      </c>
      <c r="AP127" s="440">
        <v>0</v>
      </c>
      <c r="AQ127" s="261">
        <f t="shared" si="43"/>
        <v>0</v>
      </c>
      <c r="AR127" s="261">
        <f t="shared" si="44"/>
        <v>25</v>
      </c>
      <c r="AS127" s="107">
        <f t="shared" si="45"/>
        <v>1</v>
      </c>
      <c r="AT127" s="105">
        <v>0</v>
      </c>
      <c r="AU127" s="105">
        <v>1</v>
      </c>
      <c r="AV127" s="262">
        <f t="shared" si="46"/>
        <v>25</v>
      </c>
      <c r="AW127" s="134">
        <v>0</v>
      </c>
      <c r="AX127" s="134"/>
      <c r="AY127" s="262">
        <f t="shared" si="47"/>
        <v>0</v>
      </c>
      <c r="AZ127" s="262">
        <f t="shared" si="48"/>
        <v>25</v>
      </c>
      <c r="BA127" s="38">
        <f t="shared" si="49"/>
        <v>0.25</v>
      </c>
      <c r="BB127" s="105">
        <v>0</v>
      </c>
      <c r="BC127" s="105">
        <v>0</v>
      </c>
      <c r="BD127" s="105">
        <v>0</v>
      </c>
      <c r="BE127" s="262">
        <f t="shared" si="50"/>
        <v>0</v>
      </c>
      <c r="BF127" s="262">
        <f t="shared" si="51"/>
        <v>50</v>
      </c>
      <c r="BG127" s="38">
        <f t="shared" si="52"/>
        <v>0.5</v>
      </c>
      <c r="BH127" s="255">
        <f t="shared" si="53"/>
        <v>1483413</v>
      </c>
      <c r="BI127" s="256">
        <f t="shared" si="54"/>
        <v>1.5896771637664546</v>
      </c>
      <c r="BJ127" s="256">
        <f t="shared" si="55"/>
        <v>36.922578728248411</v>
      </c>
      <c r="BK127" s="55">
        <f t="shared" si="56"/>
        <v>0.73845157456496824</v>
      </c>
      <c r="BL127" s="137">
        <f t="shared" si="57"/>
        <v>5.4884515745649685</v>
      </c>
    </row>
    <row r="128" spans="1:64" x14ac:dyDescent="0.6">
      <c r="A128" s="214" t="s">
        <v>883</v>
      </c>
      <c r="B128" s="13" t="s">
        <v>2107</v>
      </c>
      <c r="C128" s="219" t="s">
        <v>937</v>
      </c>
      <c r="D128" s="216" t="s">
        <v>203</v>
      </c>
      <c r="E128" s="217" t="s">
        <v>180</v>
      </c>
      <c r="F128" s="217" t="s">
        <v>565</v>
      </c>
      <c r="G128" s="218">
        <v>27921</v>
      </c>
      <c r="H128" s="217" t="s">
        <v>830</v>
      </c>
      <c r="I128" s="217" t="s">
        <v>1663</v>
      </c>
      <c r="J128" s="217" t="s">
        <v>1051</v>
      </c>
      <c r="K128" s="217" t="s">
        <v>320</v>
      </c>
      <c r="L128" s="220">
        <v>404942084</v>
      </c>
      <c r="M128" s="206">
        <v>194159798</v>
      </c>
      <c r="N128" s="206">
        <v>210782285</v>
      </c>
      <c r="O128" s="206">
        <v>232326917</v>
      </c>
      <c r="P128" s="206">
        <v>28484556</v>
      </c>
      <c r="Q128" s="206">
        <v>25121503</v>
      </c>
      <c r="R128" s="206">
        <v>22437303</v>
      </c>
      <c r="S128" s="105">
        <v>1</v>
      </c>
      <c r="T128" s="254">
        <f t="shared" si="29"/>
        <v>100</v>
      </c>
      <c r="U128" s="107">
        <f t="shared" si="30"/>
        <v>1</v>
      </c>
      <c r="V128" s="45">
        <v>17</v>
      </c>
      <c r="W128" s="45">
        <v>16</v>
      </c>
      <c r="X128" s="255">
        <f t="shared" si="31"/>
        <v>-1</v>
      </c>
      <c r="Y128" s="255">
        <f t="shared" si="32"/>
        <v>6</v>
      </c>
      <c r="Z128" s="256">
        <f t="shared" si="33"/>
        <v>-16.666666666666664</v>
      </c>
      <c r="AA128" s="257">
        <f t="shared" si="34"/>
        <v>20</v>
      </c>
      <c r="AB128" s="116">
        <f t="shared" si="35"/>
        <v>0.2</v>
      </c>
      <c r="AC128" s="123">
        <v>195</v>
      </c>
      <c r="AD128" s="123">
        <v>201</v>
      </c>
      <c r="AE128" s="257">
        <f t="shared" si="36"/>
        <v>6</v>
      </c>
      <c r="AF128" s="258">
        <f t="shared" si="37"/>
        <v>3.0769230769230771</v>
      </c>
      <c r="AG128" s="257">
        <f t="shared" si="38"/>
        <v>100</v>
      </c>
      <c r="AH128" s="124">
        <f t="shared" si="39"/>
        <v>4</v>
      </c>
      <c r="AI128" s="105">
        <v>0</v>
      </c>
      <c r="AJ128" s="105">
        <v>0</v>
      </c>
      <c r="AK128" s="105">
        <v>0</v>
      </c>
      <c r="AL128" s="105">
        <v>0</v>
      </c>
      <c r="AM128" s="260">
        <f t="shared" si="40"/>
        <v>0</v>
      </c>
      <c r="AN128" s="260">
        <f t="shared" si="41"/>
        <v>20</v>
      </c>
      <c r="AO128" s="130">
        <f t="shared" si="42"/>
        <v>0.2</v>
      </c>
      <c r="AP128" s="106">
        <v>409092</v>
      </c>
      <c r="AQ128" s="261">
        <f t="shared" si="43"/>
        <v>1.8232672616668766</v>
      </c>
      <c r="AR128" s="261">
        <f t="shared" si="44"/>
        <v>52.349008925003147</v>
      </c>
      <c r="AS128" s="107">
        <f t="shared" si="45"/>
        <v>2.0939603570001259</v>
      </c>
      <c r="AT128" s="105">
        <v>0</v>
      </c>
      <c r="AU128" s="105">
        <v>1</v>
      </c>
      <c r="AV128" s="262">
        <f t="shared" si="46"/>
        <v>25</v>
      </c>
      <c r="AW128" s="134">
        <v>0</v>
      </c>
      <c r="AX128" s="134"/>
      <c r="AY128" s="262">
        <f t="shared" si="47"/>
        <v>0</v>
      </c>
      <c r="AZ128" s="262">
        <f t="shared" si="48"/>
        <v>25</v>
      </c>
      <c r="BA128" s="38">
        <f t="shared" si="49"/>
        <v>0.25</v>
      </c>
      <c r="BB128" s="105">
        <v>0</v>
      </c>
      <c r="BC128" s="105">
        <v>0</v>
      </c>
      <c r="BD128" s="105">
        <v>0</v>
      </c>
      <c r="BE128" s="262">
        <f t="shared" si="50"/>
        <v>0</v>
      </c>
      <c r="BF128" s="262">
        <f t="shared" si="51"/>
        <v>50</v>
      </c>
      <c r="BG128" s="38">
        <f t="shared" si="52"/>
        <v>0.5</v>
      </c>
      <c r="BH128" s="255">
        <f t="shared" si="53"/>
        <v>2684200</v>
      </c>
      <c r="BI128" s="256">
        <f t="shared" si="54"/>
        <v>1.1553547194017129</v>
      </c>
      <c r="BJ128" s="256">
        <f t="shared" si="55"/>
        <v>33.665160395512842</v>
      </c>
      <c r="BK128" s="55">
        <f t="shared" si="56"/>
        <v>0.67330320791025688</v>
      </c>
      <c r="BL128" s="137">
        <f t="shared" si="57"/>
        <v>8.9172635649103835</v>
      </c>
    </row>
    <row r="129" spans="1:64" x14ac:dyDescent="0.6">
      <c r="A129" s="214" t="s">
        <v>689</v>
      </c>
      <c r="B129" s="13" t="s">
        <v>2108</v>
      </c>
      <c r="C129" s="219" t="s">
        <v>46</v>
      </c>
      <c r="D129" s="216" t="s">
        <v>203</v>
      </c>
      <c r="E129" s="217" t="s">
        <v>188</v>
      </c>
      <c r="F129" s="217" t="s">
        <v>119</v>
      </c>
      <c r="G129" s="218">
        <v>32842</v>
      </c>
      <c r="H129" s="217" t="s">
        <v>830</v>
      </c>
      <c r="I129" s="217" t="s">
        <v>717</v>
      </c>
      <c r="J129" s="217" t="s">
        <v>1088</v>
      </c>
      <c r="K129" s="217" t="s">
        <v>690</v>
      </c>
      <c r="L129" s="220">
        <v>60912252</v>
      </c>
      <c r="M129" s="206">
        <v>12528504</v>
      </c>
      <c r="N129" s="206">
        <v>48383747</v>
      </c>
      <c r="O129" s="206">
        <v>48434716</v>
      </c>
      <c r="P129" s="206">
        <v>3282892</v>
      </c>
      <c r="Q129" s="206">
        <v>3389050</v>
      </c>
      <c r="R129" s="206">
        <v>3069106</v>
      </c>
      <c r="S129" s="105">
        <v>1</v>
      </c>
      <c r="T129" s="254">
        <f t="shared" si="29"/>
        <v>100</v>
      </c>
      <c r="U129" s="107">
        <f t="shared" si="30"/>
        <v>1</v>
      </c>
      <c r="V129" s="45">
        <v>28</v>
      </c>
      <c r="W129" s="45">
        <v>28</v>
      </c>
      <c r="X129" s="255">
        <f t="shared" si="31"/>
        <v>0</v>
      </c>
      <c r="Y129" s="255">
        <f t="shared" si="32"/>
        <v>4</v>
      </c>
      <c r="Z129" s="256">
        <f t="shared" si="33"/>
        <v>0</v>
      </c>
      <c r="AA129" s="257">
        <f t="shared" si="34"/>
        <v>20</v>
      </c>
      <c r="AB129" s="116">
        <f t="shared" si="35"/>
        <v>0.2</v>
      </c>
      <c r="AC129" s="123">
        <v>133</v>
      </c>
      <c r="AD129" s="123">
        <v>137</v>
      </c>
      <c r="AE129" s="257">
        <f t="shared" si="36"/>
        <v>4</v>
      </c>
      <c r="AF129" s="258">
        <f t="shared" si="37"/>
        <v>3.007518796992481</v>
      </c>
      <c r="AG129" s="257">
        <f t="shared" si="38"/>
        <v>100</v>
      </c>
      <c r="AH129" s="124">
        <f t="shared" si="39"/>
        <v>4</v>
      </c>
      <c r="AI129" s="105">
        <v>0</v>
      </c>
      <c r="AJ129" s="105">
        <v>0</v>
      </c>
      <c r="AK129" s="105">
        <v>0</v>
      </c>
      <c r="AL129" s="105">
        <v>0</v>
      </c>
      <c r="AM129" s="260">
        <f t="shared" si="40"/>
        <v>0</v>
      </c>
      <c r="AN129" s="260">
        <f t="shared" si="41"/>
        <v>20</v>
      </c>
      <c r="AO129" s="130">
        <f t="shared" si="42"/>
        <v>0.2</v>
      </c>
      <c r="AP129" s="440">
        <v>0</v>
      </c>
      <c r="AQ129" s="261">
        <f t="shared" si="43"/>
        <v>0</v>
      </c>
      <c r="AR129" s="261">
        <f t="shared" si="44"/>
        <v>25</v>
      </c>
      <c r="AS129" s="107">
        <f t="shared" si="45"/>
        <v>1</v>
      </c>
      <c r="AT129" s="105">
        <v>0</v>
      </c>
      <c r="AU129" s="105">
        <v>1</v>
      </c>
      <c r="AV129" s="262">
        <f t="shared" si="46"/>
        <v>25</v>
      </c>
      <c r="AW129" s="134">
        <v>0</v>
      </c>
      <c r="AX129" s="134"/>
      <c r="AY129" s="262">
        <f t="shared" si="47"/>
        <v>0</v>
      </c>
      <c r="AZ129" s="262">
        <f t="shared" si="48"/>
        <v>25</v>
      </c>
      <c r="BA129" s="38">
        <f t="shared" si="49"/>
        <v>0.25</v>
      </c>
      <c r="BB129" s="105">
        <v>0</v>
      </c>
      <c r="BC129" s="105">
        <v>0</v>
      </c>
      <c r="BD129" s="105">
        <v>0</v>
      </c>
      <c r="BE129" s="262">
        <f t="shared" si="50"/>
        <v>0</v>
      </c>
      <c r="BF129" s="262">
        <f t="shared" si="51"/>
        <v>50</v>
      </c>
      <c r="BG129" s="38">
        <f t="shared" si="52"/>
        <v>0.5</v>
      </c>
      <c r="BH129" s="255">
        <f t="shared" si="53"/>
        <v>319944</v>
      </c>
      <c r="BI129" s="256">
        <f t="shared" si="54"/>
        <v>0.66056751525083779</v>
      </c>
      <c r="BJ129" s="256">
        <f t="shared" si="55"/>
        <v>29.954256364381283</v>
      </c>
      <c r="BK129" s="55">
        <f t="shared" si="56"/>
        <v>0.59908512728762564</v>
      </c>
      <c r="BL129" s="137">
        <f t="shared" si="57"/>
        <v>7.7490851272876258</v>
      </c>
    </row>
    <row r="130" spans="1:64" x14ac:dyDescent="0.6">
      <c r="A130" s="214" t="s">
        <v>1664</v>
      </c>
      <c r="B130" s="13" t="s">
        <v>2109</v>
      </c>
      <c r="C130" s="219" t="s">
        <v>79</v>
      </c>
      <c r="D130" s="221" t="s">
        <v>350</v>
      </c>
      <c r="E130" s="217" t="s">
        <v>179</v>
      </c>
      <c r="F130" s="217" t="s">
        <v>965</v>
      </c>
      <c r="G130" s="218">
        <v>32343</v>
      </c>
      <c r="H130" s="217" t="s">
        <v>830</v>
      </c>
      <c r="I130" s="217" t="s">
        <v>763</v>
      </c>
      <c r="J130" s="217" t="s">
        <v>1169</v>
      </c>
      <c r="K130" s="217" t="s">
        <v>91</v>
      </c>
      <c r="L130" s="220">
        <v>1427244316</v>
      </c>
      <c r="M130" s="206">
        <v>761201192</v>
      </c>
      <c r="N130" s="206">
        <v>666043124</v>
      </c>
      <c r="O130" s="206">
        <v>962455644</v>
      </c>
      <c r="P130" s="206">
        <v>61833345</v>
      </c>
      <c r="Q130" s="206">
        <v>63808418</v>
      </c>
      <c r="R130" s="206">
        <v>45756353</v>
      </c>
      <c r="S130" s="105">
        <v>1</v>
      </c>
      <c r="T130" s="254">
        <f t="shared" ref="T130:T193" si="58">IF(S130=1, 100, 0)</f>
        <v>100</v>
      </c>
      <c r="U130" s="107">
        <f t="shared" ref="U130:U193" si="59">T130*0.01</f>
        <v>1</v>
      </c>
      <c r="V130" s="45">
        <v>41</v>
      </c>
      <c r="W130" s="45">
        <f>13+23+10</f>
        <v>46</v>
      </c>
      <c r="X130" s="255">
        <f t="shared" ref="X130:X193" si="60">W130-V130</f>
        <v>5</v>
      </c>
      <c r="Y130" s="255">
        <f t="shared" ref="Y130:Y193" si="61">AD130-AC130</f>
        <v>10</v>
      </c>
      <c r="Z130" s="256">
        <f t="shared" ref="Z130:Z193" si="62">IF(Y130&lt;1, X130*100, (X130/Y130)*100)</f>
        <v>50</v>
      </c>
      <c r="AA130" s="257">
        <f t="shared" ref="AA130:AA193" si="63">IF(Z130&lt;10, 20, IF(Z130&lt;20, 40, IF(Z130&lt;30, 60, IF(Z130&lt;40, 80, IF(Z130&gt;=40, 100)))))</f>
        <v>100</v>
      </c>
      <c r="AB130" s="116">
        <f t="shared" ref="AB130:AB193" si="64">AA130*0.01</f>
        <v>1</v>
      </c>
      <c r="AC130" s="123">
        <v>102</v>
      </c>
      <c r="AD130" s="123">
        <v>112</v>
      </c>
      <c r="AE130" s="257">
        <f t="shared" ref="AE130:AE193" si="65">AD130-AC130</f>
        <v>10</v>
      </c>
      <c r="AF130" s="258">
        <f t="shared" ref="AF130:AF193" si="66">(AE130/AC130)*100</f>
        <v>9.8039215686274517</v>
      </c>
      <c r="AG130" s="257">
        <f t="shared" ref="AG130:AG193" si="67">IF(AF130&lt;0, 20, IF(AF130&lt;0.5, 40, IF(AF130&lt;1.5, 60, IF(AF130&lt;2.5, 80, IF(AF130&gt;=2.5, 100)))))</f>
        <v>100</v>
      </c>
      <c r="AH130" s="124">
        <f t="shared" ref="AH130:AH193" si="68">AG130*0.04</f>
        <v>4</v>
      </c>
      <c r="AI130" s="105">
        <v>0</v>
      </c>
      <c r="AJ130" s="105">
        <v>0</v>
      </c>
      <c r="AK130" s="105">
        <v>0</v>
      </c>
      <c r="AL130" s="105">
        <v>0</v>
      </c>
      <c r="AM130" s="260">
        <f t="shared" ref="AM130:AM193" si="69">SUM(AI130:AL130)</f>
        <v>0</v>
      </c>
      <c r="AN130" s="260">
        <f t="shared" ref="AN130:AN193" si="70">IF(AM130=4, 100, IF(AM130=3, 80, IF(AM130=2, 60, IF(AM130=1, 40, 20))))</f>
        <v>20</v>
      </c>
      <c r="AO130" s="130">
        <f t="shared" ref="AO130:AO193" si="71">AN130*0.01</f>
        <v>0.2</v>
      </c>
      <c r="AP130" s="106">
        <v>233000</v>
      </c>
      <c r="AQ130" s="261">
        <f t="shared" si="43"/>
        <v>0.50921890562388139</v>
      </c>
      <c r="AR130" s="261">
        <f t="shared" ref="AR130:AR193" si="72">IF((25+((75*(AQ130-0)/(5-0))))&gt;100, 100, IF((25+((75*(AQ130-0)/(5-0))))&lt;25, 25, (25+((75*(AQ130-0)/(5-0))))))</f>
        <v>32.63828358435822</v>
      </c>
      <c r="AS130" s="107">
        <f t="shared" ref="AS130:AS193" si="73">AR130*0.04</f>
        <v>1.3055313433743287</v>
      </c>
      <c r="AT130" s="105">
        <v>0</v>
      </c>
      <c r="AU130" s="105">
        <v>1</v>
      </c>
      <c r="AV130" s="262">
        <f t="shared" ref="AV130:AV193" si="74">IF((AT130+AU130)=2, 50, IF((AT130+AU130)=1, 25, 0))</f>
        <v>25</v>
      </c>
      <c r="AW130" s="134">
        <v>0</v>
      </c>
      <c r="AX130" s="134"/>
      <c r="AY130" s="262">
        <f t="shared" ref="AY130:AY193" si="75">IF(AW130&gt;=3, 50, IF(AW130&gt;=1, 25, 0))</f>
        <v>0</v>
      </c>
      <c r="AZ130" s="262">
        <f t="shared" ref="AZ130:AZ193" si="76">AV130+AY130</f>
        <v>25</v>
      </c>
      <c r="BA130" s="38">
        <f t="shared" ref="BA130:BA193" si="77">AZ130*0.01</f>
        <v>0.25</v>
      </c>
      <c r="BB130" s="105">
        <v>0</v>
      </c>
      <c r="BC130" s="105">
        <v>0</v>
      </c>
      <c r="BD130" s="105">
        <v>0</v>
      </c>
      <c r="BE130" s="262">
        <f t="shared" ref="BE130:BE193" si="78">SUM(BB130:BD130)</f>
        <v>0</v>
      </c>
      <c r="BF130" s="262">
        <f t="shared" ref="BF130:BF193" si="79">IF(BE130&gt;=1, 100, 50)</f>
        <v>50</v>
      </c>
      <c r="BG130" s="38">
        <f t="shared" ref="BG130:BG193" si="80">BF130*0.01</f>
        <v>0.5</v>
      </c>
      <c r="BH130" s="255">
        <f t="shared" ref="BH130:BH193" si="81">Q130-R130</f>
        <v>18052065</v>
      </c>
      <c r="BI130" s="256">
        <f t="shared" ref="BI130:BI193" si="82">BH130/O130*100</f>
        <v>1.8756256574043217</v>
      </c>
      <c r="BJ130" s="256">
        <f t="shared" si="55"/>
        <v>39.067192430532415</v>
      </c>
      <c r="BK130" s="55">
        <f t="shared" ref="BK130:BK193" si="83">BJ130*0.02</f>
        <v>0.78134384861064832</v>
      </c>
      <c r="BL130" s="137">
        <f t="shared" si="57"/>
        <v>9.0368751919849775</v>
      </c>
    </row>
    <row r="131" spans="1:64" x14ac:dyDescent="0.6">
      <c r="A131" s="214" t="s">
        <v>1665</v>
      </c>
      <c r="B131" s="13" t="s">
        <v>2110</v>
      </c>
      <c r="C131" s="219" t="s">
        <v>62</v>
      </c>
      <c r="D131" s="216" t="s">
        <v>203</v>
      </c>
      <c r="E131" s="217" t="s">
        <v>195</v>
      </c>
      <c r="F131" s="217" t="s">
        <v>731</v>
      </c>
      <c r="G131" s="218">
        <v>39735</v>
      </c>
      <c r="H131" s="217" t="s">
        <v>830</v>
      </c>
      <c r="I131" s="217" t="s">
        <v>3</v>
      </c>
      <c r="J131" s="217" t="s">
        <v>1082</v>
      </c>
      <c r="K131" s="217" t="s">
        <v>487</v>
      </c>
      <c r="L131" s="220">
        <v>153622004</v>
      </c>
      <c r="M131" s="206">
        <v>27614064</v>
      </c>
      <c r="N131" s="206">
        <v>126007940</v>
      </c>
      <c r="O131" s="206">
        <v>209727336</v>
      </c>
      <c r="P131" s="206">
        <v>5922306</v>
      </c>
      <c r="Q131" s="206">
        <v>9227725</v>
      </c>
      <c r="R131" s="206">
        <v>7102656</v>
      </c>
      <c r="S131" s="105">
        <v>1</v>
      </c>
      <c r="T131" s="254">
        <f t="shared" si="58"/>
        <v>100</v>
      </c>
      <c r="U131" s="107">
        <f t="shared" si="59"/>
        <v>1</v>
      </c>
      <c r="V131" s="45">
        <v>3</v>
      </c>
      <c r="W131" s="45">
        <v>4</v>
      </c>
      <c r="X131" s="255">
        <f t="shared" si="60"/>
        <v>1</v>
      </c>
      <c r="Y131" s="255">
        <f t="shared" si="61"/>
        <v>-2</v>
      </c>
      <c r="Z131" s="256">
        <f t="shared" si="62"/>
        <v>100</v>
      </c>
      <c r="AA131" s="257">
        <f t="shared" si="63"/>
        <v>100</v>
      </c>
      <c r="AB131" s="116">
        <f t="shared" si="64"/>
        <v>1</v>
      </c>
      <c r="AC131" s="123">
        <v>48</v>
      </c>
      <c r="AD131" s="123">
        <v>46</v>
      </c>
      <c r="AE131" s="257">
        <f t="shared" si="65"/>
        <v>-2</v>
      </c>
      <c r="AF131" s="258">
        <f t="shared" si="66"/>
        <v>-4.1666666666666661</v>
      </c>
      <c r="AG131" s="257">
        <f t="shared" si="67"/>
        <v>20</v>
      </c>
      <c r="AH131" s="124">
        <f t="shared" si="68"/>
        <v>0.8</v>
      </c>
      <c r="AI131" s="105">
        <v>0</v>
      </c>
      <c r="AJ131" s="105">
        <v>0</v>
      </c>
      <c r="AK131" s="105">
        <v>0</v>
      </c>
      <c r="AL131" s="105">
        <v>0</v>
      </c>
      <c r="AM131" s="260">
        <f t="shared" si="69"/>
        <v>0</v>
      </c>
      <c r="AN131" s="260">
        <f t="shared" si="70"/>
        <v>20</v>
      </c>
      <c r="AO131" s="130">
        <f t="shared" si="71"/>
        <v>0.2</v>
      </c>
      <c r="AP131" s="106">
        <v>323000</v>
      </c>
      <c r="AQ131" s="261">
        <f t="shared" ref="AQ131:AQ194" si="84">(AP131/R131)*100</f>
        <v>4.5475945899674715</v>
      </c>
      <c r="AR131" s="261">
        <f t="shared" si="72"/>
        <v>93.213918849512069</v>
      </c>
      <c r="AS131" s="107">
        <f t="shared" si="73"/>
        <v>3.7285567539804827</v>
      </c>
      <c r="AT131" s="105">
        <v>0</v>
      </c>
      <c r="AU131" s="105">
        <v>1</v>
      </c>
      <c r="AV131" s="262">
        <f t="shared" si="74"/>
        <v>25</v>
      </c>
      <c r="AW131" s="134">
        <v>0</v>
      </c>
      <c r="AX131" s="134"/>
      <c r="AY131" s="262">
        <f t="shared" si="75"/>
        <v>0</v>
      </c>
      <c r="AZ131" s="262">
        <f t="shared" si="76"/>
        <v>25</v>
      </c>
      <c r="BA131" s="38">
        <f t="shared" si="77"/>
        <v>0.25</v>
      </c>
      <c r="BB131" s="105">
        <v>0</v>
      </c>
      <c r="BC131" s="105">
        <v>0</v>
      </c>
      <c r="BD131" s="105">
        <v>0</v>
      </c>
      <c r="BE131" s="262">
        <f t="shared" si="78"/>
        <v>0</v>
      </c>
      <c r="BF131" s="262">
        <f t="shared" si="79"/>
        <v>50</v>
      </c>
      <c r="BG131" s="38">
        <f t="shared" si="80"/>
        <v>0.5</v>
      </c>
      <c r="BH131" s="255">
        <f t="shared" si="81"/>
        <v>2125069</v>
      </c>
      <c r="BI131" s="256">
        <f t="shared" si="82"/>
        <v>1.0132532270376047</v>
      </c>
      <c r="BJ131" s="256">
        <f t="shared" ref="BJ131:BJ194" si="85">IF((25+((75*(BI131-0))/(10-0)))&gt;100, 100, IF((25+((75*(BI131-0))/(10-0)))&lt;25, 25, (25+((75*(BI131-0))/(10-0)))))</f>
        <v>32.599399202782038</v>
      </c>
      <c r="BK131" s="55">
        <f t="shared" si="83"/>
        <v>0.65198798405564073</v>
      </c>
      <c r="BL131" s="137">
        <f t="shared" ref="BL131:BL194" si="86">U131+AB131+AH131+AO131+AS131+BA131+BG131+BK131</f>
        <v>8.1305447380361233</v>
      </c>
    </row>
    <row r="132" spans="1:64" x14ac:dyDescent="0.6">
      <c r="A132" s="214" t="s">
        <v>1666</v>
      </c>
      <c r="B132" s="13" t="s">
        <v>2111</v>
      </c>
      <c r="C132" s="219" t="s">
        <v>1667</v>
      </c>
      <c r="D132" s="14" t="s">
        <v>191</v>
      </c>
      <c r="E132" s="217" t="s">
        <v>952</v>
      </c>
      <c r="F132" s="217" t="s">
        <v>1668</v>
      </c>
      <c r="G132" s="218">
        <v>41089</v>
      </c>
      <c r="H132" s="217" t="s">
        <v>830</v>
      </c>
      <c r="I132" s="217" t="s">
        <v>1669</v>
      </c>
      <c r="J132" s="1" t="s">
        <v>3701</v>
      </c>
      <c r="K132" s="217" t="s">
        <v>91</v>
      </c>
      <c r="L132" s="220">
        <v>350700455</v>
      </c>
      <c r="M132" s="206">
        <v>111544269</v>
      </c>
      <c r="N132" s="206">
        <v>239156186</v>
      </c>
      <c r="O132" s="206">
        <v>201116170</v>
      </c>
      <c r="P132" s="206">
        <v>13584493</v>
      </c>
      <c r="Q132" s="206">
        <v>10414124</v>
      </c>
      <c r="R132" s="206">
        <v>8295233</v>
      </c>
      <c r="S132" s="105">
        <v>1</v>
      </c>
      <c r="T132" s="254">
        <f t="shared" si="58"/>
        <v>100</v>
      </c>
      <c r="U132" s="107">
        <f t="shared" si="59"/>
        <v>1</v>
      </c>
      <c r="V132" s="45">
        <f>2+3+33+17</f>
        <v>55</v>
      </c>
      <c r="W132" s="45">
        <f>2+3+32+17</f>
        <v>54</v>
      </c>
      <c r="X132" s="255">
        <f t="shared" si="60"/>
        <v>-1</v>
      </c>
      <c r="Y132" s="255">
        <f t="shared" si="61"/>
        <v>-1</v>
      </c>
      <c r="Z132" s="256">
        <f t="shared" si="62"/>
        <v>-100</v>
      </c>
      <c r="AA132" s="257">
        <f t="shared" si="63"/>
        <v>20</v>
      </c>
      <c r="AB132" s="116">
        <f t="shared" si="64"/>
        <v>0.2</v>
      </c>
      <c r="AC132" s="123">
        <v>231</v>
      </c>
      <c r="AD132" s="123">
        <v>230</v>
      </c>
      <c r="AE132" s="257">
        <f t="shared" si="65"/>
        <v>-1</v>
      </c>
      <c r="AF132" s="258">
        <f t="shared" si="66"/>
        <v>-0.4329004329004329</v>
      </c>
      <c r="AG132" s="257">
        <f t="shared" si="67"/>
        <v>20</v>
      </c>
      <c r="AH132" s="124">
        <f t="shared" si="68"/>
        <v>0.8</v>
      </c>
      <c r="AI132" s="105">
        <v>0</v>
      </c>
      <c r="AJ132" s="105">
        <v>0</v>
      </c>
      <c r="AK132" s="105">
        <v>0</v>
      </c>
      <c r="AL132" s="105">
        <v>0</v>
      </c>
      <c r="AM132" s="260">
        <f t="shared" si="69"/>
        <v>0</v>
      </c>
      <c r="AN132" s="260">
        <f t="shared" si="70"/>
        <v>20</v>
      </c>
      <c r="AO132" s="130">
        <f t="shared" si="71"/>
        <v>0.2</v>
      </c>
      <c r="AP132" s="106">
        <v>218042</v>
      </c>
      <c r="AQ132" s="261">
        <f t="shared" si="84"/>
        <v>2.6285217063824486</v>
      </c>
      <c r="AR132" s="261">
        <f t="shared" si="72"/>
        <v>64.427825595736735</v>
      </c>
      <c r="AS132" s="107">
        <f t="shared" si="73"/>
        <v>2.5771130238294693</v>
      </c>
      <c r="AT132" s="105">
        <v>0</v>
      </c>
      <c r="AU132" s="105">
        <v>0</v>
      </c>
      <c r="AV132" s="262">
        <f t="shared" si="74"/>
        <v>0</v>
      </c>
      <c r="AW132" s="134">
        <v>2</v>
      </c>
      <c r="AX132" s="447" t="s">
        <v>3702</v>
      </c>
      <c r="AY132" s="262">
        <f t="shared" si="75"/>
        <v>25</v>
      </c>
      <c r="AZ132" s="262">
        <f t="shared" si="76"/>
        <v>25</v>
      </c>
      <c r="BA132" s="38">
        <f t="shared" si="77"/>
        <v>0.25</v>
      </c>
      <c r="BB132" s="105">
        <v>0</v>
      </c>
      <c r="BC132" s="105">
        <v>0</v>
      </c>
      <c r="BD132" s="105">
        <v>0</v>
      </c>
      <c r="BE132" s="262">
        <f t="shared" si="78"/>
        <v>0</v>
      </c>
      <c r="BF132" s="262">
        <f t="shared" si="79"/>
        <v>50</v>
      </c>
      <c r="BG132" s="38">
        <f t="shared" si="80"/>
        <v>0.5</v>
      </c>
      <c r="BH132" s="255">
        <f t="shared" si="81"/>
        <v>2118891</v>
      </c>
      <c r="BI132" s="256">
        <f t="shared" si="82"/>
        <v>1.0535657078195153</v>
      </c>
      <c r="BJ132" s="256">
        <f t="shared" si="85"/>
        <v>32.901742808646368</v>
      </c>
      <c r="BK132" s="55">
        <f t="shared" si="83"/>
        <v>0.65803485617292734</v>
      </c>
      <c r="BL132" s="137">
        <f t="shared" si="86"/>
        <v>6.1851478800023969</v>
      </c>
    </row>
    <row r="133" spans="1:64" x14ac:dyDescent="0.6">
      <c r="A133" s="214" t="s">
        <v>73</v>
      </c>
      <c r="B133" s="13" t="s">
        <v>2112</v>
      </c>
      <c r="C133" s="219" t="s">
        <v>65</v>
      </c>
      <c r="D133" s="216" t="s">
        <v>191</v>
      </c>
      <c r="E133" s="217" t="s">
        <v>952</v>
      </c>
      <c r="F133" s="217" t="s">
        <v>166</v>
      </c>
      <c r="G133" s="218">
        <v>31770</v>
      </c>
      <c r="H133" s="217" t="s">
        <v>830</v>
      </c>
      <c r="I133" s="217" t="s">
        <v>1671</v>
      </c>
      <c r="J133" s="217" t="s">
        <v>1115</v>
      </c>
      <c r="K133" s="217" t="s">
        <v>91</v>
      </c>
      <c r="L133" s="220">
        <v>343207955</v>
      </c>
      <c r="M133" s="206">
        <v>137261542</v>
      </c>
      <c r="N133" s="206">
        <v>205946413</v>
      </c>
      <c r="O133" s="206">
        <v>369125207</v>
      </c>
      <c r="P133" s="206">
        <v>10201023</v>
      </c>
      <c r="Q133" s="206">
        <v>10693290</v>
      </c>
      <c r="R133" s="206">
        <v>8526794</v>
      </c>
      <c r="S133" s="105">
        <v>1</v>
      </c>
      <c r="T133" s="254">
        <f t="shared" si="58"/>
        <v>100</v>
      </c>
      <c r="U133" s="107">
        <f t="shared" si="59"/>
        <v>1</v>
      </c>
      <c r="V133" s="45">
        <v>345</v>
      </c>
      <c r="W133" s="45">
        <v>362</v>
      </c>
      <c r="X133" s="255">
        <f t="shared" si="60"/>
        <v>17</v>
      </c>
      <c r="Y133" s="255">
        <f t="shared" si="61"/>
        <v>41</v>
      </c>
      <c r="Z133" s="256">
        <f t="shared" si="62"/>
        <v>41.463414634146339</v>
      </c>
      <c r="AA133" s="257">
        <f t="shared" si="63"/>
        <v>100</v>
      </c>
      <c r="AB133" s="116">
        <f t="shared" si="64"/>
        <v>1</v>
      </c>
      <c r="AC133" s="123">
        <v>676</v>
      </c>
      <c r="AD133" s="123">
        <v>717</v>
      </c>
      <c r="AE133" s="257">
        <f t="shared" si="65"/>
        <v>41</v>
      </c>
      <c r="AF133" s="258">
        <f t="shared" si="66"/>
        <v>6.0650887573964498</v>
      </c>
      <c r="AG133" s="257">
        <f t="shared" si="67"/>
        <v>100</v>
      </c>
      <c r="AH133" s="124">
        <f t="shared" si="68"/>
        <v>4</v>
      </c>
      <c r="AI133" s="105">
        <v>0</v>
      </c>
      <c r="AJ133" s="105">
        <v>0</v>
      </c>
      <c r="AK133" s="105">
        <v>0</v>
      </c>
      <c r="AL133" s="105">
        <v>0</v>
      </c>
      <c r="AM133" s="260">
        <f t="shared" si="69"/>
        <v>0</v>
      </c>
      <c r="AN133" s="260">
        <f t="shared" si="70"/>
        <v>20</v>
      </c>
      <c r="AO133" s="130">
        <f t="shared" si="71"/>
        <v>0.2</v>
      </c>
      <c r="AP133" s="106">
        <v>11111</v>
      </c>
      <c r="AQ133" s="261">
        <f t="shared" si="84"/>
        <v>0.13030688908398633</v>
      </c>
      <c r="AR133" s="261">
        <f t="shared" si="72"/>
        <v>26.954603336259794</v>
      </c>
      <c r="AS133" s="107">
        <f t="shared" si="73"/>
        <v>1.0781841334503919</v>
      </c>
      <c r="AT133" s="105">
        <v>0</v>
      </c>
      <c r="AU133" s="105">
        <v>1</v>
      </c>
      <c r="AV133" s="262">
        <f t="shared" si="74"/>
        <v>25</v>
      </c>
      <c r="AW133" s="134">
        <v>1</v>
      </c>
      <c r="AX133" s="134" t="s">
        <v>3583</v>
      </c>
      <c r="AY133" s="262">
        <f t="shared" si="75"/>
        <v>25</v>
      </c>
      <c r="AZ133" s="262">
        <f t="shared" si="76"/>
        <v>50</v>
      </c>
      <c r="BA133" s="38">
        <f t="shared" si="77"/>
        <v>0.5</v>
      </c>
      <c r="BB133" s="105">
        <v>0</v>
      </c>
      <c r="BC133" s="105">
        <v>0</v>
      </c>
      <c r="BD133" s="105">
        <v>0</v>
      </c>
      <c r="BE133" s="262">
        <f t="shared" si="78"/>
        <v>0</v>
      </c>
      <c r="BF133" s="262">
        <f t="shared" si="79"/>
        <v>50</v>
      </c>
      <c r="BG133" s="38">
        <f t="shared" si="80"/>
        <v>0.5</v>
      </c>
      <c r="BH133" s="255">
        <f t="shared" si="81"/>
        <v>2166496</v>
      </c>
      <c r="BI133" s="256">
        <f t="shared" si="82"/>
        <v>0.58692713445603295</v>
      </c>
      <c r="BJ133" s="256">
        <f t="shared" si="85"/>
        <v>29.401953508420249</v>
      </c>
      <c r="BK133" s="55">
        <f t="shared" si="83"/>
        <v>0.58803907016840495</v>
      </c>
      <c r="BL133" s="137">
        <f t="shared" si="86"/>
        <v>8.8662232036187962</v>
      </c>
    </row>
    <row r="134" spans="1:64" x14ac:dyDescent="0.6">
      <c r="A134" s="214" t="s">
        <v>1672</v>
      </c>
      <c r="B134" s="13" t="s">
        <v>2113</v>
      </c>
      <c r="C134" s="219" t="s">
        <v>1673</v>
      </c>
      <c r="D134" s="14" t="s">
        <v>203</v>
      </c>
      <c r="E134" s="223" t="s">
        <v>617</v>
      </c>
      <c r="F134" s="223" t="s">
        <v>1674</v>
      </c>
      <c r="G134" s="224">
        <v>28913</v>
      </c>
      <c r="H134" s="223" t="s">
        <v>830</v>
      </c>
      <c r="I134" s="223" t="s">
        <v>1675</v>
      </c>
      <c r="J134" s="1" t="s">
        <v>3703</v>
      </c>
      <c r="K134" s="223" t="s">
        <v>690</v>
      </c>
      <c r="L134" s="225">
        <v>18848886743</v>
      </c>
      <c r="M134" s="226">
        <v>6192868704</v>
      </c>
      <c r="N134" s="226">
        <v>12656018039</v>
      </c>
      <c r="O134" s="226">
        <v>17458293610</v>
      </c>
      <c r="P134" s="226">
        <v>1010874359</v>
      </c>
      <c r="Q134" s="226">
        <v>1064689936</v>
      </c>
      <c r="R134" s="226">
        <v>865838207</v>
      </c>
      <c r="S134" s="105">
        <v>1</v>
      </c>
      <c r="T134" s="254">
        <f t="shared" si="58"/>
        <v>100</v>
      </c>
      <c r="U134" s="107">
        <f t="shared" si="59"/>
        <v>1</v>
      </c>
      <c r="V134" s="45">
        <f>1166+380</f>
        <v>1546</v>
      </c>
      <c r="W134" s="45">
        <f>1390+400+1</f>
        <v>1791</v>
      </c>
      <c r="X134" s="255">
        <f t="shared" si="60"/>
        <v>245</v>
      </c>
      <c r="Y134" s="255">
        <f t="shared" si="61"/>
        <v>615</v>
      </c>
      <c r="Z134" s="256">
        <f t="shared" si="62"/>
        <v>39.837398373983739</v>
      </c>
      <c r="AA134" s="257">
        <f t="shared" si="63"/>
        <v>80</v>
      </c>
      <c r="AB134" s="116">
        <f t="shared" si="64"/>
        <v>0.8</v>
      </c>
      <c r="AC134" s="123">
        <v>10386</v>
      </c>
      <c r="AD134" s="123">
        <v>11001</v>
      </c>
      <c r="AE134" s="257">
        <f t="shared" si="65"/>
        <v>615</v>
      </c>
      <c r="AF134" s="258">
        <f t="shared" si="66"/>
        <v>5.9214326978625076</v>
      </c>
      <c r="AG134" s="257">
        <f t="shared" si="67"/>
        <v>100</v>
      </c>
      <c r="AH134" s="124">
        <f t="shared" si="68"/>
        <v>4</v>
      </c>
      <c r="AI134" s="105">
        <v>0</v>
      </c>
      <c r="AJ134" s="105">
        <v>0</v>
      </c>
      <c r="AK134" s="105">
        <v>0</v>
      </c>
      <c r="AL134" s="105">
        <v>0</v>
      </c>
      <c r="AM134" s="260">
        <f t="shared" si="69"/>
        <v>0</v>
      </c>
      <c r="AN134" s="260">
        <f t="shared" si="70"/>
        <v>20</v>
      </c>
      <c r="AO134" s="130">
        <f t="shared" si="71"/>
        <v>0.2</v>
      </c>
      <c r="AP134" s="106">
        <v>6837817</v>
      </c>
      <c r="AQ134" s="261">
        <f t="shared" si="84"/>
        <v>0.7897338030036829</v>
      </c>
      <c r="AR134" s="261">
        <f t="shared" si="72"/>
        <v>36.846007045055245</v>
      </c>
      <c r="AS134" s="107">
        <f t="shared" si="73"/>
        <v>1.4738402818022098</v>
      </c>
      <c r="AT134" s="105">
        <v>1</v>
      </c>
      <c r="AU134" s="105">
        <v>1</v>
      </c>
      <c r="AV134" s="262">
        <f t="shared" si="74"/>
        <v>50</v>
      </c>
      <c r="AW134" s="134">
        <v>8</v>
      </c>
      <c r="AX134" s="447" t="s">
        <v>3704</v>
      </c>
      <c r="AY134" s="262">
        <f t="shared" si="75"/>
        <v>50</v>
      </c>
      <c r="AZ134" s="262">
        <f t="shared" si="76"/>
        <v>100</v>
      </c>
      <c r="BA134" s="38">
        <f t="shared" si="77"/>
        <v>1</v>
      </c>
      <c r="BB134" s="105">
        <v>0</v>
      </c>
      <c r="BC134" s="105">
        <v>0</v>
      </c>
      <c r="BD134" s="105">
        <v>0</v>
      </c>
      <c r="BE134" s="262">
        <f t="shared" si="78"/>
        <v>0</v>
      </c>
      <c r="BF134" s="262">
        <f t="shared" si="79"/>
        <v>50</v>
      </c>
      <c r="BG134" s="38">
        <f t="shared" si="80"/>
        <v>0.5</v>
      </c>
      <c r="BH134" s="255">
        <f t="shared" si="81"/>
        <v>198851729</v>
      </c>
      <c r="BI134" s="256">
        <f t="shared" si="82"/>
        <v>1.1390101085600886</v>
      </c>
      <c r="BJ134" s="256">
        <f t="shared" si="85"/>
        <v>33.54257581420066</v>
      </c>
      <c r="BK134" s="55">
        <f t="shared" si="83"/>
        <v>0.67085151628401318</v>
      </c>
      <c r="BL134" s="137">
        <f t="shared" si="86"/>
        <v>9.6446917980862246</v>
      </c>
    </row>
    <row r="135" spans="1:64" x14ac:dyDescent="0.6">
      <c r="A135" s="214" t="s">
        <v>2114</v>
      </c>
      <c r="B135" s="1" t="s">
        <v>2115</v>
      </c>
      <c r="C135" s="227" t="s">
        <v>1677</v>
      </c>
      <c r="D135" s="6" t="s">
        <v>285</v>
      </c>
      <c r="E135" s="228" t="s">
        <v>171</v>
      </c>
      <c r="F135" s="228" t="s">
        <v>1678</v>
      </c>
      <c r="G135" s="229">
        <v>41991</v>
      </c>
      <c r="H135" s="228" t="s">
        <v>830</v>
      </c>
      <c r="I135" s="228" t="s">
        <v>1679</v>
      </c>
      <c r="J135" s="1" t="s">
        <v>3705</v>
      </c>
      <c r="K135" s="228" t="s">
        <v>91</v>
      </c>
      <c r="L135" s="9">
        <v>39636329822</v>
      </c>
      <c r="M135" s="9">
        <v>15712704458</v>
      </c>
      <c r="N135" s="9">
        <v>23923625364</v>
      </c>
      <c r="O135" s="9">
        <v>26406560657</v>
      </c>
      <c r="P135" s="9">
        <v>939411977</v>
      </c>
      <c r="Q135" s="9">
        <v>1886089047</v>
      </c>
      <c r="R135" s="9">
        <v>1461807709</v>
      </c>
      <c r="S135" s="105">
        <v>1</v>
      </c>
      <c r="T135" s="254">
        <f t="shared" si="58"/>
        <v>100</v>
      </c>
      <c r="U135" s="107">
        <f t="shared" si="59"/>
        <v>1</v>
      </c>
      <c r="V135" s="45">
        <f>422+208+668+342+1640</f>
        <v>3280</v>
      </c>
      <c r="W135" s="45">
        <f>440+220+676+344+1680+8+7+15</f>
        <v>3390</v>
      </c>
      <c r="X135" s="255">
        <f t="shared" si="60"/>
        <v>110</v>
      </c>
      <c r="Y135" s="255">
        <f t="shared" si="61"/>
        <v>49</v>
      </c>
      <c r="Z135" s="256">
        <f t="shared" si="62"/>
        <v>224.48979591836732</v>
      </c>
      <c r="AA135" s="257">
        <f t="shared" si="63"/>
        <v>100</v>
      </c>
      <c r="AB135" s="116">
        <f t="shared" si="64"/>
        <v>1</v>
      </c>
      <c r="AC135" s="123">
        <v>7720</v>
      </c>
      <c r="AD135" s="123">
        <f>7754+15</f>
        <v>7769</v>
      </c>
      <c r="AE135" s="257">
        <f t="shared" si="65"/>
        <v>49</v>
      </c>
      <c r="AF135" s="258">
        <f t="shared" si="66"/>
        <v>0.63471502590673567</v>
      </c>
      <c r="AG135" s="257">
        <f t="shared" si="67"/>
        <v>60</v>
      </c>
      <c r="AH135" s="124">
        <f t="shared" si="68"/>
        <v>2.4</v>
      </c>
      <c r="AI135" s="105">
        <v>0</v>
      </c>
      <c r="AJ135" s="105">
        <v>0</v>
      </c>
      <c r="AK135" s="105">
        <v>0</v>
      </c>
      <c r="AL135" s="105">
        <v>0</v>
      </c>
      <c r="AM135" s="260">
        <f t="shared" si="69"/>
        <v>0</v>
      </c>
      <c r="AN135" s="260">
        <f t="shared" si="70"/>
        <v>20</v>
      </c>
      <c r="AO135" s="130">
        <f t="shared" si="71"/>
        <v>0.2</v>
      </c>
      <c r="AP135" s="106">
        <v>5542000</v>
      </c>
      <c r="AQ135" s="261">
        <f t="shared" si="84"/>
        <v>0.37911963152740497</v>
      </c>
      <c r="AR135" s="261">
        <f t="shared" si="72"/>
        <v>30.686794472911075</v>
      </c>
      <c r="AS135" s="107">
        <f t="shared" si="73"/>
        <v>1.2274717789164431</v>
      </c>
      <c r="AT135" s="105">
        <v>0</v>
      </c>
      <c r="AU135" s="105">
        <v>1</v>
      </c>
      <c r="AV135" s="262">
        <f t="shared" si="74"/>
        <v>25</v>
      </c>
      <c r="AW135" s="134">
        <v>13</v>
      </c>
      <c r="AX135" s="447" t="s">
        <v>3706</v>
      </c>
      <c r="AY135" s="262">
        <f t="shared" si="75"/>
        <v>50</v>
      </c>
      <c r="AZ135" s="262">
        <f t="shared" si="76"/>
        <v>75</v>
      </c>
      <c r="BA135" s="38">
        <f t="shared" si="77"/>
        <v>0.75</v>
      </c>
      <c r="BB135" s="105">
        <v>0</v>
      </c>
      <c r="BC135" s="105">
        <v>0</v>
      </c>
      <c r="BD135" s="105">
        <v>0</v>
      </c>
      <c r="BE135" s="262">
        <f t="shared" si="78"/>
        <v>0</v>
      </c>
      <c r="BF135" s="262">
        <f t="shared" si="79"/>
        <v>50</v>
      </c>
      <c r="BG135" s="38">
        <f t="shared" si="80"/>
        <v>0.5</v>
      </c>
      <c r="BH135" s="255">
        <f t="shared" si="81"/>
        <v>424281338</v>
      </c>
      <c r="BI135" s="256">
        <f t="shared" si="82"/>
        <v>1.6067269930040249</v>
      </c>
      <c r="BJ135" s="256">
        <f t="shared" si="85"/>
        <v>37.050452447530191</v>
      </c>
      <c r="BK135" s="55">
        <f t="shared" si="83"/>
        <v>0.74100904895060382</v>
      </c>
      <c r="BL135" s="137">
        <f t="shared" si="86"/>
        <v>7.818480827867047</v>
      </c>
    </row>
    <row r="136" spans="1:64" x14ac:dyDescent="0.6">
      <c r="A136" s="214" t="s">
        <v>406</v>
      </c>
      <c r="B136" s="13" t="s">
        <v>2116</v>
      </c>
      <c r="C136" s="219" t="s">
        <v>24</v>
      </c>
      <c r="D136" s="221" t="s">
        <v>481</v>
      </c>
      <c r="E136" s="230" t="s">
        <v>704</v>
      </c>
      <c r="F136" s="230" t="s">
        <v>270</v>
      </c>
      <c r="G136" s="231">
        <v>40310</v>
      </c>
      <c r="H136" s="230" t="s">
        <v>830</v>
      </c>
      <c r="I136" s="230" t="s">
        <v>711</v>
      </c>
      <c r="J136" s="230" t="s">
        <v>1185</v>
      </c>
      <c r="K136" s="230" t="s">
        <v>91</v>
      </c>
      <c r="L136" s="232">
        <v>281498132000</v>
      </c>
      <c r="M136" s="233">
        <v>263811626000</v>
      </c>
      <c r="N136" s="233">
        <v>17686506000</v>
      </c>
      <c r="O136" s="233">
        <v>34485080000</v>
      </c>
      <c r="P136" s="233">
        <v>214616000</v>
      </c>
      <c r="Q136" s="233">
        <v>784965000</v>
      </c>
      <c r="R136" s="233">
        <v>616696000</v>
      </c>
      <c r="S136" s="105">
        <v>1</v>
      </c>
      <c r="T136" s="254">
        <f t="shared" si="58"/>
        <v>100</v>
      </c>
      <c r="U136" s="107">
        <f t="shared" si="59"/>
        <v>1</v>
      </c>
      <c r="V136" s="45">
        <v>2196</v>
      </c>
      <c r="W136" s="45">
        <v>2212</v>
      </c>
      <c r="X136" s="255">
        <f t="shared" si="60"/>
        <v>16</v>
      </c>
      <c r="Y136" s="255">
        <f t="shared" si="61"/>
        <v>-32</v>
      </c>
      <c r="Z136" s="256">
        <f t="shared" si="62"/>
        <v>1600</v>
      </c>
      <c r="AA136" s="257">
        <f t="shared" si="63"/>
        <v>100</v>
      </c>
      <c r="AB136" s="116">
        <f t="shared" si="64"/>
        <v>1</v>
      </c>
      <c r="AC136" s="123">
        <v>4975</v>
      </c>
      <c r="AD136" s="123">
        <v>4943</v>
      </c>
      <c r="AE136" s="257">
        <f t="shared" si="65"/>
        <v>-32</v>
      </c>
      <c r="AF136" s="258">
        <f t="shared" si="66"/>
        <v>-0.64321608040201006</v>
      </c>
      <c r="AG136" s="257">
        <f t="shared" si="67"/>
        <v>20</v>
      </c>
      <c r="AH136" s="124">
        <f t="shared" si="68"/>
        <v>0.8</v>
      </c>
      <c r="AI136" s="105">
        <v>0</v>
      </c>
      <c r="AJ136" s="105">
        <v>0</v>
      </c>
      <c r="AK136" s="105">
        <v>0</v>
      </c>
      <c r="AL136" s="105">
        <v>0</v>
      </c>
      <c r="AM136" s="260">
        <f t="shared" si="69"/>
        <v>0</v>
      </c>
      <c r="AN136" s="260">
        <f t="shared" si="70"/>
        <v>20</v>
      </c>
      <c r="AO136" s="130">
        <f t="shared" si="71"/>
        <v>0.2</v>
      </c>
      <c r="AP136" s="106">
        <v>0</v>
      </c>
      <c r="AQ136" s="261">
        <f t="shared" si="84"/>
        <v>0</v>
      </c>
      <c r="AR136" s="261">
        <f t="shared" si="72"/>
        <v>25</v>
      </c>
      <c r="AS136" s="107">
        <f t="shared" si="73"/>
        <v>1</v>
      </c>
      <c r="AT136" s="105">
        <v>0</v>
      </c>
      <c r="AU136" s="105">
        <v>1</v>
      </c>
      <c r="AV136" s="262">
        <f t="shared" si="74"/>
        <v>25</v>
      </c>
      <c r="AW136" s="134">
        <v>3</v>
      </c>
      <c r="AX136" s="134" t="s">
        <v>3584</v>
      </c>
      <c r="AY136" s="262">
        <f t="shared" si="75"/>
        <v>50</v>
      </c>
      <c r="AZ136" s="262">
        <f t="shared" si="76"/>
        <v>75</v>
      </c>
      <c r="BA136" s="38">
        <f t="shared" si="77"/>
        <v>0.75</v>
      </c>
      <c r="BB136" s="105">
        <v>0</v>
      </c>
      <c r="BC136" s="105">
        <v>0</v>
      </c>
      <c r="BD136" s="105">
        <v>0</v>
      </c>
      <c r="BE136" s="262">
        <f t="shared" si="78"/>
        <v>0</v>
      </c>
      <c r="BF136" s="262">
        <f t="shared" si="79"/>
        <v>50</v>
      </c>
      <c r="BG136" s="38">
        <f t="shared" si="80"/>
        <v>0.5</v>
      </c>
      <c r="BH136" s="255">
        <f t="shared" si="81"/>
        <v>168269000</v>
      </c>
      <c r="BI136" s="256">
        <f t="shared" si="82"/>
        <v>0.48794725139103634</v>
      </c>
      <c r="BJ136" s="256">
        <f t="shared" si="85"/>
        <v>28.659604385432772</v>
      </c>
      <c r="BK136" s="55">
        <f t="shared" si="83"/>
        <v>0.57319208770865548</v>
      </c>
      <c r="BL136" s="137">
        <f t="shared" si="86"/>
        <v>5.8231920877086552</v>
      </c>
    </row>
    <row r="137" spans="1:64" x14ac:dyDescent="0.6">
      <c r="A137" s="214" t="s">
        <v>372</v>
      </c>
      <c r="B137" s="13" t="s">
        <v>2117</v>
      </c>
      <c r="C137" s="219" t="s">
        <v>470</v>
      </c>
      <c r="D137" s="216" t="s">
        <v>285</v>
      </c>
      <c r="E137" s="217" t="s">
        <v>1034</v>
      </c>
      <c r="F137" s="217" t="s">
        <v>380</v>
      </c>
      <c r="G137" s="218">
        <v>41957</v>
      </c>
      <c r="H137" s="217" t="s">
        <v>830</v>
      </c>
      <c r="I137" s="217" t="s">
        <v>832</v>
      </c>
      <c r="J137" s="217" t="s">
        <v>1178</v>
      </c>
      <c r="K137" s="217" t="s">
        <v>91</v>
      </c>
      <c r="L137" s="220">
        <v>7628899434</v>
      </c>
      <c r="M137" s="206">
        <v>1614217740</v>
      </c>
      <c r="N137" s="206">
        <v>6014681694</v>
      </c>
      <c r="O137" s="206">
        <v>5174554118</v>
      </c>
      <c r="P137" s="206">
        <v>296153499</v>
      </c>
      <c r="Q137" s="206">
        <v>482313799</v>
      </c>
      <c r="R137" s="206">
        <v>530145587</v>
      </c>
      <c r="S137" s="105">
        <v>1</v>
      </c>
      <c r="T137" s="254">
        <f t="shared" si="58"/>
        <v>100</v>
      </c>
      <c r="U137" s="107">
        <f t="shared" si="59"/>
        <v>1</v>
      </c>
      <c r="V137" s="45">
        <v>2872</v>
      </c>
      <c r="W137" s="190">
        <f>2832+73</f>
        <v>2905</v>
      </c>
      <c r="X137" s="255">
        <f t="shared" si="60"/>
        <v>33</v>
      </c>
      <c r="Y137" s="255">
        <f t="shared" si="61"/>
        <v>-352</v>
      </c>
      <c r="Z137" s="256">
        <f t="shared" si="62"/>
        <v>3300</v>
      </c>
      <c r="AA137" s="257">
        <f t="shared" si="63"/>
        <v>100</v>
      </c>
      <c r="AB137" s="116">
        <f t="shared" si="64"/>
        <v>1</v>
      </c>
      <c r="AC137" s="123">
        <v>11982</v>
      </c>
      <c r="AD137" s="123">
        <f>11557+73</f>
        <v>11630</v>
      </c>
      <c r="AE137" s="257">
        <f t="shared" si="65"/>
        <v>-352</v>
      </c>
      <c r="AF137" s="258">
        <f t="shared" si="66"/>
        <v>-2.9377399432482054</v>
      </c>
      <c r="AG137" s="257">
        <f t="shared" si="67"/>
        <v>20</v>
      </c>
      <c r="AH137" s="124">
        <f t="shared" si="68"/>
        <v>0.8</v>
      </c>
      <c r="AI137" s="105">
        <v>0</v>
      </c>
      <c r="AJ137" s="105">
        <v>0</v>
      </c>
      <c r="AK137" s="105">
        <v>0</v>
      </c>
      <c r="AL137" s="105">
        <v>0</v>
      </c>
      <c r="AM137" s="260">
        <f t="shared" si="69"/>
        <v>0</v>
      </c>
      <c r="AN137" s="260">
        <f t="shared" si="70"/>
        <v>20</v>
      </c>
      <c r="AO137" s="130">
        <f t="shared" si="71"/>
        <v>0.2</v>
      </c>
      <c r="AP137" s="106">
        <v>2174143</v>
      </c>
      <c r="AQ137" s="261">
        <f t="shared" si="84"/>
        <v>0.41010300817612949</v>
      </c>
      <c r="AR137" s="261">
        <f t="shared" si="72"/>
        <v>31.151545122641942</v>
      </c>
      <c r="AS137" s="107">
        <f t="shared" si="73"/>
        <v>1.2460618049056778</v>
      </c>
      <c r="AT137" s="105">
        <v>0</v>
      </c>
      <c r="AU137" s="105">
        <v>1</v>
      </c>
      <c r="AV137" s="262">
        <f t="shared" si="74"/>
        <v>25</v>
      </c>
      <c r="AW137" s="134">
        <v>2</v>
      </c>
      <c r="AX137" s="134" t="s">
        <v>3585</v>
      </c>
      <c r="AY137" s="262">
        <f t="shared" si="75"/>
        <v>25</v>
      </c>
      <c r="AZ137" s="262">
        <f t="shared" si="76"/>
        <v>50</v>
      </c>
      <c r="BA137" s="38">
        <f t="shared" si="77"/>
        <v>0.5</v>
      </c>
      <c r="BB137" s="105">
        <v>1</v>
      </c>
      <c r="BC137" s="105">
        <v>0</v>
      </c>
      <c r="BD137" s="105">
        <v>0</v>
      </c>
      <c r="BE137" s="262">
        <f t="shared" si="78"/>
        <v>1</v>
      </c>
      <c r="BF137" s="262">
        <f t="shared" si="79"/>
        <v>100</v>
      </c>
      <c r="BG137" s="38">
        <f t="shared" si="80"/>
        <v>1</v>
      </c>
      <c r="BH137" s="255">
        <f t="shared" si="81"/>
        <v>-47831788</v>
      </c>
      <c r="BI137" s="256">
        <f t="shared" si="82"/>
        <v>-0.92436540249167032</v>
      </c>
      <c r="BJ137" s="256">
        <f t="shared" si="85"/>
        <v>25</v>
      </c>
      <c r="BK137" s="55">
        <f t="shared" si="83"/>
        <v>0.5</v>
      </c>
      <c r="BL137" s="137">
        <f t="shared" si="86"/>
        <v>6.2460618049056773</v>
      </c>
    </row>
    <row r="138" spans="1:64" x14ac:dyDescent="0.6">
      <c r="A138" s="214" t="s">
        <v>1681</v>
      </c>
      <c r="B138" s="13" t="s">
        <v>2118</v>
      </c>
      <c r="C138" s="219" t="s">
        <v>884</v>
      </c>
      <c r="D138" s="14" t="s">
        <v>202</v>
      </c>
      <c r="E138" s="217" t="s">
        <v>1167</v>
      </c>
      <c r="F138" s="217" t="s">
        <v>658</v>
      </c>
      <c r="G138" s="218">
        <v>35423</v>
      </c>
      <c r="H138" s="217" t="s">
        <v>830</v>
      </c>
      <c r="I138" s="217" t="s">
        <v>1682</v>
      </c>
      <c r="J138" s="217" t="s">
        <v>384</v>
      </c>
      <c r="K138" s="217" t="s">
        <v>91</v>
      </c>
      <c r="L138" s="220">
        <v>5165940385</v>
      </c>
      <c r="M138" s="206">
        <v>3460358420</v>
      </c>
      <c r="N138" s="206">
        <v>1705581965</v>
      </c>
      <c r="O138" s="206">
        <v>6673315540</v>
      </c>
      <c r="P138" s="206">
        <v>504880672</v>
      </c>
      <c r="Q138" s="206">
        <v>403831051</v>
      </c>
      <c r="R138" s="206">
        <v>307787439</v>
      </c>
      <c r="S138" s="105">
        <v>1</v>
      </c>
      <c r="T138" s="254">
        <f t="shared" si="58"/>
        <v>100</v>
      </c>
      <c r="U138" s="107">
        <f t="shared" si="59"/>
        <v>1</v>
      </c>
      <c r="V138" s="45">
        <v>516</v>
      </c>
      <c r="W138" s="45">
        <f>317+96+131+1+1</f>
        <v>546</v>
      </c>
      <c r="X138" s="255">
        <f t="shared" si="60"/>
        <v>30</v>
      </c>
      <c r="Y138" s="255">
        <f t="shared" si="61"/>
        <v>65</v>
      </c>
      <c r="Z138" s="256">
        <f t="shared" si="62"/>
        <v>46.153846153846153</v>
      </c>
      <c r="AA138" s="257">
        <f t="shared" si="63"/>
        <v>100</v>
      </c>
      <c r="AB138" s="116">
        <f t="shared" si="64"/>
        <v>1</v>
      </c>
      <c r="AC138" s="123">
        <v>4006</v>
      </c>
      <c r="AD138" s="123">
        <f>4069+2</f>
        <v>4071</v>
      </c>
      <c r="AE138" s="257">
        <f t="shared" si="65"/>
        <v>65</v>
      </c>
      <c r="AF138" s="258">
        <f t="shared" si="66"/>
        <v>1.6225661507738391</v>
      </c>
      <c r="AG138" s="257">
        <f t="shared" si="67"/>
        <v>80</v>
      </c>
      <c r="AH138" s="124">
        <f t="shared" si="68"/>
        <v>3.2</v>
      </c>
      <c r="AI138" s="105">
        <v>0</v>
      </c>
      <c r="AJ138" s="105">
        <v>0</v>
      </c>
      <c r="AK138" s="105">
        <v>0</v>
      </c>
      <c r="AL138" s="105">
        <v>0</v>
      </c>
      <c r="AM138" s="260">
        <f t="shared" si="69"/>
        <v>0</v>
      </c>
      <c r="AN138" s="260">
        <f t="shared" si="70"/>
        <v>20</v>
      </c>
      <c r="AO138" s="130">
        <f t="shared" si="71"/>
        <v>0.2</v>
      </c>
      <c r="AP138" s="106">
        <v>1822418</v>
      </c>
      <c r="AQ138" s="261">
        <f t="shared" si="84"/>
        <v>0.59210278558508678</v>
      </c>
      <c r="AR138" s="261">
        <f t="shared" si="72"/>
        <v>33.881541783776299</v>
      </c>
      <c r="AS138" s="107">
        <f t="shared" si="73"/>
        <v>1.3552616713510519</v>
      </c>
      <c r="AT138" s="105">
        <v>0</v>
      </c>
      <c r="AU138" s="105">
        <v>1</v>
      </c>
      <c r="AV138" s="262">
        <f t="shared" si="74"/>
        <v>25</v>
      </c>
      <c r="AW138" s="134">
        <v>3</v>
      </c>
      <c r="AX138" s="134" t="s">
        <v>3585</v>
      </c>
      <c r="AY138" s="262">
        <f t="shared" si="75"/>
        <v>50</v>
      </c>
      <c r="AZ138" s="262">
        <f t="shared" si="76"/>
        <v>75</v>
      </c>
      <c r="BA138" s="38">
        <f t="shared" si="77"/>
        <v>0.75</v>
      </c>
      <c r="BB138" s="105">
        <v>0</v>
      </c>
      <c r="BC138" s="105">
        <v>0</v>
      </c>
      <c r="BD138" s="105">
        <v>0</v>
      </c>
      <c r="BE138" s="262">
        <f t="shared" si="78"/>
        <v>0</v>
      </c>
      <c r="BF138" s="262">
        <f t="shared" si="79"/>
        <v>50</v>
      </c>
      <c r="BG138" s="38">
        <f t="shared" si="80"/>
        <v>0.5</v>
      </c>
      <c r="BH138" s="255">
        <f t="shared" si="81"/>
        <v>96043612</v>
      </c>
      <c r="BI138" s="256">
        <f t="shared" si="82"/>
        <v>1.4392188024725112</v>
      </c>
      <c r="BJ138" s="256">
        <f t="shared" si="85"/>
        <v>35.794141018543833</v>
      </c>
      <c r="BK138" s="55">
        <f t="shared" si="83"/>
        <v>0.71588282037087669</v>
      </c>
      <c r="BL138" s="137">
        <f t="shared" si="86"/>
        <v>8.7211444917219296</v>
      </c>
    </row>
    <row r="139" spans="1:64" x14ac:dyDescent="0.6">
      <c r="A139" s="214" t="s">
        <v>1683</v>
      </c>
      <c r="B139" s="13" t="s">
        <v>2119</v>
      </c>
      <c r="C139" s="219" t="s">
        <v>1684</v>
      </c>
      <c r="D139" s="14" t="s">
        <v>202</v>
      </c>
      <c r="E139" s="217" t="s">
        <v>205</v>
      </c>
      <c r="F139" s="217" t="s">
        <v>1685</v>
      </c>
      <c r="G139" s="218">
        <v>28913</v>
      </c>
      <c r="H139" s="217" t="s">
        <v>830</v>
      </c>
      <c r="I139" s="217" t="s">
        <v>1686</v>
      </c>
      <c r="J139" s="1" t="s">
        <v>3707</v>
      </c>
      <c r="K139" s="217" t="s">
        <v>690</v>
      </c>
      <c r="L139" s="220">
        <v>7910256817</v>
      </c>
      <c r="M139" s="206">
        <v>2124391740</v>
      </c>
      <c r="N139" s="206">
        <v>5785865077</v>
      </c>
      <c r="O139" s="206">
        <v>7244994321</v>
      </c>
      <c r="P139" s="206">
        <v>799695030</v>
      </c>
      <c r="Q139" s="206">
        <v>929802982</v>
      </c>
      <c r="R139" s="206">
        <v>701357778</v>
      </c>
      <c r="S139" s="105">
        <v>1</v>
      </c>
      <c r="T139" s="254">
        <f t="shared" si="58"/>
        <v>100</v>
      </c>
      <c r="U139" s="107">
        <f t="shared" si="59"/>
        <v>1</v>
      </c>
      <c r="V139" s="45">
        <f>940+247+434+1131+2752+16+2+11+29</f>
        <v>5562</v>
      </c>
      <c r="W139" s="45">
        <f>2816+28</f>
        <v>2844</v>
      </c>
      <c r="X139" s="255">
        <f t="shared" si="60"/>
        <v>-2718</v>
      </c>
      <c r="Y139" s="255">
        <f t="shared" si="61"/>
        <v>355</v>
      </c>
      <c r="Z139" s="256">
        <f t="shared" si="62"/>
        <v>-765.63380281690138</v>
      </c>
      <c r="AA139" s="257">
        <f t="shared" si="63"/>
        <v>20</v>
      </c>
      <c r="AB139" s="116">
        <f t="shared" si="64"/>
        <v>0.2</v>
      </c>
      <c r="AC139" s="123">
        <f>11594+29</f>
        <v>11623</v>
      </c>
      <c r="AD139" s="123">
        <f>11950+28</f>
        <v>11978</v>
      </c>
      <c r="AE139" s="257">
        <f t="shared" si="65"/>
        <v>355</v>
      </c>
      <c r="AF139" s="258">
        <f t="shared" si="66"/>
        <v>3.0542889099199866</v>
      </c>
      <c r="AG139" s="257">
        <f t="shared" si="67"/>
        <v>100</v>
      </c>
      <c r="AH139" s="124">
        <f t="shared" si="68"/>
        <v>4</v>
      </c>
      <c r="AI139" s="105">
        <v>0</v>
      </c>
      <c r="AJ139" s="105">
        <v>0</v>
      </c>
      <c r="AK139" s="105">
        <v>0</v>
      </c>
      <c r="AL139" s="105">
        <v>0</v>
      </c>
      <c r="AM139" s="260">
        <f t="shared" si="69"/>
        <v>0</v>
      </c>
      <c r="AN139" s="260">
        <f t="shared" si="70"/>
        <v>20</v>
      </c>
      <c r="AO139" s="130">
        <f t="shared" si="71"/>
        <v>0.2</v>
      </c>
      <c r="AP139" s="106">
        <v>4470281</v>
      </c>
      <c r="AQ139" s="261">
        <f t="shared" si="84"/>
        <v>0.63737526555241253</v>
      </c>
      <c r="AR139" s="261">
        <f t="shared" si="72"/>
        <v>34.560628983286186</v>
      </c>
      <c r="AS139" s="107">
        <f t="shared" si="73"/>
        <v>1.3824251593314474</v>
      </c>
      <c r="AT139" s="105">
        <v>1</v>
      </c>
      <c r="AU139" s="105">
        <v>1</v>
      </c>
      <c r="AV139" s="262">
        <f t="shared" si="74"/>
        <v>50</v>
      </c>
      <c r="AW139" s="134">
        <v>8</v>
      </c>
      <c r="AX139" s="447" t="s">
        <v>3708</v>
      </c>
      <c r="AY139" s="262">
        <f t="shared" si="75"/>
        <v>50</v>
      </c>
      <c r="AZ139" s="262">
        <f t="shared" si="76"/>
        <v>100</v>
      </c>
      <c r="BA139" s="38">
        <f t="shared" si="77"/>
        <v>1</v>
      </c>
      <c r="BB139" s="105">
        <v>0</v>
      </c>
      <c r="BC139" s="105">
        <v>0</v>
      </c>
      <c r="BD139" s="105">
        <v>0</v>
      </c>
      <c r="BE139" s="262">
        <f t="shared" si="78"/>
        <v>0</v>
      </c>
      <c r="BF139" s="262">
        <f t="shared" si="79"/>
        <v>50</v>
      </c>
      <c r="BG139" s="38">
        <f t="shared" si="80"/>
        <v>0.5</v>
      </c>
      <c r="BH139" s="255">
        <f t="shared" si="81"/>
        <v>228445204</v>
      </c>
      <c r="BI139" s="256">
        <f t="shared" si="82"/>
        <v>3.153145383949294</v>
      </c>
      <c r="BJ139" s="256">
        <f t="shared" si="85"/>
        <v>48.648590379619705</v>
      </c>
      <c r="BK139" s="55">
        <f t="shared" si="83"/>
        <v>0.9729718075923941</v>
      </c>
      <c r="BL139" s="137">
        <f t="shared" si="86"/>
        <v>9.2553969669238416</v>
      </c>
    </row>
    <row r="140" spans="1:64" x14ac:dyDescent="0.6">
      <c r="A140" s="214" t="s">
        <v>1688</v>
      </c>
      <c r="B140" s="13" t="s">
        <v>2120</v>
      </c>
      <c r="C140" s="219" t="s">
        <v>1689</v>
      </c>
      <c r="D140" s="14" t="s">
        <v>202</v>
      </c>
      <c r="E140" s="217" t="s">
        <v>623</v>
      </c>
      <c r="F140" s="217" t="s">
        <v>1690</v>
      </c>
      <c r="G140" s="218">
        <v>27556</v>
      </c>
      <c r="H140" s="217" t="s">
        <v>830</v>
      </c>
      <c r="I140" s="217" t="s">
        <v>1691</v>
      </c>
      <c r="J140" s="1" t="s">
        <v>3709</v>
      </c>
      <c r="K140" s="217" t="s">
        <v>690</v>
      </c>
      <c r="L140" s="220">
        <v>260083750000</v>
      </c>
      <c r="M140" s="206">
        <v>50667559000</v>
      </c>
      <c r="N140" s="206">
        <v>209416191000</v>
      </c>
      <c r="O140" s="206">
        <v>211867483000</v>
      </c>
      <c r="P140" s="206">
        <v>25319329000</v>
      </c>
      <c r="Q140" s="206">
        <v>29691920000</v>
      </c>
      <c r="R140" s="206">
        <v>25418778000</v>
      </c>
      <c r="S140" s="105">
        <v>1</v>
      </c>
      <c r="T140" s="254">
        <f t="shared" si="58"/>
        <v>100</v>
      </c>
      <c r="U140" s="107">
        <f t="shared" si="59"/>
        <v>1</v>
      </c>
      <c r="V140" s="45">
        <f>29120+407</f>
        <v>29527</v>
      </c>
      <c r="W140" s="45">
        <f>31725+404</f>
        <v>32129</v>
      </c>
      <c r="X140" s="255">
        <f t="shared" si="60"/>
        <v>2602</v>
      </c>
      <c r="Y140" s="255">
        <f t="shared" si="61"/>
        <v>7956</v>
      </c>
      <c r="Z140" s="256">
        <f t="shared" si="62"/>
        <v>32.704876822523879</v>
      </c>
      <c r="AA140" s="257">
        <f t="shared" si="63"/>
        <v>80</v>
      </c>
      <c r="AB140" s="116">
        <f t="shared" si="64"/>
        <v>0.8</v>
      </c>
      <c r="AC140" s="123">
        <f>112868+407</f>
        <v>113275</v>
      </c>
      <c r="AD140" s="123">
        <f>120827+404</f>
        <v>121231</v>
      </c>
      <c r="AE140" s="257">
        <f t="shared" si="65"/>
        <v>7956</v>
      </c>
      <c r="AF140" s="258">
        <f t="shared" si="66"/>
        <v>7.0236150960052965</v>
      </c>
      <c r="AG140" s="257">
        <f t="shared" si="67"/>
        <v>100</v>
      </c>
      <c r="AH140" s="124">
        <f t="shared" si="68"/>
        <v>4</v>
      </c>
      <c r="AI140" s="105">
        <v>0</v>
      </c>
      <c r="AJ140" s="105">
        <v>1</v>
      </c>
      <c r="AK140" s="105">
        <v>0</v>
      </c>
      <c r="AL140" s="105">
        <v>0</v>
      </c>
      <c r="AM140" s="260">
        <f t="shared" si="69"/>
        <v>1</v>
      </c>
      <c r="AN140" s="260">
        <f t="shared" si="70"/>
        <v>40</v>
      </c>
      <c r="AO140" s="130">
        <f t="shared" si="71"/>
        <v>0.4</v>
      </c>
      <c r="AP140" s="106">
        <v>220309000</v>
      </c>
      <c r="AQ140" s="261">
        <f t="shared" si="84"/>
        <v>0.86671751096767913</v>
      </c>
      <c r="AR140" s="261">
        <f t="shared" si="72"/>
        <v>38.000762664515186</v>
      </c>
      <c r="AS140" s="107">
        <f t="shared" si="73"/>
        <v>1.5200305065806075</v>
      </c>
      <c r="AT140" s="105">
        <v>1</v>
      </c>
      <c r="AU140" s="105">
        <v>1</v>
      </c>
      <c r="AV140" s="262">
        <f t="shared" si="74"/>
        <v>50</v>
      </c>
      <c r="AW140" s="134">
        <v>11</v>
      </c>
      <c r="AX140" s="447" t="s">
        <v>3710</v>
      </c>
      <c r="AY140" s="262">
        <f t="shared" si="75"/>
        <v>50</v>
      </c>
      <c r="AZ140" s="262">
        <f t="shared" si="76"/>
        <v>100</v>
      </c>
      <c r="BA140" s="38">
        <f t="shared" si="77"/>
        <v>1</v>
      </c>
      <c r="BB140" s="105">
        <v>0</v>
      </c>
      <c r="BC140" s="105">
        <v>0</v>
      </c>
      <c r="BD140" s="105">
        <v>0</v>
      </c>
      <c r="BE140" s="262">
        <f t="shared" si="78"/>
        <v>0</v>
      </c>
      <c r="BF140" s="262">
        <f t="shared" si="79"/>
        <v>50</v>
      </c>
      <c r="BG140" s="38">
        <f t="shared" si="80"/>
        <v>0.5</v>
      </c>
      <c r="BH140" s="255">
        <f t="shared" si="81"/>
        <v>4273142000</v>
      </c>
      <c r="BI140" s="256">
        <f t="shared" si="82"/>
        <v>2.0168937391869615</v>
      </c>
      <c r="BJ140" s="256">
        <f t="shared" si="85"/>
        <v>40.126703043902211</v>
      </c>
      <c r="BK140" s="55">
        <f t="shared" si="83"/>
        <v>0.80253406087804424</v>
      </c>
      <c r="BL140" s="137">
        <f t="shared" si="86"/>
        <v>10.022564567458652</v>
      </c>
    </row>
    <row r="141" spans="1:64" x14ac:dyDescent="0.6">
      <c r="A141" s="214" t="s">
        <v>531</v>
      </c>
      <c r="B141" s="13" t="s">
        <v>2121</v>
      </c>
      <c r="C141" s="219" t="s">
        <v>422</v>
      </c>
      <c r="D141" s="221" t="s">
        <v>350</v>
      </c>
      <c r="E141" s="217" t="s">
        <v>179</v>
      </c>
      <c r="F141" s="217" t="s">
        <v>993</v>
      </c>
      <c r="G141" s="218">
        <v>32230</v>
      </c>
      <c r="H141" s="217" t="s">
        <v>830</v>
      </c>
      <c r="I141" s="217" t="s">
        <v>756</v>
      </c>
      <c r="J141" s="217" t="s">
        <v>1174</v>
      </c>
      <c r="K141" s="217" t="s">
        <v>91</v>
      </c>
      <c r="L141" s="220">
        <v>47708236386</v>
      </c>
      <c r="M141" s="206">
        <v>41728539853</v>
      </c>
      <c r="N141" s="206">
        <v>5979696533</v>
      </c>
      <c r="O141" s="206">
        <v>13122029972</v>
      </c>
      <c r="P141" s="206">
        <v>522368891</v>
      </c>
      <c r="Q141" s="206">
        <v>514777360</v>
      </c>
      <c r="R141" s="206">
        <v>377508788</v>
      </c>
      <c r="S141" s="105">
        <v>1</v>
      </c>
      <c r="T141" s="254">
        <f t="shared" si="58"/>
        <v>100</v>
      </c>
      <c r="U141" s="107">
        <f t="shared" si="59"/>
        <v>1</v>
      </c>
      <c r="V141" s="45">
        <v>1034</v>
      </c>
      <c r="W141" s="45">
        <f>345+3+46+1+16+47+562+25</f>
        <v>1045</v>
      </c>
      <c r="X141" s="255">
        <f t="shared" si="60"/>
        <v>11</v>
      </c>
      <c r="Y141" s="255">
        <f t="shared" si="61"/>
        <v>-20</v>
      </c>
      <c r="Z141" s="256">
        <f t="shared" si="62"/>
        <v>1100</v>
      </c>
      <c r="AA141" s="257">
        <f t="shared" si="63"/>
        <v>100</v>
      </c>
      <c r="AB141" s="116">
        <f t="shared" si="64"/>
        <v>1</v>
      </c>
      <c r="AC141" s="123">
        <v>2381</v>
      </c>
      <c r="AD141" s="123">
        <f>2332+29</f>
        <v>2361</v>
      </c>
      <c r="AE141" s="257">
        <f t="shared" si="65"/>
        <v>-20</v>
      </c>
      <c r="AF141" s="258">
        <f t="shared" si="66"/>
        <v>-0.83998320033599327</v>
      </c>
      <c r="AG141" s="257">
        <f t="shared" si="67"/>
        <v>20</v>
      </c>
      <c r="AH141" s="124">
        <f t="shared" si="68"/>
        <v>0.8</v>
      </c>
      <c r="AI141" s="105">
        <v>0</v>
      </c>
      <c r="AJ141" s="105">
        <v>0</v>
      </c>
      <c r="AK141" s="105">
        <v>0</v>
      </c>
      <c r="AL141" s="105">
        <v>0</v>
      </c>
      <c r="AM141" s="260">
        <f t="shared" si="69"/>
        <v>0</v>
      </c>
      <c r="AN141" s="260">
        <f t="shared" si="70"/>
        <v>20</v>
      </c>
      <c r="AO141" s="130">
        <f t="shared" si="71"/>
        <v>0.2</v>
      </c>
      <c r="AP141" s="447">
        <v>2247754</v>
      </c>
      <c r="AQ141" s="261">
        <f t="shared" si="84"/>
        <v>0.59541766217108572</v>
      </c>
      <c r="AR141" s="261">
        <f t="shared" si="72"/>
        <v>33.931264932566286</v>
      </c>
      <c r="AS141" s="107">
        <f t="shared" si="73"/>
        <v>1.3572505973026514</v>
      </c>
      <c r="AT141" s="105">
        <v>0</v>
      </c>
      <c r="AU141" s="105">
        <v>1</v>
      </c>
      <c r="AV141" s="262">
        <f t="shared" si="74"/>
        <v>25</v>
      </c>
      <c r="AW141" s="134">
        <v>2</v>
      </c>
      <c r="AX141" s="134" t="s">
        <v>3586</v>
      </c>
      <c r="AY141" s="262">
        <f t="shared" si="75"/>
        <v>25</v>
      </c>
      <c r="AZ141" s="262">
        <f t="shared" si="76"/>
        <v>50</v>
      </c>
      <c r="BA141" s="38">
        <f t="shared" si="77"/>
        <v>0.5</v>
      </c>
      <c r="BB141" s="105">
        <v>0</v>
      </c>
      <c r="BC141" s="105">
        <v>0</v>
      </c>
      <c r="BD141" s="105">
        <v>0</v>
      </c>
      <c r="BE141" s="262">
        <f t="shared" si="78"/>
        <v>0</v>
      </c>
      <c r="BF141" s="262">
        <f t="shared" si="79"/>
        <v>50</v>
      </c>
      <c r="BG141" s="38">
        <f t="shared" si="80"/>
        <v>0.5</v>
      </c>
      <c r="BH141" s="255">
        <f t="shared" si="81"/>
        <v>137268572</v>
      </c>
      <c r="BI141" s="256">
        <f t="shared" si="82"/>
        <v>1.046092504687963</v>
      </c>
      <c r="BJ141" s="256">
        <f t="shared" si="85"/>
        <v>32.845693785159725</v>
      </c>
      <c r="BK141" s="55">
        <f t="shared" si="83"/>
        <v>0.65691387570319448</v>
      </c>
      <c r="BL141" s="137">
        <f t="shared" si="86"/>
        <v>6.0141644730058461</v>
      </c>
    </row>
    <row r="142" spans="1:64" x14ac:dyDescent="0.6">
      <c r="A142" s="214" t="s">
        <v>891</v>
      </c>
      <c r="B142" s="13" t="s">
        <v>2122</v>
      </c>
      <c r="C142" s="219" t="s">
        <v>336</v>
      </c>
      <c r="D142" s="221" t="s">
        <v>88</v>
      </c>
      <c r="E142" s="217" t="s">
        <v>61</v>
      </c>
      <c r="F142" s="217" t="s">
        <v>1</v>
      </c>
      <c r="G142" s="218">
        <v>39260</v>
      </c>
      <c r="H142" s="217" t="s">
        <v>830</v>
      </c>
      <c r="I142" s="217" t="s">
        <v>816</v>
      </c>
      <c r="J142" s="217" t="s">
        <v>666</v>
      </c>
      <c r="K142" s="217" t="s">
        <v>91</v>
      </c>
      <c r="L142" s="220">
        <v>29407344093</v>
      </c>
      <c r="M142" s="206">
        <v>21565863258</v>
      </c>
      <c r="N142" s="206">
        <v>7841480835</v>
      </c>
      <c r="O142" s="206">
        <v>3641606365</v>
      </c>
      <c r="P142" s="206">
        <v>846324379</v>
      </c>
      <c r="Q142" s="206">
        <v>843940009</v>
      </c>
      <c r="R142" s="206">
        <v>617150148</v>
      </c>
      <c r="S142" s="105">
        <v>1</v>
      </c>
      <c r="T142" s="254">
        <f t="shared" si="58"/>
        <v>100</v>
      </c>
      <c r="U142" s="107">
        <f t="shared" si="59"/>
        <v>1</v>
      </c>
      <c r="V142" s="45">
        <v>584</v>
      </c>
      <c r="W142" s="45">
        <f>606+19</f>
        <v>625</v>
      </c>
      <c r="X142" s="255">
        <f t="shared" si="60"/>
        <v>41</v>
      </c>
      <c r="Y142" s="255">
        <f t="shared" si="61"/>
        <v>37</v>
      </c>
      <c r="Z142" s="256">
        <f t="shared" si="62"/>
        <v>110.81081081081081</v>
      </c>
      <c r="AA142" s="257">
        <f t="shared" si="63"/>
        <v>100</v>
      </c>
      <c r="AB142" s="116">
        <f t="shared" si="64"/>
        <v>1</v>
      </c>
      <c r="AC142" s="123">
        <v>1757</v>
      </c>
      <c r="AD142" s="123">
        <f>1775+19</f>
        <v>1794</v>
      </c>
      <c r="AE142" s="257">
        <f t="shared" si="65"/>
        <v>37</v>
      </c>
      <c r="AF142" s="258">
        <f t="shared" si="66"/>
        <v>2.1058622652248151</v>
      </c>
      <c r="AG142" s="257">
        <f t="shared" si="67"/>
        <v>80</v>
      </c>
      <c r="AH142" s="124">
        <f t="shared" si="68"/>
        <v>3.2</v>
      </c>
      <c r="AI142" s="105">
        <v>0</v>
      </c>
      <c r="AJ142" s="105">
        <v>0</v>
      </c>
      <c r="AK142" s="105">
        <v>0</v>
      </c>
      <c r="AL142" s="105">
        <v>0</v>
      </c>
      <c r="AM142" s="260">
        <f t="shared" si="69"/>
        <v>0</v>
      </c>
      <c r="AN142" s="260">
        <f t="shared" si="70"/>
        <v>20</v>
      </c>
      <c r="AO142" s="130">
        <f t="shared" si="71"/>
        <v>0.2</v>
      </c>
      <c r="AP142" s="106">
        <f>2607954.145</f>
        <v>2607954.145</v>
      </c>
      <c r="AQ142" s="261">
        <f t="shared" si="84"/>
        <v>0.42258017006908338</v>
      </c>
      <c r="AR142" s="261">
        <f t="shared" si="72"/>
        <v>31.338702551036249</v>
      </c>
      <c r="AS142" s="107">
        <f t="shared" si="73"/>
        <v>1.2535481020414501</v>
      </c>
      <c r="AT142" s="105">
        <v>0</v>
      </c>
      <c r="AU142" s="105">
        <v>1</v>
      </c>
      <c r="AV142" s="262">
        <f t="shared" si="74"/>
        <v>25</v>
      </c>
      <c r="AW142" s="134">
        <v>0</v>
      </c>
      <c r="AX142" s="134"/>
      <c r="AY142" s="262">
        <f t="shared" si="75"/>
        <v>0</v>
      </c>
      <c r="AZ142" s="262">
        <f t="shared" si="76"/>
        <v>25</v>
      </c>
      <c r="BA142" s="38">
        <f t="shared" si="77"/>
        <v>0.25</v>
      </c>
      <c r="BB142" s="105">
        <v>0</v>
      </c>
      <c r="BC142" s="105">
        <v>0</v>
      </c>
      <c r="BD142" s="105">
        <v>0</v>
      </c>
      <c r="BE142" s="262">
        <f t="shared" si="78"/>
        <v>0</v>
      </c>
      <c r="BF142" s="262">
        <f t="shared" si="79"/>
        <v>50</v>
      </c>
      <c r="BG142" s="38">
        <f t="shared" si="80"/>
        <v>0.5</v>
      </c>
      <c r="BH142" s="255">
        <f t="shared" si="81"/>
        <v>226789861</v>
      </c>
      <c r="BI142" s="256">
        <f t="shared" si="82"/>
        <v>6.2277423276636874</v>
      </c>
      <c r="BJ142" s="256">
        <f t="shared" si="85"/>
        <v>71.708067457477654</v>
      </c>
      <c r="BK142" s="55">
        <f t="shared" si="83"/>
        <v>1.4341613491495531</v>
      </c>
      <c r="BL142" s="137">
        <f t="shared" si="86"/>
        <v>8.837709451191003</v>
      </c>
    </row>
    <row r="143" spans="1:64" x14ac:dyDescent="0.6">
      <c r="A143" s="214" t="s">
        <v>262</v>
      </c>
      <c r="B143" s="13" t="s">
        <v>2123</v>
      </c>
      <c r="C143" s="219" t="s">
        <v>919</v>
      </c>
      <c r="D143" s="221" t="s">
        <v>481</v>
      </c>
      <c r="E143" s="217" t="s">
        <v>704</v>
      </c>
      <c r="F143" s="217" t="s">
        <v>1118</v>
      </c>
      <c r="G143" s="218">
        <v>27575</v>
      </c>
      <c r="H143" s="217" t="s">
        <v>830</v>
      </c>
      <c r="I143" s="217" t="s">
        <v>773</v>
      </c>
      <c r="J143" s="217" t="s">
        <v>1166</v>
      </c>
      <c r="K143" s="217" t="s">
        <v>91</v>
      </c>
      <c r="L143" s="220">
        <v>86856870802</v>
      </c>
      <c r="M143" s="206">
        <v>76041738670</v>
      </c>
      <c r="N143" s="206">
        <v>10815132132</v>
      </c>
      <c r="O143" s="206">
        <v>18511997130</v>
      </c>
      <c r="P143" s="206">
        <v>1524131094</v>
      </c>
      <c r="Q143" s="206">
        <v>1536847185</v>
      </c>
      <c r="R143" s="206">
        <v>1141384899</v>
      </c>
      <c r="S143" s="105">
        <v>1</v>
      </c>
      <c r="T143" s="254">
        <f t="shared" si="58"/>
        <v>100</v>
      </c>
      <c r="U143" s="107">
        <f t="shared" si="59"/>
        <v>1</v>
      </c>
      <c r="V143" s="45">
        <v>2420</v>
      </c>
      <c r="W143" s="45">
        <f>2410+79</f>
        <v>2489</v>
      </c>
      <c r="X143" s="255">
        <f t="shared" si="60"/>
        <v>69</v>
      </c>
      <c r="Y143" s="255">
        <f t="shared" si="61"/>
        <v>8</v>
      </c>
      <c r="Z143" s="256">
        <f t="shared" si="62"/>
        <v>862.5</v>
      </c>
      <c r="AA143" s="257">
        <f t="shared" si="63"/>
        <v>100</v>
      </c>
      <c r="AB143" s="116">
        <f t="shared" si="64"/>
        <v>1</v>
      </c>
      <c r="AC143" s="123">
        <v>5577</v>
      </c>
      <c r="AD143" s="123">
        <f>5506+79</f>
        <v>5585</v>
      </c>
      <c r="AE143" s="257">
        <f t="shared" si="65"/>
        <v>8</v>
      </c>
      <c r="AF143" s="258">
        <f t="shared" si="66"/>
        <v>0.14344629729245115</v>
      </c>
      <c r="AG143" s="257">
        <f t="shared" si="67"/>
        <v>40</v>
      </c>
      <c r="AH143" s="124">
        <f t="shared" si="68"/>
        <v>1.6</v>
      </c>
      <c r="AI143" s="105">
        <v>0</v>
      </c>
      <c r="AJ143" s="105">
        <v>0</v>
      </c>
      <c r="AK143" s="105">
        <v>0</v>
      </c>
      <c r="AL143" s="105">
        <v>0</v>
      </c>
      <c r="AM143" s="260">
        <f t="shared" si="69"/>
        <v>0</v>
      </c>
      <c r="AN143" s="260">
        <f t="shared" si="70"/>
        <v>20</v>
      </c>
      <c r="AO143" s="130">
        <f t="shared" si="71"/>
        <v>0.2</v>
      </c>
      <c r="AP143" s="106">
        <v>5461000</v>
      </c>
      <c r="AQ143" s="261">
        <f t="shared" si="84"/>
        <v>0.47845385064972723</v>
      </c>
      <c r="AR143" s="261">
        <f t="shared" si="72"/>
        <v>32.176807759745905</v>
      </c>
      <c r="AS143" s="107">
        <f t="shared" si="73"/>
        <v>1.2870723103898363</v>
      </c>
      <c r="AT143" s="105">
        <v>0</v>
      </c>
      <c r="AU143" s="105">
        <v>1</v>
      </c>
      <c r="AV143" s="262">
        <f t="shared" si="74"/>
        <v>25</v>
      </c>
      <c r="AW143" s="134">
        <v>0</v>
      </c>
      <c r="AX143" s="134"/>
      <c r="AY143" s="262">
        <f t="shared" si="75"/>
        <v>0</v>
      </c>
      <c r="AZ143" s="262">
        <f t="shared" si="76"/>
        <v>25</v>
      </c>
      <c r="BA143" s="38">
        <f t="shared" si="77"/>
        <v>0.25</v>
      </c>
      <c r="BB143" s="105">
        <v>0</v>
      </c>
      <c r="BC143" s="105">
        <v>0</v>
      </c>
      <c r="BD143" s="105">
        <v>0</v>
      </c>
      <c r="BE143" s="262">
        <f t="shared" si="78"/>
        <v>0</v>
      </c>
      <c r="BF143" s="262">
        <f t="shared" si="79"/>
        <v>50</v>
      </c>
      <c r="BG143" s="38">
        <f t="shared" si="80"/>
        <v>0.5</v>
      </c>
      <c r="BH143" s="255">
        <f t="shared" si="81"/>
        <v>395462286</v>
      </c>
      <c r="BI143" s="256">
        <f t="shared" si="82"/>
        <v>2.136248634995332</v>
      </c>
      <c r="BJ143" s="256">
        <f t="shared" si="85"/>
        <v>41.021864762464986</v>
      </c>
      <c r="BK143" s="55">
        <f t="shared" si="83"/>
        <v>0.82043729524929976</v>
      </c>
      <c r="BL143" s="137">
        <f t="shared" si="86"/>
        <v>6.6575096056391363</v>
      </c>
    </row>
    <row r="144" spans="1:64" x14ac:dyDescent="0.6">
      <c r="A144" s="214" t="s">
        <v>7</v>
      </c>
      <c r="B144" s="13" t="s">
        <v>2124</v>
      </c>
      <c r="C144" s="219" t="s">
        <v>42</v>
      </c>
      <c r="D144" s="216" t="s">
        <v>203</v>
      </c>
      <c r="E144" s="217" t="s">
        <v>200</v>
      </c>
      <c r="F144" s="217" t="s">
        <v>661</v>
      </c>
      <c r="G144" s="218">
        <v>29560</v>
      </c>
      <c r="H144" s="217" t="s">
        <v>830</v>
      </c>
      <c r="I144" s="217" t="s">
        <v>903</v>
      </c>
      <c r="J144" s="217" t="s">
        <v>1064</v>
      </c>
      <c r="K144" s="217" t="s">
        <v>690</v>
      </c>
      <c r="L144" s="220">
        <v>287810418</v>
      </c>
      <c r="M144" s="206">
        <v>149871483</v>
      </c>
      <c r="N144" s="206">
        <v>137938935</v>
      </c>
      <c r="O144" s="206">
        <v>272706610</v>
      </c>
      <c r="P144" s="206">
        <v>22413049</v>
      </c>
      <c r="Q144" s="206">
        <v>21027374</v>
      </c>
      <c r="R144" s="206">
        <v>17206656</v>
      </c>
      <c r="S144" s="105">
        <v>1</v>
      </c>
      <c r="T144" s="254">
        <f t="shared" si="58"/>
        <v>100</v>
      </c>
      <c r="U144" s="107">
        <f t="shared" si="59"/>
        <v>1</v>
      </c>
      <c r="V144" s="45">
        <v>26</v>
      </c>
      <c r="W144" s="45">
        <f>2+5+27</f>
        <v>34</v>
      </c>
      <c r="X144" s="255">
        <f t="shared" si="60"/>
        <v>8</v>
      </c>
      <c r="Y144" s="255">
        <f t="shared" si="61"/>
        <v>39</v>
      </c>
      <c r="Z144" s="256">
        <f t="shared" si="62"/>
        <v>20.512820512820511</v>
      </c>
      <c r="AA144" s="257">
        <f t="shared" si="63"/>
        <v>60</v>
      </c>
      <c r="AB144" s="116">
        <f t="shared" si="64"/>
        <v>0.6</v>
      </c>
      <c r="AC144" s="123">
        <v>268</v>
      </c>
      <c r="AD144" s="123">
        <v>307</v>
      </c>
      <c r="AE144" s="257">
        <f t="shared" si="65"/>
        <v>39</v>
      </c>
      <c r="AF144" s="258">
        <f t="shared" si="66"/>
        <v>14.55223880597015</v>
      </c>
      <c r="AG144" s="257">
        <f t="shared" si="67"/>
        <v>100</v>
      </c>
      <c r="AH144" s="124">
        <f t="shared" si="68"/>
        <v>4</v>
      </c>
      <c r="AI144" s="105">
        <v>0</v>
      </c>
      <c r="AJ144" s="105">
        <v>0</v>
      </c>
      <c r="AK144" s="105">
        <v>0</v>
      </c>
      <c r="AL144" s="105">
        <v>0</v>
      </c>
      <c r="AM144" s="260">
        <f t="shared" si="69"/>
        <v>0</v>
      </c>
      <c r="AN144" s="260">
        <f t="shared" si="70"/>
        <v>20</v>
      </c>
      <c r="AO144" s="130">
        <f t="shared" si="71"/>
        <v>0.2</v>
      </c>
      <c r="AP144" s="106">
        <v>112800</v>
      </c>
      <c r="AQ144" s="261">
        <f t="shared" si="84"/>
        <v>0.65556026691066527</v>
      </c>
      <c r="AR144" s="261">
        <f t="shared" si="72"/>
        <v>34.833404003659979</v>
      </c>
      <c r="AS144" s="107">
        <f t="shared" si="73"/>
        <v>1.3933361601463992</v>
      </c>
      <c r="AT144" s="105">
        <v>0</v>
      </c>
      <c r="AU144" s="105">
        <v>1</v>
      </c>
      <c r="AV144" s="262">
        <f t="shared" si="74"/>
        <v>25</v>
      </c>
      <c r="AW144" s="134">
        <v>0</v>
      </c>
      <c r="AX144" s="134"/>
      <c r="AY144" s="262">
        <f t="shared" si="75"/>
        <v>0</v>
      </c>
      <c r="AZ144" s="262">
        <f t="shared" si="76"/>
        <v>25</v>
      </c>
      <c r="BA144" s="38">
        <f t="shared" si="77"/>
        <v>0.25</v>
      </c>
      <c r="BB144" s="105">
        <v>0</v>
      </c>
      <c r="BC144" s="105">
        <v>0</v>
      </c>
      <c r="BD144" s="105">
        <v>0</v>
      </c>
      <c r="BE144" s="262">
        <f t="shared" si="78"/>
        <v>0</v>
      </c>
      <c r="BF144" s="262">
        <f t="shared" si="79"/>
        <v>50</v>
      </c>
      <c r="BG144" s="38">
        <f t="shared" si="80"/>
        <v>0.5</v>
      </c>
      <c r="BH144" s="255">
        <f t="shared" si="81"/>
        <v>3820718</v>
      </c>
      <c r="BI144" s="256">
        <f t="shared" si="82"/>
        <v>1.401036080496912</v>
      </c>
      <c r="BJ144" s="256">
        <f t="shared" si="85"/>
        <v>35.50777060372684</v>
      </c>
      <c r="BK144" s="55">
        <f t="shared" si="83"/>
        <v>0.71015541207453681</v>
      </c>
      <c r="BL144" s="137">
        <f t="shared" si="86"/>
        <v>8.6534915722209362</v>
      </c>
    </row>
    <row r="145" spans="1:64" x14ac:dyDescent="0.6">
      <c r="A145" s="214" t="s">
        <v>741</v>
      </c>
      <c r="B145" s="13" t="s">
        <v>2125</v>
      </c>
      <c r="C145" s="219" t="s">
        <v>909</v>
      </c>
      <c r="D145" s="216" t="s">
        <v>191</v>
      </c>
      <c r="E145" s="217" t="s">
        <v>178</v>
      </c>
      <c r="F145" s="217" t="s">
        <v>809</v>
      </c>
      <c r="G145" s="218">
        <v>40882</v>
      </c>
      <c r="H145" s="217" t="s">
        <v>830</v>
      </c>
      <c r="I145" s="217" t="s">
        <v>239</v>
      </c>
      <c r="J145" s="217" t="s">
        <v>1153</v>
      </c>
      <c r="K145" s="217" t="s">
        <v>91</v>
      </c>
      <c r="L145" s="220">
        <v>2278458050</v>
      </c>
      <c r="M145" s="206">
        <v>1056955250</v>
      </c>
      <c r="N145" s="206">
        <v>1221502799</v>
      </c>
      <c r="O145" s="206">
        <v>1998768182</v>
      </c>
      <c r="P145" s="206">
        <v>37795019</v>
      </c>
      <c r="Q145" s="206">
        <v>66850204</v>
      </c>
      <c r="R145" s="206">
        <v>55711450</v>
      </c>
      <c r="S145" s="105">
        <v>1</v>
      </c>
      <c r="T145" s="254">
        <f t="shared" si="58"/>
        <v>100</v>
      </c>
      <c r="U145" s="107">
        <f t="shared" si="59"/>
        <v>1</v>
      </c>
      <c r="V145" s="45">
        <v>249</v>
      </c>
      <c r="W145" s="45">
        <f>164+63+42</f>
        <v>269</v>
      </c>
      <c r="X145" s="255">
        <f t="shared" si="60"/>
        <v>20</v>
      </c>
      <c r="Y145" s="255">
        <f t="shared" si="61"/>
        <v>-21</v>
      </c>
      <c r="Z145" s="256">
        <f t="shared" si="62"/>
        <v>2000</v>
      </c>
      <c r="AA145" s="257">
        <f t="shared" si="63"/>
        <v>100</v>
      </c>
      <c r="AB145" s="116">
        <f t="shared" si="64"/>
        <v>1</v>
      </c>
      <c r="AC145" s="123">
        <v>1259</v>
      </c>
      <c r="AD145" s="123">
        <v>1238</v>
      </c>
      <c r="AE145" s="257">
        <f t="shared" si="65"/>
        <v>-21</v>
      </c>
      <c r="AF145" s="258">
        <f t="shared" si="66"/>
        <v>-1.6679904686258933</v>
      </c>
      <c r="AG145" s="257">
        <f t="shared" si="67"/>
        <v>20</v>
      </c>
      <c r="AH145" s="124">
        <f t="shared" si="68"/>
        <v>0.8</v>
      </c>
      <c r="AI145" s="105">
        <v>0</v>
      </c>
      <c r="AJ145" s="105">
        <v>0</v>
      </c>
      <c r="AK145" s="105">
        <v>0</v>
      </c>
      <c r="AL145" s="105">
        <v>0</v>
      </c>
      <c r="AM145" s="260">
        <f t="shared" si="69"/>
        <v>0</v>
      </c>
      <c r="AN145" s="260">
        <f t="shared" si="70"/>
        <v>20</v>
      </c>
      <c r="AO145" s="130">
        <f t="shared" si="71"/>
        <v>0.2</v>
      </c>
      <c r="AP145" s="106">
        <v>135000</v>
      </c>
      <c r="AQ145" s="261">
        <f t="shared" si="84"/>
        <v>0.24232002577567086</v>
      </c>
      <c r="AR145" s="261">
        <f t="shared" si="72"/>
        <v>28.634800386635064</v>
      </c>
      <c r="AS145" s="107">
        <f t="shared" si="73"/>
        <v>1.1453920154654025</v>
      </c>
      <c r="AT145" s="105">
        <v>1</v>
      </c>
      <c r="AU145" s="105">
        <v>1</v>
      </c>
      <c r="AV145" s="262">
        <f t="shared" si="74"/>
        <v>50</v>
      </c>
      <c r="AW145" s="134">
        <v>3</v>
      </c>
      <c r="AX145" s="134" t="s">
        <v>3587</v>
      </c>
      <c r="AY145" s="262">
        <f t="shared" si="75"/>
        <v>50</v>
      </c>
      <c r="AZ145" s="262">
        <f t="shared" si="76"/>
        <v>100</v>
      </c>
      <c r="BA145" s="38">
        <f t="shared" si="77"/>
        <v>1</v>
      </c>
      <c r="BB145" s="105">
        <v>0</v>
      </c>
      <c r="BC145" s="105">
        <v>0</v>
      </c>
      <c r="BD145" s="105">
        <v>0</v>
      </c>
      <c r="BE145" s="262">
        <f t="shared" si="78"/>
        <v>0</v>
      </c>
      <c r="BF145" s="262">
        <f t="shared" si="79"/>
        <v>50</v>
      </c>
      <c r="BG145" s="38">
        <f t="shared" si="80"/>
        <v>0.5</v>
      </c>
      <c r="BH145" s="255">
        <f t="shared" si="81"/>
        <v>11138754</v>
      </c>
      <c r="BI145" s="256">
        <f t="shared" si="82"/>
        <v>0.5572809343429902</v>
      </c>
      <c r="BJ145" s="256">
        <f t="shared" si="85"/>
        <v>29.179607007572429</v>
      </c>
      <c r="BK145" s="55">
        <f t="shared" si="83"/>
        <v>0.58359214015144856</v>
      </c>
      <c r="BL145" s="137">
        <f t="shared" si="86"/>
        <v>6.2289841556168515</v>
      </c>
    </row>
    <row r="146" spans="1:64" x14ac:dyDescent="0.6">
      <c r="A146" s="214" t="s">
        <v>363</v>
      </c>
      <c r="B146" s="13" t="s">
        <v>2126</v>
      </c>
      <c r="C146" s="219" t="s">
        <v>105</v>
      </c>
      <c r="D146" s="216" t="s">
        <v>191</v>
      </c>
      <c r="E146" s="217" t="s">
        <v>178</v>
      </c>
      <c r="F146" s="217" t="s">
        <v>563</v>
      </c>
      <c r="G146" s="218">
        <v>27575</v>
      </c>
      <c r="H146" s="217" t="s">
        <v>830</v>
      </c>
      <c r="I146" s="217" t="s">
        <v>1693</v>
      </c>
      <c r="J146" s="217" t="s">
        <v>1183</v>
      </c>
      <c r="K146" s="217" t="s">
        <v>91</v>
      </c>
      <c r="L146" s="220">
        <v>857127709</v>
      </c>
      <c r="M146" s="206">
        <v>439493133</v>
      </c>
      <c r="N146" s="206">
        <v>417634577</v>
      </c>
      <c r="O146" s="206">
        <v>833227370</v>
      </c>
      <c r="P146" s="206">
        <v>86234040</v>
      </c>
      <c r="Q146" s="206">
        <v>96322163</v>
      </c>
      <c r="R146" s="206">
        <v>75455528</v>
      </c>
      <c r="S146" s="105">
        <v>1</v>
      </c>
      <c r="T146" s="254">
        <f t="shared" si="58"/>
        <v>100</v>
      </c>
      <c r="U146" s="107">
        <f t="shared" si="59"/>
        <v>1</v>
      </c>
      <c r="V146" s="45">
        <v>734</v>
      </c>
      <c r="W146" s="45">
        <f>250+441</f>
        <v>691</v>
      </c>
      <c r="X146" s="255">
        <f t="shared" si="60"/>
        <v>-43</v>
      </c>
      <c r="Y146" s="255">
        <f t="shared" si="61"/>
        <v>-190</v>
      </c>
      <c r="Z146" s="256">
        <f t="shared" si="62"/>
        <v>-4300</v>
      </c>
      <c r="AA146" s="257">
        <f t="shared" si="63"/>
        <v>20</v>
      </c>
      <c r="AB146" s="116">
        <f t="shared" si="64"/>
        <v>0.2</v>
      </c>
      <c r="AC146" s="123">
        <v>1757</v>
      </c>
      <c r="AD146" s="123">
        <v>1567</v>
      </c>
      <c r="AE146" s="257">
        <f t="shared" si="65"/>
        <v>-190</v>
      </c>
      <c r="AF146" s="258">
        <f t="shared" si="66"/>
        <v>-10.813887307911212</v>
      </c>
      <c r="AG146" s="257">
        <f t="shared" si="67"/>
        <v>20</v>
      </c>
      <c r="AH146" s="124">
        <f t="shared" si="68"/>
        <v>0.8</v>
      </c>
      <c r="AI146" s="105">
        <v>0</v>
      </c>
      <c r="AJ146" s="105">
        <v>0</v>
      </c>
      <c r="AK146" s="105">
        <v>0</v>
      </c>
      <c r="AL146" s="105">
        <v>0</v>
      </c>
      <c r="AM146" s="260">
        <f t="shared" si="69"/>
        <v>0</v>
      </c>
      <c r="AN146" s="260">
        <f t="shared" si="70"/>
        <v>20</v>
      </c>
      <c r="AO146" s="130">
        <f t="shared" si="71"/>
        <v>0.2</v>
      </c>
      <c r="AP146" s="106">
        <v>719776</v>
      </c>
      <c r="AQ146" s="261">
        <f t="shared" si="84"/>
        <v>0.95390757851432706</v>
      </c>
      <c r="AR146" s="261">
        <f t="shared" si="72"/>
        <v>39.308613677714902</v>
      </c>
      <c r="AS146" s="107">
        <f t="shared" si="73"/>
        <v>1.5723445471085962</v>
      </c>
      <c r="AT146" s="105">
        <v>1</v>
      </c>
      <c r="AU146" s="105">
        <v>1</v>
      </c>
      <c r="AV146" s="262">
        <f t="shared" si="74"/>
        <v>50</v>
      </c>
      <c r="AW146" s="134">
        <v>4</v>
      </c>
      <c r="AX146" s="134" t="s">
        <v>3588</v>
      </c>
      <c r="AY146" s="262">
        <f t="shared" si="75"/>
        <v>50</v>
      </c>
      <c r="AZ146" s="262">
        <f t="shared" si="76"/>
        <v>100</v>
      </c>
      <c r="BA146" s="38">
        <f t="shared" si="77"/>
        <v>1</v>
      </c>
      <c r="BB146" s="105">
        <v>0</v>
      </c>
      <c r="BC146" s="105">
        <v>0</v>
      </c>
      <c r="BD146" s="105">
        <v>0</v>
      </c>
      <c r="BE146" s="262">
        <f t="shared" si="78"/>
        <v>0</v>
      </c>
      <c r="BF146" s="262">
        <f t="shared" si="79"/>
        <v>50</v>
      </c>
      <c r="BG146" s="38">
        <f t="shared" si="80"/>
        <v>0.5</v>
      </c>
      <c r="BH146" s="255">
        <f t="shared" si="81"/>
        <v>20866635</v>
      </c>
      <c r="BI146" s="256">
        <f t="shared" si="82"/>
        <v>2.5043146386321902</v>
      </c>
      <c r="BJ146" s="256">
        <f t="shared" si="85"/>
        <v>43.782359789741427</v>
      </c>
      <c r="BK146" s="55">
        <f t="shared" si="83"/>
        <v>0.87564719579482853</v>
      </c>
      <c r="BL146" s="137">
        <f t="shared" si="86"/>
        <v>6.1479917429034243</v>
      </c>
    </row>
    <row r="147" spans="1:64" x14ac:dyDescent="0.6">
      <c r="A147" s="214" t="s">
        <v>885</v>
      </c>
      <c r="B147" s="13" t="s">
        <v>2127</v>
      </c>
      <c r="C147" s="219" t="s">
        <v>311</v>
      </c>
      <c r="D147" s="216" t="s">
        <v>191</v>
      </c>
      <c r="E147" s="217" t="s">
        <v>977</v>
      </c>
      <c r="F147" s="217" t="s">
        <v>393</v>
      </c>
      <c r="G147" s="218">
        <v>32822</v>
      </c>
      <c r="H147" s="217" t="s">
        <v>830</v>
      </c>
      <c r="I147" s="217" t="s">
        <v>1103</v>
      </c>
      <c r="J147" s="217" t="s">
        <v>1200</v>
      </c>
      <c r="K147" s="217" t="s">
        <v>91</v>
      </c>
      <c r="L147" s="220">
        <v>443969944</v>
      </c>
      <c r="M147" s="206">
        <v>38559474</v>
      </c>
      <c r="N147" s="206">
        <v>405410470</v>
      </c>
      <c r="O147" s="206">
        <v>177572920</v>
      </c>
      <c r="P147" s="206">
        <v>14182631</v>
      </c>
      <c r="Q147" s="206">
        <v>16901598</v>
      </c>
      <c r="R147" s="206">
        <v>12822855</v>
      </c>
      <c r="S147" s="105">
        <v>1</v>
      </c>
      <c r="T147" s="254">
        <f t="shared" si="58"/>
        <v>100</v>
      </c>
      <c r="U147" s="107">
        <f t="shared" si="59"/>
        <v>1</v>
      </c>
      <c r="V147" s="45">
        <v>113</v>
      </c>
      <c r="W147" s="45">
        <v>101</v>
      </c>
      <c r="X147" s="255">
        <f t="shared" si="60"/>
        <v>-12</v>
      </c>
      <c r="Y147" s="255">
        <f t="shared" si="61"/>
        <v>-8</v>
      </c>
      <c r="Z147" s="256">
        <f t="shared" si="62"/>
        <v>-1200</v>
      </c>
      <c r="AA147" s="257">
        <f t="shared" si="63"/>
        <v>20</v>
      </c>
      <c r="AB147" s="116">
        <f t="shared" si="64"/>
        <v>0.2</v>
      </c>
      <c r="AC147" s="123">
        <v>276</v>
      </c>
      <c r="AD147" s="123">
        <v>268</v>
      </c>
      <c r="AE147" s="257">
        <f t="shared" si="65"/>
        <v>-8</v>
      </c>
      <c r="AF147" s="258">
        <f t="shared" si="66"/>
        <v>-2.8985507246376812</v>
      </c>
      <c r="AG147" s="257">
        <f t="shared" si="67"/>
        <v>20</v>
      </c>
      <c r="AH147" s="124">
        <f t="shared" si="68"/>
        <v>0.8</v>
      </c>
      <c r="AI147" s="105">
        <v>0</v>
      </c>
      <c r="AJ147" s="105">
        <v>0</v>
      </c>
      <c r="AK147" s="105">
        <v>0</v>
      </c>
      <c r="AL147" s="105">
        <v>0</v>
      </c>
      <c r="AM147" s="260">
        <f t="shared" si="69"/>
        <v>0</v>
      </c>
      <c r="AN147" s="260">
        <f t="shared" si="70"/>
        <v>20</v>
      </c>
      <c r="AO147" s="130">
        <f t="shared" si="71"/>
        <v>0.2</v>
      </c>
      <c r="AP147" s="106">
        <v>91102</v>
      </c>
      <c r="AQ147" s="261">
        <f t="shared" si="84"/>
        <v>0.71046580500208412</v>
      </c>
      <c r="AR147" s="261">
        <f t="shared" si="72"/>
        <v>35.65698707503126</v>
      </c>
      <c r="AS147" s="107">
        <f t="shared" si="73"/>
        <v>1.4262794830012504</v>
      </c>
      <c r="AT147" s="105">
        <v>0</v>
      </c>
      <c r="AU147" s="105">
        <v>1</v>
      </c>
      <c r="AV147" s="262">
        <f t="shared" si="74"/>
        <v>25</v>
      </c>
      <c r="AW147" s="134">
        <v>0</v>
      </c>
      <c r="AX147" s="134"/>
      <c r="AY147" s="262">
        <f t="shared" si="75"/>
        <v>0</v>
      </c>
      <c r="AZ147" s="262">
        <f t="shared" si="76"/>
        <v>25</v>
      </c>
      <c r="BA147" s="38">
        <f t="shared" si="77"/>
        <v>0.25</v>
      </c>
      <c r="BB147" s="105">
        <v>0</v>
      </c>
      <c r="BC147" s="105">
        <v>0</v>
      </c>
      <c r="BD147" s="105">
        <v>0</v>
      </c>
      <c r="BE147" s="262">
        <f t="shared" si="78"/>
        <v>0</v>
      </c>
      <c r="BF147" s="262">
        <f t="shared" si="79"/>
        <v>50</v>
      </c>
      <c r="BG147" s="38">
        <f t="shared" si="80"/>
        <v>0.5</v>
      </c>
      <c r="BH147" s="255">
        <f t="shared" si="81"/>
        <v>4078743</v>
      </c>
      <c r="BI147" s="256">
        <f t="shared" si="82"/>
        <v>2.2969397586073375</v>
      </c>
      <c r="BJ147" s="256">
        <f t="shared" si="85"/>
        <v>42.227048189555035</v>
      </c>
      <c r="BK147" s="55">
        <f t="shared" si="83"/>
        <v>0.84454096379110066</v>
      </c>
      <c r="BL147" s="137">
        <f t="shared" si="86"/>
        <v>5.2208204467923514</v>
      </c>
    </row>
    <row r="148" spans="1:64" x14ac:dyDescent="0.6">
      <c r="A148" s="214" t="s">
        <v>1694</v>
      </c>
      <c r="B148" s="13" t="s">
        <v>2128</v>
      </c>
      <c r="C148" s="219" t="s">
        <v>1695</v>
      </c>
      <c r="D148" s="14" t="s">
        <v>203</v>
      </c>
      <c r="E148" s="217" t="s">
        <v>246</v>
      </c>
      <c r="F148" s="217" t="s">
        <v>1696</v>
      </c>
      <c r="G148" s="218">
        <v>27941</v>
      </c>
      <c r="H148" s="217" t="s">
        <v>830</v>
      </c>
      <c r="I148" s="217" t="s">
        <v>1697</v>
      </c>
      <c r="J148" s="1" t="s">
        <v>3711</v>
      </c>
      <c r="K148" s="217" t="s">
        <v>91</v>
      </c>
      <c r="L148" s="220">
        <v>98509521</v>
      </c>
      <c r="M148" s="206">
        <v>46664469</v>
      </c>
      <c r="N148" s="206">
        <v>51845052</v>
      </c>
      <c r="O148" s="206">
        <v>115386329</v>
      </c>
      <c r="P148" s="206">
        <v>2879227</v>
      </c>
      <c r="Q148" s="206">
        <v>2393878</v>
      </c>
      <c r="R148" s="206">
        <v>2701762</v>
      </c>
      <c r="S148" s="105">
        <v>1</v>
      </c>
      <c r="T148" s="254">
        <f t="shared" si="58"/>
        <v>100</v>
      </c>
      <c r="U148" s="107">
        <f t="shared" si="59"/>
        <v>1</v>
      </c>
      <c r="V148" s="45">
        <f>10+3+2+5</f>
        <v>20</v>
      </c>
      <c r="W148" s="45">
        <f>7+2+2+6</f>
        <v>17</v>
      </c>
      <c r="X148" s="255">
        <f t="shared" si="60"/>
        <v>-3</v>
      </c>
      <c r="Y148" s="255">
        <f t="shared" si="61"/>
        <v>-69</v>
      </c>
      <c r="Z148" s="256">
        <f t="shared" si="62"/>
        <v>-300</v>
      </c>
      <c r="AA148" s="257">
        <f t="shared" si="63"/>
        <v>20</v>
      </c>
      <c r="AB148" s="116">
        <f t="shared" si="64"/>
        <v>0.2</v>
      </c>
      <c r="AC148" s="123">
        <v>186</v>
      </c>
      <c r="AD148" s="123">
        <v>117</v>
      </c>
      <c r="AE148" s="257">
        <f t="shared" si="65"/>
        <v>-69</v>
      </c>
      <c r="AF148" s="258">
        <f t="shared" si="66"/>
        <v>-37.096774193548384</v>
      </c>
      <c r="AG148" s="257">
        <f t="shared" si="67"/>
        <v>20</v>
      </c>
      <c r="AH148" s="124">
        <f t="shared" si="68"/>
        <v>0.8</v>
      </c>
      <c r="AI148" s="105">
        <v>0</v>
      </c>
      <c r="AJ148" s="105">
        <v>0</v>
      </c>
      <c r="AK148" s="105">
        <v>0</v>
      </c>
      <c r="AL148" s="105">
        <v>0</v>
      </c>
      <c r="AM148" s="260">
        <f t="shared" si="69"/>
        <v>0</v>
      </c>
      <c r="AN148" s="260">
        <f t="shared" si="70"/>
        <v>20</v>
      </c>
      <c r="AO148" s="130">
        <f t="shared" si="71"/>
        <v>0.2</v>
      </c>
      <c r="AP148" s="106">
        <v>3000</v>
      </c>
      <c r="AQ148" s="261">
        <f t="shared" si="84"/>
        <v>0.11103864811186182</v>
      </c>
      <c r="AR148" s="261">
        <f t="shared" si="72"/>
        <v>26.665579721677929</v>
      </c>
      <c r="AS148" s="107">
        <f t="shared" si="73"/>
        <v>1.0666231888671172</v>
      </c>
      <c r="AT148" s="105">
        <v>0</v>
      </c>
      <c r="AU148" s="105">
        <v>0</v>
      </c>
      <c r="AV148" s="262">
        <f t="shared" si="74"/>
        <v>0</v>
      </c>
      <c r="AW148" s="134">
        <v>0</v>
      </c>
      <c r="AX148" s="134"/>
      <c r="AY148" s="262">
        <f t="shared" si="75"/>
        <v>0</v>
      </c>
      <c r="AZ148" s="262">
        <f t="shared" si="76"/>
        <v>0</v>
      </c>
      <c r="BA148" s="38">
        <f t="shared" si="77"/>
        <v>0</v>
      </c>
      <c r="BB148" s="105">
        <v>0</v>
      </c>
      <c r="BC148" s="105">
        <v>0</v>
      </c>
      <c r="BD148" s="105">
        <v>0</v>
      </c>
      <c r="BE148" s="262">
        <f t="shared" si="78"/>
        <v>0</v>
      </c>
      <c r="BF148" s="262">
        <f t="shared" si="79"/>
        <v>50</v>
      </c>
      <c r="BG148" s="38">
        <f t="shared" si="80"/>
        <v>0.5</v>
      </c>
      <c r="BH148" s="255">
        <f t="shared" si="81"/>
        <v>-307884</v>
      </c>
      <c r="BI148" s="256">
        <f t="shared" si="82"/>
        <v>-0.26682883723599526</v>
      </c>
      <c r="BJ148" s="256">
        <f t="shared" si="85"/>
        <v>25</v>
      </c>
      <c r="BK148" s="55">
        <f t="shared" si="83"/>
        <v>0.5</v>
      </c>
      <c r="BL148" s="137">
        <f t="shared" si="86"/>
        <v>4.2666231888671176</v>
      </c>
    </row>
    <row r="149" spans="1:64" x14ac:dyDescent="0.6">
      <c r="A149" s="214" t="s">
        <v>911</v>
      </c>
      <c r="B149" s="13" t="s">
        <v>2129</v>
      </c>
      <c r="C149" s="219" t="s">
        <v>439</v>
      </c>
      <c r="D149" s="216" t="s">
        <v>285</v>
      </c>
      <c r="E149" s="217" t="s">
        <v>171</v>
      </c>
      <c r="F149" s="217" t="s">
        <v>259</v>
      </c>
      <c r="G149" s="218">
        <v>32230</v>
      </c>
      <c r="H149" s="217" t="s">
        <v>830</v>
      </c>
      <c r="I149" s="217" t="s">
        <v>793</v>
      </c>
      <c r="J149" s="217" t="s">
        <v>1216</v>
      </c>
      <c r="K149" s="217" t="s">
        <v>91</v>
      </c>
      <c r="L149" s="220">
        <v>395346619</v>
      </c>
      <c r="M149" s="206">
        <v>33864968</v>
      </c>
      <c r="N149" s="206">
        <v>361481651</v>
      </c>
      <c r="O149" s="206">
        <v>285742678</v>
      </c>
      <c r="P149" s="206">
        <v>9710082</v>
      </c>
      <c r="Q149" s="206">
        <v>36912471</v>
      </c>
      <c r="R149" s="206">
        <v>33624974</v>
      </c>
      <c r="S149" s="105">
        <v>1</v>
      </c>
      <c r="T149" s="254">
        <f t="shared" si="58"/>
        <v>100</v>
      </c>
      <c r="U149" s="107">
        <f t="shared" si="59"/>
        <v>1</v>
      </c>
      <c r="V149" s="45">
        <v>13</v>
      </c>
      <c r="W149" s="45">
        <v>14</v>
      </c>
      <c r="X149" s="255">
        <f t="shared" si="60"/>
        <v>1</v>
      </c>
      <c r="Y149" s="255">
        <f t="shared" si="61"/>
        <v>-2</v>
      </c>
      <c r="Z149" s="256">
        <f t="shared" si="62"/>
        <v>100</v>
      </c>
      <c r="AA149" s="257">
        <f t="shared" si="63"/>
        <v>100</v>
      </c>
      <c r="AB149" s="116">
        <f t="shared" si="64"/>
        <v>1</v>
      </c>
      <c r="AC149" s="123">
        <v>55</v>
      </c>
      <c r="AD149" s="123">
        <v>53</v>
      </c>
      <c r="AE149" s="257">
        <f t="shared" si="65"/>
        <v>-2</v>
      </c>
      <c r="AF149" s="258">
        <f t="shared" si="66"/>
        <v>-3.6363636363636362</v>
      </c>
      <c r="AG149" s="257">
        <f t="shared" si="67"/>
        <v>20</v>
      </c>
      <c r="AH149" s="124">
        <f t="shared" si="68"/>
        <v>0.8</v>
      </c>
      <c r="AI149" s="105">
        <v>0</v>
      </c>
      <c r="AJ149" s="105">
        <v>0</v>
      </c>
      <c r="AK149" s="105">
        <v>0</v>
      </c>
      <c r="AL149" s="105">
        <v>0</v>
      </c>
      <c r="AM149" s="260">
        <f t="shared" si="69"/>
        <v>0</v>
      </c>
      <c r="AN149" s="260">
        <f t="shared" si="70"/>
        <v>20</v>
      </c>
      <c r="AO149" s="130">
        <f t="shared" si="71"/>
        <v>0.2</v>
      </c>
      <c r="AP149" s="106">
        <v>0</v>
      </c>
      <c r="AQ149" s="261">
        <f t="shared" si="84"/>
        <v>0</v>
      </c>
      <c r="AR149" s="261">
        <f t="shared" si="72"/>
        <v>25</v>
      </c>
      <c r="AS149" s="107">
        <f t="shared" si="73"/>
        <v>1</v>
      </c>
      <c r="AT149" s="105">
        <v>0</v>
      </c>
      <c r="AU149" s="105">
        <v>1</v>
      </c>
      <c r="AV149" s="262">
        <f t="shared" si="74"/>
        <v>25</v>
      </c>
      <c r="AW149" s="134">
        <v>0</v>
      </c>
      <c r="AX149" s="134"/>
      <c r="AY149" s="262">
        <f t="shared" si="75"/>
        <v>0</v>
      </c>
      <c r="AZ149" s="262">
        <f t="shared" si="76"/>
        <v>25</v>
      </c>
      <c r="BA149" s="38">
        <f t="shared" si="77"/>
        <v>0.25</v>
      </c>
      <c r="BB149" s="105">
        <v>0</v>
      </c>
      <c r="BC149" s="105">
        <v>0</v>
      </c>
      <c r="BD149" s="105">
        <v>0</v>
      </c>
      <c r="BE149" s="262">
        <f t="shared" si="78"/>
        <v>0</v>
      </c>
      <c r="BF149" s="262">
        <f t="shared" si="79"/>
        <v>50</v>
      </c>
      <c r="BG149" s="38">
        <f t="shared" si="80"/>
        <v>0.5</v>
      </c>
      <c r="BH149" s="255">
        <f t="shared" si="81"/>
        <v>3287497</v>
      </c>
      <c r="BI149" s="256">
        <f t="shared" si="82"/>
        <v>1.1505096204074912</v>
      </c>
      <c r="BJ149" s="256">
        <f t="shared" si="85"/>
        <v>33.628822153056184</v>
      </c>
      <c r="BK149" s="55">
        <f t="shared" si="83"/>
        <v>0.67257644306112374</v>
      </c>
      <c r="BL149" s="137">
        <f t="shared" si="86"/>
        <v>5.4225764430611241</v>
      </c>
    </row>
    <row r="150" spans="1:64" x14ac:dyDescent="0.6">
      <c r="A150" s="214" t="s">
        <v>940</v>
      </c>
      <c r="B150" s="13" t="s">
        <v>2130</v>
      </c>
      <c r="C150" s="219" t="s">
        <v>888</v>
      </c>
      <c r="D150" s="216" t="s">
        <v>202</v>
      </c>
      <c r="E150" s="217" t="s">
        <v>205</v>
      </c>
      <c r="F150" s="217" t="s">
        <v>387</v>
      </c>
      <c r="G150" s="218">
        <v>28122</v>
      </c>
      <c r="H150" s="217" t="s">
        <v>830</v>
      </c>
      <c r="I150" s="217" t="s">
        <v>986</v>
      </c>
      <c r="J150" s="217" t="s">
        <v>1213</v>
      </c>
      <c r="K150" s="217" t="s">
        <v>690</v>
      </c>
      <c r="L150" s="220">
        <v>486680110</v>
      </c>
      <c r="M150" s="206">
        <v>12024987</v>
      </c>
      <c r="N150" s="206">
        <v>474655123</v>
      </c>
      <c r="O150" s="206">
        <v>196500716</v>
      </c>
      <c r="P150" s="206">
        <v>14583438</v>
      </c>
      <c r="Q150" s="206">
        <v>24138425</v>
      </c>
      <c r="R150" s="206">
        <v>18484244</v>
      </c>
      <c r="S150" s="105">
        <v>1</v>
      </c>
      <c r="T150" s="254">
        <f t="shared" si="58"/>
        <v>100</v>
      </c>
      <c r="U150" s="107">
        <f t="shared" si="59"/>
        <v>1</v>
      </c>
      <c r="V150" s="45">
        <v>207</v>
      </c>
      <c r="W150" s="45">
        <f>201</f>
        <v>201</v>
      </c>
      <c r="X150" s="255">
        <f t="shared" si="60"/>
        <v>-6</v>
      </c>
      <c r="Y150" s="255">
        <f t="shared" si="61"/>
        <v>-39</v>
      </c>
      <c r="Z150" s="256">
        <f t="shared" si="62"/>
        <v>-600</v>
      </c>
      <c r="AA150" s="257">
        <f t="shared" si="63"/>
        <v>20</v>
      </c>
      <c r="AB150" s="116">
        <f t="shared" si="64"/>
        <v>0.2</v>
      </c>
      <c r="AC150" s="123">
        <v>452</v>
      </c>
      <c r="AD150" s="123">
        <v>413</v>
      </c>
      <c r="AE150" s="257">
        <f t="shared" si="65"/>
        <v>-39</v>
      </c>
      <c r="AF150" s="258">
        <f t="shared" si="66"/>
        <v>-8.6283185840707954</v>
      </c>
      <c r="AG150" s="257">
        <f t="shared" si="67"/>
        <v>20</v>
      </c>
      <c r="AH150" s="124">
        <f t="shared" si="68"/>
        <v>0.8</v>
      </c>
      <c r="AI150" s="105">
        <v>0</v>
      </c>
      <c r="AJ150" s="105">
        <v>0</v>
      </c>
      <c r="AK150" s="105">
        <v>0</v>
      </c>
      <c r="AL150" s="105">
        <v>0</v>
      </c>
      <c r="AM150" s="260">
        <f t="shared" si="69"/>
        <v>0</v>
      </c>
      <c r="AN150" s="260">
        <f t="shared" si="70"/>
        <v>20</v>
      </c>
      <c r="AO150" s="130">
        <f t="shared" si="71"/>
        <v>0.2</v>
      </c>
      <c r="AP150" s="106">
        <v>118000</v>
      </c>
      <c r="AQ150" s="261">
        <f t="shared" si="84"/>
        <v>0.63838153186032387</v>
      </c>
      <c r="AR150" s="261">
        <f t="shared" si="72"/>
        <v>34.57572297790486</v>
      </c>
      <c r="AS150" s="107">
        <f t="shared" si="73"/>
        <v>1.3830289191161944</v>
      </c>
      <c r="AT150" s="105">
        <v>0</v>
      </c>
      <c r="AU150" s="105">
        <v>1</v>
      </c>
      <c r="AV150" s="262">
        <f t="shared" si="74"/>
        <v>25</v>
      </c>
      <c r="AW150" s="134">
        <v>0</v>
      </c>
      <c r="AX150" s="134"/>
      <c r="AY150" s="262">
        <f t="shared" si="75"/>
        <v>0</v>
      </c>
      <c r="AZ150" s="262">
        <f t="shared" si="76"/>
        <v>25</v>
      </c>
      <c r="BA150" s="38">
        <f t="shared" si="77"/>
        <v>0.25</v>
      </c>
      <c r="BB150" s="105">
        <v>0</v>
      </c>
      <c r="BC150" s="105">
        <v>0</v>
      </c>
      <c r="BD150" s="105">
        <v>0</v>
      </c>
      <c r="BE150" s="262">
        <f t="shared" si="78"/>
        <v>0</v>
      </c>
      <c r="BF150" s="262">
        <f t="shared" si="79"/>
        <v>50</v>
      </c>
      <c r="BG150" s="38">
        <f t="shared" si="80"/>
        <v>0.5</v>
      </c>
      <c r="BH150" s="255">
        <f t="shared" si="81"/>
        <v>5654181</v>
      </c>
      <c r="BI150" s="256">
        <f t="shared" si="82"/>
        <v>2.8774353168260212</v>
      </c>
      <c r="BJ150" s="256">
        <f t="shared" si="85"/>
        <v>46.580764876195161</v>
      </c>
      <c r="BK150" s="55">
        <f t="shared" si="83"/>
        <v>0.93161529752390326</v>
      </c>
      <c r="BL150" s="137">
        <f t="shared" si="86"/>
        <v>5.2646442166400975</v>
      </c>
    </row>
    <row r="151" spans="1:64" x14ac:dyDescent="0.6">
      <c r="A151" s="214" t="s">
        <v>94</v>
      </c>
      <c r="B151" s="13" t="s">
        <v>2131</v>
      </c>
      <c r="C151" s="219" t="s">
        <v>943</v>
      </c>
      <c r="D151" s="216" t="s">
        <v>202</v>
      </c>
      <c r="E151" s="217" t="s">
        <v>954</v>
      </c>
      <c r="F151" s="217" t="s">
        <v>152</v>
      </c>
      <c r="G151" s="218">
        <v>40746</v>
      </c>
      <c r="H151" s="217" t="s">
        <v>830</v>
      </c>
      <c r="I151" s="217" t="s">
        <v>1699</v>
      </c>
      <c r="J151" s="217" t="s">
        <v>644</v>
      </c>
      <c r="K151" s="217" t="s">
        <v>31</v>
      </c>
      <c r="L151" s="220">
        <v>293690103</v>
      </c>
      <c r="M151" s="206">
        <v>62909269</v>
      </c>
      <c r="N151" s="206">
        <v>230780834</v>
      </c>
      <c r="O151" s="206">
        <v>364111086</v>
      </c>
      <c r="P151" s="206">
        <v>16532526</v>
      </c>
      <c r="Q151" s="206">
        <v>16979269</v>
      </c>
      <c r="R151" s="206">
        <v>13013318</v>
      </c>
      <c r="S151" s="105">
        <v>1</v>
      </c>
      <c r="T151" s="254">
        <f t="shared" si="58"/>
        <v>100</v>
      </c>
      <c r="U151" s="107">
        <f t="shared" si="59"/>
        <v>1</v>
      </c>
      <c r="V151" s="45">
        <v>2</v>
      </c>
      <c r="W151" s="45">
        <v>2</v>
      </c>
      <c r="X151" s="255">
        <f t="shared" si="60"/>
        <v>0</v>
      </c>
      <c r="Y151" s="255">
        <f t="shared" si="61"/>
        <v>-9</v>
      </c>
      <c r="Z151" s="256">
        <f t="shared" si="62"/>
        <v>0</v>
      </c>
      <c r="AA151" s="257">
        <f t="shared" si="63"/>
        <v>20</v>
      </c>
      <c r="AB151" s="116">
        <f t="shared" si="64"/>
        <v>0.2</v>
      </c>
      <c r="AC151" s="123">
        <v>269</v>
      </c>
      <c r="AD151" s="123">
        <v>260</v>
      </c>
      <c r="AE151" s="257">
        <f t="shared" si="65"/>
        <v>-9</v>
      </c>
      <c r="AF151" s="258">
        <f t="shared" si="66"/>
        <v>-3.3457249070631967</v>
      </c>
      <c r="AG151" s="257">
        <f t="shared" si="67"/>
        <v>20</v>
      </c>
      <c r="AH151" s="124">
        <f t="shared" si="68"/>
        <v>0.8</v>
      </c>
      <c r="AI151" s="105">
        <v>0</v>
      </c>
      <c r="AJ151" s="105">
        <v>0</v>
      </c>
      <c r="AK151" s="105">
        <v>0</v>
      </c>
      <c r="AL151" s="105">
        <v>0</v>
      </c>
      <c r="AM151" s="260">
        <f t="shared" si="69"/>
        <v>0</v>
      </c>
      <c r="AN151" s="260">
        <f t="shared" si="70"/>
        <v>20</v>
      </c>
      <c r="AO151" s="130">
        <f t="shared" si="71"/>
        <v>0.2</v>
      </c>
      <c r="AP151" s="106">
        <v>12424</v>
      </c>
      <c r="AQ151" s="261">
        <f t="shared" si="84"/>
        <v>9.5471423967354058E-2</v>
      </c>
      <c r="AR151" s="261">
        <f t="shared" si="72"/>
        <v>26.43207135951031</v>
      </c>
      <c r="AS151" s="107">
        <f t="shared" si="73"/>
        <v>1.0572828543804125</v>
      </c>
      <c r="AT151" s="105">
        <v>0</v>
      </c>
      <c r="AU151" s="105">
        <v>1</v>
      </c>
      <c r="AV151" s="262">
        <f t="shared" si="74"/>
        <v>25</v>
      </c>
      <c r="AW151" s="134">
        <v>0</v>
      </c>
      <c r="AX151" s="134"/>
      <c r="AY151" s="262">
        <f t="shared" si="75"/>
        <v>0</v>
      </c>
      <c r="AZ151" s="262">
        <f t="shared" si="76"/>
        <v>25</v>
      </c>
      <c r="BA151" s="38">
        <f t="shared" si="77"/>
        <v>0.25</v>
      </c>
      <c r="BB151" s="105">
        <v>0</v>
      </c>
      <c r="BC151" s="105">
        <v>0</v>
      </c>
      <c r="BD151" s="105">
        <v>0</v>
      </c>
      <c r="BE151" s="262">
        <f t="shared" si="78"/>
        <v>0</v>
      </c>
      <c r="BF151" s="262">
        <f t="shared" si="79"/>
        <v>50</v>
      </c>
      <c r="BG151" s="38">
        <f t="shared" si="80"/>
        <v>0.5</v>
      </c>
      <c r="BH151" s="255">
        <f t="shared" si="81"/>
        <v>3965951</v>
      </c>
      <c r="BI151" s="256">
        <f t="shared" si="82"/>
        <v>1.089214570083153</v>
      </c>
      <c r="BJ151" s="256">
        <f t="shared" si="85"/>
        <v>33.169109275623647</v>
      </c>
      <c r="BK151" s="55">
        <f t="shared" si="83"/>
        <v>0.66338218551247297</v>
      </c>
      <c r="BL151" s="137">
        <f t="shared" si="86"/>
        <v>4.670665039892886</v>
      </c>
    </row>
    <row r="152" spans="1:64" x14ac:dyDescent="0.6">
      <c r="A152" s="214" t="s">
        <v>371</v>
      </c>
      <c r="B152" s="13" t="s">
        <v>2132</v>
      </c>
      <c r="C152" s="219" t="s">
        <v>930</v>
      </c>
      <c r="D152" s="216" t="s">
        <v>202</v>
      </c>
      <c r="E152" s="217" t="s">
        <v>575</v>
      </c>
      <c r="F152" s="217" t="s">
        <v>123</v>
      </c>
      <c r="G152" s="218">
        <v>32777</v>
      </c>
      <c r="H152" s="217" t="s">
        <v>830</v>
      </c>
      <c r="I152" s="217" t="s">
        <v>279</v>
      </c>
      <c r="J152" s="217" t="s">
        <v>1177</v>
      </c>
      <c r="K152" s="217" t="s">
        <v>308</v>
      </c>
      <c r="L152" s="220">
        <v>439293006</v>
      </c>
      <c r="M152" s="206">
        <v>233301117</v>
      </c>
      <c r="N152" s="206">
        <v>205991889</v>
      </c>
      <c r="O152" s="206">
        <v>339133931</v>
      </c>
      <c r="P152" s="206">
        <v>20669671</v>
      </c>
      <c r="Q152" s="206">
        <v>19430527</v>
      </c>
      <c r="R152" s="206">
        <v>16418030</v>
      </c>
      <c r="S152" s="105">
        <v>1</v>
      </c>
      <c r="T152" s="254">
        <f t="shared" si="58"/>
        <v>100</v>
      </c>
      <c r="U152" s="107">
        <f t="shared" si="59"/>
        <v>1</v>
      </c>
      <c r="V152" s="45">
        <v>56</v>
      </c>
      <c r="W152" s="45">
        <v>67</v>
      </c>
      <c r="X152" s="255">
        <f t="shared" si="60"/>
        <v>11</v>
      </c>
      <c r="Y152" s="255">
        <f t="shared" si="61"/>
        <v>110</v>
      </c>
      <c r="Z152" s="256">
        <f t="shared" si="62"/>
        <v>10</v>
      </c>
      <c r="AA152" s="257">
        <f t="shared" si="63"/>
        <v>40</v>
      </c>
      <c r="AB152" s="116">
        <f t="shared" si="64"/>
        <v>0.4</v>
      </c>
      <c r="AC152" s="123">
        <v>642</v>
      </c>
      <c r="AD152" s="123">
        <v>752</v>
      </c>
      <c r="AE152" s="257">
        <f t="shared" si="65"/>
        <v>110</v>
      </c>
      <c r="AF152" s="258">
        <f t="shared" si="66"/>
        <v>17.133956386292834</v>
      </c>
      <c r="AG152" s="257">
        <f t="shared" si="67"/>
        <v>100</v>
      </c>
      <c r="AH152" s="124">
        <f t="shared" si="68"/>
        <v>4</v>
      </c>
      <c r="AI152" s="105">
        <v>0</v>
      </c>
      <c r="AJ152" s="105">
        <v>0</v>
      </c>
      <c r="AK152" s="105">
        <v>0</v>
      </c>
      <c r="AL152" s="105">
        <v>0</v>
      </c>
      <c r="AM152" s="260">
        <f t="shared" si="69"/>
        <v>0</v>
      </c>
      <c r="AN152" s="260">
        <f t="shared" si="70"/>
        <v>20</v>
      </c>
      <c r="AO152" s="130">
        <f t="shared" si="71"/>
        <v>0.2</v>
      </c>
      <c r="AP152" s="106">
        <v>506200</v>
      </c>
      <c r="AQ152" s="261">
        <f t="shared" si="84"/>
        <v>3.0831957305474531</v>
      </c>
      <c r="AR152" s="261">
        <f t="shared" si="72"/>
        <v>71.247935958211798</v>
      </c>
      <c r="AS152" s="107">
        <f t="shared" si="73"/>
        <v>2.8499174383284718</v>
      </c>
      <c r="AT152" s="105">
        <v>0</v>
      </c>
      <c r="AU152" s="105">
        <v>1</v>
      </c>
      <c r="AV152" s="262">
        <f t="shared" si="74"/>
        <v>25</v>
      </c>
      <c r="AW152" s="134">
        <v>0</v>
      </c>
      <c r="AX152" s="134"/>
      <c r="AY152" s="262">
        <f t="shared" si="75"/>
        <v>0</v>
      </c>
      <c r="AZ152" s="262">
        <f t="shared" si="76"/>
        <v>25</v>
      </c>
      <c r="BA152" s="38">
        <f t="shared" si="77"/>
        <v>0.25</v>
      </c>
      <c r="BB152" s="105">
        <v>1</v>
      </c>
      <c r="BC152" s="105">
        <v>0</v>
      </c>
      <c r="BD152" s="105">
        <v>0</v>
      </c>
      <c r="BE152" s="262">
        <f t="shared" si="78"/>
        <v>1</v>
      </c>
      <c r="BF152" s="262">
        <f t="shared" si="79"/>
        <v>100</v>
      </c>
      <c r="BG152" s="38">
        <f t="shared" si="80"/>
        <v>1</v>
      </c>
      <c r="BH152" s="255">
        <f t="shared" si="81"/>
        <v>3012497</v>
      </c>
      <c r="BI152" s="256">
        <f t="shared" si="82"/>
        <v>0.88829123972263335</v>
      </c>
      <c r="BJ152" s="256">
        <f t="shared" si="85"/>
        <v>31.662184297919751</v>
      </c>
      <c r="BK152" s="55">
        <f t="shared" si="83"/>
        <v>0.63324368595839509</v>
      </c>
      <c r="BL152" s="137">
        <f t="shared" si="86"/>
        <v>10.333161124286868</v>
      </c>
    </row>
    <row r="153" spans="1:64" x14ac:dyDescent="0.6">
      <c r="A153" s="214" t="s">
        <v>1700</v>
      </c>
      <c r="B153" s="13" t="s">
        <v>2133</v>
      </c>
      <c r="C153" s="219" t="s">
        <v>1701</v>
      </c>
      <c r="D153" s="14" t="s">
        <v>191</v>
      </c>
      <c r="E153" s="217" t="s">
        <v>1702</v>
      </c>
      <c r="F153" s="217" t="s">
        <v>1703</v>
      </c>
      <c r="G153" s="218">
        <v>32416</v>
      </c>
      <c r="H153" s="217" t="s">
        <v>830</v>
      </c>
      <c r="I153" s="217" t="s">
        <v>1704</v>
      </c>
      <c r="J153" s="1" t="s">
        <v>3712</v>
      </c>
      <c r="K153" s="217" t="s">
        <v>317</v>
      </c>
      <c r="L153" s="220">
        <v>292340683</v>
      </c>
      <c r="M153" s="206">
        <v>98908853</v>
      </c>
      <c r="N153" s="206">
        <v>193431830</v>
      </c>
      <c r="O153" s="206">
        <v>135261634</v>
      </c>
      <c r="P153" s="206">
        <v>10418758</v>
      </c>
      <c r="Q153" s="206">
        <v>6051762</v>
      </c>
      <c r="R153" s="206">
        <v>3276434</v>
      </c>
      <c r="S153" s="105">
        <v>1</v>
      </c>
      <c r="T153" s="254">
        <f t="shared" si="58"/>
        <v>100</v>
      </c>
      <c r="U153" s="107">
        <f t="shared" si="59"/>
        <v>1</v>
      </c>
      <c r="V153" s="45">
        <v>17</v>
      </c>
      <c r="W153" s="45">
        <v>13</v>
      </c>
      <c r="X153" s="255">
        <f t="shared" si="60"/>
        <v>-4</v>
      </c>
      <c r="Y153" s="255">
        <f t="shared" si="61"/>
        <v>-12</v>
      </c>
      <c r="Z153" s="256">
        <f t="shared" si="62"/>
        <v>-400</v>
      </c>
      <c r="AA153" s="257">
        <f t="shared" si="63"/>
        <v>20</v>
      </c>
      <c r="AB153" s="116">
        <f t="shared" si="64"/>
        <v>0.2</v>
      </c>
      <c r="AC153" s="123">
        <v>64</v>
      </c>
      <c r="AD153" s="123">
        <v>52</v>
      </c>
      <c r="AE153" s="257">
        <f t="shared" si="65"/>
        <v>-12</v>
      </c>
      <c r="AF153" s="258">
        <f t="shared" si="66"/>
        <v>-18.75</v>
      </c>
      <c r="AG153" s="257">
        <f t="shared" si="67"/>
        <v>20</v>
      </c>
      <c r="AH153" s="124">
        <f t="shared" si="68"/>
        <v>0.8</v>
      </c>
      <c r="AI153" s="105">
        <v>0</v>
      </c>
      <c r="AJ153" s="105">
        <v>0</v>
      </c>
      <c r="AK153" s="105">
        <v>0</v>
      </c>
      <c r="AL153" s="105">
        <v>0</v>
      </c>
      <c r="AM153" s="260">
        <f t="shared" si="69"/>
        <v>0</v>
      </c>
      <c r="AN153" s="260">
        <f t="shared" si="70"/>
        <v>20</v>
      </c>
      <c r="AO153" s="130">
        <f t="shared" si="71"/>
        <v>0.2</v>
      </c>
      <c r="AP153" s="106">
        <v>488151</v>
      </c>
      <c r="AQ153" s="261">
        <f t="shared" si="84"/>
        <v>14.898850396498146</v>
      </c>
      <c r="AR153" s="261">
        <f t="shared" si="72"/>
        <v>100</v>
      </c>
      <c r="AS153" s="107">
        <f t="shared" si="73"/>
        <v>4</v>
      </c>
      <c r="AT153" s="105">
        <v>0</v>
      </c>
      <c r="AU153" s="105">
        <v>0</v>
      </c>
      <c r="AV153" s="262">
        <f t="shared" si="74"/>
        <v>0</v>
      </c>
      <c r="AW153" s="134">
        <v>0</v>
      </c>
      <c r="AX153" s="134"/>
      <c r="AY153" s="262">
        <f t="shared" si="75"/>
        <v>0</v>
      </c>
      <c r="AZ153" s="262">
        <f t="shared" si="76"/>
        <v>0</v>
      </c>
      <c r="BA153" s="38">
        <f t="shared" si="77"/>
        <v>0</v>
      </c>
      <c r="BB153" s="105">
        <v>0</v>
      </c>
      <c r="BC153" s="105">
        <v>0</v>
      </c>
      <c r="BD153" s="105">
        <v>0</v>
      </c>
      <c r="BE153" s="262">
        <f t="shared" si="78"/>
        <v>0</v>
      </c>
      <c r="BF153" s="262">
        <f t="shared" si="79"/>
        <v>50</v>
      </c>
      <c r="BG153" s="38">
        <f t="shared" si="80"/>
        <v>0.5</v>
      </c>
      <c r="BH153" s="255">
        <f t="shared" si="81"/>
        <v>2775328</v>
      </c>
      <c r="BI153" s="256">
        <f t="shared" si="82"/>
        <v>2.0518220266361711</v>
      </c>
      <c r="BJ153" s="256">
        <f t="shared" si="85"/>
        <v>40.388665199771282</v>
      </c>
      <c r="BK153" s="55">
        <f t="shared" si="83"/>
        <v>0.80777330399542568</v>
      </c>
      <c r="BL153" s="137">
        <f t="shared" si="86"/>
        <v>7.5077733039954255</v>
      </c>
    </row>
    <row r="154" spans="1:64" x14ac:dyDescent="0.6">
      <c r="A154" s="214" t="s">
        <v>906</v>
      </c>
      <c r="B154" s="13" t="s">
        <v>2134</v>
      </c>
      <c r="C154" s="219" t="s">
        <v>300</v>
      </c>
      <c r="D154" s="216" t="s">
        <v>191</v>
      </c>
      <c r="E154" s="217" t="s">
        <v>34</v>
      </c>
      <c r="F154" s="217" t="s">
        <v>395</v>
      </c>
      <c r="G154" s="218">
        <v>32312</v>
      </c>
      <c r="H154" s="217" t="s">
        <v>830</v>
      </c>
      <c r="I154" s="217" t="s">
        <v>730</v>
      </c>
      <c r="J154" s="217" t="s">
        <v>675</v>
      </c>
      <c r="K154" s="217" t="s">
        <v>91</v>
      </c>
      <c r="L154" s="220">
        <v>404796609</v>
      </c>
      <c r="M154" s="206">
        <v>130234655</v>
      </c>
      <c r="N154" s="206">
        <v>274561954</v>
      </c>
      <c r="O154" s="206">
        <v>274031808</v>
      </c>
      <c r="P154" s="206">
        <v>23292333</v>
      </c>
      <c r="Q154" s="206">
        <v>24312301</v>
      </c>
      <c r="R154" s="206">
        <v>21111758</v>
      </c>
      <c r="S154" s="105">
        <v>0</v>
      </c>
      <c r="T154" s="254">
        <f t="shared" si="58"/>
        <v>0</v>
      </c>
      <c r="U154" s="107">
        <f t="shared" si="59"/>
        <v>0</v>
      </c>
      <c r="V154" s="45">
        <v>205</v>
      </c>
      <c r="W154" s="45">
        <v>211</v>
      </c>
      <c r="X154" s="255">
        <f t="shared" si="60"/>
        <v>6</v>
      </c>
      <c r="Y154" s="255">
        <f t="shared" si="61"/>
        <v>18</v>
      </c>
      <c r="Z154" s="256">
        <f t="shared" si="62"/>
        <v>33.333333333333329</v>
      </c>
      <c r="AA154" s="257">
        <f t="shared" si="63"/>
        <v>80</v>
      </c>
      <c r="AB154" s="116">
        <f t="shared" si="64"/>
        <v>0.8</v>
      </c>
      <c r="AC154" s="123">
        <v>713</v>
      </c>
      <c r="AD154" s="123">
        <v>731</v>
      </c>
      <c r="AE154" s="257">
        <f t="shared" si="65"/>
        <v>18</v>
      </c>
      <c r="AF154" s="258">
        <f t="shared" si="66"/>
        <v>2.5245441795231418</v>
      </c>
      <c r="AG154" s="257">
        <f t="shared" si="67"/>
        <v>100</v>
      </c>
      <c r="AH154" s="124">
        <f t="shared" si="68"/>
        <v>4</v>
      </c>
      <c r="AI154" s="105">
        <v>0</v>
      </c>
      <c r="AJ154" s="105">
        <v>0</v>
      </c>
      <c r="AK154" s="105">
        <v>0</v>
      </c>
      <c r="AL154" s="105">
        <v>0</v>
      </c>
      <c r="AM154" s="260">
        <f t="shared" si="69"/>
        <v>0</v>
      </c>
      <c r="AN154" s="260">
        <f t="shared" si="70"/>
        <v>20</v>
      </c>
      <c r="AO154" s="130">
        <f t="shared" si="71"/>
        <v>0.2</v>
      </c>
      <c r="AP154" s="106">
        <v>437300</v>
      </c>
      <c r="AQ154" s="261">
        <f t="shared" si="84"/>
        <v>2.0713575818745174</v>
      </c>
      <c r="AR154" s="261">
        <f t="shared" si="72"/>
        <v>56.070363728117755</v>
      </c>
      <c r="AS154" s="107">
        <f t="shared" si="73"/>
        <v>2.2428145491247102</v>
      </c>
      <c r="AT154" s="105">
        <v>0</v>
      </c>
      <c r="AU154" s="105">
        <v>1</v>
      </c>
      <c r="AV154" s="262">
        <f t="shared" si="74"/>
        <v>25</v>
      </c>
      <c r="AW154" s="134">
        <v>0</v>
      </c>
      <c r="AX154" s="134"/>
      <c r="AY154" s="262">
        <f t="shared" si="75"/>
        <v>0</v>
      </c>
      <c r="AZ154" s="262">
        <f t="shared" si="76"/>
        <v>25</v>
      </c>
      <c r="BA154" s="38">
        <f t="shared" si="77"/>
        <v>0.25</v>
      </c>
      <c r="BB154" s="105">
        <v>0</v>
      </c>
      <c r="BC154" s="105">
        <v>0</v>
      </c>
      <c r="BD154" s="105">
        <v>0</v>
      </c>
      <c r="BE154" s="262">
        <f t="shared" si="78"/>
        <v>0</v>
      </c>
      <c r="BF154" s="262">
        <f t="shared" si="79"/>
        <v>50</v>
      </c>
      <c r="BG154" s="38">
        <f t="shared" si="80"/>
        <v>0.5</v>
      </c>
      <c r="BH154" s="255">
        <f t="shared" si="81"/>
        <v>3200543</v>
      </c>
      <c r="BI154" s="256">
        <f t="shared" si="82"/>
        <v>1.1679458028463616</v>
      </c>
      <c r="BJ154" s="256">
        <f t="shared" si="85"/>
        <v>33.759593521347711</v>
      </c>
      <c r="BK154" s="55">
        <f t="shared" si="83"/>
        <v>0.67519187042695428</v>
      </c>
      <c r="BL154" s="137">
        <f t="shared" si="86"/>
        <v>8.6680064195516646</v>
      </c>
    </row>
    <row r="155" spans="1:64" x14ac:dyDescent="0.6">
      <c r="A155" s="214" t="s">
        <v>329</v>
      </c>
      <c r="B155" s="13" t="s">
        <v>2135</v>
      </c>
      <c r="C155" s="219" t="s">
        <v>858</v>
      </c>
      <c r="D155" s="216" t="s">
        <v>285</v>
      </c>
      <c r="E155" s="217" t="s">
        <v>1061</v>
      </c>
      <c r="F155" s="217" t="s">
        <v>124</v>
      </c>
      <c r="G155" s="218">
        <v>38484</v>
      </c>
      <c r="H155" s="217" t="s">
        <v>830</v>
      </c>
      <c r="I155" s="217" t="s">
        <v>734</v>
      </c>
      <c r="J155" s="217" t="s">
        <v>1197</v>
      </c>
      <c r="K155" s="217" t="s">
        <v>425</v>
      </c>
      <c r="L155" s="220">
        <v>278609820</v>
      </c>
      <c r="M155" s="206">
        <v>60662564</v>
      </c>
      <c r="N155" s="206">
        <v>217947256</v>
      </c>
      <c r="O155" s="206">
        <v>300844920</v>
      </c>
      <c r="P155" s="206">
        <v>2168970</v>
      </c>
      <c r="Q155" s="206">
        <v>5936019</v>
      </c>
      <c r="R155" s="206">
        <v>4978376</v>
      </c>
      <c r="S155" s="105">
        <v>1</v>
      </c>
      <c r="T155" s="254">
        <f t="shared" si="58"/>
        <v>100</v>
      </c>
      <c r="U155" s="107">
        <f t="shared" si="59"/>
        <v>1</v>
      </c>
      <c r="V155" s="45">
        <v>8</v>
      </c>
      <c r="W155" s="45">
        <v>8</v>
      </c>
      <c r="X155" s="255">
        <f t="shared" si="60"/>
        <v>0</v>
      </c>
      <c r="Y155" s="255">
        <f t="shared" si="61"/>
        <v>18</v>
      </c>
      <c r="Z155" s="256">
        <f t="shared" si="62"/>
        <v>0</v>
      </c>
      <c r="AA155" s="257">
        <f t="shared" si="63"/>
        <v>20</v>
      </c>
      <c r="AB155" s="116">
        <f t="shared" si="64"/>
        <v>0.2</v>
      </c>
      <c r="AC155" s="123">
        <v>321</v>
      </c>
      <c r="AD155" s="123">
        <v>339</v>
      </c>
      <c r="AE155" s="257">
        <f t="shared" si="65"/>
        <v>18</v>
      </c>
      <c r="AF155" s="258">
        <f t="shared" si="66"/>
        <v>5.6074766355140184</v>
      </c>
      <c r="AG155" s="257">
        <f t="shared" si="67"/>
        <v>100</v>
      </c>
      <c r="AH155" s="124">
        <f t="shared" si="68"/>
        <v>4</v>
      </c>
      <c r="AI155" s="105">
        <v>0</v>
      </c>
      <c r="AJ155" s="105">
        <v>0</v>
      </c>
      <c r="AK155" s="105">
        <v>0</v>
      </c>
      <c r="AL155" s="105">
        <v>0</v>
      </c>
      <c r="AM155" s="260">
        <f t="shared" si="69"/>
        <v>0</v>
      </c>
      <c r="AN155" s="260">
        <f t="shared" si="70"/>
        <v>20</v>
      </c>
      <c r="AO155" s="130">
        <f t="shared" si="71"/>
        <v>0.2</v>
      </c>
      <c r="AP155" s="106">
        <v>398220</v>
      </c>
      <c r="AQ155" s="261">
        <f t="shared" si="84"/>
        <v>7.9989940494651277</v>
      </c>
      <c r="AR155" s="261">
        <f t="shared" si="72"/>
        <v>100</v>
      </c>
      <c r="AS155" s="107">
        <f t="shared" si="73"/>
        <v>4</v>
      </c>
      <c r="AT155" s="105">
        <v>1</v>
      </c>
      <c r="AU155" s="105">
        <v>1</v>
      </c>
      <c r="AV155" s="262">
        <f t="shared" si="74"/>
        <v>50</v>
      </c>
      <c r="AW155" s="134">
        <v>3</v>
      </c>
      <c r="AX155" s="134" t="s">
        <v>3589</v>
      </c>
      <c r="AY155" s="262">
        <f t="shared" si="75"/>
        <v>50</v>
      </c>
      <c r="AZ155" s="262">
        <f t="shared" si="76"/>
        <v>100</v>
      </c>
      <c r="BA155" s="38">
        <f t="shared" si="77"/>
        <v>1</v>
      </c>
      <c r="BB155" s="105">
        <v>0</v>
      </c>
      <c r="BC155" s="105">
        <v>0</v>
      </c>
      <c r="BD155" s="105">
        <v>0</v>
      </c>
      <c r="BE155" s="262">
        <f t="shared" si="78"/>
        <v>0</v>
      </c>
      <c r="BF155" s="262">
        <f t="shared" si="79"/>
        <v>50</v>
      </c>
      <c r="BG155" s="38">
        <f t="shared" si="80"/>
        <v>0.5</v>
      </c>
      <c r="BH155" s="255">
        <f t="shared" si="81"/>
        <v>957643</v>
      </c>
      <c r="BI155" s="256">
        <f t="shared" si="82"/>
        <v>0.3183178230165894</v>
      </c>
      <c r="BJ155" s="256">
        <f t="shared" si="85"/>
        <v>27.38738367262442</v>
      </c>
      <c r="BK155" s="55">
        <f t="shared" si="83"/>
        <v>0.54774767345248843</v>
      </c>
      <c r="BL155" s="137">
        <f t="shared" si="86"/>
        <v>11.447747673452488</v>
      </c>
    </row>
    <row r="156" spans="1:64" x14ac:dyDescent="0.6">
      <c r="A156" s="214" t="s">
        <v>27</v>
      </c>
      <c r="B156" s="13" t="s">
        <v>2136</v>
      </c>
      <c r="C156" s="219" t="s">
        <v>312</v>
      </c>
      <c r="D156" s="216" t="s">
        <v>202</v>
      </c>
      <c r="E156" s="217" t="s">
        <v>205</v>
      </c>
      <c r="F156" s="217" t="s">
        <v>260</v>
      </c>
      <c r="G156" s="218">
        <v>31740</v>
      </c>
      <c r="H156" s="217" t="s">
        <v>830</v>
      </c>
      <c r="I156" s="217" t="s">
        <v>250</v>
      </c>
      <c r="J156" s="217" t="s">
        <v>1086</v>
      </c>
      <c r="K156" s="217" t="s">
        <v>317</v>
      </c>
      <c r="L156" s="220">
        <v>110962184</v>
      </c>
      <c r="M156" s="206">
        <v>49075760</v>
      </c>
      <c r="N156" s="206">
        <v>61886424</v>
      </c>
      <c r="O156" s="206">
        <v>192666638</v>
      </c>
      <c r="P156" s="206">
        <v>14593397</v>
      </c>
      <c r="Q156" s="206">
        <v>13329040</v>
      </c>
      <c r="R156" s="206">
        <v>11131018</v>
      </c>
      <c r="S156" s="105">
        <v>1</v>
      </c>
      <c r="T156" s="254">
        <f t="shared" si="58"/>
        <v>100</v>
      </c>
      <c r="U156" s="107">
        <f t="shared" si="59"/>
        <v>1</v>
      </c>
      <c r="V156" s="45">
        <v>282</v>
      </c>
      <c r="W156" s="45">
        <v>246</v>
      </c>
      <c r="X156" s="255">
        <f t="shared" si="60"/>
        <v>-36</v>
      </c>
      <c r="Y156" s="255">
        <f t="shared" si="61"/>
        <v>-30</v>
      </c>
      <c r="Z156" s="256">
        <f t="shared" si="62"/>
        <v>-3600</v>
      </c>
      <c r="AA156" s="257">
        <f t="shared" si="63"/>
        <v>20</v>
      </c>
      <c r="AB156" s="116">
        <f t="shared" si="64"/>
        <v>0.2</v>
      </c>
      <c r="AC156" s="123">
        <v>503</v>
      </c>
      <c r="AD156" s="123">
        <v>473</v>
      </c>
      <c r="AE156" s="257">
        <f t="shared" si="65"/>
        <v>-30</v>
      </c>
      <c r="AF156" s="258">
        <f t="shared" si="66"/>
        <v>-5.964214711729622</v>
      </c>
      <c r="AG156" s="257">
        <f t="shared" si="67"/>
        <v>20</v>
      </c>
      <c r="AH156" s="124">
        <f t="shared" si="68"/>
        <v>0.8</v>
      </c>
      <c r="AI156" s="105">
        <v>0</v>
      </c>
      <c r="AJ156" s="105">
        <v>1</v>
      </c>
      <c r="AK156" s="105">
        <v>0</v>
      </c>
      <c r="AL156" s="105">
        <v>0</v>
      </c>
      <c r="AM156" s="260">
        <f t="shared" si="69"/>
        <v>1</v>
      </c>
      <c r="AN156" s="260">
        <f t="shared" si="70"/>
        <v>40</v>
      </c>
      <c r="AO156" s="130">
        <f t="shared" si="71"/>
        <v>0.4</v>
      </c>
      <c r="AP156" s="106">
        <v>0</v>
      </c>
      <c r="AQ156" s="261">
        <f t="shared" si="84"/>
        <v>0</v>
      </c>
      <c r="AR156" s="261">
        <f t="shared" si="72"/>
        <v>25</v>
      </c>
      <c r="AS156" s="107">
        <f t="shared" si="73"/>
        <v>1</v>
      </c>
      <c r="AT156" s="105">
        <v>0</v>
      </c>
      <c r="AU156" s="105">
        <v>1</v>
      </c>
      <c r="AV156" s="262">
        <f t="shared" si="74"/>
        <v>25</v>
      </c>
      <c r="AW156" s="134">
        <v>0</v>
      </c>
      <c r="AX156" s="134"/>
      <c r="AY156" s="262">
        <f t="shared" si="75"/>
        <v>0</v>
      </c>
      <c r="AZ156" s="262">
        <f t="shared" si="76"/>
        <v>25</v>
      </c>
      <c r="BA156" s="38">
        <f t="shared" si="77"/>
        <v>0.25</v>
      </c>
      <c r="BB156" s="105">
        <v>0</v>
      </c>
      <c r="BC156" s="105">
        <v>0</v>
      </c>
      <c r="BD156" s="105">
        <v>0</v>
      </c>
      <c r="BE156" s="262">
        <f t="shared" si="78"/>
        <v>0</v>
      </c>
      <c r="BF156" s="262">
        <f t="shared" si="79"/>
        <v>50</v>
      </c>
      <c r="BG156" s="38">
        <f t="shared" si="80"/>
        <v>0.5</v>
      </c>
      <c r="BH156" s="255">
        <f t="shared" si="81"/>
        <v>2198022</v>
      </c>
      <c r="BI156" s="256">
        <f t="shared" si="82"/>
        <v>1.1408420382567739</v>
      </c>
      <c r="BJ156" s="256">
        <f t="shared" si="85"/>
        <v>33.556315286925809</v>
      </c>
      <c r="BK156" s="55">
        <f t="shared" si="83"/>
        <v>0.67112630573851617</v>
      </c>
      <c r="BL156" s="137">
        <f t="shared" si="86"/>
        <v>4.8211263057385167</v>
      </c>
    </row>
    <row r="157" spans="1:64" x14ac:dyDescent="0.6">
      <c r="A157" s="214" t="s">
        <v>70</v>
      </c>
      <c r="B157" s="13" t="s">
        <v>2137</v>
      </c>
      <c r="C157" s="219" t="s">
        <v>328</v>
      </c>
      <c r="D157" s="216" t="s">
        <v>202</v>
      </c>
      <c r="E157" s="217" t="s">
        <v>205</v>
      </c>
      <c r="F157" s="217" t="s">
        <v>249</v>
      </c>
      <c r="G157" s="218">
        <v>27937</v>
      </c>
      <c r="H157" s="217" t="s">
        <v>830</v>
      </c>
      <c r="I157" s="217" t="s">
        <v>908</v>
      </c>
      <c r="J157" s="217" t="s">
        <v>1079</v>
      </c>
      <c r="K157" s="217" t="s">
        <v>690</v>
      </c>
      <c r="L157" s="220">
        <v>258833722</v>
      </c>
      <c r="M157" s="206">
        <v>56671294</v>
      </c>
      <c r="N157" s="206">
        <v>202162428</v>
      </c>
      <c r="O157" s="206">
        <v>211265922</v>
      </c>
      <c r="P157" s="206">
        <v>24633492</v>
      </c>
      <c r="Q157" s="206">
        <v>27322194</v>
      </c>
      <c r="R157" s="206">
        <v>21624124</v>
      </c>
      <c r="S157" s="105">
        <v>1</v>
      </c>
      <c r="T157" s="254">
        <f t="shared" si="58"/>
        <v>100</v>
      </c>
      <c r="U157" s="107">
        <f t="shared" si="59"/>
        <v>1</v>
      </c>
      <c r="V157" s="45">
        <v>137</v>
      </c>
      <c r="W157" s="45">
        <v>128</v>
      </c>
      <c r="X157" s="255">
        <f t="shared" si="60"/>
        <v>-9</v>
      </c>
      <c r="Y157" s="255">
        <f t="shared" si="61"/>
        <v>-31</v>
      </c>
      <c r="Z157" s="256">
        <f t="shared" si="62"/>
        <v>-900</v>
      </c>
      <c r="AA157" s="257">
        <f t="shared" si="63"/>
        <v>20</v>
      </c>
      <c r="AB157" s="116">
        <f t="shared" si="64"/>
        <v>0.2</v>
      </c>
      <c r="AC157" s="123">
        <v>625</v>
      </c>
      <c r="AD157" s="123">
        <v>594</v>
      </c>
      <c r="AE157" s="257">
        <f t="shared" si="65"/>
        <v>-31</v>
      </c>
      <c r="AF157" s="258">
        <f t="shared" si="66"/>
        <v>-4.96</v>
      </c>
      <c r="AG157" s="257">
        <f t="shared" si="67"/>
        <v>20</v>
      </c>
      <c r="AH157" s="124">
        <f t="shared" si="68"/>
        <v>0.8</v>
      </c>
      <c r="AI157" s="105">
        <v>0</v>
      </c>
      <c r="AJ157" s="105">
        <v>0</v>
      </c>
      <c r="AK157" s="105">
        <v>0</v>
      </c>
      <c r="AL157" s="105">
        <v>0</v>
      </c>
      <c r="AM157" s="260">
        <f t="shared" si="69"/>
        <v>0</v>
      </c>
      <c r="AN157" s="260">
        <f t="shared" si="70"/>
        <v>20</v>
      </c>
      <c r="AO157" s="130">
        <f t="shared" si="71"/>
        <v>0.2</v>
      </c>
      <c r="AP157" s="440">
        <v>0</v>
      </c>
      <c r="AQ157" s="261">
        <f t="shared" si="84"/>
        <v>0</v>
      </c>
      <c r="AR157" s="261">
        <f t="shared" si="72"/>
        <v>25</v>
      </c>
      <c r="AS157" s="107">
        <f t="shared" si="73"/>
        <v>1</v>
      </c>
      <c r="AT157" s="105">
        <v>0</v>
      </c>
      <c r="AU157" s="105">
        <v>1</v>
      </c>
      <c r="AV157" s="262">
        <f t="shared" si="74"/>
        <v>25</v>
      </c>
      <c r="AW157" s="134">
        <v>0</v>
      </c>
      <c r="AX157" s="134"/>
      <c r="AY157" s="262">
        <f t="shared" si="75"/>
        <v>0</v>
      </c>
      <c r="AZ157" s="262">
        <f t="shared" si="76"/>
        <v>25</v>
      </c>
      <c r="BA157" s="38">
        <f t="shared" si="77"/>
        <v>0.25</v>
      </c>
      <c r="BB157" s="105">
        <v>0</v>
      </c>
      <c r="BC157" s="105">
        <v>0</v>
      </c>
      <c r="BD157" s="105">
        <v>0</v>
      </c>
      <c r="BE157" s="262">
        <f t="shared" si="78"/>
        <v>0</v>
      </c>
      <c r="BF157" s="262">
        <f t="shared" si="79"/>
        <v>50</v>
      </c>
      <c r="BG157" s="38">
        <f t="shared" si="80"/>
        <v>0.5</v>
      </c>
      <c r="BH157" s="255">
        <f t="shared" si="81"/>
        <v>5698070</v>
      </c>
      <c r="BI157" s="256">
        <f t="shared" si="82"/>
        <v>2.6971079604594252</v>
      </c>
      <c r="BJ157" s="256">
        <f t="shared" si="85"/>
        <v>45.228309703445689</v>
      </c>
      <c r="BK157" s="55">
        <f t="shared" si="83"/>
        <v>0.90456619406891381</v>
      </c>
      <c r="BL157" s="137">
        <f t="shared" si="86"/>
        <v>4.854566194068914</v>
      </c>
    </row>
    <row r="158" spans="1:64" x14ac:dyDescent="0.6">
      <c r="A158" s="214" t="s">
        <v>45</v>
      </c>
      <c r="B158" s="13" t="s">
        <v>2138</v>
      </c>
      <c r="C158" s="219" t="s">
        <v>95</v>
      </c>
      <c r="D158" s="216" t="s">
        <v>202</v>
      </c>
      <c r="E158" s="217" t="s">
        <v>954</v>
      </c>
      <c r="F158" s="217" t="s">
        <v>162</v>
      </c>
      <c r="G158" s="218">
        <v>38287</v>
      </c>
      <c r="H158" s="217" t="s">
        <v>830</v>
      </c>
      <c r="I158" s="217" t="s">
        <v>247</v>
      </c>
      <c r="J158" s="217" t="s">
        <v>1066</v>
      </c>
      <c r="K158" s="217" t="s">
        <v>308</v>
      </c>
      <c r="L158" s="220">
        <v>425929471</v>
      </c>
      <c r="M158" s="206">
        <v>214344538</v>
      </c>
      <c r="N158" s="206">
        <v>211584933</v>
      </c>
      <c r="O158" s="206">
        <v>373474666</v>
      </c>
      <c r="P158" s="206">
        <v>26834891</v>
      </c>
      <c r="Q158" s="206">
        <v>16665875</v>
      </c>
      <c r="R158" s="206">
        <v>11131495</v>
      </c>
      <c r="S158" s="105">
        <v>1</v>
      </c>
      <c r="T158" s="254">
        <f t="shared" si="58"/>
        <v>100</v>
      </c>
      <c r="U158" s="107">
        <f t="shared" si="59"/>
        <v>1</v>
      </c>
      <c r="V158" s="45">
        <v>43</v>
      </c>
      <c r="W158" s="45">
        <v>43</v>
      </c>
      <c r="X158" s="255">
        <f t="shared" si="60"/>
        <v>0</v>
      </c>
      <c r="Y158" s="255">
        <f t="shared" si="61"/>
        <v>-24</v>
      </c>
      <c r="Z158" s="256">
        <f t="shared" si="62"/>
        <v>0</v>
      </c>
      <c r="AA158" s="257">
        <f t="shared" si="63"/>
        <v>20</v>
      </c>
      <c r="AB158" s="116">
        <f t="shared" si="64"/>
        <v>0.2</v>
      </c>
      <c r="AC158" s="123">
        <v>623</v>
      </c>
      <c r="AD158" s="123">
        <v>599</v>
      </c>
      <c r="AE158" s="257">
        <f t="shared" si="65"/>
        <v>-24</v>
      </c>
      <c r="AF158" s="258">
        <f t="shared" si="66"/>
        <v>-3.8523274478330656</v>
      </c>
      <c r="AG158" s="257">
        <f t="shared" si="67"/>
        <v>20</v>
      </c>
      <c r="AH158" s="124">
        <f t="shared" si="68"/>
        <v>0.8</v>
      </c>
      <c r="AI158" s="105">
        <v>0</v>
      </c>
      <c r="AJ158" s="105">
        <v>0</v>
      </c>
      <c r="AK158" s="105">
        <v>0</v>
      </c>
      <c r="AL158" s="105">
        <v>0</v>
      </c>
      <c r="AM158" s="260">
        <f t="shared" si="69"/>
        <v>0</v>
      </c>
      <c r="AN158" s="260">
        <f t="shared" si="70"/>
        <v>20</v>
      </c>
      <c r="AO158" s="130">
        <f t="shared" si="71"/>
        <v>0.2</v>
      </c>
      <c r="AP158" s="106">
        <v>70023.180999999997</v>
      </c>
      <c r="AQ158" s="261">
        <f t="shared" si="84"/>
        <v>0.62905459688927678</v>
      </c>
      <c r="AR158" s="261">
        <f t="shared" si="72"/>
        <v>34.435818953339151</v>
      </c>
      <c r="AS158" s="107">
        <f t="shared" si="73"/>
        <v>1.3774327581335661</v>
      </c>
      <c r="AT158" s="105">
        <v>0</v>
      </c>
      <c r="AU158" s="105">
        <v>1</v>
      </c>
      <c r="AV158" s="262">
        <f t="shared" si="74"/>
        <v>25</v>
      </c>
      <c r="AW158" s="134">
        <v>2</v>
      </c>
      <c r="AX158" s="134" t="s">
        <v>3590</v>
      </c>
      <c r="AY158" s="262">
        <f t="shared" si="75"/>
        <v>25</v>
      </c>
      <c r="AZ158" s="262">
        <f t="shared" si="76"/>
        <v>50</v>
      </c>
      <c r="BA158" s="38">
        <f t="shared" si="77"/>
        <v>0.5</v>
      </c>
      <c r="BB158" s="105">
        <v>0</v>
      </c>
      <c r="BC158" s="105">
        <v>0</v>
      </c>
      <c r="BD158" s="105">
        <v>0</v>
      </c>
      <c r="BE158" s="262">
        <f t="shared" si="78"/>
        <v>0</v>
      </c>
      <c r="BF158" s="262">
        <f t="shared" si="79"/>
        <v>50</v>
      </c>
      <c r="BG158" s="38">
        <f t="shared" si="80"/>
        <v>0.5</v>
      </c>
      <c r="BH158" s="255">
        <f t="shared" si="81"/>
        <v>5534380</v>
      </c>
      <c r="BI158" s="256">
        <f t="shared" si="82"/>
        <v>1.4818622262319661</v>
      </c>
      <c r="BJ158" s="256">
        <f t="shared" si="85"/>
        <v>36.113966696739745</v>
      </c>
      <c r="BK158" s="55">
        <f t="shared" si="83"/>
        <v>0.72227933393479493</v>
      </c>
      <c r="BL158" s="137">
        <f t="shared" si="86"/>
        <v>5.2997120920683614</v>
      </c>
    </row>
    <row r="159" spans="1:64" x14ac:dyDescent="0.6">
      <c r="A159" s="214" t="s">
        <v>25</v>
      </c>
      <c r="B159" s="13" t="s">
        <v>2139</v>
      </c>
      <c r="C159" s="219" t="s">
        <v>39</v>
      </c>
      <c r="D159" s="216" t="s">
        <v>191</v>
      </c>
      <c r="E159" s="217" t="s">
        <v>178</v>
      </c>
      <c r="F159" s="217" t="s">
        <v>749</v>
      </c>
      <c r="G159" s="218">
        <v>42591</v>
      </c>
      <c r="H159" s="217" t="s">
        <v>830</v>
      </c>
      <c r="I159" s="217" t="s">
        <v>758</v>
      </c>
      <c r="J159" s="217" t="s">
        <v>1117</v>
      </c>
      <c r="K159" s="217" t="s">
        <v>91</v>
      </c>
      <c r="L159" s="220">
        <v>323958042</v>
      </c>
      <c r="M159" s="206">
        <v>108746469</v>
      </c>
      <c r="N159" s="206">
        <v>215211573</v>
      </c>
      <c r="O159" s="206">
        <v>362553052</v>
      </c>
      <c r="P159" s="206">
        <v>8643494</v>
      </c>
      <c r="Q159" s="206">
        <v>12941595</v>
      </c>
      <c r="R159" s="206">
        <v>11435933</v>
      </c>
      <c r="S159" s="105">
        <v>1</v>
      </c>
      <c r="T159" s="254">
        <f t="shared" si="58"/>
        <v>100</v>
      </c>
      <c r="U159" s="107">
        <f t="shared" si="59"/>
        <v>1</v>
      </c>
      <c r="V159" s="45">
        <v>309</v>
      </c>
      <c r="W159" s="45">
        <v>279</v>
      </c>
      <c r="X159" s="255">
        <f t="shared" si="60"/>
        <v>-30</v>
      </c>
      <c r="Y159" s="255">
        <f t="shared" si="61"/>
        <v>-45</v>
      </c>
      <c r="Z159" s="256">
        <f t="shared" si="62"/>
        <v>-3000</v>
      </c>
      <c r="AA159" s="257">
        <f t="shared" si="63"/>
        <v>20</v>
      </c>
      <c r="AB159" s="116">
        <f t="shared" si="64"/>
        <v>0.2</v>
      </c>
      <c r="AC159" s="123">
        <v>645</v>
      </c>
      <c r="AD159" s="123">
        <v>600</v>
      </c>
      <c r="AE159" s="257">
        <f t="shared" si="65"/>
        <v>-45</v>
      </c>
      <c r="AF159" s="258">
        <f t="shared" si="66"/>
        <v>-6.9767441860465116</v>
      </c>
      <c r="AG159" s="257">
        <f t="shared" si="67"/>
        <v>20</v>
      </c>
      <c r="AH159" s="124">
        <f t="shared" si="68"/>
        <v>0.8</v>
      </c>
      <c r="AI159" s="105">
        <v>0</v>
      </c>
      <c r="AJ159" s="105">
        <v>0</v>
      </c>
      <c r="AK159" s="105">
        <v>0</v>
      </c>
      <c r="AL159" s="105">
        <v>0</v>
      </c>
      <c r="AM159" s="260">
        <f t="shared" si="69"/>
        <v>0</v>
      </c>
      <c r="AN159" s="260">
        <f t="shared" si="70"/>
        <v>20</v>
      </c>
      <c r="AO159" s="130">
        <f t="shared" si="71"/>
        <v>0.2</v>
      </c>
      <c r="AP159" s="106">
        <v>112666</v>
      </c>
      <c r="AQ159" s="261">
        <f t="shared" si="84"/>
        <v>0.98519290030817763</v>
      </c>
      <c r="AR159" s="261">
        <f t="shared" si="72"/>
        <v>39.777893504622668</v>
      </c>
      <c r="AS159" s="107">
        <f t="shared" si="73"/>
        <v>1.5911157401849068</v>
      </c>
      <c r="AT159" s="105">
        <v>0</v>
      </c>
      <c r="AU159" s="105">
        <v>1</v>
      </c>
      <c r="AV159" s="262">
        <f t="shared" si="74"/>
        <v>25</v>
      </c>
      <c r="AW159" s="134">
        <v>0</v>
      </c>
      <c r="AX159" s="134"/>
      <c r="AY159" s="262">
        <f t="shared" si="75"/>
        <v>0</v>
      </c>
      <c r="AZ159" s="262">
        <f t="shared" si="76"/>
        <v>25</v>
      </c>
      <c r="BA159" s="38">
        <f t="shared" si="77"/>
        <v>0.25</v>
      </c>
      <c r="BB159" s="105">
        <v>0</v>
      </c>
      <c r="BC159" s="105">
        <v>0</v>
      </c>
      <c r="BD159" s="105">
        <v>1</v>
      </c>
      <c r="BE159" s="262">
        <f t="shared" si="78"/>
        <v>1</v>
      </c>
      <c r="BF159" s="262">
        <f t="shared" si="79"/>
        <v>100</v>
      </c>
      <c r="BG159" s="38">
        <f t="shared" si="80"/>
        <v>1</v>
      </c>
      <c r="BH159" s="255">
        <f t="shared" si="81"/>
        <v>1505662</v>
      </c>
      <c r="BI159" s="256">
        <f t="shared" si="82"/>
        <v>0.41529425602518438</v>
      </c>
      <c r="BJ159" s="256">
        <f t="shared" si="85"/>
        <v>28.114706920188883</v>
      </c>
      <c r="BK159" s="55">
        <f t="shared" si="83"/>
        <v>0.56229413840377773</v>
      </c>
      <c r="BL159" s="137">
        <f t="shared" si="86"/>
        <v>5.6034098785886846</v>
      </c>
    </row>
    <row r="160" spans="1:64" x14ac:dyDescent="0.6">
      <c r="A160" s="214" t="s">
        <v>1706</v>
      </c>
      <c r="B160" s="13" t="s">
        <v>2140</v>
      </c>
      <c r="C160" s="219" t="s">
        <v>1707</v>
      </c>
      <c r="D160" s="14" t="s">
        <v>203</v>
      </c>
      <c r="E160" s="217" t="s">
        <v>978</v>
      </c>
      <c r="F160" s="217" t="s">
        <v>1708</v>
      </c>
      <c r="G160" s="218">
        <v>34929</v>
      </c>
      <c r="H160" s="217" t="s">
        <v>830</v>
      </c>
      <c r="I160" s="217" t="s">
        <v>1709</v>
      </c>
      <c r="J160" s="1" t="s">
        <v>3713</v>
      </c>
      <c r="K160" s="217" t="s">
        <v>91</v>
      </c>
      <c r="L160" s="220">
        <v>1847155998</v>
      </c>
      <c r="M160" s="206">
        <v>810732237</v>
      </c>
      <c r="N160" s="206">
        <v>1036423762</v>
      </c>
      <c r="O160" s="206">
        <v>1716610303</v>
      </c>
      <c r="P160" s="206">
        <v>2873932</v>
      </c>
      <c r="Q160" s="206">
        <v>21741733</v>
      </c>
      <c r="R160" s="206">
        <v>17341286</v>
      </c>
      <c r="S160" s="105">
        <v>1</v>
      </c>
      <c r="T160" s="254">
        <f t="shared" si="58"/>
        <v>100</v>
      </c>
      <c r="U160" s="107">
        <f t="shared" si="59"/>
        <v>1</v>
      </c>
      <c r="V160" s="45">
        <v>32</v>
      </c>
      <c r="W160" s="45">
        <v>33</v>
      </c>
      <c r="X160" s="255">
        <f t="shared" si="60"/>
        <v>1</v>
      </c>
      <c r="Y160" s="255">
        <f t="shared" si="61"/>
        <v>12</v>
      </c>
      <c r="Z160" s="256">
        <f t="shared" si="62"/>
        <v>8.3333333333333321</v>
      </c>
      <c r="AA160" s="257">
        <f t="shared" si="63"/>
        <v>20</v>
      </c>
      <c r="AB160" s="116">
        <f t="shared" si="64"/>
        <v>0.2</v>
      </c>
      <c r="AC160" s="123">
        <v>490</v>
      </c>
      <c r="AD160" s="123">
        <v>502</v>
      </c>
      <c r="AE160" s="257">
        <f t="shared" si="65"/>
        <v>12</v>
      </c>
      <c r="AF160" s="258">
        <f t="shared" si="66"/>
        <v>2.4489795918367347</v>
      </c>
      <c r="AG160" s="257">
        <f t="shared" si="67"/>
        <v>80</v>
      </c>
      <c r="AH160" s="124">
        <f t="shared" si="68"/>
        <v>3.2</v>
      </c>
      <c r="AI160" s="105">
        <v>0</v>
      </c>
      <c r="AJ160" s="105">
        <v>0</v>
      </c>
      <c r="AK160" s="105">
        <v>0</v>
      </c>
      <c r="AL160" s="105">
        <v>0</v>
      </c>
      <c r="AM160" s="260">
        <f t="shared" si="69"/>
        <v>0</v>
      </c>
      <c r="AN160" s="260">
        <f t="shared" si="70"/>
        <v>20</v>
      </c>
      <c r="AO160" s="130">
        <f t="shared" si="71"/>
        <v>0.2</v>
      </c>
      <c r="AP160" s="106">
        <v>1581490</v>
      </c>
      <c r="AQ160" s="261">
        <f t="shared" si="84"/>
        <v>9.1197965364275753</v>
      </c>
      <c r="AR160" s="261">
        <f t="shared" si="72"/>
        <v>100</v>
      </c>
      <c r="AS160" s="107">
        <f t="shared" si="73"/>
        <v>4</v>
      </c>
      <c r="AT160" s="105">
        <v>0</v>
      </c>
      <c r="AU160" s="105">
        <v>0</v>
      </c>
      <c r="AV160" s="262">
        <f t="shared" si="74"/>
        <v>0</v>
      </c>
      <c r="AW160" s="134">
        <v>1</v>
      </c>
      <c r="AX160" s="447" t="s">
        <v>3714</v>
      </c>
      <c r="AY160" s="262">
        <f t="shared" si="75"/>
        <v>25</v>
      </c>
      <c r="AZ160" s="262">
        <f t="shared" si="76"/>
        <v>25</v>
      </c>
      <c r="BA160" s="38">
        <f t="shared" si="77"/>
        <v>0.25</v>
      </c>
      <c r="BB160" s="105">
        <v>0</v>
      </c>
      <c r="BC160" s="105">
        <v>0</v>
      </c>
      <c r="BD160" s="105">
        <v>0</v>
      </c>
      <c r="BE160" s="262">
        <f t="shared" si="78"/>
        <v>0</v>
      </c>
      <c r="BF160" s="262">
        <f t="shared" si="79"/>
        <v>50</v>
      </c>
      <c r="BG160" s="38">
        <f t="shared" si="80"/>
        <v>0.5</v>
      </c>
      <c r="BH160" s="255">
        <f t="shared" si="81"/>
        <v>4400447</v>
      </c>
      <c r="BI160" s="256">
        <f t="shared" si="82"/>
        <v>0.2563451350786865</v>
      </c>
      <c r="BJ160" s="256">
        <f t="shared" si="85"/>
        <v>26.922588513090147</v>
      </c>
      <c r="BK160" s="55">
        <f t="shared" si="83"/>
        <v>0.53845177026180291</v>
      </c>
      <c r="BL160" s="137">
        <f t="shared" si="86"/>
        <v>9.8884517702618044</v>
      </c>
    </row>
    <row r="161" spans="1:64" x14ac:dyDescent="0.6">
      <c r="A161" s="214" t="s">
        <v>1711</v>
      </c>
      <c r="B161" s="13" t="s">
        <v>2141</v>
      </c>
      <c r="C161" s="219" t="s">
        <v>1712</v>
      </c>
      <c r="D161" s="14" t="s">
        <v>191</v>
      </c>
      <c r="E161" s="217" t="s">
        <v>1713</v>
      </c>
      <c r="F161" s="217" t="s">
        <v>1714</v>
      </c>
      <c r="G161" s="218">
        <v>40590</v>
      </c>
      <c r="H161" s="217" t="s">
        <v>830</v>
      </c>
      <c r="I161" s="217" t="s">
        <v>1715</v>
      </c>
      <c r="J161" s="1" t="s">
        <v>2304</v>
      </c>
      <c r="K161" s="217" t="s">
        <v>690</v>
      </c>
      <c r="L161" s="220">
        <v>915554063</v>
      </c>
      <c r="M161" s="206">
        <v>489216440</v>
      </c>
      <c r="N161" s="206">
        <v>426337623</v>
      </c>
      <c r="O161" s="206">
        <v>1198282787</v>
      </c>
      <c r="P161" s="206">
        <v>30096580</v>
      </c>
      <c r="Q161" s="206">
        <v>53117187</v>
      </c>
      <c r="R161" s="206">
        <v>41094963</v>
      </c>
      <c r="S161" s="105">
        <v>0</v>
      </c>
      <c r="T161" s="254">
        <f t="shared" si="58"/>
        <v>0</v>
      </c>
      <c r="U161" s="107">
        <f t="shared" si="59"/>
        <v>0</v>
      </c>
      <c r="V161" s="45">
        <f>51+13</f>
        <v>64</v>
      </c>
      <c r="W161" s="45">
        <f>60+17</f>
        <v>77</v>
      </c>
      <c r="X161" s="255">
        <f t="shared" si="60"/>
        <v>13</v>
      </c>
      <c r="Y161" s="255">
        <f t="shared" si="61"/>
        <v>32</v>
      </c>
      <c r="Z161" s="256">
        <f t="shared" si="62"/>
        <v>40.625</v>
      </c>
      <c r="AA161" s="257">
        <f t="shared" si="63"/>
        <v>100</v>
      </c>
      <c r="AB161" s="116">
        <f t="shared" si="64"/>
        <v>1</v>
      </c>
      <c r="AC161" s="123">
        <v>369</v>
      </c>
      <c r="AD161" s="123">
        <v>401</v>
      </c>
      <c r="AE161" s="257">
        <f t="shared" si="65"/>
        <v>32</v>
      </c>
      <c r="AF161" s="258">
        <f t="shared" si="66"/>
        <v>8.6720867208672079</v>
      </c>
      <c r="AG161" s="257">
        <f t="shared" si="67"/>
        <v>100</v>
      </c>
      <c r="AH161" s="124">
        <f t="shared" si="68"/>
        <v>4</v>
      </c>
      <c r="AI161" s="105">
        <v>0</v>
      </c>
      <c r="AJ161" s="105">
        <v>0</v>
      </c>
      <c r="AK161" s="105">
        <v>0</v>
      </c>
      <c r="AL161" s="105">
        <v>0</v>
      </c>
      <c r="AM161" s="260">
        <f t="shared" si="69"/>
        <v>0</v>
      </c>
      <c r="AN161" s="260">
        <f t="shared" si="70"/>
        <v>20</v>
      </c>
      <c r="AO161" s="130">
        <f t="shared" si="71"/>
        <v>0.2</v>
      </c>
      <c r="AP161" s="106">
        <v>336161</v>
      </c>
      <c r="AQ161" s="261">
        <f t="shared" si="84"/>
        <v>0.81801022670345258</v>
      </c>
      <c r="AR161" s="261">
        <f t="shared" si="72"/>
        <v>37.270153400551791</v>
      </c>
      <c r="AS161" s="107">
        <f t="shared" si="73"/>
        <v>1.4908061360220717</v>
      </c>
      <c r="AT161" s="105">
        <v>0</v>
      </c>
      <c r="AU161" s="105">
        <v>0</v>
      </c>
      <c r="AV161" s="262">
        <f t="shared" si="74"/>
        <v>0</v>
      </c>
      <c r="AW161" s="134">
        <v>2</v>
      </c>
      <c r="AX161" s="447" t="s">
        <v>3715</v>
      </c>
      <c r="AY161" s="262">
        <f t="shared" si="75"/>
        <v>25</v>
      </c>
      <c r="AZ161" s="262">
        <f t="shared" si="76"/>
        <v>25</v>
      </c>
      <c r="BA161" s="38">
        <f t="shared" si="77"/>
        <v>0.25</v>
      </c>
      <c r="BB161" s="105">
        <v>0</v>
      </c>
      <c r="BC161" s="105">
        <v>0</v>
      </c>
      <c r="BD161" s="105">
        <v>0</v>
      </c>
      <c r="BE161" s="262">
        <f t="shared" si="78"/>
        <v>0</v>
      </c>
      <c r="BF161" s="262">
        <f t="shared" si="79"/>
        <v>50</v>
      </c>
      <c r="BG161" s="38">
        <f t="shared" si="80"/>
        <v>0.5</v>
      </c>
      <c r="BH161" s="255">
        <f t="shared" si="81"/>
        <v>12022224</v>
      </c>
      <c r="BI161" s="256">
        <f t="shared" si="82"/>
        <v>1.0032877155899596</v>
      </c>
      <c r="BJ161" s="256">
        <f t="shared" si="85"/>
        <v>32.524657866924699</v>
      </c>
      <c r="BK161" s="55">
        <f t="shared" si="83"/>
        <v>0.650493157338494</v>
      </c>
      <c r="BL161" s="137">
        <f t="shared" si="86"/>
        <v>8.0912992933605654</v>
      </c>
    </row>
    <row r="162" spans="1:64" x14ac:dyDescent="0.6">
      <c r="A162" s="214" t="s">
        <v>1716</v>
      </c>
      <c r="B162" s="13" t="s">
        <v>2142</v>
      </c>
      <c r="C162" s="219" t="s">
        <v>1717</v>
      </c>
      <c r="D162" s="14" t="s">
        <v>285</v>
      </c>
      <c r="E162" s="217" t="s">
        <v>1432</v>
      </c>
      <c r="F162" s="217" t="s">
        <v>1718</v>
      </c>
      <c r="G162" s="218">
        <v>28264</v>
      </c>
      <c r="H162" s="217" t="s">
        <v>830</v>
      </c>
      <c r="I162" s="217" t="s">
        <v>1719</v>
      </c>
      <c r="J162" s="1" t="s">
        <v>3716</v>
      </c>
      <c r="K162" s="217" t="s">
        <v>484</v>
      </c>
      <c r="L162" s="220">
        <v>818244152</v>
      </c>
      <c r="M162" s="206">
        <v>212287560</v>
      </c>
      <c r="N162" s="206">
        <v>605956593</v>
      </c>
      <c r="O162" s="206">
        <v>708635837</v>
      </c>
      <c r="P162" s="206">
        <v>24543012</v>
      </c>
      <c r="Q162" s="206">
        <v>35564999</v>
      </c>
      <c r="R162" s="206">
        <v>39359123</v>
      </c>
      <c r="S162" s="105">
        <v>0</v>
      </c>
      <c r="T162" s="254">
        <f t="shared" si="58"/>
        <v>0</v>
      </c>
      <c r="U162" s="107">
        <f t="shared" si="59"/>
        <v>0</v>
      </c>
      <c r="V162" s="45">
        <v>59</v>
      </c>
      <c r="W162" s="45">
        <v>63</v>
      </c>
      <c r="X162" s="255">
        <f t="shared" si="60"/>
        <v>4</v>
      </c>
      <c r="Y162" s="255">
        <f t="shared" si="61"/>
        <v>16</v>
      </c>
      <c r="Z162" s="256">
        <f t="shared" si="62"/>
        <v>25</v>
      </c>
      <c r="AA162" s="257">
        <f t="shared" si="63"/>
        <v>60</v>
      </c>
      <c r="AB162" s="116">
        <f t="shared" si="64"/>
        <v>0.6</v>
      </c>
      <c r="AC162" s="123">
        <v>629</v>
      </c>
      <c r="AD162" s="123">
        <v>645</v>
      </c>
      <c r="AE162" s="257">
        <f t="shared" si="65"/>
        <v>16</v>
      </c>
      <c r="AF162" s="258">
        <f t="shared" si="66"/>
        <v>2.5437201907790143</v>
      </c>
      <c r="AG162" s="257">
        <f t="shared" si="67"/>
        <v>100</v>
      </c>
      <c r="AH162" s="124">
        <f t="shared" si="68"/>
        <v>4</v>
      </c>
      <c r="AI162" s="105">
        <v>0</v>
      </c>
      <c r="AJ162" s="105">
        <v>0</v>
      </c>
      <c r="AK162" s="105">
        <v>0</v>
      </c>
      <c r="AL162" s="105">
        <v>0</v>
      </c>
      <c r="AM162" s="260">
        <f t="shared" si="69"/>
        <v>0</v>
      </c>
      <c r="AN162" s="260">
        <f t="shared" si="70"/>
        <v>20</v>
      </c>
      <c r="AO162" s="130">
        <f t="shared" si="71"/>
        <v>0.2</v>
      </c>
      <c r="AP162" s="106">
        <v>766830</v>
      </c>
      <c r="AQ162" s="261">
        <f t="shared" si="84"/>
        <v>1.9482903620591341</v>
      </c>
      <c r="AR162" s="261">
        <f t="shared" si="72"/>
        <v>54.224355430887009</v>
      </c>
      <c r="AS162" s="107">
        <f t="shared" si="73"/>
        <v>2.1689742172354802</v>
      </c>
      <c r="AT162" s="105">
        <v>0</v>
      </c>
      <c r="AU162" s="105">
        <v>1</v>
      </c>
      <c r="AV162" s="262">
        <f t="shared" si="74"/>
        <v>25</v>
      </c>
      <c r="AW162" s="134">
        <v>6</v>
      </c>
      <c r="AX162" s="447" t="s">
        <v>3717</v>
      </c>
      <c r="AY162" s="262">
        <f t="shared" si="75"/>
        <v>50</v>
      </c>
      <c r="AZ162" s="262">
        <f t="shared" si="76"/>
        <v>75</v>
      </c>
      <c r="BA162" s="38">
        <f t="shared" si="77"/>
        <v>0.75</v>
      </c>
      <c r="BB162" s="105">
        <v>0</v>
      </c>
      <c r="BC162" s="105">
        <v>0</v>
      </c>
      <c r="BD162" s="105">
        <v>0</v>
      </c>
      <c r="BE162" s="262">
        <f t="shared" si="78"/>
        <v>0</v>
      </c>
      <c r="BF162" s="262">
        <f t="shared" si="79"/>
        <v>50</v>
      </c>
      <c r="BG162" s="38">
        <f t="shared" si="80"/>
        <v>0.5</v>
      </c>
      <c r="BH162" s="255">
        <f t="shared" si="81"/>
        <v>-3794124</v>
      </c>
      <c r="BI162" s="256">
        <f t="shared" si="82"/>
        <v>-0.53541237994149027</v>
      </c>
      <c r="BJ162" s="256">
        <f t="shared" si="85"/>
        <v>25</v>
      </c>
      <c r="BK162" s="55">
        <f t="shared" si="83"/>
        <v>0.5</v>
      </c>
      <c r="BL162" s="137">
        <f t="shared" si="86"/>
        <v>8.7189742172354805</v>
      </c>
    </row>
    <row r="163" spans="1:64" x14ac:dyDescent="0.6">
      <c r="A163" s="214" t="s">
        <v>1721</v>
      </c>
      <c r="B163" s="13" t="s">
        <v>2143</v>
      </c>
      <c r="C163" s="219" t="s">
        <v>500</v>
      </c>
      <c r="D163" s="216" t="s">
        <v>202</v>
      </c>
      <c r="E163" s="217" t="s">
        <v>617</v>
      </c>
      <c r="F163" s="217" t="s">
        <v>1194</v>
      </c>
      <c r="G163" s="218">
        <v>32109</v>
      </c>
      <c r="H163" s="217" t="s">
        <v>830</v>
      </c>
      <c r="I163" s="217" t="s">
        <v>1722</v>
      </c>
      <c r="J163" s="217" t="s">
        <v>1087</v>
      </c>
      <c r="K163" s="217" t="s">
        <v>91</v>
      </c>
      <c r="L163" s="220">
        <v>1482320425</v>
      </c>
      <c r="M163" s="206">
        <v>264349343</v>
      </c>
      <c r="N163" s="206">
        <v>1217971082</v>
      </c>
      <c r="O163" s="206">
        <v>1278383546</v>
      </c>
      <c r="P163" s="206">
        <v>73366427</v>
      </c>
      <c r="Q163" s="206">
        <v>70696990</v>
      </c>
      <c r="R163" s="206">
        <v>48458346</v>
      </c>
      <c r="S163" s="105">
        <v>1</v>
      </c>
      <c r="T163" s="254">
        <f t="shared" si="58"/>
        <v>100</v>
      </c>
      <c r="U163" s="107">
        <f t="shared" si="59"/>
        <v>1</v>
      </c>
      <c r="V163" s="45">
        <v>50</v>
      </c>
      <c r="W163" s="45">
        <v>46</v>
      </c>
      <c r="X163" s="255">
        <f t="shared" si="60"/>
        <v>-4</v>
      </c>
      <c r="Y163" s="255">
        <f t="shared" si="61"/>
        <v>0</v>
      </c>
      <c r="Z163" s="256">
        <f t="shared" si="62"/>
        <v>-400</v>
      </c>
      <c r="AA163" s="257">
        <f t="shared" si="63"/>
        <v>20</v>
      </c>
      <c r="AB163" s="116">
        <f t="shared" si="64"/>
        <v>0.2</v>
      </c>
      <c r="AC163" s="123">
        <v>921</v>
      </c>
      <c r="AD163" s="123">
        <v>921</v>
      </c>
      <c r="AE163" s="257">
        <f t="shared" si="65"/>
        <v>0</v>
      </c>
      <c r="AF163" s="258">
        <f t="shared" si="66"/>
        <v>0</v>
      </c>
      <c r="AG163" s="257">
        <f t="shared" si="67"/>
        <v>40</v>
      </c>
      <c r="AH163" s="124">
        <f t="shared" si="68"/>
        <v>1.6</v>
      </c>
      <c r="AI163" s="105">
        <v>0</v>
      </c>
      <c r="AJ163" s="105">
        <v>0</v>
      </c>
      <c r="AK163" s="105">
        <v>0</v>
      </c>
      <c r="AL163" s="105">
        <v>0</v>
      </c>
      <c r="AM163" s="260">
        <f t="shared" si="69"/>
        <v>0</v>
      </c>
      <c r="AN163" s="260">
        <f t="shared" si="70"/>
        <v>20</v>
      </c>
      <c r="AO163" s="130">
        <f t="shared" si="71"/>
        <v>0.2</v>
      </c>
      <c r="AP163" s="106">
        <v>261000</v>
      </c>
      <c r="AQ163" s="261">
        <f t="shared" si="84"/>
        <v>0.53860690994281979</v>
      </c>
      <c r="AR163" s="261">
        <f t="shared" si="72"/>
        <v>33.079103649142297</v>
      </c>
      <c r="AS163" s="107">
        <f t="shared" si="73"/>
        <v>1.323164145965692</v>
      </c>
      <c r="AT163" s="105">
        <v>1</v>
      </c>
      <c r="AU163" s="105">
        <v>1</v>
      </c>
      <c r="AV163" s="262">
        <f t="shared" si="74"/>
        <v>50</v>
      </c>
      <c r="AW163" s="134">
        <v>4</v>
      </c>
      <c r="AX163" s="134" t="s">
        <v>3591</v>
      </c>
      <c r="AY163" s="262">
        <f t="shared" si="75"/>
        <v>50</v>
      </c>
      <c r="AZ163" s="262">
        <f t="shared" si="76"/>
        <v>100</v>
      </c>
      <c r="BA163" s="38">
        <f t="shared" si="77"/>
        <v>1</v>
      </c>
      <c r="BB163" s="105">
        <v>0</v>
      </c>
      <c r="BC163" s="105">
        <v>0</v>
      </c>
      <c r="BD163" s="105">
        <v>0</v>
      </c>
      <c r="BE163" s="262">
        <f t="shared" si="78"/>
        <v>0</v>
      </c>
      <c r="BF163" s="262">
        <f t="shared" si="79"/>
        <v>50</v>
      </c>
      <c r="BG163" s="38">
        <f t="shared" si="80"/>
        <v>0.5</v>
      </c>
      <c r="BH163" s="255">
        <f t="shared" si="81"/>
        <v>22238644</v>
      </c>
      <c r="BI163" s="256">
        <f t="shared" si="82"/>
        <v>1.7395909130388636</v>
      </c>
      <c r="BJ163" s="256">
        <f t="shared" si="85"/>
        <v>38.046931847791477</v>
      </c>
      <c r="BK163" s="55">
        <f t="shared" si="83"/>
        <v>0.76093863695582953</v>
      </c>
      <c r="BL163" s="137">
        <f t="shared" si="86"/>
        <v>6.584102782921522</v>
      </c>
    </row>
    <row r="164" spans="1:64" x14ac:dyDescent="0.6">
      <c r="A164" s="214" t="s">
        <v>12</v>
      </c>
      <c r="B164" s="13" t="s">
        <v>2144</v>
      </c>
      <c r="C164" s="219" t="s">
        <v>301</v>
      </c>
      <c r="D164" s="216" t="s">
        <v>203</v>
      </c>
      <c r="E164" s="217" t="s">
        <v>195</v>
      </c>
      <c r="F164" s="217" t="s">
        <v>757</v>
      </c>
      <c r="G164" s="218">
        <v>43378</v>
      </c>
      <c r="H164" s="217" t="s">
        <v>830</v>
      </c>
      <c r="I164" s="217" t="s">
        <v>267</v>
      </c>
      <c r="J164" s="217" t="s">
        <v>1196</v>
      </c>
      <c r="K164" s="217" t="s">
        <v>91</v>
      </c>
      <c r="L164" s="220">
        <v>1465129429</v>
      </c>
      <c r="M164" s="206">
        <v>636127563</v>
      </c>
      <c r="N164" s="206">
        <v>829001866</v>
      </c>
      <c r="O164" s="206">
        <v>1801835090</v>
      </c>
      <c r="P164" s="206">
        <v>215165658</v>
      </c>
      <c r="Q164" s="206">
        <v>211145518</v>
      </c>
      <c r="R164" s="206">
        <v>159294293</v>
      </c>
      <c r="S164" s="105">
        <v>1</v>
      </c>
      <c r="T164" s="254">
        <f t="shared" si="58"/>
        <v>100</v>
      </c>
      <c r="U164" s="107">
        <f t="shared" si="59"/>
        <v>1</v>
      </c>
      <c r="V164" s="45">
        <v>25</v>
      </c>
      <c r="W164" s="45">
        <v>27</v>
      </c>
      <c r="X164" s="255">
        <f t="shared" si="60"/>
        <v>2</v>
      </c>
      <c r="Y164" s="255">
        <f t="shared" si="61"/>
        <v>4</v>
      </c>
      <c r="Z164" s="256">
        <f t="shared" si="62"/>
        <v>50</v>
      </c>
      <c r="AA164" s="257">
        <f t="shared" si="63"/>
        <v>100</v>
      </c>
      <c r="AB164" s="116">
        <f t="shared" si="64"/>
        <v>1</v>
      </c>
      <c r="AC164" s="123">
        <v>632</v>
      </c>
      <c r="AD164" s="123">
        <v>636</v>
      </c>
      <c r="AE164" s="257">
        <f t="shared" si="65"/>
        <v>4</v>
      </c>
      <c r="AF164" s="258">
        <f t="shared" si="66"/>
        <v>0.63291139240506333</v>
      </c>
      <c r="AG164" s="257">
        <f t="shared" si="67"/>
        <v>60</v>
      </c>
      <c r="AH164" s="124">
        <f t="shared" si="68"/>
        <v>2.4</v>
      </c>
      <c r="AI164" s="105">
        <v>0</v>
      </c>
      <c r="AJ164" s="105">
        <v>0</v>
      </c>
      <c r="AK164" s="105">
        <v>0</v>
      </c>
      <c r="AL164" s="105">
        <v>0</v>
      </c>
      <c r="AM164" s="260">
        <f t="shared" si="69"/>
        <v>0</v>
      </c>
      <c r="AN164" s="260">
        <f t="shared" si="70"/>
        <v>20</v>
      </c>
      <c r="AO164" s="130">
        <f t="shared" si="71"/>
        <v>0.2</v>
      </c>
      <c r="AP164" s="106">
        <v>308000</v>
      </c>
      <c r="AQ164" s="261">
        <f t="shared" si="84"/>
        <v>0.19335281521981457</v>
      </c>
      <c r="AR164" s="261">
        <f t="shared" si="72"/>
        <v>27.900292228297218</v>
      </c>
      <c r="AS164" s="107">
        <f t="shared" si="73"/>
        <v>1.1160116891318888</v>
      </c>
      <c r="AT164" s="105">
        <v>0</v>
      </c>
      <c r="AU164" s="105">
        <v>1</v>
      </c>
      <c r="AV164" s="262">
        <f t="shared" si="74"/>
        <v>25</v>
      </c>
      <c r="AW164" s="134">
        <v>0</v>
      </c>
      <c r="AX164" s="134"/>
      <c r="AY164" s="262">
        <f t="shared" si="75"/>
        <v>0</v>
      </c>
      <c r="AZ164" s="262">
        <f t="shared" si="76"/>
        <v>25</v>
      </c>
      <c r="BA164" s="38">
        <f t="shared" si="77"/>
        <v>0.25</v>
      </c>
      <c r="BB164" s="105">
        <v>0</v>
      </c>
      <c r="BC164" s="105">
        <v>0</v>
      </c>
      <c r="BD164" s="105">
        <v>0</v>
      </c>
      <c r="BE164" s="262">
        <f t="shared" si="78"/>
        <v>0</v>
      </c>
      <c r="BF164" s="262">
        <f t="shared" si="79"/>
        <v>50</v>
      </c>
      <c r="BG164" s="38">
        <f t="shared" si="80"/>
        <v>0.5</v>
      </c>
      <c r="BH164" s="255">
        <f t="shared" si="81"/>
        <v>51851225</v>
      </c>
      <c r="BI164" s="256">
        <f t="shared" si="82"/>
        <v>2.8776898223244172</v>
      </c>
      <c r="BJ164" s="256">
        <f t="shared" si="85"/>
        <v>46.582673667433127</v>
      </c>
      <c r="BK164" s="55">
        <f t="shared" si="83"/>
        <v>0.93165347334866255</v>
      </c>
      <c r="BL164" s="137">
        <f t="shared" si="86"/>
        <v>7.3976651624805516</v>
      </c>
    </row>
    <row r="165" spans="1:64" x14ac:dyDescent="0.6">
      <c r="A165" s="214" t="s">
        <v>869</v>
      </c>
      <c r="B165" s="13" t="s">
        <v>2145</v>
      </c>
      <c r="C165" s="219" t="s">
        <v>478</v>
      </c>
      <c r="D165" s="216" t="s">
        <v>285</v>
      </c>
      <c r="E165" s="217" t="s">
        <v>171</v>
      </c>
      <c r="F165" s="217" t="s">
        <v>144</v>
      </c>
      <c r="G165" s="218">
        <v>32756</v>
      </c>
      <c r="H165" s="217" t="s">
        <v>830</v>
      </c>
      <c r="I165" s="217" t="s">
        <v>1723</v>
      </c>
      <c r="J165" s="217" t="s">
        <v>1182</v>
      </c>
      <c r="K165" s="217" t="s">
        <v>346</v>
      </c>
      <c r="L165" s="220">
        <v>49842667</v>
      </c>
      <c r="M165" s="206">
        <v>4029139</v>
      </c>
      <c r="N165" s="206">
        <v>45813528</v>
      </c>
      <c r="O165" s="206">
        <v>28065827</v>
      </c>
      <c r="P165" s="206">
        <v>1582371</v>
      </c>
      <c r="Q165" s="206">
        <v>2149604</v>
      </c>
      <c r="R165" s="206">
        <v>1307423</v>
      </c>
      <c r="S165" s="105">
        <v>1</v>
      </c>
      <c r="T165" s="254">
        <f t="shared" si="58"/>
        <v>100</v>
      </c>
      <c r="U165" s="107">
        <f t="shared" si="59"/>
        <v>1</v>
      </c>
      <c r="V165" s="45">
        <v>2</v>
      </c>
      <c r="W165" s="45">
        <v>2</v>
      </c>
      <c r="X165" s="255">
        <f t="shared" si="60"/>
        <v>0</v>
      </c>
      <c r="Y165" s="255">
        <f t="shared" si="61"/>
        <v>-2</v>
      </c>
      <c r="Z165" s="256">
        <f t="shared" si="62"/>
        <v>0</v>
      </c>
      <c r="AA165" s="257">
        <f t="shared" si="63"/>
        <v>20</v>
      </c>
      <c r="AB165" s="116">
        <f t="shared" si="64"/>
        <v>0.2</v>
      </c>
      <c r="AC165" s="123">
        <v>24</v>
      </c>
      <c r="AD165" s="123">
        <v>22</v>
      </c>
      <c r="AE165" s="257">
        <f t="shared" si="65"/>
        <v>-2</v>
      </c>
      <c r="AF165" s="258">
        <f t="shared" si="66"/>
        <v>-8.3333333333333321</v>
      </c>
      <c r="AG165" s="257">
        <f t="shared" si="67"/>
        <v>20</v>
      </c>
      <c r="AH165" s="124">
        <f t="shared" si="68"/>
        <v>0.8</v>
      </c>
      <c r="AI165" s="105">
        <v>0</v>
      </c>
      <c r="AJ165" s="105">
        <v>0</v>
      </c>
      <c r="AK165" s="105">
        <v>0</v>
      </c>
      <c r="AL165" s="105">
        <v>0</v>
      </c>
      <c r="AM165" s="260">
        <f t="shared" si="69"/>
        <v>0</v>
      </c>
      <c r="AN165" s="260">
        <f t="shared" si="70"/>
        <v>20</v>
      </c>
      <c r="AO165" s="130">
        <f t="shared" si="71"/>
        <v>0.2</v>
      </c>
      <c r="AP165" s="106">
        <v>10000</v>
      </c>
      <c r="AQ165" s="261">
        <f t="shared" si="84"/>
        <v>0.76486339922121604</v>
      </c>
      <c r="AR165" s="261">
        <f t="shared" si="72"/>
        <v>36.472950988318239</v>
      </c>
      <c r="AS165" s="107">
        <f t="shared" si="73"/>
        <v>1.4589180395327295</v>
      </c>
      <c r="AT165" s="105">
        <v>0</v>
      </c>
      <c r="AU165" s="105">
        <v>1</v>
      </c>
      <c r="AV165" s="262">
        <f t="shared" si="74"/>
        <v>25</v>
      </c>
      <c r="AW165" s="134">
        <v>0</v>
      </c>
      <c r="AX165" s="134"/>
      <c r="AY165" s="262">
        <f t="shared" si="75"/>
        <v>0</v>
      </c>
      <c r="AZ165" s="262">
        <f t="shared" si="76"/>
        <v>25</v>
      </c>
      <c r="BA165" s="38">
        <f t="shared" si="77"/>
        <v>0.25</v>
      </c>
      <c r="BB165" s="105">
        <v>0</v>
      </c>
      <c r="BC165" s="105">
        <v>0</v>
      </c>
      <c r="BD165" s="105">
        <v>0</v>
      </c>
      <c r="BE165" s="262">
        <f t="shared" si="78"/>
        <v>0</v>
      </c>
      <c r="BF165" s="262">
        <f t="shared" si="79"/>
        <v>50</v>
      </c>
      <c r="BG165" s="38">
        <f t="shared" si="80"/>
        <v>0.5</v>
      </c>
      <c r="BH165" s="255">
        <f t="shared" si="81"/>
        <v>842181</v>
      </c>
      <c r="BI165" s="256">
        <f t="shared" si="82"/>
        <v>3.000734665684357</v>
      </c>
      <c r="BJ165" s="256">
        <f t="shared" si="85"/>
        <v>47.505509992632675</v>
      </c>
      <c r="BK165" s="55">
        <f t="shared" si="83"/>
        <v>0.95011019985265355</v>
      </c>
      <c r="BL165" s="137">
        <f t="shared" si="86"/>
        <v>5.359028239385383</v>
      </c>
    </row>
    <row r="166" spans="1:64" x14ac:dyDescent="0.6">
      <c r="A166" s="214" t="s">
        <v>19</v>
      </c>
      <c r="B166" s="13" t="s">
        <v>2146</v>
      </c>
      <c r="C166" s="219" t="s">
        <v>927</v>
      </c>
      <c r="D166" s="216" t="s">
        <v>202</v>
      </c>
      <c r="E166" s="217" t="s">
        <v>954</v>
      </c>
      <c r="F166" s="217" t="s">
        <v>968</v>
      </c>
      <c r="G166" s="218">
        <v>35249</v>
      </c>
      <c r="H166" s="217" t="s">
        <v>755</v>
      </c>
      <c r="I166" s="217" t="s">
        <v>733</v>
      </c>
      <c r="J166" s="217" t="s">
        <v>1026</v>
      </c>
      <c r="K166" s="217" t="s">
        <v>308</v>
      </c>
      <c r="L166" s="220">
        <v>298109844</v>
      </c>
      <c r="M166" s="206">
        <v>31806382</v>
      </c>
      <c r="N166" s="206">
        <v>266303462</v>
      </c>
      <c r="O166" s="206">
        <v>55615777</v>
      </c>
      <c r="P166" s="206">
        <v>4744809</v>
      </c>
      <c r="Q166" s="206">
        <v>9739774</v>
      </c>
      <c r="R166" s="206">
        <v>7926239</v>
      </c>
      <c r="S166" s="105">
        <v>1</v>
      </c>
      <c r="T166" s="254">
        <f t="shared" si="58"/>
        <v>100</v>
      </c>
      <c r="U166" s="107">
        <f t="shared" si="59"/>
        <v>1</v>
      </c>
      <c r="V166" s="45">
        <v>5</v>
      </c>
      <c r="W166" s="45">
        <v>5</v>
      </c>
      <c r="X166" s="255">
        <f t="shared" si="60"/>
        <v>0</v>
      </c>
      <c r="Y166" s="255">
        <f t="shared" si="61"/>
        <v>0</v>
      </c>
      <c r="Z166" s="256">
        <f t="shared" si="62"/>
        <v>0</v>
      </c>
      <c r="AA166" s="257">
        <f t="shared" si="63"/>
        <v>20</v>
      </c>
      <c r="AB166" s="116">
        <f t="shared" si="64"/>
        <v>0.2</v>
      </c>
      <c r="AC166" s="123">
        <v>189</v>
      </c>
      <c r="AD166" s="123">
        <v>189</v>
      </c>
      <c r="AE166" s="257">
        <f t="shared" si="65"/>
        <v>0</v>
      </c>
      <c r="AF166" s="258">
        <f t="shared" si="66"/>
        <v>0</v>
      </c>
      <c r="AG166" s="257">
        <f t="shared" si="67"/>
        <v>40</v>
      </c>
      <c r="AH166" s="124">
        <f t="shared" si="68"/>
        <v>1.6</v>
      </c>
      <c r="AI166" s="105">
        <v>0</v>
      </c>
      <c r="AJ166" s="105">
        <v>0</v>
      </c>
      <c r="AK166" s="105">
        <v>0</v>
      </c>
      <c r="AL166" s="105">
        <v>0</v>
      </c>
      <c r="AM166" s="260">
        <f t="shared" si="69"/>
        <v>0</v>
      </c>
      <c r="AN166" s="260">
        <f t="shared" si="70"/>
        <v>20</v>
      </c>
      <c r="AO166" s="130">
        <f t="shared" si="71"/>
        <v>0.2</v>
      </c>
      <c r="AP166" s="106">
        <v>0</v>
      </c>
      <c r="AQ166" s="261">
        <f t="shared" si="84"/>
        <v>0</v>
      </c>
      <c r="AR166" s="261">
        <f t="shared" si="72"/>
        <v>25</v>
      </c>
      <c r="AS166" s="107">
        <f t="shared" si="73"/>
        <v>1</v>
      </c>
      <c r="AT166" s="105">
        <v>0</v>
      </c>
      <c r="AU166" s="105">
        <v>1</v>
      </c>
      <c r="AV166" s="262">
        <f t="shared" si="74"/>
        <v>25</v>
      </c>
      <c r="AW166" s="134">
        <v>0</v>
      </c>
      <c r="AX166" s="134"/>
      <c r="AY166" s="262">
        <f t="shared" si="75"/>
        <v>0</v>
      </c>
      <c r="AZ166" s="262">
        <f t="shared" si="76"/>
        <v>25</v>
      </c>
      <c r="BA166" s="38">
        <f t="shared" si="77"/>
        <v>0.25</v>
      </c>
      <c r="BB166" s="105">
        <v>0</v>
      </c>
      <c r="BC166" s="105">
        <v>0</v>
      </c>
      <c r="BD166" s="105">
        <v>0</v>
      </c>
      <c r="BE166" s="262">
        <f t="shared" si="78"/>
        <v>0</v>
      </c>
      <c r="BF166" s="262">
        <f t="shared" si="79"/>
        <v>50</v>
      </c>
      <c r="BG166" s="38">
        <f t="shared" si="80"/>
        <v>0.5</v>
      </c>
      <c r="BH166" s="255">
        <f t="shared" si="81"/>
        <v>1813535</v>
      </c>
      <c r="BI166" s="256">
        <f t="shared" si="82"/>
        <v>3.2608283077659781</v>
      </c>
      <c r="BJ166" s="256">
        <f t="shared" si="85"/>
        <v>49.456212308244837</v>
      </c>
      <c r="BK166" s="55">
        <f t="shared" si="83"/>
        <v>0.9891242461648968</v>
      </c>
      <c r="BL166" s="137">
        <f t="shared" si="86"/>
        <v>5.7391242461648968</v>
      </c>
    </row>
    <row r="167" spans="1:64" x14ac:dyDescent="0.6">
      <c r="A167" s="214" t="s">
        <v>361</v>
      </c>
      <c r="B167" s="13" t="s">
        <v>2147</v>
      </c>
      <c r="C167" s="219" t="s">
        <v>949</v>
      </c>
      <c r="D167" s="216" t="s">
        <v>285</v>
      </c>
      <c r="E167" s="217" t="s">
        <v>504</v>
      </c>
      <c r="F167" s="217" t="s">
        <v>650</v>
      </c>
      <c r="G167" s="218">
        <v>37462</v>
      </c>
      <c r="H167" s="217" t="s">
        <v>830</v>
      </c>
      <c r="I167" s="217" t="s">
        <v>1724</v>
      </c>
      <c r="J167" s="217" t="s">
        <v>1175</v>
      </c>
      <c r="K167" s="217" t="s">
        <v>91</v>
      </c>
      <c r="L167" s="220">
        <v>573569548</v>
      </c>
      <c r="M167" s="206">
        <v>109458880</v>
      </c>
      <c r="N167" s="206">
        <v>464110668</v>
      </c>
      <c r="O167" s="206">
        <v>119350275</v>
      </c>
      <c r="P167" s="206">
        <v>9219026</v>
      </c>
      <c r="Q167" s="206">
        <v>8486086</v>
      </c>
      <c r="R167" s="206">
        <v>9179410</v>
      </c>
      <c r="S167" s="105">
        <v>1</v>
      </c>
      <c r="T167" s="254">
        <f t="shared" si="58"/>
        <v>100</v>
      </c>
      <c r="U167" s="107">
        <f t="shared" si="59"/>
        <v>1</v>
      </c>
      <c r="V167" s="45">
        <v>159</v>
      </c>
      <c r="W167" s="45">
        <v>135</v>
      </c>
      <c r="X167" s="255">
        <f t="shared" si="60"/>
        <v>-24</v>
      </c>
      <c r="Y167" s="255">
        <f t="shared" si="61"/>
        <v>-45</v>
      </c>
      <c r="Z167" s="256">
        <f t="shared" si="62"/>
        <v>-2400</v>
      </c>
      <c r="AA167" s="257">
        <f t="shared" si="63"/>
        <v>20</v>
      </c>
      <c r="AB167" s="116">
        <f t="shared" si="64"/>
        <v>0.2</v>
      </c>
      <c r="AC167" s="123">
        <v>300</v>
      </c>
      <c r="AD167" s="123">
        <v>255</v>
      </c>
      <c r="AE167" s="257">
        <f t="shared" si="65"/>
        <v>-45</v>
      </c>
      <c r="AF167" s="258">
        <f t="shared" si="66"/>
        <v>-15</v>
      </c>
      <c r="AG167" s="257">
        <f t="shared" si="67"/>
        <v>20</v>
      </c>
      <c r="AH167" s="124">
        <f t="shared" si="68"/>
        <v>0.8</v>
      </c>
      <c r="AI167" s="105">
        <v>0</v>
      </c>
      <c r="AJ167" s="105">
        <v>0</v>
      </c>
      <c r="AK167" s="105">
        <v>0</v>
      </c>
      <c r="AL167" s="105">
        <v>0</v>
      </c>
      <c r="AM167" s="260">
        <f t="shared" si="69"/>
        <v>0</v>
      </c>
      <c r="AN167" s="260">
        <f t="shared" si="70"/>
        <v>20</v>
      </c>
      <c r="AO167" s="130">
        <f t="shared" si="71"/>
        <v>0.2</v>
      </c>
      <c r="AP167" s="106">
        <v>514516</v>
      </c>
      <c r="AQ167" s="261">
        <f t="shared" si="84"/>
        <v>5.6051096965927005</v>
      </c>
      <c r="AR167" s="261">
        <f t="shared" si="72"/>
        <v>100</v>
      </c>
      <c r="AS167" s="107">
        <f t="shared" si="73"/>
        <v>4</v>
      </c>
      <c r="AT167" s="105">
        <v>0</v>
      </c>
      <c r="AU167" s="105">
        <v>1</v>
      </c>
      <c r="AV167" s="262">
        <f t="shared" si="74"/>
        <v>25</v>
      </c>
      <c r="AW167" s="134">
        <v>0</v>
      </c>
      <c r="AX167" s="134"/>
      <c r="AY167" s="262">
        <f t="shared" si="75"/>
        <v>0</v>
      </c>
      <c r="AZ167" s="262">
        <f t="shared" si="76"/>
        <v>25</v>
      </c>
      <c r="BA167" s="38">
        <f t="shared" si="77"/>
        <v>0.25</v>
      </c>
      <c r="BB167" s="105">
        <v>0</v>
      </c>
      <c r="BC167" s="105">
        <v>0</v>
      </c>
      <c r="BD167" s="105">
        <v>0</v>
      </c>
      <c r="BE167" s="262">
        <f t="shared" si="78"/>
        <v>0</v>
      </c>
      <c r="BF167" s="262">
        <f t="shared" si="79"/>
        <v>50</v>
      </c>
      <c r="BG167" s="38">
        <f t="shared" si="80"/>
        <v>0.5</v>
      </c>
      <c r="BH167" s="255">
        <f t="shared" si="81"/>
        <v>-693324</v>
      </c>
      <c r="BI167" s="256">
        <f t="shared" si="82"/>
        <v>-0.5809152932408409</v>
      </c>
      <c r="BJ167" s="256">
        <f t="shared" si="85"/>
        <v>25</v>
      </c>
      <c r="BK167" s="55">
        <f t="shared" si="83"/>
        <v>0.5</v>
      </c>
      <c r="BL167" s="137">
        <f t="shared" si="86"/>
        <v>7.45</v>
      </c>
    </row>
    <row r="168" spans="1:64" x14ac:dyDescent="0.6">
      <c r="A168" s="214" t="s">
        <v>1725</v>
      </c>
      <c r="B168" s="13" t="s">
        <v>2148</v>
      </c>
      <c r="C168" s="219" t="s">
        <v>351</v>
      </c>
      <c r="D168" s="216" t="s">
        <v>191</v>
      </c>
      <c r="E168" s="217" t="s">
        <v>1091</v>
      </c>
      <c r="F168" s="217" t="s">
        <v>584</v>
      </c>
      <c r="G168" s="218">
        <v>43140</v>
      </c>
      <c r="H168" s="217" t="s">
        <v>830</v>
      </c>
      <c r="I168" s="217" t="s">
        <v>804</v>
      </c>
      <c r="J168" s="217" t="s">
        <v>1164</v>
      </c>
      <c r="K168" s="217" t="s">
        <v>346</v>
      </c>
      <c r="L168" s="220">
        <v>5571483130</v>
      </c>
      <c r="M168" s="206">
        <v>1401534327</v>
      </c>
      <c r="N168" s="206">
        <v>4169948803</v>
      </c>
      <c r="O168" s="206">
        <v>1937469297</v>
      </c>
      <c r="P168" s="206">
        <v>618890773</v>
      </c>
      <c r="Q168" s="206">
        <v>606389938</v>
      </c>
      <c r="R168" s="206">
        <v>511383102</v>
      </c>
      <c r="S168" s="105">
        <v>1</v>
      </c>
      <c r="T168" s="254">
        <f t="shared" si="58"/>
        <v>100</v>
      </c>
      <c r="U168" s="107">
        <f t="shared" si="59"/>
        <v>1</v>
      </c>
      <c r="V168" s="45">
        <v>844</v>
      </c>
      <c r="W168" s="45">
        <f>129+415+335</f>
        <v>879</v>
      </c>
      <c r="X168" s="255">
        <f t="shared" si="60"/>
        <v>35</v>
      </c>
      <c r="Y168" s="255">
        <f t="shared" si="61"/>
        <v>46</v>
      </c>
      <c r="Z168" s="256">
        <f t="shared" si="62"/>
        <v>76.08695652173914</v>
      </c>
      <c r="AA168" s="257">
        <f t="shared" si="63"/>
        <v>100</v>
      </c>
      <c r="AB168" s="116">
        <f t="shared" si="64"/>
        <v>1</v>
      </c>
      <c r="AC168" s="123">
        <v>2074</v>
      </c>
      <c r="AD168" s="123">
        <v>2120</v>
      </c>
      <c r="AE168" s="257">
        <f t="shared" si="65"/>
        <v>46</v>
      </c>
      <c r="AF168" s="258">
        <f t="shared" si="66"/>
        <v>2.2179363548698166</v>
      </c>
      <c r="AG168" s="257">
        <f t="shared" si="67"/>
        <v>80</v>
      </c>
      <c r="AH168" s="124">
        <f t="shared" si="68"/>
        <v>3.2</v>
      </c>
      <c r="AI168" s="105">
        <v>0</v>
      </c>
      <c r="AJ168" s="105">
        <v>0</v>
      </c>
      <c r="AK168" s="105">
        <v>0</v>
      </c>
      <c r="AL168" s="105">
        <v>0</v>
      </c>
      <c r="AM168" s="260">
        <f t="shared" si="69"/>
        <v>0</v>
      </c>
      <c r="AN168" s="260">
        <f t="shared" si="70"/>
        <v>20</v>
      </c>
      <c r="AO168" s="130">
        <f t="shared" si="71"/>
        <v>0.2</v>
      </c>
      <c r="AP168" s="106">
        <v>2258000</v>
      </c>
      <c r="AQ168" s="261">
        <f t="shared" si="84"/>
        <v>0.44154763643324296</v>
      </c>
      <c r="AR168" s="261">
        <f t="shared" si="72"/>
        <v>31.623214546498644</v>
      </c>
      <c r="AS168" s="107">
        <f t="shared" si="73"/>
        <v>1.2649285818599458</v>
      </c>
      <c r="AT168" s="105">
        <v>1</v>
      </c>
      <c r="AU168" s="105">
        <v>1</v>
      </c>
      <c r="AV168" s="262">
        <f t="shared" si="74"/>
        <v>50</v>
      </c>
      <c r="AW168" s="134">
        <v>3</v>
      </c>
      <c r="AX168" s="134" t="s">
        <v>3592</v>
      </c>
      <c r="AY168" s="262">
        <f t="shared" si="75"/>
        <v>50</v>
      </c>
      <c r="AZ168" s="262">
        <f t="shared" si="76"/>
        <v>100</v>
      </c>
      <c r="BA168" s="38">
        <f t="shared" si="77"/>
        <v>1</v>
      </c>
      <c r="BB168" s="105">
        <v>0</v>
      </c>
      <c r="BC168" s="105">
        <v>0</v>
      </c>
      <c r="BD168" s="105">
        <v>0</v>
      </c>
      <c r="BE168" s="262">
        <f t="shared" si="78"/>
        <v>0</v>
      </c>
      <c r="BF168" s="262">
        <f t="shared" si="79"/>
        <v>50</v>
      </c>
      <c r="BG168" s="38">
        <f t="shared" si="80"/>
        <v>0.5</v>
      </c>
      <c r="BH168" s="255">
        <f t="shared" si="81"/>
        <v>95006836</v>
      </c>
      <c r="BI168" s="256">
        <f t="shared" si="82"/>
        <v>4.9036563390764281</v>
      </c>
      <c r="BJ168" s="256">
        <f t="shared" si="85"/>
        <v>61.777422543073207</v>
      </c>
      <c r="BK168" s="55">
        <f t="shared" si="83"/>
        <v>1.2355484508614643</v>
      </c>
      <c r="BL168" s="137">
        <f t="shared" si="86"/>
        <v>9.4004770327214118</v>
      </c>
    </row>
    <row r="169" spans="1:64" x14ac:dyDescent="0.6">
      <c r="A169" s="214" t="s">
        <v>1726</v>
      </c>
      <c r="B169" s="13" t="s">
        <v>2149</v>
      </c>
      <c r="C169" s="219" t="s">
        <v>1727</v>
      </c>
      <c r="D169" s="14" t="s">
        <v>202</v>
      </c>
      <c r="E169" s="217" t="s">
        <v>205</v>
      </c>
      <c r="F169" s="217" t="s">
        <v>1728</v>
      </c>
      <c r="G169" s="218">
        <v>44229</v>
      </c>
      <c r="H169" s="217" t="s">
        <v>830</v>
      </c>
      <c r="I169" s="217" t="s">
        <v>1729</v>
      </c>
      <c r="J169" s="1" t="s">
        <v>3718</v>
      </c>
      <c r="K169" s="217" t="s">
        <v>690</v>
      </c>
      <c r="L169" s="220">
        <v>487384549</v>
      </c>
      <c r="M169" s="206">
        <v>250541994</v>
      </c>
      <c r="N169" s="206">
        <v>236842555</v>
      </c>
      <c r="O169" s="206">
        <v>931449231</v>
      </c>
      <c r="P169" s="206">
        <v>44671754</v>
      </c>
      <c r="Q169" s="206">
        <v>50417620</v>
      </c>
      <c r="R169" s="206">
        <v>39493848</v>
      </c>
      <c r="S169" s="105">
        <v>0</v>
      </c>
      <c r="T169" s="254">
        <f t="shared" si="58"/>
        <v>0</v>
      </c>
      <c r="U169" s="107">
        <f t="shared" si="59"/>
        <v>0</v>
      </c>
      <c r="V169" s="45">
        <f>14+20+38+72</f>
        <v>144</v>
      </c>
      <c r="W169" s="45">
        <f>10+27+39+76</f>
        <v>152</v>
      </c>
      <c r="X169" s="255">
        <f t="shared" si="60"/>
        <v>8</v>
      </c>
      <c r="Y169" s="255">
        <f t="shared" si="61"/>
        <v>-11</v>
      </c>
      <c r="Z169" s="256">
        <f t="shared" si="62"/>
        <v>800</v>
      </c>
      <c r="AA169" s="257">
        <f t="shared" si="63"/>
        <v>100</v>
      </c>
      <c r="AB169" s="116">
        <f t="shared" si="64"/>
        <v>1</v>
      </c>
      <c r="AC169" s="123">
        <v>408</v>
      </c>
      <c r="AD169" s="123">
        <v>397</v>
      </c>
      <c r="AE169" s="257">
        <f t="shared" si="65"/>
        <v>-11</v>
      </c>
      <c r="AF169" s="258">
        <f t="shared" si="66"/>
        <v>-2.6960784313725492</v>
      </c>
      <c r="AG169" s="257">
        <f t="shared" si="67"/>
        <v>20</v>
      </c>
      <c r="AH169" s="124">
        <f t="shared" si="68"/>
        <v>0.8</v>
      </c>
      <c r="AI169" s="105">
        <v>0</v>
      </c>
      <c r="AJ169" s="105">
        <v>0</v>
      </c>
      <c r="AK169" s="105">
        <v>0</v>
      </c>
      <c r="AL169" s="105">
        <v>0</v>
      </c>
      <c r="AM169" s="260">
        <f t="shared" si="69"/>
        <v>0</v>
      </c>
      <c r="AN169" s="260">
        <f t="shared" si="70"/>
        <v>20</v>
      </c>
      <c r="AO169" s="130">
        <f t="shared" si="71"/>
        <v>0.2</v>
      </c>
      <c r="AP169" s="106">
        <v>3000</v>
      </c>
      <c r="AQ169" s="261">
        <f t="shared" si="84"/>
        <v>7.596119780478216E-3</v>
      </c>
      <c r="AR169" s="261">
        <f t="shared" si="72"/>
        <v>25.113941796707174</v>
      </c>
      <c r="AS169" s="107">
        <f t="shared" si="73"/>
        <v>1.0045576718682869</v>
      </c>
      <c r="AT169" s="105">
        <v>0</v>
      </c>
      <c r="AU169" s="105">
        <v>0</v>
      </c>
      <c r="AV169" s="262">
        <f t="shared" si="74"/>
        <v>0</v>
      </c>
      <c r="AW169" s="134">
        <v>0</v>
      </c>
      <c r="AX169" s="134"/>
      <c r="AY169" s="262">
        <f t="shared" si="75"/>
        <v>0</v>
      </c>
      <c r="AZ169" s="262">
        <f t="shared" si="76"/>
        <v>0</v>
      </c>
      <c r="BA169" s="38">
        <f t="shared" si="77"/>
        <v>0</v>
      </c>
      <c r="BB169" s="105">
        <v>0</v>
      </c>
      <c r="BC169" s="105">
        <v>0</v>
      </c>
      <c r="BD169" s="105">
        <v>0</v>
      </c>
      <c r="BE169" s="262">
        <f t="shared" si="78"/>
        <v>0</v>
      </c>
      <c r="BF169" s="262">
        <f t="shared" si="79"/>
        <v>50</v>
      </c>
      <c r="BG169" s="38">
        <f t="shared" si="80"/>
        <v>0.5</v>
      </c>
      <c r="BH169" s="255">
        <f t="shared" si="81"/>
        <v>10923772</v>
      </c>
      <c r="BI169" s="256">
        <f t="shared" si="82"/>
        <v>1.1727715946764252</v>
      </c>
      <c r="BJ169" s="256">
        <f t="shared" si="85"/>
        <v>33.795786960073187</v>
      </c>
      <c r="BK169" s="55">
        <f t="shared" si="83"/>
        <v>0.67591573920146375</v>
      </c>
      <c r="BL169" s="137">
        <f t="shared" si="86"/>
        <v>4.1804734110697508</v>
      </c>
    </row>
    <row r="170" spans="1:64" x14ac:dyDescent="0.6">
      <c r="A170" s="214" t="s">
        <v>945</v>
      </c>
      <c r="B170" s="13" t="s">
        <v>2150</v>
      </c>
      <c r="C170" s="219" t="s">
        <v>51</v>
      </c>
      <c r="D170" s="216" t="s">
        <v>203</v>
      </c>
      <c r="E170" s="217" t="s">
        <v>188</v>
      </c>
      <c r="F170" s="217" t="s">
        <v>160</v>
      </c>
      <c r="G170" s="218">
        <v>28301</v>
      </c>
      <c r="H170" s="217" t="s">
        <v>830</v>
      </c>
      <c r="I170" s="217" t="s">
        <v>253</v>
      </c>
      <c r="J170" s="217" t="s">
        <v>1050</v>
      </c>
      <c r="K170" s="217" t="s">
        <v>407</v>
      </c>
      <c r="L170" s="220">
        <v>1117980000</v>
      </c>
      <c r="M170" s="206">
        <v>475314000</v>
      </c>
      <c r="N170" s="206">
        <v>642666000</v>
      </c>
      <c r="O170" s="206">
        <v>1145427000</v>
      </c>
      <c r="P170" s="206">
        <v>167535000</v>
      </c>
      <c r="Q170" s="206">
        <v>168668000</v>
      </c>
      <c r="R170" s="206">
        <v>122873000</v>
      </c>
      <c r="S170" s="105">
        <v>1</v>
      </c>
      <c r="T170" s="254">
        <f t="shared" si="58"/>
        <v>100</v>
      </c>
      <c r="U170" s="107">
        <f t="shared" si="59"/>
        <v>1</v>
      </c>
      <c r="V170" s="45">
        <v>59</v>
      </c>
      <c r="W170" s="45">
        <v>58</v>
      </c>
      <c r="X170" s="255">
        <f t="shared" si="60"/>
        <v>-1</v>
      </c>
      <c r="Y170" s="255">
        <f t="shared" si="61"/>
        <v>-7</v>
      </c>
      <c r="Z170" s="256">
        <f t="shared" si="62"/>
        <v>-100</v>
      </c>
      <c r="AA170" s="257">
        <f t="shared" si="63"/>
        <v>20</v>
      </c>
      <c r="AB170" s="116">
        <f t="shared" si="64"/>
        <v>0.2</v>
      </c>
      <c r="AC170" s="123">
        <v>641</v>
      </c>
      <c r="AD170" s="123">
        <v>634</v>
      </c>
      <c r="AE170" s="257">
        <f t="shared" si="65"/>
        <v>-7</v>
      </c>
      <c r="AF170" s="258">
        <f t="shared" si="66"/>
        <v>-1.0920436817472698</v>
      </c>
      <c r="AG170" s="257">
        <f t="shared" si="67"/>
        <v>20</v>
      </c>
      <c r="AH170" s="124">
        <f t="shared" si="68"/>
        <v>0.8</v>
      </c>
      <c r="AI170" s="105">
        <v>0</v>
      </c>
      <c r="AJ170" s="105">
        <v>0</v>
      </c>
      <c r="AK170" s="105">
        <v>0</v>
      </c>
      <c r="AL170" s="105">
        <v>0</v>
      </c>
      <c r="AM170" s="260">
        <f t="shared" si="69"/>
        <v>0</v>
      </c>
      <c r="AN170" s="260">
        <f t="shared" si="70"/>
        <v>20</v>
      </c>
      <c r="AO170" s="130">
        <f t="shared" si="71"/>
        <v>0.2</v>
      </c>
      <c r="AP170" s="106">
        <v>64000</v>
      </c>
      <c r="AQ170" s="261">
        <f t="shared" si="84"/>
        <v>5.2086300489122911E-2</v>
      </c>
      <c r="AR170" s="261">
        <f t="shared" si="72"/>
        <v>25.781294507336845</v>
      </c>
      <c r="AS170" s="107">
        <f t="shared" si="73"/>
        <v>1.0312517802934738</v>
      </c>
      <c r="AT170" s="105">
        <v>0</v>
      </c>
      <c r="AU170" s="105">
        <v>1</v>
      </c>
      <c r="AV170" s="262">
        <f t="shared" si="74"/>
        <v>25</v>
      </c>
      <c r="AW170" s="134">
        <v>2</v>
      </c>
      <c r="AX170" s="134" t="s">
        <v>3581</v>
      </c>
      <c r="AY170" s="262">
        <f t="shared" si="75"/>
        <v>25</v>
      </c>
      <c r="AZ170" s="262">
        <f t="shared" si="76"/>
        <v>50</v>
      </c>
      <c r="BA170" s="38">
        <f t="shared" si="77"/>
        <v>0.5</v>
      </c>
      <c r="BB170" s="105">
        <v>0</v>
      </c>
      <c r="BC170" s="105">
        <v>0</v>
      </c>
      <c r="BD170" s="105">
        <v>0</v>
      </c>
      <c r="BE170" s="262">
        <f t="shared" si="78"/>
        <v>0</v>
      </c>
      <c r="BF170" s="262">
        <f t="shared" si="79"/>
        <v>50</v>
      </c>
      <c r="BG170" s="38">
        <f t="shared" si="80"/>
        <v>0.5</v>
      </c>
      <c r="BH170" s="255">
        <f t="shared" si="81"/>
        <v>45795000</v>
      </c>
      <c r="BI170" s="256">
        <f t="shared" si="82"/>
        <v>3.9980723345966176</v>
      </c>
      <c r="BJ170" s="256">
        <f t="shared" si="85"/>
        <v>54.985542509474627</v>
      </c>
      <c r="BK170" s="55">
        <f t="shared" si="83"/>
        <v>1.0997108501894926</v>
      </c>
      <c r="BL170" s="137">
        <f t="shared" si="86"/>
        <v>5.3309626304829667</v>
      </c>
    </row>
    <row r="171" spans="1:64" x14ac:dyDescent="0.6">
      <c r="A171" s="214" t="s">
        <v>1731</v>
      </c>
      <c r="B171" s="13" t="s">
        <v>2151</v>
      </c>
      <c r="C171" s="219" t="s">
        <v>1732</v>
      </c>
      <c r="D171" s="14" t="s">
        <v>202</v>
      </c>
      <c r="E171" s="217" t="s">
        <v>572</v>
      </c>
      <c r="F171" s="217" t="s">
        <v>1733</v>
      </c>
      <c r="G171" s="218">
        <v>33480</v>
      </c>
      <c r="H171" s="217" t="s">
        <v>830</v>
      </c>
      <c r="I171" s="217" t="s">
        <v>1734</v>
      </c>
      <c r="J171" s="1" t="s">
        <v>3719</v>
      </c>
      <c r="K171" s="217" t="s">
        <v>690</v>
      </c>
      <c r="L171" s="220">
        <v>181493057</v>
      </c>
      <c r="M171" s="206">
        <v>70279714</v>
      </c>
      <c r="N171" s="206">
        <v>111213342</v>
      </c>
      <c r="O171" s="206">
        <v>120360819</v>
      </c>
      <c r="P171" s="206">
        <v>9391620</v>
      </c>
      <c r="Q171" s="206">
        <v>7726840</v>
      </c>
      <c r="R171" s="206">
        <v>5939402</v>
      </c>
      <c r="S171" s="105">
        <v>1</v>
      </c>
      <c r="T171" s="254">
        <f t="shared" si="58"/>
        <v>100</v>
      </c>
      <c r="U171" s="107">
        <f t="shared" si="59"/>
        <v>1</v>
      </c>
      <c r="V171" s="45">
        <f>7+3+5</f>
        <v>15</v>
      </c>
      <c r="W171" s="45">
        <f>9+3+9</f>
        <v>21</v>
      </c>
      <c r="X171" s="255">
        <f t="shared" si="60"/>
        <v>6</v>
      </c>
      <c r="Y171" s="255">
        <f t="shared" si="61"/>
        <v>41</v>
      </c>
      <c r="Z171" s="256">
        <f t="shared" si="62"/>
        <v>14.634146341463413</v>
      </c>
      <c r="AA171" s="257">
        <f t="shared" si="63"/>
        <v>40</v>
      </c>
      <c r="AB171" s="116">
        <f t="shared" si="64"/>
        <v>0.4</v>
      </c>
      <c r="AC171" s="123">
        <v>139</v>
      </c>
      <c r="AD171" s="123">
        <v>180</v>
      </c>
      <c r="AE171" s="257">
        <f t="shared" si="65"/>
        <v>41</v>
      </c>
      <c r="AF171" s="258">
        <f t="shared" si="66"/>
        <v>29.496402877697843</v>
      </c>
      <c r="AG171" s="257">
        <f t="shared" si="67"/>
        <v>100</v>
      </c>
      <c r="AH171" s="124">
        <f t="shared" si="68"/>
        <v>4</v>
      </c>
      <c r="AI171" s="105">
        <v>0</v>
      </c>
      <c r="AJ171" s="105">
        <v>0</v>
      </c>
      <c r="AK171" s="105">
        <v>0</v>
      </c>
      <c r="AL171" s="105">
        <v>0</v>
      </c>
      <c r="AM171" s="260">
        <f t="shared" si="69"/>
        <v>0</v>
      </c>
      <c r="AN171" s="260">
        <f t="shared" si="70"/>
        <v>20</v>
      </c>
      <c r="AO171" s="130">
        <f t="shared" si="71"/>
        <v>0.2</v>
      </c>
      <c r="AP171" s="106">
        <v>155000</v>
      </c>
      <c r="AQ171" s="261">
        <f t="shared" si="84"/>
        <v>2.609690335828422</v>
      </c>
      <c r="AR171" s="261">
        <f t="shared" si="72"/>
        <v>64.145355037426327</v>
      </c>
      <c r="AS171" s="107">
        <f t="shared" si="73"/>
        <v>2.5658142014970533</v>
      </c>
      <c r="AT171" s="105">
        <v>0</v>
      </c>
      <c r="AU171" s="105">
        <v>0</v>
      </c>
      <c r="AV171" s="262">
        <f t="shared" si="74"/>
        <v>0</v>
      </c>
      <c r="AW171" s="134">
        <v>0</v>
      </c>
      <c r="AX171" s="134"/>
      <c r="AY171" s="262">
        <f t="shared" si="75"/>
        <v>0</v>
      </c>
      <c r="AZ171" s="262">
        <f t="shared" si="76"/>
        <v>0</v>
      </c>
      <c r="BA171" s="38">
        <f t="shared" si="77"/>
        <v>0</v>
      </c>
      <c r="BB171" s="105">
        <v>0</v>
      </c>
      <c r="BC171" s="105">
        <v>0</v>
      </c>
      <c r="BD171" s="105">
        <v>0</v>
      </c>
      <c r="BE171" s="262">
        <f t="shared" si="78"/>
        <v>0</v>
      </c>
      <c r="BF171" s="262">
        <f t="shared" si="79"/>
        <v>50</v>
      </c>
      <c r="BG171" s="38">
        <f t="shared" si="80"/>
        <v>0.5</v>
      </c>
      <c r="BH171" s="255">
        <f t="shared" si="81"/>
        <v>1787438</v>
      </c>
      <c r="BI171" s="256">
        <f t="shared" si="82"/>
        <v>1.485066332092672</v>
      </c>
      <c r="BJ171" s="256">
        <f t="shared" si="85"/>
        <v>36.137997490695042</v>
      </c>
      <c r="BK171" s="55">
        <f t="shared" si="83"/>
        <v>0.7227599498139009</v>
      </c>
      <c r="BL171" s="137">
        <f t="shared" si="86"/>
        <v>9.3885741513109533</v>
      </c>
    </row>
    <row r="172" spans="1:64" x14ac:dyDescent="0.6">
      <c r="A172" s="214" t="s">
        <v>762</v>
      </c>
      <c r="B172" s="13" t="s">
        <v>2152</v>
      </c>
      <c r="C172" s="219" t="s">
        <v>103</v>
      </c>
      <c r="D172" s="216" t="s">
        <v>191</v>
      </c>
      <c r="E172" s="217" t="s">
        <v>554</v>
      </c>
      <c r="F172" s="217" t="s">
        <v>777</v>
      </c>
      <c r="G172" s="218">
        <v>40568</v>
      </c>
      <c r="H172" s="217" t="s">
        <v>830</v>
      </c>
      <c r="I172" s="217" t="s">
        <v>1736</v>
      </c>
      <c r="J172" s="217" t="s">
        <v>1081</v>
      </c>
      <c r="K172" s="217" t="s">
        <v>690</v>
      </c>
      <c r="L172" s="220">
        <v>84677096</v>
      </c>
      <c r="M172" s="206">
        <v>21426870</v>
      </c>
      <c r="N172" s="206">
        <v>63250226</v>
      </c>
      <c r="O172" s="206">
        <v>241730925</v>
      </c>
      <c r="P172" s="206">
        <v>412795</v>
      </c>
      <c r="Q172" s="206">
        <v>2901178</v>
      </c>
      <c r="R172" s="206">
        <v>2331137</v>
      </c>
      <c r="S172" s="105">
        <v>1</v>
      </c>
      <c r="T172" s="254">
        <f t="shared" si="58"/>
        <v>100</v>
      </c>
      <c r="U172" s="107">
        <f t="shared" si="59"/>
        <v>1</v>
      </c>
      <c r="V172" s="45">
        <v>51</v>
      </c>
      <c r="W172" s="45">
        <f>46+9</f>
        <v>55</v>
      </c>
      <c r="X172" s="255">
        <f t="shared" si="60"/>
        <v>4</v>
      </c>
      <c r="Y172" s="255">
        <f t="shared" si="61"/>
        <v>7</v>
      </c>
      <c r="Z172" s="256">
        <f t="shared" si="62"/>
        <v>57.142857142857139</v>
      </c>
      <c r="AA172" s="257">
        <f t="shared" si="63"/>
        <v>100</v>
      </c>
      <c r="AB172" s="116">
        <f t="shared" si="64"/>
        <v>1</v>
      </c>
      <c r="AC172" s="123">
        <v>160</v>
      </c>
      <c r="AD172" s="123">
        <v>167</v>
      </c>
      <c r="AE172" s="257">
        <f t="shared" si="65"/>
        <v>7</v>
      </c>
      <c r="AF172" s="258">
        <f t="shared" si="66"/>
        <v>4.375</v>
      </c>
      <c r="AG172" s="257">
        <f t="shared" si="67"/>
        <v>100</v>
      </c>
      <c r="AH172" s="124">
        <f t="shared" si="68"/>
        <v>4</v>
      </c>
      <c r="AI172" s="105">
        <v>0</v>
      </c>
      <c r="AJ172" s="105">
        <v>0</v>
      </c>
      <c r="AK172" s="105">
        <v>0</v>
      </c>
      <c r="AL172" s="105">
        <v>0</v>
      </c>
      <c r="AM172" s="260">
        <f t="shared" si="69"/>
        <v>0</v>
      </c>
      <c r="AN172" s="260">
        <f t="shared" si="70"/>
        <v>20</v>
      </c>
      <c r="AO172" s="130">
        <f t="shared" si="71"/>
        <v>0.2</v>
      </c>
      <c r="AP172" s="106">
        <v>214843.21100000001</v>
      </c>
      <c r="AQ172" s="261">
        <f t="shared" si="84"/>
        <v>9.2162413019912606</v>
      </c>
      <c r="AR172" s="261">
        <f t="shared" si="72"/>
        <v>100</v>
      </c>
      <c r="AS172" s="107">
        <f t="shared" si="73"/>
        <v>4</v>
      </c>
      <c r="AT172" s="105">
        <v>0</v>
      </c>
      <c r="AU172" s="105">
        <v>1</v>
      </c>
      <c r="AV172" s="262">
        <f t="shared" si="74"/>
        <v>25</v>
      </c>
      <c r="AW172" s="134">
        <v>0</v>
      </c>
      <c r="AX172" s="134"/>
      <c r="AY172" s="262">
        <f t="shared" si="75"/>
        <v>0</v>
      </c>
      <c r="AZ172" s="262">
        <f t="shared" si="76"/>
        <v>25</v>
      </c>
      <c r="BA172" s="38">
        <f t="shared" si="77"/>
        <v>0.25</v>
      </c>
      <c r="BB172" s="105">
        <v>0</v>
      </c>
      <c r="BC172" s="105">
        <v>0</v>
      </c>
      <c r="BD172" s="105">
        <v>0</v>
      </c>
      <c r="BE172" s="262">
        <f t="shared" si="78"/>
        <v>0</v>
      </c>
      <c r="BF172" s="262">
        <f t="shared" si="79"/>
        <v>50</v>
      </c>
      <c r="BG172" s="38">
        <f t="shared" si="80"/>
        <v>0.5</v>
      </c>
      <c r="BH172" s="255">
        <f t="shared" si="81"/>
        <v>570041</v>
      </c>
      <c r="BI172" s="256">
        <f t="shared" si="82"/>
        <v>0.23581633173331051</v>
      </c>
      <c r="BJ172" s="256">
        <f t="shared" si="85"/>
        <v>26.768622487999828</v>
      </c>
      <c r="BK172" s="55">
        <f t="shared" si="83"/>
        <v>0.53537244975999654</v>
      </c>
      <c r="BL172" s="137">
        <f t="shared" si="86"/>
        <v>11.485372449759996</v>
      </c>
    </row>
    <row r="173" spans="1:64" x14ac:dyDescent="0.6">
      <c r="A173" s="214" t="s">
        <v>899</v>
      </c>
      <c r="B173" s="13" t="s">
        <v>2153</v>
      </c>
      <c r="C173" s="219" t="s">
        <v>862</v>
      </c>
      <c r="D173" s="216" t="s">
        <v>191</v>
      </c>
      <c r="E173" s="217" t="s">
        <v>1029</v>
      </c>
      <c r="F173" s="217" t="s">
        <v>1107</v>
      </c>
      <c r="G173" s="218">
        <v>35054</v>
      </c>
      <c r="H173" s="217" t="s">
        <v>830</v>
      </c>
      <c r="I173" s="217" t="s">
        <v>975</v>
      </c>
      <c r="J173" s="217" t="s">
        <v>1215</v>
      </c>
      <c r="K173" s="217" t="s">
        <v>690</v>
      </c>
      <c r="L173" s="220">
        <v>426922360</v>
      </c>
      <c r="M173" s="206">
        <v>43331711</v>
      </c>
      <c r="N173" s="206">
        <v>383590648</v>
      </c>
      <c r="O173" s="206">
        <v>226067372</v>
      </c>
      <c r="P173" s="206">
        <v>21433375</v>
      </c>
      <c r="Q173" s="206">
        <v>24456144</v>
      </c>
      <c r="R173" s="206">
        <v>20262547</v>
      </c>
      <c r="S173" s="105">
        <v>1</v>
      </c>
      <c r="T173" s="254">
        <f t="shared" si="58"/>
        <v>100</v>
      </c>
      <c r="U173" s="107">
        <f t="shared" si="59"/>
        <v>1</v>
      </c>
      <c r="V173" s="45">
        <v>10</v>
      </c>
      <c r="W173" s="45">
        <v>10</v>
      </c>
      <c r="X173" s="255">
        <f t="shared" si="60"/>
        <v>0</v>
      </c>
      <c r="Y173" s="255">
        <f t="shared" si="61"/>
        <v>8</v>
      </c>
      <c r="Z173" s="256">
        <f t="shared" si="62"/>
        <v>0</v>
      </c>
      <c r="AA173" s="257">
        <f t="shared" si="63"/>
        <v>20</v>
      </c>
      <c r="AB173" s="116">
        <f t="shared" si="64"/>
        <v>0.2</v>
      </c>
      <c r="AC173" s="123">
        <v>115</v>
      </c>
      <c r="AD173" s="123">
        <v>123</v>
      </c>
      <c r="AE173" s="257">
        <f t="shared" si="65"/>
        <v>8</v>
      </c>
      <c r="AF173" s="258">
        <f t="shared" si="66"/>
        <v>6.9565217391304346</v>
      </c>
      <c r="AG173" s="257">
        <f t="shared" si="67"/>
        <v>100</v>
      </c>
      <c r="AH173" s="124">
        <f t="shared" si="68"/>
        <v>4</v>
      </c>
      <c r="AI173" s="105">
        <v>0</v>
      </c>
      <c r="AJ173" s="105">
        <v>0</v>
      </c>
      <c r="AK173" s="105">
        <v>0</v>
      </c>
      <c r="AL173" s="105">
        <v>0</v>
      </c>
      <c r="AM173" s="260">
        <f t="shared" si="69"/>
        <v>0</v>
      </c>
      <c r="AN173" s="260">
        <f t="shared" si="70"/>
        <v>20</v>
      </c>
      <c r="AO173" s="130">
        <f t="shared" si="71"/>
        <v>0.2</v>
      </c>
      <c r="AP173" s="106">
        <v>14740</v>
      </c>
      <c r="AQ173" s="261">
        <f t="shared" si="84"/>
        <v>7.274505026441147E-2</v>
      </c>
      <c r="AR173" s="261">
        <f t="shared" si="72"/>
        <v>26.091175753966173</v>
      </c>
      <c r="AS173" s="107">
        <f t="shared" si="73"/>
        <v>1.0436470301586469</v>
      </c>
      <c r="AT173" s="105">
        <v>0</v>
      </c>
      <c r="AU173" s="105">
        <v>1</v>
      </c>
      <c r="AV173" s="262">
        <f t="shared" si="74"/>
        <v>25</v>
      </c>
      <c r="AW173" s="134">
        <v>0</v>
      </c>
      <c r="AX173" s="134"/>
      <c r="AY173" s="262">
        <f t="shared" si="75"/>
        <v>0</v>
      </c>
      <c r="AZ173" s="262">
        <f t="shared" si="76"/>
        <v>25</v>
      </c>
      <c r="BA173" s="38">
        <f t="shared" si="77"/>
        <v>0.25</v>
      </c>
      <c r="BB173" s="105">
        <v>0</v>
      </c>
      <c r="BC173" s="105">
        <v>0</v>
      </c>
      <c r="BD173" s="105">
        <v>0</v>
      </c>
      <c r="BE173" s="262">
        <f t="shared" si="78"/>
        <v>0</v>
      </c>
      <c r="BF173" s="262">
        <f t="shared" si="79"/>
        <v>50</v>
      </c>
      <c r="BG173" s="38">
        <f t="shared" si="80"/>
        <v>0.5</v>
      </c>
      <c r="BH173" s="255">
        <f t="shared" si="81"/>
        <v>4193597</v>
      </c>
      <c r="BI173" s="256">
        <f t="shared" si="82"/>
        <v>1.8550209005835661</v>
      </c>
      <c r="BJ173" s="256">
        <f t="shared" si="85"/>
        <v>38.912656754376748</v>
      </c>
      <c r="BK173" s="55">
        <f t="shared" si="83"/>
        <v>0.77825313508753502</v>
      </c>
      <c r="BL173" s="137">
        <f t="shared" si="86"/>
        <v>7.9719001652461827</v>
      </c>
    </row>
    <row r="174" spans="1:64" x14ac:dyDescent="0.6">
      <c r="A174" s="214" t="s">
        <v>881</v>
      </c>
      <c r="B174" s="13" t="s">
        <v>2154</v>
      </c>
      <c r="C174" s="219" t="s">
        <v>547</v>
      </c>
      <c r="D174" s="216" t="s">
        <v>191</v>
      </c>
      <c r="E174" s="217" t="s">
        <v>403</v>
      </c>
      <c r="F174" s="217" t="s">
        <v>159</v>
      </c>
      <c r="G174" s="218">
        <v>27941</v>
      </c>
      <c r="H174" s="217" t="s">
        <v>830</v>
      </c>
      <c r="I174" s="217" t="s">
        <v>800</v>
      </c>
      <c r="J174" s="217" t="s">
        <v>1077</v>
      </c>
      <c r="K174" s="217" t="s">
        <v>91</v>
      </c>
      <c r="L174" s="220">
        <v>692320507</v>
      </c>
      <c r="M174" s="206">
        <v>130333252</v>
      </c>
      <c r="N174" s="206">
        <v>561987255</v>
      </c>
      <c r="O174" s="206">
        <v>383845600</v>
      </c>
      <c r="P174" s="206">
        <v>10768868</v>
      </c>
      <c r="Q174" s="206">
        <v>19845163</v>
      </c>
      <c r="R174" s="206">
        <v>15665849</v>
      </c>
      <c r="S174" s="105">
        <v>0</v>
      </c>
      <c r="T174" s="254">
        <f t="shared" si="58"/>
        <v>0</v>
      </c>
      <c r="U174" s="107">
        <f t="shared" si="59"/>
        <v>0</v>
      </c>
      <c r="V174" s="45">
        <v>28</v>
      </c>
      <c r="W174" s="45">
        <v>22</v>
      </c>
      <c r="X174" s="255">
        <f t="shared" si="60"/>
        <v>-6</v>
      </c>
      <c r="Y174" s="255">
        <f t="shared" si="61"/>
        <v>-11</v>
      </c>
      <c r="Z174" s="256">
        <f t="shared" si="62"/>
        <v>-600</v>
      </c>
      <c r="AA174" s="257">
        <f t="shared" si="63"/>
        <v>20</v>
      </c>
      <c r="AB174" s="116">
        <f t="shared" si="64"/>
        <v>0.2</v>
      </c>
      <c r="AC174" s="123">
        <v>138</v>
      </c>
      <c r="AD174" s="123">
        <v>127</v>
      </c>
      <c r="AE174" s="257">
        <f t="shared" si="65"/>
        <v>-11</v>
      </c>
      <c r="AF174" s="258">
        <f t="shared" si="66"/>
        <v>-7.9710144927536222</v>
      </c>
      <c r="AG174" s="257">
        <f t="shared" si="67"/>
        <v>20</v>
      </c>
      <c r="AH174" s="124">
        <f t="shared" si="68"/>
        <v>0.8</v>
      </c>
      <c r="AI174" s="105">
        <v>0</v>
      </c>
      <c r="AJ174" s="105">
        <v>0</v>
      </c>
      <c r="AK174" s="105">
        <v>0</v>
      </c>
      <c r="AL174" s="105">
        <v>0</v>
      </c>
      <c r="AM174" s="260">
        <f t="shared" si="69"/>
        <v>0</v>
      </c>
      <c r="AN174" s="260">
        <f t="shared" si="70"/>
        <v>20</v>
      </c>
      <c r="AO174" s="130">
        <f t="shared" si="71"/>
        <v>0.2</v>
      </c>
      <c r="AP174" s="106">
        <v>79580</v>
      </c>
      <c r="AQ174" s="261">
        <f t="shared" si="84"/>
        <v>0.50798395924791562</v>
      </c>
      <c r="AR174" s="261">
        <f t="shared" si="72"/>
        <v>32.619759388718734</v>
      </c>
      <c r="AS174" s="107">
        <f t="shared" si="73"/>
        <v>1.3047903755487493</v>
      </c>
      <c r="AT174" s="105">
        <v>0</v>
      </c>
      <c r="AU174" s="105">
        <v>1</v>
      </c>
      <c r="AV174" s="262">
        <f t="shared" si="74"/>
        <v>25</v>
      </c>
      <c r="AW174" s="134">
        <v>0</v>
      </c>
      <c r="AX174" s="134"/>
      <c r="AY174" s="262">
        <f t="shared" si="75"/>
        <v>0</v>
      </c>
      <c r="AZ174" s="262">
        <f t="shared" si="76"/>
        <v>25</v>
      </c>
      <c r="BA174" s="38">
        <f t="shared" si="77"/>
        <v>0.25</v>
      </c>
      <c r="BB174" s="105">
        <v>0</v>
      </c>
      <c r="BC174" s="105">
        <v>0</v>
      </c>
      <c r="BD174" s="105">
        <v>0</v>
      </c>
      <c r="BE174" s="262">
        <f t="shared" si="78"/>
        <v>0</v>
      </c>
      <c r="BF174" s="262">
        <f t="shared" si="79"/>
        <v>50</v>
      </c>
      <c r="BG174" s="38">
        <f t="shared" si="80"/>
        <v>0.5</v>
      </c>
      <c r="BH174" s="255">
        <f t="shared" si="81"/>
        <v>4179314</v>
      </c>
      <c r="BI174" s="256">
        <f t="shared" si="82"/>
        <v>1.08880080949215</v>
      </c>
      <c r="BJ174" s="256">
        <f t="shared" si="85"/>
        <v>33.16600607119112</v>
      </c>
      <c r="BK174" s="55">
        <f t="shared" si="83"/>
        <v>0.66332012142382246</v>
      </c>
      <c r="BL174" s="137">
        <f t="shared" si="86"/>
        <v>3.918110496972572</v>
      </c>
    </row>
    <row r="175" spans="1:64" x14ac:dyDescent="0.6">
      <c r="A175" s="214" t="s">
        <v>330</v>
      </c>
      <c r="B175" s="13" t="s">
        <v>2155</v>
      </c>
      <c r="C175" s="219" t="s">
        <v>78</v>
      </c>
      <c r="D175" s="216" t="s">
        <v>285</v>
      </c>
      <c r="E175" s="217" t="s">
        <v>171</v>
      </c>
      <c r="F175" s="217" t="s">
        <v>1205</v>
      </c>
      <c r="G175" s="218">
        <v>27750</v>
      </c>
      <c r="H175" s="217" t="s">
        <v>755</v>
      </c>
      <c r="I175" s="217" t="s">
        <v>232</v>
      </c>
      <c r="J175" s="217" t="s">
        <v>1093</v>
      </c>
      <c r="K175" s="217" t="s">
        <v>91</v>
      </c>
      <c r="L175" s="220">
        <v>993336394</v>
      </c>
      <c r="M175" s="206">
        <v>651630168</v>
      </c>
      <c r="N175" s="206">
        <v>341706226</v>
      </c>
      <c r="O175" s="206">
        <v>1463883744</v>
      </c>
      <c r="P175" s="206">
        <v>144479752</v>
      </c>
      <c r="Q175" s="206">
        <v>118763976</v>
      </c>
      <c r="R175" s="206">
        <v>84457579</v>
      </c>
      <c r="S175" s="105">
        <v>0</v>
      </c>
      <c r="T175" s="254">
        <f t="shared" si="58"/>
        <v>0</v>
      </c>
      <c r="U175" s="107">
        <f t="shared" si="59"/>
        <v>0</v>
      </c>
      <c r="V175" s="45">
        <v>385</v>
      </c>
      <c r="W175" s="45">
        <f>74+208+103</f>
        <v>385</v>
      </c>
      <c r="X175" s="255">
        <f t="shared" si="60"/>
        <v>0</v>
      </c>
      <c r="Y175" s="255">
        <f t="shared" si="61"/>
        <v>0</v>
      </c>
      <c r="Z175" s="256">
        <f t="shared" si="62"/>
        <v>0</v>
      </c>
      <c r="AA175" s="257">
        <f t="shared" si="63"/>
        <v>20</v>
      </c>
      <c r="AB175" s="116">
        <f t="shared" si="64"/>
        <v>0.2</v>
      </c>
      <c r="AC175" s="123">
        <v>750</v>
      </c>
      <c r="AD175" s="123">
        <v>750</v>
      </c>
      <c r="AE175" s="257">
        <f t="shared" si="65"/>
        <v>0</v>
      </c>
      <c r="AF175" s="258">
        <f t="shared" si="66"/>
        <v>0</v>
      </c>
      <c r="AG175" s="257">
        <f t="shared" si="67"/>
        <v>40</v>
      </c>
      <c r="AH175" s="124">
        <f t="shared" si="68"/>
        <v>1.6</v>
      </c>
      <c r="AI175" s="105">
        <v>0</v>
      </c>
      <c r="AJ175" s="105">
        <v>0</v>
      </c>
      <c r="AK175" s="105">
        <v>0</v>
      </c>
      <c r="AL175" s="105">
        <v>0</v>
      </c>
      <c r="AM175" s="260">
        <f t="shared" si="69"/>
        <v>0</v>
      </c>
      <c r="AN175" s="260">
        <f t="shared" si="70"/>
        <v>20</v>
      </c>
      <c r="AO175" s="130">
        <f t="shared" si="71"/>
        <v>0.2</v>
      </c>
      <c r="AP175" s="106">
        <v>473000</v>
      </c>
      <c r="AQ175" s="261">
        <f t="shared" si="84"/>
        <v>0.56004446918849049</v>
      </c>
      <c r="AR175" s="261">
        <f t="shared" si="72"/>
        <v>33.400667037827361</v>
      </c>
      <c r="AS175" s="107">
        <f t="shared" si="73"/>
        <v>1.3360266815130946</v>
      </c>
      <c r="AT175" s="105">
        <v>0</v>
      </c>
      <c r="AU175" s="105">
        <v>1</v>
      </c>
      <c r="AV175" s="262">
        <f t="shared" si="74"/>
        <v>25</v>
      </c>
      <c r="AW175" s="134">
        <v>0</v>
      </c>
      <c r="AX175" s="134"/>
      <c r="AY175" s="262">
        <f t="shared" si="75"/>
        <v>0</v>
      </c>
      <c r="AZ175" s="262">
        <f t="shared" si="76"/>
        <v>25</v>
      </c>
      <c r="BA175" s="38">
        <f t="shared" si="77"/>
        <v>0.25</v>
      </c>
      <c r="BB175" s="105">
        <v>0</v>
      </c>
      <c r="BC175" s="105">
        <v>0</v>
      </c>
      <c r="BD175" s="105">
        <v>0</v>
      </c>
      <c r="BE175" s="262">
        <f t="shared" si="78"/>
        <v>0</v>
      </c>
      <c r="BF175" s="262">
        <f t="shared" si="79"/>
        <v>50</v>
      </c>
      <c r="BG175" s="38">
        <f t="shared" si="80"/>
        <v>0.5</v>
      </c>
      <c r="BH175" s="255">
        <f t="shared" si="81"/>
        <v>34306397</v>
      </c>
      <c r="BI175" s="256">
        <f t="shared" si="82"/>
        <v>2.3435192268929246</v>
      </c>
      <c r="BJ175" s="256">
        <f t="shared" si="85"/>
        <v>42.576394201696935</v>
      </c>
      <c r="BK175" s="55">
        <f t="shared" si="83"/>
        <v>0.85152788403393875</v>
      </c>
      <c r="BL175" s="137">
        <f t="shared" si="86"/>
        <v>4.9375545655470328</v>
      </c>
    </row>
    <row r="176" spans="1:64" x14ac:dyDescent="0.6">
      <c r="A176" s="214" t="s">
        <v>707</v>
      </c>
      <c r="B176" s="13" t="s">
        <v>2156</v>
      </c>
      <c r="C176" s="219" t="s">
        <v>4</v>
      </c>
      <c r="D176" s="216" t="s">
        <v>285</v>
      </c>
      <c r="E176" s="217" t="s">
        <v>504</v>
      </c>
      <c r="F176" s="217" t="s">
        <v>594</v>
      </c>
      <c r="G176" s="218">
        <v>31278</v>
      </c>
      <c r="H176" s="217" t="s">
        <v>830</v>
      </c>
      <c r="I176" s="217" t="s">
        <v>798</v>
      </c>
      <c r="J176" s="217" t="s">
        <v>1199</v>
      </c>
      <c r="K176" s="217" t="s">
        <v>91</v>
      </c>
      <c r="L176" s="220">
        <v>8345250728</v>
      </c>
      <c r="M176" s="206">
        <v>4385916580</v>
      </c>
      <c r="N176" s="206">
        <v>3959334148</v>
      </c>
      <c r="O176" s="206">
        <v>1865707316</v>
      </c>
      <c r="P176" s="206">
        <v>348026286</v>
      </c>
      <c r="Q176" s="206">
        <v>294941948</v>
      </c>
      <c r="R176" s="206">
        <v>247588341</v>
      </c>
      <c r="S176" s="105">
        <v>1</v>
      </c>
      <c r="T176" s="254">
        <f t="shared" si="58"/>
        <v>100</v>
      </c>
      <c r="U176" s="107">
        <f t="shared" si="59"/>
        <v>1</v>
      </c>
      <c r="V176" s="45">
        <v>1764</v>
      </c>
      <c r="W176" s="45">
        <v>17589</v>
      </c>
      <c r="X176" s="255">
        <f t="shared" si="60"/>
        <v>15825</v>
      </c>
      <c r="Y176" s="255">
        <f t="shared" si="61"/>
        <v>25</v>
      </c>
      <c r="Z176" s="256">
        <f t="shared" si="62"/>
        <v>63300</v>
      </c>
      <c r="AA176" s="257">
        <f t="shared" si="63"/>
        <v>100</v>
      </c>
      <c r="AB176" s="116">
        <f t="shared" si="64"/>
        <v>1</v>
      </c>
      <c r="AC176" s="123">
        <v>2564</v>
      </c>
      <c r="AD176" s="123">
        <v>2589</v>
      </c>
      <c r="AE176" s="257">
        <f t="shared" si="65"/>
        <v>25</v>
      </c>
      <c r="AF176" s="258">
        <f t="shared" si="66"/>
        <v>0.9750390015600624</v>
      </c>
      <c r="AG176" s="257">
        <f t="shared" si="67"/>
        <v>60</v>
      </c>
      <c r="AH176" s="124">
        <f t="shared" si="68"/>
        <v>2.4</v>
      </c>
      <c r="AI176" s="105">
        <v>0</v>
      </c>
      <c r="AJ176" s="105">
        <v>0</v>
      </c>
      <c r="AK176" s="105">
        <v>0</v>
      </c>
      <c r="AL176" s="105">
        <v>0</v>
      </c>
      <c r="AM176" s="260">
        <f t="shared" si="69"/>
        <v>0</v>
      </c>
      <c r="AN176" s="260">
        <f t="shared" si="70"/>
        <v>20</v>
      </c>
      <c r="AO176" s="130">
        <f t="shared" si="71"/>
        <v>0.2</v>
      </c>
      <c r="AP176" s="106">
        <v>3041000</v>
      </c>
      <c r="AQ176" s="261">
        <f t="shared" si="84"/>
        <v>1.228248465867785</v>
      </c>
      <c r="AR176" s="261">
        <f t="shared" si="72"/>
        <v>43.423726988016774</v>
      </c>
      <c r="AS176" s="107">
        <f t="shared" si="73"/>
        <v>1.736949079520671</v>
      </c>
      <c r="AT176" s="105">
        <v>0</v>
      </c>
      <c r="AU176" s="105">
        <v>1</v>
      </c>
      <c r="AV176" s="262">
        <f t="shared" si="74"/>
        <v>25</v>
      </c>
      <c r="AW176" s="134">
        <v>3</v>
      </c>
      <c r="AX176" s="134" t="s">
        <v>3593</v>
      </c>
      <c r="AY176" s="262">
        <f t="shared" si="75"/>
        <v>50</v>
      </c>
      <c r="AZ176" s="262">
        <f t="shared" si="76"/>
        <v>75</v>
      </c>
      <c r="BA176" s="38">
        <f t="shared" si="77"/>
        <v>0.75</v>
      </c>
      <c r="BB176" s="105">
        <v>0</v>
      </c>
      <c r="BC176" s="105">
        <v>0</v>
      </c>
      <c r="BD176" s="105">
        <v>1</v>
      </c>
      <c r="BE176" s="262">
        <f t="shared" si="78"/>
        <v>1</v>
      </c>
      <c r="BF176" s="262">
        <f t="shared" si="79"/>
        <v>100</v>
      </c>
      <c r="BG176" s="38">
        <f t="shared" si="80"/>
        <v>1</v>
      </c>
      <c r="BH176" s="255">
        <f t="shared" si="81"/>
        <v>47353607</v>
      </c>
      <c r="BI176" s="256">
        <f t="shared" si="82"/>
        <v>2.5381048031437317</v>
      </c>
      <c r="BJ176" s="256">
        <f t="shared" si="85"/>
        <v>44.035786023577984</v>
      </c>
      <c r="BK176" s="55">
        <f t="shared" si="83"/>
        <v>0.88071572047155966</v>
      </c>
      <c r="BL176" s="137">
        <f t="shared" si="86"/>
        <v>8.9676647999922317</v>
      </c>
    </row>
    <row r="177" spans="1:64" x14ac:dyDescent="0.6">
      <c r="A177" s="214" t="s">
        <v>231</v>
      </c>
      <c r="B177" s="13" t="s">
        <v>2157</v>
      </c>
      <c r="C177" s="219" t="s">
        <v>413</v>
      </c>
      <c r="D177" s="216" t="s">
        <v>285</v>
      </c>
      <c r="E177" s="217" t="s">
        <v>1039</v>
      </c>
      <c r="F177" s="217" t="s">
        <v>1072</v>
      </c>
      <c r="G177" s="218">
        <v>40738</v>
      </c>
      <c r="H177" s="217" t="s">
        <v>830</v>
      </c>
      <c r="I177" s="217" t="s">
        <v>1737</v>
      </c>
      <c r="J177" s="217" t="s">
        <v>1187</v>
      </c>
      <c r="K177" s="217" t="s">
        <v>91</v>
      </c>
      <c r="L177" s="220">
        <v>1134250211</v>
      </c>
      <c r="M177" s="206">
        <v>421706641</v>
      </c>
      <c r="N177" s="206">
        <v>712543570</v>
      </c>
      <c r="O177" s="206">
        <v>1430631262</v>
      </c>
      <c r="P177" s="206">
        <v>99554619</v>
      </c>
      <c r="Q177" s="206">
        <v>116211296</v>
      </c>
      <c r="R177" s="206">
        <v>89493182</v>
      </c>
      <c r="S177" s="105">
        <v>1</v>
      </c>
      <c r="T177" s="254">
        <f t="shared" si="58"/>
        <v>100</v>
      </c>
      <c r="U177" s="107">
        <f t="shared" si="59"/>
        <v>1</v>
      </c>
      <c r="V177" s="45">
        <v>994</v>
      </c>
      <c r="W177" s="45">
        <v>926</v>
      </c>
      <c r="X177" s="255">
        <f t="shared" si="60"/>
        <v>-68</v>
      </c>
      <c r="Y177" s="255">
        <f t="shared" si="61"/>
        <v>-78</v>
      </c>
      <c r="Z177" s="256">
        <f t="shared" si="62"/>
        <v>-6800</v>
      </c>
      <c r="AA177" s="257">
        <f t="shared" si="63"/>
        <v>20</v>
      </c>
      <c r="AB177" s="116">
        <f t="shared" si="64"/>
        <v>0.2</v>
      </c>
      <c r="AC177" s="123">
        <v>1296</v>
      </c>
      <c r="AD177" s="123">
        <v>1218</v>
      </c>
      <c r="AE177" s="257">
        <f t="shared" si="65"/>
        <v>-78</v>
      </c>
      <c r="AF177" s="258">
        <f t="shared" si="66"/>
        <v>-6.0185185185185182</v>
      </c>
      <c r="AG177" s="257">
        <f t="shared" si="67"/>
        <v>20</v>
      </c>
      <c r="AH177" s="124">
        <f t="shared" si="68"/>
        <v>0.8</v>
      </c>
      <c r="AI177" s="105">
        <v>0</v>
      </c>
      <c r="AJ177" s="105">
        <v>0</v>
      </c>
      <c r="AK177" s="105">
        <v>0</v>
      </c>
      <c r="AL177" s="105">
        <v>0</v>
      </c>
      <c r="AM177" s="260">
        <f t="shared" si="69"/>
        <v>0</v>
      </c>
      <c r="AN177" s="260">
        <f t="shared" si="70"/>
        <v>20</v>
      </c>
      <c r="AO177" s="130">
        <f t="shared" si="71"/>
        <v>0.2</v>
      </c>
      <c r="AP177" s="106">
        <v>1632310</v>
      </c>
      <c r="AQ177" s="261">
        <f t="shared" si="84"/>
        <v>1.8239490020591738</v>
      </c>
      <c r="AR177" s="261">
        <f t="shared" si="72"/>
        <v>52.359235030887604</v>
      </c>
      <c r="AS177" s="107">
        <f t="shared" si="73"/>
        <v>2.0943694012355043</v>
      </c>
      <c r="AT177" s="105">
        <v>0</v>
      </c>
      <c r="AU177" s="105">
        <v>1</v>
      </c>
      <c r="AV177" s="262">
        <f t="shared" si="74"/>
        <v>25</v>
      </c>
      <c r="AW177" s="134">
        <v>2</v>
      </c>
      <c r="AX177" s="134" t="s">
        <v>3594</v>
      </c>
      <c r="AY177" s="262">
        <f t="shared" si="75"/>
        <v>25</v>
      </c>
      <c r="AZ177" s="262">
        <f t="shared" si="76"/>
        <v>50</v>
      </c>
      <c r="BA177" s="38">
        <f t="shared" si="77"/>
        <v>0.5</v>
      </c>
      <c r="BB177" s="105">
        <v>0</v>
      </c>
      <c r="BC177" s="105">
        <v>0</v>
      </c>
      <c r="BD177" s="105">
        <v>0</v>
      </c>
      <c r="BE177" s="262">
        <f t="shared" si="78"/>
        <v>0</v>
      </c>
      <c r="BF177" s="262">
        <f t="shared" si="79"/>
        <v>50</v>
      </c>
      <c r="BG177" s="38">
        <f t="shared" si="80"/>
        <v>0.5</v>
      </c>
      <c r="BH177" s="255">
        <f t="shared" si="81"/>
        <v>26718114</v>
      </c>
      <c r="BI177" s="256">
        <f t="shared" si="82"/>
        <v>1.8675751543866377</v>
      </c>
      <c r="BJ177" s="256">
        <f t="shared" si="85"/>
        <v>39.006813657899784</v>
      </c>
      <c r="BK177" s="55">
        <f t="shared" si="83"/>
        <v>0.78013627315799572</v>
      </c>
      <c r="BL177" s="137">
        <f t="shared" si="86"/>
        <v>6.0745056743935004</v>
      </c>
    </row>
    <row r="178" spans="1:64" x14ac:dyDescent="0.6">
      <c r="A178" s="214" t="s">
        <v>1738</v>
      </c>
      <c r="B178" s="13" t="s">
        <v>2158</v>
      </c>
      <c r="C178" s="219" t="s">
        <v>374</v>
      </c>
      <c r="D178" s="216" t="s">
        <v>191</v>
      </c>
      <c r="E178" s="217" t="s">
        <v>190</v>
      </c>
      <c r="F178" s="217" t="s">
        <v>125</v>
      </c>
      <c r="G178" s="218">
        <v>28122</v>
      </c>
      <c r="H178" s="217" t="s">
        <v>830</v>
      </c>
      <c r="I178" s="217" t="s">
        <v>251</v>
      </c>
      <c r="J178" s="217" t="s">
        <v>287</v>
      </c>
      <c r="K178" s="217" t="s">
        <v>91</v>
      </c>
      <c r="L178" s="220">
        <v>385696451</v>
      </c>
      <c r="M178" s="206">
        <v>57970889</v>
      </c>
      <c r="N178" s="206">
        <v>327725561</v>
      </c>
      <c r="O178" s="206">
        <v>201337780</v>
      </c>
      <c r="P178" s="206">
        <v>7473489</v>
      </c>
      <c r="Q178" s="206">
        <v>11002724</v>
      </c>
      <c r="R178" s="206">
        <v>11593733</v>
      </c>
      <c r="S178" s="105">
        <v>0</v>
      </c>
      <c r="T178" s="254">
        <f t="shared" si="58"/>
        <v>0</v>
      </c>
      <c r="U178" s="107">
        <f t="shared" si="59"/>
        <v>0</v>
      </c>
      <c r="V178" s="45">
        <v>203</v>
      </c>
      <c r="W178" s="45">
        <v>210</v>
      </c>
      <c r="X178" s="255">
        <f t="shared" si="60"/>
        <v>7</v>
      </c>
      <c r="Y178" s="255">
        <f t="shared" si="61"/>
        <v>7</v>
      </c>
      <c r="Z178" s="256">
        <f t="shared" si="62"/>
        <v>100</v>
      </c>
      <c r="AA178" s="257">
        <f t="shared" si="63"/>
        <v>100</v>
      </c>
      <c r="AB178" s="116">
        <f t="shared" si="64"/>
        <v>1</v>
      </c>
      <c r="AC178" s="123">
        <v>389</v>
      </c>
      <c r="AD178" s="123">
        <v>396</v>
      </c>
      <c r="AE178" s="257">
        <f t="shared" si="65"/>
        <v>7</v>
      </c>
      <c r="AF178" s="258">
        <f t="shared" si="66"/>
        <v>1.7994858611825193</v>
      </c>
      <c r="AG178" s="257">
        <f t="shared" si="67"/>
        <v>80</v>
      </c>
      <c r="AH178" s="124">
        <f t="shared" si="68"/>
        <v>3.2</v>
      </c>
      <c r="AI178" s="105">
        <v>0</v>
      </c>
      <c r="AJ178" s="105">
        <v>0</v>
      </c>
      <c r="AK178" s="105">
        <v>0</v>
      </c>
      <c r="AL178" s="105">
        <v>0</v>
      </c>
      <c r="AM178" s="260">
        <f t="shared" si="69"/>
        <v>0</v>
      </c>
      <c r="AN178" s="260">
        <f t="shared" si="70"/>
        <v>20</v>
      </c>
      <c r="AO178" s="130">
        <f t="shared" si="71"/>
        <v>0.2</v>
      </c>
      <c r="AP178" s="106">
        <v>30150</v>
      </c>
      <c r="AQ178" s="261">
        <f t="shared" si="84"/>
        <v>0.26005428967529265</v>
      </c>
      <c r="AR178" s="261">
        <f t="shared" si="72"/>
        <v>28.90081434512939</v>
      </c>
      <c r="AS178" s="107">
        <f t="shared" si="73"/>
        <v>1.1560325738051755</v>
      </c>
      <c r="AT178" s="105">
        <v>0</v>
      </c>
      <c r="AU178" s="105">
        <v>1</v>
      </c>
      <c r="AV178" s="262">
        <f t="shared" si="74"/>
        <v>25</v>
      </c>
      <c r="AW178" s="134">
        <v>0</v>
      </c>
      <c r="AX178" s="134"/>
      <c r="AY178" s="262">
        <f t="shared" si="75"/>
        <v>0</v>
      </c>
      <c r="AZ178" s="262">
        <f t="shared" si="76"/>
        <v>25</v>
      </c>
      <c r="BA178" s="38">
        <f t="shared" si="77"/>
        <v>0.25</v>
      </c>
      <c r="BB178" s="105">
        <v>0</v>
      </c>
      <c r="BC178" s="105">
        <v>0</v>
      </c>
      <c r="BD178" s="105">
        <v>0</v>
      </c>
      <c r="BE178" s="262">
        <f t="shared" si="78"/>
        <v>0</v>
      </c>
      <c r="BF178" s="262">
        <f t="shared" si="79"/>
        <v>50</v>
      </c>
      <c r="BG178" s="38">
        <f t="shared" si="80"/>
        <v>0.5</v>
      </c>
      <c r="BH178" s="255">
        <f t="shared" si="81"/>
        <v>-591009</v>
      </c>
      <c r="BI178" s="256">
        <f t="shared" si="82"/>
        <v>-0.29354103338181242</v>
      </c>
      <c r="BJ178" s="256">
        <f t="shared" si="85"/>
        <v>25</v>
      </c>
      <c r="BK178" s="55">
        <f t="shared" si="83"/>
        <v>0.5</v>
      </c>
      <c r="BL178" s="137">
        <f t="shared" si="86"/>
        <v>6.8060325738051759</v>
      </c>
    </row>
    <row r="179" spans="1:64" x14ac:dyDescent="0.6">
      <c r="A179" s="214" t="s">
        <v>414</v>
      </c>
      <c r="B179" s="13" t="s">
        <v>2159</v>
      </c>
      <c r="C179" s="219" t="s">
        <v>411</v>
      </c>
      <c r="D179" s="221" t="s">
        <v>350</v>
      </c>
      <c r="E179" s="217" t="s">
        <v>179</v>
      </c>
      <c r="F179" s="217" t="s">
        <v>808</v>
      </c>
      <c r="G179" s="218">
        <v>32013</v>
      </c>
      <c r="H179" s="217" t="s">
        <v>746</v>
      </c>
      <c r="I179" s="217" t="s">
        <v>266</v>
      </c>
      <c r="J179" s="217" t="s">
        <v>1192</v>
      </c>
      <c r="K179" s="217" t="s">
        <v>91</v>
      </c>
      <c r="L179" s="220">
        <v>10400472991</v>
      </c>
      <c r="M179" s="206">
        <v>9031560866</v>
      </c>
      <c r="N179" s="206">
        <v>1368912125</v>
      </c>
      <c r="O179" s="206">
        <v>2043938653</v>
      </c>
      <c r="P179" s="206">
        <v>111260253</v>
      </c>
      <c r="Q179" s="206">
        <v>121787342</v>
      </c>
      <c r="R179" s="206">
        <v>93015535</v>
      </c>
      <c r="S179" s="105">
        <v>1</v>
      </c>
      <c r="T179" s="254">
        <f t="shared" si="58"/>
        <v>100</v>
      </c>
      <c r="U179" s="107">
        <f t="shared" si="59"/>
        <v>1</v>
      </c>
      <c r="V179" s="45">
        <v>261</v>
      </c>
      <c r="W179" s="45">
        <f>65+64+136</f>
        <v>265</v>
      </c>
      <c r="X179" s="255">
        <f t="shared" si="60"/>
        <v>4</v>
      </c>
      <c r="Y179" s="255">
        <f t="shared" si="61"/>
        <v>-14</v>
      </c>
      <c r="Z179" s="256">
        <f t="shared" si="62"/>
        <v>400</v>
      </c>
      <c r="AA179" s="257">
        <f t="shared" si="63"/>
        <v>100</v>
      </c>
      <c r="AB179" s="116">
        <f t="shared" si="64"/>
        <v>1</v>
      </c>
      <c r="AC179" s="123">
        <v>662</v>
      </c>
      <c r="AD179" s="123">
        <v>648</v>
      </c>
      <c r="AE179" s="257">
        <f t="shared" si="65"/>
        <v>-14</v>
      </c>
      <c r="AF179" s="258">
        <f t="shared" si="66"/>
        <v>-2.1148036253776437</v>
      </c>
      <c r="AG179" s="257">
        <f t="shared" si="67"/>
        <v>20</v>
      </c>
      <c r="AH179" s="124">
        <f t="shared" si="68"/>
        <v>0.8</v>
      </c>
      <c r="AI179" s="105">
        <v>0</v>
      </c>
      <c r="AJ179" s="105">
        <v>0</v>
      </c>
      <c r="AK179" s="105">
        <v>0</v>
      </c>
      <c r="AL179" s="105">
        <v>0</v>
      </c>
      <c r="AM179" s="260">
        <f t="shared" si="69"/>
        <v>0</v>
      </c>
      <c r="AN179" s="260">
        <f t="shared" si="70"/>
        <v>20</v>
      </c>
      <c r="AO179" s="130">
        <f t="shared" si="71"/>
        <v>0.2</v>
      </c>
      <c r="AP179" s="106">
        <v>752852</v>
      </c>
      <c r="AQ179" s="261">
        <f t="shared" si="84"/>
        <v>0.8093830777837272</v>
      </c>
      <c r="AR179" s="261">
        <f t="shared" si="72"/>
        <v>37.140746166755903</v>
      </c>
      <c r="AS179" s="107">
        <f t="shared" si="73"/>
        <v>1.4856298466702362</v>
      </c>
      <c r="AT179" s="105">
        <v>0</v>
      </c>
      <c r="AU179" s="105">
        <v>1</v>
      </c>
      <c r="AV179" s="262">
        <f t="shared" si="74"/>
        <v>25</v>
      </c>
      <c r="AW179" s="134">
        <v>0</v>
      </c>
      <c r="AX179" s="134"/>
      <c r="AY179" s="262">
        <f t="shared" si="75"/>
        <v>0</v>
      </c>
      <c r="AZ179" s="262">
        <f t="shared" si="76"/>
        <v>25</v>
      </c>
      <c r="BA179" s="38">
        <f t="shared" si="77"/>
        <v>0.25</v>
      </c>
      <c r="BB179" s="105">
        <v>0</v>
      </c>
      <c r="BC179" s="105">
        <v>0</v>
      </c>
      <c r="BD179" s="105">
        <v>0</v>
      </c>
      <c r="BE179" s="262">
        <f t="shared" si="78"/>
        <v>0</v>
      </c>
      <c r="BF179" s="262">
        <f t="shared" si="79"/>
        <v>50</v>
      </c>
      <c r="BG179" s="38">
        <f t="shared" si="80"/>
        <v>0.5</v>
      </c>
      <c r="BH179" s="255">
        <f t="shared" si="81"/>
        <v>28771807</v>
      </c>
      <c r="BI179" s="256">
        <f t="shared" si="82"/>
        <v>1.4076649002048107</v>
      </c>
      <c r="BJ179" s="256">
        <f t="shared" si="85"/>
        <v>35.557486751536082</v>
      </c>
      <c r="BK179" s="55">
        <f t="shared" si="83"/>
        <v>0.71114973503072165</v>
      </c>
      <c r="BL179" s="137">
        <f t="shared" si="86"/>
        <v>5.9467795817009579</v>
      </c>
    </row>
    <row r="180" spans="1:64" x14ac:dyDescent="0.6">
      <c r="A180" s="214" t="s">
        <v>9</v>
      </c>
      <c r="B180" s="13" t="s">
        <v>2160</v>
      </c>
      <c r="C180" s="219" t="s">
        <v>505</v>
      </c>
      <c r="D180" s="216" t="s">
        <v>285</v>
      </c>
      <c r="E180" s="217" t="s">
        <v>999</v>
      </c>
      <c r="F180" s="217" t="s">
        <v>165</v>
      </c>
      <c r="G180" s="218">
        <v>27667</v>
      </c>
      <c r="H180" s="217" t="s">
        <v>830</v>
      </c>
      <c r="I180" s="217" t="s">
        <v>754</v>
      </c>
      <c r="J180" s="217" t="s">
        <v>1089</v>
      </c>
      <c r="K180" s="217" t="s">
        <v>425</v>
      </c>
      <c r="L180" s="220">
        <v>152880655</v>
      </c>
      <c r="M180" s="206">
        <v>70989813</v>
      </c>
      <c r="N180" s="206">
        <v>81890843</v>
      </c>
      <c r="O180" s="206">
        <v>202728990</v>
      </c>
      <c r="P180" s="206">
        <v>2828954</v>
      </c>
      <c r="Q180" s="206">
        <v>1737125</v>
      </c>
      <c r="R180" s="206">
        <v>1041713</v>
      </c>
      <c r="S180" s="105">
        <v>1</v>
      </c>
      <c r="T180" s="254">
        <f t="shared" si="58"/>
        <v>100</v>
      </c>
      <c r="U180" s="107">
        <f t="shared" si="59"/>
        <v>1</v>
      </c>
      <c r="V180" s="45">
        <v>15</v>
      </c>
      <c r="W180" s="45">
        <v>17</v>
      </c>
      <c r="X180" s="255">
        <f t="shared" si="60"/>
        <v>2</v>
      </c>
      <c r="Y180" s="255">
        <f t="shared" si="61"/>
        <v>5</v>
      </c>
      <c r="Z180" s="256">
        <f t="shared" si="62"/>
        <v>40</v>
      </c>
      <c r="AA180" s="257">
        <f t="shared" si="63"/>
        <v>100</v>
      </c>
      <c r="AB180" s="116">
        <f t="shared" si="64"/>
        <v>1</v>
      </c>
      <c r="AC180" s="123">
        <v>110</v>
      </c>
      <c r="AD180" s="123">
        <v>115</v>
      </c>
      <c r="AE180" s="257">
        <f t="shared" si="65"/>
        <v>5</v>
      </c>
      <c r="AF180" s="258">
        <f t="shared" si="66"/>
        <v>4.5454545454545459</v>
      </c>
      <c r="AG180" s="257">
        <f t="shared" si="67"/>
        <v>100</v>
      </c>
      <c r="AH180" s="124">
        <f t="shared" si="68"/>
        <v>4</v>
      </c>
      <c r="AI180" s="105">
        <v>0</v>
      </c>
      <c r="AJ180" s="105">
        <v>0</v>
      </c>
      <c r="AK180" s="105">
        <v>0</v>
      </c>
      <c r="AL180" s="105">
        <v>0</v>
      </c>
      <c r="AM180" s="260">
        <f t="shared" si="69"/>
        <v>0</v>
      </c>
      <c r="AN180" s="260">
        <f t="shared" si="70"/>
        <v>20</v>
      </c>
      <c r="AO180" s="130">
        <f t="shared" si="71"/>
        <v>0.2</v>
      </c>
      <c r="AP180" s="106">
        <v>20127</v>
      </c>
      <c r="AQ180" s="261">
        <f t="shared" si="84"/>
        <v>1.9321060599224547</v>
      </c>
      <c r="AR180" s="261">
        <f t="shared" si="72"/>
        <v>53.981590898836821</v>
      </c>
      <c r="AS180" s="107">
        <f t="shared" si="73"/>
        <v>2.1592636359534727</v>
      </c>
      <c r="AT180" s="105">
        <v>0</v>
      </c>
      <c r="AU180" s="105">
        <v>1</v>
      </c>
      <c r="AV180" s="262">
        <f t="shared" si="74"/>
        <v>25</v>
      </c>
      <c r="AW180" s="134">
        <v>0</v>
      </c>
      <c r="AX180" s="134"/>
      <c r="AY180" s="262">
        <f t="shared" si="75"/>
        <v>0</v>
      </c>
      <c r="AZ180" s="262">
        <f t="shared" si="76"/>
        <v>25</v>
      </c>
      <c r="BA180" s="38">
        <f t="shared" si="77"/>
        <v>0.25</v>
      </c>
      <c r="BB180" s="105">
        <v>0</v>
      </c>
      <c r="BC180" s="105">
        <v>0</v>
      </c>
      <c r="BD180" s="105">
        <v>0</v>
      </c>
      <c r="BE180" s="262">
        <f t="shared" si="78"/>
        <v>0</v>
      </c>
      <c r="BF180" s="262">
        <f t="shared" si="79"/>
        <v>50</v>
      </c>
      <c r="BG180" s="38">
        <f t="shared" si="80"/>
        <v>0.5</v>
      </c>
      <c r="BH180" s="255">
        <f t="shared" si="81"/>
        <v>695412</v>
      </c>
      <c r="BI180" s="256">
        <f t="shared" si="82"/>
        <v>0.34302543508947586</v>
      </c>
      <c r="BJ180" s="256">
        <f t="shared" si="85"/>
        <v>27.572690763171067</v>
      </c>
      <c r="BK180" s="55">
        <f t="shared" si="83"/>
        <v>0.55145381526342141</v>
      </c>
      <c r="BL180" s="137">
        <f t="shared" si="86"/>
        <v>9.660717451216895</v>
      </c>
    </row>
    <row r="181" spans="1:64" x14ac:dyDescent="0.6">
      <c r="A181" s="214" t="s">
        <v>821</v>
      </c>
      <c r="B181" s="13" t="s">
        <v>2161</v>
      </c>
      <c r="C181" s="219" t="s">
        <v>86</v>
      </c>
      <c r="D181" s="216" t="s">
        <v>285</v>
      </c>
      <c r="E181" s="217" t="s">
        <v>999</v>
      </c>
      <c r="F181" s="217" t="s">
        <v>153</v>
      </c>
      <c r="G181" s="218">
        <v>33277</v>
      </c>
      <c r="H181" s="217" t="s">
        <v>830</v>
      </c>
      <c r="I181" s="217" t="s">
        <v>787</v>
      </c>
      <c r="J181" s="217" t="s">
        <v>1245</v>
      </c>
      <c r="K181" s="217" t="s">
        <v>91</v>
      </c>
      <c r="L181" s="220">
        <v>131824972</v>
      </c>
      <c r="M181" s="206">
        <v>27592356</v>
      </c>
      <c r="N181" s="206">
        <v>104232616</v>
      </c>
      <c r="O181" s="206">
        <v>117958170</v>
      </c>
      <c r="P181" s="206">
        <v>9678013</v>
      </c>
      <c r="Q181" s="206">
        <v>10111802</v>
      </c>
      <c r="R181" s="206">
        <v>8289001</v>
      </c>
      <c r="S181" s="105">
        <v>1</v>
      </c>
      <c r="T181" s="254">
        <f t="shared" si="58"/>
        <v>100</v>
      </c>
      <c r="U181" s="107">
        <f t="shared" si="59"/>
        <v>1</v>
      </c>
      <c r="V181" s="45">
        <v>46</v>
      </c>
      <c r="W181" s="45">
        <f>40+2</f>
        <v>42</v>
      </c>
      <c r="X181" s="255">
        <f t="shared" si="60"/>
        <v>-4</v>
      </c>
      <c r="Y181" s="255">
        <f t="shared" si="61"/>
        <v>-22</v>
      </c>
      <c r="Z181" s="256">
        <f t="shared" si="62"/>
        <v>-400</v>
      </c>
      <c r="AA181" s="257">
        <f t="shared" si="63"/>
        <v>20</v>
      </c>
      <c r="AB181" s="116">
        <f t="shared" si="64"/>
        <v>0.2</v>
      </c>
      <c r="AC181" s="123">
        <v>221</v>
      </c>
      <c r="AD181" s="123">
        <v>199</v>
      </c>
      <c r="AE181" s="257">
        <f t="shared" si="65"/>
        <v>-22</v>
      </c>
      <c r="AF181" s="258">
        <f t="shared" si="66"/>
        <v>-9.9547511312217196</v>
      </c>
      <c r="AG181" s="257">
        <f t="shared" si="67"/>
        <v>20</v>
      </c>
      <c r="AH181" s="124">
        <f t="shared" si="68"/>
        <v>0.8</v>
      </c>
      <c r="AI181" s="105">
        <v>0</v>
      </c>
      <c r="AJ181" s="105">
        <v>0</v>
      </c>
      <c r="AK181" s="105">
        <v>0</v>
      </c>
      <c r="AL181" s="105">
        <v>0</v>
      </c>
      <c r="AM181" s="260">
        <f t="shared" si="69"/>
        <v>0</v>
      </c>
      <c r="AN181" s="260">
        <f t="shared" si="70"/>
        <v>20</v>
      </c>
      <c r="AO181" s="130">
        <f t="shared" si="71"/>
        <v>0.2</v>
      </c>
      <c r="AP181" s="106">
        <v>114756</v>
      </c>
      <c r="AQ181" s="261">
        <f t="shared" si="84"/>
        <v>1.384437038914581</v>
      </c>
      <c r="AR181" s="261">
        <f t="shared" si="72"/>
        <v>45.766555583718713</v>
      </c>
      <c r="AS181" s="107">
        <f t="shared" si="73"/>
        <v>1.8306622233487486</v>
      </c>
      <c r="AT181" s="105">
        <v>0</v>
      </c>
      <c r="AU181" s="105">
        <v>1</v>
      </c>
      <c r="AV181" s="262">
        <f t="shared" si="74"/>
        <v>25</v>
      </c>
      <c r="AW181" s="134">
        <v>0</v>
      </c>
      <c r="AX181" s="134"/>
      <c r="AY181" s="262">
        <f t="shared" si="75"/>
        <v>0</v>
      </c>
      <c r="AZ181" s="262">
        <f t="shared" si="76"/>
        <v>25</v>
      </c>
      <c r="BA181" s="38">
        <f t="shared" si="77"/>
        <v>0.25</v>
      </c>
      <c r="BB181" s="105">
        <v>0</v>
      </c>
      <c r="BC181" s="105">
        <v>0</v>
      </c>
      <c r="BD181" s="105">
        <v>0</v>
      </c>
      <c r="BE181" s="262">
        <f t="shared" si="78"/>
        <v>0</v>
      </c>
      <c r="BF181" s="262">
        <f t="shared" si="79"/>
        <v>50</v>
      </c>
      <c r="BG181" s="38">
        <f t="shared" si="80"/>
        <v>0.5</v>
      </c>
      <c r="BH181" s="255">
        <f t="shared" si="81"/>
        <v>1822801</v>
      </c>
      <c r="BI181" s="256">
        <f t="shared" si="82"/>
        <v>1.545294403939973</v>
      </c>
      <c r="BJ181" s="256">
        <f t="shared" si="85"/>
        <v>36.589708029549797</v>
      </c>
      <c r="BK181" s="55">
        <f t="shared" si="83"/>
        <v>0.731794160590996</v>
      </c>
      <c r="BL181" s="137">
        <f t="shared" si="86"/>
        <v>5.5124563839397451</v>
      </c>
    </row>
    <row r="182" spans="1:64" x14ac:dyDescent="0.6">
      <c r="A182" s="214" t="s">
        <v>553</v>
      </c>
      <c r="B182" s="13" t="s">
        <v>2162</v>
      </c>
      <c r="C182" s="219" t="s">
        <v>47</v>
      </c>
      <c r="D182" s="216" t="s">
        <v>203</v>
      </c>
      <c r="E182" s="217" t="s">
        <v>1179</v>
      </c>
      <c r="F182" s="217" t="s">
        <v>211</v>
      </c>
      <c r="G182" s="218">
        <v>27517</v>
      </c>
      <c r="H182" s="217" t="s">
        <v>830</v>
      </c>
      <c r="I182" s="217" t="s">
        <v>973</v>
      </c>
      <c r="J182" s="217" t="s">
        <v>381</v>
      </c>
      <c r="K182" s="217" t="s">
        <v>91</v>
      </c>
      <c r="L182" s="220">
        <v>3324252824</v>
      </c>
      <c r="M182" s="206">
        <v>1744378392</v>
      </c>
      <c r="N182" s="206">
        <v>1579874432</v>
      </c>
      <c r="O182" s="206">
        <v>1329446841</v>
      </c>
      <c r="P182" s="206">
        <v>132736708</v>
      </c>
      <c r="Q182" s="206">
        <v>169634745</v>
      </c>
      <c r="R182" s="206">
        <v>144326674</v>
      </c>
      <c r="S182" s="105">
        <v>1</v>
      </c>
      <c r="T182" s="254">
        <f t="shared" si="58"/>
        <v>100</v>
      </c>
      <c r="U182" s="107">
        <f t="shared" si="59"/>
        <v>1</v>
      </c>
      <c r="V182" s="45">
        <v>40</v>
      </c>
      <c r="W182" s="45">
        <f>42</f>
        <v>42</v>
      </c>
      <c r="X182" s="255">
        <f t="shared" si="60"/>
        <v>2</v>
      </c>
      <c r="Y182" s="255">
        <f t="shared" si="61"/>
        <v>49</v>
      </c>
      <c r="Z182" s="256">
        <f t="shared" si="62"/>
        <v>4.0816326530612246</v>
      </c>
      <c r="AA182" s="257">
        <f t="shared" si="63"/>
        <v>20</v>
      </c>
      <c r="AB182" s="116">
        <f t="shared" si="64"/>
        <v>0.2</v>
      </c>
      <c r="AC182" s="123">
        <v>1023</v>
      </c>
      <c r="AD182" s="123">
        <v>1072</v>
      </c>
      <c r="AE182" s="257">
        <f t="shared" si="65"/>
        <v>49</v>
      </c>
      <c r="AF182" s="258">
        <f t="shared" si="66"/>
        <v>4.7898338220918868</v>
      </c>
      <c r="AG182" s="257">
        <f t="shared" si="67"/>
        <v>100</v>
      </c>
      <c r="AH182" s="124">
        <f t="shared" si="68"/>
        <v>4</v>
      </c>
      <c r="AI182" s="105">
        <v>0</v>
      </c>
      <c r="AJ182" s="105">
        <v>0</v>
      </c>
      <c r="AK182" s="105">
        <v>0</v>
      </c>
      <c r="AL182" s="105">
        <v>0</v>
      </c>
      <c r="AM182" s="260">
        <f t="shared" si="69"/>
        <v>0</v>
      </c>
      <c r="AN182" s="260">
        <f t="shared" si="70"/>
        <v>20</v>
      </c>
      <c r="AO182" s="130">
        <f t="shared" si="71"/>
        <v>0.2</v>
      </c>
      <c r="AP182" s="106">
        <v>8005755</v>
      </c>
      <c r="AQ182" s="261">
        <f t="shared" si="84"/>
        <v>5.5469684003110888</v>
      </c>
      <c r="AR182" s="261">
        <f t="shared" si="72"/>
        <v>100</v>
      </c>
      <c r="AS182" s="107">
        <f t="shared" si="73"/>
        <v>4</v>
      </c>
      <c r="AT182" s="105">
        <v>0</v>
      </c>
      <c r="AU182" s="105">
        <v>1</v>
      </c>
      <c r="AV182" s="262">
        <f t="shared" si="74"/>
        <v>25</v>
      </c>
      <c r="AW182" s="134">
        <v>3</v>
      </c>
      <c r="AX182" s="134" t="s">
        <v>3595</v>
      </c>
      <c r="AY182" s="262">
        <f t="shared" si="75"/>
        <v>50</v>
      </c>
      <c r="AZ182" s="262">
        <f t="shared" si="76"/>
        <v>75</v>
      </c>
      <c r="BA182" s="38">
        <f t="shared" si="77"/>
        <v>0.75</v>
      </c>
      <c r="BB182" s="105">
        <v>0</v>
      </c>
      <c r="BC182" s="105">
        <v>0</v>
      </c>
      <c r="BD182" s="105">
        <v>0</v>
      </c>
      <c r="BE182" s="262">
        <f t="shared" si="78"/>
        <v>0</v>
      </c>
      <c r="BF182" s="262">
        <f t="shared" si="79"/>
        <v>50</v>
      </c>
      <c r="BG182" s="38">
        <f t="shared" si="80"/>
        <v>0.5</v>
      </c>
      <c r="BH182" s="255">
        <f t="shared" si="81"/>
        <v>25308071</v>
      </c>
      <c r="BI182" s="256">
        <f t="shared" si="82"/>
        <v>1.9036542281723321</v>
      </c>
      <c r="BJ182" s="256">
        <f t="shared" si="85"/>
        <v>39.277406711292493</v>
      </c>
      <c r="BK182" s="55">
        <f t="shared" si="83"/>
        <v>0.7855481342258499</v>
      </c>
      <c r="BL182" s="137">
        <f t="shared" si="86"/>
        <v>11.435548134225851</v>
      </c>
    </row>
    <row r="183" spans="1:64" x14ac:dyDescent="0.6">
      <c r="A183" s="214" t="s">
        <v>290</v>
      </c>
      <c r="B183" s="13" t="s">
        <v>2163</v>
      </c>
      <c r="C183" s="219" t="s">
        <v>325</v>
      </c>
      <c r="D183" s="216" t="s">
        <v>202</v>
      </c>
      <c r="E183" s="217" t="s">
        <v>205</v>
      </c>
      <c r="F183" s="217" t="s">
        <v>164</v>
      </c>
      <c r="G183" s="218">
        <v>31889</v>
      </c>
      <c r="H183" s="217" t="s">
        <v>830</v>
      </c>
      <c r="I183" s="217" t="s">
        <v>710</v>
      </c>
      <c r="J183" s="217" t="s">
        <v>1095</v>
      </c>
      <c r="K183" s="217" t="s">
        <v>317</v>
      </c>
      <c r="L183" s="220">
        <v>75722188</v>
      </c>
      <c r="M183" s="206">
        <v>2498635</v>
      </c>
      <c r="N183" s="206">
        <v>73223553</v>
      </c>
      <c r="O183" s="206">
        <v>17441063</v>
      </c>
      <c r="P183" s="206">
        <v>2055789</v>
      </c>
      <c r="Q183" s="206">
        <v>4418292</v>
      </c>
      <c r="R183" s="206">
        <v>5632855</v>
      </c>
      <c r="S183" s="105">
        <v>1</v>
      </c>
      <c r="T183" s="254">
        <f t="shared" si="58"/>
        <v>100</v>
      </c>
      <c r="U183" s="107">
        <f t="shared" si="59"/>
        <v>1</v>
      </c>
      <c r="V183" s="45">
        <v>14</v>
      </c>
      <c r="W183" s="45">
        <v>16</v>
      </c>
      <c r="X183" s="255">
        <f t="shared" si="60"/>
        <v>2</v>
      </c>
      <c r="Y183" s="255">
        <f t="shared" si="61"/>
        <v>-5</v>
      </c>
      <c r="Z183" s="256">
        <f t="shared" si="62"/>
        <v>200</v>
      </c>
      <c r="AA183" s="257">
        <f t="shared" si="63"/>
        <v>100</v>
      </c>
      <c r="AB183" s="116">
        <f t="shared" si="64"/>
        <v>1</v>
      </c>
      <c r="AC183" s="123">
        <v>44</v>
      </c>
      <c r="AD183" s="123">
        <v>39</v>
      </c>
      <c r="AE183" s="257">
        <f t="shared" si="65"/>
        <v>-5</v>
      </c>
      <c r="AF183" s="258">
        <f t="shared" si="66"/>
        <v>-11.363636363636363</v>
      </c>
      <c r="AG183" s="257">
        <f t="shared" si="67"/>
        <v>20</v>
      </c>
      <c r="AH183" s="124">
        <f t="shared" si="68"/>
        <v>0.8</v>
      </c>
      <c r="AI183" s="105">
        <v>0</v>
      </c>
      <c r="AJ183" s="105">
        <v>0</v>
      </c>
      <c r="AK183" s="105">
        <v>0</v>
      </c>
      <c r="AL183" s="105">
        <v>0</v>
      </c>
      <c r="AM183" s="260">
        <f t="shared" si="69"/>
        <v>0</v>
      </c>
      <c r="AN183" s="260">
        <f t="shared" si="70"/>
        <v>20</v>
      </c>
      <c r="AO183" s="130">
        <f t="shared" si="71"/>
        <v>0.2</v>
      </c>
      <c r="AP183" s="106">
        <v>10373</v>
      </c>
      <c r="AQ183" s="261">
        <f t="shared" si="84"/>
        <v>0.18415173122688228</v>
      </c>
      <c r="AR183" s="261">
        <f t="shared" si="72"/>
        <v>27.762275968403234</v>
      </c>
      <c r="AS183" s="107">
        <f t="shared" si="73"/>
        <v>1.1104910387361293</v>
      </c>
      <c r="AT183" s="105">
        <v>0</v>
      </c>
      <c r="AU183" s="105">
        <v>1</v>
      </c>
      <c r="AV183" s="262">
        <f t="shared" si="74"/>
        <v>25</v>
      </c>
      <c r="AW183" s="134">
        <v>0</v>
      </c>
      <c r="AX183" s="134"/>
      <c r="AY183" s="262">
        <f t="shared" si="75"/>
        <v>0</v>
      </c>
      <c r="AZ183" s="262">
        <f t="shared" si="76"/>
        <v>25</v>
      </c>
      <c r="BA183" s="38">
        <f t="shared" si="77"/>
        <v>0.25</v>
      </c>
      <c r="BB183" s="105">
        <v>0</v>
      </c>
      <c r="BC183" s="105">
        <v>0</v>
      </c>
      <c r="BD183" s="105">
        <v>0</v>
      </c>
      <c r="BE183" s="262">
        <f t="shared" si="78"/>
        <v>0</v>
      </c>
      <c r="BF183" s="262">
        <f t="shared" si="79"/>
        <v>50</v>
      </c>
      <c r="BG183" s="38">
        <f t="shared" si="80"/>
        <v>0.5</v>
      </c>
      <c r="BH183" s="255">
        <f t="shared" si="81"/>
        <v>-1214563</v>
      </c>
      <c r="BI183" s="256">
        <f t="shared" si="82"/>
        <v>-6.9638129281454919</v>
      </c>
      <c r="BJ183" s="256">
        <f t="shared" si="85"/>
        <v>25</v>
      </c>
      <c r="BK183" s="55">
        <f t="shared" si="83"/>
        <v>0.5</v>
      </c>
      <c r="BL183" s="137">
        <f t="shared" si="86"/>
        <v>5.3604910387361295</v>
      </c>
    </row>
    <row r="184" spans="1:64" x14ac:dyDescent="0.6">
      <c r="A184" s="214" t="s">
        <v>1739</v>
      </c>
      <c r="B184" s="13" t="s">
        <v>2164</v>
      </c>
      <c r="C184" s="219" t="s">
        <v>922</v>
      </c>
      <c r="D184" s="216" t="s">
        <v>202</v>
      </c>
      <c r="E184" s="217" t="s">
        <v>593</v>
      </c>
      <c r="F184" s="217" t="s">
        <v>991</v>
      </c>
      <c r="G184" s="218">
        <v>30905</v>
      </c>
      <c r="H184" s="217" t="s">
        <v>830</v>
      </c>
      <c r="I184" s="217" t="s">
        <v>759</v>
      </c>
      <c r="J184" s="217" t="s">
        <v>1116</v>
      </c>
      <c r="K184" s="217" t="s">
        <v>91</v>
      </c>
      <c r="L184" s="220">
        <v>150922633</v>
      </c>
      <c r="M184" s="206">
        <v>52979361</v>
      </c>
      <c r="N184" s="206">
        <v>97943272</v>
      </c>
      <c r="O184" s="206">
        <v>457295501</v>
      </c>
      <c r="P184" s="206">
        <v>13985109</v>
      </c>
      <c r="Q184" s="206">
        <v>16291509</v>
      </c>
      <c r="R184" s="206">
        <v>13892645</v>
      </c>
      <c r="S184" s="105">
        <v>1</v>
      </c>
      <c r="T184" s="254">
        <f t="shared" si="58"/>
        <v>100</v>
      </c>
      <c r="U184" s="107">
        <f t="shared" si="59"/>
        <v>1</v>
      </c>
      <c r="V184" s="45">
        <v>14</v>
      </c>
      <c r="W184" s="45">
        <f>13</f>
        <v>13</v>
      </c>
      <c r="X184" s="255">
        <f t="shared" si="60"/>
        <v>-1</v>
      </c>
      <c r="Y184" s="255">
        <f t="shared" si="61"/>
        <v>12</v>
      </c>
      <c r="Z184" s="256">
        <f t="shared" si="62"/>
        <v>-8.3333333333333321</v>
      </c>
      <c r="AA184" s="257">
        <f t="shared" si="63"/>
        <v>20</v>
      </c>
      <c r="AB184" s="116">
        <f t="shared" si="64"/>
        <v>0.2</v>
      </c>
      <c r="AC184" s="123">
        <v>125</v>
      </c>
      <c r="AD184" s="123">
        <v>137</v>
      </c>
      <c r="AE184" s="257">
        <f t="shared" si="65"/>
        <v>12</v>
      </c>
      <c r="AF184" s="258">
        <f t="shared" si="66"/>
        <v>9.6</v>
      </c>
      <c r="AG184" s="257">
        <f t="shared" si="67"/>
        <v>100</v>
      </c>
      <c r="AH184" s="124">
        <f t="shared" si="68"/>
        <v>4</v>
      </c>
      <c r="AI184" s="105">
        <v>0</v>
      </c>
      <c r="AJ184" s="105">
        <v>0</v>
      </c>
      <c r="AK184" s="105">
        <v>0</v>
      </c>
      <c r="AL184" s="105">
        <v>0</v>
      </c>
      <c r="AM184" s="260">
        <f t="shared" si="69"/>
        <v>0</v>
      </c>
      <c r="AN184" s="260">
        <f t="shared" si="70"/>
        <v>20</v>
      </c>
      <c r="AO184" s="130">
        <f t="shared" si="71"/>
        <v>0.2</v>
      </c>
      <c r="AP184" s="448">
        <f>100000*'1-1. 관계사체무보증금액 (환율 등)'!B4/1000</f>
        <v>126582.27848101265</v>
      </c>
      <c r="AQ184" s="261">
        <f t="shared" si="84"/>
        <v>0.91114599474047353</v>
      </c>
      <c r="AR184" s="261">
        <f t="shared" si="72"/>
        <v>38.667189921107102</v>
      </c>
      <c r="AS184" s="107">
        <f t="shared" si="73"/>
        <v>1.5466875968442841</v>
      </c>
      <c r="AT184" s="105">
        <v>0</v>
      </c>
      <c r="AU184" s="105">
        <v>1</v>
      </c>
      <c r="AV184" s="262">
        <f t="shared" si="74"/>
        <v>25</v>
      </c>
      <c r="AW184" s="134">
        <v>0</v>
      </c>
      <c r="AX184" s="134"/>
      <c r="AY184" s="262">
        <f t="shared" si="75"/>
        <v>0</v>
      </c>
      <c r="AZ184" s="262">
        <f t="shared" si="76"/>
        <v>25</v>
      </c>
      <c r="BA184" s="38">
        <f t="shared" si="77"/>
        <v>0.25</v>
      </c>
      <c r="BB184" s="105">
        <v>0</v>
      </c>
      <c r="BC184" s="105">
        <v>0</v>
      </c>
      <c r="BD184" s="105">
        <v>0</v>
      </c>
      <c r="BE184" s="262">
        <f t="shared" si="78"/>
        <v>0</v>
      </c>
      <c r="BF184" s="262">
        <f t="shared" si="79"/>
        <v>50</v>
      </c>
      <c r="BG184" s="38">
        <f t="shared" si="80"/>
        <v>0.5</v>
      </c>
      <c r="BH184" s="255">
        <f t="shared" si="81"/>
        <v>2398864</v>
      </c>
      <c r="BI184" s="256">
        <f t="shared" si="82"/>
        <v>0.52457633953411664</v>
      </c>
      <c r="BJ184" s="256">
        <f t="shared" si="85"/>
        <v>28.934322546505875</v>
      </c>
      <c r="BK184" s="55">
        <f t="shared" si="83"/>
        <v>0.5786864509301175</v>
      </c>
      <c r="BL184" s="137">
        <f t="shared" si="86"/>
        <v>8.2753740477744024</v>
      </c>
    </row>
    <row r="185" spans="1:64" x14ac:dyDescent="0.6">
      <c r="A185" s="214" t="s">
        <v>429</v>
      </c>
      <c r="B185" s="13" t="s">
        <v>2165</v>
      </c>
      <c r="C185" s="219" t="s">
        <v>445</v>
      </c>
      <c r="D185" s="216" t="s">
        <v>203</v>
      </c>
      <c r="E185" s="217" t="s">
        <v>1179</v>
      </c>
      <c r="F185" s="217" t="s">
        <v>608</v>
      </c>
      <c r="G185" s="218">
        <v>41584</v>
      </c>
      <c r="H185" s="217" t="s">
        <v>830</v>
      </c>
      <c r="I185" s="217" t="s">
        <v>241</v>
      </c>
      <c r="J185" s="217" t="s">
        <v>1226</v>
      </c>
      <c r="K185" s="217" t="s">
        <v>91</v>
      </c>
      <c r="L185" s="220">
        <v>1177294529</v>
      </c>
      <c r="M185" s="206">
        <v>334705711</v>
      </c>
      <c r="N185" s="206">
        <v>842588818</v>
      </c>
      <c r="O185" s="206">
        <v>479630807</v>
      </c>
      <c r="P185" s="206">
        <v>74104110</v>
      </c>
      <c r="Q185" s="206">
        <v>65510324</v>
      </c>
      <c r="R185" s="206">
        <v>49527867</v>
      </c>
      <c r="S185" s="105">
        <v>1</v>
      </c>
      <c r="T185" s="254">
        <f t="shared" si="58"/>
        <v>100</v>
      </c>
      <c r="U185" s="107">
        <f t="shared" si="59"/>
        <v>1</v>
      </c>
      <c r="V185" s="45">
        <v>19</v>
      </c>
      <c r="W185" s="45">
        <v>22</v>
      </c>
      <c r="X185" s="255">
        <f t="shared" si="60"/>
        <v>3</v>
      </c>
      <c r="Y185" s="255">
        <f t="shared" si="61"/>
        <v>10</v>
      </c>
      <c r="Z185" s="256">
        <f t="shared" si="62"/>
        <v>30</v>
      </c>
      <c r="AA185" s="257">
        <f t="shared" si="63"/>
        <v>80</v>
      </c>
      <c r="AB185" s="116">
        <f t="shared" si="64"/>
        <v>0.8</v>
      </c>
      <c r="AC185" s="123">
        <v>477</v>
      </c>
      <c r="AD185" s="123">
        <v>487</v>
      </c>
      <c r="AE185" s="257">
        <f t="shared" si="65"/>
        <v>10</v>
      </c>
      <c r="AF185" s="258">
        <f t="shared" si="66"/>
        <v>2.0964360587002098</v>
      </c>
      <c r="AG185" s="257">
        <f t="shared" si="67"/>
        <v>80</v>
      </c>
      <c r="AH185" s="124">
        <f t="shared" si="68"/>
        <v>3.2</v>
      </c>
      <c r="AI185" s="105">
        <v>0</v>
      </c>
      <c r="AJ185" s="105">
        <v>0</v>
      </c>
      <c r="AK185" s="105">
        <v>0</v>
      </c>
      <c r="AL185" s="105">
        <v>0</v>
      </c>
      <c r="AM185" s="260">
        <f t="shared" si="69"/>
        <v>0</v>
      </c>
      <c r="AN185" s="260">
        <f t="shared" si="70"/>
        <v>20</v>
      </c>
      <c r="AO185" s="130">
        <f t="shared" si="71"/>
        <v>0.2</v>
      </c>
      <c r="AP185" s="106">
        <v>2700443</v>
      </c>
      <c r="AQ185" s="261">
        <f t="shared" si="84"/>
        <v>5.4523708844558154</v>
      </c>
      <c r="AR185" s="261">
        <f t="shared" si="72"/>
        <v>100</v>
      </c>
      <c r="AS185" s="107">
        <f t="shared" si="73"/>
        <v>4</v>
      </c>
      <c r="AT185" s="105">
        <v>1</v>
      </c>
      <c r="AU185" s="105">
        <v>1</v>
      </c>
      <c r="AV185" s="262">
        <f t="shared" si="74"/>
        <v>50</v>
      </c>
      <c r="AW185" s="134">
        <v>3</v>
      </c>
      <c r="AX185" s="134" t="s">
        <v>3596</v>
      </c>
      <c r="AY185" s="262">
        <f t="shared" si="75"/>
        <v>50</v>
      </c>
      <c r="AZ185" s="262">
        <f t="shared" si="76"/>
        <v>100</v>
      </c>
      <c r="BA185" s="38">
        <f t="shared" si="77"/>
        <v>1</v>
      </c>
      <c r="BB185" s="105">
        <v>0</v>
      </c>
      <c r="BC185" s="105">
        <v>0</v>
      </c>
      <c r="BD185" s="105">
        <v>0</v>
      </c>
      <c r="BE185" s="262">
        <f t="shared" si="78"/>
        <v>0</v>
      </c>
      <c r="BF185" s="262">
        <f t="shared" si="79"/>
        <v>50</v>
      </c>
      <c r="BG185" s="38">
        <f t="shared" si="80"/>
        <v>0.5</v>
      </c>
      <c r="BH185" s="255">
        <f t="shared" si="81"/>
        <v>15982457</v>
      </c>
      <c r="BI185" s="256">
        <f t="shared" si="82"/>
        <v>3.3322415421910128</v>
      </c>
      <c r="BJ185" s="256">
        <f t="shared" si="85"/>
        <v>49.991811566432595</v>
      </c>
      <c r="BK185" s="55">
        <f t="shared" si="83"/>
        <v>0.99983623132865196</v>
      </c>
      <c r="BL185" s="137">
        <f t="shared" si="86"/>
        <v>11.699836231328652</v>
      </c>
    </row>
    <row r="186" spans="1:64" x14ac:dyDescent="0.6">
      <c r="A186" s="214" t="s">
        <v>22</v>
      </c>
      <c r="B186" s="13" t="s">
        <v>2166</v>
      </c>
      <c r="C186" s="219" t="s">
        <v>426</v>
      </c>
      <c r="D186" s="216" t="s">
        <v>191</v>
      </c>
      <c r="E186" s="217" t="s">
        <v>1029</v>
      </c>
      <c r="F186" s="217" t="s">
        <v>169</v>
      </c>
      <c r="G186" s="218">
        <v>32492</v>
      </c>
      <c r="H186" s="217" t="s">
        <v>830</v>
      </c>
      <c r="I186" s="217" t="s">
        <v>235</v>
      </c>
      <c r="J186" s="217" t="s">
        <v>1180</v>
      </c>
      <c r="K186" s="217" t="s">
        <v>91</v>
      </c>
      <c r="L186" s="220">
        <v>790607841</v>
      </c>
      <c r="M186" s="206">
        <v>88403731</v>
      </c>
      <c r="N186" s="206">
        <v>702204110</v>
      </c>
      <c r="O186" s="206">
        <v>598684604</v>
      </c>
      <c r="P186" s="206">
        <v>76947409</v>
      </c>
      <c r="Q186" s="206">
        <v>87571953</v>
      </c>
      <c r="R186" s="206">
        <v>64953978</v>
      </c>
      <c r="S186" s="105">
        <v>1</v>
      </c>
      <c r="T186" s="254">
        <f t="shared" si="58"/>
        <v>100</v>
      </c>
      <c r="U186" s="107">
        <f t="shared" si="59"/>
        <v>1</v>
      </c>
      <c r="V186" s="45">
        <v>9</v>
      </c>
      <c r="W186" s="45">
        <v>10</v>
      </c>
      <c r="X186" s="255">
        <f t="shared" si="60"/>
        <v>1</v>
      </c>
      <c r="Y186" s="255">
        <f t="shared" si="61"/>
        <v>12</v>
      </c>
      <c r="Z186" s="256">
        <f t="shared" si="62"/>
        <v>8.3333333333333321</v>
      </c>
      <c r="AA186" s="257">
        <f t="shared" si="63"/>
        <v>20</v>
      </c>
      <c r="AB186" s="116">
        <f t="shared" si="64"/>
        <v>0.2</v>
      </c>
      <c r="AC186" s="123">
        <v>252</v>
      </c>
      <c r="AD186" s="123">
        <v>264</v>
      </c>
      <c r="AE186" s="257">
        <f t="shared" si="65"/>
        <v>12</v>
      </c>
      <c r="AF186" s="258">
        <f t="shared" si="66"/>
        <v>4.7619047619047619</v>
      </c>
      <c r="AG186" s="257">
        <f t="shared" si="67"/>
        <v>100</v>
      </c>
      <c r="AH186" s="124">
        <f t="shared" si="68"/>
        <v>4</v>
      </c>
      <c r="AI186" s="105">
        <v>0</v>
      </c>
      <c r="AJ186" s="105">
        <v>0</v>
      </c>
      <c r="AK186" s="105">
        <v>0</v>
      </c>
      <c r="AL186" s="105">
        <v>0</v>
      </c>
      <c r="AM186" s="260">
        <f t="shared" si="69"/>
        <v>0</v>
      </c>
      <c r="AN186" s="260">
        <f t="shared" si="70"/>
        <v>20</v>
      </c>
      <c r="AO186" s="130">
        <f t="shared" si="71"/>
        <v>0.2</v>
      </c>
      <c r="AP186" s="106">
        <v>72470</v>
      </c>
      <c r="AQ186" s="261">
        <f t="shared" si="84"/>
        <v>0.11157130360822549</v>
      </c>
      <c r="AR186" s="261">
        <f t="shared" si="72"/>
        <v>26.673569554123382</v>
      </c>
      <c r="AS186" s="107">
        <f t="shared" si="73"/>
        <v>1.0669427821649353</v>
      </c>
      <c r="AT186" s="105">
        <v>0</v>
      </c>
      <c r="AU186" s="105">
        <v>1</v>
      </c>
      <c r="AV186" s="262">
        <f t="shared" si="74"/>
        <v>25</v>
      </c>
      <c r="AW186" s="134">
        <v>0</v>
      </c>
      <c r="AX186" s="134"/>
      <c r="AY186" s="262">
        <f t="shared" si="75"/>
        <v>0</v>
      </c>
      <c r="AZ186" s="262">
        <f t="shared" si="76"/>
        <v>25</v>
      </c>
      <c r="BA186" s="38">
        <f t="shared" si="77"/>
        <v>0.25</v>
      </c>
      <c r="BB186" s="105">
        <v>0</v>
      </c>
      <c r="BC186" s="105">
        <v>0</v>
      </c>
      <c r="BD186" s="105">
        <v>0</v>
      </c>
      <c r="BE186" s="262">
        <f t="shared" si="78"/>
        <v>0</v>
      </c>
      <c r="BF186" s="262">
        <f t="shared" si="79"/>
        <v>50</v>
      </c>
      <c r="BG186" s="38">
        <f t="shared" si="80"/>
        <v>0.5</v>
      </c>
      <c r="BH186" s="255">
        <f t="shared" si="81"/>
        <v>22617975</v>
      </c>
      <c r="BI186" s="256">
        <f t="shared" si="82"/>
        <v>3.7779449895457811</v>
      </c>
      <c r="BJ186" s="256">
        <f t="shared" si="85"/>
        <v>53.334587421593355</v>
      </c>
      <c r="BK186" s="55">
        <f t="shared" si="83"/>
        <v>1.0666917484318672</v>
      </c>
      <c r="BL186" s="137">
        <f t="shared" si="86"/>
        <v>8.2836345305968031</v>
      </c>
    </row>
    <row r="187" spans="1:64" x14ac:dyDescent="0.6">
      <c r="A187" s="214" t="s">
        <v>6</v>
      </c>
      <c r="B187" s="13" t="s">
        <v>2167</v>
      </c>
      <c r="C187" s="219" t="s">
        <v>558</v>
      </c>
      <c r="D187" s="216" t="s">
        <v>285</v>
      </c>
      <c r="E187" s="217" t="s">
        <v>245</v>
      </c>
      <c r="F187" s="217" t="s">
        <v>236</v>
      </c>
      <c r="G187" s="218">
        <v>40389</v>
      </c>
      <c r="H187" s="217" t="s">
        <v>830</v>
      </c>
      <c r="I187" s="217" t="s">
        <v>791</v>
      </c>
      <c r="J187" s="217" t="s">
        <v>1189</v>
      </c>
      <c r="K187" s="217" t="s">
        <v>91</v>
      </c>
      <c r="L187" s="220">
        <v>825178689</v>
      </c>
      <c r="M187" s="206">
        <v>439685810</v>
      </c>
      <c r="N187" s="206">
        <v>385492879</v>
      </c>
      <c r="O187" s="206">
        <v>2678991235</v>
      </c>
      <c r="P187" s="206">
        <v>35714794</v>
      </c>
      <c r="Q187" s="206">
        <v>39761445</v>
      </c>
      <c r="R187" s="206">
        <v>36294420</v>
      </c>
      <c r="S187" s="105">
        <v>1</v>
      </c>
      <c r="T187" s="254">
        <f t="shared" si="58"/>
        <v>100</v>
      </c>
      <c r="U187" s="107">
        <f t="shared" si="59"/>
        <v>1</v>
      </c>
      <c r="V187" s="45">
        <v>142</v>
      </c>
      <c r="W187" s="45">
        <v>145</v>
      </c>
      <c r="X187" s="255">
        <f t="shared" si="60"/>
        <v>3</v>
      </c>
      <c r="Y187" s="255">
        <f t="shared" si="61"/>
        <v>-5</v>
      </c>
      <c r="Z187" s="256">
        <f t="shared" si="62"/>
        <v>300</v>
      </c>
      <c r="AA187" s="257">
        <f t="shared" si="63"/>
        <v>100</v>
      </c>
      <c r="AB187" s="116">
        <f t="shared" si="64"/>
        <v>1</v>
      </c>
      <c r="AC187" s="123">
        <v>403</v>
      </c>
      <c r="AD187" s="123">
        <v>398</v>
      </c>
      <c r="AE187" s="257">
        <f t="shared" si="65"/>
        <v>-5</v>
      </c>
      <c r="AF187" s="258">
        <f t="shared" si="66"/>
        <v>-1.240694789081886</v>
      </c>
      <c r="AG187" s="257">
        <f t="shared" si="67"/>
        <v>20</v>
      </c>
      <c r="AH187" s="124">
        <f t="shared" si="68"/>
        <v>0.8</v>
      </c>
      <c r="AI187" s="105">
        <v>0</v>
      </c>
      <c r="AJ187" s="105">
        <v>0</v>
      </c>
      <c r="AK187" s="105">
        <v>0</v>
      </c>
      <c r="AL187" s="105">
        <v>0</v>
      </c>
      <c r="AM187" s="260">
        <f t="shared" si="69"/>
        <v>0</v>
      </c>
      <c r="AN187" s="260">
        <f t="shared" si="70"/>
        <v>20</v>
      </c>
      <c r="AO187" s="130">
        <f t="shared" si="71"/>
        <v>0.2</v>
      </c>
      <c r="AP187" s="106">
        <v>460000</v>
      </c>
      <c r="AQ187" s="261">
        <f t="shared" si="84"/>
        <v>1.2674124562398297</v>
      </c>
      <c r="AR187" s="261">
        <f t="shared" si="72"/>
        <v>44.011186843597443</v>
      </c>
      <c r="AS187" s="107">
        <f t="shared" si="73"/>
        <v>1.7604474737438978</v>
      </c>
      <c r="AT187" s="105">
        <v>0</v>
      </c>
      <c r="AU187" s="105">
        <v>1</v>
      </c>
      <c r="AV187" s="262">
        <f t="shared" si="74"/>
        <v>25</v>
      </c>
      <c r="AW187" s="134">
        <v>0</v>
      </c>
      <c r="AX187" s="134"/>
      <c r="AY187" s="262">
        <f t="shared" si="75"/>
        <v>0</v>
      </c>
      <c r="AZ187" s="262">
        <f t="shared" si="76"/>
        <v>25</v>
      </c>
      <c r="BA187" s="38">
        <f t="shared" si="77"/>
        <v>0.25</v>
      </c>
      <c r="BB187" s="105">
        <v>0</v>
      </c>
      <c r="BC187" s="105">
        <v>0</v>
      </c>
      <c r="BD187" s="105">
        <v>0</v>
      </c>
      <c r="BE187" s="262">
        <f t="shared" si="78"/>
        <v>0</v>
      </c>
      <c r="BF187" s="262">
        <f t="shared" si="79"/>
        <v>50</v>
      </c>
      <c r="BG187" s="38">
        <f t="shared" si="80"/>
        <v>0.5</v>
      </c>
      <c r="BH187" s="255">
        <f t="shared" si="81"/>
        <v>3467025</v>
      </c>
      <c r="BI187" s="256">
        <f t="shared" si="82"/>
        <v>0.12941531703070316</v>
      </c>
      <c r="BJ187" s="256">
        <f t="shared" si="85"/>
        <v>25.970614877730274</v>
      </c>
      <c r="BK187" s="55">
        <f t="shared" si="83"/>
        <v>0.5194122975546055</v>
      </c>
      <c r="BL187" s="137">
        <f t="shared" si="86"/>
        <v>6.0298597712985034</v>
      </c>
    </row>
    <row r="188" spans="1:64" x14ac:dyDescent="0.6">
      <c r="A188" s="214" t="s">
        <v>1740</v>
      </c>
      <c r="B188" s="13" t="s">
        <v>2168</v>
      </c>
      <c r="C188" s="219" t="s">
        <v>1741</v>
      </c>
      <c r="D188" s="14" t="s">
        <v>203</v>
      </c>
      <c r="E188" s="217" t="s">
        <v>1179</v>
      </c>
      <c r="F188" s="217" t="s">
        <v>1742</v>
      </c>
      <c r="G188" s="218">
        <v>31439</v>
      </c>
      <c r="H188" s="217" t="s">
        <v>830</v>
      </c>
      <c r="I188" s="217" t="s">
        <v>1743</v>
      </c>
      <c r="J188" s="1" t="s">
        <v>3720</v>
      </c>
      <c r="K188" s="217" t="s">
        <v>91</v>
      </c>
      <c r="L188" s="220">
        <v>3153017076</v>
      </c>
      <c r="M188" s="206">
        <v>1770069189</v>
      </c>
      <c r="N188" s="206">
        <v>1382947887</v>
      </c>
      <c r="O188" s="206">
        <v>1806485573</v>
      </c>
      <c r="P188" s="206">
        <v>305824732</v>
      </c>
      <c r="Q188" s="206">
        <v>260984230</v>
      </c>
      <c r="R188" s="206">
        <v>190493378</v>
      </c>
      <c r="S188" s="105">
        <v>1</v>
      </c>
      <c r="T188" s="254">
        <f t="shared" si="58"/>
        <v>100</v>
      </c>
      <c r="U188" s="107">
        <f t="shared" si="59"/>
        <v>1</v>
      </c>
      <c r="V188" s="45">
        <f>5+11+28</f>
        <v>44</v>
      </c>
      <c r="W188" s="45">
        <f>4+12+28</f>
        <v>44</v>
      </c>
      <c r="X188" s="255">
        <f t="shared" si="60"/>
        <v>0</v>
      </c>
      <c r="Y188" s="255">
        <f t="shared" si="61"/>
        <v>19</v>
      </c>
      <c r="Z188" s="256">
        <f t="shared" si="62"/>
        <v>0</v>
      </c>
      <c r="AA188" s="257">
        <f t="shared" si="63"/>
        <v>20</v>
      </c>
      <c r="AB188" s="116">
        <f t="shared" si="64"/>
        <v>0.2</v>
      </c>
      <c r="AC188" s="123">
        <v>652</v>
      </c>
      <c r="AD188" s="123">
        <v>671</v>
      </c>
      <c r="AE188" s="257">
        <f t="shared" si="65"/>
        <v>19</v>
      </c>
      <c r="AF188" s="258">
        <f t="shared" si="66"/>
        <v>2.9141104294478524</v>
      </c>
      <c r="AG188" s="257">
        <f t="shared" si="67"/>
        <v>100</v>
      </c>
      <c r="AH188" s="124">
        <f t="shared" si="68"/>
        <v>4</v>
      </c>
      <c r="AI188" s="105">
        <v>0</v>
      </c>
      <c r="AJ188" s="105">
        <v>0</v>
      </c>
      <c r="AK188" s="105">
        <v>0</v>
      </c>
      <c r="AL188" s="105">
        <v>0</v>
      </c>
      <c r="AM188" s="260">
        <f t="shared" si="69"/>
        <v>0</v>
      </c>
      <c r="AN188" s="260">
        <f t="shared" si="70"/>
        <v>20</v>
      </c>
      <c r="AO188" s="130">
        <f t="shared" si="71"/>
        <v>0.2</v>
      </c>
      <c r="AP188" s="106">
        <v>710040</v>
      </c>
      <c r="AQ188" s="261">
        <f t="shared" si="84"/>
        <v>0.37273736623012688</v>
      </c>
      <c r="AR188" s="261">
        <f t="shared" si="72"/>
        <v>30.591060493451902</v>
      </c>
      <c r="AS188" s="107">
        <f t="shared" si="73"/>
        <v>1.2236424197380762</v>
      </c>
      <c r="AT188" s="105">
        <v>1</v>
      </c>
      <c r="AU188" s="105">
        <v>1</v>
      </c>
      <c r="AV188" s="262">
        <f t="shared" si="74"/>
        <v>50</v>
      </c>
      <c r="AW188" s="134">
        <v>6</v>
      </c>
      <c r="AX188" s="447" t="s">
        <v>3721</v>
      </c>
      <c r="AY188" s="262">
        <f t="shared" si="75"/>
        <v>50</v>
      </c>
      <c r="AZ188" s="262">
        <f t="shared" si="76"/>
        <v>100</v>
      </c>
      <c r="BA188" s="38">
        <f t="shared" si="77"/>
        <v>1</v>
      </c>
      <c r="BB188" s="105">
        <v>0</v>
      </c>
      <c r="BC188" s="105">
        <v>0</v>
      </c>
      <c r="BD188" s="105">
        <v>0</v>
      </c>
      <c r="BE188" s="262">
        <f t="shared" si="78"/>
        <v>0</v>
      </c>
      <c r="BF188" s="262">
        <f t="shared" si="79"/>
        <v>50</v>
      </c>
      <c r="BG188" s="38">
        <f t="shared" si="80"/>
        <v>0.5</v>
      </c>
      <c r="BH188" s="255">
        <f t="shared" si="81"/>
        <v>70490852</v>
      </c>
      <c r="BI188" s="256">
        <f t="shared" si="82"/>
        <v>3.9020988074063077</v>
      </c>
      <c r="BJ188" s="256">
        <f t="shared" si="85"/>
        <v>54.265741055547309</v>
      </c>
      <c r="BK188" s="55">
        <f t="shared" si="83"/>
        <v>1.0853148211109462</v>
      </c>
      <c r="BL188" s="137">
        <f t="shared" si="86"/>
        <v>9.2089572408490223</v>
      </c>
    </row>
    <row r="189" spans="1:64" x14ac:dyDescent="0.6">
      <c r="A189" s="214" t="s">
        <v>18</v>
      </c>
      <c r="B189" s="13" t="s">
        <v>2169</v>
      </c>
      <c r="C189" s="219" t="s">
        <v>912</v>
      </c>
      <c r="D189" s="216" t="s">
        <v>203</v>
      </c>
      <c r="E189" s="217" t="s">
        <v>188</v>
      </c>
      <c r="F189" s="217" t="s">
        <v>392</v>
      </c>
      <c r="G189" s="218">
        <v>43181</v>
      </c>
      <c r="H189" s="217" t="s">
        <v>830</v>
      </c>
      <c r="I189" s="217" t="s">
        <v>181</v>
      </c>
      <c r="J189" s="217" t="s">
        <v>1184</v>
      </c>
      <c r="K189" s="217" t="s">
        <v>91</v>
      </c>
      <c r="L189" s="220">
        <v>477316913</v>
      </c>
      <c r="M189" s="206">
        <v>117171080</v>
      </c>
      <c r="N189" s="206">
        <v>360145833</v>
      </c>
      <c r="O189" s="206">
        <v>589759237</v>
      </c>
      <c r="P189" s="206">
        <v>37545912</v>
      </c>
      <c r="Q189" s="206">
        <v>22571287</v>
      </c>
      <c r="R189" s="206">
        <v>16498602</v>
      </c>
      <c r="S189" s="105">
        <v>1</v>
      </c>
      <c r="T189" s="254">
        <f t="shared" si="58"/>
        <v>100</v>
      </c>
      <c r="U189" s="107">
        <f t="shared" si="59"/>
        <v>1</v>
      </c>
      <c r="V189" s="45">
        <v>262</v>
      </c>
      <c r="W189" s="45">
        <f>107+193+1</f>
        <v>301</v>
      </c>
      <c r="X189" s="255">
        <f t="shared" si="60"/>
        <v>39</v>
      </c>
      <c r="Y189" s="255">
        <f t="shared" si="61"/>
        <v>33</v>
      </c>
      <c r="Z189" s="256">
        <f t="shared" si="62"/>
        <v>118.18181818181819</v>
      </c>
      <c r="AA189" s="257">
        <f t="shared" si="63"/>
        <v>100</v>
      </c>
      <c r="AB189" s="116">
        <f t="shared" si="64"/>
        <v>1</v>
      </c>
      <c r="AC189" s="123">
        <v>806</v>
      </c>
      <c r="AD189" s="123">
        <v>839</v>
      </c>
      <c r="AE189" s="257">
        <f t="shared" si="65"/>
        <v>33</v>
      </c>
      <c r="AF189" s="258">
        <f t="shared" si="66"/>
        <v>4.0942928039702231</v>
      </c>
      <c r="AG189" s="257">
        <f t="shared" si="67"/>
        <v>100</v>
      </c>
      <c r="AH189" s="124">
        <f t="shared" si="68"/>
        <v>4</v>
      </c>
      <c r="AI189" s="105">
        <v>0</v>
      </c>
      <c r="AJ189" s="105">
        <v>0</v>
      </c>
      <c r="AK189" s="105">
        <v>0</v>
      </c>
      <c r="AL189" s="105">
        <v>0</v>
      </c>
      <c r="AM189" s="260">
        <f t="shared" si="69"/>
        <v>0</v>
      </c>
      <c r="AN189" s="260">
        <f t="shared" si="70"/>
        <v>20</v>
      </c>
      <c r="AO189" s="130">
        <f t="shared" si="71"/>
        <v>0.2</v>
      </c>
      <c r="AP189" s="106">
        <v>6726507</v>
      </c>
      <c r="AQ189" s="261">
        <f t="shared" si="84"/>
        <v>40.770163435665637</v>
      </c>
      <c r="AR189" s="261">
        <f t="shared" si="72"/>
        <v>100</v>
      </c>
      <c r="AS189" s="107">
        <f t="shared" si="73"/>
        <v>4</v>
      </c>
      <c r="AT189" s="105">
        <v>0</v>
      </c>
      <c r="AU189" s="105">
        <v>1</v>
      </c>
      <c r="AV189" s="262">
        <f t="shared" si="74"/>
        <v>25</v>
      </c>
      <c r="AW189" s="134">
        <v>3</v>
      </c>
      <c r="AX189" s="134" t="s">
        <v>3597</v>
      </c>
      <c r="AY189" s="262">
        <f t="shared" si="75"/>
        <v>50</v>
      </c>
      <c r="AZ189" s="262">
        <f t="shared" si="76"/>
        <v>75</v>
      </c>
      <c r="BA189" s="38">
        <f t="shared" si="77"/>
        <v>0.75</v>
      </c>
      <c r="BB189" s="105">
        <v>0</v>
      </c>
      <c r="BC189" s="105">
        <v>0</v>
      </c>
      <c r="BD189" s="105">
        <v>0</v>
      </c>
      <c r="BE189" s="262">
        <f t="shared" si="78"/>
        <v>0</v>
      </c>
      <c r="BF189" s="262">
        <f t="shared" si="79"/>
        <v>50</v>
      </c>
      <c r="BG189" s="38">
        <f t="shared" si="80"/>
        <v>0.5</v>
      </c>
      <c r="BH189" s="255">
        <f t="shared" si="81"/>
        <v>6072685</v>
      </c>
      <c r="BI189" s="256">
        <f t="shared" si="82"/>
        <v>1.0296888321564346</v>
      </c>
      <c r="BJ189" s="256">
        <f t="shared" si="85"/>
        <v>32.722666241173258</v>
      </c>
      <c r="BK189" s="55">
        <f t="shared" si="83"/>
        <v>0.65445332482346519</v>
      </c>
      <c r="BL189" s="137">
        <f t="shared" si="86"/>
        <v>12.104453324823464</v>
      </c>
    </row>
    <row r="190" spans="1:64" x14ac:dyDescent="0.6">
      <c r="A190" s="214" t="s">
        <v>111</v>
      </c>
      <c r="B190" s="13" t="s">
        <v>2170</v>
      </c>
      <c r="C190" s="219" t="s">
        <v>482</v>
      </c>
      <c r="D190" s="216" t="s">
        <v>203</v>
      </c>
      <c r="E190" s="217" t="s">
        <v>180</v>
      </c>
      <c r="F190" s="217" t="s">
        <v>170</v>
      </c>
      <c r="G190" s="218">
        <v>41169</v>
      </c>
      <c r="H190" s="217" t="s">
        <v>830</v>
      </c>
      <c r="I190" s="217" t="s">
        <v>772</v>
      </c>
      <c r="J190" s="217" t="s">
        <v>390</v>
      </c>
      <c r="K190" s="217" t="s">
        <v>91</v>
      </c>
      <c r="L190" s="220">
        <v>1062980988</v>
      </c>
      <c r="M190" s="206">
        <v>365498356</v>
      </c>
      <c r="N190" s="206">
        <v>697482632</v>
      </c>
      <c r="O190" s="206">
        <v>1712779790</v>
      </c>
      <c r="P190" s="206">
        <v>90523569</v>
      </c>
      <c r="Q190" s="206">
        <v>88392901</v>
      </c>
      <c r="R190" s="206">
        <v>56304809</v>
      </c>
      <c r="S190" s="105">
        <v>1</v>
      </c>
      <c r="T190" s="254">
        <f t="shared" si="58"/>
        <v>100</v>
      </c>
      <c r="U190" s="107">
        <f t="shared" si="59"/>
        <v>1</v>
      </c>
      <c r="V190" s="45">
        <v>67</v>
      </c>
      <c r="W190" s="45">
        <f>37+10+23+23</f>
        <v>93</v>
      </c>
      <c r="X190" s="255">
        <f t="shared" si="60"/>
        <v>26</v>
      </c>
      <c r="Y190" s="255">
        <f t="shared" si="61"/>
        <v>30</v>
      </c>
      <c r="Z190" s="256">
        <f t="shared" si="62"/>
        <v>86.666666666666671</v>
      </c>
      <c r="AA190" s="257">
        <f t="shared" si="63"/>
        <v>100</v>
      </c>
      <c r="AB190" s="116">
        <f t="shared" si="64"/>
        <v>1</v>
      </c>
      <c r="AC190" s="123">
        <v>663</v>
      </c>
      <c r="AD190" s="123">
        <v>693</v>
      </c>
      <c r="AE190" s="257">
        <f t="shared" si="65"/>
        <v>30</v>
      </c>
      <c r="AF190" s="258">
        <f t="shared" si="66"/>
        <v>4.5248868778280542</v>
      </c>
      <c r="AG190" s="257">
        <f t="shared" si="67"/>
        <v>100</v>
      </c>
      <c r="AH190" s="124">
        <f t="shared" si="68"/>
        <v>4</v>
      </c>
      <c r="AI190" s="105">
        <v>0</v>
      </c>
      <c r="AJ190" s="105">
        <v>0</v>
      </c>
      <c r="AK190" s="105">
        <v>0</v>
      </c>
      <c r="AL190" s="105">
        <v>0</v>
      </c>
      <c r="AM190" s="260">
        <f t="shared" si="69"/>
        <v>0</v>
      </c>
      <c r="AN190" s="260">
        <f t="shared" si="70"/>
        <v>20</v>
      </c>
      <c r="AO190" s="130">
        <f t="shared" si="71"/>
        <v>0.2</v>
      </c>
      <c r="AP190" s="106">
        <v>313506</v>
      </c>
      <c r="AQ190" s="261">
        <f t="shared" si="84"/>
        <v>0.55680146255358043</v>
      </c>
      <c r="AR190" s="261">
        <f t="shared" si="72"/>
        <v>33.352021938303707</v>
      </c>
      <c r="AS190" s="107">
        <f t="shared" si="73"/>
        <v>1.3340808775321482</v>
      </c>
      <c r="AT190" s="105">
        <v>0</v>
      </c>
      <c r="AU190" s="105">
        <v>1</v>
      </c>
      <c r="AV190" s="262">
        <f t="shared" si="74"/>
        <v>25</v>
      </c>
      <c r="AW190" s="134">
        <v>3</v>
      </c>
      <c r="AX190" s="134" t="s">
        <v>3597</v>
      </c>
      <c r="AY190" s="262">
        <f t="shared" si="75"/>
        <v>50</v>
      </c>
      <c r="AZ190" s="262">
        <f t="shared" si="76"/>
        <v>75</v>
      </c>
      <c r="BA190" s="38">
        <f t="shared" si="77"/>
        <v>0.75</v>
      </c>
      <c r="BB190" s="105">
        <v>0</v>
      </c>
      <c r="BC190" s="105">
        <v>0</v>
      </c>
      <c r="BD190" s="105">
        <v>0</v>
      </c>
      <c r="BE190" s="262">
        <f t="shared" si="78"/>
        <v>0</v>
      </c>
      <c r="BF190" s="262">
        <f t="shared" si="79"/>
        <v>50</v>
      </c>
      <c r="BG190" s="38">
        <f t="shared" si="80"/>
        <v>0.5</v>
      </c>
      <c r="BH190" s="255">
        <f t="shared" si="81"/>
        <v>32088092</v>
      </c>
      <c r="BI190" s="256">
        <f t="shared" si="82"/>
        <v>1.8734511107233465</v>
      </c>
      <c r="BJ190" s="256">
        <f t="shared" si="85"/>
        <v>39.050883330425101</v>
      </c>
      <c r="BK190" s="55">
        <f t="shared" si="83"/>
        <v>0.78101766660850203</v>
      </c>
      <c r="BL190" s="137">
        <f t="shared" si="86"/>
        <v>9.5650985441406498</v>
      </c>
    </row>
    <row r="191" spans="1:64" x14ac:dyDescent="0.6">
      <c r="A191" s="214" t="s">
        <v>1745</v>
      </c>
      <c r="B191" s="13" t="s">
        <v>2171</v>
      </c>
      <c r="C191" s="219" t="s">
        <v>1746</v>
      </c>
      <c r="D191" s="14" t="s">
        <v>202</v>
      </c>
      <c r="E191" s="217" t="s">
        <v>189</v>
      </c>
      <c r="F191" s="217" t="s">
        <v>1747</v>
      </c>
      <c r="G191" s="218">
        <v>44393</v>
      </c>
      <c r="H191" s="217" t="s">
        <v>830</v>
      </c>
      <c r="I191" s="217" t="s">
        <v>1748</v>
      </c>
      <c r="J191" s="1" t="s">
        <v>3722</v>
      </c>
      <c r="K191" s="217" t="s">
        <v>690</v>
      </c>
      <c r="L191" s="220">
        <v>3184712423</v>
      </c>
      <c r="M191" s="206">
        <v>268563685</v>
      </c>
      <c r="N191" s="206">
        <v>2916148739</v>
      </c>
      <c r="O191" s="206">
        <v>2820638098</v>
      </c>
      <c r="P191" s="206">
        <v>1115338664</v>
      </c>
      <c r="Q191" s="206">
        <v>1224820701</v>
      </c>
      <c r="R191" s="206">
        <v>903927973</v>
      </c>
      <c r="S191" s="105">
        <v>1</v>
      </c>
      <c r="T191" s="254">
        <f t="shared" si="58"/>
        <v>100</v>
      </c>
      <c r="U191" s="107">
        <f t="shared" si="59"/>
        <v>1</v>
      </c>
      <c r="V191" s="45">
        <f>69+22+27+29</f>
        <v>147</v>
      </c>
      <c r="W191" s="45">
        <f>108+23+52+45</f>
        <v>228</v>
      </c>
      <c r="X191" s="255">
        <f t="shared" si="60"/>
        <v>81</v>
      </c>
      <c r="Y191" s="255">
        <f t="shared" si="61"/>
        <v>158</v>
      </c>
      <c r="Z191" s="256">
        <f t="shared" si="62"/>
        <v>51.265822784810119</v>
      </c>
      <c r="AA191" s="257">
        <f t="shared" si="63"/>
        <v>100</v>
      </c>
      <c r="AB191" s="116">
        <f t="shared" si="64"/>
        <v>1</v>
      </c>
      <c r="AC191" s="123">
        <v>403</v>
      </c>
      <c r="AD191" s="123">
        <v>561</v>
      </c>
      <c r="AE191" s="257">
        <f t="shared" si="65"/>
        <v>158</v>
      </c>
      <c r="AF191" s="258">
        <f t="shared" si="66"/>
        <v>39.205955334987593</v>
      </c>
      <c r="AG191" s="257">
        <f t="shared" si="67"/>
        <v>100</v>
      </c>
      <c r="AH191" s="124">
        <f t="shared" si="68"/>
        <v>4</v>
      </c>
      <c r="AI191" s="105">
        <v>0</v>
      </c>
      <c r="AJ191" s="105">
        <v>0</v>
      </c>
      <c r="AK191" s="105">
        <v>0</v>
      </c>
      <c r="AL191" s="105">
        <v>0</v>
      </c>
      <c r="AM191" s="260">
        <f t="shared" si="69"/>
        <v>0</v>
      </c>
      <c r="AN191" s="260">
        <f t="shared" si="70"/>
        <v>20</v>
      </c>
      <c r="AO191" s="130">
        <f t="shared" si="71"/>
        <v>0.2</v>
      </c>
      <c r="AP191" s="106">
        <v>9785986</v>
      </c>
      <c r="AQ191" s="261">
        <f t="shared" si="84"/>
        <v>1.0826068328787077</v>
      </c>
      <c r="AR191" s="261">
        <f t="shared" si="72"/>
        <v>41.239102493180617</v>
      </c>
      <c r="AS191" s="107">
        <f t="shared" si="73"/>
        <v>1.6495640997272247</v>
      </c>
      <c r="AT191" s="105">
        <v>0</v>
      </c>
      <c r="AU191" s="105">
        <v>0</v>
      </c>
      <c r="AV191" s="262">
        <f t="shared" si="74"/>
        <v>0</v>
      </c>
      <c r="AW191" s="134">
        <v>0</v>
      </c>
      <c r="AX191" s="134"/>
      <c r="AY191" s="262">
        <f t="shared" si="75"/>
        <v>0</v>
      </c>
      <c r="AZ191" s="262">
        <f t="shared" si="76"/>
        <v>0</v>
      </c>
      <c r="BA191" s="38">
        <f t="shared" si="77"/>
        <v>0</v>
      </c>
      <c r="BB191" s="105">
        <v>0</v>
      </c>
      <c r="BC191" s="105">
        <v>0</v>
      </c>
      <c r="BD191" s="105">
        <v>0</v>
      </c>
      <c r="BE191" s="262">
        <f t="shared" si="78"/>
        <v>0</v>
      </c>
      <c r="BF191" s="262">
        <f t="shared" si="79"/>
        <v>50</v>
      </c>
      <c r="BG191" s="38">
        <f t="shared" si="80"/>
        <v>0.5</v>
      </c>
      <c r="BH191" s="255">
        <f t="shared" si="81"/>
        <v>320892728</v>
      </c>
      <c r="BI191" s="256">
        <f t="shared" si="82"/>
        <v>11.376600501408955</v>
      </c>
      <c r="BJ191" s="256">
        <f t="shared" si="85"/>
        <v>100</v>
      </c>
      <c r="BK191" s="55">
        <f t="shared" si="83"/>
        <v>2</v>
      </c>
      <c r="BL191" s="137">
        <f t="shared" si="86"/>
        <v>10.349564099727225</v>
      </c>
    </row>
    <row r="192" spans="1:64" x14ac:dyDescent="0.6">
      <c r="A192" s="214" t="s">
        <v>1750</v>
      </c>
      <c r="B192" s="13" t="s">
        <v>2172</v>
      </c>
      <c r="C192" s="219" t="s">
        <v>1751</v>
      </c>
      <c r="D192" s="14" t="s">
        <v>202</v>
      </c>
      <c r="E192" s="217" t="s">
        <v>954</v>
      </c>
      <c r="F192" s="217" t="s">
        <v>1752</v>
      </c>
      <c r="G192" s="218">
        <v>32455</v>
      </c>
      <c r="H192" s="217" t="s">
        <v>830</v>
      </c>
      <c r="I192" s="217" t="s">
        <v>1753</v>
      </c>
      <c r="J192" s="1" t="s">
        <v>3723</v>
      </c>
      <c r="K192" s="217" t="s">
        <v>308</v>
      </c>
      <c r="L192" s="220">
        <v>1914532174</v>
      </c>
      <c r="M192" s="206">
        <v>433489874</v>
      </c>
      <c r="N192" s="206">
        <v>1481042299</v>
      </c>
      <c r="O192" s="206">
        <v>2351608869</v>
      </c>
      <c r="P192" s="206">
        <v>172143218</v>
      </c>
      <c r="Q192" s="206">
        <v>206431272</v>
      </c>
      <c r="R192" s="206">
        <v>163552128</v>
      </c>
      <c r="S192" s="105">
        <v>1</v>
      </c>
      <c r="T192" s="254">
        <f t="shared" si="58"/>
        <v>100</v>
      </c>
      <c r="U192" s="107">
        <f t="shared" si="59"/>
        <v>1</v>
      </c>
      <c r="V192" s="45">
        <f>370+176</f>
        <v>546</v>
      </c>
      <c r="W192" s="45">
        <f>367+169</f>
        <v>536</v>
      </c>
      <c r="X192" s="255">
        <f t="shared" si="60"/>
        <v>-10</v>
      </c>
      <c r="Y192" s="255">
        <f t="shared" si="61"/>
        <v>-36</v>
      </c>
      <c r="Z192" s="256">
        <f t="shared" si="62"/>
        <v>-1000</v>
      </c>
      <c r="AA192" s="257">
        <f t="shared" si="63"/>
        <v>20</v>
      </c>
      <c r="AB192" s="116">
        <f t="shared" si="64"/>
        <v>0.2</v>
      </c>
      <c r="AC192" s="123">
        <v>3880</v>
      </c>
      <c r="AD192" s="123">
        <v>3844</v>
      </c>
      <c r="AE192" s="257">
        <f t="shared" si="65"/>
        <v>-36</v>
      </c>
      <c r="AF192" s="258">
        <f t="shared" si="66"/>
        <v>-0.92783505154639179</v>
      </c>
      <c r="AG192" s="257">
        <f t="shared" si="67"/>
        <v>20</v>
      </c>
      <c r="AH192" s="124">
        <f t="shared" si="68"/>
        <v>0.8</v>
      </c>
      <c r="AI192" s="105">
        <v>0</v>
      </c>
      <c r="AJ192" s="105">
        <v>0</v>
      </c>
      <c r="AK192" s="105">
        <v>0</v>
      </c>
      <c r="AL192" s="105">
        <v>0</v>
      </c>
      <c r="AM192" s="260">
        <f t="shared" si="69"/>
        <v>0</v>
      </c>
      <c r="AN192" s="260">
        <f t="shared" si="70"/>
        <v>20</v>
      </c>
      <c r="AO192" s="130">
        <f t="shared" si="71"/>
        <v>0.2</v>
      </c>
      <c r="AP192" s="106">
        <v>119524</v>
      </c>
      <c r="AQ192" s="261">
        <f t="shared" si="84"/>
        <v>7.3080064112647919E-2</v>
      </c>
      <c r="AR192" s="261">
        <f t="shared" si="72"/>
        <v>26.096200961689718</v>
      </c>
      <c r="AS192" s="107">
        <f t="shared" si="73"/>
        <v>1.0438480384675888</v>
      </c>
      <c r="AT192" s="105">
        <v>0</v>
      </c>
      <c r="AU192" s="105">
        <v>1</v>
      </c>
      <c r="AV192" s="262">
        <f t="shared" si="74"/>
        <v>25</v>
      </c>
      <c r="AW192" s="134">
        <v>5</v>
      </c>
      <c r="AX192" s="447" t="s">
        <v>3724</v>
      </c>
      <c r="AY192" s="262">
        <f t="shared" si="75"/>
        <v>50</v>
      </c>
      <c r="AZ192" s="262">
        <f t="shared" si="76"/>
        <v>75</v>
      </c>
      <c r="BA192" s="38">
        <f t="shared" si="77"/>
        <v>0.75</v>
      </c>
      <c r="BB192" s="105">
        <v>0</v>
      </c>
      <c r="BC192" s="105">
        <v>0</v>
      </c>
      <c r="BD192" s="105">
        <v>0</v>
      </c>
      <c r="BE192" s="262">
        <f t="shared" si="78"/>
        <v>0</v>
      </c>
      <c r="BF192" s="262">
        <f t="shared" si="79"/>
        <v>50</v>
      </c>
      <c r="BG192" s="38">
        <f t="shared" si="80"/>
        <v>0.5</v>
      </c>
      <c r="BH192" s="255">
        <f t="shared" si="81"/>
        <v>42879144</v>
      </c>
      <c r="BI192" s="256">
        <f t="shared" si="82"/>
        <v>1.8233960827947533</v>
      </c>
      <c r="BJ192" s="256">
        <f t="shared" si="85"/>
        <v>38.675470620960652</v>
      </c>
      <c r="BK192" s="55">
        <f t="shared" si="83"/>
        <v>0.77350941241921312</v>
      </c>
      <c r="BL192" s="137">
        <f t="shared" si="86"/>
        <v>5.2673574508868022</v>
      </c>
    </row>
    <row r="193" spans="1:64" x14ac:dyDescent="0.6">
      <c r="A193" s="214" t="s">
        <v>789</v>
      </c>
      <c r="B193" s="13" t="s">
        <v>2173</v>
      </c>
      <c r="C193" s="219" t="s">
        <v>448</v>
      </c>
      <c r="D193" s="216" t="s">
        <v>285</v>
      </c>
      <c r="E193" s="217" t="s">
        <v>624</v>
      </c>
      <c r="F193" s="217" t="s">
        <v>1186</v>
      </c>
      <c r="G193" s="218">
        <v>35094</v>
      </c>
      <c r="H193" s="217" t="s">
        <v>830</v>
      </c>
      <c r="I193" s="217" t="s">
        <v>579</v>
      </c>
      <c r="J193" s="217" t="s">
        <v>964</v>
      </c>
      <c r="K193" s="217" t="s">
        <v>91</v>
      </c>
      <c r="L193" s="220">
        <v>1985699161</v>
      </c>
      <c r="M193" s="206">
        <v>512258282</v>
      </c>
      <c r="N193" s="206">
        <v>1473440879</v>
      </c>
      <c r="O193" s="206">
        <v>2427260264</v>
      </c>
      <c r="P193" s="206">
        <v>192825146</v>
      </c>
      <c r="Q193" s="206">
        <v>188400341</v>
      </c>
      <c r="R193" s="206">
        <v>141531341</v>
      </c>
      <c r="S193" s="105">
        <v>1</v>
      </c>
      <c r="T193" s="254">
        <f t="shared" si="58"/>
        <v>100</v>
      </c>
      <c r="U193" s="107">
        <f t="shared" si="59"/>
        <v>1</v>
      </c>
      <c r="V193" s="45">
        <v>480</v>
      </c>
      <c r="W193" s="45">
        <f>469+3</f>
        <v>472</v>
      </c>
      <c r="X193" s="255">
        <f t="shared" si="60"/>
        <v>-8</v>
      </c>
      <c r="Y193" s="255">
        <f t="shared" si="61"/>
        <v>47</v>
      </c>
      <c r="Z193" s="256">
        <f t="shared" si="62"/>
        <v>-17.021276595744681</v>
      </c>
      <c r="AA193" s="257">
        <f t="shared" si="63"/>
        <v>20</v>
      </c>
      <c r="AB193" s="116">
        <f t="shared" si="64"/>
        <v>0.2</v>
      </c>
      <c r="AC193" s="123">
        <v>6478</v>
      </c>
      <c r="AD193" s="123">
        <f>6522+3</f>
        <v>6525</v>
      </c>
      <c r="AE193" s="257">
        <f t="shared" si="65"/>
        <v>47</v>
      </c>
      <c r="AF193" s="258">
        <f t="shared" si="66"/>
        <v>0.72553257178141406</v>
      </c>
      <c r="AG193" s="257">
        <f t="shared" si="67"/>
        <v>60</v>
      </c>
      <c r="AH193" s="124">
        <f t="shared" si="68"/>
        <v>2.4</v>
      </c>
      <c r="AI193" s="105">
        <v>0</v>
      </c>
      <c r="AJ193" s="105">
        <v>0</v>
      </c>
      <c r="AK193" s="105">
        <v>0</v>
      </c>
      <c r="AL193" s="105">
        <v>0</v>
      </c>
      <c r="AM193" s="260">
        <f t="shared" si="69"/>
        <v>0</v>
      </c>
      <c r="AN193" s="260">
        <f t="shared" si="70"/>
        <v>20</v>
      </c>
      <c r="AO193" s="130">
        <f t="shared" si="71"/>
        <v>0.2</v>
      </c>
      <c r="AP193" s="106">
        <v>945531</v>
      </c>
      <c r="AQ193" s="261">
        <f t="shared" si="84"/>
        <v>0.66807181598032062</v>
      </c>
      <c r="AR193" s="261">
        <f t="shared" si="72"/>
        <v>35.021077239704809</v>
      </c>
      <c r="AS193" s="107">
        <f t="shared" si="73"/>
        <v>1.4008430895881925</v>
      </c>
      <c r="AT193" s="105">
        <v>0</v>
      </c>
      <c r="AU193" s="105">
        <v>1</v>
      </c>
      <c r="AV193" s="262">
        <f t="shared" si="74"/>
        <v>25</v>
      </c>
      <c r="AW193" s="134">
        <v>0</v>
      </c>
      <c r="AX193" s="134"/>
      <c r="AY193" s="262">
        <f t="shared" si="75"/>
        <v>0</v>
      </c>
      <c r="AZ193" s="262">
        <f t="shared" si="76"/>
        <v>25</v>
      </c>
      <c r="BA193" s="38">
        <f t="shared" si="77"/>
        <v>0.25</v>
      </c>
      <c r="BB193" s="105">
        <v>0</v>
      </c>
      <c r="BC193" s="105">
        <v>0</v>
      </c>
      <c r="BD193" s="105">
        <v>0</v>
      </c>
      <c r="BE193" s="262">
        <f t="shared" si="78"/>
        <v>0</v>
      </c>
      <c r="BF193" s="262">
        <f t="shared" si="79"/>
        <v>50</v>
      </c>
      <c r="BG193" s="38">
        <f t="shared" si="80"/>
        <v>0.5</v>
      </c>
      <c r="BH193" s="255">
        <f t="shared" si="81"/>
        <v>46869000</v>
      </c>
      <c r="BI193" s="256">
        <f t="shared" si="82"/>
        <v>1.9309424990446762</v>
      </c>
      <c r="BJ193" s="256">
        <f t="shared" si="85"/>
        <v>39.482068742835068</v>
      </c>
      <c r="BK193" s="55">
        <f t="shared" si="83"/>
        <v>0.78964137485670138</v>
      </c>
      <c r="BL193" s="137">
        <f t="shared" si="86"/>
        <v>6.7404844644448936</v>
      </c>
    </row>
    <row r="194" spans="1:64" x14ac:dyDescent="0.6">
      <c r="A194" s="214" t="s">
        <v>1755</v>
      </c>
      <c r="B194" s="13" t="s">
        <v>2174</v>
      </c>
      <c r="C194" s="219" t="s">
        <v>533</v>
      </c>
      <c r="D194" s="221" t="s">
        <v>481</v>
      </c>
      <c r="E194" s="217" t="s">
        <v>604</v>
      </c>
      <c r="F194" s="217" t="s">
        <v>268</v>
      </c>
      <c r="G194" s="218">
        <v>44155</v>
      </c>
      <c r="H194" s="217" t="s">
        <v>830</v>
      </c>
      <c r="I194" s="217" t="s">
        <v>955</v>
      </c>
      <c r="J194" s="1" t="s">
        <v>2305</v>
      </c>
      <c r="K194" s="217" t="s">
        <v>91</v>
      </c>
      <c r="L194" s="220">
        <v>204362337</v>
      </c>
      <c r="M194" s="206">
        <v>77627222</v>
      </c>
      <c r="N194" s="206">
        <v>126735115</v>
      </c>
      <c r="O194" s="206">
        <v>230018279</v>
      </c>
      <c r="P194" s="206">
        <v>3054336</v>
      </c>
      <c r="Q194" s="206">
        <v>41586408</v>
      </c>
      <c r="R194" s="206">
        <v>32212761</v>
      </c>
      <c r="S194" s="105">
        <v>1</v>
      </c>
      <c r="T194" s="254">
        <f t="shared" ref="T194:T257" si="87">IF(S194=1, 100, 0)</f>
        <v>100</v>
      </c>
      <c r="U194" s="107">
        <f t="shared" ref="U194:U257" si="88">T194*0.01</f>
        <v>1</v>
      </c>
      <c r="V194" s="45">
        <v>250</v>
      </c>
      <c r="W194" s="45">
        <v>230</v>
      </c>
      <c r="X194" s="255">
        <f t="shared" ref="X194:X257" si="89">W194-V194</f>
        <v>-20</v>
      </c>
      <c r="Y194" s="255">
        <f t="shared" ref="Y194:Y257" si="90">AD194-AC194</f>
        <v>-31</v>
      </c>
      <c r="Z194" s="256">
        <f t="shared" ref="Z194:Z257" si="91">IF(Y194&lt;1, X194*100, (X194/Y194)*100)</f>
        <v>-2000</v>
      </c>
      <c r="AA194" s="257">
        <f t="shared" ref="AA194:AA257" si="92">IF(Z194&lt;10, 20, IF(Z194&lt;20, 40, IF(Z194&lt;30, 60, IF(Z194&lt;40, 80, IF(Z194&gt;=40, 100)))))</f>
        <v>20</v>
      </c>
      <c r="AB194" s="116">
        <f t="shared" ref="AB194:AB257" si="93">AA194*0.01</f>
        <v>0.2</v>
      </c>
      <c r="AC194" s="123">
        <v>386</v>
      </c>
      <c r="AD194" s="123">
        <v>355</v>
      </c>
      <c r="AE194" s="257">
        <f t="shared" ref="AE194:AE257" si="94">AD194-AC194</f>
        <v>-31</v>
      </c>
      <c r="AF194" s="258">
        <f t="shared" ref="AF194:AF257" si="95">(AE194/AC194)*100</f>
        <v>-8.0310880829015545</v>
      </c>
      <c r="AG194" s="257">
        <f t="shared" ref="AG194:AG257" si="96">IF(AF194&lt;0, 20, IF(AF194&lt;0.5, 40, IF(AF194&lt;1.5, 60, IF(AF194&lt;2.5, 80, IF(AF194&gt;=2.5, 100)))))</f>
        <v>20</v>
      </c>
      <c r="AH194" s="124">
        <f t="shared" ref="AH194:AH257" si="97">AG194*0.04</f>
        <v>0.8</v>
      </c>
      <c r="AI194" s="105">
        <v>0</v>
      </c>
      <c r="AJ194" s="105">
        <v>0</v>
      </c>
      <c r="AK194" s="105">
        <v>0</v>
      </c>
      <c r="AL194" s="105">
        <v>0</v>
      </c>
      <c r="AM194" s="260">
        <f t="shared" ref="AM194:AM257" si="98">SUM(AI194:AL194)</f>
        <v>0</v>
      </c>
      <c r="AN194" s="260">
        <f t="shared" ref="AN194:AN257" si="99">IF(AM194=4, 100, IF(AM194=3, 80, IF(AM194=2, 60, IF(AM194=1, 40, 20))))</f>
        <v>20</v>
      </c>
      <c r="AO194" s="130">
        <f t="shared" ref="AO194:AO257" si="100">AN194*0.01</f>
        <v>0.2</v>
      </c>
      <c r="AP194" s="447">
        <v>1000</v>
      </c>
      <c r="AQ194" s="261">
        <f t="shared" si="84"/>
        <v>3.1043597908294788E-3</v>
      </c>
      <c r="AR194" s="261">
        <f t="shared" ref="AR194:AR257" si="101">IF((25+((75*(AQ194-0)/(5-0))))&gt;100, 100, IF((25+((75*(AQ194-0)/(5-0))))&lt;25, 25, (25+((75*(AQ194-0)/(5-0))))))</f>
        <v>25.046565396862441</v>
      </c>
      <c r="AS194" s="107">
        <f t="shared" ref="AS194:AS257" si="102">AR194*0.04</f>
        <v>1.0018626158744977</v>
      </c>
      <c r="AT194" s="105">
        <v>0</v>
      </c>
      <c r="AU194" s="105">
        <v>1</v>
      </c>
      <c r="AV194" s="262">
        <f t="shared" ref="AV194:AV257" si="103">IF((AT194+AU194)=2, 50, IF((AT194+AU194)=1, 25, 0))</f>
        <v>25</v>
      </c>
      <c r="AW194" s="134">
        <v>0</v>
      </c>
      <c r="AX194" s="134"/>
      <c r="AY194" s="262">
        <f t="shared" ref="AY194:AY257" si="104">IF(AW194&gt;=3, 50, IF(AW194&gt;=1, 25, 0))</f>
        <v>0</v>
      </c>
      <c r="AZ194" s="262">
        <f t="shared" ref="AZ194:AZ257" si="105">AV194+AY194</f>
        <v>25</v>
      </c>
      <c r="BA194" s="38">
        <f t="shared" ref="BA194:BA257" si="106">AZ194*0.01</f>
        <v>0.25</v>
      </c>
      <c r="BB194" s="105">
        <v>0</v>
      </c>
      <c r="BC194" s="105">
        <v>0</v>
      </c>
      <c r="BD194" s="105">
        <v>0</v>
      </c>
      <c r="BE194" s="262">
        <f t="shared" ref="BE194:BE257" si="107">SUM(BB194:BD194)</f>
        <v>0</v>
      </c>
      <c r="BF194" s="262">
        <f t="shared" ref="BF194:BF257" si="108">IF(BE194&gt;=1, 100, 50)</f>
        <v>50</v>
      </c>
      <c r="BG194" s="38">
        <f t="shared" ref="BG194:BG257" si="109">BF194*0.01</f>
        <v>0.5</v>
      </c>
      <c r="BH194" s="255">
        <f t="shared" ref="BH194:BH257" si="110">Q194-R194</f>
        <v>9373647</v>
      </c>
      <c r="BI194" s="256">
        <f t="shared" ref="BI194:BI257" si="111">BH194/O194*100</f>
        <v>4.0751748255624509</v>
      </c>
      <c r="BJ194" s="256">
        <f t="shared" si="85"/>
        <v>55.563811191718386</v>
      </c>
      <c r="BK194" s="55">
        <f t="shared" ref="BK194:BK257" si="112">BJ194*0.02</f>
        <v>1.1112762238343679</v>
      </c>
      <c r="BL194" s="137">
        <f t="shared" si="86"/>
        <v>5.0631388397088655</v>
      </c>
    </row>
    <row r="195" spans="1:64" x14ac:dyDescent="0.6">
      <c r="A195" s="214" t="s">
        <v>813</v>
      </c>
      <c r="B195" s="13" t="s">
        <v>2175</v>
      </c>
      <c r="C195" s="219" t="s">
        <v>428</v>
      </c>
      <c r="D195" s="216" t="s">
        <v>203</v>
      </c>
      <c r="E195" s="217" t="s">
        <v>246</v>
      </c>
      <c r="F195" s="217" t="s">
        <v>394</v>
      </c>
      <c r="G195" s="218">
        <v>25454</v>
      </c>
      <c r="H195" s="217" t="s">
        <v>830</v>
      </c>
      <c r="I195" s="217" t="s">
        <v>783</v>
      </c>
      <c r="J195" s="217" t="s">
        <v>1069</v>
      </c>
      <c r="K195" s="217" t="s">
        <v>690</v>
      </c>
      <c r="L195" s="220">
        <v>436729659</v>
      </c>
      <c r="M195" s="206">
        <v>131134120</v>
      </c>
      <c r="N195" s="206">
        <v>305595540</v>
      </c>
      <c r="O195" s="206">
        <v>388455876</v>
      </c>
      <c r="P195" s="206">
        <v>16230918</v>
      </c>
      <c r="Q195" s="206">
        <v>19676309</v>
      </c>
      <c r="R195" s="206">
        <v>17916229</v>
      </c>
      <c r="S195" s="105">
        <v>1</v>
      </c>
      <c r="T195" s="254">
        <f t="shared" si="87"/>
        <v>100</v>
      </c>
      <c r="U195" s="107">
        <f t="shared" si="88"/>
        <v>1</v>
      </c>
      <c r="V195" s="45">
        <v>20</v>
      </c>
      <c r="W195" s="45">
        <v>24</v>
      </c>
      <c r="X195" s="255">
        <f t="shared" si="89"/>
        <v>4</v>
      </c>
      <c r="Y195" s="255">
        <f t="shared" si="90"/>
        <v>10</v>
      </c>
      <c r="Z195" s="256">
        <f t="shared" si="91"/>
        <v>40</v>
      </c>
      <c r="AA195" s="257">
        <f t="shared" si="92"/>
        <v>100</v>
      </c>
      <c r="AB195" s="116">
        <f t="shared" si="93"/>
        <v>1</v>
      </c>
      <c r="AC195" s="123">
        <v>215</v>
      </c>
      <c r="AD195" s="123">
        <v>225</v>
      </c>
      <c r="AE195" s="257">
        <f t="shared" si="94"/>
        <v>10</v>
      </c>
      <c r="AF195" s="258">
        <f t="shared" si="95"/>
        <v>4.6511627906976747</v>
      </c>
      <c r="AG195" s="257">
        <f t="shared" si="96"/>
        <v>100</v>
      </c>
      <c r="AH195" s="124">
        <f t="shared" si="97"/>
        <v>4</v>
      </c>
      <c r="AI195" s="105">
        <v>0</v>
      </c>
      <c r="AJ195" s="105">
        <v>0</v>
      </c>
      <c r="AK195" s="105">
        <v>0</v>
      </c>
      <c r="AL195" s="105">
        <v>0</v>
      </c>
      <c r="AM195" s="260">
        <f t="shared" si="98"/>
        <v>0</v>
      </c>
      <c r="AN195" s="260">
        <f t="shared" si="99"/>
        <v>20</v>
      </c>
      <c r="AO195" s="130">
        <f t="shared" si="100"/>
        <v>0.2</v>
      </c>
      <c r="AP195" s="106">
        <v>0</v>
      </c>
      <c r="AQ195" s="261">
        <f t="shared" ref="AQ195:AQ258" si="113">(AP195/R195)*100</f>
        <v>0</v>
      </c>
      <c r="AR195" s="261">
        <f t="shared" si="101"/>
        <v>25</v>
      </c>
      <c r="AS195" s="107">
        <f t="shared" si="102"/>
        <v>1</v>
      </c>
      <c r="AT195" s="105">
        <v>0</v>
      </c>
      <c r="AU195" s="105">
        <v>1</v>
      </c>
      <c r="AV195" s="262">
        <f t="shared" si="103"/>
        <v>25</v>
      </c>
      <c r="AW195" s="134">
        <v>0</v>
      </c>
      <c r="AX195" s="134"/>
      <c r="AY195" s="262">
        <f t="shared" si="104"/>
        <v>0</v>
      </c>
      <c r="AZ195" s="262">
        <f t="shared" si="105"/>
        <v>25</v>
      </c>
      <c r="BA195" s="38">
        <f t="shared" si="106"/>
        <v>0.25</v>
      </c>
      <c r="BB195" s="105">
        <v>0</v>
      </c>
      <c r="BC195" s="105">
        <v>0</v>
      </c>
      <c r="BD195" s="105">
        <v>0</v>
      </c>
      <c r="BE195" s="262">
        <f t="shared" si="107"/>
        <v>0</v>
      </c>
      <c r="BF195" s="262">
        <f t="shared" si="108"/>
        <v>50</v>
      </c>
      <c r="BG195" s="38">
        <f t="shared" si="109"/>
        <v>0.5</v>
      </c>
      <c r="BH195" s="255">
        <f t="shared" si="110"/>
        <v>1760080</v>
      </c>
      <c r="BI195" s="256">
        <f t="shared" si="111"/>
        <v>0.45309650561187542</v>
      </c>
      <c r="BJ195" s="256">
        <f t="shared" ref="BJ195:BJ258" si="114">IF((25+((75*(BI195-0))/(10-0)))&gt;100, 100, IF((25+((75*(BI195-0))/(10-0)))&lt;25, 25, (25+((75*(BI195-0))/(10-0)))))</f>
        <v>28.398223792089066</v>
      </c>
      <c r="BK195" s="55">
        <f t="shared" si="112"/>
        <v>0.56796447584178134</v>
      </c>
      <c r="BL195" s="137">
        <f t="shared" ref="BL195:BL258" si="115">U195+AB195+AH195+AO195+AS195+BA195+BG195+BK195</f>
        <v>8.5179644758417812</v>
      </c>
    </row>
    <row r="196" spans="1:64" x14ac:dyDescent="0.6">
      <c r="A196" s="214" t="s">
        <v>1757</v>
      </c>
      <c r="B196" s="13" t="s">
        <v>2176</v>
      </c>
      <c r="C196" s="219" t="s">
        <v>1758</v>
      </c>
      <c r="D196" s="14" t="s">
        <v>202</v>
      </c>
      <c r="E196" s="217" t="s">
        <v>593</v>
      </c>
      <c r="F196" s="217" t="s">
        <v>1759</v>
      </c>
      <c r="G196" s="218">
        <v>44383</v>
      </c>
      <c r="H196" s="217" t="s">
        <v>830</v>
      </c>
      <c r="I196" s="217" t="s">
        <v>1760</v>
      </c>
      <c r="J196" s="1" t="s">
        <v>3725</v>
      </c>
      <c r="K196" s="217" t="s">
        <v>346</v>
      </c>
      <c r="L196" s="220">
        <v>490185292</v>
      </c>
      <c r="M196" s="206">
        <v>160877015</v>
      </c>
      <c r="N196" s="206">
        <v>329308277</v>
      </c>
      <c r="O196" s="206">
        <v>853045926</v>
      </c>
      <c r="P196" s="206">
        <v>11254172</v>
      </c>
      <c r="Q196" s="206">
        <v>25536401</v>
      </c>
      <c r="R196" s="206">
        <v>19988516</v>
      </c>
      <c r="S196" s="105">
        <v>1</v>
      </c>
      <c r="T196" s="254">
        <f t="shared" si="87"/>
        <v>100</v>
      </c>
      <c r="U196" s="107">
        <f t="shared" si="88"/>
        <v>1</v>
      </c>
      <c r="V196" s="45">
        <v>93</v>
      </c>
      <c r="W196" s="45">
        <v>68</v>
      </c>
      <c r="X196" s="255">
        <f t="shared" si="89"/>
        <v>-25</v>
      </c>
      <c r="Y196" s="255">
        <f t="shared" si="90"/>
        <v>-25</v>
      </c>
      <c r="Z196" s="256">
        <f t="shared" si="91"/>
        <v>-2500</v>
      </c>
      <c r="AA196" s="257">
        <f t="shared" si="92"/>
        <v>20</v>
      </c>
      <c r="AB196" s="116">
        <f t="shared" si="93"/>
        <v>0.2</v>
      </c>
      <c r="AC196" s="123">
        <v>455</v>
      </c>
      <c r="AD196" s="123">
        <v>430</v>
      </c>
      <c r="AE196" s="257">
        <f t="shared" si="94"/>
        <v>-25</v>
      </c>
      <c r="AF196" s="258">
        <f t="shared" si="95"/>
        <v>-5.4945054945054945</v>
      </c>
      <c r="AG196" s="257">
        <f t="shared" si="96"/>
        <v>20</v>
      </c>
      <c r="AH196" s="124">
        <f t="shared" si="97"/>
        <v>0.8</v>
      </c>
      <c r="AI196" s="105">
        <v>0</v>
      </c>
      <c r="AJ196" s="105">
        <v>0</v>
      </c>
      <c r="AK196" s="105">
        <v>0</v>
      </c>
      <c r="AL196" s="105">
        <v>0</v>
      </c>
      <c r="AM196" s="260">
        <f t="shared" si="98"/>
        <v>0</v>
      </c>
      <c r="AN196" s="260">
        <f t="shared" si="99"/>
        <v>20</v>
      </c>
      <c r="AO196" s="130">
        <f t="shared" si="100"/>
        <v>0.2</v>
      </c>
      <c r="AP196" s="106">
        <v>300</v>
      </c>
      <c r="AQ196" s="261">
        <f t="shared" si="113"/>
        <v>1.5008617948425987E-3</v>
      </c>
      <c r="AR196" s="261">
        <f t="shared" si="101"/>
        <v>25.022512926922641</v>
      </c>
      <c r="AS196" s="107">
        <f t="shared" si="102"/>
        <v>1.0009005170769056</v>
      </c>
      <c r="AT196" s="105">
        <v>0</v>
      </c>
      <c r="AU196" s="105">
        <v>0</v>
      </c>
      <c r="AV196" s="262">
        <f t="shared" si="103"/>
        <v>0</v>
      </c>
      <c r="AW196" s="134">
        <v>0</v>
      </c>
      <c r="AX196" s="134"/>
      <c r="AY196" s="262">
        <f t="shared" si="104"/>
        <v>0</v>
      </c>
      <c r="AZ196" s="262">
        <f t="shared" si="105"/>
        <v>0</v>
      </c>
      <c r="BA196" s="38">
        <f t="shared" si="106"/>
        <v>0</v>
      </c>
      <c r="BB196" s="105">
        <v>0</v>
      </c>
      <c r="BC196" s="105">
        <v>0</v>
      </c>
      <c r="BD196" s="105">
        <v>0</v>
      </c>
      <c r="BE196" s="262">
        <f t="shared" si="107"/>
        <v>0</v>
      </c>
      <c r="BF196" s="262">
        <f t="shared" si="108"/>
        <v>50</v>
      </c>
      <c r="BG196" s="38">
        <f t="shared" si="109"/>
        <v>0.5</v>
      </c>
      <c r="BH196" s="255">
        <f t="shared" si="110"/>
        <v>5547885</v>
      </c>
      <c r="BI196" s="256">
        <f t="shared" si="111"/>
        <v>0.65036181885475652</v>
      </c>
      <c r="BJ196" s="256">
        <f t="shared" si="114"/>
        <v>29.877713641410672</v>
      </c>
      <c r="BK196" s="55">
        <f t="shared" si="112"/>
        <v>0.5975542728282135</v>
      </c>
      <c r="BL196" s="137">
        <f t="shared" si="115"/>
        <v>4.2984547899051186</v>
      </c>
    </row>
    <row r="197" spans="1:64" x14ac:dyDescent="0.6">
      <c r="A197" s="214" t="s">
        <v>524</v>
      </c>
      <c r="B197" s="13" t="s">
        <v>2177</v>
      </c>
      <c r="C197" s="219" t="s">
        <v>905</v>
      </c>
      <c r="D197" s="216" t="s">
        <v>203</v>
      </c>
      <c r="E197" s="217" t="s">
        <v>246</v>
      </c>
      <c r="F197" s="217" t="s">
        <v>1190</v>
      </c>
      <c r="G197" s="218">
        <v>35669</v>
      </c>
      <c r="H197" s="217" t="s">
        <v>830</v>
      </c>
      <c r="I197" s="217" t="s">
        <v>760</v>
      </c>
      <c r="J197" s="217" t="s">
        <v>1090</v>
      </c>
      <c r="K197" s="217" t="s">
        <v>317</v>
      </c>
      <c r="L197" s="220">
        <v>169880794</v>
      </c>
      <c r="M197" s="206">
        <v>10753658</v>
      </c>
      <c r="N197" s="206">
        <v>159127136</v>
      </c>
      <c r="O197" s="206">
        <v>80968867</v>
      </c>
      <c r="P197" s="206">
        <v>2227640</v>
      </c>
      <c r="Q197" s="206">
        <v>2895711</v>
      </c>
      <c r="R197" s="206">
        <v>2402054</v>
      </c>
      <c r="S197" s="105">
        <v>1</v>
      </c>
      <c r="T197" s="254">
        <f t="shared" si="87"/>
        <v>100</v>
      </c>
      <c r="U197" s="107">
        <f t="shared" si="88"/>
        <v>1</v>
      </c>
      <c r="V197" s="45">
        <v>11</v>
      </c>
      <c r="W197" s="45">
        <v>10</v>
      </c>
      <c r="X197" s="255">
        <f t="shared" si="89"/>
        <v>-1</v>
      </c>
      <c r="Y197" s="255">
        <f t="shared" si="90"/>
        <v>-4</v>
      </c>
      <c r="Z197" s="256">
        <f t="shared" si="91"/>
        <v>-100</v>
      </c>
      <c r="AA197" s="257">
        <f t="shared" si="92"/>
        <v>20</v>
      </c>
      <c r="AB197" s="116">
        <f t="shared" si="93"/>
        <v>0.2</v>
      </c>
      <c r="AC197" s="123">
        <v>262</v>
      </c>
      <c r="AD197" s="123">
        <v>258</v>
      </c>
      <c r="AE197" s="257">
        <f t="shared" si="94"/>
        <v>-4</v>
      </c>
      <c r="AF197" s="258">
        <f t="shared" si="95"/>
        <v>-1.5267175572519083</v>
      </c>
      <c r="AG197" s="257">
        <f t="shared" si="96"/>
        <v>20</v>
      </c>
      <c r="AH197" s="124">
        <f t="shared" si="97"/>
        <v>0.8</v>
      </c>
      <c r="AI197" s="105">
        <v>0</v>
      </c>
      <c r="AJ197" s="105">
        <v>0</v>
      </c>
      <c r="AK197" s="105">
        <v>0</v>
      </c>
      <c r="AL197" s="105">
        <v>0</v>
      </c>
      <c r="AM197" s="260">
        <f t="shared" si="98"/>
        <v>0</v>
      </c>
      <c r="AN197" s="260">
        <f t="shared" si="99"/>
        <v>20</v>
      </c>
      <c r="AO197" s="130">
        <f t="shared" si="100"/>
        <v>0.2</v>
      </c>
      <c r="AP197" s="106">
        <v>124011</v>
      </c>
      <c r="AQ197" s="261">
        <f t="shared" si="113"/>
        <v>5.1627065836155221</v>
      </c>
      <c r="AR197" s="261">
        <f t="shared" si="101"/>
        <v>100</v>
      </c>
      <c r="AS197" s="107">
        <f t="shared" si="102"/>
        <v>4</v>
      </c>
      <c r="AT197" s="105">
        <v>0</v>
      </c>
      <c r="AU197" s="105">
        <v>1</v>
      </c>
      <c r="AV197" s="262">
        <f t="shared" si="103"/>
        <v>25</v>
      </c>
      <c r="AW197" s="134">
        <v>2</v>
      </c>
      <c r="AX197" s="134" t="s">
        <v>3598</v>
      </c>
      <c r="AY197" s="262">
        <f t="shared" si="104"/>
        <v>25</v>
      </c>
      <c r="AZ197" s="262">
        <f t="shared" si="105"/>
        <v>50</v>
      </c>
      <c r="BA197" s="38">
        <f t="shared" si="106"/>
        <v>0.5</v>
      </c>
      <c r="BB197" s="105">
        <v>0</v>
      </c>
      <c r="BC197" s="105">
        <v>0</v>
      </c>
      <c r="BD197" s="105">
        <v>0</v>
      </c>
      <c r="BE197" s="262">
        <f t="shared" si="107"/>
        <v>0</v>
      </c>
      <c r="BF197" s="262">
        <f t="shared" si="108"/>
        <v>50</v>
      </c>
      <c r="BG197" s="38">
        <f t="shared" si="109"/>
        <v>0.5</v>
      </c>
      <c r="BH197" s="255">
        <f t="shared" si="110"/>
        <v>493657</v>
      </c>
      <c r="BI197" s="256">
        <f t="shared" si="111"/>
        <v>0.60968742467397996</v>
      </c>
      <c r="BJ197" s="256">
        <f t="shared" si="114"/>
        <v>29.572655685054848</v>
      </c>
      <c r="BK197" s="55">
        <f t="shared" si="112"/>
        <v>0.59145311370109699</v>
      </c>
      <c r="BL197" s="137">
        <f t="shared" si="115"/>
        <v>7.7914531137010972</v>
      </c>
    </row>
    <row r="198" spans="1:64" x14ac:dyDescent="0.6">
      <c r="A198" s="214" t="s">
        <v>506</v>
      </c>
      <c r="B198" s="13" t="s">
        <v>2178</v>
      </c>
      <c r="C198" s="219" t="s">
        <v>453</v>
      </c>
      <c r="D198" s="216" t="s">
        <v>285</v>
      </c>
      <c r="E198" s="217" t="s">
        <v>245</v>
      </c>
      <c r="F198" s="217" t="s">
        <v>344</v>
      </c>
      <c r="G198" s="218">
        <v>40024</v>
      </c>
      <c r="H198" s="217" t="s">
        <v>830</v>
      </c>
      <c r="I198" s="217" t="s">
        <v>724</v>
      </c>
      <c r="J198" s="1" t="s">
        <v>2306</v>
      </c>
      <c r="K198" s="217" t="s">
        <v>91</v>
      </c>
      <c r="L198" s="220">
        <v>1895028518</v>
      </c>
      <c r="M198" s="206">
        <v>309482206</v>
      </c>
      <c r="N198" s="206">
        <v>1585546312</v>
      </c>
      <c r="O198" s="206">
        <v>2130649097</v>
      </c>
      <c r="P198" s="206">
        <v>241563536</v>
      </c>
      <c r="Q198" s="206">
        <v>256945444</v>
      </c>
      <c r="R198" s="206">
        <v>204214530</v>
      </c>
      <c r="S198" s="105">
        <v>1</v>
      </c>
      <c r="T198" s="254">
        <f t="shared" si="87"/>
        <v>100</v>
      </c>
      <c r="U198" s="107">
        <f t="shared" si="88"/>
        <v>1</v>
      </c>
      <c r="V198" s="45">
        <v>175</v>
      </c>
      <c r="W198" s="45">
        <v>178</v>
      </c>
      <c r="X198" s="255">
        <f t="shared" si="89"/>
        <v>3</v>
      </c>
      <c r="Y198" s="255">
        <f t="shared" si="90"/>
        <v>-1</v>
      </c>
      <c r="Z198" s="256">
        <f t="shared" si="91"/>
        <v>300</v>
      </c>
      <c r="AA198" s="257">
        <f t="shared" si="92"/>
        <v>100</v>
      </c>
      <c r="AB198" s="116">
        <f t="shared" si="93"/>
        <v>1</v>
      </c>
      <c r="AC198" s="123">
        <v>246</v>
      </c>
      <c r="AD198" s="123">
        <v>245</v>
      </c>
      <c r="AE198" s="257">
        <f t="shared" si="94"/>
        <v>-1</v>
      </c>
      <c r="AF198" s="258">
        <f t="shared" si="95"/>
        <v>-0.40650406504065045</v>
      </c>
      <c r="AG198" s="257">
        <f t="shared" si="96"/>
        <v>20</v>
      </c>
      <c r="AH198" s="124">
        <f t="shared" si="97"/>
        <v>0.8</v>
      </c>
      <c r="AI198" s="105">
        <v>0</v>
      </c>
      <c r="AJ198" s="105">
        <v>0</v>
      </c>
      <c r="AK198" s="105">
        <v>0</v>
      </c>
      <c r="AL198" s="105">
        <v>0</v>
      </c>
      <c r="AM198" s="260">
        <f t="shared" si="98"/>
        <v>0</v>
      </c>
      <c r="AN198" s="260">
        <f t="shared" si="99"/>
        <v>20</v>
      </c>
      <c r="AO198" s="130">
        <f t="shared" si="100"/>
        <v>0.2</v>
      </c>
      <c r="AP198" s="106">
        <v>4613972</v>
      </c>
      <c r="AQ198" s="261">
        <f t="shared" si="113"/>
        <v>2.2593749817899833</v>
      </c>
      <c r="AR198" s="261">
        <f t="shared" si="101"/>
        <v>58.890624726849751</v>
      </c>
      <c r="AS198" s="107">
        <f t="shared" si="102"/>
        <v>2.35562498907399</v>
      </c>
      <c r="AT198" s="105">
        <v>0</v>
      </c>
      <c r="AU198" s="105">
        <v>1</v>
      </c>
      <c r="AV198" s="262">
        <f t="shared" si="103"/>
        <v>25</v>
      </c>
      <c r="AW198" s="134">
        <v>2</v>
      </c>
      <c r="AX198" s="134" t="s">
        <v>3599</v>
      </c>
      <c r="AY198" s="262">
        <f t="shared" si="104"/>
        <v>25</v>
      </c>
      <c r="AZ198" s="262">
        <f t="shared" si="105"/>
        <v>50</v>
      </c>
      <c r="BA198" s="38">
        <f t="shared" si="106"/>
        <v>0.5</v>
      </c>
      <c r="BB198" s="105">
        <v>0</v>
      </c>
      <c r="BC198" s="105">
        <v>0</v>
      </c>
      <c r="BD198" s="105">
        <v>0</v>
      </c>
      <c r="BE198" s="262">
        <f t="shared" si="107"/>
        <v>0</v>
      </c>
      <c r="BF198" s="262">
        <f t="shared" si="108"/>
        <v>50</v>
      </c>
      <c r="BG198" s="38">
        <f t="shared" si="109"/>
        <v>0.5</v>
      </c>
      <c r="BH198" s="255">
        <f t="shared" si="110"/>
        <v>52730914</v>
      </c>
      <c r="BI198" s="256">
        <f t="shared" si="111"/>
        <v>2.4748755707472556</v>
      </c>
      <c r="BJ198" s="256">
        <f t="shared" si="114"/>
        <v>43.561566780604416</v>
      </c>
      <c r="BK198" s="55">
        <f t="shared" si="112"/>
        <v>0.87123133561208832</v>
      </c>
      <c r="BL198" s="137">
        <f t="shared" si="115"/>
        <v>7.2268563246860777</v>
      </c>
    </row>
    <row r="199" spans="1:64" x14ac:dyDescent="0.6">
      <c r="A199" s="214" t="s">
        <v>1762</v>
      </c>
      <c r="B199" s="13" t="s">
        <v>2179</v>
      </c>
      <c r="C199" s="219" t="s">
        <v>864</v>
      </c>
      <c r="D199" s="216" t="s">
        <v>191</v>
      </c>
      <c r="E199" s="217" t="s">
        <v>1029</v>
      </c>
      <c r="F199" s="217" t="s">
        <v>1002</v>
      </c>
      <c r="G199" s="218">
        <v>35249</v>
      </c>
      <c r="H199" s="217" t="s">
        <v>830</v>
      </c>
      <c r="I199" s="217" t="s">
        <v>718</v>
      </c>
      <c r="J199" s="217" t="s">
        <v>1122</v>
      </c>
      <c r="K199" s="217" t="s">
        <v>690</v>
      </c>
      <c r="L199" s="220">
        <v>203654155</v>
      </c>
      <c r="M199" s="206">
        <v>67128963</v>
      </c>
      <c r="N199" s="206">
        <v>136525192</v>
      </c>
      <c r="O199" s="206">
        <v>105452639</v>
      </c>
      <c r="P199" s="206">
        <v>7856944</v>
      </c>
      <c r="Q199" s="206">
        <v>10061299</v>
      </c>
      <c r="R199" s="206">
        <v>7970141</v>
      </c>
      <c r="S199" s="105">
        <v>1</v>
      </c>
      <c r="T199" s="254">
        <f t="shared" si="87"/>
        <v>100</v>
      </c>
      <c r="U199" s="107">
        <f t="shared" si="88"/>
        <v>1</v>
      </c>
      <c r="V199" s="45">
        <v>7</v>
      </c>
      <c r="W199" s="45">
        <v>85</v>
      </c>
      <c r="X199" s="255">
        <f t="shared" si="89"/>
        <v>78</v>
      </c>
      <c r="Y199" s="255">
        <f t="shared" si="90"/>
        <v>-3</v>
      </c>
      <c r="Z199" s="256">
        <f t="shared" si="91"/>
        <v>7800</v>
      </c>
      <c r="AA199" s="257">
        <f t="shared" si="92"/>
        <v>100</v>
      </c>
      <c r="AB199" s="116">
        <f t="shared" si="93"/>
        <v>1</v>
      </c>
      <c r="AC199" s="123">
        <v>97</v>
      </c>
      <c r="AD199" s="123">
        <v>94</v>
      </c>
      <c r="AE199" s="257">
        <f t="shared" si="94"/>
        <v>-3</v>
      </c>
      <c r="AF199" s="258">
        <f t="shared" si="95"/>
        <v>-3.0927835051546393</v>
      </c>
      <c r="AG199" s="257">
        <f t="shared" si="96"/>
        <v>20</v>
      </c>
      <c r="AH199" s="124">
        <f t="shared" si="97"/>
        <v>0.8</v>
      </c>
      <c r="AI199" s="105">
        <v>0</v>
      </c>
      <c r="AJ199" s="105">
        <v>0</v>
      </c>
      <c r="AK199" s="105">
        <v>0</v>
      </c>
      <c r="AL199" s="105">
        <v>0</v>
      </c>
      <c r="AM199" s="260">
        <f t="shared" si="98"/>
        <v>0</v>
      </c>
      <c r="AN199" s="260">
        <f t="shared" si="99"/>
        <v>20</v>
      </c>
      <c r="AO199" s="130">
        <f t="shared" si="100"/>
        <v>0.2</v>
      </c>
      <c r="AP199" s="440">
        <v>0</v>
      </c>
      <c r="AQ199" s="261">
        <f t="shared" si="113"/>
        <v>0</v>
      </c>
      <c r="AR199" s="261">
        <f t="shared" si="101"/>
        <v>25</v>
      </c>
      <c r="AS199" s="107">
        <f t="shared" si="102"/>
        <v>1</v>
      </c>
      <c r="AT199" s="105">
        <v>0</v>
      </c>
      <c r="AU199" s="105">
        <v>1</v>
      </c>
      <c r="AV199" s="262">
        <f t="shared" si="103"/>
        <v>25</v>
      </c>
      <c r="AW199" s="134">
        <v>0</v>
      </c>
      <c r="AX199" s="134"/>
      <c r="AY199" s="262">
        <f t="shared" si="104"/>
        <v>0</v>
      </c>
      <c r="AZ199" s="262">
        <f t="shared" si="105"/>
        <v>25</v>
      </c>
      <c r="BA199" s="38">
        <f t="shared" si="106"/>
        <v>0.25</v>
      </c>
      <c r="BB199" s="105">
        <v>0</v>
      </c>
      <c r="BC199" s="105">
        <v>0</v>
      </c>
      <c r="BD199" s="105">
        <v>0</v>
      </c>
      <c r="BE199" s="262">
        <f t="shared" si="107"/>
        <v>0</v>
      </c>
      <c r="BF199" s="262">
        <f t="shared" si="108"/>
        <v>50</v>
      </c>
      <c r="BG199" s="38">
        <f t="shared" si="109"/>
        <v>0.5</v>
      </c>
      <c r="BH199" s="255">
        <f t="shared" si="110"/>
        <v>2091158</v>
      </c>
      <c r="BI199" s="256">
        <f t="shared" si="111"/>
        <v>1.9830305052868331</v>
      </c>
      <c r="BJ199" s="256">
        <f t="shared" si="114"/>
        <v>39.872728789651248</v>
      </c>
      <c r="BK199" s="55">
        <f t="shared" si="112"/>
        <v>0.79745457579302492</v>
      </c>
      <c r="BL199" s="137">
        <f t="shared" si="115"/>
        <v>5.5474545757930249</v>
      </c>
    </row>
    <row r="200" spans="1:64" x14ac:dyDescent="0.6">
      <c r="A200" s="214" t="s">
        <v>792</v>
      </c>
      <c r="B200" s="13" t="s">
        <v>2180</v>
      </c>
      <c r="C200" s="219" t="s">
        <v>518</v>
      </c>
      <c r="D200" s="216" t="s">
        <v>191</v>
      </c>
      <c r="E200" s="217" t="s">
        <v>178</v>
      </c>
      <c r="F200" s="217" t="s">
        <v>280</v>
      </c>
      <c r="G200" s="218">
        <v>42923</v>
      </c>
      <c r="H200" s="217" t="s">
        <v>830</v>
      </c>
      <c r="I200" s="217" t="s">
        <v>702</v>
      </c>
      <c r="J200" s="217" t="s">
        <v>1181</v>
      </c>
      <c r="K200" s="217" t="s">
        <v>91</v>
      </c>
      <c r="L200" s="220">
        <v>1228500766</v>
      </c>
      <c r="M200" s="206">
        <v>276810740</v>
      </c>
      <c r="N200" s="206">
        <v>951690026</v>
      </c>
      <c r="O200" s="206">
        <v>939112572</v>
      </c>
      <c r="P200" s="206">
        <v>140231959</v>
      </c>
      <c r="Q200" s="206">
        <v>140016468</v>
      </c>
      <c r="R200" s="206">
        <v>104657276</v>
      </c>
      <c r="S200" s="105">
        <v>1</v>
      </c>
      <c r="T200" s="254">
        <f t="shared" si="87"/>
        <v>100</v>
      </c>
      <c r="U200" s="107">
        <f t="shared" si="88"/>
        <v>1</v>
      </c>
      <c r="V200" s="45">
        <v>387</v>
      </c>
      <c r="W200" s="45">
        <f>160+83+137+1</f>
        <v>381</v>
      </c>
      <c r="X200" s="255">
        <f t="shared" si="89"/>
        <v>-6</v>
      </c>
      <c r="Y200" s="255">
        <f t="shared" si="90"/>
        <v>-38</v>
      </c>
      <c r="Z200" s="256">
        <f t="shared" si="91"/>
        <v>-600</v>
      </c>
      <c r="AA200" s="257">
        <f t="shared" si="92"/>
        <v>20</v>
      </c>
      <c r="AB200" s="116">
        <f t="shared" si="93"/>
        <v>0.2</v>
      </c>
      <c r="AC200" s="123">
        <v>1391</v>
      </c>
      <c r="AD200" s="123">
        <f>1352+1</f>
        <v>1353</v>
      </c>
      <c r="AE200" s="257">
        <f t="shared" si="94"/>
        <v>-38</v>
      </c>
      <c r="AF200" s="258">
        <f t="shared" si="95"/>
        <v>-2.7318475916606757</v>
      </c>
      <c r="AG200" s="257">
        <f t="shared" si="96"/>
        <v>20</v>
      </c>
      <c r="AH200" s="124">
        <f t="shared" si="97"/>
        <v>0.8</v>
      </c>
      <c r="AI200" s="105">
        <v>0</v>
      </c>
      <c r="AJ200" s="105">
        <v>0</v>
      </c>
      <c r="AK200" s="105">
        <v>0</v>
      </c>
      <c r="AL200" s="105">
        <v>0</v>
      </c>
      <c r="AM200" s="260">
        <f t="shared" si="98"/>
        <v>0</v>
      </c>
      <c r="AN200" s="260">
        <f t="shared" si="99"/>
        <v>20</v>
      </c>
      <c r="AO200" s="130">
        <f t="shared" si="100"/>
        <v>0.2</v>
      </c>
      <c r="AP200" s="106">
        <v>1191723</v>
      </c>
      <c r="AQ200" s="261">
        <f t="shared" si="113"/>
        <v>1.1386910165710791</v>
      </c>
      <c r="AR200" s="261">
        <f t="shared" si="101"/>
        <v>42.080365248566189</v>
      </c>
      <c r="AS200" s="107">
        <f t="shared" si="102"/>
        <v>1.6832146099426475</v>
      </c>
      <c r="AT200" s="105">
        <v>0</v>
      </c>
      <c r="AU200" s="105">
        <v>1</v>
      </c>
      <c r="AV200" s="262">
        <f t="shared" si="103"/>
        <v>25</v>
      </c>
      <c r="AW200" s="134">
        <v>2</v>
      </c>
      <c r="AX200" s="134" t="s">
        <v>3594</v>
      </c>
      <c r="AY200" s="262">
        <f t="shared" si="104"/>
        <v>25</v>
      </c>
      <c r="AZ200" s="262">
        <f t="shared" si="105"/>
        <v>50</v>
      </c>
      <c r="BA200" s="38">
        <f t="shared" si="106"/>
        <v>0.5</v>
      </c>
      <c r="BB200" s="105">
        <v>0</v>
      </c>
      <c r="BC200" s="105">
        <v>0</v>
      </c>
      <c r="BD200" s="105">
        <v>0</v>
      </c>
      <c r="BE200" s="262">
        <f t="shared" si="107"/>
        <v>0</v>
      </c>
      <c r="BF200" s="262">
        <f t="shared" si="108"/>
        <v>50</v>
      </c>
      <c r="BG200" s="38">
        <f t="shared" si="109"/>
        <v>0.5</v>
      </c>
      <c r="BH200" s="255">
        <f t="shared" si="110"/>
        <v>35359192</v>
      </c>
      <c r="BI200" s="256">
        <f t="shared" si="111"/>
        <v>3.7651707637878369</v>
      </c>
      <c r="BJ200" s="256">
        <f t="shared" si="114"/>
        <v>53.238780728408777</v>
      </c>
      <c r="BK200" s="55">
        <f t="shared" si="112"/>
        <v>1.0647756145681755</v>
      </c>
      <c r="BL200" s="137">
        <f t="shared" si="115"/>
        <v>5.9479902245108232</v>
      </c>
    </row>
    <row r="201" spans="1:64" x14ac:dyDescent="0.6">
      <c r="A201" s="214" t="s">
        <v>1763</v>
      </c>
      <c r="B201" s="13" t="s">
        <v>2181</v>
      </c>
      <c r="C201" s="219" t="s">
        <v>1764</v>
      </c>
      <c r="D201" s="14" t="s">
        <v>202</v>
      </c>
      <c r="E201" s="217" t="s">
        <v>572</v>
      </c>
      <c r="F201" s="217" t="s">
        <v>1765</v>
      </c>
      <c r="G201" s="218">
        <v>38861</v>
      </c>
      <c r="H201" s="217" t="s">
        <v>830</v>
      </c>
      <c r="I201" s="217" t="s">
        <v>1766</v>
      </c>
      <c r="J201" s="1" t="s">
        <v>3726</v>
      </c>
      <c r="K201" s="217" t="s">
        <v>317</v>
      </c>
      <c r="L201" s="220">
        <v>285172713</v>
      </c>
      <c r="M201" s="206">
        <v>183290683</v>
      </c>
      <c r="N201" s="206">
        <v>101882030</v>
      </c>
      <c r="O201" s="206">
        <v>252909508</v>
      </c>
      <c r="P201" s="206">
        <v>22627714</v>
      </c>
      <c r="Q201" s="206">
        <v>24143944</v>
      </c>
      <c r="R201" s="206">
        <v>20922790</v>
      </c>
      <c r="S201" s="105">
        <v>1</v>
      </c>
      <c r="T201" s="254">
        <f t="shared" si="87"/>
        <v>100</v>
      </c>
      <c r="U201" s="107">
        <f t="shared" si="88"/>
        <v>1</v>
      </c>
      <c r="V201" s="45">
        <v>44</v>
      </c>
      <c r="W201" s="45">
        <v>53</v>
      </c>
      <c r="X201" s="255">
        <f t="shared" si="89"/>
        <v>9</v>
      </c>
      <c r="Y201" s="255">
        <f t="shared" si="90"/>
        <v>25</v>
      </c>
      <c r="Z201" s="256">
        <f t="shared" si="91"/>
        <v>36</v>
      </c>
      <c r="AA201" s="257">
        <f t="shared" si="92"/>
        <v>80</v>
      </c>
      <c r="AB201" s="116">
        <f t="shared" si="93"/>
        <v>0.8</v>
      </c>
      <c r="AC201" s="123">
        <v>528</v>
      </c>
      <c r="AD201" s="123">
        <v>553</v>
      </c>
      <c r="AE201" s="257">
        <f t="shared" si="94"/>
        <v>25</v>
      </c>
      <c r="AF201" s="258">
        <f t="shared" si="95"/>
        <v>4.7348484848484844</v>
      </c>
      <c r="AG201" s="257">
        <f t="shared" si="96"/>
        <v>100</v>
      </c>
      <c r="AH201" s="124">
        <f t="shared" si="97"/>
        <v>4</v>
      </c>
      <c r="AI201" s="105">
        <v>0</v>
      </c>
      <c r="AJ201" s="105">
        <v>0</v>
      </c>
      <c r="AK201" s="105">
        <v>0</v>
      </c>
      <c r="AL201" s="105">
        <v>0</v>
      </c>
      <c r="AM201" s="260">
        <f t="shared" si="98"/>
        <v>0</v>
      </c>
      <c r="AN201" s="260">
        <f t="shared" si="99"/>
        <v>20</v>
      </c>
      <c r="AO201" s="130">
        <f t="shared" si="100"/>
        <v>0.2</v>
      </c>
      <c r="AP201" s="106">
        <v>3000</v>
      </c>
      <c r="AQ201" s="261">
        <f t="shared" si="113"/>
        <v>1.4338431920408321E-2</v>
      </c>
      <c r="AR201" s="261">
        <f t="shared" si="101"/>
        <v>25.215076478806125</v>
      </c>
      <c r="AS201" s="107">
        <f t="shared" si="102"/>
        <v>1.008603059152245</v>
      </c>
      <c r="AT201" s="105">
        <v>0</v>
      </c>
      <c r="AU201" s="105">
        <v>0</v>
      </c>
      <c r="AV201" s="262">
        <f t="shared" si="103"/>
        <v>0</v>
      </c>
      <c r="AW201" s="134">
        <v>0</v>
      </c>
      <c r="AX201" s="134"/>
      <c r="AY201" s="262">
        <f t="shared" si="104"/>
        <v>0</v>
      </c>
      <c r="AZ201" s="262">
        <f t="shared" si="105"/>
        <v>0</v>
      </c>
      <c r="BA201" s="38">
        <f t="shared" si="106"/>
        <v>0</v>
      </c>
      <c r="BB201" s="105">
        <v>0</v>
      </c>
      <c r="BC201" s="105">
        <v>0</v>
      </c>
      <c r="BD201" s="105">
        <v>0</v>
      </c>
      <c r="BE201" s="262">
        <f t="shared" si="107"/>
        <v>0</v>
      </c>
      <c r="BF201" s="262">
        <f t="shared" si="108"/>
        <v>50</v>
      </c>
      <c r="BG201" s="38">
        <f t="shared" si="109"/>
        <v>0.5</v>
      </c>
      <c r="BH201" s="255">
        <f t="shared" si="110"/>
        <v>3221154</v>
      </c>
      <c r="BI201" s="256">
        <f t="shared" si="111"/>
        <v>1.2736389491533073</v>
      </c>
      <c r="BJ201" s="256">
        <f t="shared" si="114"/>
        <v>34.552292118649802</v>
      </c>
      <c r="BK201" s="55">
        <f t="shared" si="112"/>
        <v>0.69104584237299604</v>
      </c>
      <c r="BL201" s="137">
        <f t="shared" si="115"/>
        <v>8.1996489015252401</v>
      </c>
    </row>
    <row r="202" spans="1:64" x14ac:dyDescent="0.6">
      <c r="A202" s="214" t="s">
        <v>1768</v>
      </c>
      <c r="B202" s="13" t="s">
        <v>2182</v>
      </c>
      <c r="C202" s="219" t="s">
        <v>1769</v>
      </c>
      <c r="D202" s="14" t="s">
        <v>285</v>
      </c>
      <c r="E202" s="217" t="s">
        <v>1770</v>
      </c>
      <c r="F202" s="217" t="s">
        <v>1771</v>
      </c>
      <c r="G202" s="218">
        <v>39233</v>
      </c>
      <c r="H202" s="217" t="s">
        <v>830</v>
      </c>
      <c r="I202" s="217" t="s">
        <v>1772</v>
      </c>
      <c r="J202" s="1" t="s">
        <v>3727</v>
      </c>
      <c r="K202" s="217" t="s">
        <v>690</v>
      </c>
      <c r="L202" s="220">
        <v>675351513</v>
      </c>
      <c r="M202" s="206">
        <v>277354565</v>
      </c>
      <c r="N202" s="206">
        <v>397996948</v>
      </c>
      <c r="O202" s="206">
        <v>731149922</v>
      </c>
      <c r="P202" s="206">
        <v>30772712</v>
      </c>
      <c r="Q202" s="206">
        <v>12835237</v>
      </c>
      <c r="R202" s="206">
        <v>6907900</v>
      </c>
      <c r="S202" s="105">
        <v>1</v>
      </c>
      <c r="T202" s="254">
        <f t="shared" si="87"/>
        <v>100</v>
      </c>
      <c r="U202" s="107">
        <f t="shared" si="88"/>
        <v>1</v>
      </c>
      <c r="V202" s="45">
        <v>1287</v>
      </c>
      <c r="W202" s="45">
        <f>1310+11</f>
        <v>1321</v>
      </c>
      <c r="X202" s="255">
        <f t="shared" si="89"/>
        <v>34</v>
      </c>
      <c r="Y202" s="255">
        <f t="shared" si="90"/>
        <v>45</v>
      </c>
      <c r="Z202" s="256">
        <f t="shared" si="91"/>
        <v>75.555555555555557</v>
      </c>
      <c r="AA202" s="257">
        <f t="shared" si="92"/>
        <v>100</v>
      </c>
      <c r="AB202" s="116">
        <f t="shared" si="93"/>
        <v>1</v>
      </c>
      <c r="AC202" s="123">
        <v>1586</v>
      </c>
      <c r="AD202" s="123">
        <f>1616+15</f>
        <v>1631</v>
      </c>
      <c r="AE202" s="257">
        <f t="shared" si="94"/>
        <v>45</v>
      </c>
      <c r="AF202" s="258">
        <f t="shared" si="95"/>
        <v>2.8373266078184112</v>
      </c>
      <c r="AG202" s="257">
        <f t="shared" si="96"/>
        <v>100</v>
      </c>
      <c r="AH202" s="124">
        <f t="shared" si="97"/>
        <v>4</v>
      </c>
      <c r="AI202" s="105">
        <v>0</v>
      </c>
      <c r="AJ202" s="105">
        <v>0</v>
      </c>
      <c r="AK202" s="105">
        <v>0</v>
      </c>
      <c r="AL202" s="105">
        <v>0</v>
      </c>
      <c r="AM202" s="260">
        <f t="shared" si="98"/>
        <v>0</v>
      </c>
      <c r="AN202" s="260">
        <f t="shared" si="99"/>
        <v>20</v>
      </c>
      <c r="AO202" s="130">
        <f t="shared" si="100"/>
        <v>0.2</v>
      </c>
      <c r="AP202" s="106">
        <v>706924</v>
      </c>
      <c r="AQ202" s="261">
        <f t="shared" si="113"/>
        <v>10.233558679193386</v>
      </c>
      <c r="AR202" s="261">
        <f t="shared" si="101"/>
        <v>100</v>
      </c>
      <c r="AS202" s="107">
        <f t="shared" si="102"/>
        <v>4</v>
      </c>
      <c r="AT202" s="105">
        <v>1</v>
      </c>
      <c r="AU202" s="105">
        <v>0</v>
      </c>
      <c r="AV202" s="262">
        <f t="shared" si="103"/>
        <v>25</v>
      </c>
      <c r="AW202" s="134">
        <v>9</v>
      </c>
      <c r="AX202" s="447" t="s">
        <v>3728</v>
      </c>
      <c r="AY202" s="262">
        <f t="shared" si="104"/>
        <v>50</v>
      </c>
      <c r="AZ202" s="262">
        <f t="shared" si="105"/>
        <v>75</v>
      </c>
      <c r="BA202" s="38">
        <f t="shared" si="106"/>
        <v>0.75</v>
      </c>
      <c r="BB202" s="105">
        <v>0</v>
      </c>
      <c r="BC202" s="105">
        <v>0</v>
      </c>
      <c r="BD202" s="105">
        <v>0</v>
      </c>
      <c r="BE202" s="262">
        <f t="shared" si="107"/>
        <v>0</v>
      </c>
      <c r="BF202" s="262">
        <f t="shared" si="108"/>
        <v>50</v>
      </c>
      <c r="BG202" s="38">
        <f t="shared" si="109"/>
        <v>0.5</v>
      </c>
      <c r="BH202" s="255">
        <f t="shared" si="110"/>
        <v>5927337</v>
      </c>
      <c r="BI202" s="256">
        <f t="shared" si="111"/>
        <v>0.81068694964587573</v>
      </c>
      <c r="BJ202" s="256">
        <f t="shared" si="114"/>
        <v>31.080152122344067</v>
      </c>
      <c r="BK202" s="55">
        <f t="shared" si="112"/>
        <v>0.62160304244688136</v>
      </c>
      <c r="BL202" s="137">
        <f t="shared" si="115"/>
        <v>12.071603042446881</v>
      </c>
    </row>
    <row r="203" spans="1:64" x14ac:dyDescent="0.6">
      <c r="A203" s="214" t="s">
        <v>326</v>
      </c>
      <c r="B203" s="13" t="s">
        <v>2183</v>
      </c>
      <c r="C203" s="219" t="s">
        <v>76</v>
      </c>
      <c r="D203" s="216" t="s">
        <v>191</v>
      </c>
      <c r="E203" s="217" t="s">
        <v>34</v>
      </c>
      <c r="F203" s="217" t="s">
        <v>126</v>
      </c>
      <c r="G203" s="218">
        <v>39378</v>
      </c>
      <c r="H203" s="217" t="s">
        <v>830</v>
      </c>
      <c r="I203" s="217" t="s">
        <v>706</v>
      </c>
      <c r="J203" s="217" t="s">
        <v>1097</v>
      </c>
      <c r="K203" s="217" t="s">
        <v>855</v>
      </c>
      <c r="L203" s="220">
        <v>417890867</v>
      </c>
      <c r="M203" s="206">
        <v>80034380</v>
      </c>
      <c r="N203" s="206">
        <v>337856486</v>
      </c>
      <c r="O203" s="206">
        <v>262522023</v>
      </c>
      <c r="P203" s="206">
        <v>48213162</v>
      </c>
      <c r="Q203" s="206">
        <v>53424815</v>
      </c>
      <c r="R203" s="206">
        <v>45275094</v>
      </c>
      <c r="S203" s="105">
        <v>0</v>
      </c>
      <c r="T203" s="254">
        <f t="shared" si="87"/>
        <v>0</v>
      </c>
      <c r="U203" s="107">
        <f t="shared" si="88"/>
        <v>0</v>
      </c>
      <c r="V203" s="45">
        <v>248</v>
      </c>
      <c r="W203" s="45">
        <v>272</v>
      </c>
      <c r="X203" s="255">
        <f t="shared" si="89"/>
        <v>24</v>
      </c>
      <c r="Y203" s="255">
        <f t="shared" si="90"/>
        <v>61</v>
      </c>
      <c r="Z203" s="256">
        <f t="shared" si="91"/>
        <v>39.344262295081968</v>
      </c>
      <c r="AA203" s="257">
        <f t="shared" si="92"/>
        <v>80</v>
      </c>
      <c r="AB203" s="116">
        <f t="shared" si="93"/>
        <v>0.8</v>
      </c>
      <c r="AC203" s="123">
        <v>824</v>
      </c>
      <c r="AD203" s="123">
        <v>885</v>
      </c>
      <c r="AE203" s="257">
        <f t="shared" si="94"/>
        <v>61</v>
      </c>
      <c r="AF203" s="258">
        <f t="shared" si="95"/>
        <v>7.4029126213592225</v>
      </c>
      <c r="AG203" s="257">
        <f t="shared" si="96"/>
        <v>100</v>
      </c>
      <c r="AH203" s="124">
        <f t="shared" si="97"/>
        <v>4</v>
      </c>
      <c r="AI203" s="105">
        <v>0</v>
      </c>
      <c r="AJ203" s="105">
        <v>0</v>
      </c>
      <c r="AK203" s="105">
        <v>0</v>
      </c>
      <c r="AL203" s="105">
        <v>0</v>
      </c>
      <c r="AM203" s="260">
        <f t="shared" si="98"/>
        <v>0</v>
      </c>
      <c r="AN203" s="260">
        <f t="shared" si="99"/>
        <v>20</v>
      </c>
      <c r="AO203" s="130">
        <f t="shared" si="100"/>
        <v>0.2</v>
      </c>
      <c r="AP203" s="106">
        <v>5772496</v>
      </c>
      <c r="AQ203" s="261">
        <f t="shared" si="113"/>
        <v>12.749826648620541</v>
      </c>
      <c r="AR203" s="261">
        <f t="shared" si="101"/>
        <v>100</v>
      </c>
      <c r="AS203" s="107">
        <f t="shared" si="102"/>
        <v>4</v>
      </c>
      <c r="AT203" s="105">
        <v>1</v>
      </c>
      <c r="AU203" s="105">
        <v>1</v>
      </c>
      <c r="AV203" s="262">
        <f t="shared" si="103"/>
        <v>50</v>
      </c>
      <c r="AW203" s="134">
        <v>3</v>
      </c>
      <c r="AX203" s="134" t="s">
        <v>3600</v>
      </c>
      <c r="AY203" s="262">
        <f t="shared" si="104"/>
        <v>50</v>
      </c>
      <c r="AZ203" s="262">
        <f t="shared" si="105"/>
        <v>100</v>
      </c>
      <c r="BA203" s="38">
        <f t="shared" si="106"/>
        <v>1</v>
      </c>
      <c r="BB203" s="105">
        <v>0</v>
      </c>
      <c r="BC203" s="105">
        <v>0</v>
      </c>
      <c r="BD203" s="105">
        <v>0</v>
      </c>
      <c r="BE203" s="262">
        <f t="shared" si="107"/>
        <v>0</v>
      </c>
      <c r="BF203" s="262">
        <f t="shared" si="108"/>
        <v>50</v>
      </c>
      <c r="BG203" s="38">
        <f t="shared" si="109"/>
        <v>0.5</v>
      </c>
      <c r="BH203" s="255">
        <f t="shared" si="110"/>
        <v>8149721</v>
      </c>
      <c r="BI203" s="256">
        <f t="shared" si="111"/>
        <v>3.1043951691626268</v>
      </c>
      <c r="BJ203" s="256">
        <f t="shared" si="114"/>
        <v>48.282963768719704</v>
      </c>
      <c r="BK203" s="55">
        <f t="shared" si="112"/>
        <v>0.96565927537439411</v>
      </c>
      <c r="BL203" s="137">
        <f t="shared" si="115"/>
        <v>11.465659275374394</v>
      </c>
    </row>
    <row r="204" spans="1:64" x14ac:dyDescent="0.6">
      <c r="A204" s="214" t="s">
        <v>824</v>
      </c>
      <c r="B204" s="13" t="s">
        <v>2184</v>
      </c>
      <c r="C204" s="219" t="s">
        <v>944</v>
      </c>
      <c r="D204" s="216" t="s">
        <v>203</v>
      </c>
      <c r="E204" s="217" t="s">
        <v>180</v>
      </c>
      <c r="F204" s="217" t="s">
        <v>121</v>
      </c>
      <c r="G204" s="218">
        <v>38324</v>
      </c>
      <c r="H204" s="217" t="s">
        <v>830</v>
      </c>
      <c r="I204" s="217" t="s">
        <v>1774</v>
      </c>
      <c r="J204" s="217" t="s">
        <v>1083</v>
      </c>
      <c r="K204" s="217" t="s">
        <v>91</v>
      </c>
      <c r="L204" s="220">
        <v>1081099768</v>
      </c>
      <c r="M204" s="206">
        <v>439582782</v>
      </c>
      <c r="N204" s="206">
        <v>641516987</v>
      </c>
      <c r="O204" s="206">
        <v>792569992</v>
      </c>
      <c r="P204" s="206">
        <v>95951025</v>
      </c>
      <c r="Q204" s="206">
        <v>117596454</v>
      </c>
      <c r="R204" s="206">
        <v>117383163</v>
      </c>
      <c r="S204" s="105">
        <v>1</v>
      </c>
      <c r="T204" s="254">
        <f t="shared" si="87"/>
        <v>100</v>
      </c>
      <c r="U204" s="107">
        <f t="shared" si="88"/>
        <v>1</v>
      </c>
      <c r="V204" s="45">
        <v>41</v>
      </c>
      <c r="W204" s="45">
        <f>12+13+25</f>
        <v>50</v>
      </c>
      <c r="X204" s="255">
        <f t="shared" si="89"/>
        <v>9</v>
      </c>
      <c r="Y204" s="255">
        <f t="shared" si="90"/>
        <v>-203</v>
      </c>
      <c r="Z204" s="256">
        <f t="shared" si="91"/>
        <v>900</v>
      </c>
      <c r="AA204" s="257">
        <f t="shared" si="92"/>
        <v>100</v>
      </c>
      <c r="AB204" s="116">
        <f t="shared" si="93"/>
        <v>1</v>
      </c>
      <c r="AC204" s="123">
        <v>429</v>
      </c>
      <c r="AD204" s="123">
        <f>226</f>
        <v>226</v>
      </c>
      <c r="AE204" s="257">
        <f t="shared" si="94"/>
        <v>-203</v>
      </c>
      <c r="AF204" s="258">
        <f t="shared" si="95"/>
        <v>-47.319347319347322</v>
      </c>
      <c r="AG204" s="257">
        <f t="shared" si="96"/>
        <v>20</v>
      </c>
      <c r="AH204" s="124">
        <f t="shared" si="97"/>
        <v>0.8</v>
      </c>
      <c r="AI204" s="105">
        <v>0</v>
      </c>
      <c r="AJ204" s="105">
        <v>0</v>
      </c>
      <c r="AK204" s="105">
        <v>0</v>
      </c>
      <c r="AL204" s="105">
        <v>0</v>
      </c>
      <c r="AM204" s="260">
        <f t="shared" si="98"/>
        <v>0</v>
      </c>
      <c r="AN204" s="260">
        <f t="shared" si="99"/>
        <v>20</v>
      </c>
      <c r="AO204" s="130">
        <f t="shared" si="100"/>
        <v>0.2</v>
      </c>
      <c r="AP204" s="106">
        <v>308534</v>
      </c>
      <c r="AQ204" s="261">
        <f t="shared" si="113"/>
        <v>0.26284348803925145</v>
      </c>
      <c r="AR204" s="261">
        <f t="shared" si="101"/>
        <v>28.94265232058877</v>
      </c>
      <c r="AS204" s="107">
        <f t="shared" si="102"/>
        <v>1.1577060928235507</v>
      </c>
      <c r="AT204" s="105">
        <v>0</v>
      </c>
      <c r="AU204" s="105">
        <v>1</v>
      </c>
      <c r="AV204" s="262">
        <f t="shared" si="103"/>
        <v>25</v>
      </c>
      <c r="AW204" s="134">
        <v>2</v>
      </c>
      <c r="AX204" s="134" t="s">
        <v>3601</v>
      </c>
      <c r="AY204" s="262">
        <f t="shared" si="104"/>
        <v>25</v>
      </c>
      <c r="AZ204" s="262">
        <f t="shared" si="105"/>
        <v>50</v>
      </c>
      <c r="BA204" s="38">
        <f t="shared" si="106"/>
        <v>0.5</v>
      </c>
      <c r="BB204" s="105">
        <v>0</v>
      </c>
      <c r="BC204" s="105">
        <v>0</v>
      </c>
      <c r="BD204" s="105">
        <v>0</v>
      </c>
      <c r="BE204" s="262">
        <f t="shared" si="107"/>
        <v>0</v>
      </c>
      <c r="BF204" s="262">
        <f t="shared" si="108"/>
        <v>50</v>
      </c>
      <c r="BG204" s="38">
        <f t="shared" si="109"/>
        <v>0.5</v>
      </c>
      <c r="BH204" s="255">
        <f t="shared" si="110"/>
        <v>213291</v>
      </c>
      <c r="BI204" s="256">
        <f t="shared" si="111"/>
        <v>2.6911314098805799E-2</v>
      </c>
      <c r="BJ204" s="256">
        <f t="shared" si="114"/>
        <v>25.201834855741044</v>
      </c>
      <c r="BK204" s="55">
        <f t="shared" si="112"/>
        <v>0.50403669711482091</v>
      </c>
      <c r="BL204" s="137">
        <f t="shared" si="115"/>
        <v>5.6617427899383719</v>
      </c>
    </row>
    <row r="205" spans="1:64" x14ac:dyDescent="0.6">
      <c r="A205" s="214" t="s">
        <v>1775</v>
      </c>
      <c r="B205" s="13" t="s">
        <v>2185</v>
      </c>
      <c r="C205" s="219" t="s">
        <v>355</v>
      </c>
      <c r="D205" s="216" t="s">
        <v>191</v>
      </c>
      <c r="E205" s="217" t="s">
        <v>977</v>
      </c>
      <c r="F205" s="217" t="s">
        <v>962</v>
      </c>
      <c r="G205" s="218">
        <v>32856</v>
      </c>
      <c r="H205" s="217" t="s">
        <v>830</v>
      </c>
      <c r="I205" s="217" t="s">
        <v>803</v>
      </c>
      <c r="J205" s="217" t="s">
        <v>1108</v>
      </c>
      <c r="K205" s="217" t="s">
        <v>690</v>
      </c>
      <c r="L205" s="220">
        <v>219850861</v>
      </c>
      <c r="M205" s="206">
        <v>106769427</v>
      </c>
      <c r="N205" s="206">
        <v>113081434</v>
      </c>
      <c r="O205" s="206">
        <v>103067188</v>
      </c>
      <c r="P205" s="206">
        <v>4420274</v>
      </c>
      <c r="Q205" s="206">
        <v>926544</v>
      </c>
      <c r="R205" s="206">
        <v>3447674</v>
      </c>
      <c r="S205" s="105">
        <v>1</v>
      </c>
      <c r="T205" s="254">
        <f t="shared" si="87"/>
        <v>100</v>
      </c>
      <c r="U205" s="107">
        <f t="shared" si="88"/>
        <v>1</v>
      </c>
      <c r="V205" s="45">
        <v>158</v>
      </c>
      <c r="W205" s="45">
        <v>133</v>
      </c>
      <c r="X205" s="255">
        <f t="shared" si="89"/>
        <v>-25</v>
      </c>
      <c r="Y205" s="255">
        <f t="shared" si="90"/>
        <v>-21</v>
      </c>
      <c r="Z205" s="256">
        <f t="shared" si="91"/>
        <v>-2500</v>
      </c>
      <c r="AA205" s="257">
        <f t="shared" si="92"/>
        <v>20</v>
      </c>
      <c r="AB205" s="116">
        <f t="shared" si="93"/>
        <v>0.2</v>
      </c>
      <c r="AC205" s="123">
        <v>313</v>
      </c>
      <c r="AD205" s="123">
        <v>292</v>
      </c>
      <c r="AE205" s="257">
        <f t="shared" si="94"/>
        <v>-21</v>
      </c>
      <c r="AF205" s="258">
        <f t="shared" si="95"/>
        <v>-6.7092651757188495</v>
      </c>
      <c r="AG205" s="257">
        <f t="shared" si="96"/>
        <v>20</v>
      </c>
      <c r="AH205" s="124">
        <f t="shared" si="97"/>
        <v>0.8</v>
      </c>
      <c r="AI205" s="105">
        <v>0</v>
      </c>
      <c r="AJ205" s="105">
        <v>0</v>
      </c>
      <c r="AK205" s="105">
        <v>0</v>
      </c>
      <c r="AL205" s="105">
        <v>0</v>
      </c>
      <c r="AM205" s="260">
        <f t="shared" si="98"/>
        <v>0</v>
      </c>
      <c r="AN205" s="260">
        <f t="shared" si="99"/>
        <v>20</v>
      </c>
      <c r="AO205" s="130">
        <f t="shared" si="100"/>
        <v>0.2</v>
      </c>
      <c r="AP205" s="106">
        <v>38720</v>
      </c>
      <c r="AQ205" s="261">
        <f t="shared" si="113"/>
        <v>1.1230760216888256</v>
      </c>
      <c r="AR205" s="261">
        <f t="shared" si="101"/>
        <v>41.846140325332385</v>
      </c>
      <c r="AS205" s="107">
        <f t="shared" si="102"/>
        <v>1.6738456130132955</v>
      </c>
      <c r="AT205" s="105">
        <v>0</v>
      </c>
      <c r="AU205" s="105">
        <v>1</v>
      </c>
      <c r="AV205" s="262">
        <f t="shared" si="103"/>
        <v>25</v>
      </c>
      <c r="AW205" s="134">
        <v>0</v>
      </c>
      <c r="AX205" s="134"/>
      <c r="AY205" s="262">
        <f t="shared" si="104"/>
        <v>0</v>
      </c>
      <c r="AZ205" s="262">
        <f t="shared" si="105"/>
        <v>25</v>
      </c>
      <c r="BA205" s="38">
        <f t="shared" si="106"/>
        <v>0.25</v>
      </c>
      <c r="BB205" s="105">
        <v>0</v>
      </c>
      <c r="BC205" s="105">
        <v>0</v>
      </c>
      <c r="BD205" s="105">
        <v>0</v>
      </c>
      <c r="BE205" s="262">
        <f t="shared" si="107"/>
        <v>0</v>
      </c>
      <c r="BF205" s="262">
        <f t="shared" si="108"/>
        <v>50</v>
      </c>
      <c r="BG205" s="38">
        <f t="shared" si="109"/>
        <v>0.5</v>
      </c>
      <c r="BH205" s="255">
        <f t="shared" si="110"/>
        <v>-2521130</v>
      </c>
      <c r="BI205" s="256">
        <f t="shared" si="111"/>
        <v>-2.4461034097486003</v>
      </c>
      <c r="BJ205" s="256">
        <f t="shared" si="114"/>
        <v>25</v>
      </c>
      <c r="BK205" s="55">
        <f t="shared" si="112"/>
        <v>0.5</v>
      </c>
      <c r="BL205" s="137">
        <f t="shared" si="115"/>
        <v>5.1238456130132954</v>
      </c>
    </row>
    <row r="206" spans="1:64" x14ac:dyDescent="0.6">
      <c r="A206" s="214" t="s">
        <v>871</v>
      </c>
      <c r="B206" s="13" t="s">
        <v>2186</v>
      </c>
      <c r="C206" s="219" t="s">
        <v>20</v>
      </c>
      <c r="D206" s="216" t="s">
        <v>285</v>
      </c>
      <c r="E206" s="217" t="s">
        <v>999</v>
      </c>
      <c r="F206" s="217" t="s">
        <v>1007</v>
      </c>
      <c r="G206" s="218">
        <v>38204</v>
      </c>
      <c r="H206" s="217" t="s">
        <v>830</v>
      </c>
      <c r="I206" s="217" t="s">
        <v>331</v>
      </c>
      <c r="J206" s="217" t="s">
        <v>1212</v>
      </c>
      <c r="K206" s="217" t="s">
        <v>690</v>
      </c>
      <c r="L206" s="220">
        <v>475552210</v>
      </c>
      <c r="M206" s="206">
        <v>243500167</v>
      </c>
      <c r="N206" s="206">
        <v>232052043</v>
      </c>
      <c r="O206" s="206">
        <v>729811429</v>
      </c>
      <c r="P206" s="206">
        <v>47569618</v>
      </c>
      <c r="Q206" s="206">
        <v>37906414</v>
      </c>
      <c r="R206" s="206">
        <v>29707608</v>
      </c>
      <c r="S206" s="105">
        <v>1</v>
      </c>
      <c r="T206" s="254">
        <f t="shared" si="87"/>
        <v>100</v>
      </c>
      <c r="U206" s="107">
        <f t="shared" si="88"/>
        <v>1</v>
      </c>
      <c r="V206" s="45">
        <v>39</v>
      </c>
      <c r="W206" s="45">
        <v>50</v>
      </c>
      <c r="X206" s="255">
        <f t="shared" si="89"/>
        <v>11</v>
      </c>
      <c r="Y206" s="255">
        <f t="shared" si="90"/>
        <v>22</v>
      </c>
      <c r="Z206" s="256">
        <f t="shared" si="91"/>
        <v>50</v>
      </c>
      <c r="AA206" s="257">
        <f t="shared" si="92"/>
        <v>100</v>
      </c>
      <c r="AB206" s="116">
        <f t="shared" si="93"/>
        <v>1</v>
      </c>
      <c r="AC206" s="123">
        <v>190</v>
      </c>
      <c r="AD206" s="123">
        <v>212</v>
      </c>
      <c r="AE206" s="257">
        <f t="shared" si="94"/>
        <v>22</v>
      </c>
      <c r="AF206" s="258">
        <f t="shared" si="95"/>
        <v>11.578947368421053</v>
      </c>
      <c r="AG206" s="257">
        <f t="shared" si="96"/>
        <v>100</v>
      </c>
      <c r="AH206" s="124">
        <f t="shared" si="97"/>
        <v>4</v>
      </c>
      <c r="AI206" s="105">
        <v>0</v>
      </c>
      <c r="AJ206" s="105">
        <v>0</v>
      </c>
      <c r="AK206" s="105">
        <v>0</v>
      </c>
      <c r="AL206" s="105">
        <v>0</v>
      </c>
      <c r="AM206" s="260">
        <f t="shared" si="98"/>
        <v>0</v>
      </c>
      <c r="AN206" s="260">
        <f t="shared" si="99"/>
        <v>20</v>
      </c>
      <c r="AO206" s="130">
        <f t="shared" si="100"/>
        <v>0.2</v>
      </c>
      <c r="AP206" s="106">
        <v>99118</v>
      </c>
      <c r="AQ206" s="261">
        <f t="shared" si="113"/>
        <v>0.33364517264399074</v>
      </c>
      <c r="AR206" s="261">
        <f t="shared" si="101"/>
        <v>30.004677589659863</v>
      </c>
      <c r="AS206" s="107">
        <f t="shared" si="102"/>
        <v>1.2001871035863945</v>
      </c>
      <c r="AT206" s="105">
        <v>0</v>
      </c>
      <c r="AU206" s="105">
        <v>1</v>
      </c>
      <c r="AV206" s="262">
        <f t="shared" si="103"/>
        <v>25</v>
      </c>
      <c r="AW206" s="134">
        <v>0</v>
      </c>
      <c r="AX206" s="134"/>
      <c r="AY206" s="262">
        <f t="shared" si="104"/>
        <v>0</v>
      </c>
      <c r="AZ206" s="262">
        <f t="shared" si="105"/>
        <v>25</v>
      </c>
      <c r="BA206" s="38">
        <f t="shared" si="106"/>
        <v>0.25</v>
      </c>
      <c r="BB206" s="105">
        <v>0</v>
      </c>
      <c r="BC206" s="105">
        <v>0</v>
      </c>
      <c r="BD206" s="105">
        <v>0</v>
      </c>
      <c r="BE206" s="262">
        <f t="shared" si="107"/>
        <v>0</v>
      </c>
      <c r="BF206" s="262">
        <f t="shared" si="108"/>
        <v>50</v>
      </c>
      <c r="BG206" s="38">
        <f t="shared" si="109"/>
        <v>0.5</v>
      </c>
      <c r="BH206" s="255">
        <f t="shared" si="110"/>
        <v>8198806</v>
      </c>
      <c r="BI206" s="256">
        <f t="shared" si="111"/>
        <v>1.1234143059713579</v>
      </c>
      <c r="BJ206" s="256">
        <f t="shared" si="114"/>
        <v>33.425607294785181</v>
      </c>
      <c r="BK206" s="55">
        <f t="shared" si="112"/>
        <v>0.66851214589570362</v>
      </c>
      <c r="BL206" s="137">
        <f t="shared" si="115"/>
        <v>8.8186992494820977</v>
      </c>
    </row>
    <row r="207" spans="1:64" x14ac:dyDescent="0.6">
      <c r="A207" s="214" t="s">
        <v>560</v>
      </c>
      <c r="B207" s="13" t="s">
        <v>2187</v>
      </c>
      <c r="C207" s="219" t="s">
        <v>11</v>
      </c>
      <c r="D207" s="221" t="s">
        <v>350</v>
      </c>
      <c r="E207" s="217" t="s">
        <v>179</v>
      </c>
      <c r="F207" s="217" t="s">
        <v>992</v>
      </c>
      <c r="G207" s="218">
        <v>32163</v>
      </c>
      <c r="H207" s="217" t="s">
        <v>830</v>
      </c>
      <c r="I207" s="217" t="s">
        <v>786</v>
      </c>
      <c r="J207" s="217" t="s">
        <v>1211</v>
      </c>
      <c r="K207" s="217" t="s">
        <v>91</v>
      </c>
      <c r="L207" s="220">
        <v>12900025445</v>
      </c>
      <c r="M207" s="206">
        <v>11393545083</v>
      </c>
      <c r="N207" s="206">
        <v>1506480362</v>
      </c>
      <c r="O207" s="206">
        <v>2449590915</v>
      </c>
      <c r="P207" s="206">
        <v>49619816</v>
      </c>
      <c r="Q207" s="206">
        <v>61425265</v>
      </c>
      <c r="R207" s="206">
        <v>38657881</v>
      </c>
      <c r="S207" s="105">
        <v>0</v>
      </c>
      <c r="T207" s="254">
        <f t="shared" si="87"/>
        <v>0</v>
      </c>
      <c r="U207" s="107">
        <f t="shared" si="88"/>
        <v>0</v>
      </c>
      <c r="V207" s="45">
        <v>574</v>
      </c>
      <c r="W207" s="45">
        <f>314+30+217</f>
        <v>561</v>
      </c>
      <c r="X207" s="255">
        <f t="shared" si="89"/>
        <v>-13</v>
      </c>
      <c r="Y207" s="255">
        <f t="shared" si="90"/>
        <v>-129</v>
      </c>
      <c r="Z207" s="256">
        <f t="shared" si="91"/>
        <v>-1300</v>
      </c>
      <c r="AA207" s="257">
        <f t="shared" si="92"/>
        <v>20</v>
      </c>
      <c r="AB207" s="116">
        <f t="shared" si="93"/>
        <v>0.2</v>
      </c>
      <c r="AC207" s="123">
        <v>1494</v>
      </c>
      <c r="AD207" s="123">
        <v>1365</v>
      </c>
      <c r="AE207" s="257">
        <f t="shared" si="94"/>
        <v>-129</v>
      </c>
      <c r="AF207" s="258">
        <f t="shared" si="95"/>
        <v>-8.6345381526104426</v>
      </c>
      <c r="AG207" s="257">
        <f t="shared" si="96"/>
        <v>20</v>
      </c>
      <c r="AH207" s="124">
        <f t="shared" si="97"/>
        <v>0.8</v>
      </c>
      <c r="AI207" s="105">
        <v>0</v>
      </c>
      <c r="AJ207" s="105">
        <v>0</v>
      </c>
      <c r="AK207" s="105">
        <v>0</v>
      </c>
      <c r="AL207" s="105">
        <v>0</v>
      </c>
      <c r="AM207" s="260">
        <f t="shared" si="98"/>
        <v>0</v>
      </c>
      <c r="AN207" s="260">
        <f t="shared" si="99"/>
        <v>20</v>
      </c>
      <c r="AO207" s="130">
        <f t="shared" si="100"/>
        <v>0.2</v>
      </c>
      <c r="AP207" s="106">
        <v>35580</v>
      </c>
      <c r="AQ207" s="261">
        <f t="shared" si="113"/>
        <v>9.2038153876049231E-2</v>
      </c>
      <c r="AR207" s="261">
        <f t="shared" si="101"/>
        <v>26.380572308140739</v>
      </c>
      <c r="AS207" s="107">
        <f t="shared" si="102"/>
        <v>1.0552228923256295</v>
      </c>
      <c r="AT207" s="105">
        <v>0</v>
      </c>
      <c r="AU207" s="105">
        <v>1</v>
      </c>
      <c r="AV207" s="262">
        <f t="shared" si="103"/>
        <v>25</v>
      </c>
      <c r="AW207" s="134">
        <v>0</v>
      </c>
      <c r="AX207" s="134"/>
      <c r="AY207" s="262">
        <f t="shared" si="104"/>
        <v>0</v>
      </c>
      <c r="AZ207" s="262">
        <f t="shared" si="105"/>
        <v>25</v>
      </c>
      <c r="BA207" s="38">
        <f t="shared" si="106"/>
        <v>0.25</v>
      </c>
      <c r="BB207" s="105">
        <v>0</v>
      </c>
      <c r="BC207" s="105">
        <v>0</v>
      </c>
      <c r="BD207" s="105">
        <v>0</v>
      </c>
      <c r="BE207" s="262">
        <f t="shared" si="107"/>
        <v>0</v>
      </c>
      <c r="BF207" s="262">
        <f t="shared" si="108"/>
        <v>50</v>
      </c>
      <c r="BG207" s="38">
        <f t="shared" si="109"/>
        <v>0.5</v>
      </c>
      <c r="BH207" s="255">
        <f t="shared" si="110"/>
        <v>22767384</v>
      </c>
      <c r="BI207" s="256">
        <f t="shared" si="111"/>
        <v>0.92943617077384544</v>
      </c>
      <c r="BJ207" s="256">
        <f t="shared" si="114"/>
        <v>31.970771280803842</v>
      </c>
      <c r="BK207" s="55">
        <f t="shared" si="112"/>
        <v>0.63941542561607689</v>
      </c>
      <c r="BL207" s="137">
        <f t="shared" si="115"/>
        <v>3.6446383179417063</v>
      </c>
    </row>
    <row r="208" spans="1:64" x14ac:dyDescent="0.6">
      <c r="A208" s="214" t="s">
        <v>1776</v>
      </c>
      <c r="B208" s="13" t="s">
        <v>2188</v>
      </c>
      <c r="C208" s="219" t="s">
        <v>53</v>
      </c>
      <c r="D208" s="221" t="s">
        <v>350</v>
      </c>
      <c r="E208" s="217" t="s">
        <v>179</v>
      </c>
      <c r="F208" s="217" t="s">
        <v>620</v>
      </c>
      <c r="G208" s="218">
        <v>32013</v>
      </c>
      <c r="H208" s="217" t="s">
        <v>830</v>
      </c>
      <c r="I208" s="217" t="s">
        <v>631</v>
      </c>
      <c r="J208" s="217" t="s">
        <v>1123</v>
      </c>
      <c r="K208" s="217" t="s">
        <v>91</v>
      </c>
      <c r="L208" s="220">
        <v>7518981791</v>
      </c>
      <c r="M208" s="206">
        <v>6570247685</v>
      </c>
      <c r="N208" s="206">
        <v>948734106</v>
      </c>
      <c r="O208" s="206">
        <v>1456503449</v>
      </c>
      <c r="P208" s="206">
        <v>11313859</v>
      </c>
      <c r="Q208" s="206">
        <v>9393410</v>
      </c>
      <c r="R208" s="206">
        <v>3677466</v>
      </c>
      <c r="S208" s="105">
        <v>1</v>
      </c>
      <c r="T208" s="254">
        <f t="shared" si="87"/>
        <v>100</v>
      </c>
      <c r="U208" s="107">
        <f t="shared" si="88"/>
        <v>1</v>
      </c>
      <c r="V208" s="45">
        <v>220</v>
      </c>
      <c r="W208" s="45">
        <f>119+35+90</f>
        <v>244</v>
      </c>
      <c r="X208" s="255">
        <f t="shared" si="89"/>
        <v>24</v>
      </c>
      <c r="Y208" s="255">
        <f t="shared" si="90"/>
        <v>21</v>
      </c>
      <c r="Z208" s="256">
        <f t="shared" si="91"/>
        <v>114.28571428571428</v>
      </c>
      <c r="AA208" s="257">
        <f t="shared" si="92"/>
        <v>100</v>
      </c>
      <c r="AB208" s="116">
        <f t="shared" si="93"/>
        <v>1</v>
      </c>
      <c r="AC208" s="123">
        <v>545</v>
      </c>
      <c r="AD208" s="123">
        <v>566</v>
      </c>
      <c r="AE208" s="257">
        <f t="shared" si="94"/>
        <v>21</v>
      </c>
      <c r="AF208" s="258">
        <f t="shared" si="95"/>
        <v>3.8532110091743119</v>
      </c>
      <c r="AG208" s="257">
        <f t="shared" si="96"/>
        <v>100</v>
      </c>
      <c r="AH208" s="124">
        <f t="shared" si="97"/>
        <v>4</v>
      </c>
      <c r="AI208" s="105">
        <v>0</v>
      </c>
      <c r="AJ208" s="105">
        <v>0</v>
      </c>
      <c r="AK208" s="105">
        <v>0</v>
      </c>
      <c r="AL208" s="105">
        <v>0</v>
      </c>
      <c r="AM208" s="260">
        <f t="shared" si="98"/>
        <v>0</v>
      </c>
      <c r="AN208" s="260">
        <f t="shared" si="99"/>
        <v>20</v>
      </c>
      <c r="AO208" s="130">
        <f t="shared" si="100"/>
        <v>0.2</v>
      </c>
      <c r="AP208" s="106">
        <v>878627</v>
      </c>
      <c r="AQ208" s="261">
        <f t="shared" si="113"/>
        <v>23.892185542979867</v>
      </c>
      <c r="AR208" s="261">
        <f t="shared" si="101"/>
        <v>100</v>
      </c>
      <c r="AS208" s="107">
        <f t="shared" si="102"/>
        <v>4</v>
      </c>
      <c r="AT208" s="105">
        <v>0</v>
      </c>
      <c r="AU208" s="105">
        <v>1</v>
      </c>
      <c r="AV208" s="262">
        <f t="shared" si="103"/>
        <v>25</v>
      </c>
      <c r="AW208" s="134">
        <v>2</v>
      </c>
      <c r="AX208" s="134" t="s">
        <v>3594</v>
      </c>
      <c r="AY208" s="262">
        <f t="shared" si="104"/>
        <v>25</v>
      </c>
      <c r="AZ208" s="262">
        <f t="shared" si="105"/>
        <v>50</v>
      </c>
      <c r="BA208" s="38">
        <f t="shared" si="106"/>
        <v>0.5</v>
      </c>
      <c r="BB208" s="105">
        <v>0</v>
      </c>
      <c r="BC208" s="105">
        <v>0</v>
      </c>
      <c r="BD208" s="105">
        <v>0</v>
      </c>
      <c r="BE208" s="262">
        <f t="shared" si="107"/>
        <v>0</v>
      </c>
      <c r="BF208" s="262">
        <f t="shared" si="108"/>
        <v>50</v>
      </c>
      <c r="BG208" s="38">
        <f t="shared" si="109"/>
        <v>0.5</v>
      </c>
      <c r="BH208" s="255">
        <f t="shared" si="110"/>
        <v>5715944</v>
      </c>
      <c r="BI208" s="256">
        <f t="shared" si="111"/>
        <v>0.39244287433197833</v>
      </c>
      <c r="BJ208" s="256">
        <f t="shared" si="114"/>
        <v>27.943321557489838</v>
      </c>
      <c r="BK208" s="55">
        <f t="shared" si="112"/>
        <v>0.55886643114979673</v>
      </c>
      <c r="BL208" s="137">
        <f t="shared" si="115"/>
        <v>11.758866431149796</v>
      </c>
    </row>
    <row r="209" spans="1:64" x14ac:dyDescent="0.6">
      <c r="A209" s="214" t="s">
        <v>405</v>
      </c>
      <c r="B209" s="13" t="s">
        <v>2189</v>
      </c>
      <c r="C209" s="219" t="s">
        <v>522</v>
      </c>
      <c r="D209" s="216" t="s">
        <v>191</v>
      </c>
      <c r="E209" s="217" t="s">
        <v>34</v>
      </c>
      <c r="F209" s="217" t="s">
        <v>116</v>
      </c>
      <c r="G209" s="218">
        <v>22951</v>
      </c>
      <c r="H209" s="217" t="s">
        <v>830</v>
      </c>
      <c r="I209" s="217" t="s">
        <v>258</v>
      </c>
      <c r="J209" s="217" t="s">
        <v>1114</v>
      </c>
      <c r="K209" s="217" t="s">
        <v>91</v>
      </c>
      <c r="L209" s="220">
        <v>2274482334</v>
      </c>
      <c r="M209" s="206">
        <v>333634565</v>
      </c>
      <c r="N209" s="206">
        <v>1940847769</v>
      </c>
      <c r="O209" s="206">
        <v>1726364617</v>
      </c>
      <c r="P209" s="206">
        <v>41119507</v>
      </c>
      <c r="Q209" s="206">
        <v>153965942</v>
      </c>
      <c r="R209" s="206">
        <v>130274124</v>
      </c>
      <c r="S209" s="105">
        <v>1</v>
      </c>
      <c r="T209" s="254">
        <f t="shared" si="87"/>
        <v>100</v>
      </c>
      <c r="U209" s="107">
        <f t="shared" si="88"/>
        <v>1</v>
      </c>
      <c r="V209" s="45">
        <v>452</v>
      </c>
      <c r="W209" s="45">
        <v>468</v>
      </c>
      <c r="X209" s="255">
        <f t="shared" si="89"/>
        <v>16</v>
      </c>
      <c r="Y209" s="255">
        <f t="shared" si="90"/>
        <v>46</v>
      </c>
      <c r="Z209" s="256">
        <f t="shared" si="91"/>
        <v>34.782608695652172</v>
      </c>
      <c r="AA209" s="257">
        <f t="shared" si="92"/>
        <v>80</v>
      </c>
      <c r="AB209" s="116">
        <f t="shared" si="93"/>
        <v>0.8</v>
      </c>
      <c r="AC209" s="123">
        <v>1849</v>
      </c>
      <c r="AD209" s="123">
        <v>1895</v>
      </c>
      <c r="AE209" s="257">
        <f t="shared" si="94"/>
        <v>46</v>
      </c>
      <c r="AF209" s="258">
        <f t="shared" si="95"/>
        <v>2.4878312601406165</v>
      </c>
      <c r="AG209" s="257">
        <f t="shared" si="96"/>
        <v>80</v>
      </c>
      <c r="AH209" s="124">
        <f t="shared" si="97"/>
        <v>3.2</v>
      </c>
      <c r="AI209" s="105">
        <v>0</v>
      </c>
      <c r="AJ209" s="105">
        <v>0</v>
      </c>
      <c r="AK209" s="105">
        <v>0</v>
      </c>
      <c r="AL209" s="105">
        <v>0</v>
      </c>
      <c r="AM209" s="260">
        <f t="shared" si="98"/>
        <v>0</v>
      </c>
      <c r="AN209" s="260">
        <f t="shared" si="99"/>
        <v>20</v>
      </c>
      <c r="AO209" s="130">
        <f t="shared" si="100"/>
        <v>0.2</v>
      </c>
      <c r="AP209" s="106">
        <v>4233266</v>
      </c>
      <c r="AQ209" s="261">
        <f t="shared" si="113"/>
        <v>3.2495064023612241</v>
      </c>
      <c r="AR209" s="261">
        <f t="shared" si="101"/>
        <v>73.742596035418359</v>
      </c>
      <c r="AS209" s="107">
        <f t="shared" si="102"/>
        <v>2.9497038414167345</v>
      </c>
      <c r="AT209" s="105">
        <v>1</v>
      </c>
      <c r="AU209" s="105">
        <v>1</v>
      </c>
      <c r="AV209" s="262">
        <f t="shared" si="103"/>
        <v>50</v>
      </c>
      <c r="AW209" s="134">
        <v>4</v>
      </c>
      <c r="AX209" s="134" t="s">
        <v>3602</v>
      </c>
      <c r="AY209" s="262">
        <f t="shared" si="104"/>
        <v>50</v>
      </c>
      <c r="AZ209" s="262">
        <f t="shared" si="105"/>
        <v>100</v>
      </c>
      <c r="BA209" s="38">
        <f t="shared" si="106"/>
        <v>1</v>
      </c>
      <c r="BB209" s="105">
        <v>0</v>
      </c>
      <c r="BC209" s="105">
        <v>0</v>
      </c>
      <c r="BD209" s="105">
        <v>0</v>
      </c>
      <c r="BE209" s="262">
        <f t="shared" si="107"/>
        <v>0</v>
      </c>
      <c r="BF209" s="262">
        <f t="shared" si="108"/>
        <v>50</v>
      </c>
      <c r="BG209" s="38">
        <f t="shared" si="109"/>
        <v>0.5</v>
      </c>
      <c r="BH209" s="255">
        <f t="shared" si="110"/>
        <v>23691818</v>
      </c>
      <c r="BI209" s="256">
        <f t="shared" si="111"/>
        <v>1.3723530803805857</v>
      </c>
      <c r="BJ209" s="256">
        <f t="shared" si="114"/>
        <v>35.292648102854393</v>
      </c>
      <c r="BK209" s="55">
        <f t="shared" si="112"/>
        <v>0.70585296205708792</v>
      </c>
      <c r="BL209" s="137">
        <f t="shared" si="115"/>
        <v>10.355556803473823</v>
      </c>
    </row>
    <row r="210" spans="1:64" x14ac:dyDescent="0.6">
      <c r="A210" s="214" t="s">
        <v>942</v>
      </c>
      <c r="B210" s="13" t="s">
        <v>2190</v>
      </c>
      <c r="C210" s="219" t="s">
        <v>477</v>
      </c>
      <c r="D210" s="216" t="s">
        <v>203</v>
      </c>
      <c r="E210" s="217" t="s">
        <v>200</v>
      </c>
      <c r="F210" s="217" t="s">
        <v>654</v>
      </c>
      <c r="G210" s="218">
        <v>34929</v>
      </c>
      <c r="H210" s="217" t="s">
        <v>830</v>
      </c>
      <c r="I210" s="217" t="s">
        <v>997</v>
      </c>
      <c r="J210" s="217" t="s">
        <v>1074</v>
      </c>
      <c r="K210" s="217" t="s">
        <v>690</v>
      </c>
      <c r="L210" s="220">
        <v>337212432</v>
      </c>
      <c r="M210" s="206">
        <v>209999598</v>
      </c>
      <c r="N210" s="206">
        <v>127212835</v>
      </c>
      <c r="O210" s="206">
        <v>429618752</v>
      </c>
      <c r="P210" s="206">
        <v>13690371</v>
      </c>
      <c r="Q210" s="206">
        <v>5164140</v>
      </c>
      <c r="R210" s="206">
        <v>5720773</v>
      </c>
      <c r="S210" s="105">
        <v>1</v>
      </c>
      <c r="T210" s="254">
        <f t="shared" si="87"/>
        <v>100</v>
      </c>
      <c r="U210" s="107">
        <f t="shared" si="88"/>
        <v>1</v>
      </c>
      <c r="V210" s="45">
        <v>6</v>
      </c>
      <c r="W210" s="45">
        <v>6</v>
      </c>
      <c r="X210" s="255">
        <f t="shared" si="89"/>
        <v>0</v>
      </c>
      <c r="Y210" s="255">
        <f t="shared" si="90"/>
        <v>6</v>
      </c>
      <c r="Z210" s="256">
        <f t="shared" si="91"/>
        <v>0</v>
      </c>
      <c r="AA210" s="257">
        <f t="shared" si="92"/>
        <v>20</v>
      </c>
      <c r="AB210" s="116">
        <f t="shared" si="93"/>
        <v>0.2</v>
      </c>
      <c r="AC210" s="123">
        <v>145</v>
      </c>
      <c r="AD210" s="123">
        <v>151</v>
      </c>
      <c r="AE210" s="257">
        <f t="shared" si="94"/>
        <v>6</v>
      </c>
      <c r="AF210" s="258">
        <f t="shared" si="95"/>
        <v>4.1379310344827589</v>
      </c>
      <c r="AG210" s="257">
        <f t="shared" si="96"/>
        <v>100</v>
      </c>
      <c r="AH210" s="124">
        <f t="shared" si="97"/>
        <v>4</v>
      </c>
      <c r="AI210" s="105">
        <v>0</v>
      </c>
      <c r="AJ210" s="105">
        <v>0</v>
      </c>
      <c r="AK210" s="105">
        <v>0</v>
      </c>
      <c r="AL210" s="105">
        <v>0</v>
      </c>
      <c r="AM210" s="260">
        <f t="shared" si="98"/>
        <v>0</v>
      </c>
      <c r="AN210" s="260">
        <f t="shared" si="99"/>
        <v>20</v>
      </c>
      <c r="AO210" s="130">
        <f t="shared" si="100"/>
        <v>0.2</v>
      </c>
      <c r="AP210" s="106">
        <v>3000</v>
      </c>
      <c r="AQ210" s="261">
        <f t="shared" si="113"/>
        <v>5.2440465650358786E-2</v>
      </c>
      <c r="AR210" s="261">
        <f t="shared" si="101"/>
        <v>25.78660698475538</v>
      </c>
      <c r="AS210" s="107">
        <f t="shared" si="102"/>
        <v>1.0314642793902151</v>
      </c>
      <c r="AT210" s="105">
        <v>0</v>
      </c>
      <c r="AU210" s="105">
        <v>1</v>
      </c>
      <c r="AV210" s="262">
        <f t="shared" si="103"/>
        <v>25</v>
      </c>
      <c r="AW210" s="134">
        <v>0</v>
      </c>
      <c r="AX210" s="134"/>
      <c r="AY210" s="262">
        <f t="shared" si="104"/>
        <v>0</v>
      </c>
      <c r="AZ210" s="262">
        <f t="shared" si="105"/>
        <v>25</v>
      </c>
      <c r="BA210" s="38">
        <f t="shared" si="106"/>
        <v>0.25</v>
      </c>
      <c r="BB210" s="105">
        <v>0</v>
      </c>
      <c r="BC210" s="105">
        <v>0</v>
      </c>
      <c r="BD210" s="105">
        <v>0</v>
      </c>
      <c r="BE210" s="262">
        <f t="shared" si="107"/>
        <v>0</v>
      </c>
      <c r="BF210" s="262">
        <f t="shared" si="108"/>
        <v>50</v>
      </c>
      <c r="BG210" s="38">
        <f t="shared" si="109"/>
        <v>0.5</v>
      </c>
      <c r="BH210" s="255">
        <f t="shared" si="110"/>
        <v>-556633</v>
      </c>
      <c r="BI210" s="256">
        <f t="shared" si="111"/>
        <v>-0.12956440970248898</v>
      </c>
      <c r="BJ210" s="256">
        <f t="shared" si="114"/>
        <v>25</v>
      </c>
      <c r="BK210" s="55">
        <f t="shared" si="112"/>
        <v>0.5</v>
      </c>
      <c r="BL210" s="137">
        <f t="shared" si="115"/>
        <v>7.6814642793902159</v>
      </c>
    </row>
    <row r="211" spans="1:64" x14ac:dyDescent="0.6">
      <c r="A211" s="214" t="s">
        <v>820</v>
      </c>
      <c r="B211" s="13" t="s">
        <v>2191</v>
      </c>
      <c r="C211" s="219" t="s">
        <v>419</v>
      </c>
      <c r="D211" s="216" t="s">
        <v>285</v>
      </c>
      <c r="E211" s="217" t="s">
        <v>796</v>
      </c>
      <c r="F211" s="217" t="s">
        <v>1015</v>
      </c>
      <c r="G211" s="218">
        <v>42202</v>
      </c>
      <c r="H211" s="217" t="s">
        <v>830</v>
      </c>
      <c r="I211" s="217" t="s">
        <v>784</v>
      </c>
      <c r="J211" s="217" t="s">
        <v>1104</v>
      </c>
      <c r="K211" s="217" t="s">
        <v>91</v>
      </c>
      <c r="L211" s="220">
        <v>1090534674</v>
      </c>
      <c r="M211" s="206">
        <v>385964079</v>
      </c>
      <c r="N211" s="206">
        <v>704570595</v>
      </c>
      <c r="O211" s="206">
        <v>487630665</v>
      </c>
      <c r="P211" s="206">
        <v>26670913</v>
      </c>
      <c r="Q211" s="206">
        <v>152059469</v>
      </c>
      <c r="R211" s="206">
        <v>126398998</v>
      </c>
      <c r="S211" s="105">
        <v>1</v>
      </c>
      <c r="T211" s="254">
        <f t="shared" si="87"/>
        <v>100</v>
      </c>
      <c r="U211" s="107">
        <f t="shared" si="88"/>
        <v>1</v>
      </c>
      <c r="V211" s="45">
        <v>296</v>
      </c>
      <c r="W211" s="45">
        <v>372</v>
      </c>
      <c r="X211" s="255">
        <f t="shared" si="89"/>
        <v>76</v>
      </c>
      <c r="Y211" s="255">
        <f t="shared" si="90"/>
        <v>107</v>
      </c>
      <c r="Z211" s="256">
        <f t="shared" si="91"/>
        <v>71.028037383177562</v>
      </c>
      <c r="AA211" s="257">
        <f t="shared" si="92"/>
        <v>100</v>
      </c>
      <c r="AB211" s="116">
        <f t="shared" si="93"/>
        <v>1</v>
      </c>
      <c r="AC211" s="123">
        <v>673</v>
      </c>
      <c r="AD211" s="123">
        <v>780</v>
      </c>
      <c r="AE211" s="257">
        <f t="shared" si="94"/>
        <v>107</v>
      </c>
      <c r="AF211" s="258">
        <f t="shared" si="95"/>
        <v>15.89895988112927</v>
      </c>
      <c r="AG211" s="257">
        <f t="shared" si="96"/>
        <v>100</v>
      </c>
      <c r="AH211" s="124">
        <f t="shared" si="97"/>
        <v>4</v>
      </c>
      <c r="AI211" s="105">
        <v>0</v>
      </c>
      <c r="AJ211" s="105">
        <v>1</v>
      </c>
      <c r="AK211" s="105">
        <v>0</v>
      </c>
      <c r="AL211" s="105">
        <v>0</v>
      </c>
      <c r="AM211" s="260">
        <f t="shared" si="98"/>
        <v>1</v>
      </c>
      <c r="AN211" s="260">
        <f t="shared" si="99"/>
        <v>40</v>
      </c>
      <c r="AO211" s="130">
        <f t="shared" si="100"/>
        <v>0.4</v>
      </c>
      <c r="AP211" s="106">
        <v>636502</v>
      </c>
      <c r="AQ211" s="261">
        <f t="shared" si="113"/>
        <v>0.50356570073443141</v>
      </c>
      <c r="AR211" s="261">
        <f t="shared" si="101"/>
        <v>32.553485511016468</v>
      </c>
      <c r="AS211" s="107">
        <f t="shared" si="102"/>
        <v>1.3021394204406587</v>
      </c>
      <c r="AT211" s="105">
        <v>0</v>
      </c>
      <c r="AU211" s="105">
        <v>1</v>
      </c>
      <c r="AV211" s="262">
        <f t="shared" si="103"/>
        <v>25</v>
      </c>
      <c r="AW211" s="134">
        <v>0</v>
      </c>
      <c r="AX211" s="134"/>
      <c r="AY211" s="262">
        <f t="shared" si="104"/>
        <v>0</v>
      </c>
      <c r="AZ211" s="262">
        <f t="shared" si="105"/>
        <v>25</v>
      </c>
      <c r="BA211" s="38">
        <f t="shared" si="106"/>
        <v>0.25</v>
      </c>
      <c r="BB211" s="105">
        <v>0</v>
      </c>
      <c r="BC211" s="105">
        <v>0</v>
      </c>
      <c r="BD211" s="105">
        <v>0</v>
      </c>
      <c r="BE211" s="262">
        <f t="shared" si="107"/>
        <v>0</v>
      </c>
      <c r="BF211" s="262">
        <f t="shared" si="108"/>
        <v>50</v>
      </c>
      <c r="BG211" s="38">
        <f t="shared" si="109"/>
        <v>0.5</v>
      </c>
      <c r="BH211" s="255">
        <f t="shared" si="110"/>
        <v>25660471</v>
      </c>
      <c r="BI211" s="256">
        <f t="shared" si="111"/>
        <v>5.26227590711507</v>
      </c>
      <c r="BJ211" s="256">
        <f t="shared" si="114"/>
        <v>64.467069303363019</v>
      </c>
      <c r="BK211" s="55">
        <f t="shared" si="112"/>
        <v>1.2893413860672605</v>
      </c>
      <c r="BL211" s="137">
        <f t="shared" si="115"/>
        <v>9.7414808065079193</v>
      </c>
    </row>
    <row r="212" spans="1:64" x14ac:dyDescent="0.6">
      <c r="A212" s="214" t="s">
        <v>831</v>
      </c>
      <c r="B212" s="13" t="s">
        <v>2192</v>
      </c>
      <c r="C212" s="219" t="s">
        <v>421</v>
      </c>
      <c r="D212" s="216" t="s">
        <v>285</v>
      </c>
      <c r="E212" s="217" t="s">
        <v>504</v>
      </c>
      <c r="F212" s="217" t="s">
        <v>879</v>
      </c>
      <c r="G212" s="218">
        <v>40704</v>
      </c>
      <c r="H212" s="217" t="s">
        <v>830</v>
      </c>
      <c r="I212" s="217" t="s">
        <v>778</v>
      </c>
      <c r="J212" s="217" t="s">
        <v>113</v>
      </c>
      <c r="K212" s="217" t="s">
        <v>91</v>
      </c>
      <c r="L212" s="220">
        <v>20129787392</v>
      </c>
      <c r="M212" s="206">
        <v>9708728742</v>
      </c>
      <c r="N212" s="206">
        <v>10421058650</v>
      </c>
      <c r="O212" s="206">
        <v>15486823899</v>
      </c>
      <c r="P212" s="206">
        <v>258855639</v>
      </c>
      <c r="Q212" s="206">
        <v>1381769677</v>
      </c>
      <c r="R212" s="206">
        <v>1050709937</v>
      </c>
      <c r="S212" s="105">
        <v>1</v>
      </c>
      <c r="T212" s="254">
        <f t="shared" si="87"/>
        <v>100</v>
      </c>
      <c r="U212" s="107">
        <f t="shared" si="88"/>
        <v>1</v>
      </c>
      <c r="V212" s="45">
        <v>15123</v>
      </c>
      <c r="W212" s="45">
        <f>14430+272</f>
        <v>14702</v>
      </c>
      <c r="X212" s="255">
        <f t="shared" si="89"/>
        <v>-421</v>
      </c>
      <c r="Y212" s="255">
        <f t="shared" si="90"/>
        <v>-472</v>
      </c>
      <c r="Z212" s="256">
        <f t="shared" si="91"/>
        <v>-42100</v>
      </c>
      <c r="AA212" s="257">
        <f t="shared" si="92"/>
        <v>20</v>
      </c>
      <c r="AB212" s="116">
        <f t="shared" si="93"/>
        <v>0.2</v>
      </c>
      <c r="AC212" s="123">
        <v>24599</v>
      </c>
      <c r="AD212" s="123">
        <f>23844+283</f>
        <v>24127</v>
      </c>
      <c r="AE212" s="257">
        <f t="shared" si="94"/>
        <v>-472</v>
      </c>
      <c r="AF212" s="258">
        <f t="shared" si="95"/>
        <v>-1.9187771860644742</v>
      </c>
      <c r="AG212" s="257">
        <f t="shared" si="96"/>
        <v>20</v>
      </c>
      <c r="AH212" s="124">
        <f t="shared" si="97"/>
        <v>0.8</v>
      </c>
      <c r="AI212" s="105">
        <v>0</v>
      </c>
      <c r="AJ212" s="105">
        <v>0</v>
      </c>
      <c r="AK212" s="105">
        <v>0</v>
      </c>
      <c r="AL212" s="105">
        <v>0</v>
      </c>
      <c r="AM212" s="260">
        <f t="shared" si="98"/>
        <v>0</v>
      </c>
      <c r="AN212" s="260">
        <f t="shared" si="99"/>
        <v>20</v>
      </c>
      <c r="AO212" s="130">
        <f t="shared" si="100"/>
        <v>0.2</v>
      </c>
      <c r="AP212" s="106">
        <v>10169000</v>
      </c>
      <c r="AQ212" s="261">
        <f t="shared" si="113"/>
        <v>0.9678218166504311</v>
      </c>
      <c r="AR212" s="261">
        <f t="shared" si="101"/>
        <v>39.517327249756462</v>
      </c>
      <c r="AS212" s="107">
        <f t="shared" si="102"/>
        <v>1.5806930899902585</v>
      </c>
      <c r="AT212" s="105">
        <v>0</v>
      </c>
      <c r="AU212" s="105">
        <v>1</v>
      </c>
      <c r="AV212" s="262">
        <f t="shared" si="103"/>
        <v>25</v>
      </c>
      <c r="AW212" s="134">
        <v>2</v>
      </c>
      <c r="AX212" s="134" t="s">
        <v>3603</v>
      </c>
      <c r="AY212" s="262">
        <f t="shared" si="104"/>
        <v>25</v>
      </c>
      <c r="AZ212" s="262">
        <f t="shared" si="105"/>
        <v>50</v>
      </c>
      <c r="BA212" s="38">
        <f t="shared" si="106"/>
        <v>0.5</v>
      </c>
      <c r="BB212" s="105">
        <v>0</v>
      </c>
      <c r="BC212" s="105">
        <v>0</v>
      </c>
      <c r="BD212" s="105">
        <v>0</v>
      </c>
      <c r="BE212" s="262">
        <f t="shared" si="107"/>
        <v>0</v>
      </c>
      <c r="BF212" s="262">
        <f t="shared" si="108"/>
        <v>50</v>
      </c>
      <c r="BG212" s="38">
        <f t="shared" si="109"/>
        <v>0.5</v>
      </c>
      <c r="BH212" s="255">
        <f t="shared" si="110"/>
        <v>331059740</v>
      </c>
      <c r="BI212" s="256">
        <f t="shared" si="111"/>
        <v>2.1376864756715985</v>
      </c>
      <c r="BJ212" s="256">
        <f t="shared" si="114"/>
        <v>41.032648567536988</v>
      </c>
      <c r="BK212" s="55">
        <f t="shared" si="112"/>
        <v>0.82065297135073978</v>
      </c>
      <c r="BL212" s="137">
        <f t="shared" si="115"/>
        <v>5.6013460613409976</v>
      </c>
    </row>
    <row r="213" spans="1:64" x14ac:dyDescent="0.6">
      <c r="A213" s="214" t="s">
        <v>1777</v>
      </c>
      <c r="B213" s="13" t="s">
        <v>2193</v>
      </c>
      <c r="C213" s="219" t="s">
        <v>1778</v>
      </c>
      <c r="D213" s="14" t="s">
        <v>202</v>
      </c>
      <c r="E213" s="217" t="s">
        <v>205</v>
      </c>
      <c r="F213" s="217" t="s">
        <v>1779</v>
      </c>
      <c r="G213" s="218">
        <v>37901</v>
      </c>
      <c r="H213" s="217" t="s">
        <v>830</v>
      </c>
      <c r="I213" s="217" t="s">
        <v>1780</v>
      </c>
      <c r="J213" s="1" t="s">
        <v>3729</v>
      </c>
      <c r="K213" s="217" t="s">
        <v>308</v>
      </c>
      <c r="L213" s="220">
        <v>462207021</v>
      </c>
      <c r="M213" s="206">
        <v>210809722</v>
      </c>
      <c r="N213" s="206">
        <v>251397299</v>
      </c>
      <c r="O213" s="206">
        <v>497212502</v>
      </c>
      <c r="P213" s="206">
        <v>96368755</v>
      </c>
      <c r="Q213" s="206">
        <v>91241096</v>
      </c>
      <c r="R213" s="206">
        <v>85549247</v>
      </c>
      <c r="S213" s="105">
        <v>1</v>
      </c>
      <c r="T213" s="254">
        <f t="shared" si="87"/>
        <v>100</v>
      </c>
      <c r="U213" s="107">
        <f t="shared" si="88"/>
        <v>1</v>
      </c>
      <c r="V213" s="45">
        <v>74</v>
      </c>
      <c r="W213" s="45">
        <f>68</f>
        <v>68</v>
      </c>
      <c r="X213" s="255">
        <f t="shared" si="89"/>
        <v>-6</v>
      </c>
      <c r="Y213" s="255">
        <f t="shared" si="90"/>
        <v>-10</v>
      </c>
      <c r="Z213" s="256">
        <f t="shared" si="91"/>
        <v>-600</v>
      </c>
      <c r="AA213" s="257">
        <f t="shared" si="92"/>
        <v>20</v>
      </c>
      <c r="AB213" s="116">
        <f t="shared" si="93"/>
        <v>0.2</v>
      </c>
      <c r="AC213" s="123">
        <v>892</v>
      </c>
      <c r="AD213" s="123">
        <v>882</v>
      </c>
      <c r="AE213" s="257">
        <f t="shared" si="94"/>
        <v>-10</v>
      </c>
      <c r="AF213" s="258">
        <f t="shared" si="95"/>
        <v>-1.1210762331838564</v>
      </c>
      <c r="AG213" s="257">
        <f t="shared" si="96"/>
        <v>20</v>
      </c>
      <c r="AH213" s="124">
        <f t="shared" si="97"/>
        <v>0.8</v>
      </c>
      <c r="AI213" s="105">
        <v>0</v>
      </c>
      <c r="AJ213" s="105">
        <v>0</v>
      </c>
      <c r="AK213" s="105">
        <v>0</v>
      </c>
      <c r="AL213" s="105">
        <v>0</v>
      </c>
      <c r="AM213" s="260">
        <f t="shared" si="98"/>
        <v>0</v>
      </c>
      <c r="AN213" s="260">
        <f t="shared" si="99"/>
        <v>20</v>
      </c>
      <c r="AO213" s="130">
        <f t="shared" si="100"/>
        <v>0.2</v>
      </c>
      <c r="AP213" s="106">
        <v>365</v>
      </c>
      <c r="AQ213" s="261">
        <f t="shared" si="113"/>
        <v>4.2665483659955531E-4</v>
      </c>
      <c r="AR213" s="261">
        <f t="shared" si="101"/>
        <v>25.006399822548993</v>
      </c>
      <c r="AS213" s="107">
        <f t="shared" si="102"/>
        <v>1.0002559929019597</v>
      </c>
      <c r="AT213" s="105">
        <v>1</v>
      </c>
      <c r="AU213" s="105">
        <v>1</v>
      </c>
      <c r="AV213" s="262">
        <f t="shared" si="103"/>
        <v>50</v>
      </c>
      <c r="AW213" s="134">
        <v>2</v>
      </c>
      <c r="AX213" s="447" t="s">
        <v>3730</v>
      </c>
      <c r="AY213" s="262">
        <f t="shared" si="104"/>
        <v>25</v>
      </c>
      <c r="AZ213" s="262">
        <f t="shared" si="105"/>
        <v>75</v>
      </c>
      <c r="BA213" s="38">
        <f t="shared" si="106"/>
        <v>0.75</v>
      </c>
      <c r="BB213" s="105">
        <v>0</v>
      </c>
      <c r="BC213" s="105">
        <v>0</v>
      </c>
      <c r="BD213" s="105">
        <v>0</v>
      </c>
      <c r="BE213" s="262">
        <f t="shared" si="107"/>
        <v>0</v>
      </c>
      <c r="BF213" s="262">
        <f t="shared" si="108"/>
        <v>50</v>
      </c>
      <c r="BG213" s="38">
        <f t="shared" si="109"/>
        <v>0.5</v>
      </c>
      <c r="BH213" s="255">
        <f t="shared" si="110"/>
        <v>5691849</v>
      </c>
      <c r="BI213" s="256">
        <f t="shared" si="111"/>
        <v>1.1447517866314632</v>
      </c>
      <c r="BJ213" s="256">
        <f t="shared" si="114"/>
        <v>33.58563839973597</v>
      </c>
      <c r="BK213" s="55">
        <f t="shared" si="112"/>
        <v>0.67171276799471946</v>
      </c>
      <c r="BL213" s="137">
        <f t="shared" si="115"/>
        <v>5.1219687608966797</v>
      </c>
    </row>
    <row r="214" spans="1:64" x14ac:dyDescent="0.6">
      <c r="A214" s="214" t="s">
        <v>488</v>
      </c>
      <c r="B214" s="13" t="s">
        <v>2194</v>
      </c>
      <c r="C214" s="219" t="s">
        <v>495</v>
      </c>
      <c r="D214" s="216" t="s">
        <v>191</v>
      </c>
      <c r="E214" s="217" t="s">
        <v>34</v>
      </c>
      <c r="F214" s="217" t="s">
        <v>234</v>
      </c>
      <c r="G214" s="218">
        <v>40339</v>
      </c>
      <c r="H214" s="217" t="s">
        <v>830</v>
      </c>
      <c r="I214" s="217" t="s">
        <v>959</v>
      </c>
      <c r="J214" s="217" t="s">
        <v>1070</v>
      </c>
      <c r="K214" s="217" t="s">
        <v>91</v>
      </c>
      <c r="L214" s="220">
        <v>479981348</v>
      </c>
      <c r="M214" s="206">
        <v>232687116</v>
      </c>
      <c r="N214" s="206">
        <v>247294232</v>
      </c>
      <c r="O214" s="206">
        <v>154038839</v>
      </c>
      <c r="P214" s="206">
        <v>5567015</v>
      </c>
      <c r="Q214" s="206">
        <v>5998079</v>
      </c>
      <c r="R214" s="206">
        <v>7325400</v>
      </c>
      <c r="S214" s="105">
        <v>0</v>
      </c>
      <c r="T214" s="254">
        <f t="shared" si="87"/>
        <v>0</v>
      </c>
      <c r="U214" s="107">
        <f t="shared" si="88"/>
        <v>0</v>
      </c>
      <c r="V214" s="45">
        <v>138</v>
      </c>
      <c r="W214" s="45">
        <v>140</v>
      </c>
      <c r="X214" s="255">
        <f t="shared" si="89"/>
        <v>2</v>
      </c>
      <c r="Y214" s="255">
        <f t="shared" si="90"/>
        <v>-18</v>
      </c>
      <c r="Z214" s="256">
        <f t="shared" si="91"/>
        <v>200</v>
      </c>
      <c r="AA214" s="257">
        <f t="shared" si="92"/>
        <v>100</v>
      </c>
      <c r="AB214" s="116">
        <f t="shared" si="93"/>
        <v>1</v>
      </c>
      <c r="AC214" s="123">
        <v>494</v>
      </c>
      <c r="AD214" s="123">
        <f>476</f>
        <v>476</v>
      </c>
      <c r="AE214" s="257">
        <f t="shared" si="94"/>
        <v>-18</v>
      </c>
      <c r="AF214" s="258">
        <f t="shared" si="95"/>
        <v>-3.6437246963562751</v>
      </c>
      <c r="AG214" s="257">
        <f t="shared" si="96"/>
        <v>20</v>
      </c>
      <c r="AH214" s="124">
        <f t="shared" si="97"/>
        <v>0.8</v>
      </c>
      <c r="AI214" s="105">
        <v>0</v>
      </c>
      <c r="AJ214" s="105">
        <v>0</v>
      </c>
      <c r="AK214" s="105">
        <v>0</v>
      </c>
      <c r="AL214" s="105">
        <v>0</v>
      </c>
      <c r="AM214" s="260">
        <f t="shared" si="98"/>
        <v>0</v>
      </c>
      <c r="AN214" s="260">
        <f t="shared" si="99"/>
        <v>20</v>
      </c>
      <c r="AO214" s="130">
        <f t="shared" si="100"/>
        <v>0.2</v>
      </c>
      <c r="AP214" s="106">
        <v>714517</v>
      </c>
      <c r="AQ214" s="261">
        <f t="shared" si="113"/>
        <v>9.7539656537526955</v>
      </c>
      <c r="AR214" s="261">
        <f t="shared" si="101"/>
        <v>100</v>
      </c>
      <c r="AS214" s="107">
        <f t="shared" si="102"/>
        <v>4</v>
      </c>
      <c r="AT214" s="105">
        <v>0</v>
      </c>
      <c r="AU214" s="105">
        <v>1</v>
      </c>
      <c r="AV214" s="262">
        <f t="shared" si="103"/>
        <v>25</v>
      </c>
      <c r="AW214" s="134">
        <v>0</v>
      </c>
      <c r="AX214" s="134"/>
      <c r="AY214" s="262">
        <f t="shared" si="104"/>
        <v>0</v>
      </c>
      <c r="AZ214" s="262">
        <f t="shared" si="105"/>
        <v>25</v>
      </c>
      <c r="BA214" s="38">
        <f t="shared" si="106"/>
        <v>0.25</v>
      </c>
      <c r="BB214" s="105">
        <v>0</v>
      </c>
      <c r="BC214" s="105">
        <v>0</v>
      </c>
      <c r="BD214" s="105">
        <v>0</v>
      </c>
      <c r="BE214" s="262">
        <f t="shared" si="107"/>
        <v>0</v>
      </c>
      <c r="BF214" s="262">
        <f t="shared" si="108"/>
        <v>50</v>
      </c>
      <c r="BG214" s="38">
        <f t="shared" si="109"/>
        <v>0.5</v>
      </c>
      <c r="BH214" s="255">
        <f t="shared" si="110"/>
        <v>-1327321</v>
      </c>
      <c r="BI214" s="256">
        <f t="shared" si="111"/>
        <v>-0.86167943657378521</v>
      </c>
      <c r="BJ214" s="256">
        <f t="shared" si="114"/>
        <v>25</v>
      </c>
      <c r="BK214" s="55">
        <f t="shared" si="112"/>
        <v>0.5</v>
      </c>
      <c r="BL214" s="137">
        <f t="shared" si="115"/>
        <v>7.25</v>
      </c>
    </row>
    <row r="215" spans="1:64" x14ac:dyDescent="0.6">
      <c r="A215" s="214" t="s">
        <v>854</v>
      </c>
      <c r="B215" s="13" t="s">
        <v>2195</v>
      </c>
      <c r="C215" s="219" t="s">
        <v>324</v>
      </c>
      <c r="D215" s="216" t="s">
        <v>285</v>
      </c>
      <c r="E215" s="217" t="s">
        <v>978</v>
      </c>
      <c r="F215" s="217" t="s">
        <v>628</v>
      </c>
      <c r="G215" s="218">
        <v>39028</v>
      </c>
      <c r="H215" s="217" t="s">
        <v>830</v>
      </c>
      <c r="I215" s="217" t="s">
        <v>1782</v>
      </c>
      <c r="J215" s="217" t="s">
        <v>1073</v>
      </c>
      <c r="K215" s="217" t="s">
        <v>346</v>
      </c>
      <c r="L215" s="220">
        <v>425143163</v>
      </c>
      <c r="M215" s="206">
        <v>223549583</v>
      </c>
      <c r="N215" s="206">
        <v>201593580</v>
      </c>
      <c r="O215" s="206">
        <v>728356330</v>
      </c>
      <c r="P215" s="206">
        <v>8460657</v>
      </c>
      <c r="Q215" s="206">
        <v>15047784</v>
      </c>
      <c r="R215" s="206">
        <v>11942346</v>
      </c>
      <c r="S215" s="105">
        <v>1</v>
      </c>
      <c r="T215" s="254">
        <f t="shared" si="87"/>
        <v>100</v>
      </c>
      <c r="U215" s="107">
        <f t="shared" si="88"/>
        <v>1</v>
      </c>
      <c r="V215" s="45">
        <v>10</v>
      </c>
      <c r="W215" s="45">
        <v>10</v>
      </c>
      <c r="X215" s="255">
        <f t="shared" si="89"/>
        <v>0</v>
      </c>
      <c r="Y215" s="255">
        <f t="shared" si="90"/>
        <v>1</v>
      </c>
      <c r="Z215" s="256">
        <f t="shared" si="91"/>
        <v>0</v>
      </c>
      <c r="AA215" s="257">
        <f t="shared" si="92"/>
        <v>20</v>
      </c>
      <c r="AB215" s="116">
        <f t="shared" si="93"/>
        <v>0.2</v>
      </c>
      <c r="AC215" s="123">
        <v>184</v>
      </c>
      <c r="AD215" s="123">
        <v>185</v>
      </c>
      <c r="AE215" s="257">
        <f t="shared" si="94"/>
        <v>1</v>
      </c>
      <c r="AF215" s="258">
        <f t="shared" si="95"/>
        <v>0.54347826086956519</v>
      </c>
      <c r="AG215" s="257">
        <f t="shared" si="96"/>
        <v>60</v>
      </c>
      <c r="AH215" s="124">
        <f t="shared" si="97"/>
        <v>2.4</v>
      </c>
      <c r="AI215" s="105">
        <v>0</v>
      </c>
      <c r="AJ215" s="105">
        <v>0</v>
      </c>
      <c r="AK215" s="105">
        <v>0</v>
      </c>
      <c r="AL215" s="105">
        <v>0</v>
      </c>
      <c r="AM215" s="260">
        <f t="shared" si="98"/>
        <v>0</v>
      </c>
      <c r="AN215" s="260">
        <f t="shared" si="99"/>
        <v>20</v>
      </c>
      <c r="AO215" s="130">
        <f t="shared" si="100"/>
        <v>0.2</v>
      </c>
      <c r="AP215" s="106">
        <v>492750</v>
      </c>
      <c r="AQ215" s="261">
        <f t="shared" si="113"/>
        <v>4.1260737211934737</v>
      </c>
      <c r="AR215" s="261">
        <f t="shared" si="101"/>
        <v>86.891105817902115</v>
      </c>
      <c r="AS215" s="107">
        <f t="shared" si="102"/>
        <v>3.4756442327160846</v>
      </c>
      <c r="AT215" s="105">
        <v>0</v>
      </c>
      <c r="AU215" s="105">
        <v>1</v>
      </c>
      <c r="AV215" s="262">
        <f t="shared" si="103"/>
        <v>25</v>
      </c>
      <c r="AW215" s="134">
        <v>0</v>
      </c>
      <c r="AX215" s="134"/>
      <c r="AY215" s="262">
        <f t="shared" si="104"/>
        <v>0</v>
      </c>
      <c r="AZ215" s="262">
        <f t="shared" si="105"/>
        <v>25</v>
      </c>
      <c r="BA215" s="38">
        <f t="shared" si="106"/>
        <v>0.25</v>
      </c>
      <c r="BB215" s="105">
        <v>0</v>
      </c>
      <c r="BC215" s="105">
        <v>0</v>
      </c>
      <c r="BD215" s="105">
        <v>0</v>
      </c>
      <c r="BE215" s="262">
        <f t="shared" si="107"/>
        <v>0</v>
      </c>
      <c r="BF215" s="262">
        <f t="shared" si="108"/>
        <v>50</v>
      </c>
      <c r="BG215" s="38">
        <f t="shared" si="109"/>
        <v>0.5</v>
      </c>
      <c r="BH215" s="255">
        <f t="shared" si="110"/>
        <v>3105438</v>
      </c>
      <c r="BI215" s="256">
        <f t="shared" si="111"/>
        <v>0.42636246464694005</v>
      </c>
      <c r="BJ215" s="256">
        <f t="shared" si="114"/>
        <v>28.19771848485205</v>
      </c>
      <c r="BK215" s="55">
        <f t="shared" si="112"/>
        <v>0.56395436969704105</v>
      </c>
      <c r="BL215" s="137">
        <f t="shared" si="115"/>
        <v>8.5895986024131261</v>
      </c>
    </row>
    <row r="216" spans="1:64" x14ac:dyDescent="0.6">
      <c r="A216" s="214" t="s">
        <v>1783</v>
      </c>
      <c r="B216" s="13" t="s">
        <v>2196</v>
      </c>
      <c r="C216" s="219" t="s">
        <v>1784</v>
      </c>
      <c r="D216" s="14" t="s">
        <v>285</v>
      </c>
      <c r="E216" s="217" t="s">
        <v>1432</v>
      </c>
      <c r="F216" s="217" t="s">
        <v>1785</v>
      </c>
      <c r="G216" s="218">
        <v>40893</v>
      </c>
      <c r="H216" s="217" t="s">
        <v>830</v>
      </c>
      <c r="I216" s="217" t="s">
        <v>1786</v>
      </c>
      <c r="J216" s="1" t="s">
        <v>3731</v>
      </c>
      <c r="K216" s="217" t="s">
        <v>484</v>
      </c>
      <c r="L216" s="220">
        <v>385856608</v>
      </c>
      <c r="M216" s="206">
        <v>158877086</v>
      </c>
      <c r="N216" s="206">
        <v>226979522</v>
      </c>
      <c r="O216" s="206">
        <v>667448084</v>
      </c>
      <c r="P216" s="206">
        <v>26380166</v>
      </c>
      <c r="Q216" s="206">
        <v>27563574</v>
      </c>
      <c r="R216" s="206">
        <v>25353259</v>
      </c>
      <c r="S216" s="105">
        <v>1</v>
      </c>
      <c r="T216" s="254">
        <f t="shared" si="87"/>
        <v>100</v>
      </c>
      <c r="U216" s="107">
        <f t="shared" si="88"/>
        <v>1</v>
      </c>
      <c r="V216" s="45">
        <v>60</v>
      </c>
      <c r="W216" s="45">
        <v>72</v>
      </c>
      <c r="X216" s="255">
        <f t="shared" si="89"/>
        <v>12</v>
      </c>
      <c r="Y216" s="255">
        <f t="shared" si="90"/>
        <v>27</v>
      </c>
      <c r="Z216" s="256">
        <f t="shared" si="91"/>
        <v>44.444444444444443</v>
      </c>
      <c r="AA216" s="257">
        <f t="shared" si="92"/>
        <v>100</v>
      </c>
      <c r="AB216" s="116">
        <f t="shared" si="93"/>
        <v>1</v>
      </c>
      <c r="AC216" s="123">
        <v>431</v>
      </c>
      <c r="AD216" s="123">
        <v>458</v>
      </c>
      <c r="AE216" s="257">
        <f t="shared" si="94"/>
        <v>27</v>
      </c>
      <c r="AF216" s="258">
        <f t="shared" si="95"/>
        <v>6.2645011600928076</v>
      </c>
      <c r="AG216" s="257">
        <f t="shared" si="96"/>
        <v>100</v>
      </c>
      <c r="AH216" s="124">
        <f t="shared" si="97"/>
        <v>4</v>
      </c>
      <c r="AI216" s="105">
        <v>0</v>
      </c>
      <c r="AJ216" s="105">
        <v>0</v>
      </c>
      <c r="AK216" s="105">
        <v>0</v>
      </c>
      <c r="AL216" s="105">
        <v>0</v>
      </c>
      <c r="AM216" s="260">
        <f t="shared" si="98"/>
        <v>0</v>
      </c>
      <c r="AN216" s="260">
        <f t="shared" si="99"/>
        <v>20</v>
      </c>
      <c r="AO216" s="130">
        <f t="shared" si="100"/>
        <v>0.2</v>
      </c>
      <c r="AP216" s="106">
        <v>19194</v>
      </c>
      <c r="AQ216" s="261">
        <f t="shared" si="113"/>
        <v>7.5706243524747655E-2</v>
      </c>
      <c r="AR216" s="261">
        <f t="shared" si="101"/>
        <v>26.135593652871215</v>
      </c>
      <c r="AS216" s="107">
        <f t="shared" si="102"/>
        <v>1.0454237461148486</v>
      </c>
      <c r="AT216" s="105">
        <v>0</v>
      </c>
      <c r="AU216" s="105">
        <v>0</v>
      </c>
      <c r="AV216" s="262">
        <f t="shared" si="103"/>
        <v>0</v>
      </c>
      <c r="AW216" s="134">
        <v>0</v>
      </c>
      <c r="AX216" s="134"/>
      <c r="AY216" s="262">
        <f t="shared" si="104"/>
        <v>0</v>
      </c>
      <c r="AZ216" s="262">
        <f t="shared" si="105"/>
        <v>0</v>
      </c>
      <c r="BA216" s="38">
        <f t="shared" si="106"/>
        <v>0</v>
      </c>
      <c r="BB216" s="105">
        <v>0</v>
      </c>
      <c r="BC216" s="105">
        <v>0</v>
      </c>
      <c r="BD216" s="105">
        <v>0</v>
      </c>
      <c r="BE216" s="262">
        <f t="shared" si="107"/>
        <v>0</v>
      </c>
      <c r="BF216" s="262">
        <f t="shared" si="108"/>
        <v>50</v>
      </c>
      <c r="BG216" s="38">
        <f t="shared" si="109"/>
        <v>0.5</v>
      </c>
      <c r="BH216" s="255">
        <f t="shared" si="110"/>
        <v>2210315</v>
      </c>
      <c r="BI216" s="256">
        <f t="shared" si="111"/>
        <v>0.33115908982068482</v>
      </c>
      <c r="BJ216" s="256">
        <f t="shared" si="114"/>
        <v>27.483693173655137</v>
      </c>
      <c r="BK216" s="55">
        <f t="shared" si="112"/>
        <v>0.54967386347310276</v>
      </c>
      <c r="BL216" s="137">
        <f t="shared" si="115"/>
        <v>8.2950976095879518</v>
      </c>
    </row>
    <row r="217" spans="1:64" x14ac:dyDescent="0.6">
      <c r="A217" s="214" t="s">
        <v>1788</v>
      </c>
      <c r="B217" s="13" t="s">
        <v>2197</v>
      </c>
      <c r="C217" s="219" t="s">
        <v>1789</v>
      </c>
      <c r="D217" s="14" t="s">
        <v>202</v>
      </c>
      <c r="E217" s="217" t="s">
        <v>954</v>
      </c>
      <c r="F217" s="217" t="s">
        <v>1790</v>
      </c>
      <c r="G217" s="218">
        <v>38251</v>
      </c>
      <c r="H217" s="217" t="s">
        <v>830</v>
      </c>
      <c r="I217" s="217" t="s">
        <v>1791</v>
      </c>
      <c r="J217" s="1" t="s">
        <v>3732</v>
      </c>
      <c r="K217" s="217" t="s">
        <v>91</v>
      </c>
      <c r="L217" s="220">
        <v>233019596</v>
      </c>
      <c r="M217" s="206">
        <v>132560660</v>
      </c>
      <c r="N217" s="206">
        <v>100458936</v>
      </c>
      <c r="O217" s="206">
        <v>236142858</v>
      </c>
      <c r="P217" s="206">
        <v>7431623</v>
      </c>
      <c r="Q217" s="206">
        <v>7265559</v>
      </c>
      <c r="R217" s="206">
        <v>6211434</v>
      </c>
      <c r="S217" s="105">
        <v>1</v>
      </c>
      <c r="T217" s="254">
        <f t="shared" si="87"/>
        <v>100</v>
      </c>
      <c r="U217" s="107">
        <f t="shared" si="88"/>
        <v>1</v>
      </c>
      <c r="V217" s="45">
        <f>80+38</f>
        <v>118</v>
      </c>
      <c r="W217" s="45">
        <f>77+13+24</f>
        <v>114</v>
      </c>
      <c r="X217" s="255">
        <f t="shared" si="89"/>
        <v>-4</v>
      </c>
      <c r="Y217" s="255">
        <f t="shared" si="90"/>
        <v>14</v>
      </c>
      <c r="Z217" s="256">
        <f t="shared" si="91"/>
        <v>-28.571428571428569</v>
      </c>
      <c r="AA217" s="257">
        <f t="shared" si="92"/>
        <v>20</v>
      </c>
      <c r="AB217" s="116">
        <f t="shared" si="93"/>
        <v>0.2</v>
      </c>
      <c r="AC217" s="123">
        <v>359</v>
      </c>
      <c r="AD217" s="123">
        <v>373</v>
      </c>
      <c r="AE217" s="257">
        <f t="shared" si="94"/>
        <v>14</v>
      </c>
      <c r="AF217" s="258">
        <f t="shared" si="95"/>
        <v>3.8997214484679668</v>
      </c>
      <c r="AG217" s="257">
        <f t="shared" si="96"/>
        <v>100</v>
      </c>
      <c r="AH217" s="124">
        <f t="shared" si="97"/>
        <v>4</v>
      </c>
      <c r="AI217" s="105">
        <v>0</v>
      </c>
      <c r="AJ217" s="105">
        <v>0</v>
      </c>
      <c r="AK217" s="105">
        <v>0</v>
      </c>
      <c r="AL217" s="105">
        <v>0</v>
      </c>
      <c r="AM217" s="260">
        <f t="shared" si="98"/>
        <v>0</v>
      </c>
      <c r="AN217" s="260">
        <f t="shared" si="99"/>
        <v>20</v>
      </c>
      <c r="AO217" s="130">
        <f t="shared" si="100"/>
        <v>0.2</v>
      </c>
      <c r="AP217" s="106">
        <v>24163</v>
      </c>
      <c r="AQ217" s="261">
        <f t="shared" si="113"/>
        <v>0.38900839967067186</v>
      </c>
      <c r="AR217" s="261">
        <f t="shared" si="101"/>
        <v>30.835125995060078</v>
      </c>
      <c r="AS217" s="107">
        <f t="shared" si="102"/>
        <v>1.2334050398024032</v>
      </c>
      <c r="AT217" s="105">
        <v>0</v>
      </c>
      <c r="AU217" s="105">
        <v>0</v>
      </c>
      <c r="AV217" s="262">
        <f t="shared" si="103"/>
        <v>0</v>
      </c>
      <c r="AW217" s="134">
        <v>1</v>
      </c>
      <c r="AX217" s="447" t="s">
        <v>3733</v>
      </c>
      <c r="AY217" s="262">
        <f t="shared" si="104"/>
        <v>25</v>
      </c>
      <c r="AZ217" s="262">
        <f t="shared" si="105"/>
        <v>25</v>
      </c>
      <c r="BA217" s="38">
        <f t="shared" si="106"/>
        <v>0.25</v>
      </c>
      <c r="BB217" s="105">
        <v>0</v>
      </c>
      <c r="BC217" s="105">
        <v>0</v>
      </c>
      <c r="BD217" s="105">
        <v>0</v>
      </c>
      <c r="BE217" s="262">
        <f t="shared" si="107"/>
        <v>0</v>
      </c>
      <c r="BF217" s="262">
        <f t="shared" si="108"/>
        <v>50</v>
      </c>
      <c r="BG217" s="38">
        <f t="shared" si="109"/>
        <v>0.5</v>
      </c>
      <c r="BH217" s="255">
        <f t="shared" si="110"/>
        <v>1054125</v>
      </c>
      <c r="BI217" s="256">
        <f t="shared" si="111"/>
        <v>0.44639292033977163</v>
      </c>
      <c r="BJ217" s="256">
        <f t="shared" si="114"/>
        <v>28.347946902548287</v>
      </c>
      <c r="BK217" s="55">
        <f t="shared" si="112"/>
        <v>0.56695893805096576</v>
      </c>
      <c r="BL217" s="137">
        <f t="shared" si="115"/>
        <v>7.9503639778533692</v>
      </c>
    </row>
    <row r="218" spans="1:64" x14ac:dyDescent="0.6">
      <c r="A218" s="214" t="s">
        <v>412</v>
      </c>
      <c r="B218" s="13" t="s">
        <v>2198</v>
      </c>
      <c r="C218" s="219" t="s">
        <v>310</v>
      </c>
      <c r="D218" s="216" t="s">
        <v>285</v>
      </c>
      <c r="E218" s="217" t="s">
        <v>867</v>
      </c>
      <c r="F218" s="217" t="s">
        <v>573</v>
      </c>
      <c r="G218" s="218">
        <v>32844</v>
      </c>
      <c r="H218" s="217" t="s">
        <v>830</v>
      </c>
      <c r="I218" s="217" t="s">
        <v>785</v>
      </c>
      <c r="J218" s="217" t="s">
        <v>656</v>
      </c>
      <c r="K218" s="217" t="s">
        <v>346</v>
      </c>
      <c r="L218" s="220">
        <v>409776787</v>
      </c>
      <c r="M218" s="206">
        <v>290957356</v>
      </c>
      <c r="N218" s="206">
        <v>118819431</v>
      </c>
      <c r="O218" s="206">
        <v>462562008</v>
      </c>
      <c r="P218" s="206">
        <v>3161189</v>
      </c>
      <c r="Q218" s="206">
        <v>2974624</v>
      </c>
      <c r="R218" s="206">
        <v>6061078</v>
      </c>
      <c r="S218" s="105">
        <v>0</v>
      </c>
      <c r="T218" s="254">
        <f t="shared" si="87"/>
        <v>0</v>
      </c>
      <c r="U218" s="107">
        <f t="shared" si="88"/>
        <v>0</v>
      </c>
      <c r="V218" s="45">
        <v>10</v>
      </c>
      <c r="W218" s="45">
        <v>13</v>
      </c>
      <c r="X218" s="255">
        <f t="shared" si="89"/>
        <v>3</v>
      </c>
      <c r="Y218" s="255">
        <f t="shared" si="90"/>
        <v>70</v>
      </c>
      <c r="Z218" s="256">
        <f t="shared" si="91"/>
        <v>4.2857142857142856</v>
      </c>
      <c r="AA218" s="257">
        <f t="shared" si="92"/>
        <v>20</v>
      </c>
      <c r="AB218" s="116">
        <f t="shared" si="93"/>
        <v>0.2</v>
      </c>
      <c r="AC218" s="123">
        <v>320</v>
      </c>
      <c r="AD218" s="123">
        <v>390</v>
      </c>
      <c r="AE218" s="257">
        <f t="shared" si="94"/>
        <v>70</v>
      </c>
      <c r="AF218" s="258">
        <f t="shared" si="95"/>
        <v>21.875</v>
      </c>
      <c r="AG218" s="257">
        <f t="shared" si="96"/>
        <v>100</v>
      </c>
      <c r="AH218" s="124">
        <f t="shared" si="97"/>
        <v>4</v>
      </c>
      <c r="AI218" s="105">
        <v>0</v>
      </c>
      <c r="AJ218" s="105">
        <v>0</v>
      </c>
      <c r="AK218" s="105">
        <v>0</v>
      </c>
      <c r="AL218" s="105">
        <v>0</v>
      </c>
      <c r="AM218" s="260">
        <f t="shared" si="98"/>
        <v>0</v>
      </c>
      <c r="AN218" s="260">
        <f t="shared" si="99"/>
        <v>20</v>
      </c>
      <c r="AO218" s="130">
        <f t="shared" si="100"/>
        <v>0.2</v>
      </c>
      <c r="AP218" s="106">
        <v>70200</v>
      </c>
      <c r="AQ218" s="261">
        <f t="shared" si="113"/>
        <v>1.1582098102020795</v>
      </c>
      <c r="AR218" s="261">
        <f t="shared" si="101"/>
        <v>42.373147153031191</v>
      </c>
      <c r="AS218" s="107">
        <f t="shared" si="102"/>
        <v>1.6949258861212477</v>
      </c>
      <c r="AT218" s="105">
        <v>0</v>
      </c>
      <c r="AU218" s="105">
        <v>1</v>
      </c>
      <c r="AV218" s="262">
        <f t="shared" si="103"/>
        <v>25</v>
      </c>
      <c r="AW218" s="134">
        <v>0</v>
      </c>
      <c r="AX218" s="134"/>
      <c r="AY218" s="262">
        <f t="shared" si="104"/>
        <v>0</v>
      </c>
      <c r="AZ218" s="262">
        <f t="shared" si="105"/>
        <v>25</v>
      </c>
      <c r="BA218" s="38">
        <f t="shared" si="106"/>
        <v>0.25</v>
      </c>
      <c r="BB218" s="105">
        <v>0</v>
      </c>
      <c r="BC218" s="105">
        <v>0</v>
      </c>
      <c r="BD218" s="105">
        <v>0</v>
      </c>
      <c r="BE218" s="262">
        <f t="shared" si="107"/>
        <v>0</v>
      </c>
      <c r="BF218" s="262">
        <f t="shared" si="108"/>
        <v>50</v>
      </c>
      <c r="BG218" s="38">
        <f t="shared" si="109"/>
        <v>0.5</v>
      </c>
      <c r="BH218" s="255">
        <f t="shared" si="110"/>
        <v>-3086454</v>
      </c>
      <c r="BI218" s="256">
        <f t="shared" si="111"/>
        <v>-0.66725194603530869</v>
      </c>
      <c r="BJ218" s="256">
        <f t="shared" si="114"/>
        <v>25</v>
      </c>
      <c r="BK218" s="55">
        <f t="shared" si="112"/>
        <v>0.5</v>
      </c>
      <c r="BL218" s="137">
        <f t="shared" si="115"/>
        <v>7.3449258861212483</v>
      </c>
    </row>
    <row r="219" spans="1:64" x14ac:dyDescent="0.6">
      <c r="A219" s="214" t="s">
        <v>1793</v>
      </c>
      <c r="B219" s="13" t="s">
        <v>2199</v>
      </c>
      <c r="C219" s="219" t="s">
        <v>1794</v>
      </c>
      <c r="D219" s="14" t="s">
        <v>203</v>
      </c>
      <c r="E219" s="217" t="s">
        <v>1795</v>
      </c>
      <c r="F219" s="217" t="s">
        <v>1796</v>
      </c>
      <c r="G219" s="218">
        <v>31475</v>
      </c>
      <c r="H219" s="217" t="s">
        <v>830</v>
      </c>
      <c r="I219" s="217" t="s">
        <v>1797</v>
      </c>
      <c r="J219" s="1" t="s">
        <v>3734</v>
      </c>
      <c r="K219" s="217" t="s">
        <v>91</v>
      </c>
      <c r="L219" s="220">
        <v>116167864</v>
      </c>
      <c r="M219" s="206">
        <v>60940447</v>
      </c>
      <c r="N219" s="206">
        <v>55227417</v>
      </c>
      <c r="O219" s="206">
        <v>137670991</v>
      </c>
      <c r="P219" s="206">
        <v>3899804</v>
      </c>
      <c r="Q219" s="206">
        <v>2802032</v>
      </c>
      <c r="R219" s="206">
        <v>2347584</v>
      </c>
      <c r="S219" s="105">
        <v>1</v>
      </c>
      <c r="T219" s="254">
        <f t="shared" si="87"/>
        <v>100</v>
      </c>
      <c r="U219" s="107">
        <f t="shared" si="88"/>
        <v>1</v>
      </c>
      <c r="V219" s="45">
        <v>18</v>
      </c>
      <c r="W219" s="45">
        <v>18</v>
      </c>
      <c r="X219" s="255">
        <f t="shared" si="89"/>
        <v>0</v>
      </c>
      <c r="Y219" s="255">
        <f t="shared" si="90"/>
        <v>0</v>
      </c>
      <c r="Z219" s="256">
        <f t="shared" si="91"/>
        <v>0</v>
      </c>
      <c r="AA219" s="257">
        <f t="shared" si="92"/>
        <v>20</v>
      </c>
      <c r="AB219" s="116">
        <f t="shared" si="93"/>
        <v>0.2</v>
      </c>
      <c r="AC219" s="123">
        <v>77</v>
      </c>
      <c r="AD219" s="123">
        <v>77</v>
      </c>
      <c r="AE219" s="257">
        <f t="shared" si="94"/>
        <v>0</v>
      </c>
      <c r="AF219" s="258">
        <f t="shared" si="95"/>
        <v>0</v>
      </c>
      <c r="AG219" s="257">
        <f t="shared" si="96"/>
        <v>40</v>
      </c>
      <c r="AH219" s="124">
        <f t="shared" si="97"/>
        <v>1.6</v>
      </c>
      <c r="AI219" s="105">
        <v>0</v>
      </c>
      <c r="AJ219" s="105">
        <v>0</v>
      </c>
      <c r="AK219" s="105">
        <v>0</v>
      </c>
      <c r="AL219" s="105">
        <v>0</v>
      </c>
      <c r="AM219" s="260">
        <f t="shared" si="98"/>
        <v>0</v>
      </c>
      <c r="AN219" s="260">
        <f t="shared" si="99"/>
        <v>20</v>
      </c>
      <c r="AO219" s="130">
        <f t="shared" si="100"/>
        <v>0.2</v>
      </c>
      <c r="AP219" s="106">
        <v>595650</v>
      </c>
      <c r="AQ219" s="261">
        <f t="shared" si="113"/>
        <v>25.372894005070744</v>
      </c>
      <c r="AR219" s="261">
        <f t="shared" si="101"/>
        <v>100</v>
      </c>
      <c r="AS219" s="107">
        <f t="shared" si="102"/>
        <v>4</v>
      </c>
      <c r="AT219" s="105">
        <v>0</v>
      </c>
      <c r="AU219" s="105">
        <v>0</v>
      </c>
      <c r="AV219" s="262">
        <f t="shared" si="103"/>
        <v>0</v>
      </c>
      <c r="AW219" s="134">
        <v>0</v>
      </c>
      <c r="AX219" s="134"/>
      <c r="AY219" s="262">
        <f t="shared" si="104"/>
        <v>0</v>
      </c>
      <c r="AZ219" s="262">
        <f t="shared" si="105"/>
        <v>0</v>
      </c>
      <c r="BA219" s="38">
        <f t="shared" si="106"/>
        <v>0</v>
      </c>
      <c r="BB219" s="105">
        <v>0</v>
      </c>
      <c r="BC219" s="105">
        <v>0</v>
      </c>
      <c r="BD219" s="105">
        <v>0</v>
      </c>
      <c r="BE219" s="262">
        <f t="shared" si="107"/>
        <v>0</v>
      </c>
      <c r="BF219" s="262">
        <f t="shared" si="108"/>
        <v>50</v>
      </c>
      <c r="BG219" s="38">
        <f t="shared" si="109"/>
        <v>0.5</v>
      </c>
      <c r="BH219" s="255">
        <f t="shared" si="110"/>
        <v>454448</v>
      </c>
      <c r="BI219" s="256">
        <f t="shared" si="111"/>
        <v>0.33009713716668171</v>
      </c>
      <c r="BJ219" s="256">
        <f t="shared" si="114"/>
        <v>27.475728528750114</v>
      </c>
      <c r="BK219" s="55">
        <f t="shared" si="112"/>
        <v>0.5495145705750023</v>
      </c>
      <c r="BL219" s="137">
        <f t="shared" si="115"/>
        <v>8.0495145705750026</v>
      </c>
    </row>
    <row r="220" spans="1:64" x14ac:dyDescent="0.6">
      <c r="A220" s="214" t="s">
        <v>508</v>
      </c>
      <c r="B220" s="13" t="s">
        <v>2200</v>
      </c>
      <c r="C220" s="219" t="s">
        <v>460</v>
      </c>
      <c r="D220" s="216" t="s">
        <v>191</v>
      </c>
      <c r="E220" s="217" t="s">
        <v>34</v>
      </c>
      <c r="F220" s="217" t="s">
        <v>134</v>
      </c>
      <c r="G220" s="218">
        <v>27269</v>
      </c>
      <c r="H220" s="217" t="s">
        <v>830</v>
      </c>
      <c r="I220" s="217" t="s">
        <v>1799</v>
      </c>
      <c r="J220" s="217" t="s">
        <v>1071</v>
      </c>
      <c r="K220" s="217" t="s">
        <v>690</v>
      </c>
      <c r="L220" s="220">
        <v>348763942</v>
      </c>
      <c r="M220" s="206">
        <v>159228662</v>
      </c>
      <c r="N220" s="206">
        <v>189535280</v>
      </c>
      <c r="O220" s="206">
        <v>235057199</v>
      </c>
      <c r="P220" s="206">
        <v>11763437</v>
      </c>
      <c r="Q220" s="206">
        <v>12291336</v>
      </c>
      <c r="R220" s="206">
        <v>9393997</v>
      </c>
      <c r="S220" s="105">
        <v>1</v>
      </c>
      <c r="T220" s="254">
        <f t="shared" si="87"/>
        <v>100</v>
      </c>
      <c r="U220" s="107">
        <f t="shared" si="88"/>
        <v>1</v>
      </c>
      <c r="V220" s="45">
        <v>117</v>
      </c>
      <c r="W220" s="45">
        <v>127</v>
      </c>
      <c r="X220" s="255">
        <f t="shared" si="89"/>
        <v>10</v>
      </c>
      <c r="Y220" s="255">
        <f t="shared" si="90"/>
        <v>16</v>
      </c>
      <c r="Z220" s="256">
        <f t="shared" si="91"/>
        <v>62.5</v>
      </c>
      <c r="AA220" s="257">
        <f t="shared" si="92"/>
        <v>100</v>
      </c>
      <c r="AB220" s="116">
        <f t="shared" si="93"/>
        <v>1</v>
      </c>
      <c r="AC220" s="123">
        <v>632</v>
      </c>
      <c r="AD220" s="123">
        <v>648</v>
      </c>
      <c r="AE220" s="257">
        <f t="shared" si="94"/>
        <v>16</v>
      </c>
      <c r="AF220" s="258">
        <f t="shared" si="95"/>
        <v>2.5316455696202533</v>
      </c>
      <c r="AG220" s="257">
        <f t="shared" si="96"/>
        <v>100</v>
      </c>
      <c r="AH220" s="124">
        <f t="shared" si="97"/>
        <v>4</v>
      </c>
      <c r="AI220" s="105">
        <v>0</v>
      </c>
      <c r="AJ220" s="105">
        <v>0</v>
      </c>
      <c r="AK220" s="105">
        <v>0</v>
      </c>
      <c r="AL220" s="105">
        <v>0</v>
      </c>
      <c r="AM220" s="260">
        <f t="shared" si="98"/>
        <v>0</v>
      </c>
      <c r="AN220" s="260">
        <f t="shared" si="99"/>
        <v>20</v>
      </c>
      <c r="AO220" s="130">
        <f t="shared" si="100"/>
        <v>0.2</v>
      </c>
      <c r="AP220" s="106">
        <v>21637</v>
      </c>
      <c r="AQ220" s="261">
        <f t="shared" si="113"/>
        <v>0.23032794240832738</v>
      </c>
      <c r="AR220" s="261">
        <f t="shared" si="101"/>
        <v>28.454919136124911</v>
      </c>
      <c r="AS220" s="107">
        <f t="shared" si="102"/>
        <v>1.1381967654449965</v>
      </c>
      <c r="AT220" s="105">
        <v>0</v>
      </c>
      <c r="AU220" s="105">
        <v>1</v>
      </c>
      <c r="AV220" s="262">
        <f t="shared" si="103"/>
        <v>25</v>
      </c>
      <c r="AW220" s="134">
        <v>1</v>
      </c>
      <c r="AX220" s="134" t="s">
        <v>3604</v>
      </c>
      <c r="AY220" s="262">
        <f t="shared" si="104"/>
        <v>25</v>
      </c>
      <c r="AZ220" s="262">
        <f t="shared" si="105"/>
        <v>50</v>
      </c>
      <c r="BA220" s="38">
        <f t="shared" si="106"/>
        <v>0.5</v>
      </c>
      <c r="BB220" s="105">
        <v>0</v>
      </c>
      <c r="BC220" s="105">
        <v>0</v>
      </c>
      <c r="BD220" s="105">
        <v>0</v>
      </c>
      <c r="BE220" s="262">
        <f t="shared" si="107"/>
        <v>0</v>
      </c>
      <c r="BF220" s="262">
        <f t="shared" si="108"/>
        <v>50</v>
      </c>
      <c r="BG220" s="38">
        <f t="shared" si="109"/>
        <v>0.5</v>
      </c>
      <c r="BH220" s="255">
        <f t="shared" si="110"/>
        <v>2897339</v>
      </c>
      <c r="BI220" s="256">
        <f t="shared" si="111"/>
        <v>1.2326101954443862</v>
      </c>
      <c r="BJ220" s="256">
        <f t="shared" si="114"/>
        <v>34.244576465832893</v>
      </c>
      <c r="BK220" s="55">
        <f t="shared" si="112"/>
        <v>0.68489152931665787</v>
      </c>
      <c r="BL220" s="137">
        <f t="shared" si="115"/>
        <v>9.0230882947616546</v>
      </c>
    </row>
    <row r="221" spans="1:64" x14ac:dyDescent="0.6">
      <c r="A221" s="214" t="s">
        <v>362</v>
      </c>
      <c r="B221" s="13" t="s">
        <v>2201</v>
      </c>
      <c r="C221" s="219" t="s">
        <v>490</v>
      </c>
      <c r="D221" s="216" t="s">
        <v>202</v>
      </c>
      <c r="E221" s="217" t="s">
        <v>613</v>
      </c>
      <c r="F221" s="217">
        <v>0</v>
      </c>
      <c r="G221" s="218">
        <v>39661</v>
      </c>
      <c r="H221" s="217" t="s">
        <v>830</v>
      </c>
      <c r="I221" s="217" t="s">
        <v>214</v>
      </c>
      <c r="J221" s="1" t="s">
        <v>2307</v>
      </c>
      <c r="K221" s="217" t="s">
        <v>690</v>
      </c>
      <c r="L221" s="220">
        <v>818333453</v>
      </c>
      <c r="M221" s="206">
        <v>480040681</v>
      </c>
      <c r="N221" s="206">
        <v>338292772</v>
      </c>
      <c r="O221" s="206">
        <v>1132474477</v>
      </c>
      <c r="P221" s="206">
        <v>29176389</v>
      </c>
      <c r="Q221" s="206">
        <v>25221767</v>
      </c>
      <c r="R221" s="206">
        <v>22259261</v>
      </c>
      <c r="S221" s="105">
        <v>1</v>
      </c>
      <c r="T221" s="254">
        <f t="shared" si="87"/>
        <v>100</v>
      </c>
      <c r="U221" s="107">
        <f t="shared" si="88"/>
        <v>1</v>
      </c>
      <c r="V221" s="45">
        <v>30</v>
      </c>
      <c r="W221" s="45">
        <f>15+5+4+1</f>
        <v>25</v>
      </c>
      <c r="X221" s="255">
        <f t="shared" si="89"/>
        <v>-5</v>
      </c>
      <c r="Y221" s="255">
        <f t="shared" si="90"/>
        <v>47</v>
      </c>
      <c r="Z221" s="256">
        <f t="shared" si="91"/>
        <v>-10.638297872340425</v>
      </c>
      <c r="AA221" s="257">
        <f t="shared" si="92"/>
        <v>20</v>
      </c>
      <c r="AB221" s="116">
        <f t="shared" si="93"/>
        <v>0.2</v>
      </c>
      <c r="AC221" s="123">
        <v>752</v>
      </c>
      <c r="AD221" s="123">
        <f>786+13</f>
        <v>799</v>
      </c>
      <c r="AE221" s="257">
        <f t="shared" si="94"/>
        <v>47</v>
      </c>
      <c r="AF221" s="258">
        <f t="shared" si="95"/>
        <v>6.25</v>
      </c>
      <c r="AG221" s="257">
        <f t="shared" si="96"/>
        <v>100</v>
      </c>
      <c r="AH221" s="124">
        <f t="shared" si="97"/>
        <v>4</v>
      </c>
      <c r="AI221" s="105">
        <v>0</v>
      </c>
      <c r="AJ221" s="105">
        <v>0</v>
      </c>
      <c r="AK221" s="105">
        <v>0</v>
      </c>
      <c r="AL221" s="105">
        <v>0</v>
      </c>
      <c r="AM221" s="260">
        <f t="shared" si="98"/>
        <v>0</v>
      </c>
      <c r="AN221" s="260">
        <f t="shared" si="99"/>
        <v>20</v>
      </c>
      <c r="AO221" s="130">
        <f t="shared" si="100"/>
        <v>0.2</v>
      </c>
      <c r="AP221" s="106">
        <v>59306</v>
      </c>
      <c r="AQ221" s="261">
        <f t="shared" si="113"/>
        <v>0.26643292425566151</v>
      </c>
      <c r="AR221" s="261">
        <f t="shared" si="101"/>
        <v>28.996493863834921</v>
      </c>
      <c r="AS221" s="107">
        <f t="shared" si="102"/>
        <v>1.1598597545533968</v>
      </c>
      <c r="AT221" s="105">
        <v>0</v>
      </c>
      <c r="AU221" s="105">
        <v>1</v>
      </c>
      <c r="AV221" s="262">
        <f t="shared" si="103"/>
        <v>25</v>
      </c>
      <c r="AW221" s="134">
        <v>0</v>
      </c>
      <c r="AX221" s="134"/>
      <c r="AY221" s="262">
        <f t="shared" si="104"/>
        <v>0</v>
      </c>
      <c r="AZ221" s="262">
        <f t="shared" si="105"/>
        <v>25</v>
      </c>
      <c r="BA221" s="38">
        <f t="shared" si="106"/>
        <v>0.25</v>
      </c>
      <c r="BB221" s="105">
        <v>0</v>
      </c>
      <c r="BC221" s="105">
        <v>0</v>
      </c>
      <c r="BD221" s="105">
        <v>0</v>
      </c>
      <c r="BE221" s="262">
        <f t="shared" si="107"/>
        <v>0</v>
      </c>
      <c r="BF221" s="262">
        <f t="shared" si="108"/>
        <v>50</v>
      </c>
      <c r="BG221" s="38">
        <f t="shared" si="109"/>
        <v>0.5</v>
      </c>
      <c r="BH221" s="255">
        <f t="shared" si="110"/>
        <v>2962506</v>
      </c>
      <c r="BI221" s="256">
        <f t="shared" si="111"/>
        <v>0.26159582932481401</v>
      </c>
      <c r="BJ221" s="256">
        <f t="shared" si="114"/>
        <v>26.961968719936106</v>
      </c>
      <c r="BK221" s="55">
        <f t="shared" si="112"/>
        <v>0.53923937439872216</v>
      </c>
      <c r="BL221" s="137">
        <f t="shared" si="115"/>
        <v>7.849099128952119</v>
      </c>
    </row>
    <row r="222" spans="1:64" x14ac:dyDescent="0.6">
      <c r="A222" s="214" t="s">
        <v>1800</v>
      </c>
      <c r="B222" s="13" t="s">
        <v>2202</v>
      </c>
      <c r="C222" s="219" t="s">
        <v>1801</v>
      </c>
      <c r="D222" s="14" t="s">
        <v>285</v>
      </c>
      <c r="E222" s="217" t="s">
        <v>1802</v>
      </c>
      <c r="F222" s="217" t="s">
        <v>1803</v>
      </c>
      <c r="G222" s="218">
        <v>44440</v>
      </c>
      <c r="H222" s="217" t="s">
        <v>830</v>
      </c>
      <c r="I222" s="217" t="s">
        <v>1804</v>
      </c>
      <c r="J222" s="1" t="s">
        <v>3735</v>
      </c>
      <c r="K222" s="217" t="s">
        <v>320</v>
      </c>
      <c r="L222" s="220">
        <v>342505451</v>
      </c>
      <c r="M222" s="206">
        <v>27786558</v>
      </c>
      <c r="N222" s="206">
        <v>314718893</v>
      </c>
      <c r="O222" s="206">
        <v>109080826</v>
      </c>
      <c r="P222" s="206">
        <v>2772988</v>
      </c>
      <c r="Q222" s="206">
        <v>8635778</v>
      </c>
      <c r="R222" s="206">
        <v>7043345</v>
      </c>
      <c r="S222" s="105">
        <v>1</v>
      </c>
      <c r="T222" s="254">
        <f t="shared" si="87"/>
        <v>100</v>
      </c>
      <c r="U222" s="107">
        <f t="shared" si="88"/>
        <v>1</v>
      </c>
      <c r="V222" s="45">
        <f>9+3</f>
        <v>12</v>
      </c>
      <c r="W222" s="45">
        <f>10+2</f>
        <v>12</v>
      </c>
      <c r="X222" s="255">
        <f t="shared" si="89"/>
        <v>0</v>
      </c>
      <c r="Y222" s="255">
        <f t="shared" si="90"/>
        <v>-1</v>
      </c>
      <c r="Z222" s="256">
        <f t="shared" si="91"/>
        <v>0</v>
      </c>
      <c r="AA222" s="257">
        <f t="shared" si="92"/>
        <v>20</v>
      </c>
      <c r="AB222" s="116">
        <f t="shared" si="93"/>
        <v>0.2</v>
      </c>
      <c r="AC222" s="123">
        <v>163</v>
      </c>
      <c r="AD222" s="123">
        <v>162</v>
      </c>
      <c r="AE222" s="257">
        <f t="shared" si="94"/>
        <v>-1</v>
      </c>
      <c r="AF222" s="258">
        <f t="shared" si="95"/>
        <v>-0.61349693251533743</v>
      </c>
      <c r="AG222" s="257">
        <f t="shared" si="96"/>
        <v>20</v>
      </c>
      <c r="AH222" s="124">
        <f t="shared" si="97"/>
        <v>0.8</v>
      </c>
      <c r="AI222" s="105">
        <v>0</v>
      </c>
      <c r="AJ222" s="105">
        <v>0</v>
      </c>
      <c r="AK222" s="105">
        <v>0</v>
      </c>
      <c r="AL222" s="105">
        <v>0</v>
      </c>
      <c r="AM222" s="260">
        <f t="shared" si="98"/>
        <v>0</v>
      </c>
      <c r="AN222" s="260">
        <f t="shared" si="99"/>
        <v>20</v>
      </c>
      <c r="AO222" s="130">
        <f t="shared" si="100"/>
        <v>0.2</v>
      </c>
      <c r="AP222" s="106">
        <v>100270</v>
      </c>
      <c r="AQ222" s="261">
        <f t="shared" si="113"/>
        <v>1.4236133541662377</v>
      </c>
      <c r="AR222" s="261">
        <f t="shared" si="101"/>
        <v>46.354200312493568</v>
      </c>
      <c r="AS222" s="107">
        <f t="shared" si="102"/>
        <v>1.8541680124997428</v>
      </c>
      <c r="AT222" s="105">
        <v>0</v>
      </c>
      <c r="AU222" s="105">
        <v>1</v>
      </c>
      <c r="AV222" s="262">
        <f t="shared" si="103"/>
        <v>25</v>
      </c>
      <c r="AW222" s="134">
        <v>3</v>
      </c>
      <c r="AX222" s="447" t="s">
        <v>3736</v>
      </c>
      <c r="AY222" s="262">
        <f t="shared" si="104"/>
        <v>50</v>
      </c>
      <c r="AZ222" s="262">
        <f t="shared" si="105"/>
        <v>75</v>
      </c>
      <c r="BA222" s="38">
        <f t="shared" si="106"/>
        <v>0.75</v>
      </c>
      <c r="BB222" s="105">
        <v>0</v>
      </c>
      <c r="BC222" s="105">
        <v>0</v>
      </c>
      <c r="BD222" s="105">
        <v>0</v>
      </c>
      <c r="BE222" s="262">
        <f t="shared" si="107"/>
        <v>0</v>
      </c>
      <c r="BF222" s="262">
        <f t="shared" si="108"/>
        <v>50</v>
      </c>
      <c r="BG222" s="38">
        <f t="shared" si="109"/>
        <v>0.5</v>
      </c>
      <c r="BH222" s="255">
        <f t="shared" si="110"/>
        <v>1592433</v>
      </c>
      <c r="BI222" s="256">
        <f t="shared" si="111"/>
        <v>1.4598651829057472</v>
      </c>
      <c r="BJ222" s="256">
        <f t="shared" si="114"/>
        <v>35.948988871793105</v>
      </c>
      <c r="BK222" s="55">
        <f t="shared" si="112"/>
        <v>0.71897977743586217</v>
      </c>
      <c r="BL222" s="137">
        <f t="shared" si="115"/>
        <v>6.0231477899356056</v>
      </c>
    </row>
    <row r="223" spans="1:64" x14ac:dyDescent="0.6">
      <c r="A223" s="214" t="s">
        <v>93</v>
      </c>
      <c r="B223" s="13" t="s">
        <v>2203</v>
      </c>
      <c r="C223" s="219" t="s">
        <v>517</v>
      </c>
      <c r="D223" s="216" t="s">
        <v>285</v>
      </c>
      <c r="E223" s="217" t="s">
        <v>626</v>
      </c>
      <c r="F223" s="217" t="s">
        <v>129</v>
      </c>
      <c r="G223" s="218">
        <v>43775</v>
      </c>
      <c r="H223" s="217" t="s">
        <v>830</v>
      </c>
      <c r="I223" s="217" t="s">
        <v>837</v>
      </c>
      <c r="J223" s="217" t="s">
        <v>1119</v>
      </c>
      <c r="K223" s="217" t="s">
        <v>91</v>
      </c>
      <c r="L223" s="220">
        <v>753639957</v>
      </c>
      <c r="M223" s="206">
        <v>284239813</v>
      </c>
      <c r="N223" s="206">
        <v>469400144</v>
      </c>
      <c r="O223" s="206">
        <v>589689077</v>
      </c>
      <c r="P223" s="206">
        <v>92750362</v>
      </c>
      <c r="Q223" s="206">
        <v>95830158</v>
      </c>
      <c r="R223" s="206">
        <v>72515496</v>
      </c>
      <c r="S223" s="105">
        <v>1</v>
      </c>
      <c r="T223" s="254">
        <f t="shared" si="87"/>
        <v>100</v>
      </c>
      <c r="U223" s="107">
        <f t="shared" si="88"/>
        <v>1</v>
      </c>
      <c r="V223" s="45">
        <v>86</v>
      </c>
      <c r="W223" s="45">
        <f>9+69+8+12</f>
        <v>98</v>
      </c>
      <c r="X223" s="255">
        <f t="shared" si="89"/>
        <v>12</v>
      </c>
      <c r="Y223" s="255">
        <f t="shared" si="90"/>
        <v>98</v>
      </c>
      <c r="Z223" s="256">
        <f t="shared" si="91"/>
        <v>12.244897959183673</v>
      </c>
      <c r="AA223" s="257">
        <f t="shared" si="92"/>
        <v>40</v>
      </c>
      <c r="AB223" s="116">
        <f t="shared" si="93"/>
        <v>0.4</v>
      </c>
      <c r="AC223" s="123">
        <v>520</v>
      </c>
      <c r="AD223" s="123">
        <v>618</v>
      </c>
      <c r="AE223" s="257">
        <f t="shared" si="94"/>
        <v>98</v>
      </c>
      <c r="AF223" s="258">
        <f t="shared" si="95"/>
        <v>18.846153846153847</v>
      </c>
      <c r="AG223" s="257">
        <f t="shared" si="96"/>
        <v>100</v>
      </c>
      <c r="AH223" s="124">
        <f t="shared" si="97"/>
        <v>4</v>
      </c>
      <c r="AI223" s="105">
        <v>0</v>
      </c>
      <c r="AJ223" s="105">
        <v>0</v>
      </c>
      <c r="AK223" s="105">
        <v>0</v>
      </c>
      <c r="AL223" s="105">
        <v>0</v>
      </c>
      <c r="AM223" s="260">
        <f t="shared" si="98"/>
        <v>0</v>
      </c>
      <c r="AN223" s="260">
        <f t="shared" si="99"/>
        <v>20</v>
      </c>
      <c r="AO223" s="130">
        <f t="shared" si="100"/>
        <v>0.2</v>
      </c>
      <c r="AP223" s="106">
        <v>88914</v>
      </c>
      <c r="AQ223" s="261">
        <f t="shared" si="113"/>
        <v>0.12261379278161458</v>
      </c>
      <c r="AR223" s="261">
        <f t="shared" si="101"/>
        <v>26.839206891724217</v>
      </c>
      <c r="AS223" s="107">
        <f t="shared" si="102"/>
        <v>1.0735682756689686</v>
      </c>
      <c r="AT223" s="105">
        <v>0</v>
      </c>
      <c r="AU223" s="105">
        <v>1</v>
      </c>
      <c r="AV223" s="262">
        <f t="shared" si="103"/>
        <v>25</v>
      </c>
      <c r="AW223" s="134">
        <v>0</v>
      </c>
      <c r="AX223" s="134"/>
      <c r="AY223" s="262">
        <f t="shared" si="104"/>
        <v>0</v>
      </c>
      <c r="AZ223" s="262">
        <f t="shared" si="105"/>
        <v>25</v>
      </c>
      <c r="BA223" s="38">
        <f t="shared" si="106"/>
        <v>0.25</v>
      </c>
      <c r="BB223" s="105">
        <v>0</v>
      </c>
      <c r="BC223" s="105">
        <v>0</v>
      </c>
      <c r="BD223" s="105">
        <v>0</v>
      </c>
      <c r="BE223" s="262">
        <f t="shared" si="107"/>
        <v>0</v>
      </c>
      <c r="BF223" s="262">
        <f t="shared" si="108"/>
        <v>50</v>
      </c>
      <c r="BG223" s="38">
        <f t="shared" si="109"/>
        <v>0.5</v>
      </c>
      <c r="BH223" s="255">
        <f t="shared" si="110"/>
        <v>23314662</v>
      </c>
      <c r="BI223" s="256">
        <f t="shared" si="111"/>
        <v>3.9537211912778911</v>
      </c>
      <c r="BJ223" s="256">
        <f t="shared" si="114"/>
        <v>54.652908934584183</v>
      </c>
      <c r="BK223" s="55">
        <f t="shared" si="112"/>
        <v>1.0930581786916838</v>
      </c>
      <c r="BL223" s="137">
        <f t="shared" si="115"/>
        <v>8.5166264543606527</v>
      </c>
    </row>
    <row r="224" spans="1:64" x14ac:dyDescent="0.6">
      <c r="A224" s="214" t="s">
        <v>917</v>
      </c>
      <c r="B224" s="13" t="s">
        <v>2204</v>
      </c>
      <c r="C224" s="219" t="s">
        <v>13</v>
      </c>
      <c r="D224" s="216" t="s">
        <v>285</v>
      </c>
      <c r="E224" s="217" t="s">
        <v>796</v>
      </c>
      <c r="F224" s="217" t="s">
        <v>1099</v>
      </c>
      <c r="G224" s="218">
        <v>35857</v>
      </c>
      <c r="H224" s="217" t="s">
        <v>830</v>
      </c>
      <c r="I224" s="217" t="s">
        <v>841</v>
      </c>
      <c r="J224" s="217" t="s">
        <v>1137</v>
      </c>
      <c r="K224" s="217" t="s">
        <v>91</v>
      </c>
      <c r="L224" s="220">
        <v>1328473794</v>
      </c>
      <c r="M224" s="206">
        <v>623497507</v>
      </c>
      <c r="N224" s="206">
        <v>704976287</v>
      </c>
      <c r="O224" s="206">
        <v>1280522528</v>
      </c>
      <c r="P224" s="206">
        <v>100830968</v>
      </c>
      <c r="Q224" s="206">
        <v>95133282</v>
      </c>
      <c r="R224" s="206">
        <v>62923623</v>
      </c>
      <c r="S224" s="105">
        <v>1</v>
      </c>
      <c r="T224" s="254">
        <f t="shared" si="87"/>
        <v>100</v>
      </c>
      <c r="U224" s="107">
        <f t="shared" si="88"/>
        <v>1</v>
      </c>
      <c r="V224" s="45">
        <v>664</v>
      </c>
      <c r="W224" s="45">
        <v>727</v>
      </c>
      <c r="X224" s="255">
        <f t="shared" si="89"/>
        <v>63</v>
      </c>
      <c r="Y224" s="255">
        <f t="shared" si="90"/>
        <v>79</v>
      </c>
      <c r="Z224" s="256">
        <f t="shared" si="91"/>
        <v>79.74683544303798</v>
      </c>
      <c r="AA224" s="257">
        <f t="shared" si="92"/>
        <v>100</v>
      </c>
      <c r="AB224" s="116">
        <f t="shared" si="93"/>
        <v>1</v>
      </c>
      <c r="AC224" s="123">
        <v>1301</v>
      </c>
      <c r="AD224" s="123">
        <v>1380</v>
      </c>
      <c r="AE224" s="257">
        <f t="shared" si="94"/>
        <v>79</v>
      </c>
      <c r="AF224" s="258">
        <f t="shared" si="95"/>
        <v>6.0722521137586476</v>
      </c>
      <c r="AG224" s="257">
        <f t="shared" si="96"/>
        <v>100</v>
      </c>
      <c r="AH224" s="124">
        <f t="shared" si="97"/>
        <v>4</v>
      </c>
      <c r="AI224" s="105">
        <v>0</v>
      </c>
      <c r="AJ224" s="105">
        <v>0</v>
      </c>
      <c r="AK224" s="105">
        <v>0</v>
      </c>
      <c r="AL224" s="105">
        <v>0</v>
      </c>
      <c r="AM224" s="260">
        <f t="shared" si="98"/>
        <v>0</v>
      </c>
      <c r="AN224" s="260">
        <f t="shared" si="99"/>
        <v>20</v>
      </c>
      <c r="AO224" s="130">
        <f t="shared" si="100"/>
        <v>0.2</v>
      </c>
      <c r="AP224" s="106">
        <v>663455</v>
      </c>
      <c r="AQ224" s="261">
        <f t="shared" si="113"/>
        <v>1.0543814363645272</v>
      </c>
      <c r="AR224" s="261">
        <f t="shared" si="101"/>
        <v>40.815721545467909</v>
      </c>
      <c r="AS224" s="107">
        <f t="shared" si="102"/>
        <v>1.6326288618187164</v>
      </c>
      <c r="AT224" s="105">
        <v>0</v>
      </c>
      <c r="AU224" s="105">
        <v>1</v>
      </c>
      <c r="AV224" s="262">
        <f t="shared" si="103"/>
        <v>25</v>
      </c>
      <c r="AW224" s="134">
        <v>3</v>
      </c>
      <c r="AX224" s="134" t="s">
        <v>3605</v>
      </c>
      <c r="AY224" s="262">
        <f t="shared" si="104"/>
        <v>50</v>
      </c>
      <c r="AZ224" s="262">
        <f t="shared" si="105"/>
        <v>75</v>
      </c>
      <c r="BA224" s="38">
        <f t="shared" si="106"/>
        <v>0.75</v>
      </c>
      <c r="BB224" s="105">
        <v>0</v>
      </c>
      <c r="BC224" s="105">
        <v>0</v>
      </c>
      <c r="BD224" s="105">
        <v>0</v>
      </c>
      <c r="BE224" s="262">
        <f t="shared" si="107"/>
        <v>0</v>
      </c>
      <c r="BF224" s="262">
        <f t="shared" si="108"/>
        <v>50</v>
      </c>
      <c r="BG224" s="38">
        <f t="shared" si="109"/>
        <v>0.5</v>
      </c>
      <c r="BH224" s="255">
        <f t="shared" si="110"/>
        <v>32209659</v>
      </c>
      <c r="BI224" s="256">
        <f t="shared" si="111"/>
        <v>2.5153527794865944</v>
      </c>
      <c r="BJ224" s="256">
        <f t="shared" si="114"/>
        <v>43.86514584614946</v>
      </c>
      <c r="BK224" s="55">
        <f t="shared" si="112"/>
        <v>0.87730291692298923</v>
      </c>
      <c r="BL224" s="137">
        <f t="shared" si="115"/>
        <v>9.959931778741705</v>
      </c>
    </row>
    <row r="225" spans="1:64" x14ac:dyDescent="0.6">
      <c r="A225" s="214" t="s">
        <v>55</v>
      </c>
      <c r="B225" s="13" t="s">
        <v>2205</v>
      </c>
      <c r="C225" s="219" t="s">
        <v>356</v>
      </c>
      <c r="D225" s="216" t="s">
        <v>203</v>
      </c>
      <c r="E225" s="217" t="s">
        <v>583</v>
      </c>
      <c r="F225" s="217" t="s">
        <v>1084</v>
      </c>
      <c r="G225" s="218">
        <v>38695</v>
      </c>
      <c r="H225" s="217" t="s">
        <v>830</v>
      </c>
      <c r="I225" s="217" t="s">
        <v>1120</v>
      </c>
      <c r="J225" s="217" t="s">
        <v>1198</v>
      </c>
      <c r="K225" s="217" t="s">
        <v>31</v>
      </c>
      <c r="L225" s="220">
        <v>89562390</v>
      </c>
      <c r="M225" s="206">
        <v>12372096</v>
      </c>
      <c r="N225" s="206">
        <v>77190293</v>
      </c>
      <c r="O225" s="206">
        <v>71732783</v>
      </c>
      <c r="P225" s="206">
        <v>2955130</v>
      </c>
      <c r="Q225" s="206">
        <v>147493</v>
      </c>
      <c r="R225" s="206">
        <v>19601</v>
      </c>
      <c r="S225" s="105">
        <v>1</v>
      </c>
      <c r="T225" s="254">
        <f t="shared" si="87"/>
        <v>100</v>
      </c>
      <c r="U225" s="107">
        <f t="shared" si="88"/>
        <v>1</v>
      </c>
      <c r="V225" s="45">
        <v>11</v>
      </c>
      <c r="W225" s="45">
        <f>8+3</f>
        <v>11</v>
      </c>
      <c r="X225" s="255">
        <f t="shared" si="89"/>
        <v>0</v>
      </c>
      <c r="Y225" s="255">
        <f t="shared" si="90"/>
        <v>-6</v>
      </c>
      <c r="Z225" s="256">
        <f t="shared" si="91"/>
        <v>0</v>
      </c>
      <c r="AA225" s="257">
        <f t="shared" si="92"/>
        <v>20</v>
      </c>
      <c r="AB225" s="116">
        <f t="shared" si="93"/>
        <v>0.2</v>
      </c>
      <c r="AC225" s="123">
        <v>62</v>
      </c>
      <c r="AD225" s="123">
        <f>53+3</f>
        <v>56</v>
      </c>
      <c r="AE225" s="257">
        <f t="shared" si="94"/>
        <v>-6</v>
      </c>
      <c r="AF225" s="258">
        <f t="shared" si="95"/>
        <v>-9.67741935483871</v>
      </c>
      <c r="AG225" s="257">
        <f t="shared" si="96"/>
        <v>20</v>
      </c>
      <c r="AH225" s="124">
        <f t="shared" si="97"/>
        <v>0.8</v>
      </c>
      <c r="AI225" s="105">
        <v>0</v>
      </c>
      <c r="AJ225" s="105">
        <v>0</v>
      </c>
      <c r="AK225" s="105">
        <v>0</v>
      </c>
      <c r="AL225" s="105">
        <v>0</v>
      </c>
      <c r="AM225" s="260">
        <f t="shared" si="98"/>
        <v>0</v>
      </c>
      <c r="AN225" s="260">
        <f t="shared" si="99"/>
        <v>20</v>
      </c>
      <c r="AO225" s="130">
        <f t="shared" si="100"/>
        <v>0.2</v>
      </c>
      <c r="AP225" s="106">
        <v>40027.885999999999</v>
      </c>
      <c r="AQ225" s="261">
        <f t="shared" si="113"/>
        <v>204.21348910769859</v>
      </c>
      <c r="AR225" s="261">
        <f t="shared" si="101"/>
        <v>100</v>
      </c>
      <c r="AS225" s="107">
        <f t="shared" si="102"/>
        <v>4</v>
      </c>
      <c r="AT225" s="105">
        <v>0</v>
      </c>
      <c r="AU225" s="105">
        <v>1</v>
      </c>
      <c r="AV225" s="262">
        <f t="shared" si="103"/>
        <v>25</v>
      </c>
      <c r="AW225" s="134">
        <v>0</v>
      </c>
      <c r="AX225" s="134"/>
      <c r="AY225" s="262">
        <f t="shared" si="104"/>
        <v>0</v>
      </c>
      <c r="AZ225" s="262">
        <f t="shared" si="105"/>
        <v>25</v>
      </c>
      <c r="BA225" s="38">
        <f t="shared" si="106"/>
        <v>0.25</v>
      </c>
      <c r="BB225" s="105">
        <v>0</v>
      </c>
      <c r="BC225" s="105">
        <v>0</v>
      </c>
      <c r="BD225" s="105">
        <v>0</v>
      </c>
      <c r="BE225" s="262">
        <f t="shared" si="107"/>
        <v>0</v>
      </c>
      <c r="BF225" s="262">
        <f t="shared" si="108"/>
        <v>50</v>
      </c>
      <c r="BG225" s="38">
        <f t="shared" si="109"/>
        <v>0.5</v>
      </c>
      <c r="BH225" s="255">
        <f t="shared" si="110"/>
        <v>127892</v>
      </c>
      <c r="BI225" s="256">
        <f t="shared" si="111"/>
        <v>0.1782894719141177</v>
      </c>
      <c r="BJ225" s="256">
        <f t="shared" si="114"/>
        <v>26.337171039355884</v>
      </c>
      <c r="BK225" s="55">
        <f t="shared" si="112"/>
        <v>0.52674342078711767</v>
      </c>
      <c r="BL225" s="137">
        <f t="shared" si="115"/>
        <v>7.476743420787118</v>
      </c>
    </row>
    <row r="226" spans="1:64" x14ac:dyDescent="0.6">
      <c r="A226" s="214" t="s">
        <v>1806</v>
      </c>
      <c r="B226" s="13" t="s">
        <v>2206</v>
      </c>
      <c r="C226" s="219" t="s">
        <v>1807</v>
      </c>
      <c r="D226" s="79" t="s">
        <v>88</v>
      </c>
      <c r="E226" s="217" t="s">
        <v>1585</v>
      </c>
      <c r="F226" s="217" t="s">
        <v>1808</v>
      </c>
      <c r="G226" s="218">
        <v>26661</v>
      </c>
      <c r="H226" s="217" t="s">
        <v>830</v>
      </c>
      <c r="I226" s="217" t="s">
        <v>1809</v>
      </c>
      <c r="J226" s="1" t="s">
        <v>3737</v>
      </c>
      <c r="K226" s="217" t="s">
        <v>1811</v>
      </c>
      <c r="L226" s="220">
        <v>7311029000</v>
      </c>
      <c r="M226" s="206">
        <v>6789175000</v>
      </c>
      <c r="N226" s="206">
        <v>521854000</v>
      </c>
      <c r="O226" s="206">
        <v>275373000</v>
      </c>
      <c r="P226" s="206">
        <v>27020000</v>
      </c>
      <c r="Q226" s="206">
        <v>26964000</v>
      </c>
      <c r="R226" s="206">
        <v>22820000</v>
      </c>
      <c r="S226" s="105">
        <v>0</v>
      </c>
      <c r="T226" s="254">
        <f t="shared" si="87"/>
        <v>0</v>
      </c>
      <c r="U226" s="107">
        <f t="shared" si="88"/>
        <v>0</v>
      </c>
      <c r="V226" s="45">
        <v>165</v>
      </c>
      <c r="W226" s="45">
        <f>168</f>
        <v>168</v>
      </c>
      <c r="X226" s="255">
        <f t="shared" si="89"/>
        <v>3</v>
      </c>
      <c r="Y226" s="255">
        <f t="shared" si="90"/>
        <v>2</v>
      </c>
      <c r="Z226" s="256">
        <f t="shared" si="91"/>
        <v>150</v>
      </c>
      <c r="AA226" s="257">
        <f t="shared" si="92"/>
        <v>100</v>
      </c>
      <c r="AB226" s="116">
        <f t="shared" si="93"/>
        <v>1</v>
      </c>
      <c r="AC226" s="123">
        <v>382</v>
      </c>
      <c r="AD226" s="123">
        <f>384</f>
        <v>384</v>
      </c>
      <c r="AE226" s="257">
        <f t="shared" si="94"/>
        <v>2</v>
      </c>
      <c r="AF226" s="258">
        <f t="shared" si="95"/>
        <v>0.52356020942408377</v>
      </c>
      <c r="AG226" s="257">
        <f t="shared" si="96"/>
        <v>60</v>
      </c>
      <c r="AH226" s="124">
        <f t="shared" si="97"/>
        <v>2.4</v>
      </c>
      <c r="AI226" s="105">
        <v>0</v>
      </c>
      <c r="AJ226" s="105">
        <v>0</v>
      </c>
      <c r="AK226" s="105">
        <v>0</v>
      </c>
      <c r="AL226" s="105">
        <v>0</v>
      </c>
      <c r="AM226" s="260">
        <f t="shared" si="98"/>
        <v>0</v>
      </c>
      <c r="AN226" s="260">
        <f t="shared" si="99"/>
        <v>20</v>
      </c>
      <c r="AO226" s="130">
        <f t="shared" si="100"/>
        <v>0.2</v>
      </c>
      <c r="AP226" s="106">
        <v>297000</v>
      </c>
      <c r="AQ226" s="261">
        <f t="shared" si="113"/>
        <v>1.3014899211218229</v>
      </c>
      <c r="AR226" s="261">
        <f t="shared" si="101"/>
        <v>44.522348816827346</v>
      </c>
      <c r="AS226" s="107">
        <f t="shared" si="102"/>
        <v>1.7808939526730938</v>
      </c>
      <c r="AT226" s="105">
        <v>1</v>
      </c>
      <c r="AU226" s="105">
        <v>1</v>
      </c>
      <c r="AV226" s="262">
        <f t="shared" si="103"/>
        <v>50</v>
      </c>
      <c r="AW226" s="134">
        <v>18</v>
      </c>
      <c r="AX226" s="447" t="s">
        <v>3738</v>
      </c>
      <c r="AY226" s="262">
        <f t="shared" si="104"/>
        <v>50</v>
      </c>
      <c r="AZ226" s="262">
        <f t="shared" si="105"/>
        <v>100</v>
      </c>
      <c r="BA226" s="38">
        <f t="shared" si="106"/>
        <v>1</v>
      </c>
      <c r="BB226" s="105">
        <v>1</v>
      </c>
      <c r="BC226" s="105">
        <v>0</v>
      </c>
      <c r="BD226" s="105">
        <v>0</v>
      </c>
      <c r="BE226" s="262">
        <f t="shared" si="107"/>
        <v>1</v>
      </c>
      <c r="BF226" s="262">
        <f t="shared" si="108"/>
        <v>100</v>
      </c>
      <c r="BG226" s="38">
        <f t="shared" si="109"/>
        <v>1</v>
      </c>
      <c r="BH226" s="255">
        <f t="shared" si="110"/>
        <v>4144000</v>
      </c>
      <c r="BI226" s="256">
        <f t="shared" si="111"/>
        <v>1.5048679427540099</v>
      </c>
      <c r="BJ226" s="256">
        <f t="shared" si="114"/>
        <v>36.28650957065507</v>
      </c>
      <c r="BK226" s="55">
        <f t="shared" si="112"/>
        <v>0.72573019141310147</v>
      </c>
      <c r="BL226" s="137">
        <f t="shared" si="115"/>
        <v>8.1066241440861955</v>
      </c>
    </row>
    <row r="227" spans="1:64" x14ac:dyDescent="0.6">
      <c r="A227" s="214" t="s">
        <v>1812</v>
      </c>
      <c r="B227" s="13" t="s">
        <v>2207</v>
      </c>
      <c r="C227" s="219" t="s">
        <v>1813</v>
      </c>
      <c r="D227" s="14" t="s">
        <v>191</v>
      </c>
      <c r="E227" s="217" t="s">
        <v>977</v>
      </c>
      <c r="F227" s="217" t="s">
        <v>1814</v>
      </c>
      <c r="G227" s="218">
        <v>28272</v>
      </c>
      <c r="H227" s="217" t="s">
        <v>830</v>
      </c>
      <c r="I227" s="217" t="s">
        <v>1815</v>
      </c>
      <c r="J227" s="1" t="s">
        <v>3739</v>
      </c>
      <c r="K227" s="217" t="s">
        <v>317</v>
      </c>
      <c r="L227" s="220">
        <v>442034876</v>
      </c>
      <c r="M227" s="206">
        <v>63994596</v>
      </c>
      <c r="N227" s="206">
        <v>378040280</v>
      </c>
      <c r="O227" s="206">
        <v>122005783</v>
      </c>
      <c r="P227" s="206">
        <v>507524</v>
      </c>
      <c r="Q227" s="206">
        <v>4251780</v>
      </c>
      <c r="R227" s="206">
        <v>6061277</v>
      </c>
      <c r="S227" s="105">
        <v>1</v>
      </c>
      <c r="T227" s="254">
        <f t="shared" si="87"/>
        <v>100</v>
      </c>
      <c r="U227" s="107">
        <f t="shared" si="88"/>
        <v>1</v>
      </c>
      <c r="V227" s="45">
        <v>32</v>
      </c>
      <c r="W227" s="45">
        <v>36</v>
      </c>
      <c r="X227" s="255">
        <f t="shared" si="89"/>
        <v>4</v>
      </c>
      <c r="Y227" s="255">
        <f t="shared" si="90"/>
        <v>11</v>
      </c>
      <c r="Z227" s="256">
        <f t="shared" si="91"/>
        <v>36.363636363636367</v>
      </c>
      <c r="AA227" s="257">
        <f t="shared" si="92"/>
        <v>80</v>
      </c>
      <c r="AB227" s="116">
        <f t="shared" si="93"/>
        <v>0.8</v>
      </c>
      <c r="AC227" s="123">
        <v>140</v>
      </c>
      <c r="AD227" s="123">
        <v>151</v>
      </c>
      <c r="AE227" s="257">
        <f t="shared" si="94"/>
        <v>11</v>
      </c>
      <c r="AF227" s="258">
        <f t="shared" si="95"/>
        <v>7.8571428571428568</v>
      </c>
      <c r="AG227" s="257">
        <f t="shared" si="96"/>
        <v>100</v>
      </c>
      <c r="AH227" s="124">
        <f t="shared" si="97"/>
        <v>4</v>
      </c>
      <c r="AI227" s="105">
        <v>0</v>
      </c>
      <c r="AJ227" s="105">
        <v>0</v>
      </c>
      <c r="AK227" s="105">
        <v>0</v>
      </c>
      <c r="AL227" s="105">
        <v>0</v>
      </c>
      <c r="AM227" s="260">
        <f t="shared" si="98"/>
        <v>0</v>
      </c>
      <c r="AN227" s="260">
        <f t="shared" si="99"/>
        <v>20</v>
      </c>
      <c r="AO227" s="130">
        <f t="shared" si="100"/>
        <v>0.2</v>
      </c>
      <c r="AP227" s="440">
        <v>0</v>
      </c>
      <c r="AQ227" s="261">
        <f t="shared" si="113"/>
        <v>0</v>
      </c>
      <c r="AR227" s="261">
        <f t="shared" si="101"/>
        <v>25</v>
      </c>
      <c r="AS227" s="107">
        <f t="shared" si="102"/>
        <v>1</v>
      </c>
      <c r="AT227" s="105">
        <v>0</v>
      </c>
      <c r="AU227" s="105">
        <v>0</v>
      </c>
      <c r="AV227" s="262">
        <f t="shared" si="103"/>
        <v>0</v>
      </c>
      <c r="AW227" s="134">
        <v>0</v>
      </c>
      <c r="AX227" s="134"/>
      <c r="AY227" s="262">
        <f t="shared" si="104"/>
        <v>0</v>
      </c>
      <c r="AZ227" s="262">
        <f t="shared" si="105"/>
        <v>0</v>
      </c>
      <c r="BA227" s="38">
        <f t="shared" si="106"/>
        <v>0</v>
      </c>
      <c r="BB227" s="105">
        <v>0</v>
      </c>
      <c r="BC227" s="105">
        <v>0</v>
      </c>
      <c r="BD227" s="105">
        <v>0</v>
      </c>
      <c r="BE227" s="262">
        <f t="shared" si="107"/>
        <v>0</v>
      </c>
      <c r="BF227" s="262">
        <f t="shared" si="108"/>
        <v>50</v>
      </c>
      <c r="BG227" s="38">
        <f t="shared" si="109"/>
        <v>0.5</v>
      </c>
      <c r="BH227" s="255">
        <f t="shared" si="110"/>
        <v>-1809497</v>
      </c>
      <c r="BI227" s="256">
        <f t="shared" si="111"/>
        <v>-1.4831239597880372</v>
      </c>
      <c r="BJ227" s="256">
        <f t="shared" si="114"/>
        <v>25</v>
      </c>
      <c r="BK227" s="55">
        <f t="shared" si="112"/>
        <v>0.5</v>
      </c>
      <c r="BL227" s="137">
        <f t="shared" si="115"/>
        <v>8</v>
      </c>
    </row>
    <row r="228" spans="1:64" x14ac:dyDescent="0.6">
      <c r="A228" s="214" t="s">
        <v>1817</v>
      </c>
      <c r="B228" s="13" t="s">
        <v>2208</v>
      </c>
      <c r="C228" s="219" t="s">
        <v>1818</v>
      </c>
      <c r="D228" s="14" t="s">
        <v>191</v>
      </c>
      <c r="E228" s="217" t="s">
        <v>1067</v>
      </c>
      <c r="F228" s="217" t="s">
        <v>1819</v>
      </c>
      <c r="G228" s="218">
        <v>28122</v>
      </c>
      <c r="H228" s="217" t="s">
        <v>830</v>
      </c>
      <c r="I228" s="217" t="s">
        <v>1820</v>
      </c>
      <c r="J228" s="1" t="s">
        <v>3740</v>
      </c>
      <c r="K228" s="217" t="s">
        <v>91</v>
      </c>
      <c r="L228" s="220">
        <v>130041760</v>
      </c>
      <c r="M228" s="206">
        <v>68561446</v>
      </c>
      <c r="N228" s="206">
        <v>61480314</v>
      </c>
      <c r="O228" s="206">
        <v>148554918</v>
      </c>
      <c r="P228" s="206">
        <v>11907297</v>
      </c>
      <c r="Q228" s="206">
        <v>8526105</v>
      </c>
      <c r="R228" s="206">
        <v>8638058</v>
      </c>
      <c r="S228" s="105">
        <v>1</v>
      </c>
      <c r="T228" s="254">
        <f t="shared" si="87"/>
        <v>100</v>
      </c>
      <c r="U228" s="107">
        <f t="shared" si="88"/>
        <v>1</v>
      </c>
      <c r="V228" s="45">
        <v>10</v>
      </c>
      <c r="W228" s="45">
        <v>8</v>
      </c>
      <c r="X228" s="255">
        <f t="shared" si="89"/>
        <v>-2</v>
      </c>
      <c r="Y228" s="255">
        <f t="shared" si="90"/>
        <v>-22</v>
      </c>
      <c r="Z228" s="256">
        <f t="shared" si="91"/>
        <v>-200</v>
      </c>
      <c r="AA228" s="257">
        <f t="shared" si="92"/>
        <v>20</v>
      </c>
      <c r="AB228" s="116">
        <f t="shared" si="93"/>
        <v>0.2</v>
      </c>
      <c r="AC228" s="123">
        <v>128</v>
      </c>
      <c r="AD228" s="123">
        <v>106</v>
      </c>
      <c r="AE228" s="257">
        <f t="shared" si="94"/>
        <v>-22</v>
      </c>
      <c r="AF228" s="258">
        <f t="shared" si="95"/>
        <v>-17.1875</v>
      </c>
      <c r="AG228" s="257">
        <f t="shared" si="96"/>
        <v>20</v>
      </c>
      <c r="AH228" s="124">
        <f t="shared" si="97"/>
        <v>0.8</v>
      </c>
      <c r="AI228" s="105">
        <v>0</v>
      </c>
      <c r="AJ228" s="105">
        <v>0</v>
      </c>
      <c r="AK228" s="105">
        <v>0</v>
      </c>
      <c r="AL228" s="105">
        <v>0</v>
      </c>
      <c r="AM228" s="260">
        <f t="shared" si="98"/>
        <v>0</v>
      </c>
      <c r="AN228" s="260">
        <f t="shared" si="99"/>
        <v>20</v>
      </c>
      <c r="AO228" s="130">
        <f t="shared" si="100"/>
        <v>0.2</v>
      </c>
      <c r="AP228" s="440">
        <v>0</v>
      </c>
      <c r="AQ228" s="261">
        <f t="shared" si="113"/>
        <v>0</v>
      </c>
      <c r="AR228" s="261">
        <f t="shared" si="101"/>
        <v>25</v>
      </c>
      <c r="AS228" s="107">
        <f t="shared" si="102"/>
        <v>1</v>
      </c>
      <c r="AT228" s="105">
        <v>0</v>
      </c>
      <c r="AU228" s="105">
        <v>0</v>
      </c>
      <c r="AV228" s="262">
        <f t="shared" si="103"/>
        <v>0</v>
      </c>
      <c r="AW228" s="134">
        <v>0</v>
      </c>
      <c r="AX228" s="134"/>
      <c r="AY228" s="262">
        <f t="shared" si="104"/>
        <v>0</v>
      </c>
      <c r="AZ228" s="262">
        <f t="shared" si="105"/>
        <v>0</v>
      </c>
      <c r="BA228" s="38">
        <f t="shared" si="106"/>
        <v>0</v>
      </c>
      <c r="BB228" s="105">
        <v>0</v>
      </c>
      <c r="BC228" s="105">
        <v>0</v>
      </c>
      <c r="BD228" s="105">
        <v>0</v>
      </c>
      <c r="BE228" s="262">
        <f t="shared" si="107"/>
        <v>0</v>
      </c>
      <c r="BF228" s="262">
        <f t="shared" si="108"/>
        <v>50</v>
      </c>
      <c r="BG228" s="38">
        <f t="shared" si="109"/>
        <v>0.5</v>
      </c>
      <c r="BH228" s="255">
        <f t="shared" si="110"/>
        <v>-111953</v>
      </c>
      <c r="BI228" s="256">
        <f t="shared" si="111"/>
        <v>-7.5361355589722054E-2</v>
      </c>
      <c r="BJ228" s="256">
        <f t="shared" si="114"/>
        <v>25</v>
      </c>
      <c r="BK228" s="55">
        <f t="shared" si="112"/>
        <v>0.5</v>
      </c>
      <c r="BL228" s="137">
        <f t="shared" si="115"/>
        <v>4.2</v>
      </c>
    </row>
    <row r="229" spans="1:64" x14ac:dyDescent="0.6">
      <c r="A229" s="214" t="s">
        <v>509</v>
      </c>
      <c r="B229" s="13" t="s">
        <v>2209</v>
      </c>
      <c r="C229" s="219" t="s">
        <v>536</v>
      </c>
      <c r="D229" s="216" t="s">
        <v>203</v>
      </c>
      <c r="E229" s="217" t="s">
        <v>585</v>
      </c>
      <c r="F229" s="217" t="s">
        <v>418</v>
      </c>
      <c r="G229" s="218">
        <v>40228</v>
      </c>
      <c r="H229" s="217" t="s">
        <v>830</v>
      </c>
      <c r="I229" s="217" t="s">
        <v>829</v>
      </c>
      <c r="J229" s="217" t="s">
        <v>664</v>
      </c>
      <c r="K229" s="217" t="s">
        <v>31</v>
      </c>
      <c r="L229" s="220">
        <v>145133297</v>
      </c>
      <c r="M229" s="206">
        <v>9248179</v>
      </c>
      <c r="N229" s="206">
        <v>135885117</v>
      </c>
      <c r="O229" s="206">
        <v>66976160</v>
      </c>
      <c r="P229" s="206">
        <v>9435413</v>
      </c>
      <c r="Q229" s="206">
        <v>13174731</v>
      </c>
      <c r="R229" s="206">
        <v>10522135</v>
      </c>
      <c r="S229" s="105">
        <v>1</v>
      </c>
      <c r="T229" s="254">
        <f t="shared" si="87"/>
        <v>100</v>
      </c>
      <c r="U229" s="107">
        <f t="shared" si="88"/>
        <v>1</v>
      </c>
      <c r="V229" s="45">
        <v>7</v>
      </c>
      <c r="W229" s="45">
        <v>7</v>
      </c>
      <c r="X229" s="255">
        <f t="shared" si="89"/>
        <v>0</v>
      </c>
      <c r="Y229" s="255">
        <f t="shared" si="90"/>
        <v>-4</v>
      </c>
      <c r="Z229" s="256">
        <f t="shared" si="91"/>
        <v>0</v>
      </c>
      <c r="AA229" s="257">
        <f t="shared" si="92"/>
        <v>20</v>
      </c>
      <c r="AB229" s="116">
        <f t="shared" si="93"/>
        <v>0.2</v>
      </c>
      <c r="AC229" s="123">
        <v>129</v>
      </c>
      <c r="AD229" s="123">
        <v>125</v>
      </c>
      <c r="AE229" s="257">
        <f t="shared" si="94"/>
        <v>-4</v>
      </c>
      <c r="AF229" s="258">
        <f t="shared" si="95"/>
        <v>-3.1007751937984498</v>
      </c>
      <c r="AG229" s="257">
        <f t="shared" si="96"/>
        <v>20</v>
      </c>
      <c r="AH229" s="124">
        <f t="shared" si="97"/>
        <v>0.8</v>
      </c>
      <c r="AI229" s="105">
        <v>0</v>
      </c>
      <c r="AJ229" s="105">
        <v>0</v>
      </c>
      <c r="AK229" s="105">
        <v>0</v>
      </c>
      <c r="AL229" s="105">
        <v>0</v>
      </c>
      <c r="AM229" s="260">
        <f t="shared" si="98"/>
        <v>0</v>
      </c>
      <c r="AN229" s="260">
        <f t="shared" si="99"/>
        <v>20</v>
      </c>
      <c r="AO229" s="130">
        <f t="shared" si="100"/>
        <v>0.2</v>
      </c>
      <c r="AP229" s="440">
        <v>0</v>
      </c>
      <c r="AQ229" s="261">
        <f t="shared" si="113"/>
        <v>0</v>
      </c>
      <c r="AR229" s="261">
        <f t="shared" si="101"/>
        <v>25</v>
      </c>
      <c r="AS229" s="107">
        <f t="shared" si="102"/>
        <v>1</v>
      </c>
      <c r="AT229" s="105">
        <v>0</v>
      </c>
      <c r="AU229" s="105">
        <v>1</v>
      </c>
      <c r="AV229" s="262">
        <f t="shared" si="103"/>
        <v>25</v>
      </c>
      <c r="AW229" s="134">
        <v>0</v>
      </c>
      <c r="AX229" s="134"/>
      <c r="AY229" s="262">
        <f t="shared" si="104"/>
        <v>0</v>
      </c>
      <c r="AZ229" s="262">
        <f t="shared" si="105"/>
        <v>25</v>
      </c>
      <c r="BA229" s="38">
        <f t="shared" si="106"/>
        <v>0.25</v>
      </c>
      <c r="BB229" s="105">
        <v>0</v>
      </c>
      <c r="BC229" s="105">
        <v>0</v>
      </c>
      <c r="BD229" s="105">
        <v>0</v>
      </c>
      <c r="BE229" s="262">
        <f t="shared" si="107"/>
        <v>0</v>
      </c>
      <c r="BF229" s="262">
        <f t="shared" si="108"/>
        <v>50</v>
      </c>
      <c r="BG229" s="38">
        <f t="shared" si="109"/>
        <v>0.5</v>
      </c>
      <c r="BH229" s="255">
        <f t="shared" si="110"/>
        <v>2652596</v>
      </c>
      <c r="BI229" s="256">
        <f t="shared" si="111"/>
        <v>3.9605077388730558</v>
      </c>
      <c r="BJ229" s="256">
        <f t="shared" si="114"/>
        <v>54.703808041547923</v>
      </c>
      <c r="BK229" s="55">
        <f t="shared" si="112"/>
        <v>1.0940761608309584</v>
      </c>
      <c r="BL229" s="137">
        <f t="shared" si="115"/>
        <v>5.0440761608309588</v>
      </c>
    </row>
    <row r="230" spans="1:64" x14ac:dyDescent="0.6">
      <c r="A230" s="214" t="s">
        <v>775</v>
      </c>
      <c r="B230" s="13" t="s">
        <v>2210</v>
      </c>
      <c r="C230" s="219" t="s">
        <v>64</v>
      </c>
      <c r="D230" s="216" t="s">
        <v>191</v>
      </c>
      <c r="E230" s="217" t="s">
        <v>178</v>
      </c>
      <c r="F230" s="217" t="s">
        <v>147</v>
      </c>
      <c r="G230" s="218">
        <v>28117</v>
      </c>
      <c r="H230" s="217" t="s">
        <v>830</v>
      </c>
      <c r="I230" s="217" t="s">
        <v>790</v>
      </c>
      <c r="J230" s="217" t="s">
        <v>1206</v>
      </c>
      <c r="K230" s="217" t="s">
        <v>690</v>
      </c>
      <c r="L230" s="220">
        <v>418548891</v>
      </c>
      <c r="M230" s="206">
        <v>263651210</v>
      </c>
      <c r="N230" s="206">
        <v>154897681</v>
      </c>
      <c r="O230" s="206">
        <v>319394587</v>
      </c>
      <c r="P230" s="206">
        <v>15318484</v>
      </c>
      <c r="Q230" s="206">
        <v>13458495</v>
      </c>
      <c r="R230" s="206">
        <v>11843676</v>
      </c>
      <c r="S230" s="105">
        <v>1</v>
      </c>
      <c r="T230" s="254">
        <f t="shared" si="87"/>
        <v>100</v>
      </c>
      <c r="U230" s="107">
        <f t="shared" si="88"/>
        <v>1</v>
      </c>
      <c r="V230" s="45">
        <v>65</v>
      </c>
      <c r="W230" s="45">
        <v>102</v>
      </c>
      <c r="X230" s="255">
        <f t="shared" si="89"/>
        <v>37</v>
      </c>
      <c r="Y230" s="255">
        <f t="shared" si="90"/>
        <v>86</v>
      </c>
      <c r="Z230" s="256">
        <f t="shared" si="91"/>
        <v>43.02325581395349</v>
      </c>
      <c r="AA230" s="257">
        <f t="shared" si="92"/>
        <v>100</v>
      </c>
      <c r="AB230" s="116">
        <f t="shared" si="93"/>
        <v>1</v>
      </c>
      <c r="AC230" s="123">
        <v>347</v>
      </c>
      <c r="AD230" s="123">
        <v>433</v>
      </c>
      <c r="AE230" s="257">
        <f t="shared" si="94"/>
        <v>86</v>
      </c>
      <c r="AF230" s="258">
        <f t="shared" si="95"/>
        <v>24.78386167146974</v>
      </c>
      <c r="AG230" s="257">
        <f t="shared" si="96"/>
        <v>100</v>
      </c>
      <c r="AH230" s="124">
        <f t="shared" si="97"/>
        <v>4</v>
      </c>
      <c r="AI230" s="105">
        <v>0</v>
      </c>
      <c r="AJ230" s="105">
        <v>1</v>
      </c>
      <c r="AK230" s="105">
        <v>0</v>
      </c>
      <c r="AL230" s="105">
        <v>0</v>
      </c>
      <c r="AM230" s="260">
        <f t="shared" si="98"/>
        <v>1</v>
      </c>
      <c r="AN230" s="260">
        <f t="shared" si="99"/>
        <v>40</v>
      </c>
      <c r="AO230" s="130">
        <f t="shared" si="100"/>
        <v>0.4</v>
      </c>
      <c r="AP230" s="106">
        <v>58411</v>
      </c>
      <c r="AQ230" s="261">
        <f t="shared" si="113"/>
        <v>0.49318302864752461</v>
      </c>
      <c r="AR230" s="261">
        <f t="shared" si="101"/>
        <v>32.39774542971287</v>
      </c>
      <c r="AS230" s="107">
        <f t="shared" si="102"/>
        <v>1.2959098171885148</v>
      </c>
      <c r="AT230" s="105">
        <v>0</v>
      </c>
      <c r="AU230" s="105">
        <v>1</v>
      </c>
      <c r="AV230" s="262">
        <f t="shared" si="103"/>
        <v>25</v>
      </c>
      <c r="AW230" s="134">
        <v>4</v>
      </c>
      <c r="AX230" s="134" t="s">
        <v>3606</v>
      </c>
      <c r="AY230" s="262">
        <f t="shared" si="104"/>
        <v>50</v>
      </c>
      <c r="AZ230" s="262">
        <f t="shared" si="105"/>
        <v>75</v>
      </c>
      <c r="BA230" s="38">
        <f t="shared" si="106"/>
        <v>0.75</v>
      </c>
      <c r="BB230" s="105">
        <v>0</v>
      </c>
      <c r="BC230" s="105">
        <v>0</v>
      </c>
      <c r="BD230" s="105">
        <v>0</v>
      </c>
      <c r="BE230" s="262">
        <f t="shared" si="107"/>
        <v>0</v>
      </c>
      <c r="BF230" s="262">
        <f t="shared" si="108"/>
        <v>50</v>
      </c>
      <c r="BG230" s="38">
        <f t="shared" si="109"/>
        <v>0.5</v>
      </c>
      <c r="BH230" s="255">
        <f t="shared" si="110"/>
        <v>1614819</v>
      </c>
      <c r="BI230" s="256">
        <f t="shared" si="111"/>
        <v>0.50558746632734886</v>
      </c>
      <c r="BJ230" s="256">
        <f t="shared" si="114"/>
        <v>28.791905997455117</v>
      </c>
      <c r="BK230" s="55">
        <f t="shared" si="112"/>
        <v>0.57583811994910239</v>
      </c>
      <c r="BL230" s="137">
        <f t="shared" si="115"/>
        <v>9.5217479371376168</v>
      </c>
    </row>
    <row r="231" spans="1:64" x14ac:dyDescent="0.6">
      <c r="A231" s="214" t="s">
        <v>843</v>
      </c>
      <c r="B231" s="13" t="s">
        <v>2211</v>
      </c>
      <c r="C231" s="219" t="s">
        <v>537</v>
      </c>
      <c r="D231" s="216" t="s">
        <v>191</v>
      </c>
      <c r="E231" s="217" t="s">
        <v>34</v>
      </c>
      <c r="F231" s="217" t="s">
        <v>282</v>
      </c>
      <c r="G231" s="218">
        <v>41614</v>
      </c>
      <c r="H231" s="217" t="s">
        <v>830</v>
      </c>
      <c r="I231" s="217" t="s">
        <v>819</v>
      </c>
      <c r="J231" s="217" t="s">
        <v>1112</v>
      </c>
      <c r="K231" s="217" t="s">
        <v>91</v>
      </c>
      <c r="L231" s="220">
        <v>1097011146</v>
      </c>
      <c r="M231" s="206">
        <v>479043111</v>
      </c>
      <c r="N231" s="206">
        <v>617968035</v>
      </c>
      <c r="O231" s="206">
        <v>1472343921</v>
      </c>
      <c r="P231" s="206">
        <v>107106911</v>
      </c>
      <c r="Q231" s="206">
        <v>100951688</v>
      </c>
      <c r="R231" s="206">
        <v>82941336</v>
      </c>
      <c r="S231" s="105">
        <v>1</v>
      </c>
      <c r="T231" s="254">
        <f t="shared" si="87"/>
        <v>100</v>
      </c>
      <c r="U231" s="107">
        <f t="shared" si="88"/>
        <v>1</v>
      </c>
      <c r="V231" s="45">
        <v>720</v>
      </c>
      <c r="W231" s="45">
        <v>736</v>
      </c>
      <c r="X231" s="255">
        <f t="shared" si="89"/>
        <v>16</v>
      </c>
      <c r="Y231" s="255">
        <f t="shared" si="90"/>
        <v>-19</v>
      </c>
      <c r="Z231" s="256">
        <f t="shared" si="91"/>
        <v>1600</v>
      </c>
      <c r="AA231" s="257">
        <f t="shared" si="92"/>
        <v>100</v>
      </c>
      <c r="AB231" s="116">
        <f t="shared" si="93"/>
        <v>1</v>
      </c>
      <c r="AC231" s="123">
        <v>2380</v>
      </c>
      <c r="AD231" s="123">
        <v>2361</v>
      </c>
      <c r="AE231" s="257">
        <f t="shared" si="94"/>
        <v>-19</v>
      </c>
      <c r="AF231" s="258">
        <f t="shared" si="95"/>
        <v>-0.79831932773109238</v>
      </c>
      <c r="AG231" s="257">
        <f t="shared" si="96"/>
        <v>20</v>
      </c>
      <c r="AH231" s="124">
        <f t="shared" si="97"/>
        <v>0.8</v>
      </c>
      <c r="AI231" s="105">
        <v>0</v>
      </c>
      <c r="AJ231" s="105">
        <v>0</v>
      </c>
      <c r="AK231" s="105">
        <v>0</v>
      </c>
      <c r="AL231" s="105">
        <v>0</v>
      </c>
      <c r="AM231" s="260">
        <f t="shared" si="98"/>
        <v>0</v>
      </c>
      <c r="AN231" s="260">
        <f t="shared" si="99"/>
        <v>20</v>
      </c>
      <c r="AO231" s="130">
        <f t="shared" si="100"/>
        <v>0.2</v>
      </c>
      <c r="AP231" s="106">
        <v>858966</v>
      </c>
      <c r="AQ231" s="261">
        <f t="shared" si="113"/>
        <v>1.0356307740208091</v>
      </c>
      <c r="AR231" s="261">
        <f t="shared" si="101"/>
        <v>40.534461610312135</v>
      </c>
      <c r="AS231" s="107">
        <f t="shared" si="102"/>
        <v>1.6213784644124853</v>
      </c>
      <c r="AT231" s="105">
        <v>0</v>
      </c>
      <c r="AU231" s="105">
        <v>1</v>
      </c>
      <c r="AV231" s="262">
        <f t="shared" si="103"/>
        <v>25</v>
      </c>
      <c r="AW231" s="134">
        <v>2</v>
      </c>
      <c r="AX231" s="134" t="s">
        <v>3604</v>
      </c>
      <c r="AY231" s="262">
        <f t="shared" si="104"/>
        <v>25</v>
      </c>
      <c r="AZ231" s="262">
        <f t="shared" si="105"/>
        <v>50</v>
      </c>
      <c r="BA231" s="38">
        <f t="shared" si="106"/>
        <v>0.5</v>
      </c>
      <c r="BB231" s="105">
        <v>0</v>
      </c>
      <c r="BC231" s="105">
        <v>0</v>
      </c>
      <c r="BD231" s="105">
        <v>0</v>
      </c>
      <c r="BE231" s="262">
        <f t="shared" si="107"/>
        <v>0</v>
      </c>
      <c r="BF231" s="262">
        <f t="shared" si="108"/>
        <v>50</v>
      </c>
      <c r="BG231" s="38">
        <f t="shared" si="109"/>
        <v>0.5</v>
      </c>
      <c r="BH231" s="255">
        <f t="shared" si="110"/>
        <v>18010352</v>
      </c>
      <c r="BI231" s="256">
        <f t="shared" si="111"/>
        <v>1.2232435467772751</v>
      </c>
      <c r="BJ231" s="256">
        <f t="shared" si="114"/>
        <v>34.174326600829559</v>
      </c>
      <c r="BK231" s="55">
        <f t="shared" si="112"/>
        <v>0.68348653201659115</v>
      </c>
      <c r="BL231" s="137">
        <f t="shared" si="115"/>
        <v>6.3048649964290764</v>
      </c>
    </row>
    <row r="232" spans="1:64" x14ac:dyDescent="0.6">
      <c r="A232" s="214" t="s">
        <v>799</v>
      </c>
      <c r="B232" s="13" t="s">
        <v>2212</v>
      </c>
      <c r="C232" s="219" t="s">
        <v>546</v>
      </c>
      <c r="D232" s="216" t="s">
        <v>191</v>
      </c>
      <c r="E232" s="217" t="s">
        <v>554</v>
      </c>
      <c r="F232" s="217" t="s">
        <v>218</v>
      </c>
      <c r="G232" s="218">
        <v>43768</v>
      </c>
      <c r="H232" s="217" t="s">
        <v>830</v>
      </c>
      <c r="I232" s="217" t="s">
        <v>842</v>
      </c>
      <c r="J232" s="217" t="s">
        <v>1131</v>
      </c>
      <c r="K232" s="217" t="s">
        <v>690</v>
      </c>
      <c r="L232" s="220">
        <v>740602270</v>
      </c>
      <c r="M232" s="206">
        <v>262924064</v>
      </c>
      <c r="N232" s="206">
        <v>477678206</v>
      </c>
      <c r="O232" s="206">
        <v>269751716</v>
      </c>
      <c r="P232" s="206">
        <v>21819621</v>
      </c>
      <c r="Q232" s="206">
        <v>9990377</v>
      </c>
      <c r="R232" s="206">
        <v>2417491</v>
      </c>
      <c r="S232" s="105">
        <v>1</v>
      </c>
      <c r="T232" s="254">
        <f t="shared" si="87"/>
        <v>100</v>
      </c>
      <c r="U232" s="107">
        <f t="shared" si="88"/>
        <v>1</v>
      </c>
      <c r="V232" s="45">
        <v>36</v>
      </c>
      <c r="W232" s="45">
        <v>48</v>
      </c>
      <c r="X232" s="255">
        <f t="shared" si="89"/>
        <v>12</v>
      </c>
      <c r="Y232" s="255">
        <f t="shared" si="90"/>
        <v>33</v>
      </c>
      <c r="Z232" s="256">
        <f t="shared" si="91"/>
        <v>36.363636363636367</v>
      </c>
      <c r="AA232" s="257">
        <f t="shared" si="92"/>
        <v>80</v>
      </c>
      <c r="AB232" s="116">
        <f t="shared" si="93"/>
        <v>0.8</v>
      </c>
      <c r="AC232" s="123">
        <v>142</v>
      </c>
      <c r="AD232" s="123">
        <v>175</v>
      </c>
      <c r="AE232" s="257">
        <f t="shared" si="94"/>
        <v>33</v>
      </c>
      <c r="AF232" s="258">
        <f t="shared" si="95"/>
        <v>23.239436619718308</v>
      </c>
      <c r="AG232" s="257">
        <f t="shared" si="96"/>
        <v>100</v>
      </c>
      <c r="AH232" s="124">
        <f t="shared" si="97"/>
        <v>4</v>
      </c>
      <c r="AI232" s="105">
        <v>0</v>
      </c>
      <c r="AJ232" s="105">
        <v>0</v>
      </c>
      <c r="AK232" s="105">
        <v>0</v>
      </c>
      <c r="AL232" s="105">
        <v>0</v>
      </c>
      <c r="AM232" s="260">
        <f t="shared" si="98"/>
        <v>0</v>
      </c>
      <c r="AN232" s="260">
        <f t="shared" si="99"/>
        <v>20</v>
      </c>
      <c r="AO232" s="130">
        <f t="shared" si="100"/>
        <v>0.2</v>
      </c>
      <c r="AP232" s="440">
        <v>0</v>
      </c>
      <c r="AQ232" s="261">
        <f t="shared" si="113"/>
        <v>0</v>
      </c>
      <c r="AR232" s="261">
        <f t="shared" si="101"/>
        <v>25</v>
      </c>
      <c r="AS232" s="107">
        <f t="shared" si="102"/>
        <v>1</v>
      </c>
      <c r="AT232" s="105">
        <v>0</v>
      </c>
      <c r="AU232" s="105">
        <v>1</v>
      </c>
      <c r="AV232" s="262">
        <f t="shared" si="103"/>
        <v>25</v>
      </c>
      <c r="AW232" s="134">
        <v>3</v>
      </c>
      <c r="AX232" s="134" t="s">
        <v>3607</v>
      </c>
      <c r="AY232" s="262">
        <f t="shared" si="104"/>
        <v>50</v>
      </c>
      <c r="AZ232" s="262">
        <f t="shared" si="105"/>
        <v>75</v>
      </c>
      <c r="BA232" s="38">
        <f t="shared" si="106"/>
        <v>0.75</v>
      </c>
      <c r="BB232" s="105">
        <v>0</v>
      </c>
      <c r="BC232" s="105">
        <v>0</v>
      </c>
      <c r="BD232" s="105">
        <v>0</v>
      </c>
      <c r="BE232" s="262">
        <f t="shared" si="107"/>
        <v>0</v>
      </c>
      <c r="BF232" s="262">
        <f t="shared" si="108"/>
        <v>50</v>
      </c>
      <c r="BG232" s="38">
        <f t="shared" si="109"/>
        <v>0.5</v>
      </c>
      <c r="BH232" s="255">
        <f t="shared" si="110"/>
        <v>7572886</v>
      </c>
      <c r="BI232" s="256">
        <f t="shared" si="111"/>
        <v>2.8073541522901748</v>
      </c>
      <c r="BJ232" s="256">
        <f t="shared" si="114"/>
        <v>46.055156142176315</v>
      </c>
      <c r="BK232" s="55">
        <f t="shared" si="112"/>
        <v>0.92110312284352636</v>
      </c>
      <c r="BL232" s="137">
        <f t="shared" si="115"/>
        <v>9.171103122843526</v>
      </c>
    </row>
    <row r="233" spans="1:64" x14ac:dyDescent="0.6">
      <c r="A233" s="214" t="s">
        <v>1822</v>
      </c>
      <c r="B233" s="13" t="s">
        <v>2213</v>
      </c>
      <c r="C233" s="219" t="s">
        <v>1823</v>
      </c>
      <c r="D233" s="14" t="s">
        <v>203</v>
      </c>
      <c r="E233" s="217" t="s">
        <v>246</v>
      </c>
      <c r="F233" s="217" t="s">
        <v>1824</v>
      </c>
      <c r="G233" s="218">
        <v>26841</v>
      </c>
      <c r="H233" s="217" t="s">
        <v>830</v>
      </c>
      <c r="I233" s="217" t="s">
        <v>1825</v>
      </c>
      <c r="J233" s="1" t="s">
        <v>3741</v>
      </c>
      <c r="K233" s="217" t="s">
        <v>50</v>
      </c>
      <c r="L233" s="220">
        <v>59360094</v>
      </c>
      <c r="M233" s="206">
        <v>18306208</v>
      </c>
      <c r="N233" s="206">
        <v>41053886</v>
      </c>
      <c r="O233" s="206">
        <v>58845136</v>
      </c>
      <c r="P233" s="206">
        <v>3368252</v>
      </c>
      <c r="Q233" s="206">
        <v>5181465</v>
      </c>
      <c r="R233" s="206">
        <v>4397506</v>
      </c>
      <c r="S233" s="105">
        <v>1</v>
      </c>
      <c r="T233" s="254">
        <f t="shared" si="87"/>
        <v>100</v>
      </c>
      <c r="U233" s="107">
        <f t="shared" si="88"/>
        <v>1</v>
      </c>
      <c r="V233" s="45">
        <v>8</v>
      </c>
      <c r="W233" s="45">
        <v>8</v>
      </c>
      <c r="X233" s="255">
        <f t="shared" si="89"/>
        <v>0</v>
      </c>
      <c r="Y233" s="255">
        <f t="shared" si="90"/>
        <v>2</v>
      </c>
      <c r="Z233" s="256">
        <f t="shared" si="91"/>
        <v>0</v>
      </c>
      <c r="AA233" s="257">
        <f t="shared" si="92"/>
        <v>20</v>
      </c>
      <c r="AB233" s="116">
        <f t="shared" si="93"/>
        <v>0.2</v>
      </c>
      <c r="AC233" s="123">
        <v>70</v>
      </c>
      <c r="AD233" s="123">
        <v>72</v>
      </c>
      <c r="AE233" s="257">
        <f t="shared" si="94"/>
        <v>2</v>
      </c>
      <c r="AF233" s="258">
        <f t="shared" si="95"/>
        <v>2.8571428571428572</v>
      </c>
      <c r="AG233" s="257">
        <f t="shared" si="96"/>
        <v>100</v>
      </c>
      <c r="AH233" s="124">
        <f t="shared" si="97"/>
        <v>4</v>
      </c>
      <c r="AI233" s="105">
        <v>0</v>
      </c>
      <c r="AJ233" s="105">
        <v>0</v>
      </c>
      <c r="AK233" s="105">
        <v>0</v>
      </c>
      <c r="AL233" s="105">
        <v>0</v>
      </c>
      <c r="AM233" s="260">
        <f t="shared" si="98"/>
        <v>0</v>
      </c>
      <c r="AN233" s="260">
        <f t="shared" si="99"/>
        <v>20</v>
      </c>
      <c r="AO233" s="130">
        <f t="shared" si="100"/>
        <v>0.2</v>
      </c>
      <c r="AP233" s="440">
        <v>0</v>
      </c>
      <c r="AQ233" s="261">
        <f t="shared" si="113"/>
        <v>0</v>
      </c>
      <c r="AR233" s="261">
        <f t="shared" si="101"/>
        <v>25</v>
      </c>
      <c r="AS233" s="107">
        <f t="shared" si="102"/>
        <v>1</v>
      </c>
      <c r="AT233" s="105">
        <v>0</v>
      </c>
      <c r="AU233" s="105">
        <v>0</v>
      </c>
      <c r="AV233" s="262">
        <f t="shared" si="103"/>
        <v>0</v>
      </c>
      <c r="AW233" s="134">
        <v>0</v>
      </c>
      <c r="AX233" s="134"/>
      <c r="AY233" s="262">
        <f t="shared" si="104"/>
        <v>0</v>
      </c>
      <c r="AZ233" s="262">
        <f t="shared" si="105"/>
        <v>0</v>
      </c>
      <c r="BA233" s="38">
        <f t="shared" si="106"/>
        <v>0</v>
      </c>
      <c r="BB233" s="105">
        <v>0</v>
      </c>
      <c r="BC233" s="105">
        <v>0</v>
      </c>
      <c r="BD233" s="105">
        <v>0</v>
      </c>
      <c r="BE233" s="262">
        <f t="shared" si="107"/>
        <v>0</v>
      </c>
      <c r="BF233" s="262">
        <f t="shared" si="108"/>
        <v>50</v>
      </c>
      <c r="BG233" s="38">
        <f t="shared" si="109"/>
        <v>0.5</v>
      </c>
      <c r="BH233" s="255">
        <f t="shared" si="110"/>
        <v>783959</v>
      </c>
      <c r="BI233" s="256">
        <f t="shared" si="111"/>
        <v>1.3322409519114715</v>
      </c>
      <c r="BJ233" s="256">
        <f t="shared" si="114"/>
        <v>34.991807139336032</v>
      </c>
      <c r="BK233" s="55">
        <f t="shared" si="112"/>
        <v>0.69983614278672068</v>
      </c>
      <c r="BL233" s="137">
        <f t="shared" si="115"/>
        <v>7.5998361427867209</v>
      </c>
    </row>
    <row r="234" spans="1:64" x14ac:dyDescent="0.6">
      <c r="A234" s="214" t="s">
        <v>29</v>
      </c>
      <c r="B234" s="13" t="s">
        <v>2214</v>
      </c>
      <c r="C234" s="219" t="s">
        <v>8</v>
      </c>
      <c r="D234" s="216" t="s">
        <v>203</v>
      </c>
      <c r="E234" s="217" t="s">
        <v>246</v>
      </c>
      <c r="F234" s="217" t="s">
        <v>1105</v>
      </c>
      <c r="G234" s="218">
        <v>32781</v>
      </c>
      <c r="H234" s="217" t="s">
        <v>830</v>
      </c>
      <c r="I234" s="217" t="s">
        <v>1825</v>
      </c>
      <c r="J234" s="217" t="s">
        <v>1234</v>
      </c>
      <c r="K234" s="217" t="s">
        <v>690</v>
      </c>
      <c r="L234" s="220">
        <v>45482659</v>
      </c>
      <c r="M234" s="206">
        <v>14914195</v>
      </c>
      <c r="N234" s="206">
        <v>30568464</v>
      </c>
      <c r="O234" s="206">
        <v>50246842</v>
      </c>
      <c r="P234" s="206">
        <v>3199040</v>
      </c>
      <c r="Q234" s="206">
        <v>3233292</v>
      </c>
      <c r="R234" s="206">
        <v>3418425</v>
      </c>
      <c r="S234" s="105">
        <v>1</v>
      </c>
      <c r="T234" s="254">
        <f t="shared" si="87"/>
        <v>100</v>
      </c>
      <c r="U234" s="107">
        <f t="shared" si="88"/>
        <v>1</v>
      </c>
      <c r="V234" s="45">
        <v>2</v>
      </c>
      <c r="W234" s="45">
        <v>5</v>
      </c>
      <c r="X234" s="255">
        <f t="shared" si="89"/>
        <v>3</v>
      </c>
      <c r="Y234" s="255">
        <f t="shared" si="90"/>
        <v>7</v>
      </c>
      <c r="Z234" s="256">
        <f t="shared" si="91"/>
        <v>42.857142857142854</v>
      </c>
      <c r="AA234" s="257">
        <f t="shared" si="92"/>
        <v>100</v>
      </c>
      <c r="AB234" s="116">
        <f t="shared" si="93"/>
        <v>1</v>
      </c>
      <c r="AC234" s="123">
        <v>57</v>
      </c>
      <c r="AD234" s="123">
        <v>64</v>
      </c>
      <c r="AE234" s="257">
        <f t="shared" si="94"/>
        <v>7</v>
      </c>
      <c r="AF234" s="258">
        <f t="shared" si="95"/>
        <v>12.280701754385964</v>
      </c>
      <c r="AG234" s="257">
        <f t="shared" si="96"/>
        <v>100</v>
      </c>
      <c r="AH234" s="124">
        <f t="shared" si="97"/>
        <v>4</v>
      </c>
      <c r="AI234" s="105">
        <v>0</v>
      </c>
      <c r="AJ234" s="105">
        <v>0</v>
      </c>
      <c r="AK234" s="105">
        <v>0</v>
      </c>
      <c r="AL234" s="105">
        <v>0</v>
      </c>
      <c r="AM234" s="260">
        <f t="shared" si="98"/>
        <v>0</v>
      </c>
      <c r="AN234" s="260">
        <f t="shared" si="99"/>
        <v>20</v>
      </c>
      <c r="AO234" s="130">
        <f t="shared" si="100"/>
        <v>0.2</v>
      </c>
      <c r="AP234" s="440">
        <v>0</v>
      </c>
      <c r="AQ234" s="261">
        <f t="shared" si="113"/>
        <v>0</v>
      </c>
      <c r="AR234" s="261">
        <f t="shared" si="101"/>
        <v>25</v>
      </c>
      <c r="AS234" s="107">
        <f t="shared" si="102"/>
        <v>1</v>
      </c>
      <c r="AT234" s="105">
        <v>0</v>
      </c>
      <c r="AU234" s="105">
        <v>1</v>
      </c>
      <c r="AV234" s="262">
        <f t="shared" si="103"/>
        <v>25</v>
      </c>
      <c r="AW234" s="134">
        <v>0</v>
      </c>
      <c r="AX234" s="134"/>
      <c r="AY234" s="262">
        <f t="shared" si="104"/>
        <v>0</v>
      </c>
      <c r="AZ234" s="262">
        <f t="shared" si="105"/>
        <v>25</v>
      </c>
      <c r="BA234" s="38">
        <f t="shared" si="106"/>
        <v>0.25</v>
      </c>
      <c r="BB234" s="105">
        <v>0</v>
      </c>
      <c r="BC234" s="105">
        <v>0</v>
      </c>
      <c r="BD234" s="105">
        <v>0</v>
      </c>
      <c r="BE234" s="262">
        <f t="shared" si="107"/>
        <v>0</v>
      </c>
      <c r="BF234" s="262">
        <f t="shared" si="108"/>
        <v>50</v>
      </c>
      <c r="BG234" s="38">
        <f t="shared" si="109"/>
        <v>0.5</v>
      </c>
      <c r="BH234" s="255">
        <f t="shared" si="110"/>
        <v>-185133</v>
      </c>
      <c r="BI234" s="256">
        <f t="shared" si="111"/>
        <v>-0.36844703593511408</v>
      </c>
      <c r="BJ234" s="256">
        <f t="shared" si="114"/>
        <v>25</v>
      </c>
      <c r="BK234" s="55">
        <f t="shared" si="112"/>
        <v>0.5</v>
      </c>
      <c r="BL234" s="137">
        <f t="shared" si="115"/>
        <v>8.4499999999999993</v>
      </c>
    </row>
    <row r="235" spans="1:64" x14ac:dyDescent="0.6">
      <c r="A235" s="214" t="s">
        <v>335</v>
      </c>
      <c r="B235" s="13" t="s">
        <v>2215</v>
      </c>
      <c r="C235" s="219" t="s">
        <v>107</v>
      </c>
      <c r="D235" s="216" t="s">
        <v>285</v>
      </c>
      <c r="E235" s="217" t="s">
        <v>867</v>
      </c>
      <c r="F235" s="217" t="s">
        <v>1098</v>
      </c>
      <c r="G235" s="218">
        <v>28301</v>
      </c>
      <c r="H235" s="217" t="s">
        <v>830</v>
      </c>
      <c r="I235" s="217" t="s">
        <v>766</v>
      </c>
      <c r="J235" s="217" t="s">
        <v>1195</v>
      </c>
      <c r="K235" s="217" t="s">
        <v>346</v>
      </c>
      <c r="L235" s="220">
        <v>451746879</v>
      </c>
      <c r="M235" s="206">
        <v>227013990</v>
      </c>
      <c r="N235" s="206">
        <v>224732889</v>
      </c>
      <c r="O235" s="206">
        <v>628936049</v>
      </c>
      <c r="P235" s="206">
        <v>50682533</v>
      </c>
      <c r="Q235" s="206">
        <v>53220599</v>
      </c>
      <c r="R235" s="206">
        <v>49560577</v>
      </c>
      <c r="S235" s="105">
        <v>0</v>
      </c>
      <c r="T235" s="254">
        <f t="shared" si="87"/>
        <v>0</v>
      </c>
      <c r="U235" s="107">
        <f t="shared" si="88"/>
        <v>0</v>
      </c>
      <c r="V235" s="45">
        <v>12</v>
      </c>
      <c r="W235" s="45">
        <v>17</v>
      </c>
      <c r="X235" s="255">
        <f t="shared" si="89"/>
        <v>5</v>
      </c>
      <c r="Y235" s="255">
        <f t="shared" si="90"/>
        <v>35</v>
      </c>
      <c r="Z235" s="256">
        <f t="shared" si="91"/>
        <v>14.285714285714285</v>
      </c>
      <c r="AA235" s="257">
        <f t="shared" si="92"/>
        <v>40</v>
      </c>
      <c r="AB235" s="116">
        <f t="shared" si="93"/>
        <v>0.4</v>
      </c>
      <c r="AC235" s="123">
        <v>268</v>
      </c>
      <c r="AD235" s="123">
        <v>303</v>
      </c>
      <c r="AE235" s="257">
        <f t="shared" si="94"/>
        <v>35</v>
      </c>
      <c r="AF235" s="258">
        <f t="shared" si="95"/>
        <v>13.059701492537313</v>
      </c>
      <c r="AG235" s="257">
        <f t="shared" si="96"/>
        <v>100</v>
      </c>
      <c r="AH235" s="124">
        <f t="shared" si="97"/>
        <v>4</v>
      </c>
      <c r="AI235" s="105">
        <v>0</v>
      </c>
      <c r="AJ235" s="105">
        <v>0</v>
      </c>
      <c r="AK235" s="105">
        <v>0</v>
      </c>
      <c r="AL235" s="105">
        <v>0</v>
      </c>
      <c r="AM235" s="260">
        <f t="shared" si="98"/>
        <v>0</v>
      </c>
      <c r="AN235" s="260">
        <f t="shared" si="99"/>
        <v>20</v>
      </c>
      <c r="AO235" s="130">
        <f t="shared" si="100"/>
        <v>0.2</v>
      </c>
      <c r="AP235" s="106">
        <v>300600</v>
      </c>
      <c r="AQ235" s="261">
        <f t="shared" si="113"/>
        <v>0.60653046876350936</v>
      </c>
      <c r="AR235" s="261">
        <f t="shared" si="101"/>
        <v>34.097957031452637</v>
      </c>
      <c r="AS235" s="107">
        <f t="shared" si="102"/>
        <v>1.3639182812581054</v>
      </c>
      <c r="AT235" s="105">
        <v>1</v>
      </c>
      <c r="AU235" s="105">
        <v>1</v>
      </c>
      <c r="AV235" s="262">
        <f t="shared" si="103"/>
        <v>50</v>
      </c>
      <c r="AW235" s="134">
        <v>0</v>
      </c>
      <c r="AX235" s="134"/>
      <c r="AY235" s="262">
        <f t="shared" si="104"/>
        <v>0</v>
      </c>
      <c r="AZ235" s="262">
        <f t="shared" si="105"/>
        <v>50</v>
      </c>
      <c r="BA235" s="38">
        <f t="shared" si="106"/>
        <v>0.5</v>
      </c>
      <c r="BB235" s="105">
        <v>0</v>
      </c>
      <c r="BC235" s="105">
        <v>0</v>
      </c>
      <c r="BD235" s="105">
        <v>0</v>
      </c>
      <c r="BE235" s="262">
        <f t="shared" si="107"/>
        <v>0</v>
      </c>
      <c r="BF235" s="262">
        <f t="shared" si="108"/>
        <v>50</v>
      </c>
      <c r="BG235" s="38">
        <f t="shared" si="109"/>
        <v>0.5</v>
      </c>
      <c r="BH235" s="255">
        <f t="shared" si="110"/>
        <v>3660022</v>
      </c>
      <c r="BI235" s="256">
        <f t="shared" si="111"/>
        <v>0.58193865748662144</v>
      </c>
      <c r="BJ235" s="256">
        <f t="shared" si="114"/>
        <v>29.364539931149661</v>
      </c>
      <c r="BK235" s="55">
        <f t="shared" si="112"/>
        <v>0.58729079862299327</v>
      </c>
      <c r="BL235" s="137">
        <f t="shared" si="115"/>
        <v>7.5512090798810991</v>
      </c>
    </row>
    <row r="236" spans="1:64" x14ac:dyDescent="0.6">
      <c r="A236" s="214" t="s">
        <v>1827</v>
      </c>
      <c r="B236" s="13" t="s">
        <v>2216</v>
      </c>
      <c r="C236" s="219" t="s">
        <v>1828</v>
      </c>
      <c r="D236" s="79" t="s">
        <v>88</v>
      </c>
      <c r="E236" s="217" t="s">
        <v>1585</v>
      </c>
      <c r="F236" s="217" t="s">
        <v>1829</v>
      </c>
      <c r="G236" s="218">
        <v>44414</v>
      </c>
      <c r="H236" s="217" t="s">
        <v>830</v>
      </c>
      <c r="I236" s="217" t="s">
        <v>1830</v>
      </c>
      <c r="J236" s="1" t="s">
        <v>2308</v>
      </c>
      <c r="K236" s="217" t="s">
        <v>690</v>
      </c>
      <c r="L236" s="220">
        <v>39516079000</v>
      </c>
      <c r="M236" s="206">
        <v>33800969000</v>
      </c>
      <c r="N236" s="206">
        <v>5715110000</v>
      </c>
      <c r="O236" s="206">
        <v>1605801000</v>
      </c>
      <c r="P236" s="206">
        <v>353186000</v>
      </c>
      <c r="Q236" s="206">
        <v>351733000</v>
      </c>
      <c r="R236" s="206">
        <v>263091000</v>
      </c>
      <c r="S236" s="105">
        <v>1</v>
      </c>
      <c r="T236" s="254">
        <f t="shared" si="87"/>
        <v>100</v>
      </c>
      <c r="U236" s="107">
        <f t="shared" si="88"/>
        <v>1</v>
      </c>
      <c r="V236" s="45">
        <v>365</v>
      </c>
      <c r="W236" s="190">
        <f>515+3</f>
        <v>518</v>
      </c>
      <c r="X236" s="255">
        <f t="shared" si="89"/>
        <v>153</v>
      </c>
      <c r="Y236" s="255">
        <f t="shared" si="90"/>
        <v>366</v>
      </c>
      <c r="Z236" s="256">
        <f t="shared" si="91"/>
        <v>41.803278688524593</v>
      </c>
      <c r="AA236" s="257">
        <f t="shared" si="92"/>
        <v>100</v>
      </c>
      <c r="AB236" s="116">
        <f t="shared" si="93"/>
        <v>1</v>
      </c>
      <c r="AC236" s="123">
        <v>886</v>
      </c>
      <c r="AD236" s="123">
        <f>1246+6</f>
        <v>1252</v>
      </c>
      <c r="AE236" s="257">
        <f t="shared" si="94"/>
        <v>366</v>
      </c>
      <c r="AF236" s="258">
        <f t="shared" si="95"/>
        <v>41.309255079006775</v>
      </c>
      <c r="AG236" s="257">
        <f t="shared" si="96"/>
        <v>100</v>
      </c>
      <c r="AH236" s="124">
        <f t="shared" si="97"/>
        <v>4</v>
      </c>
      <c r="AI236" s="105">
        <v>0</v>
      </c>
      <c r="AJ236" s="105">
        <v>0</v>
      </c>
      <c r="AK236" s="105">
        <v>0</v>
      </c>
      <c r="AL236" s="105">
        <v>0</v>
      </c>
      <c r="AM236" s="260">
        <f t="shared" si="98"/>
        <v>0</v>
      </c>
      <c r="AN236" s="260">
        <f t="shared" si="99"/>
        <v>20</v>
      </c>
      <c r="AO236" s="130">
        <f t="shared" si="100"/>
        <v>0.2</v>
      </c>
      <c r="AP236" s="106">
        <v>2581000</v>
      </c>
      <c r="AQ236" s="261">
        <f t="shared" si="113"/>
        <v>0.98102937766780318</v>
      </c>
      <c r="AR236" s="261">
        <f t="shared" si="101"/>
        <v>39.715440665017049</v>
      </c>
      <c r="AS236" s="107">
        <f t="shared" si="102"/>
        <v>1.588617626600682</v>
      </c>
      <c r="AT236" s="105">
        <v>1</v>
      </c>
      <c r="AU236" s="105">
        <v>1</v>
      </c>
      <c r="AV236" s="262">
        <f t="shared" si="103"/>
        <v>50</v>
      </c>
      <c r="AW236" s="134">
        <v>10</v>
      </c>
      <c r="AX236" s="447" t="s">
        <v>3742</v>
      </c>
      <c r="AY236" s="262">
        <f t="shared" si="104"/>
        <v>50</v>
      </c>
      <c r="AZ236" s="262">
        <f t="shared" si="105"/>
        <v>100</v>
      </c>
      <c r="BA236" s="38">
        <f t="shared" si="106"/>
        <v>1</v>
      </c>
      <c r="BB236" s="105">
        <v>0</v>
      </c>
      <c r="BC236" s="105">
        <v>0</v>
      </c>
      <c r="BD236" s="105">
        <v>0</v>
      </c>
      <c r="BE236" s="262">
        <f t="shared" si="107"/>
        <v>0</v>
      </c>
      <c r="BF236" s="262">
        <f t="shared" si="108"/>
        <v>50</v>
      </c>
      <c r="BG236" s="38">
        <f t="shared" si="109"/>
        <v>0.5</v>
      </c>
      <c r="BH236" s="255">
        <f t="shared" si="110"/>
        <v>88642000</v>
      </c>
      <c r="BI236" s="256">
        <f t="shared" si="111"/>
        <v>5.5201111470225763</v>
      </c>
      <c r="BJ236" s="256">
        <f t="shared" si="114"/>
        <v>66.400833602669323</v>
      </c>
      <c r="BK236" s="55">
        <f t="shared" si="112"/>
        <v>1.3280166720533866</v>
      </c>
      <c r="BL236" s="137">
        <f t="shared" si="115"/>
        <v>10.61663429865407</v>
      </c>
    </row>
    <row r="237" spans="1:64" x14ac:dyDescent="0.6">
      <c r="A237" s="214" t="s">
        <v>828</v>
      </c>
      <c r="B237" s="13" t="s">
        <v>2217</v>
      </c>
      <c r="C237" s="219" t="s">
        <v>541</v>
      </c>
      <c r="D237" s="216" t="s">
        <v>202</v>
      </c>
      <c r="E237" s="217" t="s">
        <v>161</v>
      </c>
      <c r="F237" s="217" t="s">
        <v>1202</v>
      </c>
      <c r="G237" s="218">
        <v>35759</v>
      </c>
      <c r="H237" s="217" t="s">
        <v>830</v>
      </c>
      <c r="I237" s="217" t="s">
        <v>1831</v>
      </c>
      <c r="J237" s="217" t="s">
        <v>1092</v>
      </c>
      <c r="K237" s="217" t="s">
        <v>690</v>
      </c>
      <c r="L237" s="220">
        <v>620348530</v>
      </c>
      <c r="M237" s="206">
        <v>68839722</v>
      </c>
      <c r="N237" s="206">
        <v>551508808</v>
      </c>
      <c r="O237" s="206">
        <v>211778911</v>
      </c>
      <c r="P237" s="206">
        <v>46883729</v>
      </c>
      <c r="Q237" s="206">
        <v>54068760</v>
      </c>
      <c r="R237" s="206">
        <v>46885493</v>
      </c>
      <c r="S237" s="105">
        <v>1</v>
      </c>
      <c r="T237" s="254">
        <f t="shared" si="87"/>
        <v>100</v>
      </c>
      <c r="U237" s="107">
        <f t="shared" si="88"/>
        <v>1</v>
      </c>
      <c r="V237" s="45">
        <v>23</v>
      </c>
      <c r="W237" s="45">
        <f>12+5+4</f>
        <v>21</v>
      </c>
      <c r="X237" s="255">
        <f t="shared" si="89"/>
        <v>-2</v>
      </c>
      <c r="Y237" s="255">
        <f t="shared" si="90"/>
        <v>18</v>
      </c>
      <c r="Z237" s="256">
        <f t="shared" si="91"/>
        <v>-11.111111111111111</v>
      </c>
      <c r="AA237" s="257">
        <f t="shared" si="92"/>
        <v>20</v>
      </c>
      <c r="AB237" s="116">
        <f t="shared" si="93"/>
        <v>0.2</v>
      </c>
      <c r="AC237" s="123">
        <v>198</v>
      </c>
      <c r="AD237" s="123">
        <v>216</v>
      </c>
      <c r="AE237" s="257">
        <f t="shared" si="94"/>
        <v>18</v>
      </c>
      <c r="AF237" s="258">
        <f t="shared" si="95"/>
        <v>9.0909090909090917</v>
      </c>
      <c r="AG237" s="257">
        <f t="shared" si="96"/>
        <v>100</v>
      </c>
      <c r="AH237" s="124">
        <f t="shared" si="97"/>
        <v>4</v>
      </c>
      <c r="AI237" s="105">
        <v>0</v>
      </c>
      <c r="AJ237" s="105">
        <v>0</v>
      </c>
      <c r="AK237" s="105">
        <v>0</v>
      </c>
      <c r="AL237" s="105">
        <v>0</v>
      </c>
      <c r="AM237" s="260">
        <f t="shared" si="98"/>
        <v>0</v>
      </c>
      <c r="AN237" s="260">
        <f t="shared" si="99"/>
        <v>20</v>
      </c>
      <c r="AO237" s="130">
        <f t="shared" si="100"/>
        <v>0.2</v>
      </c>
      <c r="AP237" s="106">
        <v>411193</v>
      </c>
      <c r="AQ237" s="261">
        <f t="shared" si="113"/>
        <v>0.87701541284849016</v>
      </c>
      <c r="AR237" s="261">
        <f t="shared" si="101"/>
        <v>38.155231192727356</v>
      </c>
      <c r="AS237" s="107">
        <f t="shared" si="102"/>
        <v>1.5262092477090943</v>
      </c>
      <c r="AT237" s="105">
        <v>0</v>
      </c>
      <c r="AU237" s="105">
        <v>1</v>
      </c>
      <c r="AV237" s="262">
        <f t="shared" si="103"/>
        <v>25</v>
      </c>
      <c r="AW237" s="134">
        <v>0</v>
      </c>
      <c r="AX237" s="134"/>
      <c r="AY237" s="262">
        <f t="shared" si="104"/>
        <v>0</v>
      </c>
      <c r="AZ237" s="262">
        <f t="shared" si="105"/>
        <v>25</v>
      </c>
      <c r="BA237" s="38">
        <f t="shared" si="106"/>
        <v>0.25</v>
      </c>
      <c r="BB237" s="105">
        <v>0</v>
      </c>
      <c r="BC237" s="105">
        <v>0</v>
      </c>
      <c r="BD237" s="105">
        <v>0</v>
      </c>
      <c r="BE237" s="262">
        <f t="shared" si="107"/>
        <v>0</v>
      </c>
      <c r="BF237" s="262">
        <f t="shared" si="108"/>
        <v>50</v>
      </c>
      <c r="BG237" s="38">
        <f t="shared" si="109"/>
        <v>0.5</v>
      </c>
      <c r="BH237" s="255">
        <f t="shared" si="110"/>
        <v>7183267</v>
      </c>
      <c r="BI237" s="256">
        <f t="shared" si="111"/>
        <v>3.3918707798058327</v>
      </c>
      <c r="BJ237" s="256">
        <f t="shared" si="114"/>
        <v>50.439030848543744</v>
      </c>
      <c r="BK237" s="55">
        <f t="shared" si="112"/>
        <v>1.0087806169708748</v>
      </c>
      <c r="BL237" s="137">
        <f t="shared" si="115"/>
        <v>8.6849898646799684</v>
      </c>
    </row>
    <row r="238" spans="1:64" x14ac:dyDescent="0.6">
      <c r="A238" s="214" t="s">
        <v>1832</v>
      </c>
      <c r="B238" s="13" t="s">
        <v>2218</v>
      </c>
      <c r="C238" s="219" t="s">
        <v>1833</v>
      </c>
      <c r="D238" s="14" t="s">
        <v>203</v>
      </c>
      <c r="E238" s="217" t="s">
        <v>188</v>
      </c>
      <c r="F238" s="217" t="s">
        <v>1834</v>
      </c>
      <c r="G238" s="218">
        <v>26840</v>
      </c>
      <c r="H238" s="217" t="s">
        <v>830</v>
      </c>
      <c r="I238" s="217" t="s">
        <v>1835</v>
      </c>
      <c r="J238" s="1" t="s">
        <v>3743</v>
      </c>
      <c r="K238" s="217" t="s">
        <v>91</v>
      </c>
      <c r="L238" s="220">
        <v>8803079613</v>
      </c>
      <c r="M238" s="206">
        <v>3891106993</v>
      </c>
      <c r="N238" s="206">
        <v>4911972621</v>
      </c>
      <c r="O238" s="206">
        <v>2701705575</v>
      </c>
      <c r="P238" s="206">
        <v>177791342</v>
      </c>
      <c r="Q238" s="206">
        <v>7918913</v>
      </c>
      <c r="R238" s="206">
        <v>7342768</v>
      </c>
      <c r="S238" s="105">
        <v>1</v>
      </c>
      <c r="T238" s="254">
        <f t="shared" si="87"/>
        <v>100</v>
      </c>
      <c r="U238" s="107">
        <f t="shared" si="88"/>
        <v>1</v>
      </c>
      <c r="V238" s="45">
        <f>79+71+122+63</f>
        <v>335</v>
      </c>
      <c r="W238" s="45">
        <f>74+67+128+64</f>
        <v>333</v>
      </c>
      <c r="X238" s="255">
        <f t="shared" si="89"/>
        <v>-2</v>
      </c>
      <c r="Y238" s="255">
        <f t="shared" si="90"/>
        <v>43</v>
      </c>
      <c r="Z238" s="256">
        <f t="shared" si="91"/>
        <v>-4.6511627906976747</v>
      </c>
      <c r="AA238" s="257">
        <f t="shared" si="92"/>
        <v>20</v>
      </c>
      <c r="AB238" s="116">
        <f t="shared" si="93"/>
        <v>0.2</v>
      </c>
      <c r="AC238" s="123">
        <v>3211</v>
      </c>
      <c r="AD238" s="123">
        <v>3254</v>
      </c>
      <c r="AE238" s="257">
        <f t="shared" si="94"/>
        <v>43</v>
      </c>
      <c r="AF238" s="258">
        <f t="shared" si="95"/>
        <v>1.339146683276238</v>
      </c>
      <c r="AG238" s="257">
        <f t="shared" si="96"/>
        <v>60</v>
      </c>
      <c r="AH238" s="124">
        <f t="shared" si="97"/>
        <v>2.4</v>
      </c>
      <c r="AI238" s="105">
        <v>0</v>
      </c>
      <c r="AJ238" s="105">
        <v>0</v>
      </c>
      <c r="AK238" s="105">
        <v>0</v>
      </c>
      <c r="AL238" s="105">
        <v>0</v>
      </c>
      <c r="AM238" s="260">
        <f t="shared" si="98"/>
        <v>0</v>
      </c>
      <c r="AN238" s="260">
        <f t="shared" si="99"/>
        <v>20</v>
      </c>
      <c r="AO238" s="130">
        <f t="shared" si="100"/>
        <v>0.2</v>
      </c>
      <c r="AP238" s="106">
        <v>2497718</v>
      </c>
      <c r="AQ238" s="261">
        <f t="shared" si="113"/>
        <v>34.016027743216185</v>
      </c>
      <c r="AR238" s="261">
        <f t="shared" si="101"/>
        <v>100</v>
      </c>
      <c r="AS238" s="107">
        <f t="shared" si="102"/>
        <v>4</v>
      </c>
      <c r="AT238" s="105">
        <v>0</v>
      </c>
      <c r="AU238" s="105">
        <v>1</v>
      </c>
      <c r="AV238" s="262">
        <f t="shared" si="103"/>
        <v>25</v>
      </c>
      <c r="AW238" s="134">
        <v>11</v>
      </c>
      <c r="AX238" s="447" t="s">
        <v>3744</v>
      </c>
      <c r="AY238" s="262">
        <f t="shared" si="104"/>
        <v>50</v>
      </c>
      <c r="AZ238" s="262">
        <f t="shared" si="105"/>
        <v>75</v>
      </c>
      <c r="BA238" s="38">
        <f t="shared" si="106"/>
        <v>0.75</v>
      </c>
      <c r="BB238" s="105">
        <v>0</v>
      </c>
      <c r="BC238" s="105">
        <v>0</v>
      </c>
      <c r="BD238" s="105">
        <v>0</v>
      </c>
      <c r="BE238" s="262">
        <f t="shared" si="107"/>
        <v>0</v>
      </c>
      <c r="BF238" s="262">
        <f t="shared" si="108"/>
        <v>50</v>
      </c>
      <c r="BG238" s="38">
        <f t="shared" si="109"/>
        <v>0.5</v>
      </c>
      <c r="BH238" s="255">
        <f t="shared" si="110"/>
        <v>576145</v>
      </c>
      <c r="BI238" s="256">
        <f t="shared" si="111"/>
        <v>2.1325232672697876E-2</v>
      </c>
      <c r="BJ238" s="256">
        <f t="shared" si="114"/>
        <v>25.159939245045233</v>
      </c>
      <c r="BK238" s="55">
        <f t="shared" si="112"/>
        <v>0.50319878490090464</v>
      </c>
      <c r="BL238" s="137">
        <f t="shared" si="115"/>
        <v>9.5531987849009052</v>
      </c>
    </row>
    <row r="239" spans="1:64" x14ac:dyDescent="0.6">
      <c r="A239" s="214" t="s">
        <v>26</v>
      </c>
      <c r="B239" s="13" t="s">
        <v>2219</v>
      </c>
      <c r="C239" s="219" t="s">
        <v>475</v>
      </c>
      <c r="D239" s="216" t="s">
        <v>202</v>
      </c>
      <c r="E239" s="217" t="s">
        <v>161</v>
      </c>
      <c r="F239" s="217" t="s">
        <v>985</v>
      </c>
      <c r="G239" s="218">
        <v>43074</v>
      </c>
      <c r="H239" s="217" t="s">
        <v>830</v>
      </c>
      <c r="I239" s="217" t="s">
        <v>1017</v>
      </c>
      <c r="J239" s="217" t="s">
        <v>1133</v>
      </c>
      <c r="K239" s="217" t="s">
        <v>690</v>
      </c>
      <c r="L239" s="220">
        <v>483313332</v>
      </c>
      <c r="M239" s="206">
        <v>57327965</v>
      </c>
      <c r="N239" s="206">
        <v>425985367</v>
      </c>
      <c r="O239" s="206">
        <v>378192950</v>
      </c>
      <c r="P239" s="206">
        <v>60336561</v>
      </c>
      <c r="Q239" s="206">
        <v>70491799</v>
      </c>
      <c r="R239" s="206">
        <v>55385939</v>
      </c>
      <c r="S239" s="105">
        <v>1</v>
      </c>
      <c r="T239" s="254">
        <f t="shared" si="87"/>
        <v>100</v>
      </c>
      <c r="U239" s="107">
        <f t="shared" si="88"/>
        <v>1</v>
      </c>
      <c r="V239" s="45">
        <v>64</v>
      </c>
      <c r="W239" s="45">
        <f>61+11</f>
        <v>72</v>
      </c>
      <c r="X239" s="255">
        <f t="shared" si="89"/>
        <v>8</v>
      </c>
      <c r="Y239" s="255">
        <f t="shared" si="90"/>
        <v>51</v>
      </c>
      <c r="Z239" s="256">
        <f t="shared" si="91"/>
        <v>15.686274509803921</v>
      </c>
      <c r="AA239" s="257">
        <f t="shared" si="92"/>
        <v>40</v>
      </c>
      <c r="AB239" s="116">
        <f t="shared" si="93"/>
        <v>0.4</v>
      </c>
      <c r="AC239" s="123">
        <v>708</v>
      </c>
      <c r="AD239" s="123">
        <v>759</v>
      </c>
      <c r="AE239" s="257">
        <f t="shared" si="94"/>
        <v>51</v>
      </c>
      <c r="AF239" s="258">
        <f t="shared" si="95"/>
        <v>7.2033898305084749</v>
      </c>
      <c r="AG239" s="257">
        <f t="shared" si="96"/>
        <v>100</v>
      </c>
      <c r="AH239" s="124">
        <f t="shared" si="97"/>
        <v>4</v>
      </c>
      <c r="AI239" s="105">
        <v>0</v>
      </c>
      <c r="AJ239" s="105">
        <v>0</v>
      </c>
      <c r="AK239" s="105">
        <v>0</v>
      </c>
      <c r="AL239" s="105">
        <v>0</v>
      </c>
      <c r="AM239" s="260">
        <f t="shared" si="98"/>
        <v>0</v>
      </c>
      <c r="AN239" s="260">
        <f t="shared" si="99"/>
        <v>20</v>
      </c>
      <c r="AO239" s="130">
        <f t="shared" si="100"/>
        <v>0.2</v>
      </c>
      <c r="AP239" s="106">
        <v>15000</v>
      </c>
      <c r="AQ239" s="261">
        <f t="shared" si="113"/>
        <v>2.7082686094750511E-2</v>
      </c>
      <c r="AR239" s="261">
        <f t="shared" si="101"/>
        <v>25.406240291421259</v>
      </c>
      <c r="AS239" s="107">
        <f t="shared" si="102"/>
        <v>1.0162496116568505</v>
      </c>
      <c r="AT239" s="105">
        <v>0</v>
      </c>
      <c r="AU239" s="105">
        <v>1</v>
      </c>
      <c r="AV239" s="262">
        <f t="shared" si="103"/>
        <v>25</v>
      </c>
      <c r="AW239" s="134">
        <v>0</v>
      </c>
      <c r="AX239" s="134"/>
      <c r="AY239" s="262">
        <f t="shared" si="104"/>
        <v>0</v>
      </c>
      <c r="AZ239" s="262">
        <f t="shared" si="105"/>
        <v>25</v>
      </c>
      <c r="BA239" s="38">
        <f t="shared" si="106"/>
        <v>0.25</v>
      </c>
      <c r="BB239" s="105">
        <v>0</v>
      </c>
      <c r="BC239" s="105">
        <v>0</v>
      </c>
      <c r="BD239" s="105">
        <v>0</v>
      </c>
      <c r="BE239" s="262">
        <f t="shared" si="107"/>
        <v>0</v>
      </c>
      <c r="BF239" s="262">
        <f t="shared" si="108"/>
        <v>50</v>
      </c>
      <c r="BG239" s="38">
        <f t="shared" si="109"/>
        <v>0.5</v>
      </c>
      <c r="BH239" s="255">
        <f t="shared" si="110"/>
        <v>15105860</v>
      </c>
      <c r="BI239" s="256">
        <f t="shared" si="111"/>
        <v>3.9942204105073875</v>
      </c>
      <c r="BJ239" s="256">
        <f t="shared" si="114"/>
        <v>54.95665307880541</v>
      </c>
      <c r="BK239" s="55">
        <f t="shared" si="112"/>
        <v>1.0991330615761081</v>
      </c>
      <c r="BL239" s="137">
        <f t="shared" si="115"/>
        <v>8.4653826732329591</v>
      </c>
    </row>
    <row r="240" spans="1:64" x14ac:dyDescent="0.6">
      <c r="A240" s="214" t="s">
        <v>1837</v>
      </c>
      <c r="B240" s="13" t="s">
        <v>2220</v>
      </c>
      <c r="C240" s="219" t="s">
        <v>1838</v>
      </c>
      <c r="D240" s="14" t="s">
        <v>285</v>
      </c>
      <c r="E240" s="217" t="s">
        <v>1432</v>
      </c>
      <c r="F240" s="217" t="s">
        <v>1839</v>
      </c>
      <c r="G240" s="218">
        <v>28762</v>
      </c>
      <c r="H240" s="217" t="s">
        <v>830</v>
      </c>
      <c r="I240" s="217" t="s">
        <v>1840</v>
      </c>
      <c r="J240" s="1" t="s">
        <v>3745</v>
      </c>
      <c r="K240" s="217" t="s">
        <v>91</v>
      </c>
      <c r="L240" s="220">
        <v>501506960</v>
      </c>
      <c r="M240" s="206">
        <v>297824193</v>
      </c>
      <c r="N240" s="206">
        <v>203682767</v>
      </c>
      <c r="O240" s="206">
        <v>628065353</v>
      </c>
      <c r="P240" s="206">
        <v>22866089</v>
      </c>
      <c r="Q240" s="206">
        <v>14957802</v>
      </c>
      <c r="R240" s="206">
        <v>12222578</v>
      </c>
      <c r="S240" s="105">
        <v>0</v>
      </c>
      <c r="T240" s="254">
        <f t="shared" si="87"/>
        <v>0</v>
      </c>
      <c r="U240" s="107">
        <f t="shared" si="88"/>
        <v>0</v>
      </c>
      <c r="V240" s="45">
        <f>31+4+2+6+12</f>
        <v>55</v>
      </c>
      <c r="W240" s="45">
        <f>30+4+2+7+12</f>
        <v>55</v>
      </c>
      <c r="X240" s="255">
        <f t="shared" si="89"/>
        <v>0</v>
      </c>
      <c r="Y240" s="255">
        <f t="shared" si="90"/>
        <v>28</v>
      </c>
      <c r="Z240" s="256">
        <f t="shared" si="91"/>
        <v>0</v>
      </c>
      <c r="AA240" s="257">
        <f t="shared" si="92"/>
        <v>20</v>
      </c>
      <c r="AB240" s="116">
        <f t="shared" si="93"/>
        <v>0.2</v>
      </c>
      <c r="AC240" s="123">
        <v>392</v>
      </c>
      <c r="AD240" s="123">
        <v>420</v>
      </c>
      <c r="AE240" s="257">
        <f t="shared" si="94"/>
        <v>28</v>
      </c>
      <c r="AF240" s="258">
        <f t="shared" si="95"/>
        <v>7.1428571428571423</v>
      </c>
      <c r="AG240" s="257">
        <f t="shared" si="96"/>
        <v>100</v>
      </c>
      <c r="AH240" s="124">
        <f t="shared" si="97"/>
        <v>4</v>
      </c>
      <c r="AI240" s="105">
        <v>0</v>
      </c>
      <c r="AJ240" s="105">
        <v>0</v>
      </c>
      <c r="AK240" s="105">
        <v>0</v>
      </c>
      <c r="AL240" s="105">
        <v>0</v>
      </c>
      <c r="AM240" s="260">
        <f t="shared" si="98"/>
        <v>0</v>
      </c>
      <c r="AN240" s="260">
        <f t="shared" si="99"/>
        <v>20</v>
      </c>
      <c r="AO240" s="130">
        <f t="shared" si="100"/>
        <v>0.2</v>
      </c>
      <c r="AP240" s="106">
        <v>776484</v>
      </c>
      <c r="AQ240" s="261">
        <f t="shared" si="113"/>
        <v>6.3528659829374776</v>
      </c>
      <c r="AR240" s="261">
        <f t="shared" si="101"/>
        <v>100</v>
      </c>
      <c r="AS240" s="107">
        <f t="shared" si="102"/>
        <v>4</v>
      </c>
      <c r="AT240" s="105">
        <v>0</v>
      </c>
      <c r="AU240" s="105">
        <v>0</v>
      </c>
      <c r="AV240" s="262">
        <f t="shared" si="103"/>
        <v>0</v>
      </c>
      <c r="AW240" s="134">
        <v>2</v>
      </c>
      <c r="AX240" s="447" t="s">
        <v>3746</v>
      </c>
      <c r="AY240" s="262">
        <f t="shared" si="104"/>
        <v>25</v>
      </c>
      <c r="AZ240" s="262">
        <f t="shared" si="105"/>
        <v>25</v>
      </c>
      <c r="BA240" s="38">
        <f t="shared" si="106"/>
        <v>0.25</v>
      </c>
      <c r="BB240" s="105">
        <v>0</v>
      </c>
      <c r="BC240" s="105">
        <v>0</v>
      </c>
      <c r="BD240" s="105">
        <v>0</v>
      </c>
      <c r="BE240" s="262">
        <f t="shared" si="107"/>
        <v>0</v>
      </c>
      <c r="BF240" s="262">
        <f t="shared" si="108"/>
        <v>50</v>
      </c>
      <c r="BG240" s="38">
        <f t="shared" si="109"/>
        <v>0.5</v>
      </c>
      <c r="BH240" s="255">
        <f t="shared" si="110"/>
        <v>2735224</v>
      </c>
      <c r="BI240" s="256">
        <f t="shared" si="111"/>
        <v>0.43549990250775705</v>
      </c>
      <c r="BJ240" s="256">
        <f t="shared" si="114"/>
        <v>28.266249268808178</v>
      </c>
      <c r="BK240" s="55">
        <f t="shared" si="112"/>
        <v>0.5653249853761636</v>
      </c>
      <c r="BL240" s="137">
        <f t="shared" si="115"/>
        <v>9.7153249853761636</v>
      </c>
    </row>
    <row r="241" spans="1:64" x14ac:dyDescent="0.6">
      <c r="A241" s="214" t="s">
        <v>1842</v>
      </c>
      <c r="B241" s="13" t="s">
        <v>2221</v>
      </c>
      <c r="C241" s="219" t="s">
        <v>1843</v>
      </c>
      <c r="D241" s="14" t="s">
        <v>285</v>
      </c>
      <c r="E241" s="217" t="s">
        <v>1756</v>
      </c>
      <c r="F241" s="217" t="s">
        <v>1844</v>
      </c>
      <c r="G241" s="218">
        <v>44482</v>
      </c>
      <c r="H241" s="217" t="s">
        <v>830</v>
      </c>
      <c r="I241" s="217" t="s">
        <v>1845</v>
      </c>
      <c r="J241" s="1" t="s">
        <v>3747</v>
      </c>
      <c r="K241" s="217" t="s">
        <v>91</v>
      </c>
      <c r="L241" s="220">
        <v>534356691</v>
      </c>
      <c r="M241" s="206">
        <v>288535624</v>
      </c>
      <c r="N241" s="206">
        <v>245821067</v>
      </c>
      <c r="O241" s="206">
        <v>2177261974</v>
      </c>
      <c r="P241" s="206">
        <v>50047663</v>
      </c>
      <c r="Q241" s="206">
        <v>39570210</v>
      </c>
      <c r="R241" s="206">
        <v>30363689</v>
      </c>
      <c r="S241" s="105">
        <v>1</v>
      </c>
      <c r="T241" s="254">
        <f t="shared" si="87"/>
        <v>100</v>
      </c>
      <c r="U241" s="107">
        <f t="shared" si="88"/>
        <v>1</v>
      </c>
      <c r="V241" s="45">
        <f>80+10+34</f>
        <v>124</v>
      </c>
      <c r="W241" s="45">
        <f>87+9+41</f>
        <v>137</v>
      </c>
      <c r="X241" s="255">
        <f t="shared" si="89"/>
        <v>13</v>
      </c>
      <c r="Y241" s="255">
        <f t="shared" si="90"/>
        <v>40</v>
      </c>
      <c r="Z241" s="256">
        <f t="shared" si="91"/>
        <v>32.5</v>
      </c>
      <c r="AA241" s="257">
        <f t="shared" si="92"/>
        <v>80</v>
      </c>
      <c r="AB241" s="116">
        <f t="shared" si="93"/>
        <v>0.8</v>
      </c>
      <c r="AC241" s="123">
        <v>1093</v>
      </c>
      <c r="AD241" s="123">
        <v>1133</v>
      </c>
      <c r="AE241" s="257">
        <f t="shared" si="94"/>
        <v>40</v>
      </c>
      <c r="AF241" s="258">
        <f t="shared" si="95"/>
        <v>3.6596523330283626</v>
      </c>
      <c r="AG241" s="257">
        <f t="shared" si="96"/>
        <v>100</v>
      </c>
      <c r="AH241" s="124">
        <f t="shared" si="97"/>
        <v>4</v>
      </c>
      <c r="AI241" s="105">
        <v>0</v>
      </c>
      <c r="AJ241" s="105">
        <v>0</v>
      </c>
      <c r="AK241" s="105">
        <v>0</v>
      </c>
      <c r="AL241" s="105">
        <v>0</v>
      </c>
      <c r="AM241" s="260">
        <f t="shared" si="98"/>
        <v>0</v>
      </c>
      <c r="AN241" s="260">
        <f t="shared" si="99"/>
        <v>20</v>
      </c>
      <c r="AO241" s="130">
        <f t="shared" si="100"/>
        <v>0.2</v>
      </c>
      <c r="AP241" s="447">
        <v>251547</v>
      </c>
      <c r="AQ241" s="261">
        <f t="shared" si="113"/>
        <v>0.82844676745305879</v>
      </c>
      <c r="AR241" s="261">
        <f t="shared" si="101"/>
        <v>37.426701511795883</v>
      </c>
      <c r="AS241" s="107">
        <f t="shared" si="102"/>
        <v>1.4970680604718354</v>
      </c>
      <c r="AT241" s="105">
        <v>0</v>
      </c>
      <c r="AU241" s="105">
        <v>0</v>
      </c>
      <c r="AV241" s="262">
        <f t="shared" si="103"/>
        <v>0</v>
      </c>
      <c r="AW241" s="134">
        <v>0</v>
      </c>
      <c r="AX241" s="134"/>
      <c r="AY241" s="262">
        <f t="shared" si="104"/>
        <v>0</v>
      </c>
      <c r="AZ241" s="262">
        <f t="shared" si="105"/>
        <v>0</v>
      </c>
      <c r="BA241" s="38">
        <f t="shared" si="106"/>
        <v>0</v>
      </c>
      <c r="BB241" s="105">
        <v>0</v>
      </c>
      <c r="BC241" s="105">
        <v>0</v>
      </c>
      <c r="BD241" s="105">
        <v>0</v>
      </c>
      <c r="BE241" s="262">
        <f t="shared" si="107"/>
        <v>0</v>
      </c>
      <c r="BF241" s="262">
        <f t="shared" si="108"/>
        <v>50</v>
      </c>
      <c r="BG241" s="38">
        <f t="shared" si="109"/>
        <v>0.5</v>
      </c>
      <c r="BH241" s="255">
        <f t="shared" si="110"/>
        <v>9206521</v>
      </c>
      <c r="BI241" s="256">
        <f t="shared" si="111"/>
        <v>0.42284856438685964</v>
      </c>
      <c r="BJ241" s="256">
        <f t="shared" si="114"/>
        <v>28.171364232901446</v>
      </c>
      <c r="BK241" s="55">
        <f t="shared" si="112"/>
        <v>0.56342728465802894</v>
      </c>
      <c r="BL241" s="137">
        <f t="shared" si="115"/>
        <v>8.5604953451298638</v>
      </c>
    </row>
    <row r="242" spans="1:64" x14ac:dyDescent="0.6">
      <c r="A242" s="214" t="s">
        <v>1847</v>
      </c>
      <c r="B242" s="13" t="s">
        <v>2222</v>
      </c>
      <c r="C242" s="219" t="s">
        <v>1848</v>
      </c>
      <c r="D242" s="14" t="s">
        <v>202</v>
      </c>
      <c r="E242" s="217" t="s">
        <v>56</v>
      </c>
      <c r="F242" s="217" t="s">
        <v>1849</v>
      </c>
      <c r="G242" s="218">
        <v>36152</v>
      </c>
      <c r="H242" s="217" t="s">
        <v>830</v>
      </c>
      <c r="I242" s="217" t="s">
        <v>1850</v>
      </c>
      <c r="J242" s="1" t="s">
        <v>3748</v>
      </c>
      <c r="K242" s="217" t="s">
        <v>690</v>
      </c>
      <c r="L242" s="220">
        <v>30417774000</v>
      </c>
      <c r="M242" s="206">
        <v>15559694000</v>
      </c>
      <c r="N242" s="206">
        <v>14858080000</v>
      </c>
      <c r="O242" s="206">
        <v>18289243000</v>
      </c>
      <c r="P242" s="206">
        <v>1168103000</v>
      </c>
      <c r="Q242" s="206">
        <v>1270743000</v>
      </c>
      <c r="R242" s="206">
        <v>763750000</v>
      </c>
      <c r="S242" s="105">
        <v>1</v>
      </c>
      <c r="T242" s="254">
        <f t="shared" si="87"/>
        <v>100</v>
      </c>
      <c r="U242" s="107">
        <f t="shared" si="88"/>
        <v>1</v>
      </c>
      <c r="V242" s="45">
        <f>3933</f>
        <v>3933</v>
      </c>
      <c r="W242" s="45">
        <v>3889</v>
      </c>
      <c r="X242" s="255">
        <f t="shared" si="89"/>
        <v>-44</v>
      </c>
      <c r="Y242" s="255">
        <f t="shared" si="90"/>
        <v>-1264</v>
      </c>
      <c r="Z242" s="256">
        <f t="shared" si="91"/>
        <v>-4400</v>
      </c>
      <c r="AA242" s="257">
        <f t="shared" si="92"/>
        <v>20</v>
      </c>
      <c r="AB242" s="116">
        <f t="shared" si="93"/>
        <v>0.2</v>
      </c>
      <c r="AC242" s="123">
        <v>21087</v>
      </c>
      <c r="AD242" s="123">
        <v>19823</v>
      </c>
      <c r="AE242" s="257">
        <f t="shared" si="94"/>
        <v>-1264</v>
      </c>
      <c r="AF242" s="258">
        <f t="shared" si="95"/>
        <v>-5.9942144449186703</v>
      </c>
      <c r="AG242" s="257">
        <f t="shared" si="96"/>
        <v>20</v>
      </c>
      <c r="AH242" s="124">
        <f t="shared" si="97"/>
        <v>0.8</v>
      </c>
      <c r="AI242" s="105">
        <v>0</v>
      </c>
      <c r="AJ242" s="105">
        <v>0</v>
      </c>
      <c r="AK242" s="105">
        <v>0</v>
      </c>
      <c r="AL242" s="105">
        <v>0</v>
      </c>
      <c r="AM242" s="260">
        <f t="shared" si="98"/>
        <v>0</v>
      </c>
      <c r="AN242" s="260">
        <f t="shared" si="99"/>
        <v>20</v>
      </c>
      <c r="AO242" s="130">
        <f t="shared" si="100"/>
        <v>0.2</v>
      </c>
      <c r="AP242" s="106">
        <v>10576000</v>
      </c>
      <c r="AQ242" s="261">
        <f t="shared" si="113"/>
        <v>1.3847463175122749</v>
      </c>
      <c r="AR242" s="261">
        <f t="shared" si="101"/>
        <v>45.771194762684125</v>
      </c>
      <c r="AS242" s="107">
        <f t="shared" si="102"/>
        <v>1.830847790507365</v>
      </c>
      <c r="AT242" s="105">
        <v>0</v>
      </c>
      <c r="AU242" s="105">
        <v>1</v>
      </c>
      <c r="AV242" s="262">
        <f t="shared" si="103"/>
        <v>25</v>
      </c>
      <c r="AW242" s="134">
        <v>5</v>
      </c>
      <c r="AX242" s="447" t="s">
        <v>3749</v>
      </c>
      <c r="AY242" s="262">
        <f t="shared" si="104"/>
        <v>50</v>
      </c>
      <c r="AZ242" s="262">
        <f t="shared" si="105"/>
        <v>75</v>
      </c>
      <c r="BA242" s="38">
        <f t="shared" si="106"/>
        <v>0.75</v>
      </c>
      <c r="BB242" s="105">
        <v>0</v>
      </c>
      <c r="BC242" s="105">
        <v>0</v>
      </c>
      <c r="BD242" s="105">
        <v>1</v>
      </c>
      <c r="BE242" s="262">
        <f t="shared" si="107"/>
        <v>1</v>
      </c>
      <c r="BF242" s="262">
        <f t="shared" si="108"/>
        <v>100</v>
      </c>
      <c r="BG242" s="38">
        <f t="shared" si="109"/>
        <v>1</v>
      </c>
      <c r="BH242" s="255">
        <f t="shared" si="110"/>
        <v>506993000</v>
      </c>
      <c r="BI242" s="256">
        <f t="shared" si="111"/>
        <v>2.7720830216975081</v>
      </c>
      <c r="BJ242" s="256">
        <f t="shared" si="114"/>
        <v>45.790622662731309</v>
      </c>
      <c r="BK242" s="55">
        <f t="shared" si="112"/>
        <v>0.91581245325462624</v>
      </c>
      <c r="BL242" s="137">
        <f t="shared" si="115"/>
        <v>6.6966602437619915</v>
      </c>
    </row>
    <row r="243" spans="1:64" x14ac:dyDescent="0.6">
      <c r="A243" s="214" t="s">
        <v>1852</v>
      </c>
      <c r="B243" s="13" t="s">
        <v>2223</v>
      </c>
      <c r="C243" s="219" t="s">
        <v>1853</v>
      </c>
      <c r="D243" s="14" t="s">
        <v>285</v>
      </c>
      <c r="E243" s="217" t="s">
        <v>1854</v>
      </c>
      <c r="F243" s="217" t="s">
        <v>1855</v>
      </c>
      <c r="G243" s="218">
        <v>40697</v>
      </c>
      <c r="H243" s="217" t="s">
        <v>830</v>
      </c>
      <c r="I243" s="217" t="s">
        <v>1856</v>
      </c>
      <c r="J243" s="1" t="s">
        <v>3750</v>
      </c>
      <c r="K243" s="217" t="s">
        <v>91</v>
      </c>
      <c r="L243" s="220">
        <v>1160021099</v>
      </c>
      <c r="M243" s="206">
        <v>357640642</v>
      </c>
      <c r="N243" s="206">
        <v>802380457</v>
      </c>
      <c r="O243" s="206">
        <v>704927362</v>
      </c>
      <c r="P243" s="206">
        <v>50599970</v>
      </c>
      <c r="Q243" s="206">
        <v>45652874</v>
      </c>
      <c r="R243" s="206">
        <v>34327224</v>
      </c>
      <c r="S243" s="105">
        <v>1</v>
      </c>
      <c r="T243" s="254">
        <f t="shared" si="87"/>
        <v>100</v>
      </c>
      <c r="U243" s="107">
        <f t="shared" si="88"/>
        <v>1</v>
      </c>
      <c r="V243" s="45">
        <v>81</v>
      </c>
      <c r="W243" s="45">
        <v>78</v>
      </c>
      <c r="X243" s="255">
        <f t="shared" si="89"/>
        <v>-3</v>
      </c>
      <c r="Y243" s="255">
        <f t="shared" si="90"/>
        <v>6</v>
      </c>
      <c r="Z243" s="256">
        <f t="shared" si="91"/>
        <v>-50</v>
      </c>
      <c r="AA243" s="257">
        <f t="shared" si="92"/>
        <v>20</v>
      </c>
      <c r="AB243" s="116">
        <f t="shared" si="93"/>
        <v>0.2</v>
      </c>
      <c r="AC243" s="123">
        <v>373</v>
      </c>
      <c r="AD243" s="123">
        <v>379</v>
      </c>
      <c r="AE243" s="257">
        <f t="shared" si="94"/>
        <v>6</v>
      </c>
      <c r="AF243" s="258">
        <f t="shared" si="95"/>
        <v>1.6085790884718498</v>
      </c>
      <c r="AG243" s="257">
        <f t="shared" si="96"/>
        <v>80</v>
      </c>
      <c r="AH243" s="124">
        <f t="shared" si="97"/>
        <v>3.2</v>
      </c>
      <c r="AI243" s="105">
        <v>0</v>
      </c>
      <c r="AJ243" s="105">
        <v>0</v>
      </c>
      <c r="AK243" s="105">
        <v>0</v>
      </c>
      <c r="AL243" s="105">
        <v>0</v>
      </c>
      <c r="AM243" s="260">
        <f t="shared" si="98"/>
        <v>0</v>
      </c>
      <c r="AN243" s="260">
        <f t="shared" si="99"/>
        <v>20</v>
      </c>
      <c r="AO243" s="130">
        <f t="shared" si="100"/>
        <v>0.2</v>
      </c>
      <c r="AP243" s="106">
        <v>448541</v>
      </c>
      <c r="AQ243" s="261">
        <f t="shared" si="113"/>
        <v>1.3066626069151412</v>
      </c>
      <c r="AR243" s="261">
        <f t="shared" si="101"/>
        <v>44.599939103727117</v>
      </c>
      <c r="AS243" s="107">
        <f t="shared" si="102"/>
        <v>1.7839975641490846</v>
      </c>
      <c r="AT243" s="105">
        <v>1</v>
      </c>
      <c r="AU243" s="105">
        <v>1</v>
      </c>
      <c r="AV243" s="262">
        <f t="shared" si="103"/>
        <v>50</v>
      </c>
      <c r="AW243" s="134">
        <v>3</v>
      </c>
      <c r="AX243" s="447" t="s">
        <v>3751</v>
      </c>
      <c r="AY243" s="262">
        <f t="shared" si="104"/>
        <v>50</v>
      </c>
      <c r="AZ243" s="262">
        <f t="shared" si="105"/>
        <v>100</v>
      </c>
      <c r="BA243" s="38">
        <f t="shared" si="106"/>
        <v>1</v>
      </c>
      <c r="BB243" s="105">
        <v>0</v>
      </c>
      <c r="BC243" s="105">
        <v>0</v>
      </c>
      <c r="BD243" s="105">
        <v>0</v>
      </c>
      <c r="BE243" s="262">
        <f t="shared" si="107"/>
        <v>0</v>
      </c>
      <c r="BF243" s="262">
        <f t="shared" si="108"/>
        <v>50</v>
      </c>
      <c r="BG243" s="38">
        <f t="shared" si="109"/>
        <v>0.5</v>
      </c>
      <c r="BH243" s="255">
        <f t="shared" si="110"/>
        <v>11325650</v>
      </c>
      <c r="BI243" s="256">
        <f t="shared" si="111"/>
        <v>1.606640713713706</v>
      </c>
      <c r="BJ243" s="256">
        <f t="shared" si="114"/>
        <v>37.049805352852793</v>
      </c>
      <c r="BK243" s="55">
        <f t="shared" si="112"/>
        <v>0.74099610705705587</v>
      </c>
      <c r="BL243" s="137">
        <f t="shared" si="115"/>
        <v>8.6249936712061412</v>
      </c>
    </row>
    <row r="244" spans="1:64" x14ac:dyDescent="0.6">
      <c r="A244" s="214" t="s">
        <v>349</v>
      </c>
      <c r="B244" s="13" t="s">
        <v>2224</v>
      </c>
      <c r="C244" s="219" t="s">
        <v>60</v>
      </c>
      <c r="D244" s="216" t="s">
        <v>191</v>
      </c>
      <c r="E244" s="217" t="s">
        <v>417</v>
      </c>
      <c r="F244" s="217" t="s">
        <v>1135</v>
      </c>
      <c r="G244" s="218">
        <v>36441</v>
      </c>
      <c r="H244" s="217" t="s">
        <v>830</v>
      </c>
      <c r="I244" s="217" t="s">
        <v>612</v>
      </c>
      <c r="J244" s="217" t="s">
        <v>1011</v>
      </c>
      <c r="K244" s="217" t="s">
        <v>934</v>
      </c>
      <c r="L244" s="220">
        <v>10156905259</v>
      </c>
      <c r="M244" s="206">
        <v>2103300926</v>
      </c>
      <c r="N244" s="206">
        <v>8053604333</v>
      </c>
      <c r="O244" s="206">
        <v>3694358039</v>
      </c>
      <c r="P244" s="206">
        <v>1120293986</v>
      </c>
      <c r="Q244" s="206">
        <v>1315961612</v>
      </c>
      <c r="R244" s="206">
        <v>958039985</v>
      </c>
      <c r="S244" s="105">
        <v>1</v>
      </c>
      <c r="T244" s="254">
        <f t="shared" si="87"/>
        <v>100</v>
      </c>
      <c r="U244" s="107">
        <f t="shared" si="88"/>
        <v>1</v>
      </c>
      <c r="V244" s="45">
        <v>405</v>
      </c>
      <c r="W244" s="45">
        <v>437</v>
      </c>
      <c r="X244" s="255">
        <f t="shared" si="89"/>
        <v>32</v>
      </c>
      <c r="Y244" s="255">
        <f t="shared" si="90"/>
        <v>295</v>
      </c>
      <c r="Z244" s="256">
        <f t="shared" si="91"/>
        <v>10.847457627118644</v>
      </c>
      <c r="AA244" s="257">
        <f t="shared" si="92"/>
        <v>40</v>
      </c>
      <c r="AB244" s="116">
        <f t="shared" si="93"/>
        <v>0.4</v>
      </c>
      <c r="AC244" s="123">
        <v>4209</v>
      </c>
      <c r="AD244" s="123">
        <v>4504</v>
      </c>
      <c r="AE244" s="257">
        <f t="shared" si="94"/>
        <v>295</v>
      </c>
      <c r="AF244" s="258">
        <f t="shared" si="95"/>
        <v>7.008790686623902</v>
      </c>
      <c r="AG244" s="257">
        <f t="shared" si="96"/>
        <v>100</v>
      </c>
      <c r="AH244" s="124">
        <f t="shared" si="97"/>
        <v>4</v>
      </c>
      <c r="AI244" s="105">
        <v>0</v>
      </c>
      <c r="AJ244" s="105">
        <v>1</v>
      </c>
      <c r="AK244" s="105">
        <v>0</v>
      </c>
      <c r="AL244" s="105">
        <v>0</v>
      </c>
      <c r="AM244" s="260">
        <f t="shared" si="98"/>
        <v>1</v>
      </c>
      <c r="AN244" s="260">
        <f t="shared" si="99"/>
        <v>40</v>
      </c>
      <c r="AO244" s="130">
        <f t="shared" si="100"/>
        <v>0.4</v>
      </c>
      <c r="AP244" s="106">
        <v>5235000</v>
      </c>
      <c r="AQ244" s="261">
        <f t="shared" si="113"/>
        <v>0.54642813264208379</v>
      </c>
      <c r="AR244" s="261">
        <f t="shared" si="101"/>
        <v>33.196421989631261</v>
      </c>
      <c r="AS244" s="107">
        <f t="shared" si="102"/>
        <v>1.3278568795852506</v>
      </c>
      <c r="AT244" s="105">
        <v>1</v>
      </c>
      <c r="AU244" s="105">
        <v>1</v>
      </c>
      <c r="AV244" s="262">
        <f t="shared" si="103"/>
        <v>50</v>
      </c>
      <c r="AW244" s="134">
        <v>3</v>
      </c>
      <c r="AX244" s="134" t="s">
        <v>3608</v>
      </c>
      <c r="AY244" s="262">
        <f t="shared" si="104"/>
        <v>50</v>
      </c>
      <c r="AZ244" s="262">
        <f t="shared" si="105"/>
        <v>100</v>
      </c>
      <c r="BA244" s="38">
        <f t="shared" si="106"/>
        <v>1</v>
      </c>
      <c r="BB244" s="105">
        <v>0</v>
      </c>
      <c r="BC244" s="105">
        <v>0</v>
      </c>
      <c r="BD244" s="105">
        <v>1</v>
      </c>
      <c r="BE244" s="262">
        <f t="shared" si="107"/>
        <v>1</v>
      </c>
      <c r="BF244" s="262">
        <f t="shared" si="108"/>
        <v>100</v>
      </c>
      <c r="BG244" s="38">
        <f t="shared" si="109"/>
        <v>1</v>
      </c>
      <c r="BH244" s="255">
        <f t="shared" si="110"/>
        <v>357921627</v>
      </c>
      <c r="BI244" s="256">
        <f t="shared" si="111"/>
        <v>9.6883307795711993</v>
      </c>
      <c r="BJ244" s="256">
        <f t="shared" si="114"/>
        <v>97.662480846783993</v>
      </c>
      <c r="BK244" s="55">
        <f t="shared" si="112"/>
        <v>1.9532496169356799</v>
      </c>
      <c r="BL244" s="137">
        <f t="shared" si="115"/>
        <v>11.081106496520931</v>
      </c>
    </row>
    <row r="245" spans="1:64" x14ac:dyDescent="0.6">
      <c r="A245" s="214" t="s">
        <v>90</v>
      </c>
      <c r="B245" s="13" t="s">
        <v>2225</v>
      </c>
      <c r="C245" s="219" t="s">
        <v>109</v>
      </c>
      <c r="D245" s="216" t="s">
        <v>202</v>
      </c>
      <c r="E245" s="217" t="s">
        <v>205</v>
      </c>
      <c r="F245" s="217" t="s">
        <v>1152</v>
      </c>
      <c r="G245" s="218">
        <v>31299</v>
      </c>
      <c r="H245" s="217" t="s">
        <v>830</v>
      </c>
      <c r="I245" s="217" t="s">
        <v>847</v>
      </c>
      <c r="J245" s="217" t="s">
        <v>1096</v>
      </c>
      <c r="K245" s="217" t="s">
        <v>690</v>
      </c>
      <c r="L245" s="220">
        <v>862006786</v>
      </c>
      <c r="M245" s="206">
        <v>408796042</v>
      </c>
      <c r="N245" s="206">
        <v>453210744</v>
      </c>
      <c r="O245" s="206">
        <v>804572920</v>
      </c>
      <c r="P245" s="206">
        <v>60293639</v>
      </c>
      <c r="Q245" s="206">
        <v>64653383</v>
      </c>
      <c r="R245" s="206">
        <v>54734419</v>
      </c>
      <c r="S245" s="105">
        <v>0</v>
      </c>
      <c r="T245" s="254">
        <f t="shared" si="87"/>
        <v>0</v>
      </c>
      <c r="U245" s="107">
        <f t="shared" si="88"/>
        <v>0</v>
      </c>
      <c r="V245" s="45">
        <v>126</v>
      </c>
      <c r="W245" s="45">
        <v>153</v>
      </c>
      <c r="X245" s="255">
        <f t="shared" si="89"/>
        <v>27</v>
      </c>
      <c r="Y245" s="255">
        <f t="shared" si="90"/>
        <v>62</v>
      </c>
      <c r="Z245" s="256">
        <f t="shared" si="91"/>
        <v>43.548387096774192</v>
      </c>
      <c r="AA245" s="257">
        <f t="shared" si="92"/>
        <v>100</v>
      </c>
      <c r="AB245" s="116">
        <f t="shared" si="93"/>
        <v>1</v>
      </c>
      <c r="AC245" s="123">
        <v>1126</v>
      </c>
      <c r="AD245" s="123">
        <v>1188</v>
      </c>
      <c r="AE245" s="257">
        <f t="shared" si="94"/>
        <v>62</v>
      </c>
      <c r="AF245" s="258">
        <f t="shared" si="95"/>
        <v>5.5062166962699823</v>
      </c>
      <c r="AG245" s="257">
        <f t="shared" si="96"/>
        <v>100</v>
      </c>
      <c r="AH245" s="124">
        <f t="shared" si="97"/>
        <v>4</v>
      </c>
      <c r="AI245" s="105">
        <v>0</v>
      </c>
      <c r="AJ245" s="105">
        <v>0</v>
      </c>
      <c r="AK245" s="105">
        <v>0</v>
      </c>
      <c r="AL245" s="105">
        <v>0</v>
      </c>
      <c r="AM245" s="260">
        <f t="shared" si="98"/>
        <v>0</v>
      </c>
      <c r="AN245" s="260">
        <f t="shared" si="99"/>
        <v>20</v>
      </c>
      <c r="AO245" s="130">
        <f t="shared" si="100"/>
        <v>0.2</v>
      </c>
      <c r="AP245" s="106">
        <v>200</v>
      </c>
      <c r="AQ245" s="261">
        <f t="shared" si="113"/>
        <v>3.6540079104521055E-4</v>
      </c>
      <c r="AR245" s="261">
        <f t="shared" si="101"/>
        <v>25.00548101186568</v>
      </c>
      <c r="AS245" s="107">
        <f t="shared" si="102"/>
        <v>1.0002192404746273</v>
      </c>
      <c r="AT245" s="105">
        <v>0</v>
      </c>
      <c r="AU245" s="105">
        <v>1</v>
      </c>
      <c r="AV245" s="262">
        <f t="shared" si="103"/>
        <v>25</v>
      </c>
      <c r="AW245" s="134">
        <v>0</v>
      </c>
      <c r="AX245" s="134"/>
      <c r="AY245" s="262">
        <f t="shared" si="104"/>
        <v>0</v>
      </c>
      <c r="AZ245" s="262">
        <f t="shared" si="105"/>
        <v>25</v>
      </c>
      <c r="BA245" s="38">
        <f t="shared" si="106"/>
        <v>0.25</v>
      </c>
      <c r="BB245" s="105">
        <v>0</v>
      </c>
      <c r="BC245" s="105">
        <v>0</v>
      </c>
      <c r="BD245" s="105">
        <v>0</v>
      </c>
      <c r="BE245" s="262">
        <f t="shared" si="107"/>
        <v>0</v>
      </c>
      <c r="BF245" s="262">
        <f t="shared" si="108"/>
        <v>50</v>
      </c>
      <c r="BG245" s="38">
        <f t="shared" si="109"/>
        <v>0.5</v>
      </c>
      <c r="BH245" s="255">
        <f t="shared" si="110"/>
        <v>9918964</v>
      </c>
      <c r="BI245" s="256">
        <f t="shared" si="111"/>
        <v>1.2328234959734912</v>
      </c>
      <c r="BJ245" s="256">
        <f t="shared" si="114"/>
        <v>34.246176219801185</v>
      </c>
      <c r="BK245" s="55">
        <f t="shared" si="112"/>
        <v>0.68492352439602378</v>
      </c>
      <c r="BL245" s="137">
        <f t="shared" si="115"/>
        <v>7.6351427648706514</v>
      </c>
    </row>
    <row r="246" spans="1:64" x14ac:dyDescent="0.6">
      <c r="A246" s="214" t="s">
        <v>1858</v>
      </c>
      <c r="B246" s="13" t="s">
        <v>2226</v>
      </c>
      <c r="C246" s="219" t="s">
        <v>340</v>
      </c>
      <c r="D246" s="221" t="s">
        <v>481</v>
      </c>
      <c r="E246" s="217" t="s">
        <v>434</v>
      </c>
      <c r="F246" s="217" t="s">
        <v>226</v>
      </c>
      <c r="G246" s="218">
        <v>25559</v>
      </c>
      <c r="H246" s="217" t="s">
        <v>830</v>
      </c>
      <c r="I246" s="217" t="s">
        <v>769</v>
      </c>
      <c r="J246" s="217" t="s">
        <v>1203</v>
      </c>
      <c r="K246" s="217" t="s">
        <v>91</v>
      </c>
      <c r="L246" s="220">
        <v>14636016261</v>
      </c>
      <c r="M246" s="206">
        <v>11750407058</v>
      </c>
      <c r="N246" s="206">
        <v>2885609203</v>
      </c>
      <c r="O246" s="206">
        <v>7176643744</v>
      </c>
      <c r="P246" s="206">
        <v>212022730</v>
      </c>
      <c r="Q246" s="206">
        <v>211256816</v>
      </c>
      <c r="R246" s="206">
        <v>175248934</v>
      </c>
      <c r="S246" s="105">
        <v>1</v>
      </c>
      <c r="T246" s="254">
        <f t="shared" si="87"/>
        <v>100</v>
      </c>
      <c r="U246" s="107">
        <f t="shared" si="88"/>
        <v>1</v>
      </c>
      <c r="V246" s="45">
        <v>129</v>
      </c>
      <c r="W246" s="45">
        <v>134</v>
      </c>
      <c r="X246" s="255">
        <f t="shared" si="89"/>
        <v>5</v>
      </c>
      <c r="Y246" s="255">
        <f t="shared" si="90"/>
        <v>16</v>
      </c>
      <c r="Z246" s="256">
        <f t="shared" si="91"/>
        <v>31.25</v>
      </c>
      <c r="AA246" s="257">
        <f t="shared" si="92"/>
        <v>80</v>
      </c>
      <c r="AB246" s="116">
        <f t="shared" si="93"/>
        <v>0.8</v>
      </c>
      <c r="AC246" s="123">
        <v>393</v>
      </c>
      <c r="AD246" s="123">
        <v>409</v>
      </c>
      <c r="AE246" s="257">
        <f t="shared" si="94"/>
        <v>16</v>
      </c>
      <c r="AF246" s="258">
        <f t="shared" si="95"/>
        <v>4.0712468193384224</v>
      </c>
      <c r="AG246" s="257">
        <f t="shared" si="96"/>
        <v>100</v>
      </c>
      <c r="AH246" s="124">
        <f t="shared" si="97"/>
        <v>4</v>
      </c>
      <c r="AI246" s="105">
        <v>0</v>
      </c>
      <c r="AJ246" s="105">
        <v>0</v>
      </c>
      <c r="AK246" s="105">
        <v>0</v>
      </c>
      <c r="AL246" s="105">
        <v>0</v>
      </c>
      <c r="AM246" s="260">
        <f t="shared" si="98"/>
        <v>0</v>
      </c>
      <c r="AN246" s="260">
        <f t="shared" si="99"/>
        <v>20</v>
      </c>
      <c r="AO246" s="130">
        <f t="shared" si="100"/>
        <v>0.2</v>
      </c>
      <c r="AP246" s="106">
        <v>2843000</v>
      </c>
      <c r="AQ246" s="261">
        <f t="shared" si="113"/>
        <v>1.6222637907743278</v>
      </c>
      <c r="AR246" s="261">
        <f t="shared" si="101"/>
        <v>49.333956861614915</v>
      </c>
      <c r="AS246" s="107">
        <f t="shared" si="102"/>
        <v>1.9733582744645966</v>
      </c>
      <c r="AT246" s="105">
        <v>0</v>
      </c>
      <c r="AU246" s="105">
        <v>1</v>
      </c>
      <c r="AV246" s="262">
        <f t="shared" si="103"/>
        <v>25</v>
      </c>
      <c r="AW246" s="134">
        <v>0</v>
      </c>
      <c r="AX246" s="134"/>
      <c r="AY246" s="262">
        <f t="shared" si="104"/>
        <v>0</v>
      </c>
      <c r="AZ246" s="262">
        <f t="shared" si="105"/>
        <v>25</v>
      </c>
      <c r="BA246" s="38">
        <f t="shared" si="106"/>
        <v>0.25</v>
      </c>
      <c r="BB246" s="105">
        <v>0</v>
      </c>
      <c r="BC246" s="105">
        <v>0</v>
      </c>
      <c r="BD246" s="105">
        <v>0</v>
      </c>
      <c r="BE246" s="262">
        <f t="shared" si="107"/>
        <v>0</v>
      </c>
      <c r="BF246" s="262">
        <f t="shared" si="108"/>
        <v>50</v>
      </c>
      <c r="BG246" s="38">
        <f t="shared" si="109"/>
        <v>0.5</v>
      </c>
      <c r="BH246" s="255">
        <f t="shared" si="110"/>
        <v>36007882</v>
      </c>
      <c r="BI246" s="256">
        <f t="shared" si="111"/>
        <v>0.5017370693662232</v>
      </c>
      <c r="BJ246" s="256">
        <f t="shared" si="114"/>
        <v>28.763028020246676</v>
      </c>
      <c r="BK246" s="55">
        <f t="shared" si="112"/>
        <v>0.57526056040493356</v>
      </c>
      <c r="BL246" s="137">
        <f t="shared" si="115"/>
        <v>9.2986188348695293</v>
      </c>
    </row>
    <row r="247" spans="1:64" x14ac:dyDescent="0.6">
      <c r="A247" s="214" t="s">
        <v>1859</v>
      </c>
      <c r="B247" s="13" t="s">
        <v>2227</v>
      </c>
      <c r="C247" s="219" t="s">
        <v>1860</v>
      </c>
      <c r="D247" s="14" t="s">
        <v>203</v>
      </c>
      <c r="E247" s="217" t="s">
        <v>188</v>
      </c>
      <c r="F247" s="217" t="s">
        <v>1861</v>
      </c>
      <c r="G247" s="218">
        <v>32048</v>
      </c>
      <c r="H247" s="217" t="s">
        <v>830</v>
      </c>
      <c r="I247" s="217" t="s">
        <v>1862</v>
      </c>
      <c r="J247" s="1" t="s">
        <v>3752</v>
      </c>
      <c r="K247" s="217" t="s">
        <v>317</v>
      </c>
      <c r="L247" s="220">
        <v>451321117</v>
      </c>
      <c r="M247" s="206">
        <v>200117020</v>
      </c>
      <c r="N247" s="206">
        <v>251204097</v>
      </c>
      <c r="O247" s="206">
        <v>485605244</v>
      </c>
      <c r="P247" s="206">
        <v>32475176</v>
      </c>
      <c r="Q247" s="206">
        <v>35572342</v>
      </c>
      <c r="R247" s="206">
        <v>27697028</v>
      </c>
      <c r="S247" s="105">
        <v>1</v>
      </c>
      <c r="T247" s="254">
        <f t="shared" si="87"/>
        <v>100</v>
      </c>
      <c r="U247" s="107">
        <f t="shared" si="88"/>
        <v>1</v>
      </c>
      <c r="V247" s="45">
        <v>17</v>
      </c>
      <c r="W247" s="45">
        <f>15</f>
        <v>15</v>
      </c>
      <c r="X247" s="255">
        <f t="shared" si="89"/>
        <v>-2</v>
      </c>
      <c r="Y247" s="255">
        <f t="shared" si="90"/>
        <v>40</v>
      </c>
      <c r="Z247" s="256">
        <f t="shared" si="91"/>
        <v>-5</v>
      </c>
      <c r="AA247" s="257">
        <f t="shared" si="92"/>
        <v>20</v>
      </c>
      <c r="AB247" s="116">
        <f t="shared" si="93"/>
        <v>0.2</v>
      </c>
      <c r="AC247" s="123">
        <v>326</v>
      </c>
      <c r="AD247" s="123">
        <v>366</v>
      </c>
      <c r="AE247" s="257">
        <f t="shared" si="94"/>
        <v>40</v>
      </c>
      <c r="AF247" s="258">
        <f t="shared" si="95"/>
        <v>12.269938650306749</v>
      </c>
      <c r="AG247" s="257">
        <f t="shared" si="96"/>
        <v>100</v>
      </c>
      <c r="AH247" s="124">
        <f t="shared" si="97"/>
        <v>4</v>
      </c>
      <c r="AI247" s="105">
        <v>0</v>
      </c>
      <c r="AJ247" s="105">
        <v>0</v>
      </c>
      <c r="AK247" s="105">
        <v>0</v>
      </c>
      <c r="AL247" s="105">
        <v>0</v>
      </c>
      <c r="AM247" s="260">
        <f t="shared" si="98"/>
        <v>0</v>
      </c>
      <c r="AN247" s="260">
        <f t="shared" si="99"/>
        <v>20</v>
      </c>
      <c r="AO247" s="130">
        <f t="shared" si="100"/>
        <v>0.2</v>
      </c>
      <c r="AP247" s="106">
        <v>54000</v>
      </c>
      <c r="AQ247" s="261">
        <f t="shared" si="113"/>
        <v>0.19496676683144487</v>
      </c>
      <c r="AR247" s="261">
        <f t="shared" si="101"/>
        <v>27.924501502471674</v>
      </c>
      <c r="AS247" s="107">
        <f t="shared" si="102"/>
        <v>1.1169800600988671</v>
      </c>
      <c r="AT247" s="105">
        <v>0</v>
      </c>
      <c r="AU247" s="105">
        <v>0</v>
      </c>
      <c r="AV247" s="262">
        <f t="shared" si="103"/>
        <v>0</v>
      </c>
      <c r="AW247" s="134">
        <v>0</v>
      </c>
      <c r="AX247" s="134"/>
      <c r="AY247" s="262">
        <f t="shared" si="104"/>
        <v>0</v>
      </c>
      <c r="AZ247" s="262">
        <f t="shared" si="105"/>
        <v>0</v>
      </c>
      <c r="BA247" s="38">
        <f t="shared" si="106"/>
        <v>0</v>
      </c>
      <c r="BB247" s="105">
        <v>0</v>
      </c>
      <c r="BC247" s="105">
        <v>0</v>
      </c>
      <c r="BD247" s="105">
        <v>0</v>
      </c>
      <c r="BE247" s="262">
        <f t="shared" si="107"/>
        <v>0</v>
      </c>
      <c r="BF247" s="262">
        <f t="shared" si="108"/>
        <v>50</v>
      </c>
      <c r="BG247" s="38">
        <f t="shared" si="109"/>
        <v>0.5</v>
      </c>
      <c r="BH247" s="255">
        <f t="shared" si="110"/>
        <v>7875314</v>
      </c>
      <c r="BI247" s="256">
        <f t="shared" si="111"/>
        <v>1.6217522560361808</v>
      </c>
      <c r="BJ247" s="256">
        <f t="shared" si="114"/>
        <v>37.163141920271357</v>
      </c>
      <c r="BK247" s="55">
        <f t="shared" si="112"/>
        <v>0.74326283840542717</v>
      </c>
      <c r="BL247" s="137">
        <f t="shared" si="115"/>
        <v>7.7602428985042948</v>
      </c>
    </row>
    <row r="248" spans="1:64" x14ac:dyDescent="0.6">
      <c r="A248" s="214" t="s">
        <v>685</v>
      </c>
      <c r="B248" s="13" t="s">
        <v>2228</v>
      </c>
      <c r="C248" s="219" t="s">
        <v>491</v>
      </c>
      <c r="D248" s="216" t="s">
        <v>285</v>
      </c>
      <c r="E248" s="217" t="s">
        <v>592</v>
      </c>
      <c r="F248" s="217" t="s">
        <v>637</v>
      </c>
      <c r="G248" s="218">
        <v>37110</v>
      </c>
      <c r="H248" s="217" t="s">
        <v>830</v>
      </c>
      <c r="I248" s="217" t="s">
        <v>1864</v>
      </c>
      <c r="J248" s="217" t="s">
        <v>1210</v>
      </c>
      <c r="K248" s="217" t="s">
        <v>425</v>
      </c>
      <c r="L248" s="220">
        <v>3441901071</v>
      </c>
      <c r="M248" s="206">
        <v>1466204520</v>
      </c>
      <c r="N248" s="206">
        <v>1975696551</v>
      </c>
      <c r="O248" s="206">
        <v>2813488928</v>
      </c>
      <c r="P248" s="206">
        <v>514746074</v>
      </c>
      <c r="Q248" s="206">
        <v>540938422</v>
      </c>
      <c r="R248" s="206">
        <v>371317773</v>
      </c>
      <c r="S248" s="105">
        <v>1</v>
      </c>
      <c r="T248" s="254">
        <f t="shared" si="87"/>
        <v>100</v>
      </c>
      <c r="U248" s="107">
        <f t="shared" si="88"/>
        <v>1</v>
      </c>
      <c r="V248" s="45">
        <v>2938</v>
      </c>
      <c r="W248" s="45">
        <f>2845</f>
        <v>2845</v>
      </c>
      <c r="X248" s="255">
        <f t="shared" si="89"/>
        <v>-93</v>
      </c>
      <c r="Y248" s="255">
        <f t="shared" si="90"/>
        <v>-141</v>
      </c>
      <c r="Z248" s="256">
        <f t="shared" si="91"/>
        <v>-9300</v>
      </c>
      <c r="AA248" s="257">
        <f t="shared" si="92"/>
        <v>20</v>
      </c>
      <c r="AB248" s="116">
        <f t="shared" si="93"/>
        <v>0.2</v>
      </c>
      <c r="AC248" s="123">
        <v>6446</v>
      </c>
      <c r="AD248" s="123">
        <v>6305</v>
      </c>
      <c r="AE248" s="257">
        <f t="shared" si="94"/>
        <v>-141</v>
      </c>
      <c r="AF248" s="258">
        <f t="shared" si="95"/>
        <v>-2.1874030406453615</v>
      </c>
      <c r="AG248" s="257">
        <f t="shared" si="96"/>
        <v>20</v>
      </c>
      <c r="AH248" s="124">
        <f t="shared" si="97"/>
        <v>0.8</v>
      </c>
      <c r="AI248" s="105">
        <v>0</v>
      </c>
      <c r="AJ248" s="105">
        <v>0</v>
      </c>
      <c r="AK248" s="105">
        <v>0</v>
      </c>
      <c r="AL248" s="105">
        <v>0</v>
      </c>
      <c r="AM248" s="260">
        <f t="shared" si="98"/>
        <v>0</v>
      </c>
      <c r="AN248" s="260">
        <f t="shared" si="99"/>
        <v>20</v>
      </c>
      <c r="AO248" s="130">
        <f t="shared" si="100"/>
        <v>0.2</v>
      </c>
      <c r="AP248" s="440">
        <v>0</v>
      </c>
      <c r="AQ248" s="261">
        <f t="shared" si="113"/>
        <v>0</v>
      </c>
      <c r="AR248" s="261">
        <f t="shared" si="101"/>
        <v>25</v>
      </c>
      <c r="AS248" s="107">
        <f t="shared" si="102"/>
        <v>1</v>
      </c>
      <c r="AT248" s="105">
        <v>0</v>
      </c>
      <c r="AU248" s="105">
        <v>1</v>
      </c>
      <c r="AV248" s="262">
        <f t="shared" si="103"/>
        <v>25</v>
      </c>
      <c r="AW248" s="134">
        <v>3</v>
      </c>
      <c r="AX248" s="134" t="s">
        <v>3609</v>
      </c>
      <c r="AY248" s="262">
        <f t="shared" si="104"/>
        <v>50</v>
      </c>
      <c r="AZ248" s="262">
        <f t="shared" si="105"/>
        <v>75</v>
      </c>
      <c r="BA248" s="38">
        <f t="shared" si="106"/>
        <v>0.75</v>
      </c>
      <c r="BB248" s="105">
        <v>0</v>
      </c>
      <c r="BC248" s="105">
        <v>0</v>
      </c>
      <c r="BD248" s="105">
        <v>0</v>
      </c>
      <c r="BE248" s="262">
        <f t="shared" si="107"/>
        <v>0</v>
      </c>
      <c r="BF248" s="262">
        <f t="shared" si="108"/>
        <v>50</v>
      </c>
      <c r="BG248" s="38">
        <f t="shared" si="109"/>
        <v>0.5</v>
      </c>
      <c r="BH248" s="255">
        <f t="shared" si="110"/>
        <v>169620649</v>
      </c>
      <c r="BI248" s="256">
        <f t="shared" si="111"/>
        <v>6.0288365563456026</v>
      </c>
      <c r="BJ248" s="256">
        <f t="shared" si="114"/>
        <v>70.216274172592023</v>
      </c>
      <c r="BK248" s="55">
        <f t="shared" si="112"/>
        <v>1.4043254834518404</v>
      </c>
      <c r="BL248" s="137">
        <f t="shared" si="115"/>
        <v>5.8543254834518406</v>
      </c>
    </row>
    <row r="249" spans="1:64" x14ac:dyDescent="0.6">
      <c r="A249" s="214" t="s">
        <v>37</v>
      </c>
      <c r="B249" s="13" t="s">
        <v>2229</v>
      </c>
      <c r="C249" s="219" t="s">
        <v>69</v>
      </c>
      <c r="D249" s="216" t="s">
        <v>285</v>
      </c>
      <c r="E249" s="217" t="s">
        <v>629</v>
      </c>
      <c r="F249" s="217" t="s">
        <v>577</v>
      </c>
      <c r="G249" s="218">
        <v>43111</v>
      </c>
      <c r="H249" s="217" t="s">
        <v>830</v>
      </c>
      <c r="I249" s="217" t="s">
        <v>846</v>
      </c>
      <c r="J249" s="217" t="s">
        <v>1138</v>
      </c>
      <c r="K249" s="217" t="s">
        <v>690</v>
      </c>
      <c r="L249" s="220">
        <v>761133055</v>
      </c>
      <c r="M249" s="206">
        <v>116041955</v>
      </c>
      <c r="N249" s="206">
        <v>645091100</v>
      </c>
      <c r="O249" s="206">
        <v>691580207</v>
      </c>
      <c r="P249" s="206">
        <v>99955621</v>
      </c>
      <c r="Q249" s="206">
        <v>124537136</v>
      </c>
      <c r="R249" s="206">
        <v>116344338</v>
      </c>
      <c r="S249" s="105">
        <v>1</v>
      </c>
      <c r="T249" s="254">
        <f t="shared" si="87"/>
        <v>100</v>
      </c>
      <c r="U249" s="107">
        <f t="shared" si="88"/>
        <v>1</v>
      </c>
      <c r="V249" s="45">
        <v>235</v>
      </c>
      <c r="W249" s="45">
        <v>227</v>
      </c>
      <c r="X249" s="255">
        <f t="shared" si="89"/>
        <v>-8</v>
      </c>
      <c r="Y249" s="255">
        <f t="shared" si="90"/>
        <v>4</v>
      </c>
      <c r="Z249" s="256">
        <f t="shared" si="91"/>
        <v>-200</v>
      </c>
      <c r="AA249" s="257">
        <f t="shared" si="92"/>
        <v>20</v>
      </c>
      <c r="AB249" s="116">
        <f t="shared" si="93"/>
        <v>0.2</v>
      </c>
      <c r="AC249" s="123">
        <v>474</v>
      </c>
      <c r="AD249" s="123">
        <v>478</v>
      </c>
      <c r="AE249" s="257">
        <f t="shared" si="94"/>
        <v>4</v>
      </c>
      <c r="AF249" s="258">
        <f t="shared" si="95"/>
        <v>0.8438818565400843</v>
      </c>
      <c r="AG249" s="257">
        <f t="shared" si="96"/>
        <v>60</v>
      </c>
      <c r="AH249" s="124">
        <f t="shared" si="97"/>
        <v>2.4</v>
      </c>
      <c r="AI249" s="105">
        <v>0</v>
      </c>
      <c r="AJ249" s="105">
        <v>0</v>
      </c>
      <c r="AK249" s="105">
        <v>0</v>
      </c>
      <c r="AL249" s="105">
        <v>0</v>
      </c>
      <c r="AM249" s="260">
        <f t="shared" si="98"/>
        <v>0</v>
      </c>
      <c r="AN249" s="260">
        <f t="shared" si="99"/>
        <v>20</v>
      </c>
      <c r="AO249" s="130">
        <f t="shared" si="100"/>
        <v>0.2</v>
      </c>
      <c r="AP249" s="106">
        <v>9000</v>
      </c>
      <c r="AQ249" s="261">
        <f t="shared" si="113"/>
        <v>7.7356579226055683E-3</v>
      </c>
      <c r="AR249" s="261">
        <f t="shared" si="101"/>
        <v>25.116034868839083</v>
      </c>
      <c r="AS249" s="107">
        <f t="shared" si="102"/>
        <v>1.0046413947535633</v>
      </c>
      <c r="AT249" s="105">
        <v>0</v>
      </c>
      <c r="AU249" s="105">
        <v>1</v>
      </c>
      <c r="AV249" s="262">
        <f t="shared" si="103"/>
        <v>25</v>
      </c>
      <c r="AW249" s="134">
        <v>0</v>
      </c>
      <c r="AX249" s="134"/>
      <c r="AY249" s="262">
        <f t="shared" si="104"/>
        <v>0</v>
      </c>
      <c r="AZ249" s="262">
        <f t="shared" si="105"/>
        <v>25</v>
      </c>
      <c r="BA249" s="38">
        <f t="shared" si="106"/>
        <v>0.25</v>
      </c>
      <c r="BB249" s="105">
        <v>0</v>
      </c>
      <c r="BC249" s="105">
        <v>0</v>
      </c>
      <c r="BD249" s="105">
        <v>0</v>
      </c>
      <c r="BE249" s="262">
        <f t="shared" si="107"/>
        <v>0</v>
      </c>
      <c r="BF249" s="262">
        <f t="shared" si="108"/>
        <v>50</v>
      </c>
      <c r="BG249" s="38">
        <f t="shared" si="109"/>
        <v>0.5</v>
      </c>
      <c r="BH249" s="255">
        <f t="shared" si="110"/>
        <v>8192798</v>
      </c>
      <c r="BI249" s="256">
        <f t="shared" si="111"/>
        <v>1.1846489990711953</v>
      </c>
      <c r="BJ249" s="256">
        <f t="shared" si="114"/>
        <v>33.884867493033966</v>
      </c>
      <c r="BK249" s="55">
        <f t="shared" si="112"/>
        <v>0.67769734986067931</v>
      </c>
      <c r="BL249" s="137">
        <f t="shared" si="115"/>
        <v>6.2323387446142426</v>
      </c>
    </row>
    <row r="250" spans="1:64" x14ac:dyDescent="0.6">
      <c r="A250" s="214" t="s">
        <v>352</v>
      </c>
      <c r="B250" s="13" t="s">
        <v>2230</v>
      </c>
      <c r="C250" s="219" t="s">
        <v>304</v>
      </c>
      <c r="D250" s="216" t="s">
        <v>191</v>
      </c>
      <c r="E250" s="217" t="s">
        <v>178</v>
      </c>
      <c r="F250" s="217" t="s">
        <v>273</v>
      </c>
      <c r="G250" s="218">
        <v>42836</v>
      </c>
      <c r="H250" s="217" t="s">
        <v>830</v>
      </c>
      <c r="I250" s="217" t="s">
        <v>811</v>
      </c>
      <c r="J250" s="217" t="s">
        <v>1132</v>
      </c>
      <c r="K250" s="217" t="s">
        <v>91</v>
      </c>
      <c r="L250" s="220">
        <v>330163311</v>
      </c>
      <c r="M250" s="206">
        <v>137897080</v>
      </c>
      <c r="N250" s="206">
        <v>192266231</v>
      </c>
      <c r="O250" s="206">
        <v>413638465</v>
      </c>
      <c r="P250" s="206">
        <v>17588318</v>
      </c>
      <c r="Q250" s="206">
        <v>36589302</v>
      </c>
      <c r="R250" s="206">
        <v>27057204</v>
      </c>
      <c r="S250" s="105">
        <v>1</v>
      </c>
      <c r="T250" s="254">
        <f t="shared" si="87"/>
        <v>100</v>
      </c>
      <c r="U250" s="107">
        <f t="shared" si="88"/>
        <v>1</v>
      </c>
      <c r="V250" s="45">
        <v>448</v>
      </c>
      <c r="W250" s="45">
        <v>442</v>
      </c>
      <c r="X250" s="255">
        <f t="shared" si="89"/>
        <v>-6</v>
      </c>
      <c r="Y250" s="255">
        <f t="shared" si="90"/>
        <v>-25</v>
      </c>
      <c r="Z250" s="256">
        <f t="shared" si="91"/>
        <v>-600</v>
      </c>
      <c r="AA250" s="257">
        <f t="shared" si="92"/>
        <v>20</v>
      </c>
      <c r="AB250" s="116">
        <f t="shared" si="93"/>
        <v>0.2</v>
      </c>
      <c r="AC250" s="123">
        <v>1209</v>
      </c>
      <c r="AD250" s="123">
        <v>1184</v>
      </c>
      <c r="AE250" s="257">
        <f t="shared" si="94"/>
        <v>-25</v>
      </c>
      <c r="AF250" s="258">
        <f t="shared" si="95"/>
        <v>-2.0678246484698097</v>
      </c>
      <c r="AG250" s="257">
        <f t="shared" si="96"/>
        <v>20</v>
      </c>
      <c r="AH250" s="124">
        <f t="shared" si="97"/>
        <v>0.8</v>
      </c>
      <c r="AI250" s="105">
        <v>0</v>
      </c>
      <c r="AJ250" s="105">
        <v>0</v>
      </c>
      <c r="AK250" s="105">
        <v>0</v>
      </c>
      <c r="AL250" s="105">
        <v>0</v>
      </c>
      <c r="AM250" s="260">
        <f t="shared" si="98"/>
        <v>0</v>
      </c>
      <c r="AN250" s="260">
        <f t="shared" si="99"/>
        <v>20</v>
      </c>
      <c r="AO250" s="130">
        <f t="shared" si="100"/>
        <v>0.2</v>
      </c>
      <c r="AP250" s="106">
        <v>823498</v>
      </c>
      <c r="AQ250" s="261">
        <f t="shared" si="113"/>
        <v>3.0435443366579933</v>
      </c>
      <c r="AR250" s="261">
        <f t="shared" si="101"/>
        <v>70.653165049869898</v>
      </c>
      <c r="AS250" s="107">
        <f t="shared" si="102"/>
        <v>2.8261266019947962</v>
      </c>
      <c r="AT250" s="105">
        <v>0</v>
      </c>
      <c r="AU250" s="105">
        <v>1</v>
      </c>
      <c r="AV250" s="262">
        <f t="shared" si="103"/>
        <v>25</v>
      </c>
      <c r="AW250" s="134">
        <v>2</v>
      </c>
      <c r="AX250" s="134" t="s">
        <v>3610</v>
      </c>
      <c r="AY250" s="262">
        <f t="shared" si="104"/>
        <v>25</v>
      </c>
      <c r="AZ250" s="262">
        <f t="shared" si="105"/>
        <v>50</v>
      </c>
      <c r="BA250" s="38">
        <f t="shared" si="106"/>
        <v>0.5</v>
      </c>
      <c r="BB250" s="105">
        <v>0</v>
      </c>
      <c r="BC250" s="105">
        <v>0</v>
      </c>
      <c r="BD250" s="105">
        <v>0</v>
      </c>
      <c r="BE250" s="262">
        <f t="shared" si="107"/>
        <v>0</v>
      </c>
      <c r="BF250" s="262">
        <f t="shared" si="108"/>
        <v>50</v>
      </c>
      <c r="BG250" s="38">
        <f t="shared" si="109"/>
        <v>0.5</v>
      </c>
      <c r="BH250" s="255">
        <f t="shared" si="110"/>
        <v>9532098</v>
      </c>
      <c r="BI250" s="256">
        <f t="shared" si="111"/>
        <v>2.3044515456269279</v>
      </c>
      <c r="BJ250" s="256">
        <f t="shared" si="114"/>
        <v>42.283386592201957</v>
      </c>
      <c r="BK250" s="55">
        <f t="shared" si="112"/>
        <v>0.84566773184403921</v>
      </c>
      <c r="BL250" s="137">
        <f t="shared" si="115"/>
        <v>6.8717943338388361</v>
      </c>
    </row>
    <row r="251" spans="1:64" x14ac:dyDescent="0.6">
      <c r="A251" s="214" t="s">
        <v>1865</v>
      </c>
      <c r="B251" s="13" t="s">
        <v>2231</v>
      </c>
      <c r="C251" s="219" t="s">
        <v>1866</v>
      </c>
      <c r="D251" s="14" t="s">
        <v>202</v>
      </c>
      <c r="E251" s="217" t="s">
        <v>605</v>
      </c>
      <c r="F251" s="217" t="s">
        <v>1867</v>
      </c>
      <c r="G251" s="218">
        <v>44418</v>
      </c>
      <c r="H251" s="217" t="s">
        <v>830</v>
      </c>
      <c r="I251" s="217" t="s">
        <v>1868</v>
      </c>
      <c r="J251" s="1" t="s">
        <v>3753</v>
      </c>
      <c r="K251" s="217" t="s">
        <v>91</v>
      </c>
      <c r="L251" s="220">
        <v>5774465580</v>
      </c>
      <c r="M251" s="206">
        <v>732161313</v>
      </c>
      <c r="N251" s="206">
        <v>5042304267</v>
      </c>
      <c r="O251" s="206">
        <v>1767775811</v>
      </c>
      <c r="P251" s="206">
        <v>737821913</v>
      </c>
      <c r="Q251" s="206">
        <v>666253605</v>
      </c>
      <c r="R251" s="206">
        <v>487142608</v>
      </c>
      <c r="S251" s="105">
        <v>1</v>
      </c>
      <c r="T251" s="254">
        <f t="shared" si="87"/>
        <v>100</v>
      </c>
      <c r="U251" s="107">
        <f t="shared" si="88"/>
        <v>1</v>
      </c>
      <c r="V251" s="45">
        <v>448</v>
      </c>
      <c r="W251" s="45">
        <f>521+3</f>
        <v>524</v>
      </c>
      <c r="X251" s="255">
        <f t="shared" si="89"/>
        <v>76</v>
      </c>
      <c r="Y251" s="255">
        <f t="shared" si="90"/>
        <v>176</v>
      </c>
      <c r="Z251" s="256">
        <f t="shared" si="91"/>
        <v>43.18181818181818</v>
      </c>
      <c r="AA251" s="257">
        <f t="shared" si="92"/>
        <v>100</v>
      </c>
      <c r="AB251" s="116">
        <f t="shared" si="93"/>
        <v>1</v>
      </c>
      <c r="AC251" s="123">
        <v>1521</v>
      </c>
      <c r="AD251" s="123">
        <f>1693+4</f>
        <v>1697</v>
      </c>
      <c r="AE251" s="257">
        <f t="shared" si="94"/>
        <v>176</v>
      </c>
      <c r="AF251" s="258">
        <f t="shared" si="95"/>
        <v>11.571334648257725</v>
      </c>
      <c r="AG251" s="257">
        <f t="shared" si="96"/>
        <v>100</v>
      </c>
      <c r="AH251" s="124">
        <f t="shared" si="97"/>
        <v>4</v>
      </c>
      <c r="AI251" s="105">
        <v>0</v>
      </c>
      <c r="AJ251" s="105">
        <v>1</v>
      </c>
      <c r="AK251" s="105">
        <v>0</v>
      </c>
      <c r="AL251" s="105">
        <v>0</v>
      </c>
      <c r="AM251" s="260">
        <f t="shared" si="98"/>
        <v>1</v>
      </c>
      <c r="AN251" s="260">
        <f t="shared" si="99"/>
        <v>40</v>
      </c>
      <c r="AO251" s="130">
        <f t="shared" si="100"/>
        <v>0.4</v>
      </c>
      <c r="AP251" s="106">
        <v>298200</v>
      </c>
      <c r="AQ251" s="261">
        <f t="shared" si="113"/>
        <v>6.1214107553490785E-2</v>
      </c>
      <c r="AR251" s="261">
        <f t="shared" si="101"/>
        <v>25.918211613302361</v>
      </c>
      <c r="AS251" s="107">
        <f t="shared" si="102"/>
        <v>1.0367284645320944</v>
      </c>
      <c r="AT251" s="105">
        <v>0</v>
      </c>
      <c r="AU251" s="105">
        <v>0</v>
      </c>
      <c r="AV251" s="262">
        <f t="shared" si="103"/>
        <v>0</v>
      </c>
      <c r="AW251" s="134">
        <v>3</v>
      </c>
      <c r="AX251" s="447" t="s">
        <v>3754</v>
      </c>
      <c r="AY251" s="262">
        <f t="shared" si="104"/>
        <v>50</v>
      </c>
      <c r="AZ251" s="262">
        <f t="shared" si="105"/>
        <v>50</v>
      </c>
      <c r="BA251" s="38">
        <f t="shared" si="106"/>
        <v>0.5</v>
      </c>
      <c r="BB251" s="105">
        <v>0</v>
      </c>
      <c r="BC251" s="105">
        <v>0</v>
      </c>
      <c r="BD251" s="105">
        <v>0</v>
      </c>
      <c r="BE251" s="262">
        <f t="shared" si="107"/>
        <v>0</v>
      </c>
      <c r="BF251" s="262">
        <f t="shared" si="108"/>
        <v>50</v>
      </c>
      <c r="BG251" s="38">
        <f t="shared" si="109"/>
        <v>0.5</v>
      </c>
      <c r="BH251" s="255">
        <f t="shared" si="110"/>
        <v>179110997</v>
      </c>
      <c r="BI251" s="256">
        <f t="shared" si="111"/>
        <v>10.131997275077547</v>
      </c>
      <c r="BJ251" s="256">
        <f t="shared" si="114"/>
        <v>100</v>
      </c>
      <c r="BK251" s="55">
        <f t="shared" si="112"/>
        <v>2</v>
      </c>
      <c r="BL251" s="137">
        <f t="shared" si="115"/>
        <v>10.436728464532095</v>
      </c>
    </row>
    <row r="252" spans="1:64" x14ac:dyDescent="0.6">
      <c r="A252" s="214" t="s">
        <v>438</v>
      </c>
      <c r="B252" s="13" t="s">
        <v>2232</v>
      </c>
      <c r="C252" s="219" t="s">
        <v>36</v>
      </c>
      <c r="D252" s="221" t="s">
        <v>350</v>
      </c>
      <c r="E252" s="217" t="s">
        <v>179</v>
      </c>
      <c r="F252" s="217" t="s">
        <v>1111</v>
      </c>
      <c r="G252" s="218">
        <v>40028</v>
      </c>
      <c r="H252" s="217" t="s">
        <v>830</v>
      </c>
      <c r="I252" s="217" t="s">
        <v>810</v>
      </c>
      <c r="J252" s="217" t="s">
        <v>1139</v>
      </c>
      <c r="K252" s="217" t="s">
        <v>91</v>
      </c>
      <c r="L252" s="220">
        <v>39369287420</v>
      </c>
      <c r="M252" s="206">
        <v>35300144133</v>
      </c>
      <c r="N252" s="206">
        <v>4069143286</v>
      </c>
      <c r="O252" s="206">
        <v>8031651241</v>
      </c>
      <c r="P252" s="206">
        <v>645745222</v>
      </c>
      <c r="Q252" s="206">
        <v>663311108</v>
      </c>
      <c r="R252" s="206">
        <v>493104212</v>
      </c>
      <c r="S252" s="105">
        <v>1</v>
      </c>
      <c r="T252" s="254">
        <f t="shared" si="87"/>
        <v>100</v>
      </c>
      <c r="U252" s="107">
        <f t="shared" si="88"/>
        <v>1</v>
      </c>
      <c r="V252" s="45">
        <v>391</v>
      </c>
      <c r="W252" s="45">
        <f>3+20+12+342</f>
        <v>377</v>
      </c>
      <c r="X252" s="255">
        <f t="shared" si="89"/>
        <v>-14</v>
      </c>
      <c r="Y252" s="255">
        <f t="shared" si="90"/>
        <v>5</v>
      </c>
      <c r="Z252" s="256">
        <f t="shared" si="91"/>
        <v>-280</v>
      </c>
      <c r="AA252" s="257">
        <f t="shared" si="92"/>
        <v>20</v>
      </c>
      <c r="AB252" s="116">
        <f t="shared" si="93"/>
        <v>0.2</v>
      </c>
      <c r="AC252" s="123">
        <v>630</v>
      </c>
      <c r="AD252" s="123">
        <v>635</v>
      </c>
      <c r="AE252" s="257">
        <f t="shared" si="94"/>
        <v>5</v>
      </c>
      <c r="AF252" s="258">
        <f t="shared" si="95"/>
        <v>0.79365079365079361</v>
      </c>
      <c r="AG252" s="257">
        <f t="shared" si="96"/>
        <v>60</v>
      </c>
      <c r="AH252" s="124">
        <f t="shared" si="97"/>
        <v>2.4</v>
      </c>
      <c r="AI252" s="105">
        <v>0</v>
      </c>
      <c r="AJ252" s="105">
        <v>0</v>
      </c>
      <c r="AK252" s="105">
        <v>0</v>
      </c>
      <c r="AL252" s="105">
        <v>0</v>
      </c>
      <c r="AM252" s="260">
        <f t="shared" si="98"/>
        <v>0</v>
      </c>
      <c r="AN252" s="260">
        <f t="shared" si="99"/>
        <v>20</v>
      </c>
      <c r="AO252" s="130">
        <f t="shared" si="100"/>
        <v>0.2</v>
      </c>
      <c r="AP252" s="106">
        <v>492991</v>
      </c>
      <c r="AQ252" s="261">
        <f t="shared" si="113"/>
        <v>9.9977040958636146E-2</v>
      </c>
      <c r="AR252" s="261">
        <f t="shared" si="101"/>
        <v>26.499655614379542</v>
      </c>
      <c r="AS252" s="107">
        <f t="shared" si="102"/>
        <v>1.0599862245751817</v>
      </c>
      <c r="AT252" s="105">
        <v>1</v>
      </c>
      <c r="AU252" s="105">
        <v>1</v>
      </c>
      <c r="AV252" s="262">
        <f t="shared" si="103"/>
        <v>50</v>
      </c>
      <c r="AW252" s="134">
        <v>3</v>
      </c>
      <c r="AX252" s="134" t="s">
        <v>3611</v>
      </c>
      <c r="AY252" s="262">
        <f t="shared" si="104"/>
        <v>50</v>
      </c>
      <c r="AZ252" s="262">
        <f t="shared" si="105"/>
        <v>100</v>
      </c>
      <c r="BA252" s="38">
        <f t="shared" si="106"/>
        <v>1</v>
      </c>
      <c r="BB252" s="105">
        <v>0</v>
      </c>
      <c r="BC252" s="105">
        <v>0</v>
      </c>
      <c r="BD252" s="105">
        <v>0</v>
      </c>
      <c r="BE252" s="262">
        <f t="shared" si="107"/>
        <v>0</v>
      </c>
      <c r="BF252" s="262">
        <f t="shared" si="108"/>
        <v>50</v>
      </c>
      <c r="BG252" s="38">
        <f t="shared" si="109"/>
        <v>0.5</v>
      </c>
      <c r="BH252" s="255">
        <f t="shared" si="110"/>
        <v>170206896</v>
      </c>
      <c r="BI252" s="256">
        <f t="shared" si="111"/>
        <v>2.1192017792197855</v>
      </c>
      <c r="BJ252" s="256">
        <f t="shared" si="114"/>
        <v>40.894013344148391</v>
      </c>
      <c r="BK252" s="55">
        <f t="shared" si="112"/>
        <v>0.81788026688296789</v>
      </c>
      <c r="BL252" s="137">
        <f t="shared" si="115"/>
        <v>7.1778664914581496</v>
      </c>
    </row>
    <row r="253" spans="1:64" x14ac:dyDescent="0.6">
      <c r="A253" s="214" t="s">
        <v>535</v>
      </c>
      <c r="B253" s="13" t="s">
        <v>2233</v>
      </c>
      <c r="C253" s="219" t="s">
        <v>890</v>
      </c>
      <c r="D253" s="216" t="s">
        <v>203</v>
      </c>
      <c r="E253" s="217" t="s">
        <v>1179</v>
      </c>
      <c r="F253" s="217" t="s">
        <v>132</v>
      </c>
      <c r="G253" s="218">
        <v>33304</v>
      </c>
      <c r="H253" s="217" t="s">
        <v>830</v>
      </c>
      <c r="I253" s="217" t="s">
        <v>984</v>
      </c>
      <c r="J253" s="217" t="s">
        <v>1110</v>
      </c>
      <c r="K253" s="217" t="s">
        <v>91</v>
      </c>
      <c r="L253" s="220">
        <v>231015509</v>
      </c>
      <c r="M253" s="206">
        <v>75905969</v>
      </c>
      <c r="N253" s="206">
        <v>155109540</v>
      </c>
      <c r="O253" s="206">
        <v>285439614</v>
      </c>
      <c r="P253" s="206">
        <v>21520066</v>
      </c>
      <c r="Q253" s="206">
        <v>18501491</v>
      </c>
      <c r="R253" s="206">
        <v>19107420</v>
      </c>
      <c r="S253" s="105">
        <v>1</v>
      </c>
      <c r="T253" s="254">
        <f t="shared" si="87"/>
        <v>100</v>
      </c>
      <c r="U253" s="107">
        <f t="shared" si="88"/>
        <v>1</v>
      </c>
      <c r="V253" s="45">
        <v>48</v>
      </c>
      <c r="W253" s="45">
        <f>35+14</f>
        <v>49</v>
      </c>
      <c r="X253" s="255">
        <f t="shared" si="89"/>
        <v>1</v>
      </c>
      <c r="Y253" s="255">
        <f t="shared" si="90"/>
        <v>15</v>
      </c>
      <c r="Z253" s="256">
        <f t="shared" si="91"/>
        <v>6.666666666666667</v>
      </c>
      <c r="AA253" s="257">
        <f t="shared" si="92"/>
        <v>20</v>
      </c>
      <c r="AB253" s="116">
        <f t="shared" si="93"/>
        <v>0.2</v>
      </c>
      <c r="AC253" s="123">
        <v>262</v>
      </c>
      <c r="AD253" s="123">
        <v>277</v>
      </c>
      <c r="AE253" s="257">
        <f t="shared" si="94"/>
        <v>15</v>
      </c>
      <c r="AF253" s="258">
        <f t="shared" si="95"/>
        <v>5.7251908396946565</v>
      </c>
      <c r="AG253" s="257">
        <f t="shared" si="96"/>
        <v>100</v>
      </c>
      <c r="AH253" s="124">
        <f t="shared" si="97"/>
        <v>4</v>
      </c>
      <c r="AI253" s="105">
        <v>0</v>
      </c>
      <c r="AJ253" s="105">
        <v>0</v>
      </c>
      <c r="AK253" s="105">
        <v>0</v>
      </c>
      <c r="AL253" s="105">
        <v>0</v>
      </c>
      <c r="AM253" s="260">
        <f t="shared" si="98"/>
        <v>0</v>
      </c>
      <c r="AN253" s="260">
        <f t="shared" si="99"/>
        <v>20</v>
      </c>
      <c r="AO253" s="130">
        <f t="shared" si="100"/>
        <v>0.2</v>
      </c>
      <c r="AP253" s="106">
        <v>11100</v>
      </c>
      <c r="AQ253" s="261">
        <f t="shared" si="113"/>
        <v>5.809261532954213E-2</v>
      </c>
      <c r="AR253" s="261">
        <f t="shared" si="101"/>
        <v>25.871389229943134</v>
      </c>
      <c r="AS253" s="107">
        <f t="shared" si="102"/>
        <v>1.0348555691977253</v>
      </c>
      <c r="AT253" s="105">
        <v>1</v>
      </c>
      <c r="AU253" s="105">
        <v>1</v>
      </c>
      <c r="AV253" s="262">
        <f t="shared" si="103"/>
        <v>50</v>
      </c>
      <c r="AW253" s="134">
        <v>3</v>
      </c>
      <c r="AX253" s="134" t="s">
        <v>3612</v>
      </c>
      <c r="AY253" s="262">
        <f t="shared" si="104"/>
        <v>50</v>
      </c>
      <c r="AZ253" s="262">
        <f t="shared" si="105"/>
        <v>100</v>
      </c>
      <c r="BA253" s="38">
        <f t="shared" si="106"/>
        <v>1</v>
      </c>
      <c r="BB253" s="105">
        <v>0</v>
      </c>
      <c r="BC253" s="105">
        <v>0</v>
      </c>
      <c r="BD253" s="105">
        <v>0</v>
      </c>
      <c r="BE253" s="262">
        <f t="shared" si="107"/>
        <v>0</v>
      </c>
      <c r="BF253" s="262">
        <f t="shared" si="108"/>
        <v>50</v>
      </c>
      <c r="BG253" s="38">
        <f t="shared" si="109"/>
        <v>0.5</v>
      </c>
      <c r="BH253" s="255">
        <f t="shared" si="110"/>
        <v>-605929</v>
      </c>
      <c r="BI253" s="256">
        <f t="shared" si="111"/>
        <v>-0.21227922484508402</v>
      </c>
      <c r="BJ253" s="256">
        <f t="shared" si="114"/>
        <v>25</v>
      </c>
      <c r="BK253" s="55">
        <f t="shared" si="112"/>
        <v>0.5</v>
      </c>
      <c r="BL253" s="137">
        <f t="shared" si="115"/>
        <v>8.4348555691977261</v>
      </c>
    </row>
    <row r="254" spans="1:64" x14ac:dyDescent="0.6">
      <c r="A254" s="214" t="s">
        <v>1870</v>
      </c>
      <c r="B254" s="13" t="s">
        <v>2234</v>
      </c>
      <c r="C254" s="219" t="s">
        <v>529</v>
      </c>
      <c r="D254" s="216" t="s">
        <v>203</v>
      </c>
      <c r="E254" s="217" t="s">
        <v>180</v>
      </c>
      <c r="F254" s="217" t="s">
        <v>561</v>
      </c>
      <c r="G254" s="218">
        <v>35094</v>
      </c>
      <c r="H254" s="217" t="s">
        <v>830</v>
      </c>
      <c r="I254" s="217" t="s">
        <v>1871</v>
      </c>
      <c r="J254" s="217" t="s">
        <v>1230</v>
      </c>
      <c r="K254" s="217" t="s">
        <v>91</v>
      </c>
      <c r="L254" s="220">
        <v>221214840</v>
      </c>
      <c r="M254" s="206">
        <v>49139610</v>
      </c>
      <c r="N254" s="206">
        <v>172075230</v>
      </c>
      <c r="O254" s="206">
        <v>157798814</v>
      </c>
      <c r="P254" s="206">
        <v>10746927</v>
      </c>
      <c r="Q254" s="206">
        <v>5946963</v>
      </c>
      <c r="R254" s="206">
        <v>5654728</v>
      </c>
      <c r="S254" s="105">
        <v>1</v>
      </c>
      <c r="T254" s="254">
        <f t="shared" si="87"/>
        <v>100</v>
      </c>
      <c r="U254" s="107">
        <f t="shared" si="88"/>
        <v>1</v>
      </c>
      <c r="V254" s="45">
        <v>85</v>
      </c>
      <c r="W254" s="45">
        <f>2+4+64</f>
        <v>70</v>
      </c>
      <c r="X254" s="255">
        <f t="shared" si="89"/>
        <v>-15</v>
      </c>
      <c r="Y254" s="255">
        <f t="shared" si="90"/>
        <v>-8</v>
      </c>
      <c r="Z254" s="256">
        <f t="shared" si="91"/>
        <v>-1500</v>
      </c>
      <c r="AA254" s="257">
        <f t="shared" si="92"/>
        <v>20</v>
      </c>
      <c r="AB254" s="116">
        <f t="shared" si="93"/>
        <v>0.2</v>
      </c>
      <c r="AC254" s="123">
        <v>255</v>
      </c>
      <c r="AD254" s="123">
        <v>247</v>
      </c>
      <c r="AE254" s="257">
        <f t="shared" si="94"/>
        <v>-8</v>
      </c>
      <c r="AF254" s="258">
        <f t="shared" si="95"/>
        <v>-3.1372549019607843</v>
      </c>
      <c r="AG254" s="257">
        <f t="shared" si="96"/>
        <v>20</v>
      </c>
      <c r="AH254" s="124">
        <f t="shared" si="97"/>
        <v>0.8</v>
      </c>
      <c r="AI254" s="105">
        <v>0</v>
      </c>
      <c r="AJ254" s="105">
        <v>0</v>
      </c>
      <c r="AK254" s="105">
        <v>0</v>
      </c>
      <c r="AL254" s="105">
        <v>0</v>
      </c>
      <c r="AM254" s="260">
        <f t="shared" si="98"/>
        <v>0</v>
      </c>
      <c r="AN254" s="260">
        <f t="shared" si="99"/>
        <v>20</v>
      </c>
      <c r="AO254" s="130">
        <f t="shared" si="100"/>
        <v>0.2</v>
      </c>
      <c r="AP254" s="106">
        <v>108728</v>
      </c>
      <c r="AQ254" s="261">
        <f t="shared" si="113"/>
        <v>1.92278037069157</v>
      </c>
      <c r="AR254" s="261">
        <f t="shared" si="101"/>
        <v>53.841705560373548</v>
      </c>
      <c r="AS254" s="107">
        <f t="shared" si="102"/>
        <v>2.1536682224149422</v>
      </c>
      <c r="AT254" s="105">
        <v>1</v>
      </c>
      <c r="AU254" s="105">
        <v>1</v>
      </c>
      <c r="AV254" s="262">
        <f t="shared" si="103"/>
        <v>50</v>
      </c>
      <c r="AW254" s="134">
        <v>3</v>
      </c>
      <c r="AX254" s="134" t="s">
        <v>3612</v>
      </c>
      <c r="AY254" s="262">
        <f t="shared" si="104"/>
        <v>50</v>
      </c>
      <c r="AZ254" s="262">
        <f t="shared" si="105"/>
        <v>100</v>
      </c>
      <c r="BA254" s="38">
        <f t="shared" si="106"/>
        <v>1</v>
      </c>
      <c r="BB254" s="105">
        <v>0</v>
      </c>
      <c r="BC254" s="105">
        <v>0</v>
      </c>
      <c r="BD254" s="105">
        <v>0</v>
      </c>
      <c r="BE254" s="262">
        <f t="shared" si="107"/>
        <v>0</v>
      </c>
      <c r="BF254" s="262">
        <f t="shared" si="108"/>
        <v>50</v>
      </c>
      <c r="BG254" s="38">
        <f t="shared" si="109"/>
        <v>0.5</v>
      </c>
      <c r="BH254" s="255">
        <f t="shared" si="110"/>
        <v>292235</v>
      </c>
      <c r="BI254" s="256">
        <f t="shared" si="111"/>
        <v>0.18519467453031679</v>
      </c>
      <c r="BJ254" s="256">
        <f t="shared" si="114"/>
        <v>26.388960058977375</v>
      </c>
      <c r="BK254" s="55">
        <f t="shared" si="112"/>
        <v>0.52777920117954746</v>
      </c>
      <c r="BL254" s="137">
        <f t="shared" si="115"/>
        <v>6.3814474235944898</v>
      </c>
    </row>
    <row r="255" spans="1:64" x14ac:dyDescent="0.6">
      <c r="A255" s="214" t="s">
        <v>366</v>
      </c>
      <c r="B255" s="13" t="s">
        <v>2235</v>
      </c>
      <c r="C255" s="219" t="s">
        <v>447</v>
      </c>
      <c r="D255" s="216" t="s">
        <v>203</v>
      </c>
      <c r="E255" s="217" t="s">
        <v>180</v>
      </c>
      <c r="F255" s="217" t="s">
        <v>990</v>
      </c>
      <c r="G255" s="218">
        <v>37649</v>
      </c>
      <c r="H255" s="217" t="s">
        <v>830</v>
      </c>
      <c r="I255" s="217" t="s">
        <v>814</v>
      </c>
      <c r="J255" s="217" t="s">
        <v>663</v>
      </c>
      <c r="K255" s="217" t="s">
        <v>91</v>
      </c>
      <c r="L255" s="220">
        <v>162863274</v>
      </c>
      <c r="M255" s="206">
        <v>17371202</v>
      </c>
      <c r="N255" s="206">
        <v>145492071</v>
      </c>
      <c r="O255" s="206">
        <v>56651970</v>
      </c>
      <c r="P255" s="206">
        <v>10708324</v>
      </c>
      <c r="Q255" s="206">
        <v>12207215</v>
      </c>
      <c r="R255" s="206">
        <v>9200816</v>
      </c>
      <c r="S255" s="105">
        <v>1</v>
      </c>
      <c r="T255" s="254">
        <f t="shared" si="87"/>
        <v>100</v>
      </c>
      <c r="U255" s="107">
        <f t="shared" si="88"/>
        <v>1</v>
      </c>
      <c r="V255" s="45">
        <v>12</v>
      </c>
      <c r="W255" s="45">
        <f>10</f>
        <v>10</v>
      </c>
      <c r="X255" s="255">
        <f t="shared" si="89"/>
        <v>-2</v>
      </c>
      <c r="Y255" s="255">
        <f t="shared" si="90"/>
        <v>0</v>
      </c>
      <c r="Z255" s="256">
        <f t="shared" si="91"/>
        <v>-200</v>
      </c>
      <c r="AA255" s="257">
        <f t="shared" si="92"/>
        <v>20</v>
      </c>
      <c r="AB255" s="116">
        <f t="shared" si="93"/>
        <v>0.2</v>
      </c>
      <c r="AC255" s="123">
        <v>86</v>
      </c>
      <c r="AD255" s="123">
        <v>86</v>
      </c>
      <c r="AE255" s="257">
        <f t="shared" si="94"/>
        <v>0</v>
      </c>
      <c r="AF255" s="258">
        <f t="shared" si="95"/>
        <v>0</v>
      </c>
      <c r="AG255" s="257">
        <f t="shared" si="96"/>
        <v>40</v>
      </c>
      <c r="AH255" s="124">
        <f t="shared" si="97"/>
        <v>1.6</v>
      </c>
      <c r="AI255" s="105">
        <v>0</v>
      </c>
      <c r="AJ255" s="105">
        <v>0</v>
      </c>
      <c r="AK255" s="105">
        <v>0</v>
      </c>
      <c r="AL255" s="105">
        <v>0</v>
      </c>
      <c r="AM255" s="260">
        <f t="shared" si="98"/>
        <v>0</v>
      </c>
      <c r="AN255" s="260">
        <f t="shared" si="99"/>
        <v>20</v>
      </c>
      <c r="AO255" s="130">
        <f t="shared" si="100"/>
        <v>0.2</v>
      </c>
      <c r="AP255" s="106">
        <v>65300</v>
      </c>
      <c r="AQ255" s="261">
        <f t="shared" si="113"/>
        <v>0.7097196596475791</v>
      </c>
      <c r="AR255" s="261">
        <f t="shared" si="101"/>
        <v>35.645794894713688</v>
      </c>
      <c r="AS255" s="107">
        <f t="shared" si="102"/>
        <v>1.4258317957885476</v>
      </c>
      <c r="AT255" s="105">
        <v>1</v>
      </c>
      <c r="AU255" s="105">
        <v>1</v>
      </c>
      <c r="AV255" s="262">
        <f t="shared" si="103"/>
        <v>50</v>
      </c>
      <c r="AW255" s="134">
        <v>3</v>
      </c>
      <c r="AX255" s="134" t="s">
        <v>3612</v>
      </c>
      <c r="AY255" s="262">
        <f t="shared" si="104"/>
        <v>50</v>
      </c>
      <c r="AZ255" s="262">
        <f t="shared" si="105"/>
        <v>100</v>
      </c>
      <c r="BA255" s="38">
        <f t="shared" si="106"/>
        <v>1</v>
      </c>
      <c r="BB255" s="105">
        <v>0</v>
      </c>
      <c r="BC255" s="105">
        <v>0</v>
      </c>
      <c r="BD255" s="105">
        <v>0</v>
      </c>
      <c r="BE255" s="262">
        <f t="shared" si="107"/>
        <v>0</v>
      </c>
      <c r="BF255" s="262">
        <f t="shared" si="108"/>
        <v>50</v>
      </c>
      <c r="BG255" s="38">
        <f t="shared" si="109"/>
        <v>0.5</v>
      </c>
      <c r="BH255" s="255">
        <f t="shared" si="110"/>
        <v>3006399</v>
      </c>
      <c r="BI255" s="256">
        <f t="shared" si="111"/>
        <v>5.3067863306430469</v>
      </c>
      <c r="BJ255" s="256">
        <f t="shared" si="114"/>
        <v>64.800897479822851</v>
      </c>
      <c r="BK255" s="55">
        <f t="shared" si="112"/>
        <v>1.296017949596457</v>
      </c>
      <c r="BL255" s="137">
        <f t="shared" si="115"/>
        <v>7.2218497453850041</v>
      </c>
    </row>
    <row r="256" spans="1:64" x14ac:dyDescent="0.6">
      <c r="A256" s="214" t="s">
        <v>1872</v>
      </c>
      <c r="B256" s="13" t="s">
        <v>2236</v>
      </c>
      <c r="C256" s="219" t="s">
        <v>38</v>
      </c>
      <c r="D256" s="216" t="s">
        <v>285</v>
      </c>
      <c r="E256" s="217" t="s">
        <v>867</v>
      </c>
      <c r="F256" s="217" t="s">
        <v>589</v>
      </c>
      <c r="G256" s="218">
        <v>32825</v>
      </c>
      <c r="H256" s="217" t="s">
        <v>830</v>
      </c>
      <c r="I256" s="217" t="s">
        <v>744</v>
      </c>
      <c r="J256" s="217" t="s">
        <v>1100</v>
      </c>
      <c r="K256" s="217" t="s">
        <v>690</v>
      </c>
      <c r="L256" s="220">
        <v>2966326502</v>
      </c>
      <c r="M256" s="206">
        <v>2073747455</v>
      </c>
      <c r="N256" s="206">
        <v>892579047</v>
      </c>
      <c r="O256" s="206">
        <v>2518358924</v>
      </c>
      <c r="P256" s="206">
        <v>126264508</v>
      </c>
      <c r="Q256" s="206">
        <v>98571424</v>
      </c>
      <c r="R256" s="206">
        <v>79048061</v>
      </c>
      <c r="S256" s="105">
        <v>1</v>
      </c>
      <c r="T256" s="254">
        <f t="shared" si="87"/>
        <v>100</v>
      </c>
      <c r="U256" s="107">
        <f t="shared" si="88"/>
        <v>1</v>
      </c>
      <c r="V256" s="45">
        <v>42</v>
      </c>
      <c r="W256" s="45">
        <f>13+10+6+9+3+1+5+1+1</f>
        <v>49</v>
      </c>
      <c r="X256" s="255">
        <f t="shared" si="89"/>
        <v>7</v>
      </c>
      <c r="Y256" s="255">
        <f t="shared" si="90"/>
        <v>77</v>
      </c>
      <c r="Z256" s="256">
        <f t="shared" si="91"/>
        <v>9.0909090909090917</v>
      </c>
      <c r="AA256" s="257">
        <f t="shared" si="92"/>
        <v>20</v>
      </c>
      <c r="AB256" s="116">
        <f t="shared" si="93"/>
        <v>0.2</v>
      </c>
      <c r="AC256" s="123">
        <v>1039</v>
      </c>
      <c r="AD256" s="123">
        <f>1116</f>
        <v>1116</v>
      </c>
      <c r="AE256" s="257">
        <f t="shared" si="94"/>
        <v>77</v>
      </c>
      <c r="AF256" s="258">
        <f t="shared" si="95"/>
        <v>7.4109720885466803</v>
      </c>
      <c r="AG256" s="257">
        <f t="shared" si="96"/>
        <v>100</v>
      </c>
      <c r="AH256" s="124">
        <f t="shared" si="97"/>
        <v>4</v>
      </c>
      <c r="AI256" s="105">
        <v>0</v>
      </c>
      <c r="AJ256" s="105">
        <v>0</v>
      </c>
      <c r="AK256" s="105">
        <v>0</v>
      </c>
      <c r="AL256" s="105">
        <v>0</v>
      </c>
      <c r="AM256" s="260">
        <f t="shared" si="98"/>
        <v>0</v>
      </c>
      <c r="AN256" s="260">
        <f t="shared" si="99"/>
        <v>20</v>
      </c>
      <c r="AO256" s="130">
        <f t="shared" si="100"/>
        <v>0.2</v>
      </c>
      <c r="AP256" s="106">
        <v>124600</v>
      </c>
      <c r="AQ256" s="261">
        <f t="shared" si="113"/>
        <v>0.15762562474492575</v>
      </c>
      <c r="AR256" s="261">
        <f t="shared" si="101"/>
        <v>27.364384371173887</v>
      </c>
      <c r="AS256" s="107">
        <f t="shared" si="102"/>
        <v>1.0945753748469556</v>
      </c>
      <c r="AT256" s="105">
        <v>1</v>
      </c>
      <c r="AU256" s="105">
        <v>1</v>
      </c>
      <c r="AV256" s="262">
        <f t="shared" si="103"/>
        <v>50</v>
      </c>
      <c r="AW256" s="134">
        <v>3</v>
      </c>
      <c r="AX256" s="134" t="s">
        <v>3613</v>
      </c>
      <c r="AY256" s="262">
        <f t="shared" si="104"/>
        <v>50</v>
      </c>
      <c r="AZ256" s="262">
        <f t="shared" si="105"/>
        <v>100</v>
      </c>
      <c r="BA256" s="38">
        <f t="shared" si="106"/>
        <v>1</v>
      </c>
      <c r="BB256" s="105">
        <v>0</v>
      </c>
      <c r="BC256" s="105">
        <v>0</v>
      </c>
      <c r="BD256" s="105">
        <v>0</v>
      </c>
      <c r="BE256" s="262">
        <f t="shared" si="107"/>
        <v>0</v>
      </c>
      <c r="BF256" s="262">
        <f t="shared" si="108"/>
        <v>50</v>
      </c>
      <c r="BG256" s="38">
        <f t="shared" si="109"/>
        <v>0.5</v>
      </c>
      <c r="BH256" s="255">
        <f t="shared" si="110"/>
        <v>19523363</v>
      </c>
      <c r="BI256" s="256">
        <f t="shared" si="111"/>
        <v>0.77524148023310124</v>
      </c>
      <c r="BJ256" s="256">
        <f t="shared" si="114"/>
        <v>30.81431110174826</v>
      </c>
      <c r="BK256" s="55">
        <f t="shared" si="112"/>
        <v>0.61628622203496519</v>
      </c>
      <c r="BL256" s="137">
        <f t="shared" si="115"/>
        <v>8.6108615968819215</v>
      </c>
    </row>
    <row r="257" spans="1:64" x14ac:dyDescent="0.6">
      <c r="A257" s="214" t="s">
        <v>1873</v>
      </c>
      <c r="B257" s="13" t="s">
        <v>2237</v>
      </c>
      <c r="C257" s="219" t="s">
        <v>1874</v>
      </c>
      <c r="D257" s="14" t="s">
        <v>191</v>
      </c>
      <c r="E257" s="217" t="s">
        <v>190</v>
      </c>
      <c r="F257" s="217" t="s">
        <v>1875</v>
      </c>
      <c r="G257" s="218">
        <v>34695</v>
      </c>
      <c r="H257" s="217" t="s">
        <v>830</v>
      </c>
      <c r="I257" s="217" t="s">
        <v>1876</v>
      </c>
      <c r="J257" s="1" t="s">
        <v>3755</v>
      </c>
      <c r="K257" s="217" t="s">
        <v>91</v>
      </c>
      <c r="L257" s="220">
        <v>638916718</v>
      </c>
      <c r="M257" s="206">
        <v>398803947</v>
      </c>
      <c r="N257" s="206">
        <v>240112771</v>
      </c>
      <c r="O257" s="206">
        <v>765025412</v>
      </c>
      <c r="P257" s="206">
        <v>47784093</v>
      </c>
      <c r="Q257" s="206">
        <v>26595933</v>
      </c>
      <c r="R257" s="206">
        <v>20153900</v>
      </c>
      <c r="S257" s="105">
        <v>1</v>
      </c>
      <c r="T257" s="254">
        <f t="shared" si="87"/>
        <v>100</v>
      </c>
      <c r="U257" s="107">
        <f t="shared" si="88"/>
        <v>1</v>
      </c>
      <c r="V257" s="45">
        <v>239</v>
      </c>
      <c r="W257" s="45">
        <v>186</v>
      </c>
      <c r="X257" s="255">
        <f t="shared" si="89"/>
        <v>-53</v>
      </c>
      <c r="Y257" s="255">
        <f t="shared" si="90"/>
        <v>-95</v>
      </c>
      <c r="Z257" s="256">
        <f t="shared" si="91"/>
        <v>-5300</v>
      </c>
      <c r="AA257" s="257">
        <f t="shared" si="92"/>
        <v>20</v>
      </c>
      <c r="AB257" s="116">
        <f t="shared" si="93"/>
        <v>0.2</v>
      </c>
      <c r="AC257" s="123">
        <v>422</v>
      </c>
      <c r="AD257" s="123">
        <v>327</v>
      </c>
      <c r="AE257" s="257">
        <f t="shared" si="94"/>
        <v>-95</v>
      </c>
      <c r="AF257" s="258">
        <f t="shared" si="95"/>
        <v>-22.511848341232227</v>
      </c>
      <c r="AG257" s="257">
        <f t="shared" si="96"/>
        <v>20</v>
      </c>
      <c r="AH257" s="124">
        <f t="shared" si="97"/>
        <v>0.8</v>
      </c>
      <c r="AI257" s="105">
        <v>0</v>
      </c>
      <c r="AJ257" s="105">
        <v>0</v>
      </c>
      <c r="AK257" s="105">
        <v>0</v>
      </c>
      <c r="AL257" s="105">
        <v>0</v>
      </c>
      <c r="AM257" s="260">
        <f t="shared" si="98"/>
        <v>0</v>
      </c>
      <c r="AN257" s="260">
        <f t="shared" si="99"/>
        <v>20</v>
      </c>
      <c r="AO257" s="130">
        <f t="shared" si="100"/>
        <v>0.2</v>
      </c>
      <c r="AP257" s="106">
        <v>3316262</v>
      </c>
      <c r="AQ257" s="261">
        <f t="shared" si="113"/>
        <v>16.454691151588527</v>
      </c>
      <c r="AR257" s="261">
        <f t="shared" si="101"/>
        <v>100</v>
      </c>
      <c r="AS257" s="107">
        <f t="shared" si="102"/>
        <v>4</v>
      </c>
      <c r="AT257" s="105">
        <v>0</v>
      </c>
      <c r="AU257" s="105">
        <v>0</v>
      </c>
      <c r="AV257" s="262">
        <f t="shared" si="103"/>
        <v>0</v>
      </c>
      <c r="AW257" s="134">
        <v>0</v>
      </c>
      <c r="AX257" s="134"/>
      <c r="AY257" s="262">
        <f t="shared" si="104"/>
        <v>0</v>
      </c>
      <c r="AZ257" s="262">
        <f t="shared" si="105"/>
        <v>0</v>
      </c>
      <c r="BA257" s="38">
        <f t="shared" si="106"/>
        <v>0</v>
      </c>
      <c r="BB257" s="105">
        <v>0</v>
      </c>
      <c r="BC257" s="105">
        <v>0</v>
      </c>
      <c r="BD257" s="105">
        <v>0</v>
      </c>
      <c r="BE257" s="262">
        <f t="shared" si="107"/>
        <v>0</v>
      </c>
      <c r="BF257" s="262">
        <f t="shared" si="108"/>
        <v>50</v>
      </c>
      <c r="BG257" s="38">
        <f t="shared" si="109"/>
        <v>0.5</v>
      </c>
      <c r="BH257" s="255">
        <f t="shared" si="110"/>
        <v>6442033</v>
      </c>
      <c r="BI257" s="256">
        <f t="shared" si="111"/>
        <v>0.84206784493062048</v>
      </c>
      <c r="BJ257" s="256">
        <f t="shared" si="114"/>
        <v>31.315508836979653</v>
      </c>
      <c r="BK257" s="55">
        <f t="shared" si="112"/>
        <v>0.62631017673959311</v>
      </c>
      <c r="BL257" s="137">
        <f t="shared" si="115"/>
        <v>7.3263101767395931</v>
      </c>
    </row>
    <row r="258" spans="1:64" x14ac:dyDescent="0.6">
      <c r="A258" s="214" t="s">
        <v>1878</v>
      </c>
      <c r="B258" s="13" t="s">
        <v>2238</v>
      </c>
      <c r="C258" s="219" t="s">
        <v>1879</v>
      </c>
      <c r="D258" s="14" t="s">
        <v>203</v>
      </c>
      <c r="E258" s="217" t="s">
        <v>246</v>
      </c>
      <c r="F258" s="217" t="s">
        <v>1880</v>
      </c>
      <c r="G258" s="218">
        <v>43039</v>
      </c>
      <c r="H258" s="217" t="s">
        <v>830</v>
      </c>
      <c r="I258" s="217" t="s">
        <v>1881</v>
      </c>
      <c r="J258" s="1" t="s">
        <v>3756</v>
      </c>
      <c r="K258" s="217" t="s">
        <v>690</v>
      </c>
      <c r="L258" s="220">
        <v>136133552</v>
      </c>
      <c r="M258" s="206">
        <v>44833578</v>
      </c>
      <c r="N258" s="206">
        <v>91299975</v>
      </c>
      <c r="O258" s="206">
        <v>179753809</v>
      </c>
      <c r="P258" s="206">
        <v>24450342</v>
      </c>
      <c r="Q258" s="206">
        <v>25307795</v>
      </c>
      <c r="R258" s="206">
        <v>20467189</v>
      </c>
      <c r="S258" s="105">
        <v>1</v>
      </c>
      <c r="T258" s="254">
        <f t="shared" ref="T258:T321" si="116">IF(S258=1, 100, 0)</f>
        <v>100</v>
      </c>
      <c r="U258" s="107">
        <f t="shared" ref="U258:U321" si="117">T258*0.01</f>
        <v>1</v>
      </c>
      <c r="V258" s="45">
        <v>31</v>
      </c>
      <c r="W258" s="45">
        <v>32</v>
      </c>
      <c r="X258" s="255">
        <f t="shared" ref="X258:X321" si="118">W258-V258</f>
        <v>1</v>
      </c>
      <c r="Y258" s="255">
        <f t="shared" ref="Y258:Y321" si="119">AD258-AC258</f>
        <v>26</v>
      </c>
      <c r="Z258" s="256">
        <f t="shared" ref="Z258:Z321" si="120">IF(Y258&lt;1, X258*100, (X258/Y258)*100)</f>
        <v>3.8461538461538463</v>
      </c>
      <c r="AA258" s="257">
        <f t="shared" ref="AA258:AA321" si="121">IF(Z258&lt;10, 20, IF(Z258&lt;20, 40, IF(Z258&lt;30, 60, IF(Z258&lt;40, 80, IF(Z258&gt;=40, 100)))))</f>
        <v>20</v>
      </c>
      <c r="AB258" s="116">
        <f t="shared" ref="AB258:AB321" si="122">AA258*0.01</f>
        <v>0.2</v>
      </c>
      <c r="AC258" s="123">
        <v>366</v>
      </c>
      <c r="AD258" s="123">
        <v>392</v>
      </c>
      <c r="AE258" s="257">
        <f t="shared" ref="AE258:AE321" si="123">AD258-AC258</f>
        <v>26</v>
      </c>
      <c r="AF258" s="258">
        <f t="shared" ref="AF258:AF321" si="124">(AE258/AC258)*100</f>
        <v>7.1038251366120218</v>
      </c>
      <c r="AG258" s="257">
        <f t="shared" ref="AG258:AG321" si="125">IF(AF258&lt;0, 20, IF(AF258&lt;0.5, 40, IF(AF258&lt;1.5, 60, IF(AF258&lt;2.5, 80, IF(AF258&gt;=2.5, 100)))))</f>
        <v>100</v>
      </c>
      <c r="AH258" s="124">
        <f t="shared" ref="AH258:AH321" si="126">AG258*0.04</f>
        <v>4</v>
      </c>
      <c r="AI258" s="105">
        <v>0</v>
      </c>
      <c r="AJ258" s="105">
        <v>0</v>
      </c>
      <c r="AK258" s="105">
        <v>0</v>
      </c>
      <c r="AL258" s="105">
        <v>0</v>
      </c>
      <c r="AM258" s="260">
        <f t="shared" ref="AM258:AM321" si="127">SUM(AI258:AL258)</f>
        <v>0</v>
      </c>
      <c r="AN258" s="260">
        <f t="shared" ref="AN258:AN321" si="128">IF(AM258=4, 100, IF(AM258=3, 80, IF(AM258=2, 60, IF(AM258=1, 40, 20))))</f>
        <v>20</v>
      </c>
      <c r="AO258" s="130">
        <f t="shared" ref="AO258:AO321" si="129">AN258*0.01</f>
        <v>0.2</v>
      </c>
      <c r="AP258" s="106">
        <v>23224</v>
      </c>
      <c r="AQ258" s="261">
        <f t="shared" si="113"/>
        <v>0.11346941683100693</v>
      </c>
      <c r="AR258" s="261">
        <f t="shared" ref="AR258:AR321" si="130">IF((25+((75*(AQ258-0)/(5-0))))&gt;100, 100, IF((25+((75*(AQ258-0)/(5-0))))&lt;25, 25, (25+((75*(AQ258-0)/(5-0))))))</f>
        <v>26.702041252465104</v>
      </c>
      <c r="AS258" s="107">
        <f t="shared" ref="AS258:AS321" si="131">AR258*0.04</f>
        <v>1.0680816500986041</v>
      </c>
      <c r="AT258" s="105">
        <v>0</v>
      </c>
      <c r="AU258" s="105">
        <v>0</v>
      </c>
      <c r="AV258" s="262">
        <f t="shared" ref="AV258:AV321" si="132">IF((AT258+AU258)=2, 50, IF((AT258+AU258)=1, 25, 0))</f>
        <v>0</v>
      </c>
      <c r="AW258" s="134">
        <v>6</v>
      </c>
      <c r="AX258" s="447" t="s">
        <v>3757</v>
      </c>
      <c r="AY258" s="262">
        <f t="shared" ref="AY258:AY321" si="133">IF(AW258&gt;=3, 50, IF(AW258&gt;=1, 25, 0))</f>
        <v>50</v>
      </c>
      <c r="AZ258" s="262">
        <f t="shared" ref="AZ258:AZ321" si="134">AV258+AY258</f>
        <v>50</v>
      </c>
      <c r="BA258" s="38">
        <f t="shared" ref="BA258:BA321" si="135">AZ258*0.01</f>
        <v>0.5</v>
      </c>
      <c r="BB258" s="105">
        <v>0</v>
      </c>
      <c r="BC258" s="105">
        <v>0</v>
      </c>
      <c r="BD258" s="105">
        <v>0</v>
      </c>
      <c r="BE258" s="262">
        <f t="shared" ref="BE258:BE321" si="136">SUM(BB258:BD258)</f>
        <v>0</v>
      </c>
      <c r="BF258" s="262">
        <f t="shared" ref="BF258:BF321" si="137">IF(BE258&gt;=1, 100, 50)</f>
        <v>50</v>
      </c>
      <c r="BG258" s="38">
        <f t="shared" ref="BG258:BG321" si="138">BF258*0.01</f>
        <v>0.5</v>
      </c>
      <c r="BH258" s="255">
        <f t="shared" ref="BH258:BH321" si="139">Q258-R258</f>
        <v>4840606</v>
      </c>
      <c r="BI258" s="256">
        <f t="shared" ref="BI258:BI321" si="140">BH258/O258*100</f>
        <v>2.6929087216171315</v>
      </c>
      <c r="BJ258" s="256">
        <f t="shared" si="114"/>
        <v>45.196815412128487</v>
      </c>
      <c r="BK258" s="55">
        <f t="shared" ref="BK258:BK321" si="141">BJ258*0.02</f>
        <v>0.90393630824256976</v>
      </c>
      <c r="BL258" s="137">
        <f t="shared" si="115"/>
        <v>8.3720179583411731</v>
      </c>
    </row>
    <row r="259" spans="1:64" x14ac:dyDescent="0.6">
      <c r="A259" s="214" t="s">
        <v>469</v>
      </c>
      <c r="B259" s="13" t="s">
        <v>2239</v>
      </c>
      <c r="C259" s="219" t="s">
        <v>889</v>
      </c>
      <c r="D259" s="216" t="s">
        <v>285</v>
      </c>
      <c r="E259" s="217" t="s">
        <v>112</v>
      </c>
      <c r="F259" s="217" t="s">
        <v>167</v>
      </c>
      <c r="G259" s="218">
        <v>38188</v>
      </c>
      <c r="H259" s="217" t="s">
        <v>830</v>
      </c>
      <c r="I259" s="217" t="s">
        <v>747</v>
      </c>
      <c r="J259" s="217" t="s">
        <v>1221</v>
      </c>
      <c r="K259" s="217" t="s">
        <v>91</v>
      </c>
      <c r="L259" s="220">
        <v>132073637</v>
      </c>
      <c r="M259" s="206">
        <v>20552807</v>
      </c>
      <c r="N259" s="206">
        <v>111520830</v>
      </c>
      <c r="O259" s="206">
        <v>42568935</v>
      </c>
      <c r="P259" s="206">
        <v>2855339</v>
      </c>
      <c r="Q259" s="206">
        <v>4551046</v>
      </c>
      <c r="R259" s="206">
        <v>3850592</v>
      </c>
      <c r="S259" s="105">
        <v>1</v>
      </c>
      <c r="T259" s="254">
        <f t="shared" si="116"/>
        <v>100</v>
      </c>
      <c r="U259" s="107">
        <f t="shared" si="117"/>
        <v>1</v>
      </c>
      <c r="V259" s="45">
        <v>34</v>
      </c>
      <c r="W259" s="45">
        <v>39</v>
      </c>
      <c r="X259" s="255">
        <f t="shared" si="118"/>
        <v>5</v>
      </c>
      <c r="Y259" s="255">
        <f t="shared" si="119"/>
        <v>8</v>
      </c>
      <c r="Z259" s="256">
        <f t="shared" si="120"/>
        <v>62.5</v>
      </c>
      <c r="AA259" s="257">
        <f t="shared" si="121"/>
        <v>100</v>
      </c>
      <c r="AB259" s="116">
        <f t="shared" si="122"/>
        <v>1</v>
      </c>
      <c r="AC259" s="123">
        <v>171</v>
      </c>
      <c r="AD259" s="123">
        <v>179</v>
      </c>
      <c r="AE259" s="257">
        <f t="shared" si="123"/>
        <v>8</v>
      </c>
      <c r="AF259" s="258">
        <f t="shared" si="124"/>
        <v>4.6783625730994149</v>
      </c>
      <c r="AG259" s="257">
        <f t="shared" si="125"/>
        <v>100</v>
      </c>
      <c r="AH259" s="124">
        <f t="shared" si="126"/>
        <v>4</v>
      </c>
      <c r="AI259" s="105">
        <v>0</v>
      </c>
      <c r="AJ259" s="105">
        <v>0</v>
      </c>
      <c r="AK259" s="105">
        <v>0</v>
      </c>
      <c r="AL259" s="105">
        <v>0</v>
      </c>
      <c r="AM259" s="260">
        <f t="shared" si="127"/>
        <v>0</v>
      </c>
      <c r="AN259" s="260">
        <f t="shared" si="128"/>
        <v>20</v>
      </c>
      <c r="AO259" s="130">
        <f t="shared" si="129"/>
        <v>0.2</v>
      </c>
      <c r="AP259" s="106">
        <v>63000</v>
      </c>
      <c r="AQ259" s="261">
        <f t="shared" ref="AQ259:AQ322" si="142">(AP259/R259)*100</f>
        <v>1.6361120575745236</v>
      </c>
      <c r="AR259" s="261">
        <f t="shared" si="130"/>
        <v>49.541680863617856</v>
      </c>
      <c r="AS259" s="107">
        <f t="shared" si="131"/>
        <v>1.9816672345447144</v>
      </c>
      <c r="AT259" s="105">
        <v>0</v>
      </c>
      <c r="AU259" s="105">
        <v>1</v>
      </c>
      <c r="AV259" s="262">
        <f t="shared" si="132"/>
        <v>25</v>
      </c>
      <c r="AW259" s="134">
        <v>0</v>
      </c>
      <c r="AX259" s="134"/>
      <c r="AY259" s="262">
        <f t="shared" si="133"/>
        <v>0</v>
      </c>
      <c r="AZ259" s="262">
        <f t="shared" si="134"/>
        <v>25</v>
      </c>
      <c r="BA259" s="38">
        <f t="shared" si="135"/>
        <v>0.25</v>
      </c>
      <c r="BB259" s="105">
        <v>0</v>
      </c>
      <c r="BC259" s="105">
        <v>0</v>
      </c>
      <c r="BD259" s="105">
        <v>0</v>
      </c>
      <c r="BE259" s="262">
        <f t="shared" si="136"/>
        <v>0</v>
      </c>
      <c r="BF259" s="262">
        <f t="shared" si="137"/>
        <v>50</v>
      </c>
      <c r="BG259" s="38">
        <f t="shared" si="138"/>
        <v>0.5</v>
      </c>
      <c r="BH259" s="255">
        <f t="shared" si="139"/>
        <v>700454</v>
      </c>
      <c r="BI259" s="256">
        <f t="shared" si="140"/>
        <v>1.6454581257435732</v>
      </c>
      <c r="BJ259" s="256">
        <f t="shared" ref="BJ259:BJ322" si="143">IF((25+((75*(BI259-0))/(10-0)))&gt;100, 100, IF((25+((75*(BI259-0))/(10-0)))&lt;25, 25, (25+((75*(BI259-0))/(10-0)))))</f>
        <v>37.340935943076801</v>
      </c>
      <c r="BK259" s="55">
        <f t="shared" si="141"/>
        <v>0.74681871886153606</v>
      </c>
      <c r="BL259" s="137">
        <f t="shared" ref="BL259:BL322" si="144">U259+AB259+AH259+AO259+AS259+BA259+BG259+BK259</f>
        <v>9.678485953406252</v>
      </c>
    </row>
    <row r="260" spans="1:64" x14ac:dyDescent="0.6">
      <c r="A260" s="214" t="s">
        <v>85</v>
      </c>
      <c r="B260" s="13" t="s">
        <v>2240</v>
      </c>
      <c r="C260" s="219" t="s">
        <v>901</v>
      </c>
      <c r="D260" s="216" t="s">
        <v>203</v>
      </c>
      <c r="E260" s="217" t="s">
        <v>188</v>
      </c>
      <c r="F260" s="217" t="s">
        <v>243</v>
      </c>
      <c r="G260" s="218">
        <v>37536</v>
      </c>
      <c r="H260" s="217" t="s">
        <v>830</v>
      </c>
      <c r="I260" s="217" t="s">
        <v>1883</v>
      </c>
      <c r="J260" s="217" t="s">
        <v>1136</v>
      </c>
      <c r="K260" s="217" t="s">
        <v>91</v>
      </c>
      <c r="L260" s="220">
        <v>941352875</v>
      </c>
      <c r="M260" s="206">
        <v>201162049</v>
      </c>
      <c r="N260" s="206">
        <v>740190827</v>
      </c>
      <c r="O260" s="206">
        <v>1235837871</v>
      </c>
      <c r="P260" s="206">
        <v>117135007</v>
      </c>
      <c r="Q260" s="206">
        <v>105510103</v>
      </c>
      <c r="R260" s="206">
        <v>81809433</v>
      </c>
      <c r="S260" s="105">
        <v>1</v>
      </c>
      <c r="T260" s="254">
        <f t="shared" si="116"/>
        <v>100</v>
      </c>
      <c r="U260" s="107">
        <f t="shared" si="117"/>
        <v>1</v>
      </c>
      <c r="V260" s="45">
        <v>7</v>
      </c>
      <c r="W260" s="45">
        <f>8</f>
        <v>8</v>
      </c>
      <c r="X260" s="255">
        <f t="shared" si="118"/>
        <v>1</v>
      </c>
      <c r="Y260" s="255">
        <f t="shared" si="119"/>
        <v>2</v>
      </c>
      <c r="Z260" s="256">
        <f t="shared" si="120"/>
        <v>50</v>
      </c>
      <c r="AA260" s="257">
        <f t="shared" si="121"/>
        <v>100</v>
      </c>
      <c r="AB260" s="116">
        <f t="shared" si="122"/>
        <v>1</v>
      </c>
      <c r="AC260" s="123">
        <v>254</v>
      </c>
      <c r="AD260" s="123">
        <v>256</v>
      </c>
      <c r="AE260" s="257">
        <f t="shared" si="123"/>
        <v>2</v>
      </c>
      <c r="AF260" s="258">
        <f t="shared" si="124"/>
        <v>0.78740157480314954</v>
      </c>
      <c r="AG260" s="257">
        <f t="shared" si="125"/>
        <v>60</v>
      </c>
      <c r="AH260" s="124">
        <f t="shared" si="126"/>
        <v>2.4</v>
      </c>
      <c r="AI260" s="105">
        <v>0</v>
      </c>
      <c r="AJ260" s="105">
        <v>0</v>
      </c>
      <c r="AK260" s="105">
        <v>0</v>
      </c>
      <c r="AL260" s="105">
        <v>0</v>
      </c>
      <c r="AM260" s="260">
        <f t="shared" si="127"/>
        <v>0</v>
      </c>
      <c r="AN260" s="260">
        <f t="shared" si="128"/>
        <v>20</v>
      </c>
      <c r="AO260" s="130">
        <f t="shared" si="129"/>
        <v>0.2</v>
      </c>
      <c r="AP260" s="106">
        <v>129999</v>
      </c>
      <c r="AQ260" s="261">
        <f t="shared" si="142"/>
        <v>0.15890465834178316</v>
      </c>
      <c r="AR260" s="261">
        <f t="shared" si="130"/>
        <v>27.383569875126746</v>
      </c>
      <c r="AS260" s="107">
        <f t="shared" si="131"/>
        <v>1.0953427950050698</v>
      </c>
      <c r="AT260" s="105">
        <v>0</v>
      </c>
      <c r="AU260" s="105">
        <v>1</v>
      </c>
      <c r="AV260" s="262">
        <f t="shared" si="132"/>
        <v>25</v>
      </c>
      <c r="AW260" s="134">
        <v>0</v>
      </c>
      <c r="AX260" s="134"/>
      <c r="AY260" s="262">
        <f t="shared" si="133"/>
        <v>0</v>
      </c>
      <c r="AZ260" s="262">
        <f t="shared" si="134"/>
        <v>25</v>
      </c>
      <c r="BA260" s="38">
        <f t="shared" si="135"/>
        <v>0.25</v>
      </c>
      <c r="BB260" s="105">
        <v>0</v>
      </c>
      <c r="BC260" s="105">
        <v>0</v>
      </c>
      <c r="BD260" s="105">
        <v>0</v>
      </c>
      <c r="BE260" s="262">
        <f t="shared" si="136"/>
        <v>0</v>
      </c>
      <c r="BF260" s="262">
        <f t="shared" si="137"/>
        <v>50</v>
      </c>
      <c r="BG260" s="38">
        <f t="shared" si="138"/>
        <v>0.5</v>
      </c>
      <c r="BH260" s="255">
        <f t="shared" si="139"/>
        <v>23700670</v>
      </c>
      <c r="BI260" s="256">
        <f t="shared" si="140"/>
        <v>1.9177814951424159</v>
      </c>
      <c r="BJ260" s="256">
        <f t="shared" si="143"/>
        <v>39.383361213568122</v>
      </c>
      <c r="BK260" s="55">
        <f t="shared" si="141"/>
        <v>0.78766722427136249</v>
      </c>
      <c r="BL260" s="137">
        <f t="shared" si="144"/>
        <v>7.2330100192764322</v>
      </c>
    </row>
    <row r="261" spans="1:64" x14ac:dyDescent="0.6">
      <c r="A261" s="214" t="s">
        <v>797</v>
      </c>
      <c r="B261" s="13" t="s">
        <v>2241</v>
      </c>
      <c r="C261" s="219" t="s">
        <v>939</v>
      </c>
      <c r="D261" s="216" t="s">
        <v>191</v>
      </c>
      <c r="E261" s="217" t="s">
        <v>1091</v>
      </c>
      <c r="F261" s="217" t="s">
        <v>216</v>
      </c>
      <c r="G261" s="218">
        <v>32283</v>
      </c>
      <c r="H261" s="217" t="s">
        <v>830</v>
      </c>
      <c r="I261" s="217" t="s">
        <v>722</v>
      </c>
      <c r="J261" s="217" t="s">
        <v>1219</v>
      </c>
      <c r="K261" s="217" t="s">
        <v>91</v>
      </c>
      <c r="L261" s="220">
        <v>112694189</v>
      </c>
      <c r="M261" s="206">
        <v>32982274</v>
      </c>
      <c r="N261" s="206">
        <v>79711915</v>
      </c>
      <c r="O261" s="206">
        <v>60181807</v>
      </c>
      <c r="P261" s="206">
        <v>8873367</v>
      </c>
      <c r="Q261" s="206">
        <v>5968958</v>
      </c>
      <c r="R261" s="206">
        <v>10884761</v>
      </c>
      <c r="S261" s="105">
        <v>1</v>
      </c>
      <c r="T261" s="254">
        <f t="shared" si="116"/>
        <v>100</v>
      </c>
      <c r="U261" s="107">
        <f t="shared" si="117"/>
        <v>1</v>
      </c>
      <c r="V261" s="45">
        <v>31</v>
      </c>
      <c r="W261" s="45">
        <v>33</v>
      </c>
      <c r="X261" s="255">
        <f t="shared" si="118"/>
        <v>2</v>
      </c>
      <c r="Y261" s="255">
        <f t="shared" si="119"/>
        <v>6</v>
      </c>
      <c r="Z261" s="256">
        <f t="shared" si="120"/>
        <v>33.333333333333329</v>
      </c>
      <c r="AA261" s="257">
        <f t="shared" si="121"/>
        <v>80</v>
      </c>
      <c r="AB261" s="116">
        <f t="shared" si="122"/>
        <v>0.8</v>
      </c>
      <c r="AC261" s="123">
        <v>120</v>
      </c>
      <c r="AD261" s="123">
        <v>126</v>
      </c>
      <c r="AE261" s="257">
        <f t="shared" si="123"/>
        <v>6</v>
      </c>
      <c r="AF261" s="258">
        <f t="shared" si="124"/>
        <v>5</v>
      </c>
      <c r="AG261" s="257">
        <f t="shared" si="125"/>
        <v>100</v>
      </c>
      <c r="AH261" s="124">
        <f t="shared" si="126"/>
        <v>4</v>
      </c>
      <c r="AI261" s="105">
        <v>0</v>
      </c>
      <c r="AJ261" s="105">
        <v>0</v>
      </c>
      <c r="AK261" s="105">
        <v>0</v>
      </c>
      <c r="AL261" s="105">
        <v>0</v>
      </c>
      <c r="AM261" s="260">
        <f t="shared" si="127"/>
        <v>0</v>
      </c>
      <c r="AN261" s="260">
        <f t="shared" si="128"/>
        <v>20</v>
      </c>
      <c r="AO261" s="130">
        <f t="shared" si="129"/>
        <v>0.2</v>
      </c>
      <c r="AP261" s="106">
        <v>355026</v>
      </c>
      <c r="AQ261" s="261">
        <f t="shared" si="142"/>
        <v>3.2616793331521019</v>
      </c>
      <c r="AR261" s="261">
        <f t="shared" si="130"/>
        <v>73.925189997281535</v>
      </c>
      <c r="AS261" s="107">
        <f t="shared" si="131"/>
        <v>2.9570075998912615</v>
      </c>
      <c r="AT261" s="105">
        <v>0</v>
      </c>
      <c r="AU261" s="105">
        <v>1</v>
      </c>
      <c r="AV261" s="262">
        <f t="shared" si="132"/>
        <v>25</v>
      </c>
      <c r="AW261" s="134">
        <v>0</v>
      </c>
      <c r="AX261" s="134"/>
      <c r="AY261" s="262">
        <f t="shared" si="133"/>
        <v>0</v>
      </c>
      <c r="AZ261" s="262">
        <f t="shared" si="134"/>
        <v>25</v>
      </c>
      <c r="BA261" s="38">
        <f t="shared" si="135"/>
        <v>0.25</v>
      </c>
      <c r="BB261" s="105">
        <v>0</v>
      </c>
      <c r="BC261" s="105">
        <v>0</v>
      </c>
      <c r="BD261" s="105">
        <v>0</v>
      </c>
      <c r="BE261" s="262">
        <f t="shared" si="136"/>
        <v>0</v>
      </c>
      <c r="BF261" s="262">
        <f t="shared" si="137"/>
        <v>50</v>
      </c>
      <c r="BG261" s="38">
        <f t="shared" si="138"/>
        <v>0.5</v>
      </c>
      <c r="BH261" s="255">
        <f t="shared" si="139"/>
        <v>-4915803</v>
      </c>
      <c r="BI261" s="256">
        <f t="shared" si="140"/>
        <v>-8.1682542366998057</v>
      </c>
      <c r="BJ261" s="256">
        <f t="shared" si="143"/>
        <v>25</v>
      </c>
      <c r="BK261" s="55">
        <f t="shared" si="141"/>
        <v>0.5</v>
      </c>
      <c r="BL261" s="137">
        <f t="shared" si="144"/>
        <v>10.207007599891261</v>
      </c>
    </row>
    <row r="262" spans="1:64" x14ac:dyDescent="0.6">
      <c r="A262" s="214" t="s">
        <v>1884</v>
      </c>
      <c r="B262" s="13" t="s">
        <v>2242</v>
      </c>
      <c r="C262" s="219" t="s">
        <v>1885</v>
      </c>
      <c r="D262" s="14" t="s">
        <v>285</v>
      </c>
      <c r="E262" s="217" t="s">
        <v>534</v>
      </c>
      <c r="F262" s="217" t="s">
        <v>1886</v>
      </c>
      <c r="G262" s="218">
        <v>39346</v>
      </c>
      <c r="H262" s="217" t="s">
        <v>830</v>
      </c>
      <c r="I262" s="217" t="s">
        <v>1887</v>
      </c>
      <c r="J262" s="1" t="s">
        <v>3758</v>
      </c>
      <c r="K262" s="217" t="s">
        <v>91</v>
      </c>
      <c r="L262" s="220">
        <v>7391490000</v>
      </c>
      <c r="M262" s="206">
        <v>2951621000</v>
      </c>
      <c r="N262" s="206">
        <v>4439869000</v>
      </c>
      <c r="O262" s="206">
        <v>5700446000</v>
      </c>
      <c r="P262" s="206">
        <v>784634000</v>
      </c>
      <c r="Q262" s="206">
        <v>676532000</v>
      </c>
      <c r="R262" s="206">
        <v>676532000</v>
      </c>
      <c r="S262" s="105">
        <v>1</v>
      </c>
      <c r="T262" s="254">
        <f t="shared" si="116"/>
        <v>100</v>
      </c>
      <c r="U262" s="107">
        <f t="shared" si="117"/>
        <v>1</v>
      </c>
      <c r="V262" s="45">
        <f>86+11</f>
        <v>97</v>
      </c>
      <c r="W262" s="45">
        <f>86+16</f>
        <v>102</v>
      </c>
      <c r="X262" s="255">
        <f t="shared" si="118"/>
        <v>5</v>
      </c>
      <c r="Y262" s="255">
        <f t="shared" si="119"/>
        <v>13</v>
      </c>
      <c r="Z262" s="256">
        <f t="shared" si="120"/>
        <v>38.461538461538467</v>
      </c>
      <c r="AA262" s="257">
        <f t="shared" si="121"/>
        <v>80</v>
      </c>
      <c r="AB262" s="116">
        <f t="shared" si="122"/>
        <v>0.8</v>
      </c>
      <c r="AC262" s="123">
        <v>821</v>
      </c>
      <c r="AD262" s="123">
        <v>834</v>
      </c>
      <c r="AE262" s="257">
        <f t="shared" si="123"/>
        <v>13</v>
      </c>
      <c r="AF262" s="258">
        <f t="shared" si="124"/>
        <v>1.5834348355663823</v>
      </c>
      <c r="AG262" s="257">
        <f t="shared" si="125"/>
        <v>80</v>
      </c>
      <c r="AH262" s="124">
        <f t="shared" si="126"/>
        <v>3.2</v>
      </c>
      <c r="AI262" s="105">
        <v>0</v>
      </c>
      <c r="AJ262" s="105">
        <v>0</v>
      </c>
      <c r="AK262" s="105">
        <v>0</v>
      </c>
      <c r="AL262" s="105">
        <v>0</v>
      </c>
      <c r="AM262" s="260">
        <f t="shared" si="127"/>
        <v>0</v>
      </c>
      <c r="AN262" s="260">
        <f t="shared" si="128"/>
        <v>20</v>
      </c>
      <c r="AO262" s="130">
        <f t="shared" si="129"/>
        <v>0.2</v>
      </c>
      <c r="AP262" s="440">
        <v>0</v>
      </c>
      <c r="AQ262" s="261">
        <f t="shared" si="142"/>
        <v>0</v>
      </c>
      <c r="AR262" s="261">
        <f t="shared" si="130"/>
        <v>25</v>
      </c>
      <c r="AS262" s="107">
        <f t="shared" si="131"/>
        <v>1</v>
      </c>
      <c r="AT262" s="105">
        <v>0</v>
      </c>
      <c r="AU262" s="105">
        <v>1</v>
      </c>
      <c r="AV262" s="262">
        <f t="shared" si="132"/>
        <v>25</v>
      </c>
      <c r="AW262" s="134">
        <v>3</v>
      </c>
      <c r="AX262" s="447" t="s">
        <v>3759</v>
      </c>
      <c r="AY262" s="262">
        <f t="shared" si="133"/>
        <v>50</v>
      </c>
      <c r="AZ262" s="262">
        <f t="shared" si="134"/>
        <v>75</v>
      </c>
      <c r="BA262" s="38">
        <f t="shared" si="135"/>
        <v>0.75</v>
      </c>
      <c r="BB262" s="105">
        <v>0</v>
      </c>
      <c r="BC262" s="105">
        <v>0</v>
      </c>
      <c r="BD262" s="105">
        <v>0</v>
      </c>
      <c r="BE262" s="262">
        <f t="shared" si="136"/>
        <v>0</v>
      </c>
      <c r="BF262" s="262">
        <f t="shared" si="137"/>
        <v>50</v>
      </c>
      <c r="BG262" s="38">
        <f t="shared" si="138"/>
        <v>0.5</v>
      </c>
      <c r="BH262" s="255">
        <f t="shared" si="139"/>
        <v>0</v>
      </c>
      <c r="BI262" s="256">
        <f t="shared" si="140"/>
        <v>0</v>
      </c>
      <c r="BJ262" s="256">
        <f t="shared" si="143"/>
        <v>25</v>
      </c>
      <c r="BK262" s="55">
        <f t="shared" si="141"/>
        <v>0.5</v>
      </c>
      <c r="BL262" s="137">
        <f t="shared" si="144"/>
        <v>7.95</v>
      </c>
    </row>
    <row r="263" spans="1:64" x14ac:dyDescent="0.6">
      <c r="A263" s="214" t="s">
        <v>1889</v>
      </c>
      <c r="B263" s="13" t="s">
        <v>2243</v>
      </c>
      <c r="C263" s="219" t="s">
        <v>1890</v>
      </c>
      <c r="D263" s="14" t="s">
        <v>202</v>
      </c>
      <c r="E263" s="217" t="s">
        <v>606</v>
      </c>
      <c r="F263" s="217" t="s">
        <v>1891</v>
      </c>
      <c r="G263" s="218">
        <v>32638</v>
      </c>
      <c r="H263" s="217" t="s">
        <v>830</v>
      </c>
      <c r="I263" s="217" t="s">
        <v>1892</v>
      </c>
      <c r="J263" s="1" t="s">
        <v>3760</v>
      </c>
      <c r="K263" s="217" t="s">
        <v>50</v>
      </c>
      <c r="L263" s="220">
        <v>211309948</v>
      </c>
      <c r="M263" s="206">
        <v>154647755</v>
      </c>
      <c r="N263" s="206">
        <v>56662193</v>
      </c>
      <c r="O263" s="206">
        <v>160154490</v>
      </c>
      <c r="P263" s="206">
        <v>3112928</v>
      </c>
      <c r="Q263" s="206">
        <v>4592986</v>
      </c>
      <c r="R263" s="206">
        <v>1794177</v>
      </c>
      <c r="S263" s="105">
        <v>1</v>
      </c>
      <c r="T263" s="254">
        <f t="shared" si="116"/>
        <v>100</v>
      </c>
      <c r="U263" s="107">
        <f t="shared" si="117"/>
        <v>1</v>
      </c>
      <c r="V263" s="45">
        <v>1</v>
      </c>
      <c r="W263" s="45">
        <v>1</v>
      </c>
      <c r="X263" s="255">
        <f t="shared" si="118"/>
        <v>0</v>
      </c>
      <c r="Y263" s="255">
        <f t="shared" si="119"/>
        <v>14</v>
      </c>
      <c r="Z263" s="256">
        <f t="shared" si="120"/>
        <v>0</v>
      </c>
      <c r="AA263" s="257">
        <f t="shared" si="121"/>
        <v>20</v>
      </c>
      <c r="AB263" s="116">
        <f t="shared" si="122"/>
        <v>0.2</v>
      </c>
      <c r="AC263" s="123">
        <v>348</v>
      </c>
      <c r="AD263" s="123">
        <v>362</v>
      </c>
      <c r="AE263" s="257">
        <f t="shared" si="123"/>
        <v>14</v>
      </c>
      <c r="AF263" s="258">
        <f t="shared" si="124"/>
        <v>4.0229885057471266</v>
      </c>
      <c r="AG263" s="257">
        <f t="shared" si="125"/>
        <v>100</v>
      </c>
      <c r="AH263" s="124">
        <f t="shared" si="126"/>
        <v>4</v>
      </c>
      <c r="AI263" s="105">
        <v>0</v>
      </c>
      <c r="AJ263" s="105">
        <v>0</v>
      </c>
      <c r="AK263" s="105">
        <v>0</v>
      </c>
      <c r="AL263" s="105">
        <v>0</v>
      </c>
      <c r="AM263" s="260">
        <f t="shared" si="127"/>
        <v>0</v>
      </c>
      <c r="AN263" s="260">
        <f t="shared" si="128"/>
        <v>20</v>
      </c>
      <c r="AO263" s="130">
        <f t="shared" si="129"/>
        <v>0.2</v>
      </c>
      <c r="AP263" s="440">
        <v>0</v>
      </c>
      <c r="AQ263" s="261">
        <f t="shared" si="142"/>
        <v>0</v>
      </c>
      <c r="AR263" s="261">
        <f t="shared" si="130"/>
        <v>25</v>
      </c>
      <c r="AS263" s="107">
        <f t="shared" si="131"/>
        <v>1</v>
      </c>
      <c r="AT263" s="105">
        <v>0</v>
      </c>
      <c r="AU263" s="105">
        <v>0</v>
      </c>
      <c r="AV263" s="262">
        <f t="shared" si="132"/>
        <v>0</v>
      </c>
      <c r="AW263" s="134">
        <v>0</v>
      </c>
      <c r="AX263" s="134"/>
      <c r="AY263" s="262">
        <f t="shared" si="133"/>
        <v>0</v>
      </c>
      <c r="AZ263" s="262">
        <f t="shared" si="134"/>
        <v>0</v>
      </c>
      <c r="BA263" s="38">
        <f t="shared" si="135"/>
        <v>0</v>
      </c>
      <c r="BB263" s="105">
        <v>0</v>
      </c>
      <c r="BC263" s="105">
        <v>0</v>
      </c>
      <c r="BD263" s="105">
        <v>0</v>
      </c>
      <c r="BE263" s="262">
        <f t="shared" si="136"/>
        <v>0</v>
      </c>
      <c r="BF263" s="262">
        <f t="shared" si="137"/>
        <v>50</v>
      </c>
      <c r="BG263" s="38">
        <f t="shared" si="138"/>
        <v>0.5</v>
      </c>
      <c r="BH263" s="255">
        <f t="shared" si="139"/>
        <v>2798809</v>
      </c>
      <c r="BI263" s="256">
        <f t="shared" si="140"/>
        <v>1.7475682386425755</v>
      </c>
      <c r="BJ263" s="256">
        <f t="shared" si="143"/>
        <v>38.106761789819316</v>
      </c>
      <c r="BK263" s="55">
        <f t="shared" si="141"/>
        <v>0.76213523579638631</v>
      </c>
      <c r="BL263" s="137">
        <f t="shared" si="144"/>
        <v>7.662135235796387</v>
      </c>
    </row>
    <row r="264" spans="1:64" x14ac:dyDescent="0.6">
      <c r="A264" s="214" t="s">
        <v>740</v>
      </c>
      <c r="B264" s="13" t="s">
        <v>2244</v>
      </c>
      <c r="C264" s="219" t="s">
        <v>455</v>
      </c>
      <c r="D264" s="216" t="s">
        <v>191</v>
      </c>
      <c r="E264" s="217" t="s">
        <v>554</v>
      </c>
      <c r="F264" s="217" t="s">
        <v>1010</v>
      </c>
      <c r="G264" s="218">
        <v>35423</v>
      </c>
      <c r="H264" s="217" t="s">
        <v>830</v>
      </c>
      <c r="I264" s="217" t="s">
        <v>399</v>
      </c>
      <c r="J264" s="217" t="s">
        <v>1126</v>
      </c>
      <c r="K264" s="217" t="s">
        <v>91</v>
      </c>
      <c r="L264" s="220">
        <v>557374543</v>
      </c>
      <c r="M264" s="206">
        <v>67942165</v>
      </c>
      <c r="N264" s="206">
        <v>489432378</v>
      </c>
      <c r="O264" s="206">
        <v>373267542</v>
      </c>
      <c r="P264" s="206">
        <v>36440646</v>
      </c>
      <c r="Q264" s="206">
        <v>14928841</v>
      </c>
      <c r="R264" s="206">
        <v>9950190</v>
      </c>
      <c r="S264" s="105">
        <v>1</v>
      </c>
      <c r="T264" s="254">
        <f t="shared" si="116"/>
        <v>100</v>
      </c>
      <c r="U264" s="107">
        <f t="shared" si="117"/>
        <v>1</v>
      </c>
      <c r="V264" s="45">
        <v>84</v>
      </c>
      <c r="W264" s="45">
        <f>75+8</f>
        <v>83</v>
      </c>
      <c r="X264" s="255">
        <f t="shared" si="118"/>
        <v>-1</v>
      </c>
      <c r="Y264" s="255">
        <f t="shared" si="119"/>
        <v>8</v>
      </c>
      <c r="Z264" s="256">
        <f t="shared" si="120"/>
        <v>-12.5</v>
      </c>
      <c r="AA264" s="257">
        <f t="shared" si="121"/>
        <v>20</v>
      </c>
      <c r="AB264" s="116">
        <f t="shared" si="122"/>
        <v>0.2</v>
      </c>
      <c r="AC264" s="123">
        <v>208</v>
      </c>
      <c r="AD264" s="123">
        <v>216</v>
      </c>
      <c r="AE264" s="257">
        <f t="shared" si="123"/>
        <v>8</v>
      </c>
      <c r="AF264" s="258">
        <f t="shared" si="124"/>
        <v>3.8461538461538463</v>
      </c>
      <c r="AG264" s="257">
        <f t="shared" si="125"/>
        <v>100</v>
      </c>
      <c r="AH264" s="124">
        <f t="shared" si="126"/>
        <v>4</v>
      </c>
      <c r="AI264" s="105">
        <v>0</v>
      </c>
      <c r="AJ264" s="105">
        <v>0</v>
      </c>
      <c r="AK264" s="105">
        <v>0</v>
      </c>
      <c r="AL264" s="105">
        <v>0</v>
      </c>
      <c r="AM264" s="260">
        <f t="shared" si="127"/>
        <v>0</v>
      </c>
      <c r="AN264" s="260">
        <f t="shared" si="128"/>
        <v>20</v>
      </c>
      <c r="AO264" s="130">
        <f t="shared" si="129"/>
        <v>0.2</v>
      </c>
      <c r="AP264" s="106">
        <v>147670.64199999999</v>
      </c>
      <c r="AQ264" s="261">
        <f t="shared" si="142"/>
        <v>1.4840987157029162</v>
      </c>
      <c r="AR264" s="261">
        <f t="shared" si="130"/>
        <v>47.261480735543742</v>
      </c>
      <c r="AS264" s="107">
        <f t="shared" si="131"/>
        <v>1.8904592294217497</v>
      </c>
      <c r="AT264" s="105">
        <v>0</v>
      </c>
      <c r="AU264" s="105">
        <v>1</v>
      </c>
      <c r="AV264" s="262">
        <f t="shared" si="132"/>
        <v>25</v>
      </c>
      <c r="AW264" s="134">
        <v>0</v>
      </c>
      <c r="AX264" s="134"/>
      <c r="AY264" s="262">
        <f t="shared" si="133"/>
        <v>0</v>
      </c>
      <c r="AZ264" s="262">
        <f t="shared" si="134"/>
        <v>25</v>
      </c>
      <c r="BA264" s="38">
        <f t="shared" si="135"/>
        <v>0.25</v>
      </c>
      <c r="BB264" s="105">
        <v>0</v>
      </c>
      <c r="BC264" s="105">
        <v>0</v>
      </c>
      <c r="BD264" s="105">
        <v>0</v>
      </c>
      <c r="BE264" s="262">
        <f t="shared" si="136"/>
        <v>0</v>
      </c>
      <c r="BF264" s="262">
        <f t="shared" si="137"/>
        <v>50</v>
      </c>
      <c r="BG264" s="38">
        <f t="shared" si="138"/>
        <v>0.5</v>
      </c>
      <c r="BH264" s="255">
        <f t="shared" si="139"/>
        <v>4978651</v>
      </c>
      <c r="BI264" s="256">
        <f t="shared" si="140"/>
        <v>1.3338022838321151</v>
      </c>
      <c r="BJ264" s="256">
        <f t="shared" si="143"/>
        <v>35.003517128740867</v>
      </c>
      <c r="BK264" s="55">
        <f t="shared" si="141"/>
        <v>0.70007034257481737</v>
      </c>
      <c r="BL264" s="137">
        <f t="shared" si="144"/>
        <v>8.7405295719965661</v>
      </c>
    </row>
    <row r="265" spans="1:64" x14ac:dyDescent="0.6">
      <c r="A265" s="214" t="s">
        <v>16</v>
      </c>
      <c r="B265" s="13" t="s">
        <v>2245</v>
      </c>
      <c r="C265" s="219" t="s">
        <v>334</v>
      </c>
      <c r="D265" s="216" t="s">
        <v>203</v>
      </c>
      <c r="E265" s="217" t="s">
        <v>195</v>
      </c>
      <c r="F265" s="217" t="s">
        <v>562</v>
      </c>
      <c r="G265" s="218">
        <v>37484</v>
      </c>
      <c r="H265" s="217" t="s">
        <v>830</v>
      </c>
      <c r="I265" s="217" t="s">
        <v>827</v>
      </c>
      <c r="J265" s="217" t="s">
        <v>1102</v>
      </c>
      <c r="K265" s="217" t="s">
        <v>31</v>
      </c>
      <c r="L265" s="220">
        <v>531890343</v>
      </c>
      <c r="M265" s="206">
        <v>201052570</v>
      </c>
      <c r="N265" s="206">
        <v>330837773</v>
      </c>
      <c r="O265" s="206">
        <v>1181624867</v>
      </c>
      <c r="P265" s="206">
        <v>33106219</v>
      </c>
      <c r="Q265" s="206">
        <v>25624309</v>
      </c>
      <c r="R265" s="206">
        <v>17479918</v>
      </c>
      <c r="S265" s="105">
        <v>1</v>
      </c>
      <c r="T265" s="254">
        <f t="shared" si="116"/>
        <v>100</v>
      </c>
      <c r="U265" s="107">
        <f t="shared" si="117"/>
        <v>1</v>
      </c>
      <c r="V265" s="45">
        <v>27</v>
      </c>
      <c r="W265" s="45">
        <v>27</v>
      </c>
      <c r="X265" s="255">
        <f t="shared" si="118"/>
        <v>0</v>
      </c>
      <c r="Y265" s="255">
        <f t="shared" si="119"/>
        <v>5</v>
      </c>
      <c r="Z265" s="256">
        <f t="shared" si="120"/>
        <v>0</v>
      </c>
      <c r="AA265" s="257">
        <f t="shared" si="121"/>
        <v>20</v>
      </c>
      <c r="AB265" s="116">
        <f t="shared" si="122"/>
        <v>0.2</v>
      </c>
      <c r="AC265" s="123">
        <v>417</v>
      </c>
      <c r="AD265" s="123">
        <v>422</v>
      </c>
      <c r="AE265" s="257">
        <f t="shared" si="123"/>
        <v>5</v>
      </c>
      <c r="AF265" s="258">
        <f t="shared" si="124"/>
        <v>1.1990407673860912</v>
      </c>
      <c r="AG265" s="257">
        <f t="shared" si="125"/>
        <v>60</v>
      </c>
      <c r="AH265" s="124">
        <f t="shared" si="126"/>
        <v>2.4</v>
      </c>
      <c r="AI265" s="105">
        <v>0</v>
      </c>
      <c r="AJ265" s="105">
        <v>0</v>
      </c>
      <c r="AK265" s="105">
        <v>0</v>
      </c>
      <c r="AL265" s="105">
        <v>0</v>
      </c>
      <c r="AM265" s="260">
        <f t="shared" si="127"/>
        <v>0</v>
      </c>
      <c r="AN265" s="260">
        <f t="shared" si="128"/>
        <v>20</v>
      </c>
      <c r="AO265" s="130">
        <f t="shared" si="129"/>
        <v>0.2</v>
      </c>
      <c r="AP265" s="106">
        <v>499300</v>
      </c>
      <c r="AQ265" s="261">
        <f t="shared" si="142"/>
        <v>2.8564207223397728</v>
      </c>
      <c r="AR265" s="261">
        <f t="shared" si="130"/>
        <v>67.846310835096588</v>
      </c>
      <c r="AS265" s="107">
        <f t="shared" si="131"/>
        <v>2.7138524334038636</v>
      </c>
      <c r="AT265" s="105">
        <v>1</v>
      </c>
      <c r="AU265" s="105">
        <v>1</v>
      </c>
      <c r="AV265" s="262">
        <f t="shared" si="132"/>
        <v>50</v>
      </c>
      <c r="AW265" s="134">
        <v>3</v>
      </c>
      <c r="AX265" s="134" t="s">
        <v>3614</v>
      </c>
      <c r="AY265" s="262">
        <f t="shared" si="133"/>
        <v>50</v>
      </c>
      <c r="AZ265" s="262">
        <f t="shared" si="134"/>
        <v>100</v>
      </c>
      <c r="BA265" s="38">
        <f t="shared" si="135"/>
        <v>1</v>
      </c>
      <c r="BB265" s="105">
        <v>1</v>
      </c>
      <c r="BC265" s="105">
        <v>0</v>
      </c>
      <c r="BD265" s="105">
        <v>0</v>
      </c>
      <c r="BE265" s="262">
        <f t="shared" si="136"/>
        <v>1</v>
      </c>
      <c r="BF265" s="262">
        <f t="shared" si="137"/>
        <v>100</v>
      </c>
      <c r="BG265" s="38">
        <f t="shared" si="138"/>
        <v>1</v>
      </c>
      <c r="BH265" s="255">
        <f t="shared" si="139"/>
        <v>8144391</v>
      </c>
      <c r="BI265" s="256">
        <f t="shared" si="140"/>
        <v>0.68925352093152925</v>
      </c>
      <c r="BJ265" s="256">
        <f t="shared" si="143"/>
        <v>30.16940140698647</v>
      </c>
      <c r="BK265" s="55">
        <f t="shared" si="141"/>
        <v>0.60338802813972936</v>
      </c>
      <c r="BL265" s="137">
        <f t="shared" si="144"/>
        <v>9.1172404615435934</v>
      </c>
    </row>
    <row r="266" spans="1:64" x14ac:dyDescent="0.6">
      <c r="A266" s="214" t="s">
        <v>1894</v>
      </c>
      <c r="B266" s="13" t="s">
        <v>2246</v>
      </c>
      <c r="C266" s="219" t="s">
        <v>63</v>
      </c>
      <c r="D266" s="216" t="s">
        <v>203</v>
      </c>
      <c r="E266" s="217" t="s">
        <v>617</v>
      </c>
      <c r="F266" s="217" t="s">
        <v>983</v>
      </c>
      <c r="G266" s="218">
        <v>43614</v>
      </c>
      <c r="H266" s="217" t="s">
        <v>830</v>
      </c>
      <c r="I266" s="217" t="s">
        <v>1895</v>
      </c>
      <c r="J266" s="217" t="s">
        <v>1896</v>
      </c>
      <c r="K266" s="217" t="s">
        <v>31</v>
      </c>
      <c r="L266" s="220">
        <v>4276625735</v>
      </c>
      <c r="M266" s="206">
        <v>1849501419</v>
      </c>
      <c r="N266" s="206">
        <v>2427124316</v>
      </c>
      <c r="O266" s="206">
        <v>3041287029</v>
      </c>
      <c r="P266" s="206">
        <v>153190221</v>
      </c>
      <c r="Q266" s="206">
        <v>125561645</v>
      </c>
      <c r="R266" s="206">
        <v>114853461</v>
      </c>
      <c r="S266" s="105">
        <v>1</v>
      </c>
      <c r="T266" s="254">
        <f t="shared" si="116"/>
        <v>100</v>
      </c>
      <c r="U266" s="107">
        <f t="shared" si="117"/>
        <v>1</v>
      </c>
      <c r="V266" s="45">
        <v>108</v>
      </c>
      <c r="W266" s="45">
        <v>127</v>
      </c>
      <c r="X266" s="255">
        <f t="shared" si="118"/>
        <v>19</v>
      </c>
      <c r="Y266" s="255">
        <f t="shared" si="119"/>
        <v>224</v>
      </c>
      <c r="Z266" s="256">
        <f t="shared" si="120"/>
        <v>8.4821428571428577</v>
      </c>
      <c r="AA266" s="257">
        <f t="shared" si="121"/>
        <v>20</v>
      </c>
      <c r="AB266" s="116">
        <f t="shared" si="122"/>
        <v>0.2</v>
      </c>
      <c r="AC266" s="123">
        <v>1727</v>
      </c>
      <c r="AD266" s="123">
        <v>1951</v>
      </c>
      <c r="AE266" s="257">
        <f t="shared" si="123"/>
        <v>224</v>
      </c>
      <c r="AF266" s="258">
        <f t="shared" si="124"/>
        <v>12.970469021424435</v>
      </c>
      <c r="AG266" s="257">
        <f t="shared" si="125"/>
        <v>100</v>
      </c>
      <c r="AH266" s="124">
        <f t="shared" si="126"/>
        <v>4</v>
      </c>
      <c r="AI266" s="105">
        <v>0</v>
      </c>
      <c r="AJ266" s="105">
        <v>0</v>
      </c>
      <c r="AK266" s="105">
        <v>0</v>
      </c>
      <c r="AL266" s="105">
        <v>0</v>
      </c>
      <c r="AM266" s="260">
        <f t="shared" si="127"/>
        <v>0</v>
      </c>
      <c r="AN266" s="260">
        <f t="shared" si="128"/>
        <v>20</v>
      </c>
      <c r="AO266" s="130">
        <f t="shared" si="129"/>
        <v>0.2</v>
      </c>
      <c r="AP266" s="106">
        <v>531376</v>
      </c>
      <c r="AQ266" s="261">
        <f t="shared" si="142"/>
        <v>0.46265562689486561</v>
      </c>
      <c r="AR266" s="261">
        <f t="shared" si="130"/>
        <v>31.939834403422985</v>
      </c>
      <c r="AS266" s="107">
        <f t="shared" si="131"/>
        <v>1.2775933761369194</v>
      </c>
      <c r="AT266" s="105">
        <v>0</v>
      </c>
      <c r="AU266" s="105">
        <v>1</v>
      </c>
      <c r="AV266" s="262">
        <f t="shared" si="132"/>
        <v>25</v>
      </c>
      <c r="AW266" s="134">
        <v>0</v>
      </c>
      <c r="AX266" s="134"/>
      <c r="AY266" s="262">
        <f t="shared" si="133"/>
        <v>0</v>
      </c>
      <c r="AZ266" s="262">
        <f t="shared" si="134"/>
        <v>25</v>
      </c>
      <c r="BA266" s="38">
        <f t="shared" si="135"/>
        <v>0.25</v>
      </c>
      <c r="BB266" s="105">
        <v>0</v>
      </c>
      <c r="BC266" s="105">
        <v>0</v>
      </c>
      <c r="BD266" s="105">
        <v>0</v>
      </c>
      <c r="BE266" s="262">
        <f t="shared" si="136"/>
        <v>0</v>
      </c>
      <c r="BF266" s="262">
        <f t="shared" si="137"/>
        <v>50</v>
      </c>
      <c r="BG266" s="38">
        <f t="shared" si="138"/>
        <v>0.5</v>
      </c>
      <c r="BH266" s="255">
        <f t="shared" si="139"/>
        <v>10708184</v>
      </c>
      <c r="BI266" s="256">
        <f t="shared" si="140"/>
        <v>0.3520938306017416</v>
      </c>
      <c r="BJ266" s="256">
        <f t="shared" si="143"/>
        <v>27.640703729513064</v>
      </c>
      <c r="BK266" s="55">
        <f t="shared" si="141"/>
        <v>0.55281407459026133</v>
      </c>
      <c r="BL266" s="137">
        <f t="shared" si="144"/>
        <v>7.9804074507271814</v>
      </c>
    </row>
    <row r="267" spans="1:64" x14ac:dyDescent="0.6">
      <c r="A267" s="214" t="s">
        <v>770</v>
      </c>
      <c r="B267" s="13" t="s">
        <v>2247</v>
      </c>
      <c r="C267" s="219" t="s">
        <v>54</v>
      </c>
      <c r="D267" s="216" t="s">
        <v>191</v>
      </c>
      <c r="E267" s="217" t="s">
        <v>178</v>
      </c>
      <c r="F267" s="217" t="s">
        <v>138</v>
      </c>
      <c r="G267" s="218">
        <v>34977</v>
      </c>
      <c r="H267" s="217" t="s">
        <v>830</v>
      </c>
      <c r="I267" s="217" t="s">
        <v>823</v>
      </c>
      <c r="J267" s="217" t="s">
        <v>1204</v>
      </c>
      <c r="K267" s="217" t="s">
        <v>317</v>
      </c>
      <c r="L267" s="220">
        <v>661278860</v>
      </c>
      <c r="M267" s="206">
        <v>160390048</v>
      </c>
      <c r="N267" s="206">
        <v>500888812</v>
      </c>
      <c r="O267" s="206">
        <v>123375352</v>
      </c>
      <c r="P267" s="206">
        <v>27450398</v>
      </c>
      <c r="Q267" s="206">
        <v>12038623</v>
      </c>
      <c r="R267" s="206">
        <v>8192124</v>
      </c>
      <c r="S267" s="105">
        <v>1</v>
      </c>
      <c r="T267" s="254">
        <f t="shared" si="116"/>
        <v>100</v>
      </c>
      <c r="U267" s="107">
        <f t="shared" si="117"/>
        <v>1</v>
      </c>
      <c r="V267" s="45">
        <v>184</v>
      </c>
      <c r="W267" s="45">
        <v>195</v>
      </c>
      <c r="X267" s="255">
        <f t="shared" si="118"/>
        <v>11</v>
      </c>
      <c r="Y267" s="255">
        <f t="shared" si="119"/>
        <v>36</v>
      </c>
      <c r="Z267" s="256">
        <f t="shared" si="120"/>
        <v>30.555555555555557</v>
      </c>
      <c r="AA267" s="257">
        <f t="shared" si="121"/>
        <v>80</v>
      </c>
      <c r="AB267" s="116">
        <f t="shared" si="122"/>
        <v>0.8</v>
      </c>
      <c r="AC267" s="123">
        <v>434</v>
      </c>
      <c r="AD267" s="123">
        <v>470</v>
      </c>
      <c r="AE267" s="257">
        <f t="shared" si="123"/>
        <v>36</v>
      </c>
      <c r="AF267" s="258">
        <f t="shared" si="124"/>
        <v>8.2949308755760374</v>
      </c>
      <c r="AG267" s="257">
        <f t="shared" si="125"/>
        <v>100</v>
      </c>
      <c r="AH267" s="124">
        <f t="shared" si="126"/>
        <v>4</v>
      </c>
      <c r="AI267" s="105">
        <v>0</v>
      </c>
      <c r="AJ267" s="105">
        <v>0</v>
      </c>
      <c r="AK267" s="105">
        <v>0</v>
      </c>
      <c r="AL267" s="105">
        <v>0</v>
      </c>
      <c r="AM267" s="260">
        <f t="shared" si="127"/>
        <v>0</v>
      </c>
      <c r="AN267" s="260">
        <f t="shared" si="128"/>
        <v>20</v>
      </c>
      <c r="AO267" s="130">
        <f t="shared" si="129"/>
        <v>0.2</v>
      </c>
      <c r="AP267" s="106">
        <v>1406622</v>
      </c>
      <c r="AQ267" s="261">
        <f t="shared" si="142"/>
        <v>17.170418807137196</v>
      </c>
      <c r="AR267" s="261">
        <f t="shared" si="130"/>
        <v>100</v>
      </c>
      <c r="AS267" s="107">
        <f t="shared" si="131"/>
        <v>4</v>
      </c>
      <c r="AT267" s="105">
        <v>0</v>
      </c>
      <c r="AU267" s="105">
        <v>1</v>
      </c>
      <c r="AV267" s="262">
        <f t="shared" si="132"/>
        <v>25</v>
      </c>
      <c r="AW267" s="134">
        <v>0</v>
      </c>
      <c r="AX267" s="134"/>
      <c r="AY267" s="262">
        <f t="shared" si="133"/>
        <v>0</v>
      </c>
      <c r="AZ267" s="262">
        <f t="shared" si="134"/>
        <v>25</v>
      </c>
      <c r="BA267" s="38">
        <f t="shared" si="135"/>
        <v>0.25</v>
      </c>
      <c r="BB267" s="105">
        <v>0</v>
      </c>
      <c r="BC267" s="105">
        <v>0</v>
      </c>
      <c r="BD267" s="105">
        <v>0</v>
      </c>
      <c r="BE267" s="262">
        <f t="shared" si="136"/>
        <v>0</v>
      </c>
      <c r="BF267" s="262">
        <f t="shared" si="137"/>
        <v>50</v>
      </c>
      <c r="BG267" s="38">
        <f t="shared" si="138"/>
        <v>0.5</v>
      </c>
      <c r="BH267" s="255">
        <f t="shared" si="139"/>
        <v>3846499</v>
      </c>
      <c r="BI267" s="256">
        <f t="shared" si="140"/>
        <v>3.1177207907783719</v>
      </c>
      <c r="BJ267" s="256">
        <f t="shared" si="143"/>
        <v>48.382905930837794</v>
      </c>
      <c r="BK267" s="55">
        <f t="shared" si="141"/>
        <v>0.96765811861675588</v>
      </c>
      <c r="BL267" s="137">
        <f t="shared" si="144"/>
        <v>11.717658118616756</v>
      </c>
    </row>
    <row r="268" spans="1:64" x14ac:dyDescent="0.6">
      <c r="A268" s="214" t="s">
        <v>805</v>
      </c>
      <c r="B268" s="13" t="s">
        <v>2248</v>
      </c>
      <c r="C268" s="219" t="s">
        <v>315</v>
      </c>
      <c r="D268" s="216" t="s">
        <v>203</v>
      </c>
      <c r="E268" s="217" t="s">
        <v>200</v>
      </c>
      <c r="F268" s="217">
        <v>0</v>
      </c>
      <c r="G268" s="218">
        <v>39659</v>
      </c>
      <c r="H268" s="217" t="s">
        <v>830</v>
      </c>
      <c r="I268" s="217" t="s">
        <v>337</v>
      </c>
      <c r="J268" s="217" t="s">
        <v>1217</v>
      </c>
      <c r="K268" s="217" t="s">
        <v>690</v>
      </c>
      <c r="L268" s="220">
        <v>3060678472</v>
      </c>
      <c r="M268" s="206">
        <v>1220679297</v>
      </c>
      <c r="N268" s="206">
        <v>1839999175</v>
      </c>
      <c r="O268" s="206">
        <v>3257164379</v>
      </c>
      <c r="P268" s="206">
        <v>203168169</v>
      </c>
      <c r="Q268" s="206">
        <v>220419231</v>
      </c>
      <c r="R268" s="206">
        <v>175385732</v>
      </c>
      <c r="S268" s="105">
        <v>1</v>
      </c>
      <c r="T268" s="254">
        <f t="shared" si="116"/>
        <v>100</v>
      </c>
      <c r="U268" s="107">
        <f t="shared" si="117"/>
        <v>1</v>
      </c>
      <c r="V268" s="45">
        <v>188</v>
      </c>
      <c r="W268" s="45">
        <f>69+116</f>
        <v>185</v>
      </c>
      <c r="X268" s="255">
        <f t="shared" si="118"/>
        <v>-3</v>
      </c>
      <c r="Y268" s="255">
        <f t="shared" si="119"/>
        <v>-119</v>
      </c>
      <c r="Z268" s="256">
        <f t="shared" si="120"/>
        <v>-300</v>
      </c>
      <c r="AA268" s="257">
        <f t="shared" si="121"/>
        <v>20</v>
      </c>
      <c r="AB268" s="116">
        <f t="shared" si="122"/>
        <v>0.2</v>
      </c>
      <c r="AC268" s="123">
        <v>2893</v>
      </c>
      <c r="AD268" s="123">
        <v>2774</v>
      </c>
      <c r="AE268" s="257">
        <f t="shared" si="123"/>
        <v>-119</v>
      </c>
      <c r="AF268" s="258">
        <f t="shared" si="124"/>
        <v>-4.1133771171793985</v>
      </c>
      <c r="AG268" s="257">
        <f t="shared" si="125"/>
        <v>20</v>
      </c>
      <c r="AH268" s="124">
        <f t="shared" si="126"/>
        <v>0.8</v>
      </c>
      <c r="AI268" s="105">
        <v>0</v>
      </c>
      <c r="AJ268" s="105">
        <v>0</v>
      </c>
      <c r="AK268" s="105">
        <v>0</v>
      </c>
      <c r="AL268" s="105">
        <v>0</v>
      </c>
      <c r="AM268" s="260">
        <f t="shared" si="127"/>
        <v>0</v>
      </c>
      <c r="AN268" s="260">
        <f t="shared" si="128"/>
        <v>20</v>
      </c>
      <c r="AO268" s="130">
        <f t="shared" si="129"/>
        <v>0.2</v>
      </c>
      <c r="AP268" s="106">
        <v>3847212.02</v>
      </c>
      <c r="AQ268" s="261">
        <f t="shared" si="142"/>
        <v>2.1935718351365092</v>
      </c>
      <c r="AR268" s="261">
        <f t="shared" si="130"/>
        <v>57.903577527047638</v>
      </c>
      <c r="AS268" s="107">
        <f t="shared" si="131"/>
        <v>2.3161431010819054</v>
      </c>
      <c r="AT268" s="105">
        <v>1</v>
      </c>
      <c r="AU268" s="105">
        <v>1</v>
      </c>
      <c r="AV268" s="262">
        <f t="shared" si="132"/>
        <v>50</v>
      </c>
      <c r="AW268" s="134">
        <v>3</v>
      </c>
      <c r="AX268" s="134" t="s">
        <v>3615</v>
      </c>
      <c r="AY268" s="262">
        <f t="shared" si="133"/>
        <v>50</v>
      </c>
      <c r="AZ268" s="262">
        <f t="shared" si="134"/>
        <v>100</v>
      </c>
      <c r="BA268" s="38">
        <f t="shared" si="135"/>
        <v>1</v>
      </c>
      <c r="BB268" s="105">
        <v>0</v>
      </c>
      <c r="BC268" s="105">
        <v>0</v>
      </c>
      <c r="BD268" s="105">
        <v>0</v>
      </c>
      <c r="BE268" s="262">
        <f t="shared" si="136"/>
        <v>0</v>
      </c>
      <c r="BF268" s="262">
        <f t="shared" si="137"/>
        <v>50</v>
      </c>
      <c r="BG268" s="38">
        <f t="shared" si="138"/>
        <v>0.5</v>
      </c>
      <c r="BH268" s="255">
        <f t="shared" si="139"/>
        <v>45033499</v>
      </c>
      <c r="BI268" s="256">
        <f t="shared" si="140"/>
        <v>1.382598289799116</v>
      </c>
      <c r="BJ268" s="256">
        <f t="shared" si="143"/>
        <v>35.369487173493368</v>
      </c>
      <c r="BK268" s="55">
        <f t="shared" si="141"/>
        <v>0.70738974346986738</v>
      </c>
      <c r="BL268" s="137">
        <f t="shared" si="144"/>
        <v>6.7235328445517721</v>
      </c>
    </row>
    <row r="269" spans="1:64" x14ac:dyDescent="0.6">
      <c r="A269" s="214" t="s">
        <v>30</v>
      </c>
      <c r="B269" s="13" t="s">
        <v>2249</v>
      </c>
      <c r="C269" s="219" t="s">
        <v>861</v>
      </c>
      <c r="D269" s="216" t="s">
        <v>191</v>
      </c>
      <c r="E269" s="217" t="s">
        <v>34</v>
      </c>
      <c r="F269" s="217" t="s">
        <v>433</v>
      </c>
      <c r="G269" s="218">
        <v>43375</v>
      </c>
      <c r="H269" s="217" t="s">
        <v>830</v>
      </c>
      <c r="I269" s="217" t="s">
        <v>1897</v>
      </c>
      <c r="J269" s="217" t="s">
        <v>1142</v>
      </c>
      <c r="K269" s="217" t="s">
        <v>690</v>
      </c>
      <c r="L269" s="220">
        <v>345964556</v>
      </c>
      <c r="M269" s="206">
        <v>77567636</v>
      </c>
      <c r="N269" s="206">
        <v>268396921</v>
      </c>
      <c r="O269" s="206">
        <v>210844992</v>
      </c>
      <c r="P269" s="206">
        <v>31170755</v>
      </c>
      <c r="Q269" s="206">
        <v>30718351</v>
      </c>
      <c r="R269" s="206">
        <v>24307179</v>
      </c>
      <c r="S269" s="105">
        <v>1</v>
      </c>
      <c r="T269" s="254">
        <f t="shared" si="116"/>
        <v>100</v>
      </c>
      <c r="U269" s="107">
        <f t="shared" si="117"/>
        <v>1</v>
      </c>
      <c r="V269" s="45">
        <v>135</v>
      </c>
      <c r="W269" s="45">
        <f>32+71+38</f>
        <v>141</v>
      </c>
      <c r="X269" s="255">
        <f t="shared" si="118"/>
        <v>6</v>
      </c>
      <c r="Y269" s="255">
        <f t="shared" si="119"/>
        <v>33</v>
      </c>
      <c r="Z269" s="256">
        <f t="shared" si="120"/>
        <v>18.181818181818183</v>
      </c>
      <c r="AA269" s="257">
        <f t="shared" si="121"/>
        <v>40</v>
      </c>
      <c r="AB269" s="116">
        <f t="shared" si="122"/>
        <v>0.4</v>
      </c>
      <c r="AC269" s="123">
        <v>580</v>
      </c>
      <c r="AD269" s="123">
        <v>613</v>
      </c>
      <c r="AE269" s="257">
        <f t="shared" si="123"/>
        <v>33</v>
      </c>
      <c r="AF269" s="258">
        <f t="shared" si="124"/>
        <v>5.6896551724137936</v>
      </c>
      <c r="AG269" s="257">
        <f t="shared" si="125"/>
        <v>100</v>
      </c>
      <c r="AH269" s="124">
        <f t="shared" si="126"/>
        <v>4</v>
      </c>
      <c r="AI269" s="105">
        <v>0</v>
      </c>
      <c r="AJ269" s="105">
        <v>0</v>
      </c>
      <c r="AK269" s="105">
        <v>0</v>
      </c>
      <c r="AL269" s="105">
        <v>0</v>
      </c>
      <c r="AM269" s="260">
        <f t="shared" si="127"/>
        <v>0</v>
      </c>
      <c r="AN269" s="260">
        <f t="shared" si="128"/>
        <v>20</v>
      </c>
      <c r="AO269" s="130">
        <f t="shared" si="129"/>
        <v>0.2</v>
      </c>
      <c r="AP269" s="106">
        <v>978221</v>
      </c>
      <c r="AQ269" s="261">
        <f t="shared" si="142"/>
        <v>4.0244118825964952</v>
      </c>
      <c r="AR269" s="261">
        <f t="shared" si="130"/>
        <v>85.366178238947427</v>
      </c>
      <c r="AS269" s="107">
        <f t="shared" si="131"/>
        <v>3.4146471295578973</v>
      </c>
      <c r="AT269" s="105">
        <v>0</v>
      </c>
      <c r="AU269" s="105">
        <v>1</v>
      </c>
      <c r="AV269" s="262">
        <f t="shared" si="132"/>
        <v>25</v>
      </c>
      <c r="AW269" s="134">
        <v>0</v>
      </c>
      <c r="AX269" s="134"/>
      <c r="AY269" s="262">
        <f t="shared" si="133"/>
        <v>0</v>
      </c>
      <c r="AZ269" s="262">
        <f t="shared" si="134"/>
        <v>25</v>
      </c>
      <c r="BA269" s="38">
        <f t="shared" si="135"/>
        <v>0.25</v>
      </c>
      <c r="BB269" s="105">
        <v>0</v>
      </c>
      <c r="BC269" s="105">
        <v>0</v>
      </c>
      <c r="BD269" s="105">
        <v>0</v>
      </c>
      <c r="BE269" s="262">
        <f t="shared" si="136"/>
        <v>0</v>
      </c>
      <c r="BF269" s="262">
        <f t="shared" si="137"/>
        <v>50</v>
      </c>
      <c r="BG269" s="38">
        <f t="shared" si="138"/>
        <v>0.5</v>
      </c>
      <c r="BH269" s="255">
        <f t="shared" si="139"/>
        <v>6411172</v>
      </c>
      <c r="BI269" s="256">
        <f t="shared" si="140"/>
        <v>3.0407039499425244</v>
      </c>
      <c r="BJ269" s="256">
        <f t="shared" si="143"/>
        <v>47.805279624568932</v>
      </c>
      <c r="BK269" s="55">
        <f t="shared" si="141"/>
        <v>0.95610559249137861</v>
      </c>
      <c r="BL269" s="137">
        <f t="shared" si="144"/>
        <v>10.720752722049276</v>
      </c>
    </row>
    <row r="270" spans="1:64" x14ac:dyDescent="0.6">
      <c r="A270" s="214" t="s">
        <v>1898</v>
      </c>
      <c r="B270" s="13" t="s">
        <v>2250</v>
      </c>
      <c r="C270" s="219" t="s">
        <v>1899</v>
      </c>
      <c r="D270" s="14" t="s">
        <v>191</v>
      </c>
      <c r="E270" s="217" t="s">
        <v>1900</v>
      </c>
      <c r="F270" s="217" t="s">
        <v>1901</v>
      </c>
      <c r="G270" s="218">
        <v>40105</v>
      </c>
      <c r="H270" s="217" t="s">
        <v>830</v>
      </c>
      <c r="I270" s="217" t="s">
        <v>1902</v>
      </c>
      <c r="J270" s="1" t="s">
        <v>3761</v>
      </c>
      <c r="K270" s="217" t="s">
        <v>91</v>
      </c>
      <c r="L270" s="220">
        <v>3107792300</v>
      </c>
      <c r="M270" s="206">
        <v>1945483554</v>
      </c>
      <c r="N270" s="206">
        <v>1162308746</v>
      </c>
      <c r="O270" s="206">
        <v>2222161984</v>
      </c>
      <c r="P270" s="206">
        <v>165474689</v>
      </c>
      <c r="Q270" s="206">
        <v>92802035</v>
      </c>
      <c r="R270" s="206">
        <v>66847561</v>
      </c>
      <c r="S270" s="105">
        <v>1</v>
      </c>
      <c r="T270" s="254">
        <f t="shared" si="116"/>
        <v>100</v>
      </c>
      <c r="U270" s="107">
        <f t="shared" si="117"/>
        <v>1</v>
      </c>
      <c r="V270" s="45">
        <f>154+400</f>
        <v>554</v>
      </c>
      <c r="W270" s="45">
        <f>145+392</f>
        <v>537</v>
      </c>
      <c r="X270" s="255">
        <f t="shared" si="118"/>
        <v>-17</v>
      </c>
      <c r="Y270" s="255">
        <f t="shared" si="119"/>
        <v>-58</v>
      </c>
      <c r="Z270" s="256">
        <f t="shared" si="120"/>
        <v>-1700</v>
      </c>
      <c r="AA270" s="257">
        <f t="shared" si="121"/>
        <v>20</v>
      </c>
      <c r="AB270" s="116">
        <f t="shared" si="122"/>
        <v>0.2</v>
      </c>
      <c r="AC270" s="123">
        <v>2998</v>
      </c>
      <c r="AD270" s="123">
        <v>2940</v>
      </c>
      <c r="AE270" s="257">
        <f t="shared" si="123"/>
        <v>-58</v>
      </c>
      <c r="AF270" s="258">
        <f t="shared" si="124"/>
        <v>-1.9346230820547032</v>
      </c>
      <c r="AG270" s="257">
        <f t="shared" si="125"/>
        <v>20</v>
      </c>
      <c r="AH270" s="124">
        <f t="shared" si="126"/>
        <v>0.8</v>
      </c>
      <c r="AI270" s="105">
        <v>0</v>
      </c>
      <c r="AJ270" s="105">
        <v>0</v>
      </c>
      <c r="AK270" s="105">
        <v>0</v>
      </c>
      <c r="AL270" s="105">
        <v>0</v>
      </c>
      <c r="AM270" s="260">
        <f t="shared" si="127"/>
        <v>0</v>
      </c>
      <c r="AN270" s="260">
        <f t="shared" si="128"/>
        <v>20</v>
      </c>
      <c r="AO270" s="130">
        <f t="shared" si="129"/>
        <v>0.2</v>
      </c>
      <c r="AP270" s="106">
        <v>1356023.088</v>
      </c>
      <c r="AQ270" s="261">
        <f t="shared" si="142"/>
        <v>2.0285303872193632</v>
      </c>
      <c r="AR270" s="261">
        <f t="shared" si="130"/>
        <v>55.427955808290449</v>
      </c>
      <c r="AS270" s="107">
        <f t="shared" si="131"/>
        <v>2.2171182323316181</v>
      </c>
      <c r="AT270" s="105">
        <v>0</v>
      </c>
      <c r="AU270" s="105">
        <v>1</v>
      </c>
      <c r="AV270" s="262">
        <f t="shared" si="132"/>
        <v>25</v>
      </c>
      <c r="AW270" s="134">
        <v>4</v>
      </c>
      <c r="AX270" s="447" t="s">
        <v>3762</v>
      </c>
      <c r="AY270" s="262">
        <f t="shared" si="133"/>
        <v>50</v>
      </c>
      <c r="AZ270" s="262">
        <f t="shared" si="134"/>
        <v>75</v>
      </c>
      <c r="BA270" s="38">
        <f t="shared" si="135"/>
        <v>0.75</v>
      </c>
      <c r="BB270" s="105">
        <v>0</v>
      </c>
      <c r="BC270" s="105">
        <v>0</v>
      </c>
      <c r="BD270" s="105">
        <v>0</v>
      </c>
      <c r="BE270" s="262">
        <f t="shared" si="136"/>
        <v>0</v>
      </c>
      <c r="BF270" s="262">
        <f t="shared" si="137"/>
        <v>50</v>
      </c>
      <c r="BG270" s="38">
        <f t="shared" si="138"/>
        <v>0.5</v>
      </c>
      <c r="BH270" s="255">
        <f t="shared" si="139"/>
        <v>25954474</v>
      </c>
      <c r="BI270" s="256">
        <f t="shared" si="140"/>
        <v>1.1679829907485269</v>
      </c>
      <c r="BJ270" s="256">
        <f t="shared" si="143"/>
        <v>33.759872430613953</v>
      </c>
      <c r="BK270" s="55">
        <f t="shared" si="141"/>
        <v>0.67519744861227904</v>
      </c>
      <c r="BL270" s="137">
        <f t="shared" si="144"/>
        <v>6.342315680943897</v>
      </c>
    </row>
    <row r="271" spans="1:64" x14ac:dyDescent="0.6">
      <c r="A271" s="214" t="s">
        <v>1904</v>
      </c>
      <c r="B271" s="13" t="s">
        <v>2251</v>
      </c>
      <c r="C271" s="219" t="s">
        <v>1905</v>
      </c>
      <c r="D271" s="14" t="s">
        <v>203</v>
      </c>
      <c r="E271" s="217" t="s">
        <v>998</v>
      </c>
      <c r="F271" s="217" t="s">
        <v>1906</v>
      </c>
      <c r="G271" s="218">
        <v>36815</v>
      </c>
      <c r="H271" s="217" t="s">
        <v>830</v>
      </c>
      <c r="I271" s="217" t="s">
        <v>1907</v>
      </c>
      <c r="J271" s="13" t="s">
        <v>2252</v>
      </c>
      <c r="K271" s="217" t="s">
        <v>425</v>
      </c>
      <c r="L271" s="220">
        <v>291713102</v>
      </c>
      <c r="M271" s="206">
        <v>71415596</v>
      </c>
      <c r="N271" s="206">
        <v>220297507</v>
      </c>
      <c r="O271" s="206">
        <v>256067814</v>
      </c>
      <c r="P271" s="206">
        <v>8760193</v>
      </c>
      <c r="Q271" s="206">
        <v>3858993</v>
      </c>
      <c r="R271" s="206">
        <v>3132350</v>
      </c>
      <c r="S271" s="105">
        <v>1</v>
      </c>
      <c r="T271" s="254">
        <f t="shared" si="116"/>
        <v>100</v>
      </c>
      <c r="U271" s="107">
        <f t="shared" si="117"/>
        <v>1</v>
      </c>
      <c r="V271" s="45">
        <v>19</v>
      </c>
      <c r="W271" s="45">
        <v>17</v>
      </c>
      <c r="X271" s="255">
        <f t="shared" si="118"/>
        <v>-2</v>
      </c>
      <c r="Y271" s="255">
        <f t="shared" si="119"/>
        <v>24</v>
      </c>
      <c r="Z271" s="256">
        <f t="shared" si="120"/>
        <v>-8.3333333333333321</v>
      </c>
      <c r="AA271" s="257">
        <f t="shared" si="121"/>
        <v>20</v>
      </c>
      <c r="AB271" s="116">
        <f t="shared" si="122"/>
        <v>0.2</v>
      </c>
      <c r="AC271" s="123">
        <v>585</v>
      </c>
      <c r="AD271" s="123">
        <v>609</v>
      </c>
      <c r="AE271" s="257">
        <f t="shared" si="123"/>
        <v>24</v>
      </c>
      <c r="AF271" s="258">
        <f t="shared" si="124"/>
        <v>4.1025641025641022</v>
      </c>
      <c r="AG271" s="257">
        <f t="shared" si="125"/>
        <v>100</v>
      </c>
      <c r="AH271" s="124">
        <f t="shared" si="126"/>
        <v>4</v>
      </c>
      <c r="AI271" s="105">
        <v>0</v>
      </c>
      <c r="AJ271" s="105">
        <v>0</v>
      </c>
      <c r="AK271" s="105">
        <v>0</v>
      </c>
      <c r="AL271" s="105">
        <v>0</v>
      </c>
      <c r="AM271" s="260">
        <f t="shared" si="127"/>
        <v>0</v>
      </c>
      <c r="AN271" s="260">
        <f t="shared" si="128"/>
        <v>20</v>
      </c>
      <c r="AO271" s="130">
        <f t="shared" si="129"/>
        <v>0.2</v>
      </c>
      <c r="AP271" s="106">
        <v>9750</v>
      </c>
      <c r="AQ271" s="261">
        <f t="shared" si="142"/>
        <v>0.31126789790412951</v>
      </c>
      <c r="AR271" s="261">
        <f t="shared" si="130"/>
        <v>29.669018468561944</v>
      </c>
      <c r="AS271" s="107">
        <f t="shared" si="131"/>
        <v>1.1867607387424779</v>
      </c>
      <c r="AT271" s="105">
        <v>0</v>
      </c>
      <c r="AU271" s="105">
        <v>0</v>
      </c>
      <c r="AV271" s="262">
        <f t="shared" si="132"/>
        <v>0</v>
      </c>
      <c r="AW271" s="134">
        <v>2</v>
      </c>
      <c r="AX271" s="447" t="s">
        <v>3763</v>
      </c>
      <c r="AY271" s="262">
        <f t="shared" si="133"/>
        <v>25</v>
      </c>
      <c r="AZ271" s="262">
        <f t="shared" si="134"/>
        <v>25</v>
      </c>
      <c r="BA271" s="38">
        <f t="shared" si="135"/>
        <v>0.25</v>
      </c>
      <c r="BB271" s="105">
        <v>0</v>
      </c>
      <c r="BC271" s="105">
        <v>0</v>
      </c>
      <c r="BD271" s="105">
        <v>0</v>
      </c>
      <c r="BE271" s="262">
        <f t="shared" si="136"/>
        <v>0</v>
      </c>
      <c r="BF271" s="262">
        <f t="shared" si="137"/>
        <v>50</v>
      </c>
      <c r="BG271" s="38">
        <f t="shared" si="138"/>
        <v>0.5</v>
      </c>
      <c r="BH271" s="255">
        <f t="shared" si="139"/>
        <v>726643</v>
      </c>
      <c r="BI271" s="256">
        <f t="shared" si="140"/>
        <v>0.28376975171116192</v>
      </c>
      <c r="BJ271" s="256">
        <f t="shared" si="143"/>
        <v>27.128273137833716</v>
      </c>
      <c r="BK271" s="55">
        <f t="shared" si="141"/>
        <v>0.54256546275667439</v>
      </c>
      <c r="BL271" s="137">
        <f t="shared" si="144"/>
        <v>7.8793262014991532</v>
      </c>
    </row>
    <row r="272" spans="1:64" x14ac:dyDescent="0.6">
      <c r="A272" s="214" t="s">
        <v>483</v>
      </c>
      <c r="B272" s="13" t="s">
        <v>2253</v>
      </c>
      <c r="C272" s="219" t="s">
        <v>897</v>
      </c>
      <c r="D272" s="216" t="s">
        <v>202</v>
      </c>
      <c r="E272" s="217" t="s">
        <v>382</v>
      </c>
      <c r="F272" s="217" t="s">
        <v>163</v>
      </c>
      <c r="G272" s="218">
        <v>35354</v>
      </c>
      <c r="H272" s="217" t="s">
        <v>830</v>
      </c>
      <c r="I272" s="217" t="s">
        <v>528</v>
      </c>
      <c r="J272" s="217" t="s">
        <v>1018</v>
      </c>
      <c r="K272" s="217" t="s">
        <v>346</v>
      </c>
      <c r="L272" s="220">
        <v>1115216321</v>
      </c>
      <c r="M272" s="206">
        <v>343407952</v>
      </c>
      <c r="N272" s="206">
        <v>771808369</v>
      </c>
      <c r="O272" s="206">
        <v>1105239370</v>
      </c>
      <c r="P272" s="206">
        <v>45133384</v>
      </c>
      <c r="Q272" s="206">
        <v>54914570</v>
      </c>
      <c r="R272" s="206">
        <v>41039812</v>
      </c>
      <c r="S272" s="105">
        <v>1</v>
      </c>
      <c r="T272" s="254">
        <f t="shared" si="116"/>
        <v>100</v>
      </c>
      <c r="U272" s="107">
        <f t="shared" si="117"/>
        <v>1</v>
      </c>
      <c r="V272" s="45">
        <v>65</v>
      </c>
      <c r="W272" s="45">
        <v>69</v>
      </c>
      <c r="X272" s="255">
        <f t="shared" si="118"/>
        <v>4</v>
      </c>
      <c r="Y272" s="255">
        <f t="shared" si="119"/>
        <v>50</v>
      </c>
      <c r="Z272" s="256">
        <f t="shared" si="120"/>
        <v>8</v>
      </c>
      <c r="AA272" s="257">
        <f t="shared" si="121"/>
        <v>20</v>
      </c>
      <c r="AB272" s="116">
        <f t="shared" si="122"/>
        <v>0.2</v>
      </c>
      <c r="AC272" s="123">
        <v>1042</v>
      </c>
      <c r="AD272" s="123">
        <v>1092</v>
      </c>
      <c r="AE272" s="257">
        <f t="shared" si="123"/>
        <v>50</v>
      </c>
      <c r="AF272" s="258">
        <f t="shared" si="124"/>
        <v>4.7984644913627639</v>
      </c>
      <c r="AG272" s="257">
        <f t="shared" si="125"/>
        <v>100</v>
      </c>
      <c r="AH272" s="124">
        <f t="shared" si="126"/>
        <v>4</v>
      </c>
      <c r="AI272" s="105">
        <v>0</v>
      </c>
      <c r="AJ272" s="105">
        <v>0</v>
      </c>
      <c r="AK272" s="105">
        <v>0</v>
      </c>
      <c r="AL272" s="105">
        <v>0</v>
      </c>
      <c r="AM272" s="260">
        <f t="shared" si="127"/>
        <v>0</v>
      </c>
      <c r="AN272" s="260">
        <f t="shared" si="128"/>
        <v>20</v>
      </c>
      <c r="AO272" s="130">
        <f t="shared" si="129"/>
        <v>0.2</v>
      </c>
      <c r="AP272" s="106">
        <v>177600</v>
      </c>
      <c r="AQ272" s="261">
        <f t="shared" si="142"/>
        <v>0.43275052039712075</v>
      </c>
      <c r="AR272" s="261">
        <f t="shared" si="130"/>
        <v>31.491257805956813</v>
      </c>
      <c r="AS272" s="107">
        <f t="shared" si="131"/>
        <v>1.2596503122382725</v>
      </c>
      <c r="AT272" s="105">
        <v>0</v>
      </c>
      <c r="AU272" s="105">
        <v>1</v>
      </c>
      <c r="AV272" s="262">
        <f t="shared" si="132"/>
        <v>25</v>
      </c>
      <c r="AW272" s="134">
        <v>0</v>
      </c>
      <c r="AX272" s="134"/>
      <c r="AY272" s="262">
        <f t="shared" si="133"/>
        <v>0</v>
      </c>
      <c r="AZ272" s="262">
        <f t="shared" si="134"/>
        <v>25</v>
      </c>
      <c r="BA272" s="38">
        <f t="shared" si="135"/>
        <v>0.25</v>
      </c>
      <c r="BB272" s="105">
        <v>0</v>
      </c>
      <c r="BC272" s="105">
        <v>0</v>
      </c>
      <c r="BD272" s="105">
        <v>0</v>
      </c>
      <c r="BE272" s="262">
        <f t="shared" si="136"/>
        <v>0</v>
      </c>
      <c r="BF272" s="262">
        <f t="shared" si="137"/>
        <v>50</v>
      </c>
      <c r="BG272" s="38">
        <f t="shared" si="138"/>
        <v>0.5</v>
      </c>
      <c r="BH272" s="255">
        <f t="shared" si="139"/>
        <v>13874758</v>
      </c>
      <c r="BI272" s="256">
        <f t="shared" si="140"/>
        <v>1.2553622660039698</v>
      </c>
      <c r="BJ272" s="256">
        <f t="shared" si="143"/>
        <v>34.415216995029773</v>
      </c>
      <c r="BK272" s="55">
        <f t="shared" si="141"/>
        <v>0.68830433990059547</v>
      </c>
      <c r="BL272" s="137">
        <f t="shared" si="144"/>
        <v>8.0979546521388688</v>
      </c>
    </row>
    <row r="273" spans="1:64" x14ac:dyDescent="0.6">
      <c r="A273" s="214" t="s">
        <v>1908</v>
      </c>
      <c r="B273" s="13" t="s">
        <v>2254</v>
      </c>
      <c r="C273" s="219" t="s">
        <v>542</v>
      </c>
      <c r="D273" s="216" t="s">
        <v>202</v>
      </c>
      <c r="E273" s="217" t="s">
        <v>954</v>
      </c>
      <c r="F273" s="217" t="s">
        <v>155</v>
      </c>
      <c r="G273" s="218">
        <v>32052</v>
      </c>
      <c r="H273" s="217" t="s">
        <v>830</v>
      </c>
      <c r="I273" s="217" t="s">
        <v>844</v>
      </c>
      <c r="J273" s="217" t="s">
        <v>1909</v>
      </c>
      <c r="K273" s="217" t="s">
        <v>407</v>
      </c>
      <c r="L273" s="220">
        <v>486136593</v>
      </c>
      <c r="M273" s="206">
        <v>256604490</v>
      </c>
      <c r="N273" s="206">
        <v>229532103</v>
      </c>
      <c r="O273" s="206">
        <v>766770906</v>
      </c>
      <c r="P273" s="206">
        <v>14724318</v>
      </c>
      <c r="Q273" s="206">
        <v>26927489</v>
      </c>
      <c r="R273" s="206">
        <v>22719488</v>
      </c>
      <c r="S273" s="105">
        <v>1</v>
      </c>
      <c r="T273" s="254">
        <f t="shared" si="116"/>
        <v>100</v>
      </c>
      <c r="U273" s="107">
        <f t="shared" si="117"/>
        <v>1</v>
      </c>
      <c r="V273" s="45">
        <v>7</v>
      </c>
      <c r="W273" s="45">
        <f>5+2</f>
        <v>7</v>
      </c>
      <c r="X273" s="255">
        <f t="shared" si="118"/>
        <v>0</v>
      </c>
      <c r="Y273" s="255">
        <f t="shared" si="119"/>
        <v>22</v>
      </c>
      <c r="Z273" s="256">
        <f t="shared" si="120"/>
        <v>0</v>
      </c>
      <c r="AA273" s="257">
        <f t="shared" si="121"/>
        <v>20</v>
      </c>
      <c r="AB273" s="116">
        <f t="shared" si="122"/>
        <v>0.2</v>
      </c>
      <c r="AC273" s="123">
        <v>416</v>
      </c>
      <c r="AD273" s="123">
        <v>438</v>
      </c>
      <c r="AE273" s="257">
        <f t="shared" si="123"/>
        <v>22</v>
      </c>
      <c r="AF273" s="258">
        <f t="shared" si="124"/>
        <v>5.2884615384615383</v>
      </c>
      <c r="AG273" s="257">
        <f t="shared" si="125"/>
        <v>100</v>
      </c>
      <c r="AH273" s="124">
        <f t="shared" si="126"/>
        <v>4</v>
      </c>
      <c r="AI273" s="105">
        <v>0</v>
      </c>
      <c r="AJ273" s="105">
        <v>0</v>
      </c>
      <c r="AK273" s="105">
        <v>0</v>
      </c>
      <c r="AL273" s="105">
        <v>0</v>
      </c>
      <c r="AM273" s="260">
        <f t="shared" si="127"/>
        <v>0</v>
      </c>
      <c r="AN273" s="260">
        <f t="shared" si="128"/>
        <v>20</v>
      </c>
      <c r="AO273" s="130">
        <f t="shared" si="129"/>
        <v>0.2</v>
      </c>
      <c r="AP273" s="106">
        <v>68089</v>
      </c>
      <c r="AQ273" s="261">
        <f t="shared" si="142"/>
        <v>0.29969425367332225</v>
      </c>
      <c r="AR273" s="261">
        <f t="shared" si="130"/>
        <v>29.495413805099833</v>
      </c>
      <c r="AS273" s="107">
        <f t="shared" si="131"/>
        <v>1.1798165522039934</v>
      </c>
      <c r="AT273" s="105">
        <v>0</v>
      </c>
      <c r="AU273" s="105">
        <v>1</v>
      </c>
      <c r="AV273" s="262">
        <f t="shared" si="132"/>
        <v>25</v>
      </c>
      <c r="AW273" s="134">
        <v>0</v>
      </c>
      <c r="AX273" s="134"/>
      <c r="AY273" s="262">
        <f t="shared" si="133"/>
        <v>0</v>
      </c>
      <c r="AZ273" s="262">
        <f t="shared" si="134"/>
        <v>25</v>
      </c>
      <c r="BA273" s="38">
        <f t="shared" si="135"/>
        <v>0.25</v>
      </c>
      <c r="BB273" s="105">
        <v>0</v>
      </c>
      <c r="BC273" s="105">
        <v>0</v>
      </c>
      <c r="BD273" s="105">
        <v>0</v>
      </c>
      <c r="BE273" s="262">
        <f t="shared" si="136"/>
        <v>0</v>
      </c>
      <c r="BF273" s="262">
        <f t="shared" si="137"/>
        <v>50</v>
      </c>
      <c r="BG273" s="38">
        <f t="shared" si="138"/>
        <v>0.5</v>
      </c>
      <c r="BH273" s="255">
        <f t="shared" si="139"/>
        <v>4208001</v>
      </c>
      <c r="BI273" s="256">
        <f t="shared" si="140"/>
        <v>0.54879507908715564</v>
      </c>
      <c r="BJ273" s="256">
        <f t="shared" si="143"/>
        <v>29.115963093153667</v>
      </c>
      <c r="BK273" s="55">
        <f t="shared" si="141"/>
        <v>0.58231926186307337</v>
      </c>
      <c r="BL273" s="137">
        <f t="shared" si="144"/>
        <v>7.9121358140670672</v>
      </c>
    </row>
    <row r="274" spans="1:64" x14ac:dyDescent="0.6">
      <c r="A274" s="214" t="s">
        <v>182</v>
      </c>
      <c r="B274" s="13" t="s">
        <v>2255</v>
      </c>
      <c r="C274" s="219" t="s">
        <v>345</v>
      </c>
      <c r="D274" s="216" t="s">
        <v>191</v>
      </c>
      <c r="E274" s="217" t="s">
        <v>1029</v>
      </c>
      <c r="F274" s="217" t="s">
        <v>1000</v>
      </c>
      <c r="G274" s="218">
        <v>27208</v>
      </c>
      <c r="H274" s="217" t="s">
        <v>830</v>
      </c>
      <c r="I274" s="217" t="s">
        <v>662</v>
      </c>
      <c r="J274" s="217" t="s">
        <v>1207</v>
      </c>
      <c r="K274" s="217" t="s">
        <v>91</v>
      </c>
      <c r="L274" s="220">
        <v>339571178</v>
      </c>
      <c r="M274" s="206">
        <v>63823811</v>
      </c>
      <c r="N274" s="206">
        <v>275747368</v>
      </c>
      <c r="O274" s="206">
        <v>336657527</v>
      </c>
      <c r="P274" s="206">
        <v>25257329</v>
      </c>
      <c r="Q274" s="206">
        <v>26498807</v>
      </c>
      <c r="R274" s="206">
        <v>20001837</v>
      </c>
      <c r="S274" s="105">
        <v>1</v>
      </c>
      <c r="T274" s="254">
        <f t="shared" si="116"/>
        <v>100</v>
      </c>
      <c r="U274" s="107">
        <f t="shared" si="117"/>
        <v>1</v>
      </c>
      <c r="V274" s="45">
        <v>16</v>
      </c>
      <c r="W274" s="45">
        <v>15</v>
      </c>
      <c r="X274" s="255">
        <f t="shared" si="118"/>
        <v>-1</v>
      </c>
      <c r="Y274" s="255">
        <f t="shared" si="119"/>
        <v>5</v>
      </c>
      <c r="Z274" s="256">
        <f t="shared" si="120"/>
        <v>-20</v>
      </c>
      <c r="AA274" s="257">
        <f t="shared" si="121"/>
        <v>20</v>
      </c>
      <c r="AB274" s="116">
        <f t="shared" si="122"/>
        <v>0.2</v>
      </c>
      <c r="AC274" s="123">
        <v>397</v>
      </c>
      <c r="AD274" s="123">
        <v>402</v>
      </c>
      <c r="AE274" s="257">
        <f t="shared" si="123"/>
        <v>5</v>
      </c>
      <c r="AF274" s="258">
        <f t="shared" si="124"/>
        <v>1.2594458438287155</v>
      </c>
      <c r="AG274" s="257">
        <f t="shared" si="125"/>
        <v>60</v>
      </c>
      <c r="AH274" s="124">
        <f t="shared" si="126"/>
        <v>2.4</v>
      </c>
      <c r="AI274" s="105">
        <v>0</v>
      </c>
      <c r="AJ274" s="105">
        <v>0</v>
      </c>
      <c r="AK274" s="105">
        <v>0</v>
      </c>
      <c r="AL274" s="105">
        <v>0</v>
      </c>
      <c r="AM274" s="260">
        <f t="shared" si="127"/>
        <v>0</v>
      </c>
      <c r="AN274" s="260">
        <f t="shared" si="128"/>
        <v>20</v>
      </c>
      <c r="AO274" s="130">
        <f t="shared" si="129"/>
        <v>0.2</v>
      </c>
      <c r="AP274" s="106">
        <v>3750</v>
      </c>
      <c r="AQ274" s="261">
        <f t="shared" si="142"/>
        <v>1.8748277970668394E-2</v>
      </c>
      <c r="AR274" s="261">
        <f t="shared" si="130"/>
        <v>25.281224169560026</v>
      </c>
      <c r="AS274" s="107">
        <f t="shared" si="131"/>
        <v>1.0112489667824012</v>
      </c>
      <c r="AT274" s="105">
        <v>0</v>
      </c>
      <c r="AU274" s="105">
        <v>1</v>
      </c>
      <c r="AV274" s="262">
        <f t="shared" si="132"/>
        <v>25</v>
      </c>
      <c r="AW274" s="134">
        <v>0</v>
      </c>
      <c r="AX274" s="134"/>
      <c r="AY274" s="262">
        <f t="shared" si="133"/>
        <v>0</v>
      </c>
      <c r="AZ274" s="262">
        <f t="shared" si="134"/>
        <v>25</v>
      </c>
      <c r="BA274" s="38">
        <f t="shared" si="135"/>
        <v>0.25</v>
      </c>
      <c r="BB274" s="105">
        <v>0</v>
      </c>
      <c r="BC274" s="105">
        <v>0</v>
      </c>
      <c r="BD274" s="105">
        <v>0</v>
      </c>
      <c r="BE274" s="262">
        <f t="shared" si="136"/>
        <v>0</v>
      </c>
      <c r="BF274" s="262">
        <f t="shared" si="137"/>
        <v>50</v>
      </c>
      <c r="BG274" s="38">
        <f t="shared" si="138"/>
        <v>0.5</v>
      </c>
      <c r="BH274" s="255">
        <f t="shared" si="139"/>
        <v>6496970</v>
      </c>
      <c r="BI274" s="256">
        <f t="shared" si="140"/>
        <v>1.9298454598343202</v>
      </c>
      <c r="BJ274" s="256">
        <f t="shared" si="143"/>
        <v>39.473840948757399</v>
      </c>
      <c r="BK274" s="55">
        <f t="shared" si="141"/>
        <v>0.78947681897514799</v>
      </c>
      <c r="BL274" s="137">
        <f t="shared" si="144"/>
        <v>6.3507257857575485</v>
      </c>
    </row>
    <row r="275" spans="1:64" x14ac:dyDescent="0.6">
      <c r="A275" s="214" t="s">
        <v>948</v>
      </c>
      <c r="B275" s="13" t="s">
        <v>2256</v>
      </c>
      <c r="C275" s="219" t="s">
        <v>915</v>
      </c>
      <c r="D275" s="216" t="s">
        <v>203</v>
      </c>
      <c r="E275" s="217" t="s">
        <v>187</v>
      </c>
      <c r="F275" s="217" t="s">
        <v>603</v>
      </c>
      <c r="G275" s="218">
        <v>32365</v>
      </c>
      <c r="H275" s="217" t="s">
        <v>830</v>
      </c>
      <c r="I275" s="217" t="s">
        <v>233</v>
      </c>
      <c r="J275" s="217" t="s">
        <v>1113</v>
      </c>
      <c r="K275" s="217" t="s">
        <v>484</v>
      </c>
      <c r="L275" s="220">
        <v>172340454</v>
      </c>
      <c r="M275" s="206">
        <v>59384706</v>
      </c>
      <c r="N275" s="206">
        <v>112955748</v>
      </c>
      <c r="O275" s="206">
        <v>301642199</v>
      </c>
      <c r="P275" s="206">
        <v>35071601</v>
      </c>
      <c r="Q275" s="206">
        <v>36329377</v>
      </c>
      <c r="R275" s="206">
        <v>26721327</v>
      </c>
      <c r="S275" s="105">
        <v>1</v>
      </c>
      <c r="T275" s="254">
        <f t="shared" si="116"/>
        <v>100</v>
      </c>
      <c r="U275" s="107">
        <f t="shared" si="117"/>
        <v>1</v>
      </c>
      <c r="V275" s="45">
        <v>28</v>
      </c>
      <c r="W275" s="45">
        <v>30</v>
      </c>
      <c r="X275" s="255">
        <f t="shared" si="118"/>
        <v>2</v>
      </c>
      <c r="Y275" s="255">
        <f t="shared" si="119"/>
        <v>1</v>
      </c>
      <c r="Z275" s="256">
        <f t="shared" si="120"/>
        <v>200</v>
      </c>
      <c r="AA275" s="257">
        <f t="shared" si="121"/>
        <v>100</v>
      </c>
      <c r="AB275" s="116">
        <f t="shared" si="122"/>
        <v>1</v>
      </c>
      <c r="AC275" s="123">
        <v>105</v>
      </c>
      <c r="AD275" s="123">
        <v>106</v>
      </c>
      <c r="AE275" s="257">
        <f t="shared" si="123"/>
        <v>1</v>
      </c>
      <c r="AF275" s="258">
        <f t="shared" si="124"/>
        <v>0.95238095238095244</v>
      </c>
      <c r="AG275" s="257">
        <f t="shared" si="125"/>
        <v>60</v>
      </c>
      <c r="AH275" s="124">
        <f t="shared" si="126"/>
        <v>2.4</v>
      </c>
      <c r="AI275" s="105">
        <v>0</v>
      </c>
      <c r="AJ275" s="105">
        <v>0</v>
      </c>
      <c r="AK275" s="105">
        <v>0</v>
      </c>
      <c r="AL275" s="105">
        <v>0</v>
      </c>
      <c r="AM275" s="260">
        <f t="shared" si="127"/>
        <v>0</v>
      </c>
      <c r="AN275" s="260">
        <f t="shared" si="128"/>
        <v>20</v>
      </c>
      <c r="AO275" s="130">
        <f t="shared" si="129"/>
        <v>0.2</v>
      </c>
      <c r="AP275" s="106">
        <v>18000</v>
      </c>
      <c r="AQ275" s="261">
        <f t="shared" si="142"/>
        <v>6.7361924054145969E-2</v>
      </c>
      <c r="AR275" s="261">
        <f t="shared" si="130"/>
        <v>26.010428860812191</v>
      </c>
      <c r="AS275" s="107">
        <f t="shared" si="131"/>
        <v>1.0404171544324876</v>
      </c>
      <c r="AT275" s="105">
        <v>0</v>
      </c>
      <c r="AU275" s="105">
        <v>1</v>
      </c>
      <c r="AV275" s="262">
        <f t="shared" si="132"/>
        <v>25</v>
      </c>
      <c r="AW275" s="134">
        <v>0</v>
      </c>
      <c r="AX275" s="134"/>
      <c r="AY275" s="262">
        <f t="shared" si="133"/>
        <v>0</v>
      </c>
      <c r="AZ275" s="262">
        <f t="shared" si="134"/>
        <v>25</v>
      </c>
      <c r="BA275" s="38">
        <f t="shared" si="135"/>
        <v>0.25</v>
      </c>
      <c r="BB275" s="105">
        <v>0</v>
      </c>
      <c r="BC275" s="105">
        <v>0</v>
      </c>
      <c r="BD275" s="105">
        <v>0</v>
      </c>
      <c r="BE275" s="262">
        <f t="shared" si="136"/>
        <v>0</v>
      </c>
      <c r="BF275" s="262">
        <f t="shared" si="137"/>
        <v>50</v>
      </c>
      <c r="BG275" s="38">
        <f t="shared" si="138"/>
        <v>0.5</v>
      </c>
      <c r="BH275" s="255">
        <f t="shared" si="139"/>
        <v>9608050</v>
      </c>
      <c r="BI275" s="256">
        <f t="shared" si="140"/>
        <v>3.1852473002293684</v>
      </c>
      <c r="BJ275" s="256">
        <f t="shared" si="143"/>
        <v>48.889354751720262</v>
      </c>
      <c r="BK275" s="55">
        <f t="shared" si="141"/>
        <v>0.97778709503440531</v>
      </c>
      <c r="BL275" s="137">
        <f t="shared" si="144"/>
        <v>7.3682042494668938</v>
      </c>
    </row>
    <row r="276" spans="1:64" x14ac:dyDescent="0.6">
      <c r="A276" s="214" t="s">
        <v>853</v>
      </c>
      <c r="B276" s="13" t="s">
        <v>2257</v>
      </c>
      <c r="C276" s="219" t="s">
        <v>886</v>
      </c>
      <c r="D276" s="216" t="s">
        <v>285</v>
      </c>
      <c r="E276" s="217" t="s">
        <v>1167</v>
      </c>
      <c r="F276" s="217" t="s">
        <v>1125</v>
      </c>
      <c r="G276" s="218">
        <v>40661</v>
      </c>
      <c r="H276" s="217" t="s">
        <v>830</v>
      </c>
      <c r="I276" s="217" t="s">
        <v>715</v>
      </c>
      <c r="J276" s="217" t="s">
        <v>1129</v>
      </c>
      <c r="K276" s="217" t="s">
        <v>690</v>
      </c>
      <c r="L276" s="220">
        <v>332695360</v>
      </c>
      <c r="M276" s="206">
        <v>183900048</v>
      </c>
      <c r="N276" s="206">
        <v>148795312</v>
      </c>
      <c r="O276" s="206">
        <v>283702516</v>
      </c>
      <c r="P276" s="206">
        <v>5425717</v>
      </c>
      <c r="Q276" s="206">
        <v>6710645</v>
      </c>
      <c r="R276" s="206">
        <v>3799292</v>
      </c>
      <c r="S276" s="105">
        <v>1</v>
      </c>
      <c r="T276" s="254">
        <f t="shared" si="116"/>
        <v>100</v>
      </c>
      <c r="U276" s="107">
        <f t="shared" si="117"/>
        <v>1</v>
      </c>
      <c r="V276" s="45">
        <v>61</v>
      </c>
      <c r="W276" s="45">
        <f>34+29</f>
        <v>63</v>
      </c>
      <c r="X276" s="255">
        <f t="shared" si="118"/>
        <v>2</v>
      </c>
      <c r="Y276" s="255">
        <f t="shared" si="119"/>
        <v>58</v>
      </c>
      <c r="Z276" s="256">
        <f t="shared" si="120"/>
        <v>3.4482758620689653</v>
      </c>
      <c r="AA276" s="257">
        <f t="shared" si="121"/>
        <v>20</v>
      </c>
      <c r="AB276" s="116">
        <f t="shared" si="122"/>
        <v>0.2</v>
      </c>
      <c r="AC276" s="123">
        <v>1028</v>
      </c>
      <c r="AD276" s="123">
        <v>1086</v>
      </c>
      <c r="AE276" s="257">
        <f t="shared" si="123"/>
        <v>58</v>
      </c>
      <c r="AF276" s="258">
        <f t="shared" si="124"/>
        <v>5.6420233463035023</v>
      </c>
      <c r="AG276" s="257">
        <f t="shared" si="125"/>
        <v>100</v>
      </c>
      <c r="AH276" s="124">
        <f t="shared" si="126"/>
        <v>4</v>
      </c>
      <c r="AI276" s="105">
        <v>0</v>
      </c>
      <c r="AJ276" s="105">
        <v>0</v>
      </c>
      <c r="AK276" s="105">
        <v>0</v>
      </c>
      <c r="AL276" s="105">
        <v>0</v>
      </c>
      <c r="AM276" s="260">
        <f t="shared" si="127"/>
        <v>0</v>
      </c>
      <c r="AN276" s="260">
        <f t="shared" si="128"/>
        <v>20</v>
      </c>
      <c r="AO276" s="130">
        <f t="shared" si="129"/>
        <v>0.2</v>
      </c>
      <c r="AP276" s="106">
        <v>29400</v>
      </c>
      <c r="AQ276" s="261">
        <f t="shared" si="142"/>
        <v>0.77382838697315182</v>
      </c>
      <c r="AR276" s="261">
        <f t="shared" si="130"/>
        <v>36.607425804597277</v>
      </c>
      <c r="AS276" s="107">
        <f t="shared" si="131"/>
        <v>1.4642970321838911</v>
      </c>
      <c r="AT276" s="105">
        <v>0</v>
      </c>
      <c r="AU276" s="105">
        <v>1</v>
      </c>
      <c r="AV276" s="262">
        <f t="shared" si="132"/>
        <v>25</v>
      </c>
      <c r="AW276" s="134">
        <v>0</v>
      </c>
      <c r="AX276" s="134"/>
      <c r="AY276" s="262">
        <f t="shared" si="133"/>
        <v>0</v>
      </c>
      <c r="AZ276" s="262">
        <f t="shared" si="134"/>
        <v>25</v>
      </c>
      <c r="BA276" s="38">
        <f t="shared" si="135"/>
        <v>0.25</v>
      </c>
      <c r="BB276" s="105">
        <v>0</v>
      </c>
      <c r="BC276" s="105">
        <v>0</v>
      </c>
      <c r="BD276" s="105">
        <v>0</v>
      </c>
      <c r="BE276" s="262">
        <f t="shared" si="136"/>
        <v>0</v>
      </c>
      <c r="BF276" s="262">
        <f t="shared" si="137"/>
        <v>50</v>
      </c>
      <c r="BG276" s="38">
        <f t="shared" si="138"/>
        <v>0.5</v>
      </c>
      <c r="BH276" s="255">
        <f t="shared" si="139"/>
        <v>2911353</v>
      </c>
      <c r="BI276" s="256">
        <f t="shared" si="140"/>
        <v>1.0261992177750021</v>
      </c>
      <c r="BJ276" s="256">
        <f t="shared" si="143"/>
        <v>32.696494133312513</v>
      </c>
      <c r="BK276" s="55">
        <f t="shared" si="141"/>
        <v>0.6539298826662503</v>
      </c>
      <c r="BL276" s="137">
        <f t="shared" si="144"/>
        <v>8.2682269148501426</v>
      </c>
    </row>
    <row r="277" spans="1:64" x14ac:dyDescent="0.6">
      <c r="A277" s="214" t="s">
        <v>1910</v>
      </c>
      <c r="B277" s="13" t="s">
        <v>2258</v>
      </c>
      <c r="C277" s="219" t="s">
        <v>1911</v>
      </c>
      <c r="D277" s="14" t="s">
        <v>203</v>
      </c>
      <c r="E277" s="217" t="s">
        <v>195</v>
      </c>
      <c r="F277" s="217" t="s">
        <v>1912</v>
      </c>
      <c r="G277" s="218">
        <v>25549</v>
      </c>
      <c r="H277" s="217" t="s">
        <v>830</v>
      </c>
      <c r="I277" s="217" t="s">
        <v>1913</v>
      </c>
      <c r="J277" s="1" t="s">
        <v>3764</v>
      </c>
      <c r="K277" s="217" t="s">
        <v>484</v>
      </c>
      <c r="L277" s="220">
        <v>319037628</v>
      </c>
      <c r="M277" s="206">
        <v>46527487</v>
      </c>
      <c r="N277" s="206">
        <v>272510141</v>
      </c>
      <c r="O277" s="206">
        <v>118960265</v>
      </c>
      <c r="P277" s="206">
        <v>9521305</v>
      </c>
      <c r="Q277" s="206">
        <v>26092874</v>
      </c>
      <c r="R277" s="206">
        <v>23518478</v>
      </c>
      <c r="S277" s="105">
        <v>1</v>
      </c>
      <c r="T277" s="254">
        <f t="shared" si="116"/>
        <v>100</v>
      </c>
      <c r="U277" s="107">
        <f t="shared" si="117"/>
        <v>1</v>
      </c>
      <c r="V277" s="45">
        <v>3</v>
      </c>
      <c r="W277" s="45">
        <v>2</v>
      </c>
      <c r="X277" s="255">
        <f t="shared" si="118"/>
        <v>-1</v>
      </c>
      <c r="Y277" s="255">
        <f t="shared" si="119"/>
        <v>-10</v>
      </c>
      <c r="Z277" s="256">
        <f t="shared" si="120"/>
        <v>-100</v>
      </c>
      <c r="AA277" s="257">
        <f t="shared" si="121"/>
        <v>20</v>
      </c>
      <c r="AB277" s="116">
        <f t="shared" si="122"/>
        <v>0.2</v>
      </c>
      <c r="AC277" s="123">
        <v>152</v>
      </c>
      <c r="AD277" s="123">
        <v>142</v>
      </c>
      <c r="AE277" s="257">
        <f t="shared" si="123"/>
        <v>-10</v>
      </c>
      <c r="AF277" s="258">
        <f t="shared" si="124"/>
        <v>-6.5789473684210522</v>
      </c>
      <c r="AG277" s="257">
        <f t="shared" si="125"/>
        <v>20</v>
      </c>
      <c r="AH277" s="124">
        <f t="shared" si="126"/>
        <v>0.8</v>
      </c>
      <c r="AI277" s="105">
        <v>0</v>
      </c>
      <c r="AJ277" s="105">
        <v>0</v>
      </c>
      <c r="AK277" s="105">
        <v>0</v>
      </c>
      <c r="AL277" s="105">
        <v>0</v>
      </c>
      <c r="AM277" s="260">
        <f t="shared" si="127"/>
        <v>0</v>
      </c>
      <c r="AN277" s="260">
        <f t="shared" si="128"/>
        <v>20</v>
      </c>
      <c r="AO277" s="130">
        <f t="shared" si="129"/>
        <v>0.2</v>
      </c>
      <c r="AP277" s="106">
        <v>293869</v>
      </c>
      <c r="AQ277" s="261">
        <f t="shared" si="142"/>
        <v>1.2495238850065042</v>
      </c>
      <c r="AR277" s="261">
        <f t="shared" si="130"/>
        <v>43.742858275097561</v>
      </c>
      <c r="AS277" s="107">
        <f t="shared" si="131"/>
        <v>1.7497143310039025</v>
      </c>
      <c r="AT277" s="105">
        <v>0</v>
      </c>
      <c r="AU277" s="105">
        <v>0</v>
      </c>
      <c r="AV277" s="262">
        <f t="shared" si="132"/>
        <v>0</v>
      </c>
      <c r="AW277" s="134">
        <v>0</v>
      </c>
      <c r="AX277" s="134"/>
      <c r="AY277" s="262">
        <f t="shared" si="133"/>
        <v>0</v>
      </c>
      <c r="AZ277" s="262">
        <f t="shared" si="134"/>
        <v>0</v>
      </c>
      <c r="BA277" s="38">
        <f t="shared" si="135"/>
        <v>0</v>
      </c>
      <c r="BB277" s="105">
        <v>0</v>
      </c>
      <c r="BC277" s="105">
        <v>0</v>
      </c>
      <c r="BD277" s="105">
        <v>0</v>
      </c>
      <c r="BE277" s="262">
        <f t="shared" si="136"/>
        <v>0</v>
      </c>
      <c r="BF277" s="262">
        <f t="shared" si="137"/>
        <v>50</v>
      </c>
      <c r="BG277" s="38">
        <f t="shared" si="138"/>
        <v>0.5</v>
      </c>
      <c r="BH277" s="255">
        <f t="shared" si="139"/>
        <v>2574396</v>
      </c>
      <c r="BI277" s="256">
        <f t="shared" si="140"/>
        <v>2.1640805860679615</v>
      </c>
      <c r="BJ277" s="256">
        <f t="shared" si="143"/>
        <v>41.230604395509715</v>
      </c>
      <c r="BK277" s="55">
        <f t="shared" si="141"/>
        <v>0.82461208791019436</v>
      </c>
      <c r="BL277" s="137">
        <f t="shared" si="144"/>
        <v>5.2743264189140966</v>
      </c>
    </row>
    <row r="278" spans="1:64" x14ac:dyDescent="0.6">
      <c r="A278" s="214" t="s">
        <v>1915</v>
      </c>
      <c r="B278" s="13" t="s">
        <v>2259</v>
      </c>
      <c r="C278" s="219" t="s">
        <v>887</v>
      </c>
      <c r="D278" s="216" t="s">
        <v>203</v>
      </c>
      <c r="E278" s="217" t="s">
        <v>1209</v>
      </c>
      <c r="F278" s="217" t="s">
        <v>151</v>
      </c>
      <c r="G278" s="218">
        <v>34888</v>
      </c>
      <c r="H278" s="217" t="s">
        <v>830</v>
      </c>
      <c r="I278" s="217" t="s">
        <v>615</v>
      </c>
      <c r="J278" s="217" t="s">
        <v>1094</v>
      </c>
      <c r="K278" s="217" t="s">
        <v>50</v>
      </c>
      <c r="L278" s="220">
        <v>573791494</v>
      </c>
      <c r="M278" s="206">
        <v>172708851</v>
      </c>
      <c r="N278" s="206">
        <v>401082642</v>
      </c>
      <c r="O278" s="206">
        <v>340208179</v>
      </c>
      <c r="P278" s="206">
        <v>28719054</v>
      </c>
      <c r="Q278" s="206">
        <v>9790753</v>
      </c>
      <c r="R278" s="206">
        <v>2174394</v>
      </c>
      <c r="S278" s="105">
        <v>1</v>
      </c>
      <c r="T278" s="254">
        <f t="shared" si="116"/>
        <v>100</v>
      </c>
      <c r="U278" s="107">
        <f t="shared" si="117"/>
        <v>1</v>
      </c>
      <c r="V278" s="45">
        <v>46</v>
      </c>
      <c r="W278" s="45">
        <f>44+10</f>
        <v>54</v>
      </c>
      <c r="X278" s="255">
        <f t="shared" si="118"/>
        <v>8</v>
      </c>
      <c r="Y278" s="255">
        <f t="shared" si="119"/>
        <v>-3</v>
      </c>
      <c r="Z278" s="256">
        <f t="shared" si="120"/>
        <v>800</v>
      </c>
      <c r="AA278" s="257">
        <f t="shared" si="121"/>
        <v>100</v>
      </c>
      <c r="AB278" s="116">
        <f t="shared" si="122"/>
        <v>1</v>
      </c>
      <c r="AC278" s="123">
        <v>484</v>
      </c>
      <c r="AD278" s="123">
        <v>481</v>
      </c>
      <c r="AE278" s="257">
        <f t="shared" si="123"/>
        <v>-3</v>
      </c>
      <c r="AF278" s="258">
        <f t="shared" si="124"/>
        <v>-0.6198347107438017</v>
      </c>
      <c r="AG278" s="257">
        <f t="shared" si="125"/>
        <v>20</v>
      </c>
      <c r="AH278" s="124">
        <f t="shared" si="126"/>
        <v>0.8</v>
      </c>
      <c r="AI278" s="105">
        <v>0</v>
      </c>
      <c r="AJ278" s="105">
        <v>0</v>
      </c>
      <c r="AK278" s="105">
        <v>0</v>
      </c>
      <c r="AL278" s="105">
        <v>0</v>
      </c>
      <c r="AM278" s="260">
        <f t="shared" si="127"/>
        <v>0</v>
      </c>
      <c r="AN278" s="260">
        <f t="shared" si="128"/>
        <v>20</v>
      </c>
      <c r="AO278" s="130">
        <f t="shared" si="129"/>
        <v>0.2</v>
      </c>
      <c r="AP278" s="106">
        <v>21650</v>
      </c>
      <c r="AQ278" s="261">
        <f t="shared" si="142"/>
        <v>0.99567971581967207</v>
      </c>
      <c r="AR278" s="261">
        <f t="shared" si="130"/>
        <v>39.935195737295082</v>
      </c>
      <c r="AS278" s="107">
        <f t="shared" si="131"/>
        <v>1.5974078294918033</v>
      </c>
      <c r="AT278" s="105">
        <v>0</v>
      </c>
      <c r="AU278" s="105">
        <v>1</v>
      </c>
      <c r="AV278" s="262">
        <f t="shared" si="132"/>
        <v>25</v>
      </c>
      <c r="AW278" s="134">
        <v>3</v>
      </c>
      <c r="AX278" s="134" t="s">
        <v>3616</v>
      </c>
      <c r="AY278" s="262">
        <f t="shared" si="133"/>
        <v>50</v>
      </c>
      <c r="AZ278" s="262">
        <f t="shared" si="134"/>
        <v>75</v>
      </c>
      <c r="BA278" s="38">
        <f t="shared" si="135"/>
        <v>0.75</v>
      </c>
      <c r="BB278" s="105">
        <v>0</v>
      </c>
      <c r="BC278" s="105">
        <v>0</v>
      </c>
      <c r="BD278" s="105">
        <v>0</v>
      </c>
      <c r="BE278" s="262">
        <f t="shared" si="136"/>
        <v>0</v>
      </c>
      <c r="BF278" s="262">
        <f t="shared" si="137"/>
        <v>50</v>
      </c>
      <c r="BG278" s="38">
        <f t="shared" si="138"/>
        <v>0.5</v>
      </c>
      <c r="BH278" s="255">
        <f t="shared" si="139"/>
        <v>7616359</v>
      </c>
      <c r="BI278" s="256">
        <f t="shared" si="140"/>
        <v>2.2387348306520285</v>
      </c>
      <c r="BJ278" s="256">
        <f t="shared" si="143"/>
        <v>41.790511229890214</v>
      </c>
      <c r="BK278" s="55">
        <f t="shared" si="141"/>
        <v>0.8358102245978043</v>
      </c>
      <c r="BL278" s="137">
        <f t="shared" si="144"/>
        <v>6.6832180540896076</v>
      </c>
    </row>
    <row r="279" spans="1:64" x14ac:dyDescent="0.6">
      <c r="A279" s="214" t="s">
        <v>1916</v>
      </c>
      <c r="B279" s="13" t="s">
        <v>2260</v>
      </c>
      <c r="C279" s="219" t="s">
        <v>1917</v>
      </c>
      <c r="D279" s="14" t="s">
        <v>203</v>
      </c>
      <c r="E279" s="217" t="s">
        <v>195</v>
      </c>
      <c r="F279" s="217" t="s">
        <v>1918</v>
      </c>
      <c r="G279" s="218">
        <v>32825</v>
      </c>
      <c r="H279" s="217" t="s">
        <v>830</v>
      </c>
      <c r="I279" s="217" t="s">
        <v>1919</v>
      </c>
      <c r="J279" s="1" t="s">
        <v>3765</v>
      </c>
      <c r="K279" s="217" t="s">
        <v>50</v>
      </c>
      <c r="L279" s="220">
        <v>549828404</v>
      </c>
      <c r="M279" s="206">
        <v>348575829</v>
      </c>
      <c r="N279" s="206">
        <v>201252575</v>
      </c>
      <c r="O279" s="206">
        <v>795939631</v>
      </c>
      <c r="P279" s="206">
        <v>30699585</v>
      </c>
      <c r="Q279" s="206">
        <v>32334911</v>
      </c>
      <c r="R279" s="206">
        <v>40221401</v>
      </c>
      <c r="S279" s="105">
        <v>1</v>
      </c>
      <c r="T279" s="254">
        <f t="shared" si="116"/>
        <v>100</v>
      </c>
      <c r="U279" s="107">
        <f t="shared" si="117"/>
        <v>1</v>
      </c>
      <c r="V279" s="45">
        <v>17</v>
      </c>
      <c r="W279" s="45">
        <v>13</v>
      </c>
      <c r="X279" s="255">
        <f t="shared" si="118"/>
        <v>-4</v>
      </c>
      <c r="Y279" s="255">
        <f t="shared" si="119"/>
        <v>48</v>
      </c>
      <c r="Z279" s="256">
        <f t="shared" si="120"/>
        <v>-8.3333333333333321</v>
      </c>
      <c r="AA279" s="257">
        <f t="shared" si="121"/>
        <v>20</v>
      </c>
      <c r="AB279" s="116">
        <f t="shared" si="122"/>
        <v>0.2</v>
      </c>
      <c r="AC279" s="123">
        <v>474</v>
      </c>
      <c r="AD279" s="123">
        <v>522</v>
      </c>
      <c r="AE279" s="257">
        <f t="shared" si="123"/>
        <v>48</v>
      </c>
      <c r="AF279" s="258">
        <f t="shared" si="124"/>
        <v>10.126582278481013</v>
      </c>
      <c r="AG279" s="257">
        <f t="shared" si="125"/>
        <v>100</v>
      </c>
      <c r="AH279" s="124">
        <f t="shared" si="126"/>
        <v>4</v>
      </c>
      <c r="AI279" s="105">
        <v>0</v>
      </c>
      <c r="AJ279" s="105">
        <v>0</v>
      </c>
      <c r="AK279" s="105">
        <v>0</v>
      </c>
      <c r="AL279" s="105">
        <v>0</v>
      </c>
      <c r="AM279" s="260">
        <f t="shared" si="127"/>
        <v>0</v>
      </c>
      <c r="AN279" s="260">
        <f t="shared" si="128"/>
        <v>20</v>
      </c>
      <c r="AO279" s="130">
        <f t="shared" si="129"/>
        <v>0.2</v>
      </c>
      <c r="AP279" s="440">
        <v>0</v>
      </c>
      <c r="AQ279" s="261">
        <f t="shared" si="142"/>
        <v>0</v>
      </c>
      <c r="AR279" s="261">
        <f t="shared" si="130"/>
        <v>25</v>
      </c>
      <c r="AS279" s="107">
        <f t="shared" si="131"/>
        <v>1</v>
      </c>
      <c r="AT279" s="105">
        <v>0</v>
      </c>
      <c r="AU279" s="105">
        <v>0</v>
      </c>
      <c r="AV279" s="262">
        <f t="shared" si="132"/>
        <v>0</v>
      </c>
      <c r="AW279" s="134">
        <v>0</v>
      </c>
      <c r="AX279" s="134"/>
      <c r="AY279" s="262">
        <f t="shared" si="133"/>
        <v>0</v>
      </c>
      <c r="AZ279" s="262">
        <f t="shared" si="134"/>
        <v>0</v>
      </c>
      <c r="BA279" s="38">
        <f t="shared" si="135"/>
        <v>0</v>
      </c>
      <c r="BB279" s="105">
        <v>0</v>
      </c>
      <c r="BC279" s="105">
        <v>0</v>
      </c>
      <c r="BD279" s="105">
        <v>0</v>
      </c>
      <c r="BE279" s="262">
        <f t="shared" si="136"/>
        <v>0</v>
      </c>
      <c r="BF279" s="262">
        <f t="shared" si="137"/>
        <v>50</v>
      </c>
      <c r="BG279" s="38">
        <f t="shared" si="138"/>
        <v>0.5</v>
      </c>
      <c r="BH279" s="255">
        <f t="shared" si="139"/>
        <v>-7886490</v>
      </c>
      <c r="BI279" s="256">
        <f t="shared" si="140"/>
        <v>-0.99084022114737502</v>
      </c>
      <c r="BJ279" s="256">
        <f t="shared" si="143"/>
        <v>25</v>
      </c>
      <c r="BK279" s="55">
        <f t="shared" si="141"/>
        <v>0.5</v>
      </c>
      <c r="BL279" s="137">
        <f t="shared" si="144"/>
        <v>7.4</v>
      </c>
    </row>
    <row r="280" spans="1:64" x14ac:dyDescent="0.6">
      <c r="A280" s="214" t="s">
        <v>794</v>
      </c>
      <c r="B280" s="13" t="s">
        <v>2261</v>
      </c>
      <c r="C280" s="219" t="s">
        <v>516</v>
      </c>
      <c r="D280" s="216" t="s">
        <v>191</v>
      </c>
      <c r="E280" s="217" t="s">
        <v>34</v>
      </c>
      <c r="F280" s="217" t="s">
        <v>642</v>
      </c>
      <c r="G280" s="218">
        <v>27941</v>
      </c>
      <c r="H280" s="217" t="s">
        <v>830</v>
      </c>
      <c r="I280" s="217" t="s">
        <v>284</v>
      </c>
      <c r="J280" s="217" t="s">
        <v>1146</v>
      </c>
      <c r="K280" s="217" t="s">
        <v>91</v>
      </c>
      <c r="L280" s="220">
        <v>888665301</v>
      </c>
      <c r="M280" s="206">
        <v>485651737</v>
      </c>
      <c r="N280" s="206">
        <v>403013565</v>
      </c>
      <c r="O280" s="206">
        <v>536574431</v>
      </c>
      <c r="P280" s="206">
        <v>29103159</v>
      </c>
      <c r="Q280" s="206">
        <v>20616127</v>
      </c>
      <c r="R280" s="206">
        <v>17834953</v>
      </c>
      <c r="S280" s="105">
        <v>1</v>
      </c>
      <c r="T280" s="254">
        <f t="shared" si="116"/>
        <v>100</v>
      </c>
      <c r="U280" s="107">
        <f t="shared" si="117"/>
        <v>1</v>
      </c>
      <c r="V280" s="45">
        <v>390</v>
      </c>
      <c r="W280" s="45">
        <v>398</v>
      </c>
      <c r="X280" s="255">
        <f t="shared" si="118"/>
        <v>8</v>
      </c>
      <c r="Y280" s="255">
        <f t="shared" si="119"/>
        <v>4</v>
      </c>
      <c r="Z280" s="256">
        <f t="shared" si="120"/>
        <v>200</v>
      </c>
      <c r="AA280" s="257">
        <f t="shared" si="121"/>
        <v>100</v>
      </c>
      <c r="AB280" s="116">
        <f t="shared" si="122"/>
        <v>1</v>
      </c>
      <c r="AC280" s="123">
        <v>922</v>
      </c>
      <c r="AD280" s="123">
        <v>926</v>
      </c>
      <c r="AE280" s="257">
        <f t="shared" si="123"/>
        <v>4</v>
      </c>
      <c r="AF280" s="258">
        <f t="shared" si="124"/>
        <v>0.43383947939262474</v>
      </c>
      <c r="AG280" s="257">
        <f t="shared" si="125"/>
        <v>40</v>
      </c>
      <c r="AH280" s="124">
        <f t="shared" si="126"/>
        <v>1.6</v>
      </c>
      <c r="AI280" s="105">
        <v>0</v>
      </c>
      <c r="AJ280" s="105">
        <v>0</v>
      </c>
      <c r="AK280" s="105">
        <v>0</v>
      </c>
      <c r="AL280" s="105">
        <v>0</v>
      </c>
      <c r="AM280" s="260">
        <f t="shared" si="127"/>
        <v>0</v>
      </c>
      <c r="AN280" s="260">
        <f t="shared" si="128"/>
        <v>20</v>
      </c>
      <c r="AO280" s="130">
        <f t="shared" si="129"/>
        <v>0.2</v>
      </c>
      <c r="AP280" s="106">
        <v>1054469</v>
      </c>
      <c r="AQ280" s="261">
        <f t="shared" si="142"/>
        <v>5.9123733042638236</v>
      </c>
      <c r="AR280" s="261">
        <f t="shared" si="130"/>
        <v>100</v>
      </c>
      <c r="AS280" s="107">
        <f t="shared" si="131"/>
        <v>4</v>
      </c>
      <c r="AT280" s="105">
        <v>1</v>
      </c>
      <c r="AU280" s="105">
        <v>1</v>
      </c>
      <c r="AV280" s="262">
        <f t="shared" si="132"/>
        <v>50</v>
      </c>
      <c r="AW280" s="134">
        <v>3</v>
      </c>
      <c r="AX280" s="134" t="s">
        <v>3617</v>
      </c>
      <c r="AY280" s="262">
        <f t="shared" si="133"/>
        <v>50</v>
      </c>
      <c r="AZ280" s="262">
        <f t="shared" si="134"/>
        <v>100</v>
      </c>
      <c r="BA280" s="38">
        <f t="shared" si="135"/>
        <v>1</v>
      </c>
      <c r="BB280" s="105">
        <v>0</v>
      </c>
      <c r="BC280" s="105">
        <v>0</v>
      </c>
      <c r="BD280" s="105">
        <v>0</v>
      </c>
      <c r="BE280" s="262">
        <f t="shared" si="136"/>
        <v>0</v>
      </c>
      <c r="BF280" s="262">
        <f t="shared" si="137"/>
        <v>50</v>
      </c>
      <c r="BG280" s="38">
        <f t="shared" si="138"/>
        <v>0.5</v>
      </c>
      <c r="BH280" s="255">
        <f t="shared" si="139"/>
        <v>2781174</v>
      </c>
      <c r="BI280" s="256">
        <f t="shared" si="140"/>
        <v>0.51832026263659214</v>
      </c>
      <c r="BJ280" s="256">
        <f t="shared" si="143"/>
        <v>28.887401969774441</v>
      </c>
      <c r="BK280" s="55">
        <f t="shared" si="141"/>
        <v>0.5777480393954888</v>
      </c>
      <c r="BL280" s="137">
        <f t="shared" si="144"/>
        <v>9.87774803939549</v>
      </c>
    </row>
    <row r="281" spans="1:64" x14ac:dyDescent="0.6">
      <c r="A281" s="214" t="s">
        <v>43</v>
      </c>
      <c r="B281" s="13" t="s">
        <v>2262</v>
      </c>
      <c r="C281" s="219" t="s">
        <v>298</v>
      </c>
      <c r="D281" s="216" t="s">
        <v>285</v>
      </c>
      <c r="E281" s="217" t="s">
        <v>1167</v>
      </c>
      <c r="F281" s="217" t="s">
        <v>385</v>
      </c>
      <c r="G281" s="218">
        <v>39987</v>
      </c>
      <c r="H281" s="217" t="s">
        <v>830</v>
      </c>
      <c r="I281" s="217" t="s">
        <v>274</v>
      </c>
      <c r="J281" s="217" t="s">
        <v>1244</v>
      </c>
      <c r="K281" s="217" t="s">
        <v>91</v>
      </c>
      <c r="L281" s="220">
        <v>217613616</v>
      </c>
      <c r="M281" s="206">
        <v>69409850</v>
      </c>
      <c r="N281" s="206">
        <v>148203766</v>
      </c>
      <c r="O281" s="206">
        <v>174397667</v>
      </c>
      <c r="P281" s="206">
        <v>12289879</v>
      </c>
      <c r="Q281" s="206">
        <v>16933913</v>
      </c>
      <c r="R281" s="206">
        <v>14379092</v>
      </c>
      <c r="S281" s="105">
        <v>1</v>
      </c>
      <c r="T281" s="254">
        <f t="shared" si="116"/>
        <v>100</v>
      </c>
      <c r="U281" s="107">
        <f t="shared" si="117"/>
        <v>1</v>
      </c>
      <c r="V281" s="45">
        <v>84</v>
      </c>
      <c r="W281" s="45">
        <v>98</v>
      </c>
      <c r="X281" s="255">
        <f t="shared" si="118"/>
        <v>14</v>
      </c>
      <c r="Y281" s="255">
        <f t="shared" si="119"/>
        <v>54</v>
      </c>
      <c r="Z281" s="256">
        <f t="shared" si="120"/>
        <v>25.925925925925924</v>
      </c>
      <c r="AA281" s="257">
        <f t="shared" si="121"/>
        <v>60</v>
      </c>
      <c r="AB281" s="116">
        <f t="shared" si="122"/>
        <v>0.6</v>
      </c>
      <c r="AC281" s="123">
        <v>552</v>
      </c>
      <c r="AD281" s="123">
        <v>606</v>
      </c>
      <c r="AE281" s="257">
        <f t="shared" si="123"/>
        <v>54</v>
      </c>
      <c r="AF281" s="258">
        <f t="shared" si="124"/>
        <v>9.7826086956521738</v>
      </c>
      <c r="AG281" s="257">
        <f t="shared" si="125"/>
        <v>100</v>
      </c>
      <c r="AH281" s="124">
        <f t="shared" si="126"/>
        <v>4</v>
      </c>
      <c r="AI281" s="105">
        <v>0</v>
      </c>
      <c r="AJ281" s="105">
        <v>0</v>
      </c>
      <c r="AK281" s="105">
        <v>0</v>
      </c>
      <c r="AL281" s="105">
        <v>0</v>
      </c>
      <c r="AM281" s="260">
        <f t="shared" si="127"/>
        <v>0</v>
      </c>
      <c r="AN281" s="260">
        <f t="shared" si="128"/>
        <v>20</v>
      </c>
      <c r="AO281" s="130">
        <f t="shared" si="129"/>
        <v>0.2</v>
      </c>
      <c r="AP281" s="106">
        <v>1247403</v>
      </c>
      <c r="AQ281" s="261">
        <f t="shared" si="142"/>
        <v>8.6751166207156896</v>
      </c>
      <c r="AR281" s="261">
        <f t="shared" si="130"/>
        <v>100</v>
      </c>
      <c r="AS281" s="107">
        <f t="shared" si="131"/>
        <v>4</v>
      </c>
      <c r="AT281" s="105">
        <v>0</v>
      </c>
      <c r="AU281" s="105">
        <v>1</v>
      </c>
      <c r="AV281" s="262">
        <f t="shared" si="132"/>
        <v>25</v>
      </c>
      <c r="AW281" s="134">
        <v>3</v>
      </c>
      <c r="AX281" s="134" t="s">
        <v>3618</v>
      </c>
      <c r="AY281" s="262">
        <f t="shared" si="133"/>
        <v>50</v>
      </c>
      <c r="AZ281" s="262">
        <f t="shared" si="134"/>
        <v>75</v>
      </c>
      <c r="BA281" s="38">
        <f t="shared" si="135"/>
        <v>0.75</v>
      </c>
      <c r="BB281" s="105">
        <v>0</v>
      </c>
      <c r="BC281" s="105">
        <v>0</v>
      </c>
      <c r="BD281" s="105">
        <v>0</v>
      </c>
      <c r="BE281" s="262">
        <f t="shared" si="136"/>
        <v>0</v>
      </c>
      <c r="BF281" s="262">
        <f t="shared" si="137"/>
        <v>50</v>
      </c>
      <c r="BG281" s="38">
        <f t="shared" si="138"/>
        <v>0.5</v>
      </c>
      <c r="BH281" s="255">
        <f t="shared" si="139"/>
        <v>2554821</v>
      </c>
      <c r="BI281" s="256">
        <f t="shared" si="140"/>
        <v>1.4649398950961885</v>
      </c>
      <c r="BJ281" s="256">
        <f t="shared" si="143"/>
        <v>35.987049213221411</v>
      </c>
      <c r="BK281" s="55">
        <f t="shared" si="141"/>
        <v>0.71974098426442823</v>
      </c>
      <c r="BL281" s="137">
        <f t="shared" si="144"/>
        <v>11.769740984264429</v>
      </c>
    </row>
    <row r="282" spans="1:64" x14ac:dyDescent="0.6">
      <c r="A282" s="214" t="s">
        <v>935</v>
      </c>
      <c r="B282" s="13" t="s">
        <v>2263</v>
      </c>
      <c r="C282" s="219" t="s">
        <v>463</v>
      </c>
      <c r="D282" s="216" t="s">
        <v>202</v>
      </c>
      <c r="E282" s="217" t="s">
        <v>572</v>
      </c>
      <c r="F282" s="217" t="s">
        <v>660</v>
      </c>
      <c r="G282" s="218">
        <v>38555</v>
      </c>
      <c r="H282" s="217" t="s">
        <v>830</v>
      </c>
      <c r="I282" s="217" t="s">
        <v>764</v>
      </c>
      <c r="J282" s="217" t="s">
        <v>1224</v>
      </c>
      <c r="K282" s="217" t="s">
        <v>346</v>
      </c>
      <c r="L282" s="220">
        <v>441490503</v>
      </c>
      <c r="M282" s="206">
        <v>66273961</v>
      </c>
      <c r="N282" s="206">
        <v>375216542</v>
      </c>
      <c r="O282" s="206">
        <v>323948862</v>
      </c>
      <c r="P282" s="206">
        <v>109531252</v>
      </c>
      <c r="Q282" s="206">
        <v>126178452</v>
      </c>
      <c r="R282" s="206">
        <v>91469843</v>
      </c>
      <c r="S282" s="105">
        <v>0</v>
      </c>
      <c r="T282" s="254">
        <f t="shared" si="116"/>
        <v>0</v>
      </c>
      <c r="U282" s="107">
        <f t="shared" si="117"/>
        <v>0</v>
      </c>
      <c r="V282" s="45">
        <v>30</v>
      </c>
      <c r="W282" s="45">
        <v>32</v>
      </c>
      <c r="X282" s="255">
        <f t="shared" si="118"/>
        <v>2</v>
      </c>
      <c r="Y282" s="255">
        <f t="shared" si="119"/>
        <v>-11</v>
      </c>
      <c r="Z282" s="256">
        <f t="shared" si="120"/>
        <v>200</v>
      </c>
      <c r="AA282" s="257">
        <f t="shared" si="121"/>
        <v>100</v>
      </c>
      <c r="AB282" s="116">
        <f t="shared" si="122"/>
        <v>1</v>
      </c>
      <c r="AC282" s="123">
        <v>648</v>
      </c>
      <c r="AD282" s="123">
        <v>637</v>
      </c>
      <c r="AE282" s="257">
        <f t="shared" si="123"/>
        <v>-11</v>
      </c>
      <c r="AF282" s="258">
        <f t="shared" si="124"/>
        <v>-1.6975308641975309</v>
      </c>
      <c r="AG282" s="257">
        <f t="shared" si="125"/>
        <v>20</v>
      </c>
      <c r="AH282" s="124">
        <f t="shared" si="126"/>
        <v>0.8</v>
      </c>
      <c r="AI282" s="105">
        <v>0</v>
      </c>
      <c r="AJ282" s="105">
        <v>0</v>
      </c>
      <c r="AK282" s="105">
        <v>0</v>
      </c>
      <c r="AL282" s="105">
        <v>0</v>
      </c>
      <c r="AM282" s="260">
        <f t="shared" si="127"/>
        <v>0</v>
      </c>
      <c r="AN282" s="260">
        <f t="shared" si="128"/>
        <v>20</v>
      </c>
      <c r="AO282" s="130">
        <f t="shared" si="129"/>
        <v>0.2</v>
      </c>
      <c r="AP282" s="106">
        <v>70000</v>
      </c>
      <c r="AQ282" s="261">
        <f t="shared" si="142"/>
        <v>7.6527954683381277E-2</v>
      </c>
      <c r="AR282" s="261">
        <f t="shared" si="130"/>
        <v>26.147919320250718</v>
      </c>
      <c r="AS282" s="107">
        <f t="shared" si="131"/>
        <v>1.0459167728100287</v>
      </c>
      <c r="AT282" s="105">
        <v>0</v>
      </c>
      <c r="AU282" s="105">
        <v>1</v>
      </c>
      <c r="AV282" s="262">
        <f t="shared" si="132"/>
        <v>25</v>
      </c>
      <c r="AW282" s="134">
        <v>2</v>
      </c>
      <c r="AX282" s="134" t="s">
        <v>3586</v>
      </c>
      <c r="AY282" s="262">
        <f t="shared" si="133"/>
        <v>25</v>
      </c>
      <c r="AZ282" s="262">
        <f t="shared" si="134"/>
        <v>50</v>
      </c>
      <c r="BA282" s="38">
        <f t="shared" si="135"/>
        <v>0.5</v>
      </c>
      <c r="BB282" s="105">
        <v>0</v>
      </c>
      <c r="BC282" s="105">
        <v>0</v>
      </c>
      <c r="BD282" s="105">
        <v>0</v>
      </c>
      <c r="BE282" s="262">
        <f t="shared" si="136"/>
        <v>0</v>
      </c>
      <c r="BF282" s="262">
        <f t="shared" si="137"/>
        <v>50</v>
      </c>
      <c r="BG282" s="38">
        <f t="shared" si="138"/>
        <v>0.5</v>
      </c>
      <c r="BH282" s="255">
        <f t="shared" si="139"/>
        <v>34708609</v>
      </c>
      <c r="BI282" s="256">
        <f t="shared" si="140"/>
        <v>10.714224703774388</v>
      </c>
      <c r="BJ282" s="256">
        <f t="shared" si="143"/>
        <v>100</v>
      </c>
      <c r="BK282" s="55">
        <f t="shared" si="141"/>
        <v>2</v>
      </c>
      <c r="BL282" s="137">
        <f t="shared" si="144"/>
        <v>6.0459167728100285</v>
      </c>
    </row>
    <row r="283" spans="1:64" x14ac:dyDescent="0.6">
      <c r="A283" s="214" t="s">
        <v>462</v>
      </c>
      <c r="B283" s="13" t="s">
        <v>2264</v>
      </c>
      <c r="C283" s="219" t="s">
        <v>893</v>
      </c>
      <c r="D283" s="216" t="s">
        <v>191</v>
      </c>
      <c r="E283" s="217" t="s">
        <v>34</v>
      </c>
      <c r="F283" s="217" t="s">
        <v>818</v>
      </c>
      <c r="G283" s="218">
        <v>40389</v>
      </c>
      <c r="H283" s="217" t="s">
        <v>830</v>
      </c>
      <c r="I283" s="217" t="s">
        <v>1921</v>
      </c>
      <c r="J283" s="1" t="s">
        <v>2309</v>
      </c>
      <c r="K283" s="217" t="s">
        <v>690</v>
      </c>
      <c r="L283" s="220">
        <v>1399293783</v>
      </c>
      <c r="M283" s="206">
        <v>813470761</v>
      </c>
      <c r="N283" s="206">
        <v>585823022</v>
      </c>
      <c r="O283" s="206">
        <v>982048866</v>
      </c>
      <c r="P283" s="206">
        <v>79110747</v>
      </c>
      <c r="Q283" s="206">
        <v>59432696</v>
      </c>
      <c r="R283" s="206">
        <v>50327230</v>
      </c>
      <c r="S283" s="105">
        <v>1</v>
      </c>
      <c r="T283" s="254">
        <f t="shared" si="116"/>
        <v>100</v>
      </c>
      <c r="U283" s="107">
        <f t="shared" si="117"/>
        <v>1</v>
      </c>
      <c r="V283" s="45">
        <v>628</v>
      </c>
      <c r="W283" s="45">
        <v>637</v>
      </c>
      <c r="X283" s="255">
        <f t="shared" si="118"/>
        <v>9</v>
      </c>
      <c r="Y283" s="255">
        <f t="shared" si="119"/>
        <v>63</v>
      </c>
      <c r="Z283" s="256">
        <f t="shared" si="120"/>
        <v>14.285714285714285</v>
      </c>
      <c r="AA283" s="257">
        <f t="shared" si="121"/>
        <v>40</v>
      </c>
      <c r="AB283" s="116">
        <f t="shared" si="122"/>
        <v>0.4</v>
      </c>
      <c r="AC283" s="123">
        <v>2142</v>
      </c>
      <c r="AD283" s="123">
        <v>2205</v>
      </c>
      <c r="AE283" s="257">
        <f t="shared" si="123"/>
        <v>63</v>
      </c>
      <c r="AF283" s="258">
        <f t="shared" si="124"/>
        <v>2.9411764705882351</v>
      </c>
      <c r="AG283" s="257">
        <f t="shared" si="125"/>
        <v>100</v>
      </c>
      <c r="AH283" s="124">
        <f t="shared" si="126"/>
        <v>4</v>
      </c>
      <c r="AI283" s="105">
        <v>0</v>
      </c>
      <c r="AJ283" s="105">
        <v>0</v>
      </c>
      <c r="AK283" s="105">
        <v>0</v>
      </c>
      <c r="AL283" s="105">
        <v>0</v>
      </c>
      <c r="AM283" s="260">
        <f t="shared" si="127"/>
        <v>0</v>
      </c>
      <c r="AN283" s="260">
        <f t="shared" si="128"/>
        <v>20</v>
      </c>
      <c r="AO283" s="130">
        <f t="shared" si="129"/>
        <v>0.2</v>
      </c>
      <c r="AP283" s="106">
        <v>5735148</v>
      </c>
      <c r="AQ283" s="261">
        <f t="shared" si="142"/>
        <v>11.395715599686293</v>
      </c>
      <c r="AR283" s="261">
        <f t="shared" si="130"/>
        <v>100</v>
      </c>
      <c r="AS283" s="107">
        <f t="shared" si="131"/>
        <v>4</v>
      </c>
      <c r="AT283" s="105">
        <v>0</v>
      </c>
      <c r="AU283" s="105">
        <v>1</v>
      </c>
      <c r="AV283" s="262">
        <f t="shared" si="132"/>
        <v>25</v>
      </c>
      <c r="AW283" s="134">
        <v>3</v>
      </c>
      <c r="AX283" s="134" t="s">
        <v>3619</v>
      </c>
      <c r="AY283" s="262">
        <f t="shared" si="133"/>
        <v>50</v>
      </c>
      <c r="AZ283" s="262">
        <f t="shared" si="134"/>
        <v>75</v>
      </c>
      <c r="BA283" s="38">
        <f t="shared" si="135"/>
        <v>0.75</v>
      </c>
      <c r="BB283" s="105">
        <v>1</v>
      </c>
      <c r="BC283" s="105">
        <v>0</v>
      </c>
      <c r="BD283" s="105">
        <v>1</v>
      </c>
      <c r="BE283" s="262">
        <f t="shared" si="136"/>
        <v>2</v>
      </c>
      <c r="BF283" s="262">
        <f t="shared" si="137"/>
        <v>100</v>
      </c>
      <c r="BG283" s="38">
        <f t="shared" si="138"/>
        <v>1</v>
      </c>
      <c r="BH283" s="255">
        <f t="shared" si="139"/>
        <v>9105466</v>
      </c>
      <c r="BI283" s="256">
        <f t="shared" si="140"/>
        <v>0.92719072494708221</v>
      </c>
      <c r="BJ283" s="256">
        <f t="shared" si="143"/>
        <v>31.953930437103118</v>
      </c>
      <c r="BK283" s="55">
        <f t="shared" si="141"/>
        <v>0.63907860874206235</v>
      </c>
      <c r="BL283" s="137">
        <f t="shared" si="144"/>
        <v>11.989078608742064</v>
      </c>
    </row>
    <row r="284" spans="1:64" x14ac:dyDescent="0.6">
      <c r="A284" s="214" t="s">
        <v>1922</v>
      </c>
      <c r="B284" s="13" t="s">
        <v>2265</v>
      </c>
      <c r="C284" s="219" t="s">
        <v>882</v>
      </c>
      <c r="D284" s="216" t="s">
        <v>191</v>
      </c>
      <c r="E284" s="217" t="s">
        <v>190</v>
      </c>
      <c r="F284" s="217" t="s">
        <v>677</v>
      </c>
      <c r="G284" s="218">
        <v>35249</v>
      </c>
      <c r="H284" s="217" t="s">
        <v>830</v>
      </c>
      <c r="I284" s="217" t="s">
        <v>835</v>
      </c>
      <c r="J284" s="217" t="s">
        <v>1208</v>
      </c>
      <c r="K284" s="217" t="s">
        <v>91</v>
      </c>
      <c r="L284" s="220">
        <v>1687627808</v>
      </c>
      <c r="M284" s="206">
        <v>342539051</v>
      </c>
      <c r="N284" s="206">
        <v>1345088757</v>
      </c>
      <c r="O284" s="206">
        <v>1537082442</v>
      </c>
      <c r="P284" s="206">
        <v>174260144</v>
      </c>
      <c r="Q284" s="206">
        <v>166140393</v>
      </c>
      <c r="R284" s="206">
        <v>125065962</v>
      </c>
      <c r="S284" s="105">
        <v>1</v>
      </c>
      <c r="T284" s="254">
        <f t="shared" si="116"/>
        <v>100</v>
      </c>
      <c r="U284" s="107">
        <f t="shared" si="117"/>
        <v>1</v>
      </c>
      <c r="V284" s="45">
        <v>1009</v>
      </c>
      <c r="W284" s="45">
        <v>1073</v>
      </c>
      <c r="X284" s="255">
        <f t="shared" si="118"/>
        <v>64</v>
      </c>
      <c r="Y284" s="255">
        <f t="shared" si="119"/>
        <v>73</v>
      </c>
      <c r="Z284" s="256">
        <f t="shared" si="120"/>
        <v>87.671232876712324</v>
      </c>
      <c r="AA284" s="257">
        <f t="shared" si="121"/>
        <v>100</v>
      </c>
      <c r="AB284" s="116">
        <f t="shared" si="122"/>
        <v>1</v>
      </c>
      <c r="AC284" s="123">
        <v>1429</v>
      </c>
      <c r="AD284" s="123">
        <v>1502</v>
      </c>
      <c r="AE284" s="257">
        <f t="shared" si="123"/>
        <v>73</v>
      </c>
      <c r="AF284" s="258">
        <f t="shared" si="124"/>
        <v>5.1084674597620712</v>
      </c>
      <c r="AG284" s="257">
        <f t="shared" si="125"/>
        <v>100</v>
      </c>
      <c r="AH284" s="124">
        <f t="shared" si="126"/>
        <v>4</v>
      </c>
      <c r="AI284" s="105">
        <v>0</v>
      </c>
      <c r="AJ284" s="105">
        <v>0</v>
      </c>
      <c r="AK284" s="105">
        <v>0</v>
      </c>
      <c r="AL284" s="105">
        <v>0</v>
      </c>
      <c r="AM284" s="260">
        <f t="shared" si="127"/>
        <v>0</v>
      </c>
      <c r="AN284" s="260">
        <f t="shared" si="128"/>
        <v>20</v>
      </c>
      <c r="AO284" s="130">
        <f t="shared" si="129"/>
        <v>0.2</v>
      </c>
      <c r="AP284" s="106">
        <v>6703266</v>
      </c>
      <c r="AQ284" s="261">
        <f t="shared" si="142"/>
        <v>5.3597844631779186</v>
      </c>
      <c r="AR284" s="261">
        <f t="shared" si="130"/>
        <v>100</v>
      </c>
      <c r="AS284" s="107">
        <f t="shared" si="131"/>
        <v>4</v>
      </c>
      <c r="AT284" s="105">
        <v>0</v>
      </c>
      <c r="AU284" s="105">
        <v>1</v>
      </c>
      <c r="AV284" s="262">
        <f t="shared" si="132"/>
        <v>25</v>
      </c>
      <c r="AW284" s="134">
        <v>3</v>
      </c>
      <c r="AX284" s="134" t="s">
        <v>3620</v>
      </c>
      <c r="AY284" s="262">
        <f t="shared" si="133"/>
        <v>50</v>
      </c>
      <c r="AZ284" s="262">
        <f t="shared" si="134"/>
        <v>75</v>
      </c>
      <c r="BA284" s="38">
        <f t="shared" si="135"/>
        <v>0.75</v>
      </c>
      <c r="BB284" s="105">
        <v>0</v>
      </c>
      <c r="BC284" s="105">
        <v>0</v>
      </c>
      <c r="BD284" s="105">
        <v>0</v>
      </c>
      <c r="BE284" s="262">
        <f t="shared" si="136"/>
        <v>0</v>
      </c>
      <c r="BF284" s="262">
        <f t="shared" si="137"/>
        <v>50</v>
      </c>
      <c r="BG284" s="38">
        <f t="shared" si="138"/>
        <v>0.5</v>
      </c>
      <c r="BH284" s="255">
        <f t="shared" si="139"/>
        <v>41074431</v>
      </c>
      <c r="BI284" s="256">
        <f t="shared" si="140"/>
        <v>2.6722334389920772</v>
      </c>
      <c r="BJ284" s="256">
        <f t="shared" si="143"/>
        <v>45.041750792440581</v>
      </c>
      <c r="BK284" s="55">
        <f t="shared" si="141"/>
        <v>0.90083501584881165</v>
      </c>
      <c r="BL284" s="137">
        <f t="shared" si="144"/>
        <v>12.35083501584881</v>
      </c>
    </row>
    <row r="285" spans="1:64" x14ac:dyDescent="0.6">
      <c r="A285" s="214" t="s">
        <v>904</v>
      </c>
      <c r="B285" s="13" t="s">
        <v>2266</v>
      </c>
      <c r="C285" s="219" t="s">
        <v>494</v>
      </c>
      <c r="D285" s="216" t="s">
        <v>191</v>
      </c>
      <c r="E285" s="217" t="s">
        <v>190</v>
      </c>
      <c r="F285" s="217" t="s">
        <v>920</v>
      </c>
      <c r="G285" s="218">
        <v>39892</v>
      </c>
      <c r="H285" s="217" t="s">
        <v>830</v>
      </c>
      <c r="I285" s="217" t="s">
        <v>1923</v>
      </c>
      <c r="J285" s="217" t="s">
        <v>1130</v>
      </c>
      <c r="K285" s="217" t="s">
        <v>91</v>
      </c>
      <c r="L285" s="220">
        <v>1063253032</v>
      </c>
      <c r="M285" s="206">
        <v>502967240</v>
      </c>
      <c r="N285" s="206">
        <v>560285793</v>
      </c>
      <c r="O285" s="206">
        <v>2146018022</v>
      </c>
      <c r="P285" s="206">
        <v>175483550</v>
      </c>
      <c r="Q285" s="206">
        <v>145218477</v>
      </c>
      <c r="R285" s="206">
        <v>104290709</v>
      </c>
      <c r="S285" s="105">
        <v>0</v>
      </c>
      <c r="T285" s="254">
        <f t="shared" si="116"/>
        <v>0</v>
      </c>
      <c r="U285" s="107">
        <f t="shared" si="117"/>
        <v>0</v>
      </c>
      <c r="V285" s="45">
        <v>345</v>
      </c>
      <c r="W285" s="45">
        <v>314</v>
      </c>
      <c r="X285" s="255">
        <f t="shared" si="118"/>
        <v>-31</v>
      </c>
      <c r="Y285" s="255">
        <f t="shared" si="119"/>
        <v>-69</v>
      </c>
      <c r="Z285" s="256">
        <f t="shared" si="120"/>
        <v>-3100</v>
      </c>
      <c r="AA285" s="257">
        <f t="shared" si="121"/>
        <v>20</v>
      </c>
      <c r="AB285" s="116">
        <f t="shared" si="122"/>
        <v>0.2</v>
      </c>
      <c r="AC285" s="123">
        <v>561</v>
      </c>
      <c r="AD285" s="123">
        <v>492</v>
      </c>
      <c r="AE285" s="257">
        <f t="shared" si="123"/>
        <v>-69</v>
      </c>
      <c r="AF285" s="258">
        <f t="shared" si="124"/>
        <v>-12.299465240641712</v>
      </c>
      <c r="AG285" s="257">
        <f t="shared" si="125"/>
        <v>20</v>
      </c>
      <c r="AH285" s="124">
        <f t="shared" si="126"/>
        <v>0.8</v>
      </c>
      <c r="AI285" s="105">
        <v>0</v>
      </c>
      <c r="AJ285" s="105">
        <v>0</v>
      </c>
      <c r="AK285" s="105">
        <v>0</v>
      </c>
      <c r="AL285" s="105">
        <v>0</v>
      </c>
      <c r="AM285" s="260">
        <f t="shared" si="127"/>
        <v>0</v>
      </c>
      <c r="AN285" s="260">
        <f t="shared" si="128"/>
        <v>20</v>
      </c>
      <c r="AO285" s="130">
        <f t="shared" si="129"/>
        <v>0.2</v>
      </c>
      <c r="AP285" s="440">
        <v>0</v>
      </c>
      <c r="AQ285" s="261">
        <f t="shared" si="142"/>
        <v>0</v>
      </c>
      <c r="AR285" s="261">
        <f t="shared" si="130"/>
        <v>25</v>
      </c>
      <c r="AS285" s="107">
        <f t="shared" si="131"/>
        <v>1</v>
      </c>
      <c r="AT285" s="105">
        <v>0</v>
      </c>
      <c r="AU285" s="105">
        <v>1</v>
      </c>
      <c r="AV285" s="262">
        <f t="shared" si="132"/>
        <v>25</v>
      </c>
      <c r="AW285" s="134">
        <v>0</v>
      </c>
      <c r="AX285" s="134"/>
      <c r="AY285" s="262">
        <f t="shared" si="133"/>
        <v>0</v>
      </c>
      <c r="AZ285" s="262">
        <f t="shared" si="134"/>
        <v>25</v>
      </c>
      <c r="BA285" s="38">
        <f t="shared" si="135"/>
        <v>0.25</v>
      </c>
      <c r="BB285" s="105">
        <v>0</v>
      </c>
      <c r="BC285" s="105">
        <v>0</v>
      </c>
      <c r="BD285" s="105">
        <v>0</v>
      </c>
      <c r="BE285" s="262">
        <f t="shared" si="136"/>
        <v>0</v>
      </c>
      <c r="BF285" s="262">
        <f t="shared" si="137"/>
        <v>50</v>
      </c>
      <c r="BG285" s="38">
        <f t="shared" si="138"/>
        <v>0.5</v>
      </c>
      <c r="BH285" s="255">
        <f t="shared" si="139"/>
        <v>40927768</v>
      </c>
      <c r="BI285" s="256">
        <f t="shared" si="140"/>
        <v>1.9071493147041243</v>
      </c>
      <c r="BJ285" s="256">
        <f t="shared" si="143"/>
        <v>39.303619860280932</v>
      </c>
      <c r="BK285" s="55">
        <f t="shared" si="141"/>
        <v>0.78607239720561861</v>
      </c>
      <c r="BL285" s="137">
        <f t="shared" si="144"/>
        <v>3.7360723972056187</v>
      </c>
    </row>
    <row r="286" spans="1:64" x14ac:dyDescent="0.6">
      <c r="A286" s="214" t="s">
        <v>929</v>
      </c>
      <c r="B286" s="13" t="s">
        <v>2267</v>
      </c>
      <c r="C286" s="219" t="s">
        <v>925</v>
      </c>
      <c r="D286" s="216" t="s">
        <v>285</v>
      </c>
      <c r="E286" s="217" t="s">
        <v>622</v>
      </c>
      <c r="F286" s="217" t="s">
        <v>142</v>
      </c>
      <c r="G286" s="218">
        <v>32825</v>
      </c>
      <c r="H286" s="217" t="s">
        <v>830</v>
      </c>
      <c r="I286" s="217" t="s">
        <v>825</v>
      </c>
      <c r="J286" s="217" t="s">
        <v>645</v>
      </c>
      <c r="K286" s="217" t="s">
        <v>91</v>
      </c>
      <c r="L286" s="220">
        <v>155630578</v>
      </c>
      <c r="M286" s="206">
        <v>90528054</v>
      </c>
      <c r="N286" s="206">
        <v>65102524</v>
      </c>
      <c r="O286" s="206">
        <v>645266960</v>
      </c>
      <c r="P286" s="206">
        <v>10863969</v>
      </c>
      <c r="Q286" s="206">
        <v>8506214</v>
      </c>
      <c r="R286" s="206">
        <v>6849115</v>
      </c>
      <c r="S286" s="105">
        <v>1</v>
      </c>
      <c r="T286" s="254">
        <f t="shared" si="116"/>
        <v>100</v>
      </c>
      <c r="U286" s="107">
        <f t="shared" si="117"/>
        <v>1</v>
      </c>
      <c r="V286" s="45">
        <v>66</v>
      </c>
      <c r="W286" s="45">
        <v>59</v>
      </c>
      <c r="X286" s="255">
        <f t="shared" si="118"/>
        <v>-7</v>
      </c>
      <c r="Y286" s="255">
        <f t="shared" si="119"/>
        <v>-99</v>
      </c>
      <c r="Z286" s="256">
        <f t="shared" si="120"/>
        <v>-700</v>
      </c>
      <c r="AA286" s="257">
        <f t="shared" si="121"/>
        <v>20</v>
      </c>
      <c r="AB286" s="116">
        <f t="shared" si="122"/>
        <v>0.2</v>
      </c>
      <c r="AC286" s="123">
        <v>360</v>
      </c>
      <c r="AD286" s="123">
        <v>261</v>
      </c>
      <c r="AE286" s="257">
        <f t="shared" si="123"/>
        <v>-99</v>
      </c>
      <c r="AF286" s="258">
        <f t="shared" si="124"/>
        <v>-27.500000000000004</v>
      </c>
      <c r="AG286" s="257">
        <f t="shared" si="125"/>
        <v>20</v>
      </c>
      <c r="AH286" s="124">
        <f t="shared" si="126"/>
        <v>0.8</v>
      </c>
      <c r="AI286" s="105">
        <v>0</v>
      </c>
      <c r="AJ286" s="105">
        <v>0</v>
      </c>
      <c r="AK286" s="105">
        <v>0</v>
      </c>
      <c r="AL286" s="105">
        <v>0</v>
      </c>
      <c r="AM286" s="260">
        <f t="shared" si="127"/>
        <v>0</v>
      </c>
      <c r="AN286" s="260">
        <f t="shared" si="128"/>
        <v>20</v>
      </c>
      <c r="AO286" s="130">
        <f t="shared" si="129"/>
        <v>0.2</v>
      </c>
      <c r="AP286" s="106">
        <v>100000</v>
      </c>
      <c r="AQ286" s="261">
        <f t="shared" si="142"/>
        <v>1.4600426478457436</v>
      </c>
      <c r="AR286" s="261">
        <f t="shared" si="130"/>
        <v>46.900639717686154</v>
      </c>
      <c r="AS286" s="107">
        <f t="shared" si="131"/>
        <v>1.8760255887074462</v>
      </c>
      <c r="AT286" s="105">
        <v>0</v>
      </c>
      <c r="AU286" s="105">
        <v>1</v>
      </c>
      <c r="AV286" s="262">
        <f t="shared" si="132"/>
        <v>25</v>
      </c>
      <c r="AW286" s="134">
        <v>0</v>
      </c>
      <c r="AX286" s="134"/>
      <c r="AY286" s="262">
        <f t="shared" si="133"/>
        <v>0</v>
      </c>
      <c r="AZ286" s="262">
        <f t="shared" si="134"/>
        <v>25</v>
      </c>
      <c r="BA286" s="38">
        <f t="shared" si="135"/>
        <v>0.25</v>
      </c>
      <c r="BB286" s="105">
        <v>0</v>
      </c>
      <c r="BC286" s="105">
        <v>0</v>
      </c>
      <c r="BD286" s="105">
        <v>0</v>
      </c>
      <c r="BE286" s="262">
        <f t="shared" si="136"/>
        <v>0</v>
      </c>
      <c r="BF286" s="262">
        <f t="shared" si="137"/>
        <v>50</v>
      </c>
      <c r="BG286" s="38">
        <f t="shared" si="138"/>
        <v>0.5</v>
      </c>
      <c r="BH286" s="255">
        <f t="shared" si="139"/>
        <v>1657099</v>
      </c>
      <c r="BI286" s="256">
        <f t="shared" si="140"/>
        <v>0.25680828288496282</v>
      </c>
      <c r="BJ286" s="256">
        <f t="shared" si="143"/>
        <v>26.926062121637223</v>
      </c>
      <c r="BK286" s="55">
        <f t="shared" si="141"/>
        <v>0.53852124243274446</v>
      </c>
      <c r="BL286" s="137">
        <f t="shared" si="144"/>
        <v>5.3645468311401912</v>
      </c>
    </row>
    <row r="287" spans="1:64" x14ac:dyDescent="0.6">
      <c r="A287" s="214" t="s">
        <v>467</v>
      </c>
      <c r="B287" s="13" t="s">
        <v>2268</v>
      </c>
      <c r="C287" s="219" t="s">
        <v>41</v>
      </c>
      <c r="D287" s="216" t="s">
        <v>203</v>
      </c>
      <c r="E287" s="217" t="s">
        <v>180</v>
      </c>
      <c r="F287" s="217" t="s">
        <v>135</v>
      </c>
      <c r="G287" s="218">
        <v>32648</v>
      </c>
      <c r="H287" s="217" t="s">
        <v>830</v>
      </c>
      <c r="I287" s="217" t="s">
        <v>788</v>
      </c>
      <c r="J287" s="217" t="s">
        <v>649</v>
      </c>
      <c r="K287" s="217" t="s">
        <v>91</v>
      </c>
      <c r="L287" s="220">
        <v>969016968</v>
      </c>
      <c r="M287" s="206">
        <v>318689082</v>
      </c>
      <c r="N287" s="206">
        <v>650327885</v>
      </c>
      <c r="O287" s="206">
        <v>637646664</v>
      </c>
      <c r="P287" s="206">
        <v>145266257</v>
      </c>
      <c r="Q287" s="206">
        <v>152220142</v>
      </c>
      <c r="R287" s="206">
        <v>120839991</v>
      </c>
      <c r="S287" s="105">
        <v>0</v>
      </c>
      <c r="T287" s="254">
        <f t="shared" si="116"/>
        <v>0</v>
      </c>
      <c r="U287" s="107">
        <f t="shared" si="117"/>
        <v>0</v>
      </c>
      <c r="V287" s="45">
        <v>76</v>
      </c>
      <c r="W287" s="45">
        <v>80</v>
      </c>
      <c r="X287" s="255">
        <f t="shared" si="118"/>
        <v>4</v>
      </c>
      <c r="Y287" s="255">
        <f t="shared" si="119"/>
        <v>30</v>
      </c>
      <c r="Z287" s="256">
        <f t="shared" si="120"/>
        <v>13.333333333333334</v>
      </c>
      <c r="AA287" s="257">
        <f t="shared" si="121"/>
        <v>40</v>
      </c>
      <c r="AB287" s="116">
        <f t="shared" si="122"/>
        <v>0.4</v>
      </c>
      <c r="AC287" s="123">
        <v>528</v>
      </c>
      <c r="AD287" s="123">
        <v>558</v>
      </c>
      <c r="AE287" s="257">
        <f t="shared" si="123"/>
        <v>30</v>
      </c>
      <c r="AF287" s="258">
        <f t="shared" si="124"/>
        <v>5.6818181818181817</v>
      </c>
      <c r="AG287" s="257">
        <f t="shared" si="125"/>
        <v>100</v>
      </c>
      <c r="AH287" s="124">
        <f t="shared" si="126"/>
        <v>4</v>
      </c>
      <c r="AI287" s="105">
        <v>0</v>
      </c>
      <c r="AJ287" s="105">
        <v>0</v>
      </c>
      <c r="AK287" s="105">
        <v>0</v>
      </c>
      <c r="AL287" s="105">
        <v>0</v>
      </c>
      <c r="AM287" s="260">
        <f t="shared" si="127"/>
        <v>0</v>
      </c>
      <c r="AN287" s="260">
        <f t="shared" si="128"/>
        <v>20</v>
      </c>
      <c r="AO287" s="130">
        <f t="shared" si="129"/>
        <v>0.2</v>
      </c>
      <c r="AP287" s="106">
        <v>169000</v>
      </c>
      <c r="AQ287" s="261">
        <f t="shared" si="142"/>
        <v>0.13985436327945439</v>
      </c>
      <c r="AR287" s="261">
        <f t="shared" si="130"/>
        <v>27.097815449191817</v>
      </c>
      <c r="AS287" s="107">
        <f t="shared" si="131"/>
        <v>1.0839126179676728</v>
      </c>
      <c r="AT287" s="105">
        <v>0</v>
      </c>
      <c r="AU287" s="105">
        <v>1</v>
      </c>
      <c r="AV287" s="262">
        <f t="shared" si="132"/>
        <v>25</v>
      </c>
      <c r="AW287" s="134">
        <v>0</v>
      </c>
      <c r="AX287" s="134"/>
      <c r="AY287" s="262">
        <f t="shared" si="133"/>
        <v>0</v>
      </c>
      <c r="AZ287" s="262">
        <f t="shared" si="134"/>
        <v>25</v>
      </c>
      <c r="BA287" s="38">
        <f t="shared" si="135"/>
        <v>0.25</v>
      </c>
      <c r="BB287" s="105">
        <v>0</v>
      </c>
      <c r="BC287" s="105">
        <v>0</v>
      </c>
      <c r="BD287" s="105">
        <v>0</v>
      </c>
      <c r="BE287" s="262">
        <f t="shared" si="136"/>
        <v>0</v>
      </c>
      <c r="BF287" s="262">
        <f t="shared" si="137"/>
        <v>50</v>
      </c>
      <c r="BG287" s="38">
        <f t="shared" si="138"/>
        <v>0.5</v>
      </c>
      <c r="BH287" s="255">
        <f t="shared" si="139"/>
        <v>31380151</v>
      </c>
      <c r="BI287" s="256">
        <f t="shared" si="140"/>
        <v>4.9212444401653768</v>
      </c>
      <c r="BJ287" s="256">
        <f t="shared" si="143"/>
        <v>61.909333301240324</v>
      </c>
      <c r="BK287" s="55">
        <f t="shared" si="141"/>
        <v>1.2381866660248064</v>
      </c>
      <c r="BL287" s="137">
        <f t="shared" si="144"/>
        <v>7.6720992839924795</v>
      </c>
    </row>
    <row r="288" spans="1:64" x14ac:dyDescent="0.6">
      <c r="A288" s="214" t="s">
        <v>296</v>
      </c>
      <c r="B288" s="13" t="s">
        <v>2269</v>
      </c>
      <c r="C288" s="219" t="s">
        <v>459</v>
      </c>
      <c r="D288" s="216" t="s">
        <v>285</v>
      </c>
      <c r="E288" s="217" t="s">
        <v>171</v>
      </c>
      <c r="F288" s="217" t="s">
        <v>168</v>
      </c>
      <c r="G288" s="218">
        <v>32659</v>
      </c>
      <c r="H288" s="217" t="s">
        <v>830</v>
      </c>
      <c r="I288" s="217" t="s">
        <v>630</v>
      </c>
      <c r="J288" s="217" t="s">
        <v>1223</v>
      </c>
      <c r="K288" s="217" t="s">
        <v>91</v>
      </c>
      <c r="L288" s="220">
        <v>121534902</v>
      </c>
      <c r="M288" s="206">
        <v>73176603</v>
      </c>
      <c r="N288" s="206">
        <v>48358299</v>
      </c>
      <c r="O288" s="206">
        <v>290909595</v>
      </c>
      <c r="P288" s="206">
        <v>4928985</v>
      </c>
      <c r="Q288" s="206">
        <v>3719511</v>
      </c>
      <c r="R288" s="206">
        <v>2563552</v>
      </c>
      <c r="S288" s="105">
        <v>1</v>
      </c>
      <c r="T288" s="254">
        <f t="shared" si="116"/>
        <v>100</v>
      </c>
      <c r="U288" s="107">
        <f t="shared" si="117"/>
        <v>1</v>
      </c>
      <c r="V288" s="45">
        <v>54</v>
      </c>
      <c r="W288" s="45">
        <f>20+45</f>
        <v>65</v>
      </c>
      <c r="X288" s="255">
        <f t="shared" si="118"/>
        <v>11</v>
      </c>
      <c r="Y288" s="255">
        <f t="shared" si="119"/>
        <v>47</v>
      </c>
      <c r="Z288" s="256">
        <f t="shared" si="120"/>
        <v>23.404255319148938</v>
      </c>
      <c r="AA288" s="257">
        <f t="shared" si="121"/>
        <v>60</v>
      </c>
      <c r="AB288" s="116">
        <f t="shared" si="122"/>
        <v>0.6</v>
      </c>
      <c r="AC288" s="123">
        <v>215</v>
      </c>
      <c r="AD288" s="123">
        <v>262</v>
      </c>
      <c r="AE288" s="257">
        <f t="shared" si="123"/>
        <v>47</v>
      </c>
      <c r="AF288" s="258">
        <f t="shared" si="124"/>
        <v>21.86046511627907</v>
      </c>
      <c r="AG288" s="257">
        <f t="shared" si="125"/>
        <v>100</v>
      </c>
      <c r="AH288" s="124">
        <f t="shared" si="126"/>
        <v>4</v>
      </c>
      <c r="AI288" s="105">
        <v>0</v>
      </c>
      <c r="AJ288" s="105">
        <v>0</v>
      </c>
      <c r="AK288" s="105">
        <v>0</v>
      </c>
      <c r="AL288" s="105">
        <v>0</v>
      </c>
      <c r="AM288" s="260">
        <f t="shared" si="127"/>
        <v>0</v>
      </c>
      <c r="AN288" s="260">
        <f t="shared" si="128"/>
        <v>20</v>
      </c>
      <c r="AO288" s="130">
        <f t="shared" si="129"/>
        <v>0.2</v>
      </c>
      <c r="AP288" s="106">
        <v>133000</v>
      </c>
      <c r="AQ288" s="261">
        <f t="shared" si="142"/>
        <v>5.1881139918363273</v>
      </c>
      <c r="AR288" s="261">
        <f t="shared" si="130"/>
        <v>100</v>
      </c>
      <c r="AS288" s="107">
        <f t="shared" si="131"/>
        <v>4</v>
      </c>
      <c r="AT288" s="105">
        <v>0</v>
      </c>
      <c r="AU288" s="105">
        <v>1</v>
      </c>
      <c r="AV288" s="262">
        <f t="shared" si="132"/>
        <v>25</v>
      </c>
      <c r="AW288" s="134">
        <v>0</v>
      </c>
      <c r="AX288" s="134"/>
      <c r="AY288" s="262">
        <f t="shared" si="133"/>
        <v>0</v>
      </c>
      <c r="AZ288" s="262">
        <f t="shared" si="134"/>
        <v>25</v>
      </c>
      <c r="BA288" s="38">
        <f t="shared" si="135"/>
        <v>0.25</v>
      </c>
      <c r="BB288" s="105">
        <v>0</v>
      </c>
      <c r="BC288" s="105">
        <v>0</v>
      </c>
      <c r="BD288" s="105">
        <v>0</v>
      </c>
      <c r="BE288" s="262">
        <f t="shared" si="136"/>
        <v>0</v>
      </c>
      <c r="BF288" s="262">
        <f t="shared" si="137"/>
        <v>50</v>
      </c>
      <c r="BG288" s="38">
        <f t="shared" si="138"/>
        <v>0.5</v>
      </c>
      <c r="BH288" s="255">
        <f t="shared" si="139"/>
        <v>1155959</v>
      </c>
      <c r="BI288" s="256">
        <f t="shared" si="140"/>
        <v>0.39736021769924779</v>
      </c>
      <c r="BJ288" s="256">
        <f t="shared" si="143"/>
        <v>27.980201632744357</v>
      </c>
      <c r="BK288" s="55">
        <f t="shared" si="141"/>
        <v>0.55960403265488712</v>
      </c>
      <c r="BL288" s="137">
        <f t="shared" si="144"/>
        <v>11.109604032654888</v>
      </c>
    </row>
    <row r="289" spans="1:64" x14ac:dyDescent="0.6">
      <c r="A289" s="214" t="s">
        <v>1924</v>
      </c>
      <c r="B289" s="13" t="s">
        <v>2270</v>
      </c>
      <c r="C289" s="219" t="s">
        <v>1925</v>
      </c>
      <c r="D289" s="14" t="s">
        <v>285</v>
      </c>
      <c r="E289" s="217" t="s">
        <v>872</v>
      </c>
      <c r="F289" s="217" t="s">
        <v>1926</v>
      </c>
      <c r="G289" s="218">
        <v>27948</v>
      </c>
      <c r="H289" s="217" t="s">
        <v>830</v>
      </c>
      <c r="I289" s="217" t="s">
        <v>1927</v>
      </c>
      <c r="J289" s="1" t="s">
        <v>3766</v>
      </c>
      <c r="K289" s="217" t="s">
        <v>690</v>
      </c>
      <c r="L289" s="220">
        <v>1997213424</v>
      </c>
      <c r="M289" s="206">
        <v>1274120644</v>
      </c>
      <c r="N289" s="206">
        <v>723092780</v>
      </c>
      <c r="O289" s="206">
        <v>1190595681</v>
      </c>
      <c r="P289" s="206">
        <v>36051365</v>
      </c>
      <c r="Q289" s="206">
        <v>66290683</v>
      </c>
      <c r="R289" s="206">
        <v>50369228</v>
      </c>
      <c r="S289" s="105">
        <v>0</v>
      </c>
      <c r="T289" s="254">
        <f t="shared" si="116"/>
        <v>0</v>
      </c>
      <c r="U289" s="107">
        <f t="shared" si="117"/>
        <v>0</v>
      </c>
      <c r="V289" s="45">
        <v>18</v>
      </c>
      <c r="W289" s="45">
        <v>25</v>
      </c>
      <c r="X289" s="255">
        <f t="shared" si="118"/>
        <v>7</v>
      </c>
      <c r="Y289" s="255">
        <f t="shared" si="119"/>
        <v>-52</v>
      </c>
      <c r="Z289" s="256">
        <f t="shared" si="120"/>
        <v>700</v>
      </c>
      <c r="AA289" s="257">
        <f t="shared" si="121"/>
        <v>100</v>
      </c>
      <c r="AB289" s="116">
        <f t="shared" si="122"/>
        <v>1</v>
      </c>
      <c r="AC289" s="123">
        <v>772</v>
      </c>
      <c r="AD289" s="123">
        <v>720</v>
      </c>
      <c r="AE289" s="257">
        <f t="shared" si="123"/>
        <v>-52</v>
      </c>
      <c r="AF289" s="258">
        <f t="shared" si="124"/>
        <v>-6.7357512953367875</v>
      </c>
      <c r="AG289" s="257">
        <f t="shared" si="125"/>
        <v>20</v>
      </c>
      <c r="AH289" s="124">
        <f t="shared" si="126"/>
        <v>0.8</v>
      </c>
      <c r="AI289" s="105">
        <v>0</v>
      </c>
      <c r="AJ289" s="105">
        <v>0</v>
      </c>
      <c r="AK289" s="105">
        <v>0</v>
      </c>
      <c r="AL289" s="105">
        <v>0</v>
      </c>
      <c r="AM289" s="260">
        <f t="shared" si="127"/>
        <v>0</v>
      </c>
      <c r="AN289" s="260">
        <f t="shared" si="128"/>
        <v>20</v>
      </c>
      <c r="AO289" s="130">
        <f t="shared" si="129"/>
        <v>0.2</v>
      </c>
      <c r="AP289" s="106">
        <v>196000</v>
      </c>
      <c r="AQ289" s="261">
        <f t="shared" si="142"/>
        <v>0.38912647221831548</v>
      </c>
      <c r="AR289" s="261">
        <f t="shared" si="130"/>
        <v>30.836897083274732</v>
      </c>
      <c r="AS289" s="107">
        <f t="shared" si="131"/>
        <v>1.2334758833309893</v>
      </c>
      <c r="AT289" s="105">
        <v>0</v>
      </c>
      <c r="AU289" s="105">
        <v>0</v>
      </c>
      <c r="AV289" s="262">
        <f t="shared" si="132"/>
        <v>0</v>
      </c>
      <c r="AW289" s="134">
        <v>0</v>
      </c>
      <c r="AX289" s="447"/>
      <c r="AY289" s="262">
        <f t="shared" si="133"/>
        <v>0</v>
      </c>
      <c r="AZ289" s="262">
        <f t="shared" si="134"/>
        <v>0</v>
      </c>
      <c r="BA289" s="38">
        <f t="shared" si="135"/>
        <v>0</v>
      </c>
      <c r="BB289" s="105">
        <v>0</v>
      </c>
      <c r="BC289" s="105">
        <v>0</v>
      </c>
      <c r="BD289" s="105">
        <v>0</v>
      </c>
      <c r="BE289" s="262">
        <f t="shared" si="136"/>
        <v>0</v>
      </c>
      <c r="BF289" s="262">
        <f t="shared" si="137"/>
        <v>50</v>
      </c>
      <c r="BG289" s="38">
        <f t="shared" si="138"/>
        <v>0.5</v>
      </c>
      <c r="BH289" s="255">
        <f t="shared" si="139"/>
        <v>15921455</v>
      </c>
      <c r="BI289" s="256">
        <f t="shared" si="140"/>
        <v>1.3372679956832465</v>
      </c>
      <c r="BJ289" s="256">
        <f t="shared" si="143"/>
        <v>35.02950996762435</v>
      </c>
      <c r="BK289" s="55">
        <f t="shared" si="141"/>
        <v>0.70059019935248701</v>
      </c>
      <c r="BL289" s="137">
        <f t="shared" si="144"/>
        <v>4.4340660826834757</v>
      </c>
    </row>
    <row r="290" spans="1:64" x14ac:dyDescent="0.6">
      <c r="A290" s="214" t="s">
        <v>1929</v>
      </c>
      <c r="B290" s="13" t="s">
        <v>2271</v>
      </c>
      <c r="C290" s="219" t="s">
        <v>928</v>
      </c>
      <c r="D290" s="221" t="s">
        <v>350</v>
      </c>
      <c r="E290" s="217" t="s">
        <v>179</v>
      </c>
      <c r="F290" s="217" t="s">
        <v>808</v>
      </c>
      <c r="G290" s="218">
        <v>32206</v>
      </c>
      <c r="H290" s="217" t="s">
        <v>830</v>
      </c>
      <c r="I290" s="217" t="s">
        <v>817</v>
      </c>
      <c r="J290" s="217" t="s">
        <v>1121</v>
      </c>
      <c r="K290" s="217" t="s">
        <v>91</v>
      </c>
      <c r="L290" s="220">
        <v>1502891064</v>
      </c>
      <c r="M290" s="206">
        <v>1043504163</v>
      </c>
      <c r="N290" s="206">
        <v>459386901</v>
      </c>
      <c r="O290" s="206">
        <v>1117144964</v>
      </c>
      <c r="P290" s="206">
        <v>37196835</v>
      </c>
      <c r="Q290" s="206">
        <v>35531502</v>
      </c>
      <c r="R290" s="206">
        <v>24033308</v>
      </c>
      <c r="S290" s="105">
        <v>1</v>
      </c>
      <c r="T290" s="254">
        <f t="shared" si="116"/>
        <v>100</v>
      </c>
      <c r="U290" s="107">
        <f t="shared" si="117"/>
        <v>1</v>
      </c>
      <c r="V290" s="45">
        <v>76</v>
      </c>
      <c r="W290" s="45">
        <f>19+33+24</f>
        <v>76</v>
      </c>
      <c r="X290" s="255">
        <f t="shared" si="118"/>
        <v>0</v>
      </c>
      <c r="Y290" s="255">
        <f t="shared" si="119"/>
        <v>15</v>
      </c>
      <c r="Z290" s="256">
        <f t="shared" si="120"/>
        <v>0</v>
      </c>
      <c r="AA290" s="257">
        <f t="shared" si="121"/>
        <v>20</v>
      </c>
      <c r="AB290" s="116">
        <f t="shared" si="122"/>
        <v>0.2</v>
      </c>
      <c r="AC290" s="123">
        <v>231</v>
      </c>
      <c r="AD290" s="123">
        <v>246</v>
      </c>
      <c r="AE290" s="257">
        <f t="shared" si="123"/>
        <v>15</v>
      </c>
      <c r="AF290" s="258">
        <f t="shared" si="124"/>
        <v>6.4935064935064926</v>
      </c>
      <c r="AG290" s="257">
        <f t="shared" si="125"/>
        <v>100</v>
      </c>
      <c r="AH290" s="124">
        <f t="shared" si="126"/>
        <v>4</v>
      </c>
      <c r="AI290" s="105">
        <v>0</v>
      </c>
      <c r="AJ290" s="105">
        <v>0</v>
      </c>
      <c r="AK290" s="105">
        <v>0</v>
      </c>
      <c r="AL290" s="105">
        <v>0</v>
      </c>
      <c r="AM290" s="260">
        <f t="shared" si="127"/>
        <v>0</v>
      </c>
      <c r="AN290" s="260">
        <f t="shared" si="128"/>
        <v>20</v>
      </c>
      <c r="AO290" s="130">
        <f t="shared" si="129"/>
        <v>0.2</v>
      </c>
      <c r="AP290" s="106">
        <v>1892290</v>
      </c>
      <c r="AQ290" s="261">
        <f t="shared" si="142"/>
        <v>7.873614402145555</v>
      </c>
      <c r="AR290" s="261">
        <f t="shared" si="130"/>
        <v>100</v>
      </c>
      <c r="AS290" s="107">
        <f t="shared" si="131"/>
        <v>4</v>
      </c>
      <c r="AT290" s="105">
        <v>0</v>
      </c>
      <c r="AU290" s="105">
        <v>1</v>
      </c>
      <c r="AV290" s="262">
        <f t="shared" si="132"/>
        <v>25</v>
      </c>
      <c r="AW290" s="134">
        <v>1</v>
      </c>
      <c r="AX290" s="134" t="s">
        <v>3621</v>
      </c>
      <c r="AY290" s="262">
        <f t="shared" si="133"/>
        <v>25</v>
      </c>
      <c r="AZ290" s="262">
        <f t="shared" si="134"/>
        <v>50</v>
      </c>
      <c r="BA290" s="38">
        <f t="shared" si="135"/>
        <v>0.5</v>
      </c>
      <c r="BB290" s="105">
        <v>0</v>
      </c>
      <c r="BC290" s="105">
        <v>0</v>
      </c>
      <c r="BD290" s="105">
        <v>0</v>
      </c>
      <c r="BE290" s="262">
        <f t="shared" si="136"/>
        <v>0</v>
      </c>
      <c r="BF290" s="262">
        <f t="shared" si="137"/>
        <v>50</v>
      </c>
      <c r="BG290" s="38">
        <f t="shared" si="138"/>
        <v>0.5</v>
      </c>
      <c r="BH290" s="255">
        <f t="shared" si="139"/>
        <v>11498194</v>
      </c>
      <c r="BI290" s="256">
        <f t="shared" si="140"/>
        <v>1.0292481612081994</v>
      </c>
      <c r="BJ290" s="256">
        <f t="shared" si="143"/>
        <v>32.719361209061496</v>
      </c>
      <c r="BK290" s="55">
        <f t="shared" si="141"/>
        <v>0.65438722418122997</v>
      </c>
      <c r="BL290" s="137">
        <f t="shared" si="144"/>
        <v>11.05438722418123</v>
      </c>
    </row>
    <row r="291" spans="1:64" x14ac:dyDescent="0.6">
      <c r="A291" s="214" t="s">
        <v>540</v>
      </c>
      <c r="B291" s="13" t="s">
        <v>2272</v>
      </c>
      <c r="C291" s="219" t="s">
        <v>902</v>
      </c>
      <c r="D291" s="216" t="s">
        <v>191</v>
      </c>
      <c r="E291" s="217" t="s">
        <v>34</v>
      </c>
      <c r="F291" s="217" t="s">
        <v>995</v>
      </c>
      <c r="G291" s="218">
        <v>32860</v>
      </c>
      <c r="H291" s="217" t="s">
        <v>830</v>
      </c>
      <c r="I291" s="217" t="s">
        <v>1930</v>
      </c>
      <c r="J291" s="217" t="s">
        <v>1134</v>
      </c>
      <c r="K291" s="217" t="s">
        <v>934</v>
      </c>
      <c r="L291" s="220">
        <v>213430249</v>
      </c>
      <c r="M291" s="206">
        <v>44956203</v>
      </c>
      <c r="N291" s="206">
        <v>168474046</v>
      </c>
      <c r="O291" s="206">
        <v>109995419</v>
      </c>
      <c r="P291" s="206">
        <v>1769754</v>
      </c>
      <c r="Q291" s="206">
        <v>2224437</v>
      </c>
      <c r="R291" s="206">
        <v>546481</v>
      </c>
      <c r="S291" s="105">
        <v>1</v>
      </c>
      <c r="T291" s="254">
        <f t="shared" si="116"/>
        <v>100</v>
      </c>
      <c r="U291" s="107">
        <f t="shared" si="117"/>
        <v>1</v>
      </c>
      <c r="V291" s="45">
        <v>99</v>
      </c>
      <c r="W291" s="45">
        <f>41+54</f>
        <v>95</v>
      </c>
      <c r="X291" s="255">
        <f t="shared" si="118"/>
        <v>-4</v>
      </c>
      <c r="Y291" s="255">
        <f t="shared" si="119"/>
        <v>2</v>
      </c>
      <c r="Z291" s="256">
        <f t="shared" si="120"/>
        <v>-200</v>
      </c>
      <c r="AA291" s="257">
        <f t="shared" si="121"/>
        <v>20</v>
      </c>
      <c r="AB291" s="116">
        <f t="shared" si="122"/>
        <v>0.2</v>
      </c>
      <c r="AC291" s="123">
        <v>299</v>
      </c>
      <c r="AD291" s="123">
        <v>301</v>
      </c>
      <c r="AE291" s="257">
        <f t="shared" si="123"/>
        <v>2</v>
      </c>
      <c r="AF291" s="258">
        <f t="shared" si="124"/>
        <v>0.66889632107023411</v>
      </c>
      <c r="AG291" s="257">
        <f t="shared" si="125"/>
        <v>60</v>
      </c>
      <c r="AH291" s="124">
        <f t="shared" si="126"/>
        <v>2.4</v>
      </c>
      <c r="AI291" s="105">
        <v>0</v>
      </c>
      <c r="AJ291" s="105">
        <v>0</v>
      </c>
      <c r="AK291" s="105">
        <v>0</v>
      </c>
      <c r="AL291" s="105">
        <v>0</v>
      </c>
      <c r="AM291" s="260">
        <f t="shared" si="127"/>
        <v>0</v>
      </c>
      <c r="AN291" s="260">
        <f t="shared" si="128"/>
        <v>20</v>
      </c>
      <c r="AO291" s="130">
        <f t="shared" si="129"/>
        <v>0.2</v>
      </c>
      <c r="AP291" s="106">
        <v>252314</v>
      </c>
      <c r="AQ291" s="261">
        <f t="shared" si="142"/>
        <v>46.170681139874944</v>
      </c>
      <c r="AR291" s="261">
        <f t="shared" si="130"/>
        <v>100</v>
      </c>
      <c r="AS291" s="107">
        <f t="shared" si="131"/>
        <v>4</v>
      </c>
      <c r="AT291" s="105">
        <v>0</v>
      </c>
      <c r="AU291" s="105">
        <v>1</v>
      </c>
      <c r="AV291" s="262">
        <f t="shared" si="132"/>
        <v>25</v>
      </c>
      <c r="AW291" s="134">
        <v>0</v>
      </c>
      <c r="AX291" s="134"/>
      <c r="AY291" s="262">
        <f t="shared" si="133"/>
        <v>0</v>
      </c>
      <c r="AZ291" s="262">
        <f t="shared" si="134"/>
        <v>25</v>
      </c>
      <c r="BA291" s="38">
        <f t="shared" si="135"/>
        <v>0.25</v>
      </c>
      <c r="BB291" s="105">
        <v>0</v>
      </c>
      <c r="BC291" s="105">
        <v>0</v>
      </c>
      <c r="BD291" s="105">
        <v>0</v>
      </c>
      <c r="BE291" s="262">
        <f t="shared" si="136"/>
        <v>0</v>
      </c>
      <c r="BF291" s="262">
        <f t="shared" si="137"/>
        <v>50</v>
      </c>
      <c r="BG291" s="38">
        <f t="shared" si="138"/>
        <v>0.5</v>
      </c>
      <c r="BH291" s="255">
        <f t="shared" si="139"/>
        <v>1677956</v>
      </c>
      <c r="BI291" s="256">
        <f t="shared" si="140"/>
        <v>1.5254780746823646</v>
      </c>
      <c r="BJ291" s="256">
        <f t="shared" si="143"/>
        <v>36.441085560117735</v>
      </c>
      <c r="BK291" s="55">
        <f t="shared" si="141"/>
        <v>0.72882171120235473</v>
      </c>
      <c r="BL291" s="137">
        <f t="shared" si="144"/>
        <v>9.2788217112023545</v>
      </c>
    </row>
    <row r="292" spans="1:64" x14ac:dyDescent="0.6">
      <c r="A292" s="214" t="s">
        <v>291</v>
      </c>
      <c r="B292" s="13" t="s">
        <v>2273</v>
      </c>
      <c r="C292" s="219" t="s">
        <v>894</v>
      </c>
      <c r="D292" s="216" t="s">
        <v>203</v>
      </c>
      <c r="E292" s="217" t="s">
        <v>1179</v>
      </c>
      <c r="F292" s="217" t="s">
        <v>379</v>
      </c>
      <c r="G292" s="218">
        <v>43318</v>
      </c>
      <c r="H292" s="217" t="s">
        <v>830</v>
      </c>
      <c r="I292" s="217" t="s">
        <v>801</v>
      </c>
      <c r="J292" s="217" t="s">
        <v>1240</v>
      </c>
      <c r="K292" s="217" t="s">
        <v>91</v>
      </c>
      <c r="L292" s="220">
        <v>1920187832</v>
      </c>
      <c r="M292" s="206">
        <v>578102236</v>
      </c>
      <c r="N292" s="206">
        <v>1342085595</v>
      </c>
      <c r="O292" s="206">
        <v>1059617234</v>
      </c>
      <c r="P292" s="206">
        <v>81393435</v>
      </c>
      <c r="Q292" s="206">
        <v>87194859</v>
      </c>
      <c r="R292" s="206">
        <v>65472999</v>
      </c>
      <c r="S292" s="105">
        <v>1</v>
      </c>
      <c r="T292" s="254">
        <f t="shared" si="116"/>
        <v>100</v>
      </c>
      <c r="U292" s="107">
        <f t="shared" si="117"/>
        <v>1</v>
      </c>
      <c r="V292" s="45">
        <v>29</v>
      </c>
      <c r="W292" s="45">
        <v>28</v>
      </c>
      <c r="X292" s="255">
        <f t="shared" si="118"/>
        <v>-1</v>
      </c>
      <c r="Y292" s="255">
        <f t="shared" si="119"/>
        <v>2</v>
      </c>
      <c r="Z292" s="256">
        <f t="shared" si="120"/>
        <v>-50</v>
      </c>
      <c r="AA292" s="257">
        <f t="shared" si="121"/>
        <v>20</v>
      </c>
      <c r="AB292" s="116">
        <f t="shared" si="122"/>
        <v>0.2</v>
      </c>
      <c r="AC292" s="123">
        <v>625</v>
      </c>
      <c r="AD292" s="123">
        <v>627</v>
      </c>
      <c r="AE292" s="257">
        <f t="shared" si="123"/>
        <v>2</v>
      </c>
      <c r="AF292" s="258">
        <f t="shared" si="124"/>
        <v>0.32</v>
      </c>
      <c r="AG292" s="257">
        <f t="shared" si="125"/>
        <v>40</v>
      </c>
      <c r="AH292" s="124">
        <f t="shared" si="126"/>
        <v>1.6</v>
      </c>
      <c r="AI292" s="105">
        <v>0</v>
      </c>
      <c r="AJ292" s="105">
        <v>0</v>
      </c>
      <c r="AK292" s="105">
        <v>0</v>
      </c>
      <c r="AL292" s="105">
        <v>0</v>
      </c>
      <c r="AM292" s="260">
        <f t="shared" si="127"/>
        <v>0</v>
      </c>
      <c r="AN292" s="260">
        <f t="shared" si="128"/>
        <v>20</v>
      </c>
      <c r="AO292" s="130">
        <f t="shared" si="129"/>
        <v>0.2</v>
      </c>
      <c r="AP292" s="106">
        <v>3413145</v>
      </c>
      <c r="AQ292" s="261">
        <f t="shared" si="142"/>
        <v>5.2130573704131073</v>
      </c>
      <c r="AR292" s="261">
        <f t="shared" si="130"/>
        <v>100</v>
      </c>
      <c r="AS292" s="107">
        <f t="shared" si="131"/>
        <v>4</v>
      </c>
      <c r="AT292" s="105">
        <v>0</v>
      </c>
      <c r="AU292" s="105">
        <v>1</v>
      </c>
      <c r="AV292" s="262">
        <f t="shared" si="132"/>
        <v>25</v>
      </c>
      <c r="AW292" s="134">
        <v>2</v>
      </c>
      <c r="AX292" s="134" t="s">
        <v>3622</v>
      </c>
      <c r="AY292" s="262">
        <f t="shared" si="133"/>
        <v>25</v>
      </c>
      <c r="AZ292" s="262">
        <f t="shared" si="134"/>
        <v>50</v>
      </c>
      <c r="BA292" s="38">
        <f t="shared" si="135"/>
        <v>0.5</v>
      </c>
      <c r="BB292" s="105">
        <v>0</v>
      </c>
      <c r="BC292" s="105">
        <v>0</v>
      </c>
      <c r="BD292" s="105">
        <v>0</v>
      </c>
      <c r="BE292" s="262">
        <f t="shared" si="136"/>
        <v>0</v>
      </c>
      <c r="BF292" s="262">
        <f t="shared" si="137"/>
        <v>50</v>
      </c>
      <c r="BG292" s="38">
        <f t="shared" si="138"/>
        <v>0.5</v>
      </c>
      <c r="BH292" s="255">
        <f t="shared" si="139"/>
        <v>21721860</v>
      </c>
      <c r="BI292" s="256">
        <f t="shared" si="140"/>
        <v>2.049972320476622</v>
      </c>
      <c r="BJ292" s="256">
        <f t="shared" si="143"/>
        <v>40.374792403574666</v>
      </c>
      <c r="BK292" s="55">
        <f t="shared" si="141"/>
        <v>0.80749584807149333</v>
      </c>
      <c r="BL292" s="137">
        <f t="shared" si="144"/>
        <v>8.8074958480714933</v>
      </c>
    </row>
    <row r="293" spans="1:64" x14ac:dyDescent="0.6">
      <c r="A293" s="214" t="s">
        <v>354</v>
      </c>
      <c r="B293" s="13" t="s">
        <v>2274</v>
      </c>
      <c r="C293" s="219" t="s">
        <v>368</v>
      </c>
      <c r="D293" s="216" t="s">
        <v>203</v>
      </c>
      <c r="E293" s="217" t="s">
        <v>1179</v>
      </c>
      <c r="F293" s="217" t="s">
        <v>145</v>
      </c>
      <c r="G293" s="218">
        <v>27754</v>
      </c>
      <c r="H293" s="217" t="s">
        <v>830</v>
      </c>
      <c r="I293" s="217" t="s">
        <v>801</v>
      </c>
      <c r="J293" s="217" t="s">
        <v>651</v>
      </c>
      <c r="K293" s="217" t="s">
        <v>91</v>
      </c>
      <c r="L293" s="220">
        <v>649126014</v>
      </c>
      <c r="M293" s="206">
        <v>285245442</v>
      </c>
      <c r="N293" s="206">
        <v>363880572</v>
      </c>
      <c r="O293" s="206">
        <v>471150174</v>
      </c>
      <c r="P293" s="206">
        <v>35168294</v>
      </c>
      <c r="Q293" s="206">
        <v>44443695</v>
      </c>
      <c r="R293" s="206">
        <v>35704071</v>
      </c>
      <c r="S293" s="105">
        <v>1</v>
      </c>
      <c r="T293" s="254">
        <f t="shared" si="116"/>
        <v>100</v>
      </c>
      <c r="U293" s="107">
        <f t="shared" si="117"/>
        <v>1</v>
      </c>
      <c r="V293" s="45">
        <v>15</v>
      </c>
      <c r="W293" s="45">
        <v>14</v>
      </c>
      <c r="X293" s="255">
        <f t="shared" si="118"/>
        <v>-1</v>
      </c>
      <c r="Y293" s="255">
        <f t="shared" si="119"/>
        <v>4</v>
      </c>
      <c r="Z293" s="256">
        <f t="shared" si="120"/>
        <v>-25</v>
      </c>
      <c r="AA293" s="257">
        <f t="shared" si="121"/>
        <v>20</v>
      </c>
      <c r="AB293" s="116">
        <f t="shared" si="122"/>
        <v>0.2</v>
      </c>
      <c r="AC293" s="123">
        <v>437</v>
      </c>
      <c r="AD293" s="123">
        <v>441</v>
      </c>
      <c r="AE293" s="257">
        <f t="shared" si="123"/>
        <v>4</v>
      </c>
      <c r="AF293" s="258">
        <f t="shared" si="124"/>
        <v>0.91533180778032042</v>
      </c>
      <c r="AG293" s="257">
        <f t="shared" si="125"/>
        <v>60</v>
      </c>
      <c r="AH293" s="124">
        <f t="shared" si="126"/>
        <v>2.4</v>
      </c>
      <c r="AI293" s="105">
        <v>0</v>
      </c>
      <c r="AJ293" s="105">
        <v>0</v>
      </c>
      <c r="AK293" s="105">
        <v>0</v>
      </c>
      <c r="AL293" s="105">
        <v>0</v>
      </c>
      <c r="AM293" s="260">
        <f t="shared" si="127"/>
        <v>0</v>
      </c>
      <c r="AN293" s="260">
        <f t="shared" si="128"/>
        <v>20</v>
      </c>
      <c r="AO293" s="130">
        <f t="shared" si="129"/>
        <v>0.2</v>
      </c>
      <c r="AP293" s="106">
        <v>2745808</v>
      </c>
      <c r="AQ293" s="261">
        <f t="shared" si="142"/>
        <v>7.6904619644073637</v>
      </c>
      <c r="AR293" s="261">
        <f t="shared" si="130"/>
        <v>100</v>
      </c>
      <c r="AS293" s="107">
        <f t="shared" si="131"/>
        <v>4</v>
      </c>
      <c r="AT293" s="105">
        <v>0</v>
      </c>
      <c r="AU293" s="105">
        <v>1</v>
      </c>
      <c r="AV293" s="262">
        <f t="shared" si="132"/>
        <v>25</v>
      </c>
      <c r="AW293" s="134">
        <v>0</v>
      </c>
      <c r="AX293" s="134"/>
      <c r="AY293" s="262">
        <f t="shared" si="133"/>
        <v>0</v>
      </c>
      <c r="AZ293" s="262">
        <f t="shared" si="134"/>
        <v>25</v>
      </c>
      <c r="BA293" s="38">
        <f t="shared" si="135"/>
        <v>0.25</v>
      </c>
      <c r="BB293" s="105">
        <v>0</v>
      </c>
      <c r="BC293" s="105">
        <v>0</v>
      </c>
      <c r="BD293" s="105">
        <v>0</v>
      </c>
      <c r="BE293" s="262">
        <f t="shared" si="136"/>
        <v>0</v>
      </c>
      <c r="BF293" s="262">
        <f t="shared" si="137"/>
        <v>50</v>
      </c>
      <c r="BG293" s="38">
        <f t="shared" si="138"/>
        <v>0.5</v>
      </c>
      <c r="BH293" s="255">
        <f t="shared" si="139"/>
        <v>8739624</v>
      </c>
      <c r="BI293" s="256">
        <f t="shared" si="140"/>
        <v>1.8549550615256698</v>
      </c>
      <c r="BJ293" s="256">
        <f t="shared" si="143"/>
        <v>38.912162961442526</v>
      </c>
      <c r="BK293" s="55">
        <f t="shared" si="141"/>
        <v>0.77824325922885051</v>
      </c>
      <c r="BL293" s="137">
        <f t="shared" si="144"/>
        <v>9.3282432592288504</v>
      </c>
    </row>
    <row r="294" spans="1:64" x14ac:dyDescent="0.6">
      <c r="A294" s="214" t="s">
        <v>1931</v>
      </c>
      <c r="B294" s="13" t="s">
        <v>2275</v>
      </c>
      <c r="C294" s="219" t="s">
        <v>1932</v>
      </c>
      <c r="D294" s="14" t="s">
        <v>285</v>
      </c>
      <c r="E294" s="217" t="s">
        <v>1167</v>
      </c>
      <c r="F294" s="217" t="s">
        <v>1933</v>
      </c>
      <c r="G294" s="218">
        <v>40528</v>
      </c>
      <c r="H294" s="217" t="s">
        <v>830</v>
      </c>
      <c r="I294" s="217" t="s">
        <v>1934</v>
      </c>
      <c r="J294" s="1" t="s">
        <v>3767</v>
      </c>
      <c r="K294" s="217" t="s">
        <v>91</v>
      </c>
      <c r="L294" s="220">
        <v>152002052</v>
      </c>
      <c r="M294" s="206">
        <v>59834292</v>
      </c>
      <c r="N294" s="206">
        <v>92167760</v>
      </c>
      <c r="O294" s="206">
        <v>337599455</v>
      </c>
      <c r="P294" s="206">
        <v>14950788</v>
      </c>
      <c r="Q294" s="206">
        <v>19578310</v>
      </c>
      <c r="R294" s="206">
        <v>14881619</v>
      </c>
      <c r="S294" s="105">
        <v>1</v>
      </c>
      <c r="T294" s="254">
        <f t="shared" si="116"/>
        <v>100</v>
      </c>
      <c r="U294" s="107">
        <f t="shared" si="117"/>
        <v>1</v>
      </c>
      <c r="V294" s="45">
        <v>71</v>
      </c>
      <c r="W294" s="45">
        <v>77</v>
      </c>
      <c r="X294" s="255">
        <f t="shared" si="118"/>
        <v>6</v>
      </c>
      <c r="Y294" s="255">
        <f t="shared" si="119"/>
        <v>36</v>
      </c>
      <c r="Z294" s="256">
        <f t="shared" si="120"/>
        <v>16.666666666666664</v>
      </c>
      <c r="AA294" s="257">
        <f t="shared" si="121"/>
        <v>40</v>
      </c>
      <c r="AB294" s="116">
        <f t="shared" si="122"/>
        <v>0.4</v>
      </c>
      <c r="AC294" s="123">
        <v>2610</v>
      </c>
      <c r="AD294" s="123">
        <v>2646</v>
      </c>
      <c r="AE294" s="257">
        <f t="shared" si="123"/>
        <v>36</v>
      </c>
      <c r="AF294" s="258">
        <f t="shared" si="124"/>
        <v>1.3793103448275863</v>
      </c>
      <c r="AG294" s="257">
        <f t="shared" si="125"/>
        <v>60</v>
      </c>
      <c r="AH294" s="124">
        <f t="shared" si="126"/>
        <v>2.4</v>
      </c>
      <c r="AI294" s="105">
        <v>0</v>
      </c>
      <c r="AJ294" s="105">
        <v>0</v>
      </c>
      <c r="AK294" s="105">
        <v>0</v>
      </c>
      <c r="AL294" s="105">
        <v>0</v>
      </c>
      <c r="AM294" s="260">
        <f t="shared" si="127"/>
        <v>0</v>
      </c>
      <c r="AN294" s="260">
        <f t="shared" si="128"/>
        <v>20</v>
      </c>
      <c r="AO294" s="130">
        <f t="shared" si="129"/>
        <v>0.2</v>
      </c>
      <c r="AP294" s="106">
        <v>50703.392999999996</v>
      </c>
      <c r="AQ294" s="261">
        <f t="shared" si="142"/>
        <v>0.34071153817336675</v>
      </c>
      <c r="AR294" s="261">
        <f t="shared" si="130"/>
        <v>30.110673072600502</v>
      </c>
      <c r="AS294" s="107">
        <f t="shared" si="131"/>
        <v>1.2044269229040201</v>
      </c>
      <c r="AT294" s="105">
        <v>0</v>
      </c>
      <c r="AU294" s="105">
        <v>0</v>
      </c>
      <c r="AV294" s="262">
        <f t="shared" si="132"/>
        <v>0</v>
      </c>
      <c r="AW294" s="134">
        <v>0</v>
      </c>
      <c r="AX294" s="134"/>
      <c r="AY294" s="262">
        <f t="shared" si="133"/>
        <v>0</v>
      </c>
      <c r="AZ294" s="262">
        <f t="shared" si="134"/>
        <v>0</v>
      </c>
      <c r="BA294" s="38">
        <f t="shared" si="135"/>
        <v>0</v>
      </c>
      <c r="BB294" s="105">
        <v>0</v>
      </c>
      <c r="BC294" s="105">
        <v>0</v>
      </c>
      <c r="BD294" s="105">
        <v>0</v>
      </c>
      <c r="BE294" s="262">
        <f t="shared" si="136"/>
        <v>0</v>
      </c>
      <c r="BF294" s="262">
        <f t="shared" si="137"/>
        <v>50</v>
      </c>
      <c r="BG294" s="38">
        <f t="shared" si="138"/>
        <v>0.5</v>
      </c>
      <c r="BH294" s="255">
        <f t="shared" si="139"/>
        <v>4696691</v>
      </c>
      <c r="BI294" s="256">
        <f t="shared" si="140"/>
        <v>1.3912021866267525</v>
      </c>
      <c r="BJ294" s="256">
        <f t="shared" si="143"/>
        <v>35.434016399700646</v>
      </c>
      <c r="BK294" s="55">
        <f t="shared" si="141"/>
        <v>0.70868032799401293</v>
      </c>
      <c r="BL294" s="137">
        <f t="shared" si="144"/>
        <v>6.4131072508980322</v>
      </c>
    </row>
    <row r="295" spans="1:64" x14ac:dyDescent="0.6">
      <c r="A295" s="214" t="s">
        <v>1936</v>
      </c>
      <c r="B295" s="13" t="s">
        <v>2276</v>
      </c>
      <c r="C295" s="219" t="s">
        <v>1937</v>
      </c>
      <c r="D295" s="14" t="s">
        <v>285</v>
      </c>
      <c r="E295" s="217" t="s">
        <v>1432</v>
      </c>
      <c r="F295" s="217" t="s">
        <v>1938</v>
      </c>
      <c r="G295" s="218">
        <v>27253</v>
      </c>
      <c r="H295" s="217" t="s">
        <v>830</v>
      </c>
      <c r="I295" s="217" t="s">
        <v>1939</v>
      </c>
      <c r="J295" s="1" t="s">
        <v>3768</v>
      </c>
      <c r="K295" s="217" t="s">
        <v>91</v>
      </c>
      <c r="L295" s="220">
        <v>3024613663</v>
      </c>
      <c r="M295" s="206">
        <v>1557554254</v>
      </c>
      <c r="N295" s="206">
        <v>1467059409</v>
      </c>
      <c r="O295" s="206">
        <v>2424482980</v>
      </c>
      <c r="P295" s="206">
        <v>27380412</v>
      </c>
      <c r="Q295" s="206">
        <v>6360460</v>
      </c>
      <c r="R295" s="206">
        <v>12168775</v>
      </c>
      <c r="S295" s="105">
        <v>1</v>
      </c>
      <c r="T295" s="254">
        <f t="shared" si="116"/>
        <v>100</v>
      </c>
      <c r="U295" s="107">
        <f t="shared" si="117"/>
        <v>1</v>
      </c>
      <c r="V295" s="45">
        <f>44+16+4+36+54</f>
        <v>154</v>
      </c>
      <c r="W295" s="45">
        <f>46+22+6+40+54</f>
        <v>168</v>
      </c>
      <c r="X295" s="255">
        <f t="shared" si="118"/>
        <v>14</v>
      </c>
      <c r="Y295" s="255">
        <f t="shared" si="119"/>
        <v>127</v>
      </c>
      <c r="Z295" s="256">
        <f t="shared" si="120"/>
        <v>11.023622047244094</v>
      </c>
      <c r="AA295" s="257">
        <f t="shared" si="121"/>
        <v>40</v>
      </c>
      <c r="AB295" s="116">
        <f t="shared" si="122"/>
        <v>0.4</v>
      </c>
      <c r="AC295" s="123">
        <v>1352</v>
      </c>
      <c r="AD295" s="123">
        <v>1479</v>
      </c>
      <c r="AE295" s="257">
        <f t="shared" si="123"/>
        <v>127</v>
      </c>
      <c r="AF295" s="258">
        <f t="shared" si="124"/>
        <v>9.393491124260354</v>
      </c>
      <c r="AG295" s="257">
        <f t="shared" si="125"/>
        <v>100</v>
      </c>
      <c r="AH295" s="124">
        <f t="shared" si="126"/>
        <v>4</v>
      </c>
      <c r="AI295" s="105">
        <v>0</v>
      </c>
      <c r="AJ295" s="105">
        <v>0</v>
      </c>
      <c r="AK295" s="105">
        <v>0</v>
      </c>
      <c r="AL295" s="105">
        <v>0</v>
      </c>
      <c r="AM295" s="260">
        <f t="shared" si="127"/>
        <v>0</v>
      </c>
      <c r="AN295" s="260">
        <f t="shared" si="128"/>
        <v>20</v>
      </c>
      <c r="AO295" s="130">
        <f t="shared" si="129"/>
        <v>0.2</v>
      </c>
      <c r="AP295" s="106">
        <v>941000</v>
      </c>
      <c r="AQ295" s="261">
        <f t="shared" si="142"/>
        <v>7.7329065579731733</v>
      </c>
      <c r="AR295" s="261">
        <f t="shared" si="130"/>
        <v>100</v>
      </c>
      <c r="AS295" s="107">
        <f t="shared" si="131"/>
        <v>4</v>
      </c>
      <c r="AT295" s="105">
        <v>0</v>
      </c>
      <c r="AU295" s="105">
        <v>1</v>
      </c>
      <c r="AV295" s="262">
        <f t="shared" si="132"/>
        <v>25</v>
      </c>
      <c r="AW295" s="134">
        <v>9</v>
      </c>
      <c r="AX295" s="447" t="s">
        <v>3769</v>
      </c>
      <c r="AY295" s="262">
        <f t="shared" si="133"/>
        <v>50</v>
      </c>
      <c r="AZ295" s="262">
        <f t="shared" si="134"/>
        <v>75</v>
      </c>
      <c r="BA295" s="38">
        <f t="shared" si="135"/>
        <v>0.75</v>
      </c>
      <c r="BB295" s="105">
        <v>1</v>
      </c>
      <c r="BC295" s="105">
        <v>0</v>
      </c>
      <c r="BD295" s="105">
        <v>0</v>
      </c>
      <c r="BE295" s="262">
        <f t="shared" si="136"/>
        <v>1</v>
      </c>
      <c r="BF295" s="262">
        <f t="shared" si="137"/>
        <v>100</v>
      </c>
      <c r="BG295" s="38">
        <f t="shared" si="138"/>
        <v>1</v>
      </c>
      <c r="BH295" s="255">
        <f t="shared" si="139"/>
        <v>-5808315</v>
      </c>
      <c r="BI295" s="256">
        <f t="shared" si="140"/>
        <v>-0.23956922147582987</v>
      </c>
      <c r="BJ295" s="256">
        <f t="shared" si="143"/>
        <v>25</v>
      </c>
      <c r="BK295" s="55">
        <f t="shared" si="141"/>
        <v>0.5</v>
      </c>
      <c r="BL295" s="137">
        <f t="shared" si="144"/>
        <v>11.850000000000001</v>
      </c>
    </row>
    <row r="296" spans="1:64" x14ac:dyDescent="0.6">
      <c r="A296" s="214" t="s">
        <v>1941</v>
      </c>
      <c r="B296" s="13" t="s">
        <v>2277</v>
      </c>
      <c r="C296" s="219" t="s">
        <v>1942</v>
      </c>
      <c r="D296" s="14" t="s">
        <v>202</v>
      </c>
      <c r="E296" s="217" t="s">
        <v>189</v>
      </c>
      <c r="F296" s="217" t="s">
        <v>1943</v>
      </c>
      <c r="G296" s="218">
        <v>44425</v>
      </c>
      <c r="H296" s="217" t="s">
        <v>830</v>
      </c>
      <c r="I296" s="217" t="s">
        <v>1944</v>
      </c>
      <c r="J296" s="1" t="s">
        <v>3770</v>
      </c>
      <c r="K296" s="217" t="s">
        <v>690</v>
      </c>
      <c r="L296" s="220">
        <v>201249262</v>
      </c>
      <c r="M296" s="206">
        <v>74147423</v>
      </c>
      <c r="N296" s="206">
        <v>127101839</v>
      </c>
      <c r="O296" s="206">
        <v>92809851</v>
      </c>
      <c r="P296" s="206">
        <v>557375</v>
      </c>
      <c r="Q296" s="206">
        <v>21284021</v>
      </c>
      <c r="R296" s="206">
        <v>16494864</v>
      </c>
      <c r="S296" s="105">
        <v>1</v>
      </c>
      <c r="T296" s="254">
        <f t="shared" si="116"/>
        <v>100</v>
      </c>
      <c r="U296" s="107">
        <f t="shared" si="117"/>
        <v>1</v>
      </c>
      <c r="V296" s="45">
        <v>75</v>
      </c>
      <c r="W296" s="45">
        <v>69</v>
      </c>
      <c r="X296" s="255">
        <f t="shared" si="118"/>
        <v>-6</v>
      </c>
      <c r="Y296" s="255">
        <f t="shared" si="119"/>
        <v>-30</v>
      </c>
      <c r="Z296" s="256">
        <f t="shared" si="120"/>
        <v>-600</v>
      </c>
      <c r="AA296" s="257">
        <f t="shared" si="121"/>
        <v>20</v>
      </c>
      <c r="AB296" s="116">
        <f t="shared" si="122"/>
        <v>0.2</v>
      </c>
      <c r="AC296" s="123">
        <v>230</v>
      </c>
      <c r="AD296" s="123">
        <v>200</v>
      </c>
      <c r="AE296" s="257">
        <f t="shared" si="123"/>
        <v>-30</v>
      </c>
      <c r="AF296" s="258">
        <f t="shared" si="124"/>
        <v>-13.043478260869565</v>
      </c>
      <c r="AG296" s="257">
        <f t="shared" si="125"/>
        <v>20</v>
      </c>
      <c r="AH296" s="124">
        <f t="shared" si="126"/>
        <v>0.8</v>
      </c>
      <c r="AI296" s="105">
        <v>0</v>
      </c>
      <c r="AJ296" s="105">
        <v>0</v>
      </c>
      <c r="AK296" s="105">
        <v>0</v>
      </c>
      <c r="AL296" s="105">
        <v>0</v>
      </c>
      <c r="AM296" s="260">
        <f t="shared" si="127"/>
        <v>0</v>
      </c>
      <c r="AN296" s="260">
        <f t="shared" si="128"/>
        <v>20</v>
      </c>
      <c r="AO296" s="130">
        <f t="shared" si="129"/>
        <v>0.2</v>
      </c>
      <c r="AP296" s="106">
        <v>423871</v>
      </c>
      <c r="AQ296" s="261">
        <f t="shared" si="142"/>
        <v>2.5697150337220118</v>
      </c>
      <c r="AR296" s="261">
        <f t="shared" si="130"/>
        <v>63.545725505830177</v>
      </c>
      <c r="AS296" s="107">
        <f t="shared" si="131"/>
        <v>2.541829020233207</v>
      </c>
      <c r="AT296" s="105">
        <v>0</v>
      </c>
      <c r="AU296" s="105">
        <v>0</v>
      </c>
      <c r="AV296" s="262">
        <f t="shared" si="132"/>
        <v>0</v>
      </c>
      <c r="AW296" s="134">
        <v>0</v>
      </c>
      <c r="AX296" s="134"/>
      <c r="AY296" s="262">
        <f t="shared" si="133"/>
        <v>0</v>
      </c>
      <c r="AZ296" s="262">
        <f t="shared" si="134"/>
        <v>0</v>
      </c>
      <c r="BA296" s="38">
        <f t="shared" si="135"/>
        <v>0</v>
      </c>
      <c r="BB296" s="105">
        <v>0</v>
      </c>
      <c r="BC296" s="105">
        <v>0</v>
      </c>
      <c r="BD296" s="105">
        <v>0</v>
      </c>
      <c r="BE296" s="262">
        <f t="shared" si="136"/>
        <v>0</v>
      </c>
      <c r="BF296" s="262">
        <f t="shared" si="137"/>
        <v>50</v>
      </c>
      <c r="BG296" s="38">
        <f t="shared" si="138"/>
        <v>0.5</v>
      </c>
      <c r="BH296" s="255">
        <f t="shared" si="139"/>
        <v>4789157</v>
      </c>
      <c r="BI296" s="256">
        <f t="shared" si="140"/>
        <v>5.1601817569990498</v>
      </c>
      <c r="BJ296" s="256">
        <f t="shared" si="143"/>
        <v>63.701363177492873</v>
      </c>
      <c r="BK296" s="55">
        <f t="shared" si="141"/>
        <v>1.2740272635498575</v>
      </c>
      <c r="BL296" s="137">
        <f t="shared" si="144"/>
        <v>6.5158562837830649</v>
      </c>
    </row>
    <row r="297" spans="1:64" x14ac:dyDescent="0.6">
      <c r="A297" s="214" t="s">
        <v>1946</v>
      </c>
      <c r="B297" s="13" t="s">
        <v>2278</v>
      </c>
      <c r="C297" s="219" t="s">
        <v>1947</v>
      </c>
      <c r="D297" s="79" t="s">
        <v>481</v>
      </c>
      <c r="E297" s="217" t="s">
        <v>704</v>
      </c>
      <c r="F297" s="217" t="s">
        <v>360</v>
      </c>
      <c r="G297" s="218">
        <v>40254</v>
      </c>
      <c r="H297" s="217" t="s">
        <v>830</v>
      </c>
      <c r="I297" s="217" t="s">
        <v>1948</v>
      </c>
      <c r="J297" s="1" t="s">
        <v>3771</v>
      </c>
      <c r="K297" s="217" t="s">
        <v>91</v>
      </c>
      <c r="L297" s="220">
        <v>126780143235</v>
      </c>
      <c r="M297" s="206">
        <v>120464648467</v>
      </c>
      <c r="N297" s="206">
        <v>6315494768</v>
      </c>
      <c r="O297" s="206">
        <v>21180061711</v>
      </c>
      <c r="P297" s="206">
        <v>31900539</v>
      </c>
      <c r="Q297" s="206">
        <v>432611603</v>
      </c>
      <c r="R297" s="206">
        <v>354341909</v>
      </c>
      <c r="S297" s="105">
        <v>1</v>
      </c>
      <c r="T297" s="254">
        <f t="shared" si="116"/>
        <v>100</v>
      </c>
      <c r="U297" s="107">
        <f t="shared" si="117"/>
        <v>1</v>
      </c>
      <c r="V297" s="45">
        <v>1144</v>
      </c>
      <c r="W297" s="45">
        <v>1149</v>
      </c>
      <c r="X297" s="255">
        <f t="shared" si="118"/>
        <v>5</v>
      </c>
      <c r="Y297" s="255">
        <f t="shared" si="119"/>
        <v>-42</v>
      </c>
      <c r="Z297" s="256">
        <f t="shared" si="120"/>
        <v>500</v>
      </c>
      <c r="AA297" s="257">
        <f t="shared" si="121"/>
        <v>100</v>
      </c>
      <c r="AB297" s="116">
        <f t="shared" si="122"/>
        <v>1</v>
      </c>
      <c r="AC297" s="123">
        <v>2594</v>
      </c>
      <c r="AD297" s="123">
        <v>2552</v>
      </c>
      <c r="AE297" s="257">
        <f t="shared" si="123"/>
        <v>-42</v>
      </c>
      <c r="AF297" s="258">
        <f t="shared" si="124"/>
        <v>-1.6191210485736314</v>
      </c>
      <c r="AG297" s="257">
        <f t="shared" si="125"/>
        <v>20</v>
      </c>
      <c r="AH297" s="124">
        <f t="shared" si="126"/>
        <v>0.8</v>
      </c>
      <c r="AI297" s="105">
        <v>0</v>
      </c>
      <c r="AJ297" s="105">
        <v>0</v>
      </c>
      <c r="AK297" s="105">
        <v>0</v>
      </c>
      <c r="AL297" s="105">
        <v>0</v>
      </c>
      <c r="AM297" s="260">
        <f t="shared" si="127"/>
        <v>0</v>
      </c>
      <c r="AN297" s="260">
        <f t="shared" si="128"/>
        <v>20</v>
      </c>
      <c r="AO297" s="130">
        <f t="shared" si="129"/>
        <v>0.2</v>
      </c>
      <c r="AP297" s="106">
        <v>2269000</v>
      </c>
      <c r="AQ297" s="261">
        <f t="shared" si="142"/>
        <v>0.64034198111180807</v>
      </c>
      <c r="AR297" s="261">
        <f t="shared" si="130"/>
        <v>34.605129716677119</v>
      </c>
      <c r="AS297" s="107">
        <f t="shared" si="131"/>
        <v>1.3842051886670848</v>
      </c>
      <c r="AT297" s="105">
        <v>1</v>
      </c>
      <c r="AU297" s="105">
        <v>1</v>
      </c>
      <c r="AV297" s="262">
        <f t="shared" si="132"/>
        <v>50</v>
      </c>
      <c r="AW297" s="134">
        <v>9</v>
      </c>
      <c r="AX297" s="447" t="s">
        <v>3772</v>
      </c>
      <c r="AY297" s="262">
        <f t="shared" si="133"/>
        <v>50</v>
      </c>
      <c r="AZ297" s="262">
        <f t="shared" si="134"/>
        <v>100</v>
      </c>
      <c r="BA297" s="38">
        <f t="shared" si="135"/>
        <v>1</v>
      </c>
      <c r="BB297" s="105">
        <v>0</v>
      </c>
      <c r="BC297" s="105">
        <v>0</v>
      </c>
      <c r="BD297" s="105">
        <v>1</v>
      </c>
      <c r="BE297" s="262">
        <f t="shared" si="136"/>
        <v>1</v>
      </c>
      <c r="BF297" s="262">
        <f t="shared" si="137"/>
        <v>100</v>
      </c>
      <c r="BG297" s="38">
        <f t="shared" si="138"/>
        <v>1</v>
      </c>
      <c r="BH297" s="255">
        <f t="shared" si="139"/>
        <v>78269694</v>
      </c>
      <c r="BI297" s="256">
        <f t="shared" si="140"/>
        <v>0.36954422072977311</v>
      </c>
      <c r="BJ297" s="256">
        <f t="shared" si="143"/>
        <v>27.771581655473298</v>
      </c>
      <c r="BK297" s="55">
        <f t="shared" si="141"/>
        <v>0.55543163310946597</v>
      </c>
      <c r="BL297" s="137">
        <f t="shared" si="144"/>
        <v>6.9396368217765509</v>
      </c>
    </row>
    <row r="298" spans="1:64" x14ac:dyDescent="0.6">
      <c r="A298" s="214" t="s">
        <v>1950</v>
      </c>
      <c r="B298" s="13" t="s">
        <v>2279</v>
      </c>
      <c r="C298" s="219" t="s">
        <v>1951</v>
      </c>
      <c r="D298" s="79" t="s">
        <v>481</v>
      </c>
      <c r="E298" s="217" t="s">
        <v>704</v>
      </c>
      <c r="F298" s="217" t="s">
        <v>551</v>
      </c>
      <c r="G298" s="218">
        <v>27575</v>
      </c>
      <c r="H298" s="217" t="s">
        <v>830</v>
      </c>
      <c r="I298" s="217" t="s">
        <v>1952</v>
      </c>
      <c r="J298" s="1" t="s">
        <v>3776</v>
      </c>
      <c r="K298" s="217" t="s">
        <v>91</v>
      </c>
      <c r="L298" s="220">
        <v>20186911158</v>
      </c>
      <c r="M298" s="206">
        <v>19938637638</v>
      </c>
      <c r="N298" s="206">
        <v>248273521</v>
      </c>
      <c r="O298" s="206">
        <v>5105380445</v>
      </c>
      <c r="P298" s="206">
        <v>326922757</v>
      </c>
      <c r="Q298" s="206">
        <v>400409213</v>
      </c>
      <c r="R298" s="206">
        <v>302102769</v>
      </c>
      <c r="S298" s="105">
        <v>1</v>
      </c>
      <c r="T298" s="254">
        <f t="shared" si="116"/>
        <v>100</v>
      </c>
      <c r="U298" s="107">
        <f t="shared" si="117"/>
        <v>1</v>
      </c>
      <c r="V298" s="45">
        <v>1685</v>
      </c>
      <c r="W298" s="45">
        <v>1662</v>
      </c>
      <c r="X298" s="255">
        <f t="shared" si="118"/>
        <v>-23</v>
      </c>
      <c r="Y298" s="255">
        <f t="shared" si="119"/>
        <v>-72</v>
      </c>
      <c r="Z298" s="256">
        <f t="shared" si="120"/>
        <v>-2300</v>
      </c>
      <c r="AA298" s="257">
        <f t="shared" si="121"/>
        <v>20</v>
      </c>
      <c r="AB298" s="116">
        <f t="shared" si="122"/>
        <v>0.2</v>
      </c>
      <c r="AC298" s="123">
        <v>2901</v>
      </c>
      <c r="AD298" s="123">
        <v>2829</v>
      </c>
      <c r="AE298" s="257">
        <f t="shared" si="123"/>
        <v>-72</v>
      </c>
      <c r="AF298" s="258">
        <f t="shared" si="124"/>
        <v>-2.4819027921406409</v>
      </c>
      <c r="AG298" s="257">
        <f t="shared" si="125"/>
        <v>20</v>
      </c>
      <c r="AH298" s="124">
        <f t="shared" si="126"/>
        <v>0.8</v>
      </c>
      <c r="AI298" s="105">
        <v>0</v>
      </c>
      <c r="AJ298" s="105">
        <v>0</v>
      </c>
      <c r="AK298" s="105">
        <v>0</v>
      </c>
      <c r="AL298" s="105">
        <v>0</v>
      </c>
      <c r="AM298" s="260">
        <f t="shared" si="127"/>
        <v>0</v>
      </c>
      <c r="AN298" s="260">
        <f t="shared" si="128"/>
        <v>20</v>
      </c>
      <c r="AO298" s="130">
        <f t="shared" si="129"/>
        <v>0.2</v>
      </c>
      <c r="AP298" s="106">
        <v>1710387</v>
      </c>
      <c r="AQ298" s="261">
        <f t="shared" si="142"/>
        <v>0.56616064978868164</v>
      </c>
      <c r="AR298" s="261">
        <f t="shared" si="130"/>
        <v>33.492409746830226</v>
      </c>
      <c r="AS298" s="107">
        <f t="shared" si="131"/>
        <v>1.339696389873209</v>
      </c>
      <c r="AT298" s="105">
        <v>1</v>
      </c>
      <c r="AU298" s="105">
        <v>1</v>
      </c>
      <c r="AV298" s="262">
        <f t="shared" si="132"/>
        <v>50</v>
      </c>
      <c r="AW298" s="134">
        <v>8</v>
      </c>
      <c r="AX298" s="447" t="s">
        <v>3777</v>
      </c>
      <c r="AY298" s="262">
        <f t="shared" si="133"/>
        <v>50</v>
      </c>
      <c r="AZ298" s="262">
        <f t="shared" si="134"/>
        <v>100</v>
      </c>
      <c r="BA298" s="38">
        <f t="shared" si="135"/>
        <v>1</v>
      </c>
      <c r="BB298" s="105">
        <v>0</v>
      </c>
      <c r="BC298" s="105">
        <v>0</v>
      </c>
      <c r="BD298" s="105">
        <v>0</v>
      </c>
      <c r="BE298" s="262">
        <f t="shared" si="136"/>
        <v>0</v>
      </c>
      <c r="BF298" s="262">
        <f t="shared" si="137"/>
        <v>50</v>
      </c>
      <c r="BG298" s="38">
        <f t="shared" si="138"/>
        <v>0.5</v>
      </c>
      <c r="BH298" s="255">
        <f t="shared" si="139"/>
        <v>98306444</v>
      </c>
      <c r="BI298" s="256">
        <f t="shared" si="140"/>
        <v>1.9255459031711788</v>
      </c>
      <c r="BJ298" s="256">
        <f t="shared" si="143"/>
        <v>39.441594273783842</v>
      </c>
      <c r="BK298" s="55">
        <f t="shared" si="141"/>
        <v>0.78883188547567684</v>
      </c>
      <c r="BL298" s="137">
        <f t="shared" si="144"/>
        <v>5.8285282753488863</v>
      </c>
    </row>
    <row r="299" spans="1:64" x14ac:dyDescent="0.6">
      <c r="A299" s="214" t="s">
        <v>472</v>
      </c>
      <c r="B299" s="13" t="s">
        <v>2280</v>
      </c>
      <c r="C299" s="219" t="s">
        <v>877</v>
      </c>
      <c r="D299" s="216" t="s">
        <v>202</v>
      </c>
      <c r="E299" s="217" t="s">
        <v>205</v>
      </c>
      <c r="F299" s="217" t="s">
        <v>133</v>
      </c>
      <c r="G299" s="218">
        <v>43782</v>
      </c>
      <c r="H299" s="217" t="s">
        <v>830</v>
      </c>
      <c r="I299" s="217" t="s">
        <v>836</v>
      </c>
      <c r="J299" s="217" t="s">
        <v>1218</v>
      </c>
      <c r="K299" s="217" t="s">
        <v>31</v>
      </c>
      <c r="L299" s="220">
        <v>4152100072</v>
      </c>
      <c r="M299" s="206">
        <v>1905070749</v>
      </c>
      <c r="N299" s="206">
        <v>2247029323</v>
      </c>
      <c r="O299" s="206">
        <v>2187405670</v>
      </c>
      <c r="P299" s="206">
        <v>93679890</v>
      </c>
      <c r="Q299" s="206">
        <v>53049827</v>
      </c>
      <c r="R299" s="206">
        <v>28545981</v>
      </c>
      <c r="S299" s="105">
        <v>1</v>
      </c>
      <c r="T299" s="254">
        <f t="shared" si="116"/>
        <v>100</v>
      </c>
      <c r="U299" s="107">
        <f t="shared" si="117"/>
        <v>1</v>
      </c>
      <c r="V299" s="45">
        <v>507</v>
      </c>
      <c r="W299" s="45">
        <f>279+310</f>
        <v>589</v>
      </c>
      <c r="X299" s="255">
        <f t="shared" si="118"/>
        <v>82</v>
      </c>
      <c r="Y299" s="255">
        <f t="shared" si="119"/>
        <v>279</v>
      </c>
      <c r="Z299" s="256">
        <f t="shared" si="120"/>
        <v>29.390681003584231</v>
      </c>
      <c r="AA299" s="257">
        <f t="shared" si="121"/>
        <v>60</v>
      </c>
      <c r="AB299" s="116">
        <f t="shared" si="122"/>
        <v>0.6</v>
      </c>
      <c r="AC299" s="123">
        <v>3748</v>
      </c>
      <c r="AD299" s="123">
        <v>4027</v>
      </c>
      <c r="AE299" s="257">
        <f t="shared" si="123"/>
        <v>279</v>
      </c>
      <c r="AF299" s="258">
        <f t="shared" si="124"/>
        <v>7.4439701173959438</v>
      </c>
      <c r="AG299" s="257">
        <f t="shared" si="125"/>
        <v>100</v>
      </c>
      <c r="AH299" s="124">
        <f t="shared" si="126"/>
        <v>4</v>
      </c>
      <c r="AI299" s="105">
        <v>0</v>
      </c>
      <c r="AJ299" s="105">
        <v>1</v>
      </c>
      <c r="AK299" s="105">
        <v>0</v>
      </c>
      <c r="AL299" s="105">
        <v>0</v>
      </c>
      <c r="AM299" s="260">
        <f t="shared" si="127"/>
        <v>1</v>
      </c>
      <c r="AN299" s="260">
        <f t="shared" si="128"/>
        <v>40</v>
      </c>
      <c r="AO299" s="130">
        <f t="shared" si="129"/>
        <v>0.4</v>
      </c>
      <c r="AP299" s="106">
        <v>2226071</v>
      </c>
      <c r="AQ299" s="261">
        <f t="shared" si="142"/>
        <v>7.7981940785289527</v>
      </c>
      <c r="AR299" s="261">
        <f t="shared" si="130"/>
        <v>100</v>
      </c>
      <c r="AS299" s="107">
        <f t="shared" si="131"/>
        <v>4</v>
      </c>
      <c r="AT299" s="105">
        <v>0</v>
      </c>
      <c r="AU299" s="105">
        <v>1</v>
      </c>
      <c r="AV299" s="262">
        <f t="shared" si="132"/>
        <v>25</v>
      </c>
      <c r="AW299" s="134">
        <v>3</v>
      </c>
      <c r="AX299" s="134" t="s">
        <v>3623</v>
      </c>
      <c r="AY299" s="262">
        <f t="shared" si="133"/>
        <v>50</v>
      </c>
      <c r="AZ299" s="262">
        <f t="shared" si="134"/>
        <v>75</v>
      </c>
      <c r="BA299" s="38">
        <f t="shared" si="135"/>
        <v>0.75</v>
      </c>
      <c r="BB299" s="105">
        <v>1</v>
      </c>
      <c r="BC299" s="105">
        <v>0</v>
      </c>
      <c r="BD299" s="105">
        <v>0</v>
      </c>
      <c r="BE299" s="262">
        <f t="shared" si="136"/>
        <v>1</v>
      </c>
      <c r="BF299" s="262">
        <f t="shared" si="137"/>
        <v>100</v>
      </c>
      <c r="BG299" s="38">
        <f t="shared" si="138"/>
        <v>1</v>
      </c>
      <c r="BH299" s="255">
        <f t="shared" si="139"/>
        <v>24503846</v>
      </c>
      <c r="BI299" s="256">
        <f t="shared" si="140"/>
        <v>1.1202241237675863</v>
      </c>
      <c r="BJ299" s="256">
        <f t="shared" si="143"/>
        <v>33.401680928256894</v>
      </c>
      <c r="BK299" s="55">
        <f t="shared" si="141"/>
        <v>0.66803361856513788</v>
      </c>
      <c r="BL299" s="137">
        <f t="shared" si="144"/>
        <v>12.418033618565138</v>
      </c>
    </row>
    <row r="300" spans="1:64" x14ac:dyDescent="0.6">
      <c r="A300" s="214" t="s">
        <v>916</v>
      </c>
      <c r="B300" s="13" t="s">
        <v>2281</v>
      </c>
      <c r="C300" s="219" t="s">
        <v>327</v>
      </c>
      <c r="D300" s="216" t="s">
        <v>285</v>
      </c>
      <c r="E300" s="217" t="s">
        <v>867</v>
      </c>
      <c r="F300" s="217" t="s">
        <v>114</v>
      </c>
      <c r="G300" s="218">
        <v>31038</v>
      </c>
      <c r="H300" s="217" t="s">
        <v>830</v>
      </c>
      <c r="I300" s="217" t="s">
        <v>694</v>
      </c>
      <c r="J300" s="217" t="s">
        <v>1012</v>
      </c>
      <c r="K300" s="217" t="s">
        <v>91</v>
      </c>
      <c r="L300" s="220">
        <v>13738416000</v>
      </c>
      <c r="M300" s="206">
        <v>7344179000</v>
      </c>
      <c r="N300" s="206">
        <v>6394237000</v>
      </c>
      <c r="O300" s="206">
        <v>11978479000</v>
      </c>
      <c r="P300" s="206">
        <v>346342000</v>
      </c>
      <c r="Q300" s="206">
        <v>503694000</v>
      </c>
      <c r="R300" s="206">
        <v>346572000</v>
      </c>
      <c r="S300" s="105">
        <v>1</v>
      </c>
      <c r="T300" s="254">
        <f t="shared" si="116"/>
        <v>100</v>
      </c>
      <c r="U300" s="107">
        <f t="shared" si="117"/>
        <v>1</v>
      </c>
      <c r="V300" s="45">
        <v>243</v>
      </c>
      <c r="W300" s="45">
        <f>11+4+44+42+149</f>
        <v>250</v>
      </c>
      <c r="X300" s="255">
        <f t="shared" si="118"/>
        <v>7</v>
      </c>
      <c r="Y300" s="255">
        <f t="shared" si="119"/>
        <v>239</v>
      </c>
      <c r="Z300" s="256">
        <f t="shared" si="120"/>
        <v>2.9288702928870292</v>
      </c>
      <c r="AA300" s="257">
        <f t="shared" si="121"/>
        <v>20</v>
      </c>
      <c r="AB300" s="116">
        <f t="shared" si="122"/>
        <v>0.2</v>
      </c>
      <c r="AC300" s="123">
        <v>4207</v>
      </c>
      <c r="AD300" s="123">
        <v>4446</v>
      </c>
      <c r="AE300" s="257">
        <f t="shared" si="123"/>
        <v>239</v>
      </c>
      <c r="AF300" s="258">
        <f t="shared" si="124"/>
        <v>5.6810078440694074</v>
      </c>
      <c r="AG300" s="257">
        <f t="shared" si="125"/>
        <v>100</v>
      </c>
      <c r="AH300" s="124">
        <f t="shared" si="126"/>
        <v>4</v>
      </c>
      <c r="AI300" s="105">
        <v>0</v>
      </c>
      <c r="AJ300" s="105">
        <v>0</v>
      </c>
      <c r="AK300" s="105">
        <v>0</v>
      </c>
      <c r="AL300" s="105">
        <v>0</v>
      </c>
      <c r="AM300" s="260">
        <f t="shared" si="127"/>
        <v>0</v>
      </c>
      <c r="AN300" s="260">
        <f t="shared" si="128"/>
        <v>20</v>
      </c>
      <c r="AO300" s="130">
        <f t="shared" si="129"/>
        <v>0.2</v>
      </c>
      <c r="AP300" s="106">
        <v>8203000</v>
      </c>
      <c r="AQ300" s="261">
        <f t="shared" si="142"/>
        <v>2.3668963447710722</v>
      </c>
      <c r="AR300" s="261">
        <f t="shared" si="130"/>
        <v>60.503445171566085</v>
      </c>
      <c r="AS300" s="107">
        <f t="shared" si="131"/>
        <v>2.4201378068626433</v>
      </c>
      <c r="AT300" s="105">
        <v>1</v>
      </c>
      <c r="AU300" s="105">
        <v>1</v>
      </c>
      <c r="AV300" s="262">
        <f t="shared" si="132"/>
        <v>50</v>
      </c>
      <c r="AW300" s="134">
        <v>3</v>
      </c>
      <c r="AX300" s="134" t="s">
        <v>3624</v>
      </c>
      <c r="AY300" s="262">
        <f t="shared" si="133"/>
        <v>50</v>
      </c>
      <c r="AZ300" s="262">
        <f t="shared" si="134"/>
        <v>100</v>
      </c>
      <c r="BA300" s="38">
        <f t="shared" si="135"/>
        <v>1</v>
      </c>
      <c r="BB300" s="105">
        <v>0</v>
      </c>
      <c r="BC300" s="105">
        <v>0</v>
      </c>
      <c r="BD300" s="105">
        <v>0</v>
      </c>
      <c r="BE300" s="262">
        <f t="shared" si="136"/>
        <v>0</v>
      </c>
      <c r="BF300" s="262">
        <f t="shared" si="137"/>
        <v>50</v>
      </c>
      <c r="BG300" s="38">
        <f t="shared" si="138"/>
        <v>0.5</v>
      </c>
      <c r="BH300" s="255">
        <f t="shared" si="139"/>
        <v>157122000</v>
      </c>
      <c r="BI300" s="256">
        <f t="shared" si="140"/>
        <v>1.311702428997872</v>
      </c>
      <c r="BJ300" s="256">
        <f t="shared" si="143"/>
        <v>34.83776821748404</v>
      </c>
      <c r="BK300" s="55">
        <f t="shared" si="141"/>
        <v>0.69675536434968077</v>
      </c>
      <c r="BL300" s="137">
        <f t="shared" si="144"/>
        <v>10.016893171212324</v>
      </c>
    </row>
    <row r="301" spans="1:64" x14ac:dyDescent="0.6">
      <c r="A301" s="214" t="s">
        <v>454</v>
      </c>
      <c r="B301" s="13" t="s">
        <v>2282</v>
      </c>
      <c r="C301" s="219" t="s">
        <v>84</v>
      </c>
      <c r="D301" s="216" t="s">
        <v>285</v>
      </c>
      <c r="E301" s="217" t="s">
        <v>622</v>
      </c>
      <c r="F301" s="217" t="s">
        <v>653</v>
      </c>
      <c r="G301" s="218">
        <v>38712</v>
      </c>
      <c r="H301" s="217" t="s">
        <v>830</v>
      </c>
      <c r="I301" s="217" t="s">
        <v>1954</v>
      </c>
      <c r="J301" s="217" t="s">
        <v>1124</v>
      </c>
      <c r="K301" s="217" t="s">
        <v>91</v>
      </c>
      <c r="L301" s="220">
        <v>11586104724</v>
      </c>
      <c r="M301" s="206">
        <v>5729632009</v>
      </c>
      <c r="N301" s="206">
        <v>5856472715</v>
      </c>
      <c r="O301" s="206">
        <v>21528979386</v>
      </c>
      <c r="P301" s="206">
        <v>1595700562</v>
      </c>
      <c r="Q301" s="206">
        <v>1527487113</v>
      </c>
      <c r="R301" s="206">
        <v>1209437646</v>
      </c>
      <c r="S301" s="105">
        <v>1</v>
      </c>
      <c r="T301" s="254">
        <f t="shared" si="116"/>
        <v>100</v>
      </c>
      <c r="U301" s="107">
        <f t="shared" si="117"/>
        <v>1</v>
      </c>
      <c r="V301" s="45">
        <v>432</v>
      </c>
      <c r="W301" s="45">
        <f>110+49+47+76+282</f>
        <v>564</v>
      </c>
      <c r="X301" s="255">
        <f t="shared" si="118"/>
        <v>132</v>
      </c>
      <c r="Y301" s="255">
        <f t="shared" si="119"/>
        <v>319</v>
      </c>
      <c r="Z301" s="256">
        <f t="shared" si="120"/>
        <v>41.379310344827587</v>
      </c>
      <c r="AA301" s="257">
        <f t="shared" si="121"/>
        <v>100</v>
      </c>
      <c r="AB301" s="116">
        <f t="shared" si="122"/>
        <v>1</v>
      </c>
      <c r="AC301" s="123">
        <v>1506</v>
      </c>
      <c r="AD301" s="123">
        <v>1825</v>
      </c>
      <c r="AE301" s="257">
        <f t="shared" si="123"/>
        <v>319</v>
      </c>
      <c r="AF301" s="258">
        <f t="shared" si="124"/>
        <v>21.181938911022577</v>
      </c>
      <c r="AG301" s="257">
        <f t="shared" si="125"/>
        <v>100</v>
      </c>
      <c r="AH301" s="124">
        <f t="shared" si="126"/>
        <v>4</v>
      </c>
      <c r="AI301" s="105">
        <v>0</v>
      </c>
      <c r="AJ301" s="105">
        <v>0</v>
      </c>
      <c r="AK301" s="105">
        <v>0</v>
      </c>
      <c r="AL301" s="105">
        <v>0</v>
      </c>
      <c r="AM301" s="260">
        <f t="shared" si="127"/>
        <v>0</v>
      </c>
      <c r="AN301" s="260">
        <f t="shared" si="128"/>
        <v>20</v>
      </c>
      <c r="AO301" s="130">
        <f t="shared" si="129"/>
        <v>0.2</v>
      </c>
      <c r="AP301" s="106">
        <v>2699113</v>
      </c>
      <c r="AQ301" s="261">
        <f t="shared" si="142"/>
        <v>0.22317090996190142</v>
      </c>
      <c r="AR301" s="261">
        <f t="shared" si="130"/>
        <v>28.347563649428523</v>
      </c>
      <c r="AS301" s="107">
        <f t="shared" si="131"/>
        <v>1.133902545977141</v>
      </c>
      <c r="AT301" s="105">
        <v>0</v>
      </c>
      <c r="AU301" s="105">
        <v>1</v>
      </c>
      <c r="AV301" s="262">
        <f t="shared" si="132"/>
        <v>25</v>
      </c>
      <c r="AW301" s="134">
        <v>3</v>
      </c>
      <c r="AX301" s="134" t="s">
        <v>3625</v>
      </c>
      <c r="AY301" s="262">
        <f t="shared" si="133"/>
        <v>50</v>
      </c>
      <c r="AZ301" s="262">
        <f t="shared" si="134"/>
        <v>75</v>
      </c>
      <c r="BA301" s="38">
        <f t="shared" si="135"/>
        <v>0.75</v>
      </c>
      <c r="BB301" s="105">
        <v>0</v>
      </c>
      <c r="BC301" s="105">
        <v>0</v>
      </c>
      <c r="BD301" s="105">
        <v>0</v>
      </c>
      <c r="BE301" s="262">
        <f t="shared" si="136"/>
        <v>0</v>
      </c>
      <c r="BF301" s="262">
        <f t="shared" si="137"/>
        <v>50</v>
      </c>
      <c r="BG301" s="38">
        <f t="shared" si="138"/>
        <v>0.5</v>
      </c>
      <c r="BH301" s="255">
        <f t="shared" si="139"/>
        <v>318049467</v>
      </c>
      <c r="BI301" s="256">
        <f t="shared" si="140"/>
        <v>1.477308614113046</v>
      </c>
      <c r="BJ301" s="256">
        <f t="shared" si="143"/>
        <v>36.079814605847844</v>
      </c>
      <c r="BK301" s="55">
        <f t="shared" si="141"/>
        <v>0.72159629211695686</v>
      </c>
      <c r="BL301" s="137">
        <f t="shared" si="144"/>
        <v>9.3054988380940973</v>
      </c>
    </row>
    <row r="302" spans="1:64" x14ac:dyDescent="0.6">
      <c r="A302" s="214" t="s">
        <v>1955</v>
      </c>
      <c r="B302" s="13" t="s">
        <v>2283</v>
      </c>
      <c r="C302" s="219" t="s">
        <v>1956</v>
      </c>
      <c r="D302" s="14" t="s">
        <v>202</v>
      </c>
      <c r="E302" s="217" t="s">
        <v>1957</v>
      </c>
      <c r="F302" s="217" t="s">
        <v>1958</v>
      </c>
      <c r="G302" s="218">
        <v>41577</v>
      </c>
      <c r="H302" s="217" t="s">
        <v>830</v>
      </c>
      <c r="I302" s="217" t="s">
        <v>1959</v>
      </c>
      <c r="J302" s="1" t="s">
        <v>3773</v>
      </c>
      <c r="K302" s="217" t="s">
        <v>50</v>
      </c>
      <c r="L302" s="220">
        <v>4676787304</v>
      </c>
      <c r="M302" s="206">
        <v>3212555016</v>
      </c>
      <c r="N302" s="206">
        <v>1464232288</v>
      </c>
      <c r="O302" s="206">
        <v>3106010725</v>
      </c>
      <c r="P302" s="206">
        <v>177983235</v>
      </c>
      <c r="Q302" s="206">
        <v>122548827</v>
      </c>
      <c r="R302" s="206">
        <v>213700726</v>
      </c>
      <c r="S302" s="105">
        <v>1</v>
      </c>
      <c r="T302" s="254">
        <f t="shared" si="116"/>
        <v>100</v>
      </c>
      <c r="U302" s="107">
        <f t="shared" si="117"/>
        <v>1</v>
      </c>
      <c r="V302" s="45">
        <f>17+29+13+4</f>
        <v>63</v>
      </c>
      <c r="W302" s="45">
        <f>21+35+25+3</f>
        <v>84</v>
      </c>
      <c r="X302" s="255">
        <f t="shared" si="118"/>
        <v>21</v>
      </c>
      <c r="Y302" s="255">
        <f t="shared" si="119"/>
        <v>109</v>
      </c>
      <c r="Z302" s="256">
        <f t="shared" si="120"/>
        <v>19.26605504587156</v>
      </c>
      <c r="AA302" s="257">
        <f t="shared" si="121"/>
        <v>40</v>
      </c>
      <c r="AB302" s="116">
        <f t="shared" si="122"/>
        <v>0.4</v>
      </c>
      <c r="AC302" s="123">
        <v>3172</v>
      </c>
      <c r="AD302" s="123">
        <v>3281</v>
      </c>
      <c r="AE302" s="257">
        <f t="shared" si="123"/>
        <v>109</v>
      </c>
      <c r="AF302" s="258">
        <f t="shared" si="124"/>
        <v>3.4363177805800755</v>
      </c>
      <c r="AG302" s="257">
        <f t="shared" si="125"/>
        <v>100</v>
      </c>
      <c r="AH302" s="124">
        <f t="shared" si="126"/>
        <v>4</v>
      </c>
      <c r="AI302" s="105">
        <v>0</v>
      </c>
      <c r="AJ302" s="105">
        <v>0</v>
      </c>
      <c r="AK302" s="105">
        <v>0</v>
      </c>
      <c r="AL302" s="105">
        <v>0</v>
      </c>
      <c r="AM302" s="260">
        <f t="shared" si="127"/>
        <v>0</v>
      </c>
      <c r="AN302" s="260">
        <f t="shared" si="128"/>
        <v>20</v>
      </c>
      <c r="AO302" s="130">
        <f t="shared" si="129"/>
        <v>0.2</v>
      </c>
      <c r="AP302" s="106">
        <v>449222</v>
      </c>
      <c r="AQ302" s="261">
        <f t="shared" si="142"/>
        <v>0.21021079731848921</v>
      </c>
      <c r="AR302" s="261">
        <f t="shared" si="130"/>
        <v>28.153161959777339</v>
      </c>
      <c r="AS302" s="107">
        <f t="shared" si="131"/>
        <v>1.1261264783910936</v>
      </c>
      <c r="AT302" s="105">
        <v>0</v>
      </c>
      <c r="AU302" s="105">
        <v>1</v>
      </c>
      <c r="AV302" s="262">
        <f t="shared" si="132"/>
        <v>25</v>
      </c>
      <c r="AW302" s="134">
        <v>7</v>
      </c>
      <c r="AX302" s="447" t="s">
        <v>3774</v>
      </c>
      <c r="AY302" s="262">
        <f t="shared" si="133"/>
        <v>50</v>
      </c>
      <c r="AZ302" s="262">
        <f t="shared" si="134"/>
        <v>75</v>
      </c>
      <c r="BA302" s="38">
        <f t="shared" si="135"/>
        <v>0.75</v>
      </c>
      <c r="BB302" s="105">
        <v>0</v>
      </c>
      <c r="BC302" s="105">
        <v>0</v>
      </c>
      <c r="BD302" s="105">
        <v>0</v>
      </c>
      <c r="BE302" s="262">
        <f t="shared" si="136"/>
        <v>0</v>
      </c>
      <c r="BF302" s="262">
        <f t="shared" si="137"/>
        <v>50</v>
      </c>
      <c r="BG302" s="38">
        <f t="shared" si="138"/>
        <v>0.5</v>
      </c>
      <c r="BH302" s="255">
        <f t="shared" si="139"/>
        <v>-91151899</v>
      </c>
      <c r="BI302" s="256">
        <f t="shared" si="140"/>
        <v>-2.9346936334226599</v>
      </c>
      <c r="BJ302" s="256">
        <f t="shared" si="143"/>
        <v>25</v>
      </c>
      <c r="BK302" s="55">
        <f t="shared" si="141"/>
        <v>0.5</v>
      </c>
      <c r="BL302" s="137">
        <f t="shared" si="144"/>
        <v>8.4761264783910946</v>
      </c>
    </row>
    <row r="303" spans="1:64" x14ac:dyDescent="0.6">
      <c r="A303" s="214" t="s">
        <v>910</v>
      </c>
      <c r="B303" s="13" t="s">
        <v>2284</v>
      </c>
      <c r="C303" s="219" t="s">
        <v>480</v>
      </c>
      <c r="D303" s="216" t="s">
        <v>202</v>
      </c>
      <c r="E303" s="217" t="s">
        <v>954</v>
      </c>
      <c r="F303" s="217" t="s">
        <v>150</v>
      </c>
      <c r="G303" s="218">
        <v>32756</v>
      </c>
      <c r="H303" s="217" t="s">
        <v>830</v>
      </c>
      <c r="I303" s="217" t="s">
        <v>269</v>
      </c>
      <c r="J303" s="217" t="s">
        <v>1140</v>
      </c>
      <c r="K303" s="217" t="s">
        <v>91</v>
      </c>
      <c r="L303" s="220">
        <v>34782050000</v>
      </c>
      <c r="M303" s="206">
        <v>8693623000</v>
      </c>
      <c r="N303" s="206">
        <v>26088427000</v>
      </c>
      <c r="O303" s="206">
        <v>34052113000</v>
      </c>
      <c r="P303" s="206">
        <v>1405333000</v>
      </c>
      <c r="Q303" s="206">
        <v>2049859000</v>
      </c>
      <c r="R303" s="206">
        <v>1576460000</v>
      </c>
      <c r="S303" s="105">
        <v>1</v>
      </c>
      <c r="T303" s="254">
        <f t="shared" si="116"/>
        <v>100</v>
      </c>
      <c r="U303" s="107">
        <f t="shared" si="117"/>
        <v>1</v>
      </c>
      <c r="V303" s="45">
        <v>1117</v>
      </c>
      <c r="W303" s="45">
        <f>1212+112</f>
        <v>1324</v>
      </c>
      <c r="X303" s="255">
        <f t="shared" si="118"/>
        <v>207</v>
      </c>
      <c r="Y303" s="255">
        <f t="shared" si="119"/>
        <v>718</v>
      </c>
      <c r="Z303" s="256">
        <f t="shared" si="120"/>
        <v>28.830083565459606</v>
      </c>
      <c r="AA303" s="257">
        <f t="shared" si="121"/>
        <v>60</v>
      </c>
      <c r="AB303" s="116">
        <f t="shared" si="122"/>
        <v>0.6</v>
      </c>
      <c r="AC303" s="123">
        <v>10383</v>
      </c>
      <c r="AD303" s="123">
        <v>11101</v>
      </c>
      <c r="AE303" s="257">
        <f t="shared" si="123"/>
        <v>718</v>
      </c>
      <c r="AF303" s="258">
        <f t="shared" si="124"/>
        <v>6.9151497640373689</v>
      </c>
      <c r="AG303" s="257">
        <f t="shared" si="125"/>
        <v>100</v>
      </c>
      <c r="AH303" s="124">
        <f t="shared" si="126"/>
        <v>4</v>
      </c>
      <c r="AI303" s="105">
        <v>0</v>
      </c>
      <c r="AJ303" s="105">
        <v>0</v>
      </c>
      <c r="AK303" s="105">
        <v>0</v>
      </c>
      <c r="AL303" s="105">
        <v>0</v>
      </c>
      <c r="AM303" s="260">
        <f t="shared" si="127"/>
        <v>0</v>
      </c>
      <c r="AN303" s="260">
        <f t="shared" si="128"/>
        <v>20</v>
      </c>
      <c r="AO303" s="130">
        <f t="shared" si="129"/>
        <v>0.2</v>
      </c>
      <c r="AP303" s="106">
        <v>15648000</v>
      </c>
      <c r="AQ303" s="261">
        <f t="shared" si="142"/>
        <v>0.99260368166651858</v>
      </c>
      <c r="AR303" s="261">
        <f t="shared" si="130"/>
        <v>39.889055224997776</v>
      </c>
      <c r="AS303" s="107">
        <f t="shared" si="131"/>
        <v>1.5955622089999111</v>
      </c>
      <c r="AT303" s="105">
        <v>0</v>
      </c>
      <c r="AU303" s="105">
        <v>1</v>
      </c>
      <c r="AV303" s="262">
        <f t="shared" si="132"/>
        <v>25</v>
      </c>
      <c r="AW303" s="134">
        <v>3</v>
      </c>
      <c r="AX303" s="134" t="s">
        <v>3626</v>
      </c>
      <c r="AY303" s="262">
        <f t="shared" si="133"/>
        <v>50</v>
      </c>
      <c r="AZ303" s="262">
        <f t="shared" si="134"/>
        <v>75</v>
      </c>
      <c r="BA303" s="38">
        <f t="shared" si="135"/>
        <v>0.75</v>
      </c>
      <c r="BB303" s="105">
        <v>1</v>
      </c>
      <c r="BC303" s="105">
        <v>0</v>
      </c>
      <c r="BD303" s="105">
        <v>0</v>
      </c>
      <c r="BE303" s="262">
        <f t="shared" si="136"/>
        <v>1</v>
      </c>
      <c r="BF303" s="262">
        <f t="shared" si="137"/>
        <v>100</v>
      </c>
      <c r="BG303" s="38">
        <f t="shared" si="138"/>
        <v>1</v>
      </c>
      <c r="BH303" s="255">
        <f t="shared" si="139"/>
        <v>473399000</v>
      </c>
      <c r="BI303" s="256">
        <f t="shared" si="140"/>
        <v>1.3902191620238074</v>
      </c>
      <c r="BJ303" s="256">
        <f t="shared" si="143"/>
        <v>35.426643715178557</v>
      </c>
      <c r="BK303" s="55">
        <f t="shared" si="141"/>
        <v>0.70853287430357115</v>
      </c>
      <c r="BL303" s="137">
        <f t="shared" si="144"/>
        <v>9.8540950833034824</v>
      </c>
    </row>
    <row r="304" spans="1:64" x14ac:dyDescent="0.6">
      <c r="A304" s="214" t="s">
        <v>923</v>
      </c>
      <c r="B304" s="13" t="s">
        <v>2285</v>
      </c>
      <c r="C304" s="219" t="s">
        <v>367</v>
      </c>
      <c r="D304" s="216" t="s">
        <v>285</v>
      </c>
      <c r="E304" s="217" t="s">
        <v>504</v>
      </c>
      <c r="F304" s="217" t="s">
        <v>713</v>
      </c>
      <c r="G304" s="218">
        <v>37585</v>
      </c>
      <c r="H304" s="217" t="s">
        <v>830</v>
      </c>
      <c r="I304" s="217" t="s">
        <v>1101</v>
      </c>
      <c r="J304" s="217" t="s">
        <v>1168</v>
      </c>
      <c r="K304" s="217" t="s">
        <v>91</v>
      </c>
      <c r="L304" s="220">
        <v>7747981793</v>
      </c>
      <c r="M304" s="206">
        <v>3561063599</v>
      </c>
      <c r="N304" s="206">
        <v>4186918194</v>
      </c>
      <c r="O304" s="206">
        <v>1655713149</v>
      </c>
      <c r="P304" s="206">
        <v>252210667</v>
      </c>
      <c r="Q304" s="206">
        <v>205090876</v>
      </c>
      <c r="R304" s="206">
        <v>160877945</v>
      </c>
      <c r="S304" s="105">
        <v>1</v>
      </c>
      <c r="T304" s="254">
        <f t="shared" si="116"/>
        <v>100</v>
      </c>
      <c r="U304" s="107">
        <f t="shared" si="117"/>
        <v>1</v>
      </c>
      <c r="V304" s="45">
        <v>1753</v>
      </c>
      <c r="W304" s="45">
        <v>1811</v>
      </c>
      <c r="X304" s="255">
        <f t="shared" si="118"/>
        <v>58</v>
      </c>
      <c r="Y304" s="255">
        <f t="shared" si="119"/>
        <v>60</v>
      </c>
      <c r="Z304" s="256">
        <f t="shared" si="120"/>
        <v>96.666666666666671</v>
      </c>
      <c r="AA304" s="257">
        <f t="shared" si="121"/>
        <v>100</v>
      </c>
      <c r="AB304" s="116">
        <f t="shared" si="122"/>
        <v>1</v>
      </c>
      <c r="AC304" s="123">
        <v>3082</v>
      </c>
      <c r="AD304" s="123">
        <v>3142</v>
      </c>
      <c r="AE304" s="257">
        <f t="shared" si="123"/>
        <v>60</v>
      </c>
      <c r="AF304" s="258">
        <f t="shared" si="124"/>
        <v>1.9467878001297858</v>
      </c>
      <c r="AG304" s="257">
        <f t="shared" si="125"/>
        <v>80</v>
      </c>
      <c r="AH304" s="124">
        <f t="shared" si="126"/>
        <v>3.2</v>
      </c>
      <c r="AI304" s="105">
        <v>0</v>
      </c>
      <c r="AJ304" s="105">
        <v>0</v>
      </c>
      <c r="AK304" s="105">
        <v>0</v>
      </c>
      <c r="AL304" s="105">
        <v>0</v>
      </c>
      <c r="AM304" s="260">
        <f t="shared" si="127"/>
        <v>0</v>
      </c>
      <c r="AN304" s="260">
        <f t="shared" si="128"/>
        <v>20</v>
      </c>
      <c r="AO304" s="130">
        <f t="shared" si="129"/>
        <v>0.2</v>
      </c>
      <c r="AP304" s="106">
        <v>3456253</v>
      </c>
      <c r="AQ304" s="261">
        <f t="shared" si="142"/>
        <v>2.1483696848564295</v>
      </c>
      <c r="AR304" s="261">
        <f t="shared" si="130"/>
        <v>57.225545272846446</v>
      </c>
      <c r="AS304" s="107">
        <f t="shared" si="131"/>
        <v>2.2890218109138578</v>
      </c>
      <c r="AT304" s="105">
        <v>1</v>
      </c>
      <c r="AU304" s="105">
        <v>1</v>
      </c>
      <c r="AV304" s="262">
        <f t="shared" si="132"/>
        <v>50</v>
      </c>
      <c r="AW304" s="134">
        <v>3</v>
      </c>
      <c r="AX304" s="134" t="s">
        <v>3627</v>
      </c>
      <c r="AY304" s="262">
        <f t="shared" si="133"/>
        <v>50</v>
      </c>
      <c r="AZ304" s="262">
        <f t="shared" si="134"/>
        <v>100</v>
      </c>
      <c r="BA304" s="38">
        <f t="shared" si="135"/>
        <v>1</v>
      </c>
      <c r="BB304" s="105">
        <v>0</v>
      </c>
      <c r="BC304" s="105">
        <v>0</v>
      </c>
      <c r="BD304" s="105">
        <v>0</v>
      </c>
      <c r="BE304" s="262">
        <f t="shared" si="136"/>
        <v>0</v>
      </c>
      <c r="BF304" s="262">
        <f t="shared" si="137"/>
        <v>50</v>
      </c>
      <c r="BG304" s="38">
        <f t="shared" si="138"/>
        <v>0.5</v>
      </c>
      <c r="BH304" s="255">
        <f t="shared" si="139"/>
        <v>44212931</v>
      </c>
      <c r="BI304" s="256">
        <f t="shared" si="140"/>
        <v>2.6703255347523971</v>
      </c>
      <c r="BJ304" s="256">
        <f t="shared" si="143"/>
        <v>45.02744151064298</v>
      </c>
      <c r="BK304" s="55">
        <f t="shared" si="141"/>
        <v>0.90054883021285959</v>
      </c>
      <c r="BL304" s="137">
        <f t="shared" si="144"/>
        <v>10.089570641126716</v>
      </c>
    </row>
    <row r="305" spans="1:64" x14ac:dyDescent="0.6">
      <c r="A305" s="214" t="s">
        <v>918</v>
      </c>
      <c r="B305" s="13" t="s">
        <v>2286</v>
      </c>
      <c r="C305" s="219" t="s">
        <v>848</v>
      </c>
      <c r="D305" s="216" t="s">
        <v>202</v>
      </c>
      <c r="E305" s="217" t="s">
        <v>575</v>
      </c>
      <c r="F305" s="217" t="s">
        <v>0</v>
      </c>
      <c r="G305" s="218">
        <v>35249</v>
      </c>
      <c r="H305" s="217" t="s">
        <v>830</v>
      </c>
      <c r="I305" s="217" t="s">
        <v>678</v>
      </c>
      <c r="J305" s="217" t="s">
        <v>383</v>
      </c>
      <c r="K305" s="217" t="s">
        <v>317</v>
      </c>
      <c r="L305" s="220">
        <v>2341218033</v>
      </c>
      <c r="M305" s="206">
        <v>1123345096</v>
      </c>
      <c r="N305" s="206">
        <v>1217872936</v>
      </c>
      <c r="O305" s="206">
        <v>1657192106</v>
      </c>
      <c r="P305" s="206">
        <v>70857294</v>
      </c>
      <c r="Q305" s="206">
        <v>155414095</v>
      </c>
      <c r="R305" s="206">
        <v>119214196</v>
      </c>
      <c r="S305" s="105">
        <v>0</v>
      </c>
      <c r="T305" s="254">
        <f t="shared" si="116"/>
        <v>0</v>
      </c>
      <c r="U305" s="107">
        <f t="shared" si="117"/>
        <v>0</v>
      </c>
      <c r="V305" s="45">
        <v>181</v>
      </c>
      <c r="W305" s="45">
        <v>179</v>
      </c>
      <c r="X305" s="255">
        <f t="shared" si="118"/>
        <v>-2</v>
      </c>
      <c r="Y305" s="255">
        <f t="shared" si="119"/>
        <v>52</v>
      </c>
      <c r="Z305" s="256">
        <f t="shared" si="120"/>
        <v>-3.8461538461538463</v>
      </c>
      <c r="AA305" s="257">
        <f t="shared" si="121"/>
        <v>20</v>
      </c>
      <c r="AB305" s="116">
        <f t="shared" si="122"/>
        <v>0.2</v>
      </c>
      <c r="AC305" s="123">
        <v>2556</v>
      </c>
      <c r="AD305" s="123">
        <v>2608</v>
      </c>
      <c r="AE305" s="257">
        <f t="shared" si="123"/>
        <v>52</v>
      </c>
      <c r="AF305" s="258">
        <f t="shared" si="124"/>
        <v>2.0344287949921753</v>
      </c>
      <c r="AG305" s="257">
        <f t="shared" si="125"/>
        <v>80</v>
      </c>
      <c r="AH305" s="124">
        <f t="shared" si="126"/>
        <v>3.2</v>
      </c>
      <c r="AI305" s="105">
        <v>0</v>
      </c>
      <c r="AJ305" s="105">
        <v>0</v>
      </c>
      <c r="AK305" s="105">
        <v>0</v>
      </c>
      <c r="AL305" s="105">
        <v>0</v>
      </c>
      <c r="AM305" s="260">
        <f t="shared" si="127"/>
        <v>0</v>
      </c>
      <c r="AN305" s="260">
        <f t="shared" si="128"/>
        <v>20</v>
      </c>
      <c r="AO305" s="130">
        <f t="shared" si="129"/>
        <v>0.2</v>
      </c>
      <c r="AP305" s="440">
        <v>0</v>
      </c>
      <c r="AQ305" s="261">
        <f t="shared" si="142"/>
        <v>0</v>
      </c>
      <c r="AR305" s="261">
        <f t="shared" si="130"/>
        <v>25</v>
      </c>
      <c r="AS305" s="107">
        <f t="shared" si="131"/>
        <v>1</v>
      </c>
      <c r="AT305" s="105">
        <v>0</v>
      </c>
      <c r="AU305" s="105">
        <v>1</v>
      </c>
      <c r="AV305" s="262">
        <f t="shared" si="132"/>
        <v>25</v>
      </c>
      <c r="AW305" s="134">
        <v>3</v>
      </c>
      <c r="AX305" s="134" t="s">
        <v>3628</v>
      </c>
      <c r="AY305" s="262">
        <f t="shared" si="133"/>
        <v>50</v>
      </c>
      <c r="AZ305" s="262">
        <f t="shared" si="134"/>
        <v>75</v>
      </c>
      <c r="BA305" s="38">
        <f t="shared" si="135"/>
        <v>0.75</v>
      </c>
      <c r="BB305" s="105">
        <v>0</v>
      </c>
      <c r="BC305" s="105">
        <v>0</v>
      </c>
      <c r="BD305" s="105">
        <v>0</v>
      </c>
      <c r="BE305" s="262">
        <f t="shared" si="136"/>
        <v>0</v>
      </c>
      <c r="BF305" s="262">
        <f t="shared" si="137"/>
        <v>50</v>
      </c>
      <c r="BG305" s="38">
        <f t="shared" si="138"/>
        <v>0.5</v>
      </c>
      <c r="BH305" s="255">
        <f t="shared" si="139"/>
        <v>36199899</v>
      </c>
      <c r="BI305" s="256">
        <f t="shared" si="140"/>
        <v>2.1844117449591569</v>
      </c>
      <c r="BJ305" s="256">
        <f t="shared" si="143"/>
        <v>41.383088087193677</v>
      </c>
      <c r="BK305" s="55">
        <f t="shared" si="141"/>
        <v>0.82766176174387351</v>
      </c>
      <c r="BL305" s="137">
        <f t="shared" si="144"/>
        <v>6.6776617617438738</v>
      </c>
    </row>
    <row r="306" spans="1:64" x14ac:dyDescent="0.6">
      <c r="A306" s="214" t="s">
        <v>502</v>
      </c>
      <c r="B306" s="13" t="s">
        <v>2287</v>
      </c>
      <c r="C306" s="219" t="s">
        <v>465</v>
      </c>
      <c r="D306" s="216" t="s">
        <v>285</v>
      </c>
      <c r="E306" s="217" t="s">
        <v>605</v>
      </c>
      <c r="F306" s="217" t="s">
        <v>386</v>
      </c>
      <c r="G306" s="218">
        <v>43552</v>
      </c>
      <c r="H306" s="217" t="s">
        <v>830</v>
      </c>
      <c r="I306" s="217" t="s">
        <v>822</v>
      </c>
      <c r="J306" s="217" t="s">
        <v>655</v>
      </c>
      <c r="K306" s="217" t="s">
        <v>91</v>
      </c>
      <c r="L306" s="220">
        <v>2408631121</v>
      </c>
      <c r="M306" s="206">
        <v>987330400</v>
      </c>
      <c r="N306" s="206">
        <v>1421300721</v>
      </c>
      <c r="O306" s="206">
        <v>2240816395</v>
      </c>
      <c r="P306" s="206">
        <v>124351998</v>
      </c>
      <c r="Q306" s="206">
        <v>138563322</v>
      </c>
      <c r="R306" s="206">
        <v>106628632</v>
      </c>
      <c r="S306" s="105">
        <v>1</v>
      </c>
      <c r="T306" s="254">
        <f t="shared" si="116"/>
        <v>100</v>
      </c>
      <c r="U306" s="107">
        <f t="shared" si="117"/>
        <v>1</v>
      </c>
      <c r="V306" s="45">
        <v>759</v>
      </c>
      <c r="W306" s="45">
        <f>615+255+71</f>
        <v>941</v>
      </c>
      <c r="X306" s="255">
        <f t="shared" si="118"/>
        <v>182</v>
      </c>
      <c r="Y306" s="255">
        <f t="shared" si="119"/>
        <v>525</v>
      </c>
      <c r="Z306" s="256">
        <f t="shared" si="120"/>
        <v>34.666666666666671</v>
      </c>
      <c r="AA306" s="257">
        <f t="shared" si="121"/>
        <v>80</v>
      </c>
      <c r="AB306" s="116">
        <f t="shared" si="122"/>
        <v>0.8</v>
      </c>
      <c r="AC306" s="123">
        <v>3568</v>
      </c>
      <c r="AD306" s="123">
        <v>4093</v>
      </c>
      <c r="AE306" s="257">
        <f t="shared" si="123"/>
        <v>525</v>
      </c>
      <c r="AF306" s="258">
        <f t="shared" si="124"/>
        <v>14.714125560538116</v>
      </c>
      <c r="AG306" s="257">
        <f t="shared" si="125"/>
        <v>100</v>
      </c>
      <c r="AH306" s="124">
        <f t="shared" si="126"/>
        <v>4</v>
      </c>
      <c r="AI306" s="105">
        <v>0</v>
      </c>
      <c r="AJ306" s="105">
        <v>0</v>
      </c>
      <c r="AK306" s="105">
        <v>0</v>
      </c>
      <c r="AL306" s="105">
        <v>0</v>
      </c>
      <c r="AM306" s="260">
        <f t="shared" si="127"/>
        <v>0</v>
      </c>
      <c r="AN306" s="260">
        <f t="shared" si="128"/>
        <v>20</v>
      </c>
      <c r="AO306" s="130">
        <f t="shared" si="129"/>
        <v>0.2</v>
      </c>
      <c r="AP306" s="106">
        <v>1550570</v>
      </c>
      <c r="AQ306" s="261">
        <f t="shared" si="142"/>
        <v>1.454177898484152</v>
      </c>
      <c r="AR306" s="261">
        <f t="shared" si="130"/>
        <v>46.812668477262278</v>
      </c>
      <c r="AS306" s="107">
        <f t="shared" si="131"/>
        <v>1.8725067390904913</v>
      </c>
      <c r="AT306" s="105">
        <v>1</v>
      </c>
      <c r="AU306" s="105">
        <v>1</v>
      </c>
      <c r="AV306" s="262">
        <f t="shared" si="132"/>
        <v>50</v>
      </c>
      <c r="AW306" s="134">
        <v>4</v>
      </c>
      <c r="AX306" s="134" t="s">
        <v>3629</v>
      </c>
      <c r="AY306" s="262">
        <f t="shared" si="133"/>
        <v>50</v>
      </c>
      <c r="AZ306" s="262">
        <f t="shared" si="134"/>
        <v>100</v>
      </c>
      <c r="BA306" s="38">
        <f t="shared" si="135"/>
        <v>1</v>
      </c>
      <c r="BB306" s="105">
        <v>1</v>
      </c>
      <c r="BC306" s="105">
        <v>0</v>
      </c>
      <c r="BD306" s="105">
        <v>0</v>
      </c>
      <c r="BE306" s="262">
        <f t="shared" si="136"/>
        <v>1</v>
      </c>
      <c r="BF306" s="262">
        <f t="shared" si="137"/>
        <v>100</v>
      </c>
      <c r="BG306" s="38">
        <f t="shared" si="138"/>
        <v>1</v>
      </c>
      <c r="BH306" s="255">
        <f t="shared" si="139"/>
        <v>31934690</v>
      </c>
      <c r="BI306" s="256">
        <f t="shared" si="140"/>
        <v>1.4251363954341294</v>
      </c>
      <c r="BJ306" s="256">
        <f t="shared" si="143"/>
        <v>35.688522965755972</v>
      </c>
      <c r="BK306" s="55">
        <f t="shared" si="141"/>
        <v>0.7137704593151194</v>
      </c>
      <c r="BL306" s="137">
        <f t="shared" si="144"/>
        <v>10.586277198405611</v>
      </c>
    </row>
    <row r="307" spans="1:64" x14ac:dyDescent="0.6">
      <c r="A307" s="214" t="s">
        <v>931</v>
      </c>
      <c r="B307" s="13" t="s">
        <v>2288</v>
      </c>
      <c r="C307" s="219" t="s">
        <v>466</v>
      </c>
      <c r="D307" s="216" t="s">
        <v>202</v>
      </c>
      <c r="E307" s="217" t="s">
        <v>996</v>
      </c>
      <c r="F307" s="217" t="s">
        <v>2</v>
      </c>
      <c r="G307" s="218">
        <v>27208</v>
      </c>
      <c r="H307" s="217" t="s">
        <v>830</v>
      </c>
      <c r="I307" s="217" t="s">
        <v>1148</v>
      </c>
      <c r="J307" s="217" t="s">
        <v>1143</v>
      </c>
      <c r="K307" s="217" t="s">
        <v>91</v>
      </c>
      <c r="L307" s="220">
        <v>83412349000</v>
      </c>
      <c r="M307" s="206">
        <v>27656534000</v>
      </c>
      <c r="N307" s="206">
        <v>55755815000</v>
      </c>
      <c r="O307" s="206">
        <v>65308350000</v>
      </c>
      <c r="P307" s="206">
        <v>2828569000</v>
      </c>
      <c r="Q307" s="206">
        <v>4175475000</v>
      </c>
      <c r="R307" s="206">
        <v>3701958000</v>
      </c>
      <c r="S307" s="105">
        <v>1</v>
      </c>
      <c r="T307" s="254">
        <f t="shared" si="116"/>
        <v>100</v>
      </c>
      <c r="U307" s="107">
        <f t="shared" si="117"/>
        <v>1</v>
      </c>
      <c r="V307" s="45">
        <v>4078</v>
      </c>
      <c r="W307" s="45">
        <v>4398</v>
      </c>
      <c r="X307" s="255">
        <f t="shared" si="118"/>
        <v>320</v>
      </c>
      <c r="Y307" s="255">
        <f t="shared" si="119"/>
        <v>-1162</v>
      </c>
      <c r="Z307" s="256">
        <f t="shared" si="120"/>
        <v>32000</v>
      </c>
      <c r="AA307" s="257">
        <f t="shared" si="121"/>
        <v>100</v>
      </c>
      <c r="AB307" s="116">
        <f t="shared" si="122"/>
        <v>1</v>
      </c>
      <c r="AC307" s="123">
        <v>66002</v>
      </c>
      <c r="AD307" s="123">
        <v>64840</v>
      </c>
      <c r="AE307" s="257">
        <f t="shared" si="123"/>
        <v>-1162</v>
      </c>
      <c r="AF307" s="258">
        <f t="shared" si="124"/>
        <v>-1.7605527105239236</v>
      </c>
      <c r="AG307" s="257">
        <f t="shared" si="125"/>
        <v>20</v>
      </c>
      <c r="AH307" s="124">
        <f t="shared" si="126"/>
        <v>0.8</v>
      </c>
      <c r="AI307" s="105">
        <v>0</v>
      </c>
      <c r="AJ307" s="105">
        <v>0</v>
      </c>
      <c r="AK307" s="105">
        <v>0</v>
      </c>
      <c r="AL307" s="105">
        <v>0</v>
      </c>
      <c r="AM307" s="260">
        <f t="shared" si="127"/>
        <v>0</v>
      </c>
      <c r="AN307" s="260">
        <f t="shared" si="128"/>
        <v>20</v>
      </c>
      <c r="AO307" s="130">
        <f t="shared" si="129"/>
        <v>0.2</v>
      </c>
      <c r="AP307" s="106">
        <v>46138000</v>
      </c>
      <c r="AQ307" s="261">
        <f t="shared" si="142"/>
        <v>1.2463134373755727</v>
      </c>
      <c r="AR307" s="261">
        <f t="shared" si="130"/>
        <v>43.69470156063359</v>
      </c>
      <c r="AS307" s="107">
        <f t="shared" si="131"/>
        <v>1.7477880624253437</v>
      </c>
      <c r="AT307" s="105">
        <v>1</v>
      </c>
      <c r="AU307" s="105">
        <v>1</v>
      </c>
      <c r="AV307" s="262">
        <f t="shared" si="132"/>
        <v>50</v>
      </c>
      <c r="AW307" s="134">
        <v>3</v>
      </c>
      <c r="AX307" s="134" t="s">
        <v>3630</v>
      </c>
      <c r="AY307" s="262">
        <f t="shared" si="133"/>
        <v>50</v>
      </c>
      <c r="AZ307" s="262">
        <f t="shared" si="134"/>
        <v>100</v>
      </c>
      <c r="BA307" s="38">
        <f t="shared" si="135"/>
        <v>1</v>
      </c>
      <c r="BB307" s="105">
        <v>0</v>
      </c>
      <c r="BC307" s="105">
        <v>0</v>
      </c>
      <c r="BD307" s="105">
        <v>0</v>
      </c>
      <c r="BE307" s="262">
        <f t="shared" si="136"/>
        <v>0</v>
      </c>
      <c r="BF307" s="262">
        <f t="shared" si="137"/>
        <v>50</v>
      </c>
      <c r="BG307" s="38">
        <f t="shared" si="138"/>
        <v>0.5</v>
      </c>
      <c r="BH307" s="255">
        <f t="shared" si="139"/>
        <v>473517000</v>
      </c>
      <c r="BI307" s="256">
        <f t="shared" si="140"/>
        <v>0.72504817530989529</v>
      </c>
      <c r="BJ307" s="256">
        <f t="shared" si="143"/>
        <v>30.437861314824215</v>
      </c>
      <c r="BK307" s="55">
        <f t="shared" si="141"/>
        <v>0.60875722629648432</v>
      </c>
      <c r="BL307" s="137">
        <f t="shared" si="144"/>
        <v>6.8565452887218283</v>
      </c>
    </row>
    <row r="308" spans="1:64" x14ac:dyDescent="0.6">
      <c r="A308" s="214" t="s">
        <v>373</v>
      </c>
      <c r="B308" s="13" t="s">
        <v>2289</v>
      </c>
      <c r="C308" s="219" t="s">
        <v>473</v>
      </c>
      <c r="D308" s="221" t="s">
        <v>350</v>
      </c>
      <c r="E308" s="217" t="s">
        <v>179</v>
      </c>
      <c r="F308" s="217" t="s">
        <v>648</v>
      </c>
      <c r="G308" s="218">
        <v>33033</v>
      </c>
      <c r="H308" s="217" t="s">
        <v>830</v>
      </c>
      <c r="I308" s="217" t="s">
        <v>826</v>
      </c>
      <c r="J308" s="217" t="s">
        <v>979</v>
      </c>
      <c r="K308" s="217" t="s">
        <v>91</v>
      </c>
      <c r="L308" s="220">
        <v>9431771000</v>
      </c>
      <c r="M308" s="206">
        <v>8215533000</v>
      </c>
      <c r="N308" s="206">
        <v>1216238000</v>
      </c>
      <c r="O308" s="206">
        <v>1147815000</v>
      </c>
      <c r="P308" s="206">
        <v>107043000</v>
      </c>
      <c r="Q308" s="206">
        <v>107816000</v>
      </c>
      <c r="R308" s="206">
        <v>80172000</v>
      </c>
      <c r="S308" s="105">
        <v>1</v>
      </c>
      <c r="T308" s="254">
        <f t="shared" si="116"/>
        <v>100</v>
      </c>
      <c r="U308" s="107">
        <f t="shared" si="117"/>
        <v>1</v>
      </c>
      <c r="V308" s="45">
        <v>199</v>
      </c>
      <c r="W308" s="45">
        <f>68+27+77</f>
        <v>172</v>
      </c>
      <c r="X308" s="255">
        <f t="shared" si="118"/>
        <v>-27</v>
      </c>
      <c r="Y308" s="255">
        <f t="shared" si="119"/>
        <v>26</v>
      </c>
      <c r="Z308" s="256">
        <f t="shared" si="120"/>
        <v>-103.84615384615385</v>
      </c>
      <c r="AA308" s="257">
        <f t="shared" si="121"/>
        <v>20</v>
      </c>
      <c r="AB308" s="116">
        <f t="shared" si="122"/>
        <v>0.2</v>
      </c>
      <c r="AC308" s="123">
        <v>523</v>
      </c>
      <c r="AD308" s="123">
        <v>549</v>
      </c>
      <c r="AE308" s="257">
        <f t="shared" si="123"/>
        <v>26</v>
      </c>
      <c r="AF308" s="258">
        <f t="shared" si="124"/>
        <v>4.9713193116634802</v>
      </c>
      <c r="AG308" s="257">
        <f t="shared" si="125"/>
        <v>100</v>
      </c>
      <c r="AH308" s="124">
        <f t="shared" si="126"/>
        <v>4</v>
      </c>
      <c r="AI308" s="105">
        <v>0</v>
      </c>
      <c r="AJ308" s="105">
        <v>0</v>
      </c>
      <c r="AK308" s="105">
        <v>0</v>
      </c>
      <c r="AL308" s="105">
        <v>0</v>
      </c>
      <c r="AM308" s="260">
        <f t="shared" si="127"/>
        <v>0</v>
      </c>
      <c r="AN308" s="260">
        <f t="shared" si="128"/>
        <v>20</v>
      </c>
      <c r="AO308" s="130">
        <f t="shared" si="129"/>
        <v>0.2</v>
      </c>
      <c r="AP308" s="440">
        <v>0</v>
      </c>
      <c r="AQ308" s="261">
        <f t="shared" si="142"/>
        <v>0</v>
      </c>
      <c r="AR308" s="261">
        <f t="shared" si="130"/>
        <v>25</v>
      </c>
      <c r="AS308" s="107">
        <f t="shared" si="131"/>
        <v>1</v>
      </c>
      <c r="AT308" s="105">
        <v>0</v>
      </c>
      <c r="AU308" s="105">
        <v>1</v>
      </c>
      <c r="AV308" s="262">
        <f t="shared" si="132"/>
        <v>25</v>
      </c>
      <c r="AW308" s="134">
        <v>1</v>
      </c>
      <c r="AX308" s="134" t="s">
        <v>3631</v>
      </c>
      <c r="AY308" s="262">
        <f t="shared" si="133"/>
        <v>25</v>
      </c>
      <c r="AZ308" s="262">
        <f t="shared" si="134"/>
        <v>50</v>
      </c>
      <c r="BA308" s="38">
        <f t="shared" si="135"/>
        <v>0.5</v>
      </c>
      <c r="BB308" s="105">
        <v>0</v>
      </c>
      <c r="BC308" s="105">
        <v>0</v>
      </c>
      <c r="BD308" s="105">
        <v>0</v>
      </c>
      <c r="BE308" s="262">
        <f t="shared" si="136"/>
        <v>0</v>
      </c>
      <c r="BF308" s="262">
        <f t="shared" si="137"/>
        <v>50</v>
      </c>
      <c r="BG308" s="38">
        <f t="shared" si="138"/>
        <v>0.5</v>
      </c>
      <c r="BH308" s="255">
        <f t="shared" si="139"/>
        <v>27644000</v>
      </c>
      <c r="BI308" s="256">
        <f t="shared" si="140"/>
        <v>2.4084020508531427</v>
      </c>
      <c r="BJ308" s="256">
        <f t="shared" si="143"/>
        <v>43.063015381398571</v>
      </c>
      <c r="BK308" s="55">
        <f t="shared" si="141"/>
        <v>0.86126030762797146</v>
      </c>
      <c r="BL308" s="137">
        <f t="shared" si="144"/>
        <v>8.2612603076279711</v>
      </c>
    </row>
    <row r="309" spans="1:64" x14ac:dyDescent="0.6">
      <c r="A309" s="214" t="s">
        <v>914</v>
      </c>
      <c r="B309" s="13" t="s">
        <v>2290</v>
      </c>
      <c r="C309" s="219" t="s">
        <v>859</v>
      </c>
      <c r="D309" s="216" t="s">
        <v>285</v>
      </c>
      <c r="E309" s="217" t="s">
        <v>245</v>
      </c>
      <c r="F309" s="217" t="s">
        <v>130</v>
      </c>
      <c r="G309" s="218">
        <v>28460</v>
      </c>
      <c r="H309" s="217" t="s">
        <v>830</v>
      </c>
      <c r="I309" s="217" t="s">
        <v>1149</v>
      </c>
      <c r="J309" s="217" t="s">
        <v>641</v>
      </c>
      <c r="K309" s="217" t="s">
        <v>91</v>
      </c>
      <c r="L309" s="220">
        <v>1308741234</v>
      </c>
      <c r="M309" s="206">
        <v>878633042</v>
      </c>
      <c r="N309" s="206">
        <v>430108191</v>
      </c>
      <c r="O309" s="206">
        <v>4311279621</v>
      </c>
      <c r="P309" s="206">
        <v>29265563</v>
      </c>
      <c r="Q309" s="206">
        <v>78592213</v>
      </c>
      <c r="R309" s="206">
        <v>78671213</v>
      </c>
      <c r="S309" s="105">
        <v>1</v>
      </c>
      <c r="T309" s="254">
        <f t="shared" si="116"/>
        <v>100</v>
      </c>
      <c r="U309" s="107">
        <f t="shared" si="117"/>
        <v>1</v>
      </c>
      <c r="V309" s="45">
        <v>51</v>
      </c>
      <c r="W309" s="45">
        <f>30+19</f>
        <v>49</v>
      </c>
      <c r="X309" s="255">
        <f t="shared" si="118"/>
        <v>-2</v>
      </c>
      <c r="Y309" s="255">
        <f t="shared" si="119"/>
        <v>8</v>
      </c>
      <c r="Z309" s="256">
        <f t="shared" si="120"/>
        <v>-25</v>
      </c>
      <c r="AA309" s="257">
        <f t="shared" si="121"/>
        <v>20</v>
      </c>
      <c r="AB309" s="116">
        <f t="shared" si="122"/>
        <v>0.2</v>
      </c>
      <c r="AC309" s="123">
        <v>205</v>
      </c>
      <c r="AD309" s="123">
        <v>213</v>
      </c>
      <c r="AE309" s="257">
        <f t="shared" si="123"/>
        <v>8</v>
      </c>
      <c r="AF309" s="258">
        <f t="shared" si="124"/>
        <v>3.9024390243902438</v>
      </c>
      <c r="AG309" s="257">
        <f t="shared" si="125"/>
        <v>100</v>
      </c>
      <c r="AH309" s="124">
        <f t="shared" si="126"/>
        <v>4</v>
      </c>
      <c r="AI309" s="105">
        <v>0</v>
      </c>
      <c r="AJ309" s="105">
        <v>0</v>
      </c>
      <c r="AK309" s="105">
        <v>0</v>
      </c>
      <c r="AL309" s="105">
        <v>0</v>
      </c>
      <c r="AM309" s="260">
        <f t="shared" si="127"/>
        <v>0</v>
      </c>
      <c r="AN309" s="260">
        <f t="shared" si="128"/>
        <v>20</v>
      </c>
      <c r="AO309" s="130">
        <f t="shared" si="129"/>
        <v>0.2</v>
      </c>
      <c r="AP309" s="106">
        <v>515000</v>
      </c>
      <c r="AQ309" s="261">
        <f t="shared" si="142"/>
        <v>0.65462318472196435</v>
      </c>
      <c r="AR309" s="261">
        <f t="shared" si="130"/>
        <v>34.819347770829467</v>
      </c>
      <c r="AS309" s="107">
        <f t="shared" si="131"/>
        <v>1.3927739108331787</v>
      </c>
      <c r="AT309" s="105">
        <v>0</v>
      </c>
      <c r="AU309" s="105">
        <v>1</v>
      </c>
      <c r="AV309" s="262">
        <f t="shared" si="132"/>
        <v>25</v>
      </c>
      <c r="AW309" s="134">
        <v>3</v>
      </c>
      <c r="AX309" s="134" t="s">
        <v>3632</v>
      </c>
      <c r="AY309" s="262">
        <f t="shared" si="133"/>
        <v>50</v>
      </c>
      <c r="AZ309" s="262">
        <f t="shared" si="134"/>
        <v>75</v>
      </c>
      <c r="BA309" s="38">
        <f t="shared" si="135"/>
        <v>0.75</v>
      </c>
      <c r="BB309" s="105">
        <v>0</v>
      </c>
      <c r="BC309" s="105">
        <v>0</v>
      </c>
      <c r="BD309" s="105">
        <v>0</v>
      </c>
      <c r="BE309" s="262">
        <f t="shared" si="136"/>
        <v>0</v>
      </c>
      <c r="BF309" s="262">
        <f t="shared" si="137"/>
        <v>50</v>
      </c>
      <c r="BG309" s="38">
        <f t="shared" si="138"/>
        <v>0.5</v>
      </c>
      <c r="BH309" s="255">
        <f t="shared" si="139"/>
        <v>-79000</v>
      </c>
      <c r="BI309" s="256">
        <f t="shared" si="140"/>
        <v>-1.8324026030507384E-3</v>
      </c>
      <c r="BJ309" s="256">
        <f t="shared" si="143"/>
        <v>25</v>
      </c>
      <c r="BK309" s="55">
        <f t="shared" si="141"/>
        <v>0.5</v>
      </c>
      <c r="BL309" s="137">
        <f t="shared" si="144"/>
        <v>8.5427739108331799</v>
      </c>
    </row>
    <row r="310" spans="1:64" x14ac:dyDescent="0.6">
      <c r="A310" s="214" t="s">
        <v>299</v>
      </c>
      <c r="B310" s="13" t="s">
        <v>2291</v>
      </c>
      <c r="C310" s="219" t="s">
        <v>530</v>
      </c>
      <c r="D310" s="221" t="s">
        <v>481</v>
      </c>
      <c r="E310" s="217" t="s">
        <v>704</v>
      </c>
      <c r="F310" s="217" t="s">
        <v>275</v>
      </c>
      <c r="G310" s="218">
        <v>32745</v>
      </c>
      <c r="H310" s="217" t="s">
        <v>830</v>
      </c>
      <c r="I310" s="217" t="s">
        <v>219</v>
      </c>
      <c r="J310" s="217" t="s">
        <v>957</v>
      </c>
      <c r="K310" s="217" t="s">
        <v>91</v>
      </c>
      <c r="L310" s="220">
        <v>51608012236</v>
      </c>
      <c r="M310" s="206">
        <v>47532258211</v>
      </c>
      <c r="N310" s="206">
        <v>4075754025</v>
      </c>
      <c r="O310" s="206">
        <v>14222654630</v>
      </c>
      <c r="P310" s="206">
        <v>798504080</v>
      </c>
      <c r="Q310" s="206">
        <v>768353165</v>
      </c>
      <c r="R310" s="206">
        <v>560901654</v>
      </c>
      <c r="S310" s="105">
        <v>1</v>
      </c>
      <c r="T310" s="254">
        <f t="shared" si="116"/>
        <v>100</v>
      </c>
      <c r="U310" s="107">
        <f t="shared" si="117"/>
        <v>1</v>
      </c>
      <c r="V310" s="45">
        <v>1881</v>
      </c>
      <c r="W310" s="45">
        <v>1856</v>
      </c>
      <c r="X310" s="255">
        <f t="shared" si="118"/>
        <v>-25</v>
      </c>
      <c r="Y310" s="255">
        <f t="shared" si="119"/>
        <v>-79</v>
      </c>
      <c r="Z310" s="256">
        <f t="shared" si="120"/>
        <v>-2500</v>
      </c>
      <c r="AA310" s="257">
        <f t="shared" si="121"/>
        <v>20</v>
      </c>
      <c r="AB310" s="116">
        <f t="shared" si="122"/>
        <v>0.2</v>
      </c>
      <c r="AC310" s="123">
        <v>3918</v>
      </c>
      <c r="AD310" s="123">
        <v>3839</v>
      </c>
      <c r="AE310" s="257">
        <f t="shared" si="123"/>
        <v>-79</v>
      </c>
      <c r="AF310" s="258">
        <f t="shared" si="124"/>
        <v>-2.0163348647269013</v>
      </c>
      <c r="AG310" s="257">
        <f t="shared" si="125"/>
        <v>20</v>
      </c>
      <c r="AH310" s="124">
        <f t="shared" si="126"/>
        <v>0.8</v>
      </c>
      <c r="AI310" s="105">
        <v>0</v>
      </c>
      <c r="AJ310" s="105">
        <v>0</v>
      </c>
      <c r="AK310" s="105">
        <v>0</v>
      </c>
      <c r="AL310" s="105">
        <v>0</v>
      </c>
      <c r="AM310" s="260">
        <f t="shared" si="127"/>
        <v>0</v>
      </c>
      <c r="AN310" s="260">
        <f t="shared" si="128"/>
        <v>20</v>
      </c>
      <c r="AO310" s="130">
        <f t="shared" si="129"/>
        <v>0.2</v>
      </c>
      <c r="AP310" s="106">
        <v>3533243.463</v>
      </c>
      <c r="AQ310" s="261">
        <f t="shared" si="142"/>
        <v>0.62992209735933491</v>
      </c>
      <c r="AR310" s="261">
        <f t="shared" si="130"/>
        <v>34.448831460390025</v>
      </c>
      <c r="AS310" s="107">
        <f t="shared" si="131"/>
        <v>1.3779532584156011</v>
      </c>
      <c r="AT310" s="105">
        <v>0</v>
      </c>
      <c r="AU310" s="105">
        <v>1</v>
      </c>
      <c r="AV310" s="262">
        <f t="shared" si="132"/>
        <v>25</v>
      </c>
      <c r="AW310" s="134">
        <v>3</v>
      </c>
      <c r="AX310" s="134" t="s">
        <v>3633</v>
      </c>
      <c r="AY310" s="262">
        <f t="shared" si="133"/>
        <v>50</v>
      </c>
      <c r="AZ310" s="262">
        <f t="shared" si="134"/>
        <v>75</v>
      </c>
      <c r="BA310" s="38">
        <f t="shared" si="135"/>
        <v>0.75</v>
      </c>
      <c r="BB310" s="105">
        <v>0</v>
      </c>
      <c r="BC310" s="105">
        <v>0</v>
      </c>
      <c r="BD310" s="105">
        <v>1</v>
      </c>
      <c r="BE310" s="262">
        <f t="shared" si="136"/>
        <v>1</v>
      </c>
      <c r="BF310" s="262">
        <f t="shared" si="137"/>
        <v>100</v>
      </c>
      <c r="BG310" s="38">
        <f t="shared" si="138"/>
        <v>1</v>
      </c>
      <c r="BH310" s="255">
        <f t="shared" si="139"/>
        <v>207451511</v>
      </c>
      <c r="BI310" s="256">
        <f t="shared" si="140"/>
        <v>1.458599089950622</v>
      </c>
      <c r="BJ310" s="256">
        <f t="shared" si="143"/>
        <v>35.939493174629661</v>
      </c>
      <c r="BK310" s="55">
        <f t="shared" si="141"/>
        <v>0.71878986349259322</v>
      </c>
      <c r="BL310" s="137">
        <f t="shared" si="144"/>
        <v>6.046743121908194</v>
      </c>
    </row>
    <row r="311" spans="1:64" x14ac:dyDescent="0.6">
      <c r="A311" s="214" t="s">
        <v>936</v>
      </c>
      <c r="B311" s="13" t="s">
        <v>2292</v>
      </c>
      <c r="C311" s="219" t="s">
        <v>17</v>
      </c>
      <c r="D311" s="216" t="s">
        <v>285</v>
      </c>
      <c r="E311" s="217" t="s">
        <v>851</v>
      </c>
      <c r="F311" s="217" t="s">
        <v>1141</v>
      </c>
      <c r="G311" s="218">
        <v>40434</v>
      </c>
      <c r="H311" s="217" t="s">
        <v>830</v>
      </c>
      <c r="I311" s="217" t="s">
        <v>1013</v>
      </c>
      <c r="J311" s="217" t="s">
        <v>1147</v>
      </c>
      <c r="K311" s="217" t="s">
        <v>91</v>
      </c>
      <c r="L311" s="220">
        <v>1865948929</v>
      </c>
      <c r="M311" s="206">
        <v>318378114</v>
      </c>
      <c r="N311" s="206">
        <v>1547570816</v>
      </c>
      <c r="O311" s="206">
        <v>1101635299</v>
      </c>
      <c r="P311" s="206">
        <v>112712450</v>
      </c>
      <c r="Q311" s="206">
        <v>74367602</v>
      </c>
      <c r="R311" s="206">
        <v>67521538</v>
      </c>
      <c r="S311" s="105">
        <v>1</v>
      </c>
      <c r="T311" s="254">
        <f t="shared" si="116"/>
        <v>100</v>
      </c>
      <c r="U311" s="107">
        <f t="shared" si="117"/>
        <v>1</v>
      </c>
      <c r="V311" s="45">
        <v>516</v>
      </c>
      <c r="W311" s="45">
        <f>214+334</f>
        <v>548</v>
      </c>
      <c r="X311" s="255">
        <f t="shared" si="118"/>
        <v>32</v>
      </c>
      <c r="Y311" s="255">
        <f t="shared" si="119"/>
        <v>40</v>
      </c>
      <c r="Z311" s="256">
        <f t="shared" si="120"/>
        <v>80</v>
      </c>
      <c r="AA311" s="257">
        <f t="shared" si="121"/>
        <v>100</v>
      </c>
      <c r="AB311" s="116">
        <f t="shared" si="122"/>
        <v>1</v>
      </c>
      <c r="AC311" s="123">
        <v>982</v>
      </c>
      <c r="AD311" s="123">
        <v>1022</v>
      </c>
      <c r="AE311" s="257">
        <f t="shared" si="123"/>
        <v>40</v>
      </c>
      <c r="AF311" s="258">
        <f t="shared" si="124"/>
        <v>4.0733197556008145</v>
      </c>
      <c r="AG311" s="257">
        <f t="shared" si="125"/>
        <v>100</v>
      </c>
      <c r="AH311" s="124">
        <f t="shared" si="126"/>
        <v>4</v>
      </c>
      <c r="AI311" s="105">
        <v>0</v>
      </c>
      <c r="AJ311" s="105">
        <v>0</v>
      </c>
      <c r="AK311" s="105">
        <v>0</v>
      </c>
      <c r="AL311" s="105">
        <v>0</v>
      </c>
      <c r="AM311" s="260">
        <f t="shared" si="127"/>
        <v>0</v>
      </c>
      <c r="AN311" s="260">
        <f t="shared" si="128"/>
        <v>20</v>
      </c>
      <c r="AO311" s="130">
        <f t="shared" si="129"/>
        <v>0.2</v>
      </c>
      <c r="AP311" s="106">
        <v>4033815</v>
      </c>
      <c r="AQ311" s="261">
        <f t="shared" si="142"/>
        <v>5.9741159924408125</v>
      </c>
      <c r="AR311" s="261">
        <f t="shared" si="130"/>
        <v>100</v>
      </c>
      <c r="AS311" s="107">
        <f t="shared" si="131"/>
        <v>4</v>
      </c>
      <c r="AT311" s="105">
        <v>0</v>
      </c>
      <c r="AU311" s="105">
        <v>1</v>
      </c>
      <c r="AV311" s="262">
        <f t="shared" si="132"/>
        <v>25</v>
      </c>
      <c r="AW311" s="134">
        <v>3</v>
      </c>
      <c r="AX311" s="134" t="s">
        <v>3576</v>
      </c>
      <c r="AY311" s="262">
        <f t="shared" si="133"/>
        <v>50</v>
      </c>
      <c r="AZ311" s="262">
        <f t="shared" si="134"/>
        <v>75</v>
      </c>
      <c r="BA311" s="38">
        <f t="shared" si="135"/>
        <v>0.75</v>
      </c>
      <c r="BB311" s="105">
        <v>0</v>
      </c>
      <c r="BC311" s="105">
        <v>0</v>
      </c>
      <c r="BD311" s="105">
        <v>0</v>
      </c>
      <c r="BE311" s="262">
        <f t="shared" si="136"/>
        <v>0</v>
      </c>
      <c r="BF311" s="262">
        <f t="shared" si="137"/>
        <v>50</v>
      </c>
      <c r="BG311" s="38">
        <f t="shared" si="138"/>
        <v>0.5</v>
      </c>
      <c r="BH311" s="255">
        <f t="shared" si="139"/>
        <v>6846064</v>
      </c>
      <c r="BI311" s="256">
        <f t="shared" si="140"/>
        <v>0.6214455914960656</v>
      </c>
      <c r="BJ311" s="256">
        <f t="shared" si="143"/>
        <v>29.660841936220493</v>
      </c>
      <c r="BK311" s="55">
        <f t="shared" si="141"/>
        <v>0.59321683872440989</v>
      </c>
      <c r="BL311" s="137">
        <f t="shared" si="144"/>
        <v>12.043216838724408</v>
      </c>
    </row>
    <row r="312" spans="1:64" x14ac:dyDescent="0.6">
      <c r="A312" s="214" t="s">
        <v>318</v>
      </c>
      <c r="B312" s="13" t="s">
        <v>2293</v>
      </c>
      <c r="C312" s="219" t="s">
        <v>539</v>
      </c>
      <c r="D312" s="216" t="s">
        <v>285</v>
      </c>
      <c r="E312" s="217" t="s">
        <v>872</v>
      </c>
      <c r="F312" s="217" t="s">
        <v>44</v>
      </c>
      <c r="G312" s="218">
        <v>32415</v>
      </c>
      <c r="H312" s="217" t="s">
        <v>830</v>
      </c>
      <c r="I312" s="217" t="s">
        <v>435</v>
      </c>
      <c r="J312" s="217" t="s">
        <v>1145</v>
      </c>
      <c r="K312" s="217" t="s">
        <v>308</v>
      </c>
      <c r="L312" s="220">
        <v>564413385</v>
      </c>
      <c r="M312" s="206">
        <v>200073929</v>
      </c>
      <c r="N312" s="206">
        <v>364339456</v>
      </c>
      <c r="O312" s="206">
        <v>645826449</v>
      </c>
      <c r="P312" s="206">
        <v>23890019</v>
      </c>
      <c r="Q312" s="206">
        <v>40898213</v>
      </c>
      <c r="R312" s="206">
        <v>31433619</v>
      </c>
      <c r="S312" s="105">
        <v>1</v>
      </c>
      <c r="T312" s="254">
        <f t="shared" si="116"/>
        <v>100</v>
      </c>
      <c r="U312" s="107">
        <f t="shared" si="117"/>
        <v>1</v>
      </c>
      <c r="V312" s="45">
        <v>23</v>
      </c>
      <c r="W312" s="45">
        <f>1+9+22</f>
        <v>32</v>
      </c>
      <c r="X312" s="255">
        <f t="shared" si="118"/>
        <v>9</v>
      </c>
      <c r="Y312" s="255">
        <f t="shared" si="119"/>
        <v>32</v>
      </c>
      <c r="Z312" s="256">
        <f t="shared" si="120"/>
        <v>28.125</v>
      </c>
      <c r="AA312" s="257">
        <f t="shared" si="121"/>
        <v>60</v>
      </c>
      <c r="AB312" s="116">
        <f t="shared" si="122"/>
        <v>0.6</v>
      </c>
      <c r="AC312" s="123">
        <v>289</v>
      </c>
      <c r="AD312" s="123">
        <v>321</v>
      </c>
      <c r="AE312" s="257">
        <f t="shared" si="123"/>
        <v>32</v>
      </c>
      <c r="AF312" s="258">
        <f t="shared" si="124"/>
        <v>11.072664359861593</v>
      </c>
      <c r="AG312" s="257">
        <f t="shared" si="125"/>
        <v>100</v>
      </c>
      <c r="AH312" s="124">
        <f t="shared" si="126"/>
        <v>4</v>
      </c>
      <c r="AI312" s="105">
        <v>0</v>
      </c>
      <c r="AJ312" s="105">
        <v>0</v>
      </c>
      <c r="AK312" s="105">
        <v>0</v>
      </c>
      <c r="AL312" s="105">
        <v>0</v>
      </c>
      <c r="AM312" s="260">
        <f t="shared" si="127"/>
        <v>0</v>
      </c>
      <c r="AN312" s="260">
        <f t="shared" si="128"/>
        <v>20</v>
      </c>
      <c r="AO312" s="130">
        <f t="shared" si="129"/>
        <v>0.2</v>
      </c>
      <c r="AP312" s="106">
        <v>349500</v>
      </c>
      <c r="AQ312" s="261">
        <f t="shared" si="142"/>
        <v>1.1118668836699968</v>
      </c>
      <c r="AR312" s="261">
        <f t="shared" si="130"/>
        <v>41.678003255049951</v>
      </c>
      <c r="AS312" s="107">
        <f t="shared" si="131"/>
        <v>1.667120130201998</v>
      </c>
      <c r="AT312" s="105">
        <v>1</v>
      </c>
      <c r="AU312" s="105">
        <v>1</v>
      </c>
      <c r="AV312" s="262">
        <f t="shared" si="132"/>
        <v>50</v>
      </c>
      <c r="AW312" s="134">
        <v>3</v>
      </c>
      <c r="AX312" s="134" t="s">
        <v>3634</v>
      </c>
      <c r="AY312" s="262">
        <f t="shared" si="133"/>
        <v>50</v>
      </c>
      <c r="AZ312" s="262">
        <f t="shared" si="134"/>
        <v>100</v>
      </c>
      <c r="BA312" s="38">
        <f t="shared" si="135"/>
        <v>1</v>
      </c>
      <c r="BB312" s="105">
        <v>0</v>
      </c>
      <c r="BC312" s="105">
        <v>0</v>
      </c>
      <c r="BD312" s="105">
        <v>0</v>
      </c>
      <c r="BE312" s="262">
        <f t="shared" si="136"/>
        <v>0</v>
      </c>
      <c r="BF312" s="262">
        <f t="shared" si="137"/>
        <v>50</v>
      </c>
      <c r="BG312" s="38">
        <f t="shared" si="138"/>
        <v>0.5</v>
      </c>
      <c r="BH312" s="255">
        <f t="shared" si="139"/>
        <v>9464594</v>
      </c>
      <c r="BI312" s="256">
        <f t="shared" si="140"/>
        <v>1.4655011442555521</v>
      </c>
      <c r="BJ312" s="256">
        <f t="shared" si="143"/>
        <v>35.99125858191664</v>
      </c>
      <c r="BK312" s="55">
        <f t="shared" si="141"/>
        <v>0.71982517163833282</v>
      </c>
      <c r="BL312" s="137">
        <f t="shared" si="144"/>
        <v>9.6869453018403302</v>
      </c>
    </row>
    <row r="313" spans="1:64" x14ac:dyDescent="0.6">
      <c r="A313" s="214" t="s">
        <v>1961</v>
      </c>
      <c r="B313" s="13" t="s">
        <v>2294</v>
      </c>
      <c r="C313" s="219" t="s">
        <v>1962</v>
      </c>
      <c r="D313" s="14" t="s">
        <v>202</v>
      </c>
      <c r="E313" s="217" t="s">
        <v>954</v>
      </c>
      <c r="F313" s="217" t="s">
        <v>1963</v>
      </c>
      <c r="G313" s="218">
        <v>44270</v>
      </c>
      <c r="H313" s="217" t="s">
        <v>830</v>
      </c>
      <c r="I313" s="217" t="s">
        <v>1964</v>
      </c>
      <c r="J313" s="1" t="s">
        <v>3775</v>
      </c>
      <c r="K313" s="217" t="s">
        <v>50</v>
      </c>
      <c r="L313" s="220">
        <v>395294330</v>
      </c>
      <c r="M313" s="206">
        <v>302633820</v>
      </c>
      <c r="N313" s="206">
        <v>92660510</v>
      </c>
      <c r="O313" s="206">
        <v>657241500</v>
      </c>
      <c r="P313" s="206">
        <v>12719529</v>
      </c>
      <c r="Q313" s="206">
        <v>15411762</v>
      </c>
      <c r="R313" s="206">
        <v>12684598</v>
      </c>
      <c r="S313" s="105">
        <v>1</v>
      </c>
      <c r="T313" s="254">
        <f t="shared" si="116"/>
        <v>100</v>
      </c>
      <c r="U313" s="107">
        <f t="shared" si="117"/>
        <v>1</v>
      </c>
      <c r="V313" s="45">
        <v>93</v>
      </c>
      <c r="W313" s="45">
        <v>25</v>
      </c>
      <c r="X313" s="255">
        <f t="shared" si="118"/>
        <v>-68</v>
      </c>
      <c r="Y313" s="255">
        <f t="shared" si="119"/>
        <v>-120</v>
      </c>
      <c r="Z313" s="256">
        <f t="shared" si="120"/>
        <v>-6800</v>
      </c>
      <c r="AA313" s="257">
        <f t="shared" si="121"/>
        <v>20</v>
      </c>
      <c r="AB313" s="116">
        <f t="shared" si="122"/>
        <v>0.2</v>
      </c>
      <c r="AC313" s="123">
        <v>711</v>
      </c>
      <c r="AD313" s="123">
        <v>591</v>
      </c>
      <c r="AE313" s="257">
        <f t="shared" si="123"/>
        <v>-120</v>
      </c>
      <c r="AF313" s="258">
        <f t="shared" si="124"/>
        <v>-16.877637130801688</v>
      </c>
      <c r="AG313" s="257">
        <f t="shared" si="125"/>
        <v>20</v>
      </c>
      <c r="AH313" s="124">
        <f t="shared" si="126"/>
        <v>0.8</v>
      </c>
      <c r="AI313" s="105">
        <v>0</v>
      </c>
      <c r="AJ313" s="105">
        <v>0</v>
      </c>
      <c r="AK313" s="105">
        <v>0</v>
      </c>
      <c r="AL313" s="105">
        <v>0</v>
      </c>
      <c r="AM313" s="260">
        <f t="shared" si="127"/>
        <v>0</v>
      </c>
      <c r="AN313" s="260">
        <f t="shared" si="128"/>
        <v>20</v>
      </c>
      <c r="AO313" s="130">
        <f t="shared" si="129"/>
        <v>0.2</v>
      </c>
      <c r="AP313" s="106">
        <v>46000</v>
      </c>
      <c r="AQ313" s="261">
        <f t="shared" si="142"/>
        <v>0.3626445236971641</v>
      </c>
      <c r="AR313" s="261">
        <f t="shared" si="130"/>
        <v>30.439667855457461</v>
      </c>
      <c r="AS313" s="107">
        <f t="shared" si="131"/>
        <v>1.2175867142182986</v>
      </c>
      <c r="AT313" s="105">
        <v>0</v>
      </c>
      <c r="AU313" s="105">
        <v>0</v>
      </c>
      <c r="AV313" s="262">
        <f t="shared" si="132"/>
        <v>0</v>
      </c>
      <c r="AW313" s="134">
        <v>2</v>
      </c>
      <c r="AX313" s="447" t="s">
        <v>3778</v>
      </c>
      <c r="AY313" s="262">
        <f t="shared" si="133"/>
        <v>25</v>
      </c>
      <c r="AZ313" s="262">
        <f t="shared" si="134"/>
        <v>25</v>
      </c>
      <c r="BA313" s="38">
        <f t="shared" si="135"/>
        <v>0.25</v>
      </c>
      <c r="BB313" s="105">
        <v>0</v>
      </c>
      <c r="BC313" s="105">
        <v>0</v>
      </c>
      <c r="BD313" s="105">
        <v>0</v>
      </c>
      <c r="BE313" s="262">
        <f t="shared" si="136"/>
        <v>0</v>
      </c>
      <c r="BF313" s="262">
        <f t="shared" si="137"/>
        <v>50</v>
      </c>
      <c r="BG313" s="38">
        <f t="shared" si="138"/>
        <v>0.5</v>
      </c>
      <c r="BH313" s="255">
        <f t="shared" si="139"/>
        <v>2727164</v>
      </c>
      <c r="BI313" s="256">
        <f t="shared" si="140"/>
        <v>0.41494093114935687</v>
      </c>
      <c r="BJ313" s="256">
        <f t="shared" si="143"/>
        <v>28.112056983620178</v>
      </c>
      <c r="BK313" s="55">
        <f t="shared" si="141"/>
        <v>0.56224113967240352</v>
      </c>
      <c r="BL313" s="137">
        <f t="shared" si="144"/>
        <v>4.7298278538907024</v>
      </c>
    </row>
    <row r="314" spans="1:64" x14ac:dyDescent="0.6">
      <c r="A314" s="214" t="s">
        <v>1966</v>
      </c>
      <c r="B314" s="13" t="s">
        <v>2295</v>
      </c>
      <c r="C314" s="219" t="s">
        <v>456</v>
      </c>
      <c r="D314" s="216" t="s">
        <v>191</v>
      </c>
      <c r="E314" s="217" t="s">
        <v>359</v>
      </c>
      <c r="F314" s="217">
        <v>0</v>
      </c>
      <c r="G314" s="218">
        <v>42647</v>
      </c>
      <c r="H314" s="217" t="s">
        <v>830</v>
      </c>
      <c r="I314" s="217" t="s">
        <v>838</v>
      </c>
      <c r="J314" s="217" t="s">
        <v>674</v>
      </c>
      <c r="K314" s="217" t="s">
        <v>484</v>
      </c>
      <c r="L314" s="220">
        <v>385322070</v>
      </c>
      <c r="M314" s="206">
        <v>21439724</v>
      </c>
      <c r="N314" s="206">
        <v>363882347</v>
      </c>
      <c r="O314" s="206">
        <v>6697506</v>
      </c>
      <c r="P314" s="206">
        <v>3662683</v>
      </c>
      <c r="Q314" s="206">
        <v>13457274</v>
      </c>
      <c r="R314" s="206">
        <v>10765577</v>
      </c>
      <c r="S314" s="105">
        <v>1</v>
      </c>
      <c r="T314" s="254">
        <f t="shared" si="116"/>
        <v>100</v>
      </c>
      <c r="U314" s="107">
        <f t="shared" si="117"/>
        <v>1</v>
      </c>
      <c r="V314" s="45">
        <v>1</v>
      </c>
      <c r="W314" s="45">
        <v>1</v>
      </c>
      <c r="X314" s="255">
        <f t="shared" si="118"/>
        <v>0</v>
      </c>
      <c r="Y314" s="255">
        <f t="shared" si="119"/>
        <v>-1</v>
      </c>
      <c r="Z314" s="256">
        <f t="shared" si="120"/>
        <v>0</v>
      </c>
      <c r="AA314" s="257">
        <f t="shared" si="121"/>
        <v>20</v>
      </c>
      <c r="AB314" s="116">
        <f t="shared" si="122"/>
        <v>0.2</v>
      </c>
      <c r="AC314" s="123">
        <v>6</v>
      </c>
      <c r="AD314" s="123">
        <v>5</v>
      </c>
      <c r="AE314" s="257">
        <f t="shared" si="123"/>
        <v>-1</v>
      </c>
      <c r="AF314" s="258">
        <f t="shared" si="124"/>
        <v>-16.666666666666664</v>
      </c>
      <c r="AG314" s="257">
        <f t="shared" si="125"/>
        <v>20</v>
      </c>
      <c r="AH314" s="124">
        <f t="shared" si="126"/>
        <v>0.8</v>
      </c>
      <c r="AI314" s="105">
        <v>0</v>
      </c>
      <c r="AJ314" s="105">
        <v>0</v>
      </c>
      <c r="AK314" s="105">
        <v>0</v>
      </c>
      <c r="AL314" s="105">
        <v>0</v>
      </c>
      <c r="AM314" s="260">
        <f t="shared" si="127"/>
        <v>0</v>
      </c>
      <c r="AN314" s="260">
        <f t="shared" si="128"/>
        <v>20</v>
      </c>
      <c r="AO314" s="130">
        <f t="shared" si="129"/>
        <v>0.2</v>
      </c>
      <c r="AP314" s="440">
        <v>0</v>
      </c>
      <c r="AQ314" s="261">
        <f t="shared" si="142"/>
        <v>0</v>
      </c>
      <c r="AR314" s="261">
        <f t="shared" si="130"/>
        <v>25</v>
      </c>
      <c r="AS314" s="107">
        <f t="shared" si="131"/>
        <v>1</v>
      </c>
      <c r="AT314" s="105">
        <v>0</v>
      </c>
      <c r="AU314" s="105">
        <v>1</v>
      </c>
      <c r="AV314" s="262">
        <f t="shared" si="132"/>
        <v>25</v>
      </c>
      <c r="AW314" s="134">
        <v>0</v>
      </c>
      <c r="AX314" s="134"/>
      <c r="AY314" s="262">
        <f t="shared" si="133"/>
        <v>0</v>
      </c>
      <c r="AZ314" s="262">
        <f t="shared" si="134"/>
        <v>25</v>
      </c>
      <c r="BA314" s="38">
        <f t="shared" si="135"/>
        <v>0.25</v>
      </c>
      <c r="BB314" s="105">
        <v>0</v>
      </c>
      <c r="BC314" s="105">
        <v>0</v>
      </c>
      <c r="BD314" s="105">
        <v>0</v>
      </c>
      <c r="BE314" s="262">
        <f t="shared" si="136"/>
        <v>0</v>
      </c>
      <c r="BF314" s="262">
        <f t="shared" si="137"/>
        <v>50</v>
      </c>
      <c r="BG314" s="38">
        <f t="shared" si="138"/>
        <v>0.5</v>
      </c>
      <c r="BH314" s="255">
        <f t="shared" si="139"/>
        <v>2691697</v>
      </c>
      <c r="BI314" s="256">
        <f t="shared" si="140"/>
        <v>40.189542196752043</v>
      </c>
      <c r="BJ314" s="256">
        <f t="shared" si="143"/>
        <v>100</v>
      </c>
      <c r="BK314" s="55">
        <f t="shared" si="141"/>
        <v>2</v>
      </c>
      <c r="BL314" s="137">
        <f t="shared" si="144"/>
        <v>5.95</v>
      </c>
    </row>
    <row r="315" spans="1:64" x14ac:dyDescent="0.6">
      <c r="A315" s="214" t="s">
        <v>110</v>
      </c>
      <c r="B315" s="13" t="s">
        <v>2296</v>
      </c>
      <c r="C315" s="219" t="s">
        <v>415</v>
      </c>
      <c r="D315" s="216" t="s">
        <v>202</v>
      </c>
      <c r="E315" s="217" t="s">
        <v>572</v>
      </c>
      <c r="F315" s="217" t="s">
        <v>140</v>
      </c>
      <c r="G315" s="218">
        <v>36482</v>
      </c>
      <c r="H315" s="217" t="s">
        <v>830</v>
      </c>
      <c r="I315" s="217" t="s">
        <v>574</v>
      </c>
      <c r="J315" s="217" t="s">
        <v>1128</v>
      </c>
      <c r="K315" s="217" t="s">
        <v>487</v>
      </c>
      <c r="L315" s="220">
        <v>431960683</v>
      </c>
      <c r="M315" s="206">
        <v>113198118</v>
      </c>
      <c r="N315" s="206">
        <v>318762565</v>
      </c>
      <c r="O315" s="206">
        <v>214284471</v>
      </c>
      <c r="P315" s="206">
        <v>4478641</v>
      </c>
      <c r="Q315" s="206">
        <v>40192166</v>
      </c>
      <c r="R315" s="206">
        <v>33648333</v>
      </c>
      <c r="S315" s="105">
        <v>1</v>
      </c>
      <c r="T315" s="254">
        <f t="shared" si="116"/>
        <v>100</v>
      </c>
      <c r="U315" s="107">
        <f t="shared" si="117"/>
        <v>1</v>
      </c>
      <c r="V315" s="45">
        <v>6</v>
      </c>
      <c r="W315" s="45">
        <v>6</v>
      </c>
      <c r="X315" s="255">
        <f t="shared" si="118"/>
        <v>0</v>
      </c>
      <c r="Y315" s="255">
        <f t="shared" si="119"/>
        <v>-10</v>
      </c>
      <c r="Z315" s="256">
        <f t="shared" si="120"/>
        <v>0</v>
      </c>
      <c r="AA315" s="257">
        <f t="shared" si="121"/>
        <v>20</v>
      </c>
      <c r="AB315" s="116">
        <f t="shared" si="122"/>
        <v>0.2</v>
      </c>
      <c r="AC315" s="123">
        <v>313</v>
      </c>
      <c r="AD315" s="123">
        <v>303</v>
      </c>
      <c r="AE315" s="257">
        <f t="shared" si="123"/>
        <v>-10</v>
      </c>
      <c r="AF315" s="258">
        <f t="shared" si="124"/>
        <v>-3.1948881789137378</v>
      </c>
      <c r="AG315" s="257">
        <f t="shared" si="125"/>
        <v>20</v>
      </c>
      <c r="AH315" s="124">
        <f t="shared" si="126"/>
        <v>0.8</v>
      </c>
      <c r="AI315" s="105">
        <v>0</v>
      </c>
      <c r="AJ315" s="105">
        <v>0</v>
      </c>
      <c r="AK315" s="105">
        <v>0</v>
      </c>
      <c r="AL315" s="105">
        <v>0</v>
      </c>
      <c r="AM315" s="260">
        <f t="shared" si="127"/>
        <v>0</v>
      </c>
      <c r="AN315" s="260">
        <f t="shared" si="128"/>
        <v>20</v>
      </c>
      <c r="AO315" s="130">
        <f t="shared" si="129"/>
        <v>0.2</v>
      </c>
      <c r="AP315" s="106">
        <v>181850</v>
      </c>
      <c r="AQ315" s="261">
        <f t="shared" si="142"/>
        <v>0.54044282074835626</v>
      </c>
      <c r="AR315" s="261">
        <f t="shared" si="130"/>
        <v>33.106642311225343</v>
      </c>
      <c r="AS315" s="107">
        <f t="shared" si="131"/>
        <v>1.3242656924490137</v>
      </c>
      <c r="AT315" s="105">
        <v>1</v>
      </c>
      <c r="AU315" s="105">
        <v>1</v>
      </c>
      <c r="AV315" s="262">
        <f t="shared" si="132"/>
        <v>50</v>
      </c>
      <c r="AW315" s="134">
        <v>2</v>
      </c>
      <c r="AX315" s="134" t="s">
        <v>3600</v>
      </c>
      <c r="AY315" s="262">
        <f t="shared" si="133"/>
        <v>25</v>
      </c>
      <c r="AZ315" s="262">
        <f t="shared" si="134"/>
        <v>75</v>
      </c>
      <c r="BA315" s="38">
        <f t="shared" si="135"/>
        <v>0.75</v>
      </c>
      <c r="BB315" s="105">
        <v>0</v>
      </c>
      <c r="BC315" s="105">
        <v>0</v>
      </c>
      <c r="BD315" s="105">
        <v>0</v>
      </c>
      <c r="BE315" s="262">
        <f t="shared" si="136"/>
        <v>0</v>
      </c>
      <c r="BF315" s="262">
        <f t="shared" si="137"/>
        <v>50</v>
      </c>
      <c r="BG315" s="38">
        <f t="shared" si="138"/>
        <v>0.5</v>
      </c>
      <c r="BH315" s="255">
        <f t="shared" si="139"/>
        <v>6543833</v>
      </c>
      <c r="BI315" s="256">
        <f t="shared" si="140"/>
        <v>3.0538064515183647</v>
      </c>
      <c r="BJ315" s="256">
        <f t="shared" si="143"/>
        <v>47.903548386387733</v>
      </c>
      <c r="BK315" s="55">
        <f t="shared" si="141"/>
        <v>0.95807096772775469</v>
      </c>
      <c r="BL315" s="137">
        <f t="shared" si="144"/>
        <v>5.7323366601767685</v>
      </c>
    </row>
    <row r="316" spans="1:64" x14ac:dyDescent="0.6">
      <c r="A316" s="214" t="s">
        <v>526</v>
      </c>
      <c r="B316" s="13" t="s">
        <v>2297</v>
      </c>
      <c r="C316" s="219" t="s">
        <v>294</v>
      </c>
      <c r="D316" s="216" t="s">
        <v>203</v>
      </c>
      <c r="E316" s="217" t="s">
        <v>200</v>
      </c>
      <c r="F316" s="217" t="s">
        <v>614</v>
      </c>
      <c r="G316" s="218">
        <v>40115</v>
      </c>
      <c r="H316" s="217" t="s">
        <v>830</v>
      </c>
      <c r="I316" s="217" t="s">
        <v>841</v>
      </c>
      <c r="J316" s="217" t="s">
        <v>1127</v>
      </c>
      <c r="K316" s="217" t="s">
        <v>690</v>
      </c>
      <c r="L316" s="220">
        <v>292166785</v>
      </c>
      <c r="M316" s="206">
        <v>44275143</v>
      </c>
      <c r="N316" s="206">
        <v>247891642</v>
      </c>
      <c r="O316" s="206">
        <v>161284519</v>
      </c>
      <c r="P316" s="206">
        <v>27840640</v>
      </c>
      <c r="Q316" s="206">
        <v>28718534</v>
      </c>
      <c r="R316" s="206">
        <v>22454629</v>
      </c>
      <c r="S316" s="105">
        <v>1</v>
      </c>
      <c r="T316" s="254">
        <f t="shared" si="116"/>
        <v>100</v>
      </c>
      <c r="U316" s="107">
        <f t="shared" si="117"/>
        <v>1</v>
      </c>
      <c r="V316" s="45">
        <v>20</v>
      </c>
      <c r="W316" s="45">
        <v>18</v>
      </c>
      <c r="X316" s="255">
        <f t="shared" si="118"/>
        <v>-2</v>
      </c>
      <c r="Y316" s="255">
        <f t="shared" si="119"/>
        <v>1</v>
      </c>
      <c r="Z316" s="256">
        <f t="shared" si="120"/>
        <v>-200</v>
      </c>
      <c r="AA316" s="257">
        <f t="shared" si="121"/>
        <v>20</v>
      </c>
      <c r="AB316" s="116">
        <f t="shared" si="122"/>
        <v>0.2</v>
      </c>
      <c r="AC316" s="123">
        <v>107</v>
      </c>
      <c r="AD316" s="123">
        <v>108</v>
      </c>
      <c r="AE316" s="257">
        <f t="shared" si="123"/>
        <v>1</v>
      </c>
      <c r="AF316" s="258">
        <f t="shared" si="124"/>
        <v>0.93457943925233633</v>
      </c>
      <c r="AG316" s="257">
        <f t="shared" si="125"/>
        <v>60</v>
      </c>
      <c r="AH316" s="124">
        <f t="shared" si="126"/>
        <v>2.4</v>
      </c>
      <c r="AI316" s="105">
        <v>0</v>
      </c>
      <c r="AJ316" s="105">
        <v>0</v>
      </c>
      <c r="AK316" s="105">
        <v>0</v>
      </c>
      <c r="AL316" s="105">
        <v>0</v>
      </c>
      <c r="AM316" s="260">
        <f t="shared" si="127"/>
        <v>0</v>
      </c>
      <c r="AN316" s="260">
        <f t="shared" si="128"/>
        <v>20</v>
      </c>
      <c r="AO316" s="130">
        <f t="shared" si="129"/>
        <v>0.2</v>
      </c>
      <c r="AP316" s="106">
        <v>103331</v>
      </c>
      <c r="AQ316" s="261">
        <f t="shared" si="142"/>
        <v>0.46017683035422224</v>
      </c>
      <c r="AR316" s="261">
        <f t="shared" si="130"/>
        <v>31.902652455313333</v>
      </c>
      <c r="AS316" s="107">
        <f t="shared" si="131"/>
        <v>1.2761060982125334</v>
      </c>
      <c r="AT316" s="105">
        <v>0</v>
      </c>
      <c r="AU316" s="105">
        <v>1</v>
      </c>
      <c r="AV316" s="262">
        <f t="shared" si="132"/>
        <v>25</v>
      </c>
      <c r="AW316" s="134">
        <v>0</v>
      </c>
      <c r="AX316" s="134"/>
      <c r="AY316" s="262">
        <f t="shared" si="133"/>
        <v>0</v>
      </c>
      <c r="AZ316" s="262">
        <f t="shared" si="134"/>
        <v>25</v>
      </c>
      <c r="BA316" s="38">
        <f t="shared" si="135"/>
        <v>0.25</v>
      </c>
      <c r="BB316" s="105">
        <v>0</v>
      </c>
      <c r="BC316" s="105">
        <v>0</v>
      </c>
      <c r="BD316" s="105">
        <v>0</v>
      </c>
      <c r="BE316" s="262">
        <f t="shared" si="136"/>
        <v>0</v>
      </c>
      <c r="BF316" s="262">
        <f t="shared" si="137"/>
        <v>50</v>
      </c>
      <c r="BG316" s="38">
        <f t="shared" si="138"/>
        <v>0.5</v>
      </c>
      <c r="BH316" s="255">
        <f t="shared" si="139"/>
        <v>6263905</v>
      </c>
      <c r="BI316" s="256">
        <f t="shared" si="140"/>
        <v>3.8837608462595221</v>
      </c>
      <c r="BJ316" s="256">
        <f t="shared" si="143"/>
        <v>54.128206346946413</v>
      </c>
      <c r="BK316" s="55">
        <f t="shared" si="141"/>
        <v>1.0825641269389283</v>
      </c>
      <c r="BL316" s="137">
        <f t="shared" si="144"/>
        <v>6.9086702251514618</v>
      </c>
    </row>
    <row r="317" spans="1:64" x14ac:dyDescent="0.6">
      <c r="A317" s="214" t="s">
        <v>926</v>
      </c>
      <c r="B317" s="13" t="s">
        <v>2298</v>
      </c>
      <c r="C317" s="219" t="s">
        <v>10</v>
      </c>
      <c r="D317" s="216" t="s">
        <v>285</v>
      </c>
      <c r="E317" s="217" t="s">
        <v>619</v>
      </c>
      <c r="F317" s="217" t="s">
        <v>667</v>
      </c>
      <c r="G317" s="218">
        <v>39380</v>
      </c>
      <c r="H317" s="217" t="s">
        <v>830</v>
      </c>
      <c r="I317" s="217" t="s">
        <v>705</v>
      </c>
      <c r="J317" s="217" t="s">
        <v>1214</v>
      </c>
      <c r="K317" s="217" t="s">
        <v>91</v>
      </c>
      <c r="L317" s="220">
        <v>176403782</v>
      </c>
      <c r="M317" s="206">
        <v>111131085</v>
      </c>
      <c r="N317" s="206">
        <v>65272696</v>
      </c>
      <c r="O317" s="206">
        <v>510498450</v>
      </c>
      <c r="P317" s="206">
        <v>22273886</v>
      </c>
      <c r="Q317" s="206">
        <v>19802511</v>
      </c>
      <c r="R317" s="206">
        <v>15083749</v>
      </c>
      <c r="S317" s="105">
        <v>1</v>
      </c>
      <c r="T317" s="254">
        <f t="shared" si="116"/>
        <v>100</v>
      </c>
      <c r="U317" s="107">
        <f t="shared" si="117"/>
        <v>1</v>
      </c>
      <c r="V317" s="45">
        <v>5960</v>
      </c>
      <c r="W317" s="45">
        <f>96+5608</f>
        <v>5704</v>
      </c>
      <c r="X317" s="255">
        <f t="shared" si="118"/>
        <v>-256</v>
      </c>
      <c r="Y317" s="255">
        <f t="shared" si="119"/>
        <v>-166</v>
      </c>
      <c r="Z317" s="256">
        <f t="shared" si="120"/>
        <v>-25600</v>
      </c>
      <c r="AA317" s="257">
        <f t="shared" si="121"/>
        <v>20</v>
      </c>
      <c r="AB317" s="116">
        <f t="shared" si="122"/>
        <v>0.2</v>
      </c>
      <c r="AC317" s="123">
        <v>7614</v>
      </c>
      <c r="AD317" s="123">
        <v>7448</v>
      </c>
      <c r="AE317" s="257">
        <f t="shared" si="123"/>
        <v>-166</v>
      </c>
      <c r="AF317" s="258">
        <f t="shared" si="124"/>
        <v>-2.1801943787759388</v>
      </c>
      <c r="AG317" s="257">
        <f t="shared" si="125"/>
        <v>20</v>
      </c>
      <c r="AH317" s="124">
        <f t="shared" si="126"/>
        <v>0.8</v>
      </c>
      <c r="AI317" s="105">
        <v>0</v>
      </c>
      <c r="AJ317" s="105">
        <v>0</v>
      </c>
      <c r="AK317" s="105">
        <v>0</v>
      </c>
      <c r="AL317" s="105">
        <v>0</v>
      </c>
      <c r="AM317" s="260">
        <f t="shared" si="127"/>
        <v>0</v>
      </c>
      <c r="AN317" s="260">
        <f t="shared" si="128"/>
        <v>20</v>
      </c>
      <c r="AO317" s="130">
        <f t="shared" si="129"/>
        <v>0.2</v>
      </c>
      <c r="AP317" s="106">
        <v>87055</v>
      </c>
      <c r="AQ317" s="261">
        <f t="shared" si="142"/>
        <v>0.57714431604503624</v>
      </c>
      <c r="AR317" s="261">
        <f t="shared" si="130"/>
        <v>33.65716474067554</v>
      </c>
      <c r="AS317" s="107">
        <f t="shared" si="131"/>
        <v>1.3462865896270217</v>
      </c>
      <c r="AT317" s="105">
        <v>0</v>
      </c>
      <c r="AU317" s="105">
        <v>1</v>
      </c>
      <c r="AV317" s="262">
        <f t="shared" si="132"/>
        <v>25</v>
      </c>
      <c r="AW317" s="134">
        <v>3</v>
      </c>
      <c r="AX317" s="134" t="s">
        <v>3635</v>
      </c>
      <c r="AY317" s="262">
        <f t="shared" si="133"/>
        <v>50</v>
      </c>
      <c r="AZ317" s="262">
        <f t="shared" si="134"/>
        <v>75</v>
      </c>
      <c r="BA317" s="38">
        <f t="shared" si="135"/>
        <v>0.75</v>
      </c>
      <c r="BB317" s="105">
        <v>0</v>
      </c>
      <c r="BC317" s="105">
        <v>0</v>
      </c>
      <c r="BD317" s="105">
        <v>0</v>
      </c>
      <c r="BE317" s="262">
        <f t="shared" si="136"/>
        <v>0</v>
      </c>
      <c r="BF317" s="262">
        <f t="shared" si="137"/>
        <v>50</v>
      </c>
      <c r="BG317" s="38">
        <f t="shared" si="138"/>
        <v>0.5</v>
      </c>
      <c r="BH317" s="255">
        <f t="shared" si="139"/>
        <v>4718762</v>
      </c>
      <c r="BI317" s="256">
        <f t="shared" si="140"/>
        <v>0.92434404061363939</v>
      </c>
      <c r="BJ317" s="256">
        <f t="shared" si="143"/>
        <v>31.932580304602297</v>
      </c>
      <c r="BK317" s="55">
        <f t="shared" si="141"/>
        <v>0.63865160609204596</v>
      </c>
      <c r="BL317" s="137">
        <f t="shared" si="144"/>
        <v>5.4349381957190683</v>
      </c>
    </row>
    <row r="318" spans="1:64" x14ac:dyDescent="0.6">
      <c r="A318" s="214" t="s">
        <v>1967</v>
      </c>
      <c r="B318" s="13" t="s">
        <v>2299</v>
      </c>
      <c r="C318" s="219" t="s">
        <v>1968</v>
      </c>
      <c r="D318" s="14" t="s">
        <v>203</v>
      </c>
      <c r="E318" s="217" t="s">
        <v>240</v>
      </c>
      <c r="F318" s="217" t="s">
        <v>1969</v>
      </c>
      <c r="G318" s="218">
        <v>43294</v>
      </c>
      <c r="H318" s="217" t="s">
        <v>830</v>
      </c>
      <c r="I318" s="217" t="s">
        <v>1970</v>
      </c>
      <c r="J318" s="1" t="s">
        <v>3779</v>
      </c>
      <c r="K318" s="217" t="s">
        <v>91</v>
      </c>
      <c r="L318" s="220">
        <v>1354651786</v>
      </c>
      <c r="M318" s="206">
        <v>616821573</v>
      </c>
      <c r="N318" s="206">
        <v>737830213</v>
      </c>
      <c r="O318" s="206">
        <v>858081181</v>
      </c>
      <c r="P318" s="206">
        <v>96465703</v>
      </c>
      <c r="Q318" s="206">
        <v>259022901</v>
      </c>
      <c r="R318" s="206">
        <v>212549126</v>
      </c>
      <c r="S318" s="105">
        <v>1</v>
      </c>
      <c r="T318" s="254">
        <f t="shared" si="116"/>
        <v>100</v>
      </c>
      <c r="U318" s="107">
        <f t="shared" si="117"/>
        <v>1</v>
      </c>
      <c r="V318" s="45">
        <v>85</v>
      </c>
      <c r="W318" s="45">
        <v>83</v>
      </c>
      <c r="X318" s="255">
        <f t="shared" si="118"/>
        <v>-2</v>
      </c>
      <c r="Y318" s="255">
        <f t="shared" si="119"/>
        <v>-74</v>
      </c>
      <c r="Z318" s="256">
        <f t="shared" si="120"/>
        <v>-200</v>
      </c>
      <c r="AA318" s="257">
        <f t="shared" si="121"/>
        <v>20</v>
      </c>
      <c r="AB318" s="116">
        <f t="shared" si="122"/>
        <v>0.2</v>
      </c>
      <c r="AC318" s="123">
        <v>919</v>
      </c>
      <c r="AD318" s="123">
        <v>845</v>
      </c>
      <c r="AE318" s="257">
        <f t="shared" si="123"/>
        <v>-74</v>
      </c>
      <c r="AF318" s="258">
        <f t="shared" si="124"/>
        <v>-8.0522306855277481</v>
      </c>
      <c r="AG318" s="257">
        <f t="shared" si="125"/>
        <v>20</v>
      </c>
      <c r="AH318" s="124">
        <f t="shared" si="126"/>
        <v>0.8</v>
      </c>
      <c r="AI318" s="105">
        <v>0</v>
      </c>
      <c r="AJ318" s="105">
        <v>0</v>
      </c>
      <c r="AK318" s="105">
        <v>0</v>
      </c>
      <c r="AL318" s="105">
        <v>0</v>
      </c>
      <c r="AM318" s="260">
        <f t="shared" si="127"/>
        <v>0</v>
      </c>
      <c r="AN318" s="260">
        <f t="shared" si="128"/>
        <v>20</v>
      </c>
      <c r="AO318" s="130">
        <f t="shared" si="129"/>
        <v>0.2</v>
      </c>
      <c r="AP318" s="106">
        <v>5403000</v>
      </c>
      <c r="AQ318" s="261">
        <f t="shared" si="142"/>
        <v>2.5420005726111525</v>
      </c>
      <c r="AR318" s="261">
        <f t="shared" si="130"/>
        <v>63.130008589167289</v>
      </c>
      <c r="AS318" s="107">
        <f t="shared" si="131"/>
        <v>2.5252003435666914</v>
      </c>
      <c r="AT318" s="105">
        <v>0</v>
      </c>
      <c r="AU318" s="105">
        <v>1</v>
      </c>
      <c r="AV318" s="262">
        <f t="shared" si="132"/>
        <v>25</v>
      </c>
      <c r="AW318" s="134">
        <v>4</v>
      </c>
      <c r="AX318" s="447" t="s">
        <v>3780</v>
      </c>
      <c r="AY318" s="262">
        <f t="shared" si="133"/>
        <v>50</v>
      </c>
      <c r="AZ318" s="262">
        <f t="shared" si="134"/>
        <v>75</v>
      </c>
      <c r="BA318" s="38">
        <f t="shared" si="135"/>
        <v>0.75</v>
      </c>
      <c r="BB318" s="105">
        <v>1</v>
      </c>
      <c r="BC318" s="105">
        <v>0</v>
      </c>
      <c r="BD318" s="105">
        <v>0</v>
      </c>
      <c r="BE318" s="262">
        <f t="shared" si="136"/>
        <v>1</v>
      </c>
      <c r="BF318" s="262">
        <f t="shared" si="137"/>
        <v>100</v>
      </c>
      <c r="BG318" s="38">
        <f t="shared" si="138"/>
        <v>1</v>
      </c>
      <c r="BH318" s="255">
        <f t="shared" si="139"/>
        <v>46473775</v>
      </c>
      <c r="BI318" s="256">
        <f t="shared" si="140"/>
        <v>5.4160114484552482</v>
      </c>
      <c r="BJ318" s="256">
        <f t="shared" si="143"/>
        <v>65.62008586341436</v>
      </c>
      <c r="BK318" s="55">
        <f t="shared" si="141"/>
        <v>1.3124017172682871</v>
      </c>
      <c r="BL318" s="137">
        <f t="shared" si="144"/>
        <v>7.7876020608349785</v>
      </c>
    </row>
    <row r="319" spans="1:64" x14ac:dyDescent="0.6">
      <c r="A319" s="214" t="s">
        <v>72</v>
      </c>
      <c r="B319" s="13" t="s">
        <v>2300</v>
      </c>
      <c r="C319" s="219" t="s">
        <v>424</v>
      </c>
      <c r="D319" s="216" t="s">
        <v>203</v>
      </c>
      <c r="E319" s="217" t="s">
        <v>240</v>
      </c>
      <c r="F319" s="217" t="s">
        <v>669</v>
      </c>
      <c r="G319" s="218">
        <v>43294</v>
      </c>
      <c r="H319" s="217" t="s">
        <v>830</v>
      </c>
      <c r="I319" s="217" t="s">
        <v>815</v>
      </c>
      <c r="J319" s="217" t="s">
        <v>1220</v>
      </c>
      <c r="K319" s="217" t="s">
        <v>91</v>
      </c>
      <c r="L319" s="220">
        <v>1677616350</v>
      </c>
      <c r="M319" s="206">
        <v>845718444</v>
      </c>
      <c r="N319" s="206">
        <v>831897906</v>
      </c>
      <c r="O319" s="206">
        <v>5364505670</v>
      </c>
      <c r="P319" s="206">
        <v>178825560</v>
      </c>
      <c r="Q319" s="206">
        <v>303615954</v>
      </c>
      <c r="R319" s="206">
        <v>289706110</v>
      </c>
      <c r="S319" s="105">
        <v>1</v>
      </c>
      <c r="T319" s="254">
        <f t="shared" si="116"/>
        <v>100</v>
      </c>
      <c r="U319" s="107">
        <f t="shared" si="117"/>
        <v>1</v>
      </c>
      <c r="V319" s="45">
        <v>504</v>
      </c>
      <c r="W319" s="45">
        <f>111+53+92+256</f>
        <v>512</v>
      </c>
      <c r="X319" s="255">
        <f t="shared" si="118"/>
        <v>8</v>
      </c>
      <c r="Y319" s="255">
        <f t="shared" si="119"/>
        <v>-78</v>
      </c>
      <c r="Z319" s="256">
        <f t="shared" si="120"/>
        <v>800</v>
      </c>
      <c r="AA319" s="257">
        <f t="shared" si="121"/>
        <v>100</v>
      </c>
      <c r="AB319" s="116">
        <f t="shared" si="122"/>
        <v>1</v>
      </c>
      <c r="AC319" s="123">
        <v>1440</v>
      </c>
      <c r="AD319" s="123">
        <v>1362</v>
      </c>
      <c r="AE319" s="257">
        <f t="shared" si="123"/>
        <v>-78</v>
      </c>
      <c r="AF319" s="258">
        <f t="shared" si="124"/>
        <v>-5.416666666666667</v>
      </c>
      <c r="AG319" s="257">
        <f t="shared" si="125"/>
        <v>20</v>
      </c>
      <c r="AH319" s="124">
        <f t="shared" si="126"/>
        <v>0.8</v>
      </c>
      <c r="AI319" s="105">
        <v>0</v>
      </c>
      <c r="AJ319" s="105">
        <v>0</v>
      </c>
      <c r="AK319" s="105">
        <v>0</v>
      </c>
      <c r="AL319" s="105">
        <v>0</v>
      </c>
      <c r="AM319" s="260">
        <f t="shared" si="127"/>
        <v>0</v>
      </c>
      <c r="AN319" s="260">
        <f t="shared" si="128"/>
        <v>20</v>
      </c>
      <c r="AO319" s="130">
        <f t="shared" si="129"/>
        <v>0.2</v>
      </c>
      <c r="AP319" s="106">
        <v>6053000</v>
      </c>
      <c r="AQ319" s="261">
        <f t="shared" si="142"/>
        <v>2.0893587643008287</v>
      </c>
      <c r="AR319" s="261">
        <f t="shared" si="130"/>
        <v>56.340381464512433</v>
      </c>
      <c r="AS319" s="107">
        <f t="shared" si="131"/>
        <v>2.2536152585804974</v>
      </c>
      <c r="AT319" s="105">
        <v>0</v>
      </c>
      <c r="AU319" s="105">
        <v>1</v>
      </c>
      <c r="AV319" s="262">
        <f t="shared" si="132"/>
        <v>25</v>
      </c>
      <c r="AW319" s="134">
        <v>0</v>
      </c>
      <c r="AX319" s="134"/>
      <c r="AY319" s="262">
        <f t="shared" si="133"/>
        <v>0</v>
      </c>
      <c r="AZ319" s="262">
        <f t="shared" si="134"/>
        <v>25</v>
      </c>
      <c r="BA319" s="38">
        <f t="shared" si="135"/>
        <v>0.25</v>
      </c>
      <c r="BB319" s="105">
        <v>1</v>
      </c>
      <c r="BC319" s="105">
        <v>0</v>
      </c>
      <c r="BD319" s="105">
        <v>0</v>
      </c>
      <c r="BE319" s="262">
        <f t="shared" si="136"/>
        <v>1</v>
      </c>
      <c r="BF319" s="262">
        <f t="shared" si="137"/>
        <v>100</v>
      </c>
      <c r="BG319" s="38">
        <f t="shared" si="138"/>
        <v>1</v>
      </c>
      <c r="BH319" s="255">
        <f t="shared" si="139"/>
        <v>13909844</v>
      </c>
      <c r="BI319" s="256">
        <f t="shared" si="140"/>
        <v>0.25929404973487524</v>
      </c>
      <c r="BJ319" s="256">
        <f t="shared" si="143"/>
        <v>26.944705373011566</v>
      </c>
      <c r="BK319" s="55">
        <f t="shared" si="141"/>
        <v>0.53889410746023136</v>
      </c>
      <c r="BL319" s="137">
        <f t="shared" si="144"/>
        <v>7.0425093660407292</v>
      </c>
    </row>
    <row r="320" spans="1:64" x14ac:dyDescent="0.6">
      <c r="A320" s="214" t="s">
        <v>1972</v>
      </c>
      <c r="B320" s="13" t="s">
        <v>2301</v>
      </c>
      <c r="C320" s="219" t="s">
        <v>1973</v>
      </c>
      <c r="D320" s="14" t="s">
        <v>203</v>
      </c>
      <c r="E320" s="217" t="s">
        <v>180</v>
      </c>
      <c r="F320" s="217" t="s">
        <v>1974</v>
      </c>
      <c r="G320" s="218">
        <v>39073</v>
      </c>
      <c r="H320" s="217" t="s">
        <v>830</v>
      </c>
      <c r="I320" s="217" t="s">
        <v>1975</v>
      </c>
      <c r="J320" s="1" t="s">
        <v>3781</v>
      </c>
      <c r="K320" s="217" t="s">
        <v>690</v>
      </c>
      <c r="L320" s="220">
        <v>554634238</v>
      </c>
      <c r="M320" s="206">
        <v>196390631</v>
      </c>
      <c r="N320" s="206">
        <v>358243607</v>
      </c>
      <c r="O320" s="206">
        <v>413339538</v>
      </c>
      <c r="P320" s="206">
        <v>76175846</v>
      </c>
      <c r="Q320" s="206">
        <v>71041699</v>
      </c>
      <c r="R320" s="206">
        <v>55937358</v>
      </c>
      <c r="S320" s="105">
        <v>1</v>
      </c>
      <c r="T320" s="254">
        <f t="shared" si="116"/>
        <v>100</v>
      </c>
      <c r="U320" s="107">
        <f t="shared" si="117"/>
        <v>1</v>
      </c>
      <c r="V320" s="45">
        <v>21</v>
      </c>
      <c r="W320" s="45">
        <v>25</v>
      </c>
      <c r="X320" s="255">
        <f t="shared" si="118"/>
        <v>4</v>
      </c>
      <c r="Y320" s="255">
        <f t="shared" si="119"/>
        <v>4</v>
      </c>
      <c r="Z320" s="256">
        <f t="shared" si="120"/>
        <v>100</v>
      </c>
      <c r="AA320" s="257">
        <f t="shared" si="121"/>
        <v>100</v>
      </c>
      <c r="AB320" s="116">
        <f t="shared" si="122"/>
        <v>1</v>
      </c>
      <c r="AC320" s="123">
        <v>362</v>
      </c>
      <c r="AD320" s="123">
        <v>366</v>
      </c>
      <c r="AE320" s="257">
        <f t="shared" si="123"/>
        <v>4</v>
      </c>
      <c r="AF320" s="258">
        <f t="shared" si="124"/>
        <v>1.1049723756906076</v>
      </c>
      <c r="AG320" s="257">
        <f t="shared" si="125"/>
        <v>60</v>
      </c>
      <c r="AH320" s="124">
        <f t="shared" si="126"/>
        <v>2.4</v>
      </c>
      <c r="AI320" s="105">
        <v>0</v>
      </c>
      <c r="AJ320" s="105">
        <v>0</v>
      </c>
      <c r="AK320" s="105">
        <v>0</v>
      </c>
      <c r="AL320" s="105">
        <v>0</v>
      </c>
      <c r="AM320" s="260">
        <f t="shared" si="127"/>
        <v>0</v>
      </c>
      <c r="AN320" s="260">
        <f t="shared" si="128"/>
        <v>20</v>
      </c>
      <c r="AO320" s="130">
        <f t="shared" si="129"/>
        <v>0.2</v>
      </c>
      <c r="AP320" s="106">
        <v>7700</v>
      </c>
      <c r="AQ320" s="261">
        <f t="shared" si="142"/>
        <v>1.3765398072608293E-2</v>
      </c>
      <c r="AR320" s="261">
        <f t="shared" si="130"/>
        <v>25.206480971089125</v>
      </c>
      <c r="AS320" s="107">
        <f t="shared" si="131"/>
        <v>1.0082592388435649</v>
      </c>
      <c r="AT320" s="105">
        <v>0</v>
      </c>
      <c r="AU320" s="105">
        <v>0</v>
      </c>
      <c r="AV320" s="262">
        <f t="shared" si="132"/>
        <v>0</v>
      </c>
      <c r="AW320" s="134">
        <v>0</v>
      </c>
      <c r="AX320" s="134"/>
      <c r="AY320" s="262">
        <f t="shared" si="133"/>
        <v>0</v>
      </c>
      <c r="AZ320" s="262">
        <f t="shared" si="134"/>
        <v>0</v>
      </c>
      <c r="BA320" s="38">
        <f t="shared" si="135"/>
        <v>0</v>
      </c>
      <c r="BB320" s="105">
        <v>0</v>
      </c>
      <c r="BC320" s="105">
        <v>0</v>
      </c>
      <c r="BD320" s="105">
        <v>0</v>
      </c>
      <c r="BE320" s="262">
        <f t="shared" si="136"/>
        <v>0</v>
      </c>
      <c r="BF320" s="262">
        <f t="shared" si="137"/>
        <v>50</v>
      </c>
      <c r="BG320" s="38">
        <f t="shared" si="138"/>
        <v>0.5</v>
      </c>
      <c r="BH320" s="255">
        <f t="shared" si="139"/>
        <v>15104341</v>
      </c>
      <c r="BI320" s="256">
        <f t="shared" si="140"/>
        <v>3.6542211938118534</v>
      </c>
      <c r="BJ320" s="256">
        <f t="shared" si="143"/>
        <v>52.406658953588902</v>
      </c>
      <c r="BK320" s="55">
        <f t="shared" si="141"/>
        <v>1.0481331790717781</v>
      </c>
      <c r="BL320" s="137">
        <f t="shared" si="144"/>
        <v>7.1563924179153435</v>
      </c>
    </row>
    <row r="321" spans="1:64" x14ac:dyDescent="0.6">
      <c r="A321" s="214" t="s">
        <v>272</v>
      </c>
      <c r="B321" s="13" t="s">
        <v>2302</v>
      </c>
      <c r="C321" s="219" t="s">
        <v>58</v>
      </c>
      <c r="D321" s="216" t="s">
        <v>202</v>
      </c>
      <c r="E321" s="217" t="s">
        <v>623</v>
      </c>
      <c r="F321" s="217" t="s">
        <v>1201</v>
      </c>
      <c r="G321" s="218">
        <v>33484</v>
      </c>
      <c r="H321" s="217" t="s">
        <v>830</v>
      </c>
      <c r="I321" s="217" t="s">
        <v>839</v>
      </c>
      <c r="J321" s="217" t="s">
        <v>1144</v>
      </c>
      <c r="K321" s="217" t="s">
        <v>346</v>
      </c>
      <c r="L321" s="220">
        <v>304125357</v>
      </c>
      <c r="M321" s="206">
        <v>159788539</v>
      </c>
      <c r="N321" s="206">
        <v>144336819</v>
      </c>
      <c r="O321" s="206">
        <v>222470898</v>
      </c>
      <c r="P321" s="206">
        <v>12661325</v>
      </c>
      <c r="Q321" s="206">
        <v>13022728</v>
      </c>
      <c r="R321" s="206">
        <v>9259054</v>
      </c>
      <c r="S321" s="105">
        <v>1</v>
      </c>
      <c r="T321" s="254">
        <f t="shared" si="116"/>
        <v>100</v>
      </c>
      <c r="U321" s="107">
        <f t="shared" si="117"/>
        <v>1</v>
      </c>
      <c r="V321" s="45">
        <v>57</v>
      </c>
      <c r="W321" s="45">
        <v>45</v>
      </c>
      <c r="X321" s="255">
        <f t="shared" si="118"/>
        <v>-12</v>
      </c>
      <c r="Y321" s="255">
        <f t="shared" si="119"/>
        <v>-15</v>
      </c>
      <c r="Z321" s="256">
        <f t="shared" si="120"/>
        <v>-1200</v>
      </c>
      <c r="AA321" s="257">
        <f t="shared" si="121"/>
        <v>20</v>
      </c>
      <c r="AB321" s="116">
        <f t="shared" si="122"/>
        <v>0.2</v>
      </c>
      <c r="AC321" s="123">
        <v>359</v>
      </c>
      <c r="AD321" s="123">
        <v>344</v>
      </c>
      <c r="AE321" s="257">
        <f t="shared" si="123"/>
        <v>-15</v>
      </c>
      <c r="AF321" s="258">
        <f t="shared" si="124"/>
        <v>-4.1782729805013927</v>
      </c>
      <c r="AG321" s="257">
        <f t="shared" si="125"/>
        <v>20</v>
      </c>
      <c r="AH321" s="124">
        <f t="shared" si="126"/>
        <v>0.8</v>
      </c>
      <c r="AI321" s="105">
        <v>0</v>
      </c>
      <c r="AJ321" s="105">
        <v>0</v>
      </c>
      <c r="AK321" s="105">
        <v>0</v>
      </c>
      <c r="AL321" s="105">
        <v>0</v>
      </c>
      <c r="AM321" s="260">
        <f t="shared" si="127"/>
        <v>0</v>
      </c>
      <c r="AN321" s="260">
        <f t="shared" si="128"/>
        <v>20</v>
      </c>
      <c r="AO321" s="130">
        <f t="shared" si="129"/>
        <v>0.2</v>
      </c>
      <c r="AP321" s="106">
        <v>17600</v>
      </c>
      <c r="AQ321" s="261">
        <f t="shared" si="142"/>
        <v>0.19008421378685122</v>
      </c>
      <c r="AR321" s="261">
        <f t="shared" si="130"/>
        <v>27.85126320680277</v>
      </c>
      <c r="AS321" s="107">
        <f t="shared" si="131"/>
        <v>1.1140505282721109</v>
      </c>
      <c r="AT321" s="105">
        <v>0</v>
      </c>
      <c r="AU321" s="105">
        <v>1</v>
      </c>
      <c r="AV321" s="262">
        <f t="shared" si="132"/>
        <v>25</v>
      </c>
      <c r="AW321" s="134">
        <v>0</v>
      </c>
      <c r="AX321" s="134"/>
      <c r="AY321" s="262">
        <f t="shared" si="133"/>
        <v>0</v>
      </c>
      <c r="AZ321" s="262">
        <f t="shared" si="134"/>
        <v>25</v>
      </c>
      <c r="BA321" s="38">
        <f t="shared" si="135"/>
        <v>0.25</v>
      </c>
      <c r="BB321" s="105">
        <v>0</v>
      </c>
      <c r="BC321" s="105">
        <v>0</v>
      </c>
      <c r="BD321" s="105">
        <v>0</v>
      </c>
      <c r="BE321" s="262">
        <f t="shared" si="136"/>
        <v>0</v>
      </c>
      <c r="BF321" s="262">
        <f t="shared" si="137"/>
        <v>50</v>
      </c>
      <c r="BG321" s="38">
        <f t="shared" si="138"/>
        <v>0.5</v>
      </c>
      <c r="BH321" s="255">
        <f t="shared" si="139"/>
        <v>3763674</v>
      </c>
      <c r="BI321" s="256">
        <f t="shared" si="140"/>
        <v>1.6917601510288327</v>
      </c>
      <c r="BJ321" s="256">
        <f t="shared" si="143"/>
        <v>37.688201132716245</v>
      </c>
      <c r="BK321" s="55">
        <f t="shared" si="141"/>
        <v>0.75376402265432496</v>
      </c>
      <c r="BL321" s="137">
        <f t="shared" si="144"/>
        <v>4.8178145509264363</v>
      </c>
    </row>
    <row r="322" spans="1:64" x14ac:dyDescent="0.6">
      <c r="A322" s="214" t="s">
        <v>1977</v>
      </c>
      <c r="B322" s="13" t="s">
        <v>2303</v>
      </c>
      <c r="C322" s="219" t="s">
        <v>348</v>
      </c>
      <c r="D322" s="221" t="s">
        <v>481</v>
      </c>
      <c r="E322" s="217" t="s">
        <v>704</v>
      </c>
      <c r="F322" s="217" t="s">
        <v>551</v>
      </c>
      <c r="G322" s="218">
        <v>27368</v>
      </c>
      <c r="H322" s="217" t="s">
        <v>830</v>
      </c>
      <c r="I322" s="217" t="s">
        <v>802</v>
      </c>
      <c r="J322" s="217" t="s">
        <v>1222</v>
      </c>
      <c r="K322" s="217" t="s">
        <v>91</v>
      </c>
      <c r="L322" s="220">
        <v>13966098000</v>
      </c>
      <c r="M322" s="206">
        <v>13246051000</v>
      </c>
      <c r="N322" s="206">
        <v>720047000</v>
      </c>
      <c r="O322" s="206">
        <v>2423214000</v>
      </c>
      <c r="P322" s="206">
        <v>185978000</v>
      </c>
      <c r="Q322" s="206">
        <v>186768000</v>
      </c>
      <c r="R322" s="206">
        <v>147508000</v>
      </c>
      <c r="S322" s="105">
        <v>1</v>
      </c>
      <c r="T322" s="254">
        <f t="shared" ref="T322" si="145">IF(S322=1, 100, 0)</f>
        <v>100</v>
      </c>
      <c r="U322" s="107">
        <f>T322*0.01</f>
        <v>1</v>
      </c>
      <c r="V322" s="45">
        <v>507</v>
      </c>
      <c r="W322" s="45">
        <v>400</v>
      </c>
      <c r="X322" s="255">
        <f>W322-V322</f>
        <v>-107</v>
      </c>
      <c r="Y322" s="255">
        <f>AD322-AC322</f>
        <v>-268</v>
      </c>
      <c r="Z322" s="256">
        <f>IF(Y322&lt;1, X322*100, (X322/Y322)*100)</f>
        <v>-10700</v>
      </c>
      <c r="AA322" s="257">
        <f>IF(Z322&lt;10, 20, IF(Z322&lt;20, 40, IF(Z322&lt;30, 60, IF(Z322&lt;40, 80, IF(Z322&gt;=40, 100)))))</f>
        <v>20</v>
      </c>
      <c r="AB322" s="116">
        <f>AA322*0.01</f>
        <v>0.2</v>
      </c>
      <c r="AC322" s="123">
        <v>1125</v>
      </c>
      <c r="AD322" s="123">
        <v>857</v>
      </c>
      <c r="AE322" s="257">
        <f>AD322-AC322</f>
        <v>-268</v>
      </c>
      <c r="AF322" s="258">
        <f>(AE322/AC322)*100</f>
        <v>-23.822222222222223</v>
      </c>
      <c r="AG322" s="257">
        <f>IF(AF322&lt;0, 20, IF(AF322&lt;0.5, 40, IF(AF322&lt;1.5, 60, IF(AF322&lt;2.5, 80, IF(AF322&gt;=2.5, 100)))))</f>
        <v>20</v>
      </c>
      <c r="AH322" s="124">
        <f>AG322*0.04</f>
        <v>0.8</v>
      </c>
      <c r="AI322" s="105">
        <v>0</v>
      </c>
      <c r="AJ322" s="105">
        <v>0</v>
      </c>
      <c r="AK322" s="105">
        <v>0</v>
      </c>
      <c r="AL322" s="105">
        <v>0</v>
      </c>
      <c r="AM322" s="260">
        <f>SUM(AI322:AL322)</f>
        <v>0</v>
      </c>
      <c r="AN322" s="260">
        <f>IF(AM322=4, 100, IF(AM322=3, 80, IF(AM322=2, 60, IF(AM322=1, 40, 20))))</f>
        <v>20</v>
      </c>
      <c r="AO322" s="130">
        <f>AN322*0.01</f>
        <v>0.2</v>
      </c>
      <c r="AP322" s="106">
        <v>110000</v>
      </c>
      <c r="AQ322" s="261">
        <f t="shared" si="142"/>
        <v>7.4572226591100146E-2</v>
      </c>
      <c r="AR322" s="261">
        <f>IF((25+((75*(AQ322-0)/(5-0))))&gt;100, 100, IF((25+((75*(AQ322-0)/(5-0))))&lt;25, 25, (25+((75*(AQ322-0)/(5-0))))))</f>
        <v>26.118583398866502</v>
      </c>
      <c r="AS322" s="107">
        <f>AR322*0.04</f>
        <v>1.0447433359546601</v>
      </c>
      <c r="AT322" s="105">
        <v>0</v>
      </c>
      <c r="AU322" s="105">
        <v>1</v>
      </c>
      <c r="AV322" s="262">
        <f>IF((AT322+AU322)=2, 50, IF((AT322+AU322)=1, 25, 0))</f>
        <v>25</v>
      </c>
      <c r="AW322" s="134">
        <v>3</v>
      </c>
      <c r="AX322" s="134" t="s">
        <v>3636</v>
      </c>
      <c r="AY322" s="262">
        <f>IF(AW322&gt;=3, 50, IF(AW322&gt;=1, 25, 0))</f>
        <v>50</v>
      </c>
      <c r="AZ322" s="262">
        <f>AV322+AY322</f>
        <v>75</v>
      </c>
      <c r="BA322" s="38">
        <f>AZ322*0.01</f>
        <v>0.75</v>
      </c>
      <c r="BB322" s="105">
        <v>0</v>
      </c>
      <c r="BC322" s="105">
        <v>0</v>
      </c>
      <c r="BD322" s="105">
        <v>0</v>
      </c>
      <c r="BE322" s="262">
        <f>SUM(BB322:BD322)</f>
        <v>0</v>
      </c>
      <c r="BF322" s="262">
        <f>IF(BE322&gt;=1, 100, 50)</f>
        <v>50</v>
      </c>
      <c r="BG322" s="38">
        <f>BF322*0.01</f>
        <v>0.5</v>
      </c>
      <c r="BH322" s="255">
        <f t="shared" ref="BH322" si="146">Q322-R322</f>
        <v>39260000</v>
      </c>
      <c r="BI322" s="256">
        <f>BH322/O322*100</f>
        <v>1.6201623133573841</v>
      </c>
      <c r="BJ322" s="256">
        <f t="shared" si="143"/>
        <v>37.151217350180382</v>
      </c>
      <c r="BK322" s="55">
        <f>BJ322*0.02</f>
        <v>0.74302434700360764</v>
      </c>
      <c r="BL322" s="137">
        <f t="shared" si="144"/>
        <v>5.2377676829582676</v>
      </c>
    </row>
  </sheetData>
  <autoFilter ref="A1:BL322"/>
  <phoneticPr fontId="16" type="noConversion"/>
  <dataValidations count="1">
    <dataValidation type="list" allowBlank="1" showInputMessage="1" showErrorMessage="1" sqref="S2:S322 BB2:BD322 AI2:AL322 AT2:AU322">
      <formula1>"1, 0"</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J79" r:id="rId79"/>
    <hyperlink ref="B80" r:id="rId80"/>
    <hyperlink ref="B81" r:id="rId81"/>
    <hyperlink ref="B82" r:id="rId82"/>
    <hyperlink ref="B83" r:id="rId83"/>
    <hyperlink ref="B84" r:id="rId84"/>
    <hyperlink ref="B85" r:id="rId85"/>
    <hyperlink ref="B86" r:id="rId86"/>
    <hyperlink ref="J74" r:id="rId87"/>
    <hyperlink ref="J11"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6" r:id="rId137"/>
    <hyperlink ref="B137" r:id="rId138"/>
    <hyperlink ref="B138" r:id="rId139"/>
    <hyperlink ref="B139" r:id="rId140"/>
    <hyperlink ref="B140" r:id="rId141"/>
    <hyperlink ref="B141" r:id="rId142"/>
    <hyperlink ref="B142" r:id="rId143"/>
    <hyperlink ref="B143" r:id="rId144"/>
    <hyperlink ref="B144" r:id="rId145"/>
    <hyperlink ref="B145" r:id="rId146"/>
    <hyperlink ref="B146" r:id="rId147"/>
    <hyperlink ref="B147" r:id="rId148"/>
    <hyperlink ref="B148" r:id="rId149"/>
    <hyperlink ref="B149" r:id="rId150"/>
    <hyperlink ref="B150" r:id="rId151"/>
    <hyperlink ref="B151" r:id="rId152"/>
    <hyperlink ref="B152" r:id="rId153"/>
    <hyperlink ref="B153" r:id="rId154"/>
    <hyperlink ref="B154" r:id="rId155"/>
    <hyperlink ref="B155" r:id="rId156"/>
    <hyperlink ref="B156" r:id="rId157"/>
    <hyperlink ref="B157" r:id="rId158"/>
    <hyperlink ref="B158" r:id="rId159"/>
    <hyperlink ref="B159" r:id="rId160"/>
    <hyperlink ref="B160" r:id="rId161"/>
    <hyperlink ref="B161" r:id="rId162"/>
    <hyperlink ref="B162" r:id="rId163"/>
    <hyperlink ref="B163" r:id="rId164"/>
    <hyperlink ref="B164" r:id="rId165"/>
    <hyperlink ref="B165" r:id="rId166"/>
    <hyperlink ref="B166" r:id="rId167"/>
    <hyperlink ref="B167" r:id="rId168"/>
    <hyperlink ref="B168" r:id="rId169"/>
    <hyperlink ref="B169" r:id="rId170"/>
    <hyperlink ref="B170" r:id="rId171"/>
    <hyperlink ref="B171" r:id="rId172"/>
    <hyperlink ref="B172" r:id="rId173"/>
    <hyperlink ref="B173" r:id="rId174"/>
    <hyperlink ref="B174" r:id="rId175"/>
    <hyperlink ref="B175" r:id="rId176"/>
    <hyperlink ref="B176" r:id="rId177"/>
    <hyperlink ref="B177" r:id="rId178"/>
    <hyperlink ref="B178" r:id="rId179"/>
    <hyperlink ref="B179" r:id="rId180"/>
    <hyperlink ref="B180" r:id="rId181"/>
    <hyperlink ref="B181" r:id="rId182"/>
    <hyperlink ref="B182" r:id="rId183"/>
    <hyperlink ref="B183" r:id="rId184"/>
    <hyperlink ref="B184" r:id="rId185"/>
    <hyperlink ref="B185" r:id="rId186"/>
    <hyperlink ref="B186" r:id="rId187"/>
    <hyperlink ref="B187" r:id="rId188"/>
    <hyperlink ref="B188" r:id="rId189"/>
    <hyperlink ref="B189" r:id="rId190"/>
    <hyperlink ref="B190" r:id="rId191"/>
    <hyperlink ref="B191" r:id="rId192"/>
    <hyperlink ref="B192" r:id="rId193"/>
    <hyperlink ref="B193" r:id="rId194"/>
    <hyperlink ref="B194" r:id="rId195"/>
    <hyperlink ref="B195" r:id="rId196"/>
    <hyperlink ref="B196" r:id="rId197"/>
    <hyperlink ref="B197" r:id="rId198"/>
    <hyperlink ref="B198" r:id="rId199"/>
    <hyperlink ref="B199" r:id="rId200"/>
    <hyperlink ref="B200" r:id="rId201"/>
    <hyperlink ref="B201" r:id="rId202"/>
    <hyperlink ref="B202" r:id="rId203"/>
    <hyperlink ref="B203" r:id="rId204"/>
    <hyperlink ref="B204" r:id="rId205"/>
    <hyperlink ref="B205" r:id="rId206"/>
    <hyperlink ref="B206" r:id="rId207"/>
    <hyperlink ref="B207" r:id="rId208"/>
    <hyperlink ref="B208" r:id="rId209"/>
    <hyperlink ref="B209" r:id="rId210"/>
    <hyperlink ref="B210" r:id="rId211"/>
    <hyperlink ref="B211" r:id="rId212"/>
    <hyperlink ref="B212" r:id="rId213"/>
    <hyperlink ref="B214" r:id="rId214"/>
    <hyperlink ref="B215" r:id="rId215"/>
    <hyperlink ref="B213" r:id="rId216"/>
    <hyperlink ref="B216" r:id="rId217"/>
    <hyperlink ref="B217" r:id="rId218"/>
    <hyperlink ref="B218" r:id="rId219"/>
    <hyperlink ref="B219" r:id="rId220"/>
    <hyperlink ref="B220" r:id="rId221"/>
    <hyperlink ref="B221" r:id="rId222"/>
    <hyperlink ref="B222" r:id="rId223"/>
    <hyperlink ref="B223" r:id="rId224"/>
    <hyperlink ref="B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J271" r:id="rId273"/>
    <hyperlink ref="B272" r:id="rId274"/>
    <hyperlink ref="B273" r:id="rId275"/>
    <hyperlink ref="B274" r:id="rId276"/>
    <hyperlink ref="B275" r:id="rId277"/>
    <hyperlink ref="B276" r:id="rId278"/>
    <hyperlink ref="B277" r:id="rId279"/>
    <hyperlink ref="B278" r:id="rId280"/>
    <hyperlink ref="B279" r:id="rId281"/>
    <hyperlink ref="B280" r:id="rId282"/>
    <hyperlink ref="B281" r:id="rId283"/>
    <hyperlink ref="B282" r:id="rId284"/>
    <hyperlink ref="B283" r:id="rId285"/>
    <hyperlink ref="B284" r:id="rId286"/>
    <hyperlink ref="B285" r:id="rId287"/>
    <hyperlink ref="B286" r:id="rId288"/>
    <hyperlink ref="B287" r:id="rId289"/>
    <hyperlink ref="B288" r:id="rId290"/>
    <hyperlink ref="B289" r:id="rId291"/>
    <hyperlink ref="B290" r:id="rId292"/>
    <hyperlink ref="B291" r:id="rId293"/>
    <hyperlink ref="B292" r:id="rId294"/>
    <hyperlink ref="B293" r:id="rId295"/>
    <hyperlink ref="B294" r:id="rId296"/>
    <hyperlink ref="B295" r:id="rId297"/>
    <hyperlink ref="B296" r:id="rId298"/>
    <hyperlink ref="B297" r:id="rId299"/>
    <hyperlink ref="B298" r:id="rId300"/>
    <hyperlink ref="B299" r:id="rId301"/>
    <hyperlink ref="B300" r:id="rId302"/>
    <hyperlink ref="B301" r:id="rId303"/>
    <hyperlink ref="B302" r:id="rId304"/>
    <hyperlink ref="B303" r:id="rId305"/>
    <hyperlink ref="B304" r:id="rId306"/>
    <hyperlink ref="B305" r:id="rId307"/>
    <hyperlink ref="B306" r:id="rId308"/>
    <hyperlink ref="B307" r:id="rId309"/>
    <hyperlink ref="B308" r:id="rId310"/>
    <hyperlink ref="B309" r:id="rId311"/>
    <hyperlink ref="B310" r:id="rId312"/>
    <hyperlink ref="B311" r:id="rId313"/>
    <hyperlink ref="B312" r:id="rId314"/>
    <hyperlink ref="B313" r:id="rId315"/>
    <hyperlink ref="B314" r:id="rId316"/>
    <hyperlink ref="B315" r:id="rId317"/>
    <hyperlink ref="B316" r:id="rId318"/>
    <hyperlink ref="B317" r:id="rId319"/>
    <hyperlink ref="B318" r:id="rId320"/>
    <hyperlink ref="B319" r:id="rId321"/>
    <hyperlink ref="B320" r:id="rId322"/>
    <hyperlink ref="B321" r:id="rId323"/>
    <hyperlink ref="B322" r:id="rId324"/>
    <hyperlink ref="B135" r:id="rId325"/>
    <hyperlink ref="J161" r:id="rId326"/>
    <hyperlink ref="J194" r:id="rId327"/>
    <hyperlink ref="J198" r:id="rId328"/>
    <hyperlink ref="J221" r:id="rId329"/>
    <hyperlink ref="J236" r:id="rId330"/>
    <hyperlink ref="J283" r:id="rId331"/>
    <hyperlink ref="BC1" r:id="rId332" display="https://ifarmlove.nonghyup.com/"/>
    <hyperlink ref="BD1" r:id="rId333" location="javascript" display="https://www.arko.or.kr/supp/ - javascript"/>
    <hyperlink ref="AX6" r:id="rId334" display="https://www.cj.co.kr/kr/aboutus/sustainability/contribution-social"/>
    <hyperlink ref="AX4" r:id="rId335" display="https://www.cjlogistics.com/ko/page/sustainability/social"/>
    <hyperlink ref="J9" r:id="rId336"/>
    <hyperlink ref="J12" r:id="rId337"/>
    <hyperlink ref="AX12" r:id="rId338" display="https://www.dnautomotive.com/sub/business/contribution.asp"/>
    <hyperlink ref="J15" r:id="rId339"/>
    <hyperlink ref="J16" r:id="rId340"/>
    <hyperlink ref="J17" r:id="rId341"/>
    <hyperlink ref="J20" r:id="rId342"/>
    <hyperlink ref="J21" r:id="rId343"/>
    <hyperlink ref="J22" r:id="rId344"/>
    <hyperlink ref="J25" r:id="rId345"/>
    <hyperlink ref="J23" r:id="rId346"/>
    <hyperlink ref="J29" r:id="rId347"/>
    <hyperlink ref="J31" r:id="rId348"/>
    <hyperlink ref="J38" r:id="rId349"/>
    <hyperlink ref="J39" r:id="rId350"/>
    <hyperlink ref="J40" r:id="rId351"/>
    <hyperlink ref="J44" r:id="rId352"/>
    <hyperlink ref="J45" r:id="rId353"/>
    <hyperlink ref="J47" r:id="rId354"/>
    <hyperlink ref="J48" r:id="rId355"/>
    <hyperlink ref="J50" r:id="rId356"/>
    <hyperlink ref="J53" r:id="rId357"/>
    <hyperlink ref="J54" r:id="rId358"/>
    <hyperlink ref="J63" r:id="rId359"/>
    <hyperlink ref="J77" r:id="rId360"/>
    <hyperlink ref="J83" r:id="rId361"/>
    <hyperlink ref="J87" r:id="rId362"/>
    <hyperlink ref="J88" r:id="rId363"/>
    <hyperlink ref="J90" r:id="rId364"/>
    <hyperlink ref="J93" r:id="rId365"/>
    <hyperlink ref="J103" r:id="rId366"/>
    <hyperlink ref="J104" r:id="rId367"/>
    <hyperlink ref="J114" r:id="rId368"/>
    <hyperlink ref="J132" r:id="rId369"/>
    <hyperlink ref="J134" r:id="rId370"/>
    <hyperlink ref="J135" r:id="rId371"/>
    <hyperlink ref="J139" r:id="rId372"/>
    <hyperlink ref="J140" r:id="rId373"/>
    <hyperlink ref="J148" r:id="rId374"/>
    <hyperlink ref="J153" r:id="rId375"/>
    <hyperlink ref="J160" r:id="rId376"/>
    <hyperlink ref="J162" r:id="rId377"/>
    <hyperlink ref="J169" r:id="rId378"/>
    <hyperlink ref="J171" r:id="rId379"/>
    <hyperlink ref="J188" r:id="rId380"/>
    <hyperlink ref="J191" r:id="rId381"/>
    <hyperlink ref="J192" r:id="rId382"/>
    <hyperlink ref="J196" r:id="rId383"/>
    <hyperlink ref="J201" r:id="rId384"/>
    <hyperlink ref="J202" r:id="rId385"/>
    <hyperlink ref="J213" r:id="rId386"/>
    <hyperlink ref="J216" r:id="rId387"/>
    <hyperlink ref="J217" r:id="rId388"/>
    <hyperlink ref="J219" r:id="rId389"/>
    <hyperlink ref="J222" r:id="rId390"/>
    <hyperlink ref="J226" r:id="rId391"/>
    <hyperlink ref="J227" r:id="rId392"/>
    <hyperlink ref="J228" r:id="rId393"/>
    <hyperlink ref="J233" r:id="rId394"/>
    <hyperlink ref="J238" r:id="rId395"/>
    <hyperlink ref="J240" r:id="rId396"/>
    <hyperlink ref="J241" r:id="rId397"/>
    <hyperlink ref="J242" r:id="rId398"/>
    <hyperlink ref="J243" r:id="rId399"/>
    <hyperlink ref="J247" r:id="rId400"/>
    <hyperlink ref="J251" r:id="rId401"/>
    <hyperlink ref="J257" r:id="rId402"/>
    <hyperlink ref="J258" r:id="rId403"/>
    <hyperlink ref="J262" r:id="rId404"/>
    <hyperlink ref="J263" r:id="rId405"/>
    <hyperlink ref="J270" r:id="rId406"/>
    <hyperlink ref="J277" r:id="rId407"/>
    <hyperlink ref="J279" r:id="rId408"/>
    <hyperlink ref="J289" r:id="rId409"/>
    <hyperlink ref="J294" r:id="rId410"/>
    <hyperlink ref="J295" r:id="rId411"/>
    <hyperlink ref="J296" r:id="rId412"/>
    <hyperlink ref="J297" r:id="rId413"/>
    <hyperlink ref="J302" r:id="rId414"/>
    <hyperlink ref="J313" r:id="rId415"/>
    <hyperlink ref="J298" r:id="rId416"/>
    <hyperlink ref="J318" r:id="rId417"/>
    <hyperlink ref="J320" r:id="rId418"/>
  </hyperlinks>
  <pageMargins left="0.69972223043441772" right="0.69972223043441772" top="0.75" bottom="0.75" header="0.30000001192092896" footer="0.30000001192092896"/>
  <pageSetup paperSize="9" fitToWidth="0" fitToHeight="0" orientation="portrait"/>
  <legacyDrawing r:id="rId4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50"/>
  </sheetPr>
  <dimension ref="A1:BE322"/>
  <sheetViews>
    <sheetView tabSelected="1" zoomScale="90" zoomScaleNormal="90" zoomScaleSheetLayoutView="75" workbookViewId="0">
      <pane xSplit="4" ySplit="1" topLeftCell="AO2" activePane="bottomRight" state="frozen"/>
      <selection pane="topRight"/>
      <selection pane="bottomLeft"/>
      <selection pane="bottomRight" activeCell="AS5" sqref="AS5"/>
    </sheetView>
  </sheetViews>
  <sheetFormatPr defaultColWidth="9" defaultRowHeight="16.899999999999999" x14ac:dyDescent="0.6"/>
  <cols>
    <col min="1" max="1" width="20.5625" style="8" customWidth="1"/>
    <col min="2" max="3" width="9" customWidth="1"/>
    <col min="4" max="4" width="18.8125" bestFit="1" customWidth="1"/>
    <col min="5" max="11" width="9" customWidth="1"/>
    <col min="12" max="18" width="15.5625" customWidth="1"/>
    <col min="19" max="28" width="10.5625" style="66" customWidth="1"/>
    <col min="29" max="31" width="10.5625" style="75" customWidth="1"/>
    <col min="32" max="35" width="10.5625" style="120" customWidth="1"/>
    <col min="36" max="36" width="10.5625" customWidth="1"/>
    <col min="37" max="37" width="10.5625" style="17" customWidth="1"/>
    <col min="38" max="38" width="10.5625" style="18" customWidth="1"/>
    <col min="39" max="56" width="10.5625" style="66" customWidth="1"/>
    <col min="57" max="57" width="10.5625" style="98" customWidth="1"/>
  </cols>
  <sheetData>
    <row r="1" spans="1:57" ht="100.05" customHeight="1" x14ac:dyDescent="0.6">
      <c r="A1" s="7" t="s">
        <v>695</v>
      </c>
      <c r="B1" s="5" t="s">
        <v>265</v>
      </c>
      <c r="C1" s="2" t="s">
        <v>510</v>
      </c>
      <c r="D1" s="3" t="s">
        <v>860</v>
      </c>
      <c r="E1" s="7" t="s">
        <v>807</v>
      </c>
      <c r="F1" s="7" t="s">
        <v>295</v>
      </c>
      <c r="G1" s="7" t="s">
        <v>680</v>
      </c>
      <c r="H1" s="7" t="s">
        <v>691</v>
      </c>
      <c r="I1" s="7" t="s">
        <v>364</v>
      </c>
      <c r="J1" s="7" t="s">
        <v>946</v>
      </c>
      <c r="K1" s="7" t="s">
        <v>696</v>
      </c>
      <c r="L1" s="4" t="s">
        <v>201</v>
      </c>
      <c r="M1" s="4" t="s">
        <v>263</v>
      </c>
      <c r="N1" s="4" t="s">
        <v>212</v>
      </c>
      <c r="O1" s="4" t="s">
        <v>198</v>
      </c>
      <c r="P1" s="4" t="s">
        <v>229</v>
      </c>
      <c r="Q1" s="10" t="s">
        <v>960</v>
      </c>
      <c r="R1" s="4" t="s">
        <v>277</v>
      </c>
      <c r="S1" s="138" t="s">
        <v>1351</v>
      </c>
      <c r="T1" s="398" t="s">
        <v>1353</v>
      </c>
      <c r="U1" s="404" t="s">
        <v>1352</v>
      </c>
      <c r="V1" s="139" t="s">
        <v>1354</v>
      </c>
      <c r="W1" s="398" t="s">
        <v>1355</v>
      </c>
      <c r="X1" s="404" t="s">
        <v>1356</v>
      </c>
      <c r="Y1" s="138" t="s">
        <v>1357</v>
      </c>
      <c r="Z1" s="425" t="s">
        <v>1358</v>
      </c>
      <c r="AA1" s="398" t="s">
        <v>586</v>
      </c>
      <c r="AB1" s="404" t="s">
        <v>1359</v>
      </c>
      <c r="AC1" s="140" t="s">
        <v>2346</v>
      </c>
      <c r="AD1" s="398" t="s">
        <v>1009</v>
      </c>
      <c r="AE1" s="399" t="s">
        <v>1360</v>
      </c>
      <c r="AF1" s="333" t="s">
        <v>2347</v>
      </c>
      <c r="AG1" s="336" t="s">
        <v>2348</v>
      </c>
      <c r="AH1" s="334" t="s">
        <v>595</v>
      </c>
      <c r="AI1" s="335" t="s">
        <v>1361</v>
      </c>
      <c r="AJ1" s="337" t="s">
        <v>2349</v>
      </c>
      <c r="AK1" s="338" t="s">
        <v>976</v>
      </c>
      <c r="AL1" s="318" t="s">
        <v>1362</v>
      </c>
      <c r="AM1" s="426" t="s">
        <v>2350</v>
      </c>
      <c r="AN1" s="397" t="s">
        <v>2351</v>
      </c>
      <c r="AO1" s="397" t="s">
        <v>2352</v>
      </c>
      <c r="AP1" s="397" t="s">
        <v>2353</v>
      </c>
      <c r="AQ1" s="397" t="s">
        <v>2354</v>
      </c>
      <c r="AR1" s="397" t="s">
        <v>2355</v>
      </c>
      <c r="AS1" s="397" t="s">
        <v>2356</v>
      </c>
      <c r="AT1" s="397" t="s">
        <v>2357</v>
      </c>
      <c r="AU1" s="427" t="s">
        <v>1363</v>
      </c>
      <c r="AV1" s="398" t="s">
        <v>602</v>
      </c>
      <c r="AW1" s="399" t="s">
        <v>1368</v>
      </c>
      <c r="AX1" s="397" t="s">
        <v>1364</v>
      </c>
      <c r="AY1" s="397" t="s">
        <v>1365</v>
      </c>
      <c r="AZ1" s="397" t="s">
        <v>1366</v>
      </c>
      <c r="BA1" s="397" t="s">
        <v>1367</v>
      </c>
      <c r="BB1" s="427" t="s">
        <v>2384</v>
      </c>
      <c r="BC1" s="398" t="s">
        <v>222</v>
      </c>
      <c r="BD1" s="399" t="s">
        <v>1369</v>
      </c>
      <c r="BE1" s="339" t="s">
        <v>1383</v>
      </c>
    </row>
    <row r="2" spans="1:57" x14ac:dyDescent="0.6">
      <c r="A2" s="214" t="s">
        <v>1253</v>
      </c>
      <c r="B2" s="13" t="s">
        <v>1978</v>
      </c>
      <c r="C2" s="215" t="s">
        <v>35</v>
      </c>
      <c r="D2" s="216" t="s">
        <v>285</v>
      </c>
      <c r="E2" s="217" t="s">
        <v>504</v>
      </c>
      <c r="F2" s="217" t="s">
        <v>293</v>
      </c>
      <c r="G2" s="218">
        <v>43077</v>
      </c>
      <c r="H2" s="217" t="s">
        <v>830</v>
      </c>
      <c r="I2" s="217" t="s">
        <v>834</v>
      </c>
      <c r="J2" s="217" t="s">
        <v>1242</v>
      </c>
      <c r="K2" s="217" t="s">
        <v>91</v>
      </c>
      <c r="L2" s="205">
        <v>2857090834</v>
      </c>
      <c r="M2" s="205">
        <v>1925834121</v>
      </c>
      <c r="N2" s="205">
        <v>931256713</v>
      </c>
      <c r="O2" s="205">
        <v>7577772993</v>
      </c>
      <c r="P2" s="205">
        <v>249222456</v>
      </c>
      <c r="Q2" s="205">
        <v>250446471</v>
      </c>
      <c r="R2" s="206">
        <v>190700183</v>
      </c>
      <c r="S2" s="406">
        <v>0</v>
      </c>
      <c r="T2" s="428">
        <f>IF(S2=1, 100, 50)</f>
        <v>50</v>
      </c>
      <c r="U2" s="415">
        <f>T2*0.01</f>
        <v>0.5</v>
      </c>
      <c r="V2" s="405">
        <v>1</v>
      </c>
      <c r="W2" s="428">
        <f>IF(V2=1, 100, 50)</f>
        <v>100</v>
      </c>
      <c r="X2" s="415">
        <f>W2*0.01</f>
        <v>1</v>
      </c>
      <c r="Y2" s="406">
        <v>1</v>
      </c>
      <c r="Z2" s="429">
        <v>0</v>
      </c>
      <c r="AA2" s="430">
        <f>IF(Y2=1, 50, 0)+IF(Z2=0, 50, 0)</f>
        <v>100</v>
      </c>
      <c r="AB2" s="415">
        <f>AA2*0.01</f>
        <v>1</v>
      </c>
      <c r="AC2" s="431">
        <v>0</v>
      </c>
      <c r="AD2" s="432">
        <f>IF(AC2=0, 100, IF(AC2=1, 80, IF(AC2=2, 60, IF(AC2=3, 40, IF(AC2&gt;=4, 20)))))</f>
        <v>100</v>
      </c>
      <c r="AE2" s="433">
        <f t="shared" ref="AE2:AE7" si="0">AD2*0.04</f>
        <v>4</v>
      </c>
      <c r="AF2" s="434" t="s">
        <v>2326</v>
      </c>
      <c r="AG2" s="434" t="s">
        <v>2326</v>
      </c>
      <c r="AH2" s="434" t="s">
        <v>2326</v>
      </c>
      <c r="AI2" s="362"/>
      <c r="AJ2" s="434" t="s">
        <v>2326</v>
      </c>
      <c r="AK2" s="434" t="s">
        <v>2326</v>
      </c>
      <c r="AL2" s="363"/>
      <c r="AM2" s="406">
        <v>0</v>
      </c>
      <c r="AN2" s="406">
        <v>0</v>
      </c>
      <c r="AO2" s="406">
        <v>0</v>
      </c>
      <c r="AP2" s="406">
        <v>0</v>
      </c>
      <c r="AQ2" s="406">
        <v>0</v>
      </c>
      <c r="AR2" s="406">
        <v>0</v>
      </c>
      <c r="AS2" s="406">
        <v>0</v>
      </c>
      <c r="AT2" s="406">
        <v>0</v>
      </c>
      <c r="AU2" s="407">
        <f>SUM(AM2:AT2)</f>
        <v>0</v>
      </c>
      <c r="AV2" s="407">
        <f>IF(AU2=0, 100, IF(AU2=1, 80, IF(AU2=2, 60, IF(AU2=3, 40, 20))))</f>
        <v>100</v>
      </c>
      <c r="AW2" s="408">
        <f t="shared" ref="AW2:AW7" si="1">AV2*0.05</f>
        <v>5</v>
      </c>
      <c r="AX2" s="406">
        <v>0</v>
      </c>
      <c r="AY2" s="406">
        <v>0</v>
      </c>
      <c r="AZ2" s="406">
        <v>0</v>
      </c>
      <c r="BA2" s="406">
        <v>0</v>
      </c>
      <c r="BB2" s="430">
        <f>SUM(AX2:BA2)</f>
        <v>0</v>
      </c>
      <c r="BC2" s="407">
        <f>IF(BB2=0, 25, IF(BB2=1, 50, IF(BB2=2, 75, IF(BB2&gt;=3, 100))))</f>
        <v>25</v>
      </c>
      <c r="BD2" s="408">
        <f t="shared" ref="BD2:BD7" si="2">BC2*0.03</f>
        <v>0.75</v>
      </c>
      <c r="BE2" s="340">
        <f>U2+X2+AB2+AE2+AI2+AL2+AW2+BD2</f>
        <v>12.25</v>
      </c>
    </row>
    <row r="3" spans="1:57" s="11" customFormat="1" x14ac:dyDescent="0.6">
      <c r="A3" s="214" t="s">
        <v>1428</v>
      </c>
      <c r="B3" s="13" t="s">
        <v>1979</v>
      </c>
      <c r="C3" s="215" t="s">
        <v>555</v>
      </c>
      <c r="D3" s="216" t="s">
        <v>191</v>
      </c>
      <c r="E3" s="217" t="s">
        <v>190</v>
      </c>
      <c r="F3" s="217" t="s">
        <v>396</v>
      </c>
      <c r="G3" s="218">
        <v>27547</v>
      </c>
      <c r="H3" s="217" t="s">
        <v>830</v>
      </c>
      <c r="I3" s="217" t="s">
        <v>544</v>
      </c>
      <c r="J3" s="217" t="s">
        <v>1037</v>
      </c>
      <c r="K3" s="217" t="s">
        <v>91</v>
      </c>
      <c r="L3" s="205">
        <v>657344581</v>
      </c>
      <c r="M3" s="205">
        <v>145796846</v>
      </c>
      <c r="N3" s="205">
        <v>511547734</v>
      </c>
      <c r="O3" s="205">
        <v>168169259</v>
      </c>
      <c r="P3" s="205">
        <v>24457946</v>
      </c>
      <c r="Q3" s="205">
        <v>48325988</v>
      </c>
      <c r="R3" s="206">
        <v>35650140</v>
      </c>
      <c r="S3" s="406">
        <v>0</v>
      </c>
      <c r="T3" s="428">
        <f t="shared" ref="T3:T66" si="3">IF(S3=1, 100, 50)</f>
        <v>50</v>
      </c>
      <c r="U3" s="415">
        <f t="shared" ref="U3:U66" si="4">T3*0.01</f>
        <v>0.5</v>
      </c>
      <c r="V3" s="405">
        <v>0</v>
      </c>
      <c r="W3" s="428">
        <f t="shared" ref="W3:W66" si="5">IF(V3=1, 100, 50)</f>
        <v>50</v>
      </c>
      <c r="X3" s="415">
        <f t="shared" ref="X3:X66" si="6">W3*0.01</f>
        <v>0.5</v>
      </c>
      <c r="Y3" s="406">
        <v>0</v>
      </c>
      <c r="Z3" s="429">
        <v>0</v>
      </c>
      <c r="AA3" s="430">
        <f t="shared" ref="AA3:AA66" si="7">IF(Y3=1, 50, 0)+IF(Z3=0, 50, 0)</f>
        <v>50</v>
      </c>
      <c r="AB3" s="415">
        <f t="shared" ref="AB3:AB66" si="8">AA3*0.01</f>
        <v>0.5</v>
      </c>
      <c r="AC3" s="431">
        <v>0</v>
      </c>
      <c r="AD3" s="432">
        <f t="shared" ref="AD3:AD66" si="9">IF(AC3=0, 100, IF(AC3=1, 80, IF(AC3=2, 60, IF(AC3=3, 40, IF(AC3&gt;=4, 20)))))</f>
        <v>100</v>
      </c>
      <c r="AE3" s="433">
        <f t="shared" si="0"/>
        <v>4</v>
      </c>
      <c r="AF3" s="434" t="s">
        <v>2326</v>
      </c>
      <c r="AG3" s="434" t="s">
        <v>2326</v>
      </c>
      <c r="AH3" s="434" t="s">
        <v>2326</v>
      </c>
      <c r="AI3" s="362"/>
      <c r="AJ3" s="434" t="s">
        <v>2326</v>
      </c>
      <c r="AK3" s="434" t="s">
        <v>2326</v>
      </c>
      <c r="AL3" s="363"/>
      <c r="AM3" s="406">
        <v>0</v>
      </c>
      <c r="AN3" s="406">
        <v>0</v>
      </c>
      <c r="AO3" s="406">
        <v>0</v>
      </c>
      <c r="AP3" s="406">
        <v>0</v>
      </c>
      <c r="AQ3" s="406">
        <v>0</v>
      </c>
      <c r="AR3" s="406">
        <v>0</v>
      </c>
      <c r="AS3" s="406">
        <v>0</v>
      </c>
      <c r="AT3" s="406">
        <v>0</v>
      </c>
      <c r="AU3" s="407">
        <f t="shared" ref="AU3:AU66" si="10">SUM(AM3:AT3)</f>
        <v>0</v>
      </c>
      <c r="AV3" s="407">
        <f t="shared" ref="AV3:AV66" si="11">IF(AU3=0, 100, IF(AU3=1, 80, IF(AU3=2, 60, IF(AU3=3, 40, 20))))</f>
        <v>100</v>
      </c>
      <c r="AW3" s="408">
        <f t="shared" si="1"/>
        <v>5</v>
      </c>
      <c r="AX3" s="406">
        <v>0</v>
      </c>
      <c r="AY3" s="406">
        <v>0</v>
      </c>
      <c r="AZ3" s="406">
        <v>0</v>
      </c>
      <c r="BA3" s="406">
        <v>0</v>
      </c>
      <c r="BB3" s="430">
        <f t="shared" ref="BB3:BB66" si="12">SUM(AX3:BA3)</f>
        <v>0</v>
      </c>
      <c r="BC3" s="407">
        <f t="shared" ref="BC3:BC66" si="13">IF(BB3=0, 25, IF(BB3=1, 50, IF(BB3=2, 75, IF(BB3&gt;=3, 100))))</f>
        <v>25</v>
      </c>
      <c r="BD3" s="408">
        <f t="shared" si="2"/>
        <v>0.75</v>
      </c>
      <c r="BE3" s="340">
        <f t="shared" ref="BE3:BE66" si="14">U3+X3+AB3+AE3+AI3+AL3+AW3+BD3</f>
        <v>11.25</v>
      </c>
    </row>
    <row r="4" spans="1:57" x14ac:dyDescent="0.6">
      <c r="A4" s="214" t="s">
        <v>1430</v>
      </c>
      <c r="B4" s="13" t="s">
        <v>1980</v>
      </c>
      <c r="C4" s="219" t="s">
        <v>1431</v>
      </c>
      <c r="D4" s="14" t="s">
        <v>285</v>
      </c>
      <c r="E4" s="217" t="s">
        <v>1432</v>
      </c>
      <c r="F4" s="217" t="s">
        <v>1433</v>
      </c>
      <c r="G4" s="218">
        <v>20638</v>
      </c>
      <c r="H4" s="217" t="s">
        <v>830</v>
      </c>
      <c r="I4" s="217" t="s">
        <v>1434</v>
      </c>
      <c r="J4" s="217" t="s">
        <v>1435</v>
      </c>
      <c r="K4" s="217" t="s">
        <v>91</v>
      </c>
      <c r="L4" s="220">
        <v>7825113458</v>
      </c>
      <c r="M4" s="206">
        <v>4398363795</v>
      </c>
      <c r="N4" s="206">
        <v>3426749663</v>
      </c>
      <c r="O4" s="206">
        <v>8214653866</v>
      </c>
      <c r="P4" s="206">
        <v>262723385</v>
      </c>
      <c r="Q4" s="206">
        <v>247777952</v>
      </c>
      <c r="R4" s="206">
        <v>200576209</v>
      </c>
      <c r="S4" s="406">
        <v>0</v>
      </c>
      <c r="T4" s="428">
        <f t="shared" si="3"/>
        <v>50</v>
      </c>
      <c r="U4" s="415">
        <f t="shared" si="4"/>
        <v>0.5</v>
      </c>
      <c r="V4" s="405">
        <v>0</v>
      </c>
      <c r="W4" s="428">
        <f t="shared" si="5"/>
        <v>50</v>
      </c>
      <c r="X4" s="415">
        <f t="shared" si="6"/>
        <v>0.5</v>
      </c>
      <c r="Y4" s="406">
        <v>0</v>
      </c>
      <c r="Z4" s="429">
        <v>0</v>
      </c>
      <c r="AA4" s="430">
        <f t="shared" si="7"/>
        <v>50</v>
      </c>
      <c r="AB4" s="415">
        <f t="shared" si="8"/>
        <v>0.5</v>
      </c>
      <c r="AC4" s="431">
        <v>1</v>
      </c>
      <c r="AD4" s="432">
        <f t="shared" si="9"/>
        <v>80</v>
      </c>
      <c r="AE4" s="433">
        <f t="shared" si="0"/>
        <v>3.2</v>
      </c>
      <c r="AF4" s="434" t="s">
        <v>2326</v>
      </c>
      <c r="AG4" s="434" t="s">
        <v>2326</v>
      </c>
      <c r="AH4" s="434" t="s">
        <v>2326</v>
      </c>
      <c r="AI4" s="362"/>
      <c r="AJ4" s="434" t="s">
        <v>2326</v>
      </c>
      <c r="AK4" s="434" t="s">
        <v>2326</v>
      </c>
      <c r="AL4" s="363"/>
      <c r="AM4" s="406">
        <v>0</v>
      </c>
      <c r="AN4" s="406">
        <v>0</v>
      </c>
      <c r="AO4" s="406">
        <v>0</v>
      </c>
      <c r="AP4" s="406">
        <v>0</v>
      </c>
      <c r="AQ4" s="406">
        <v>0</v>
      </c>
      <c r="AR4" s="406">
        <v>0</v>
      </c>
      <c r="AS4" s="406">
        <v>0</v>
      </c>
      <c r="AT4" s="406">
        <v>0</v>
      </c>
      <c r="AU4" s="407">
        <f t="shared" si="10"/>
        <v>0</v>
      </c>
      <c r="AV4" s="407">
        <f t="shared" si="11"/>
        <v>100</v>
      </c>
      <c r="AW4" s="408">
        <f t="shared" si="1"/>
        <v>5</v>
      </c>
      <c r="AX4" s="406">
        <v>0</v>
      </c>
      <c r="AY4" s="406">
        <v>0</v>
      </c>
      <c r="AZ4" s="406">
        <v>0</v>
      </c>
      <c r="BA4" s="406">
        <v>0</v>
      </c>
      <c r="BB4" s="430">
        <f t="shared" si="12"/>
        <v>0</v>
      </c>
      <c r="BC4" s="407">
        <f t="shared" si="13"/>
        <v>25</v>
      </c>
      <c r="BD4" s="408">
        <f t="shared" si="2"/>
        <v>0.75</v>
      </c>
      <c r="BE4" s="340">
        <f t="shared" si="14"/>
        <v>10.45</v>
      </c>
    </row>
    <row r="5" spans="1:57" x14ac:dyDescent="0.6">
      <c r="A5" s="214" t="s">
        <v>104</v>
      </c>
      <c r="B5" s="13" t="s">
        <v>1981</v>
      </c>
      <c r="C5" s="219" t="s">
        <v>449</v>
      </c>
      <c r="D5" s="216" t="s">
        <v>191</v>
      </c>
      <c r="E5" s="217" t="s">
        <v>178</v>
      </c>
      <c r="F5" s="217" t="s">
        <v>1248</v>
      </c>
      <c r="G5" s="218">
        <v>32473</v>
      </c>
      <c r="H5" s="217" t="s">
        <v>830</v>
      </c>
      <c r="I5" s="217" t="s">
        <v>1436</v>
      </c>
      <c r="J5" s="217" t="s">
        <v>1236</v>
      </c>
      <c r="K5" s="217" t="s">
        <v>690</v>
      </c>
      <c r="L5" s="220">
        <v>143409087</v>
      </c>
      <c r="M5" s="206">
        <v>67719807</v>
      </c>
      <c r="N5" s="206">
        <v>75689279</v>
      </c>
      <c r="O5" s="206">
        <v>152701472</v>
      </c>
      <c r="P5" s="206">
        <v>4135028</v>
      </c>
      <c r="Q5" s="206">
        <v>6675009</v>
      </c>
      <c r="R5" s="206">
        <v>7419861</v>
      </c>
      <c r="S5" s="406">
        <v>0</v>
      </c>
      <c r="T5" s="428">
        <f t="shared" si="3"/>
        <v>50</v>
      </c>
      <c r="U5" s="415">
        <f t="shared" si="4"/>
        <v>0.5</v>
      </c>
      <c r="V5" s="405">
        <v>0</v>
      </c>
      <c r="W5" s="428">
        <f t="shared" si="5"/>
        <v>50</v>
      </c>
      <c r="X5" s="415">
        <f t="shared" si="6"/>
        <v>0.5</v>
      </c>
      <c r="Y5" s="406">
        <v>0</v>
      </c>
      <c r="Z5" s="429">
        <v>0</v>
      </c>
      <c r="AA5" s="430">
        <f t="shared" si="7"/>
        <v>50</v>
      </c>
      <c r="AB5" s="415">
        <f t="shared" si="8"/>
        <v>0.5</v>
      </c>
      <c r="AC5" s="431">
        <v>0</v>
      </c>
      <c r="AD5" s="432">
        <f t="shared" si="9"/>
        <v>100</v>
      </c>
      <c r="AE5" s="433">
        <f t="shared" si="0"/>
        <v>4</v>
      </c>
      <c r="AF5" s="434" t="s">
        <v>2326</v>
      </c>
      <c r="AG5" s="434" t="s">
        <v>2326</v>
      </c>
      <c r="AH5" s="434" t="s">
        <v>2326</v>
      </c>
      <c r="AI5" s="362"/>
      <c r="AJ5" s="434" t="s">
        <v>2326</v>
      </c>
      <c r="AK5" s="434" t="s">
        <v>2326</v>
      </c>
      <c r="AL5" s="363"/>
      <c r="AM5" s="406">
        <v>0</v>
      </c>
      <c r="AN5" s="406">
        <v>0</v>
      </c>
      <c r="AO5" s="406">
        <v>0</v>
      </c>
      <c r="AP5" s="406">
        <v>0</v>
      </c>
      <c r="AQ5" s="406">
        <v>0</v>
      </c>
      <c r="AR5" s="406">
        <v>0</v>
      </c>
      <c r="AS5" s="406">
        <v>0</v>
      </c>
      <c r="AT5" s="406">
        <v>0</v>
      </c>
      <c r="AU5" s="407">
        <f t="shared" si="10"/>
        <v>0</v>
      </c>
      <c r="AV5" s="407">
        <f t="shared" si="11"/>
        <v>100</v>
      </c>
      <c r="AW5" s="408">
        <f t="shared" si="1"/>
        <v>5</v>
      </c>
      <c r="AX5" s="406">
        <v>0</v>
      </c>
      <c r="AY5" s="406">
        <v>0</v>
      </c>
      <c r="AZ5" s="406">
        <v>0</v>
      </c>
      <c r="BA5" s="406">
        <v>0</v>
      </c>
      <c r="BB5" s="430">
        <f t="shared" si="12"/>
        <v>0</v>
      </c>
      <c r="BC5" s="407">
        <f t="shared" si="13"/>
        <v>25</v>
      </c>
      <c r="BD5" s="408">
        <f t="shared" si="2"/>
        <v>0.75</v>
      </c>
      <c r="BE5" s="340">
        <f t="shared" si="14"/>
        <v>11.25</v>
      </c>
    </row>
    <row r="6" spans="1:57" x14ac:dyDescent="0.6">
      <c r="A6" s="214" t="s">
        <v>1437</v>
      </c>
      <c r="B6" s="13" t="s">
        <v>1982</v>
      </c>
      <c r="C6" s="219" t="s">
        <v>1438</v>
      </c>
      <c r="D6" s="14" t="s">
        <v>191</v>
      </c>
      <c r="E6" s="217" t="s">
        <v>178</v>
      </c>
      <c r="F6" s="217" t="s">
        <v>1439</v>
      </c>
      <c r="G6" s="218">
        <v>39353</v>
      </c>
      <c r="H6" s="217" t="s">
        <v>830</v>
      </c>
      <c r="I6" s="217" t="s">
        <v>1440</v>
      </c>
      <c r="J6" s="217" t="s">
        <v>1441</v>
      </c>
      <c r="K6" s="217" t="s">
        <v>91</v>
      </c>
      <c r="L6" s="220">
        <v>11450867716</v>
      </c>
      <c r="M6" s="206">
        <v>6158689194</v>
      </c>
      <c r="N6" s="206">
        <v>5292178522</v>
      </c>
      <c r="O6" s="206">
        <v>7842662871</v>
      </c>
      <c r="P6" s="206">
        <v>405033974</v>
      </c>
      <c r="Q6" s="206">
        <v>333649782</v>
      </c>
      <c r="R6" s="206">
        <v>265820089</v>
      </c>
      <c r="S6" s="406">
        <v>0</v>
      </c>
      <c r="T6" s="428">
        <f t="shared" si="3"/>
        <v>50</v>
      </c>
      <c r="U6" s="415">
        <f t="shared" si="4"/>
        <v>0.5</v>
      </c>
      <c r="V6" s="405">
        <v>0</v>
      </c>
      <c r="W6" s="428">
        <f t="shared" si="5"/>
        <v>50</v>
      </c>
      <c r="X6" s="415">
        <f t="shared" si="6"/>
        <v>0.5</v>
      </c>
      <c r="Y6" s="406">
        <v>0</v>
      </c>
      <c r="Z6" s="429">
        <v>0</v>
      </c>
      <c r="AA6" s="430">
        <f t="shared" si="7"/>
        <v>50</v>
      </c>
      <c r="AB6" s="415">
        <f t="shared" si="8"/>
        <v>0.5</v>
      </c>
      <c r="AC6" s="431">
        <v>0</v>
      </c>
      <c r="AD6" s="432">
        <f t="shared" si="9"/>
        <v>100</v>
      </c>
      <c r="AE6" s="433">
        <f t="shared" si="0"/>
        <v>4</v>
      </c>
      <c r="AF6" s="434" t="s">
        <v>2326</v>
      </c>
      <c r="AG6" s="434" t="s">
        <v>2326</v>
      </c>
      <c r="AH6" s="434" t="s">
        <v>2326</v>
      </c>
      <c r="AI6" s="362"/>
      <c r="AJ6" s="434" t="s">
        <v>2326</v>
      </c>
      <c r="AK6" s="434" t="s">
        <v>2326</v>
      </c>
      <c r="AL6" s="363"/>
      <c r="AM6" s="406">
        <v>0</v>
      </c>
      <c r="AN6" s="406">
        <v>0</v>
      </c>
      <c r="AO6" s="406">
        <v>0</v>
      </c>
      <c r="AP6" s="406">
        <v>0</v>
      </c>
      <c r="AQ6" s="406">
        <v>0</v>
      </c>
      <c r="AR6" s="406">
        <v>0</v>
      </c>
      <c r="AS6" s="406">
        <v>0</v>
      </c>
      <c r="AT6" s="406">
        <v>0</v>
      </c>
      <c r="AU6" s="407">
        <f t="shared" si="10"/>
        <v>0</v>
      </c>
      <c r="AV6" s="407">
        <f t="shared" si="11"/>
        <v>100</v>
      </c>
      <c r="AW6" s="408">
        <f t="shared" si="1"/>
        <v>5</v>
      </c>
      <c r="AX6" s="406">
        <v>0</v>
      </c>
      <c r="AY6" s="406">
        <v>0</v>
      </c>
      <c r="AZ6" s="406">
        <v>0</v>
      </c>
      <c r="BA6" s="406">
        <v>0</v>
      </c>
      <c r="BB6" s="430">
        <f t="shared" si="12"/>
        <v>0</v>
      </c>
      <c r="BC6" s="407">
        <f t="shared" si="13"/>
        <v>25</v>
      </c>
      <c r="BD6" s="408">
        <f t="shared" si="2"/>
        <v>0.75</v>
      </c>
      <c r="BE6" s="340">
        <f t="shared" si="14"/>
        <v>11.25</v>
      </c>
    </row>
    <row r="7" spans="1:57" x14ac:dyDescent="0.6">
      <c r="A7" s="214" t="s">
        <v>750</v>
      </c>
      <c r="B7" s="13" t="s">
        <v>1983</v>
      </c>
      <c r="C7" s="219" t="s">
        <v>409</v>
      </c>
      <c r="D7" s="216" t="s">
        <v>285</v>
      </c>
      <c r="E7" s="217" t="s">
        <v>1034</v>
      </c>
      <c r="F7" s="217" t="s">
        <v>1019</v>
      </c>
      <c r="G7" s="218">
        <v>33975</v>
      </c>
      <c r="H7" s="217" t="s">
        <v>830</v>
      </c>
      <c r="I7" s="217" t="s">
        <v>969</v>
      </c>
      <c r="J7" s="217" t="s">
        <v>1040</v>
      </c>
      <c r="K7" s="217" t="s">
        <v>91</v>
      </c>
      <c r="L7" s="220">
        <v>428747549</v>
      </c>
      <c r="M7" s="206">
        <v>121241747</v>
      </c>
      <c r="N7" s="206">
        <v>307505802</v>
      </c>
      <c r="O7" s="206">
        <v>347588559</v>
      </c>
      <c r="P7" s="206">
        <v>12401397</v>
      </c>
      <c r="Q7" s="206">
        <v>14089238</v>
      </c>
      <c r="R7" s="206">
        <v>10922265</v>
      </c>
      <c r="S7" s="406">
        <v>0</v>
      </c>
      <c r="T7" s="428">
        <f t="shared" si="3"/>
        <v>50</v>
      </c>
      <c r="U7" s="415">
        <f t="shared" si="4"/>
        <v>0.5</v>
      </c>
      <c r="V7" s="405">
        <v>0</v>
      </c>
      <c r="W7" s="428">
        <f t="shared" si="5"/>
        <v>50</v>
      </c>
      <c r="X7" s="415">
        <f t="shared" si="6"/>
        <v>0.5</v>
      </c>
      <c r="Y7" s="406">
        <v>0</v>
      </c>
      <c r="Z7" s="429">
        <v>0</v>
      </c>
      <c r="AA7" s="430">
        <f t="shared" si="7"/>
        <v>50</v>
      </c>
      <c r="AB7" s="415">
        <f t="shared" si="8"/>
        <v>0.5</v>
      </c>
      <c r="AC7" s="431">
        <v>0</v>
      </c>
      <c r="AD7" s="432">
        <f t="shared" si="9"/>
        <v>100</v>
      </c>
      <c r="AE7" s="433">
        <f t="shared" si="0"/>
        <v>4</v>
      </c>
      <c r="AF7" s="434" t="s">
        <v>2326</v>
      </c>
      <c r="AG7" s="434" t="s">
        <v>2326</v>
      </c>
      <c r="AH7" s="434" t="s">
        <v>2326</v>
      </c>
      <c r="AI7" s="362"/>
      <c r="AJ7" s="434" t="s">
        <v>2326</v>
      </c>
      <c r="AK7" s="434" t="s">
        <v>2326</v>
      </c>
      <c r="AL7" s="363"/>
      <c r="AM7" s="406">
        <v>0</v>
      </c>
      <c r="AN7" s="406">
        <v>0</v>
      </c>
      <c r="AO7" s="406">
        <v>0</v>
      </c>
      <c r="AP7" s="406">
        <v>0</v>
      </c>
      <c r="AQ7" s="406">
        <v>0</v>
      </c>
      <c r="AR7" s="406">
        <v>0</v>
      </c>
      <c r="AS7" s="406">
        <v>0</v>
      </c>
      <c r="AT7" s="406">
        <v>0</v>
      </c>
      <c r="AU7" s="407">
        <f t="shared" si="10"/>
        <v>0</v>
      </c>
      <c r="AV7" s="407">
        <f t="shared" si="11"/>
        <v>100</v>
      </c>
      <c r="AW7" s="408">
        <f t="shared" si="1"/>
        <v>5</v>
      </c>
      <c r="AX7" s="406">
        <v>0</v>
      </c>
      <c r="AY7" s="406">
        <v>0</v>
      </c>
      <c r="AZ7" s="406">
        <v>0</v>
      </c>
      <c r="BA7" s="406">
        <v>0</v>
      </c>
      <c r="BB7" s="430">
        <f t="shared" si="12"/>
        <v>0</v>
      </c>
      <c r="BC7" s="407">
        <f t="shared" si="13"/>
        <v>25</v>
      </c>
      <c r="BD7" s="408">
        <f t="shared" si="2"/>
        <v>0.75</v>
      </c>
      <c r="BE7" s="340">
        <f t="shared" si="14"/>
        <v>11.25</v>
      </c>
    </row>
    <row r="8" spans="1:57" x14ac:dyDescent="0.6">
      <c r="A8" s="214" t="s">
        <v>499</v>
      </c>
      <c r="B8" s="13" t="s">
        <v>1984</v>
      </c>
      <c r="C8" s="219" t="s">
        <v>525</v>
      </c>
      <c r="D8" s="221" t="s">
        <v>481</v>
      </c>
      <c r="E8" s="217" t="s">
        <v>704</v>
      </c>
      <c r="F8" s="217" t="s">
        <v>1243</v>
      </c>
      <c r="G8" s="218">
        <v>26843</v>
      </c>
      <c r="H8" s="217" t="s">
        <v>830</v>
      </c>
      <c r="I8" s="217" t="s">
        <v>1442</v>
      </c>
      <c r="J8" s="217" t="s">
        <v>1068</v>
      </c>
      <c r="K8" s="217" t="s">
        <v>91</v>
      </c>
      <c r="L8" s="220">
        <v>50491197385</v>
      </c>
      <c r="M8" s="206">
        <v>45440998151</v>
      </c>
      <c r="N8" s="206">
        <v>5050199234</v>
      </c>
      <c r="O8" s="206">
        <v>14569718977</v>
      </c>
      <c r="P8" s="206">
        <v>1292467004</v>
      </c>
      <c r="Q8" s="206">
        <v>1295672581</v>
      </c>
      <c r="R8" s="206">
        <v>980567336</v>
      </c>
      <c r="S8" s="406">
        <v>0</v>
      </c>
      <c r="T8" s="428">
        <f t="shared" si="3"/>
        <v>50</v>
      </c>
      <c r="U8" s="415">
        <f t="shared" si="4"/>
        <v>0.5</v>
      </c>
      <c r="V8" s="405">
        <v>1</v>
      </c>
      <c r="W8" s="428">
        <f t="shared" si="5"/>
        <v>100</v>
      </c>
      <c r="X8" s="415">
        <f t="shared" si="6"/>
        <v>1</v>
      </c>
      <c r="Y8" s="406">
        <v>0</v>
      </c>
      <c r="Z8" s="429">
        <v>0</v>
      </c>
      <c r="AA8" s="430">
        <f t="shared" si="7"/>
        <v>50</v>
      </c>
      <c r="AB8" s="415">
        <f t="shared" si="8"/>
        <v>0.5</v>
      </c>
      <c r="AC8" s="75">
        <v>5</v>
      </c>
      <c r="AD8" s="432">
        <f t="shared" si="9"/>
        <v>20</v>
      </c>
      <c r="AE8" s="435">
        <f>AD8*0.03</f>
        <v>0.6</v>
      </c>
      <c r="AF8" s="436">
        <v>15</v>
      </c>
      <c r="AG8" s="437">
        <f>(_xlfn.PERCENTRANK.INC(AF:AF,AF8, 2))*100</f>
        <v>92</v>
      </c>
      <c r="AH8" s="437">
        <f>IF(AF8=0, 100, IF(AG8&lt;10, 80, IF(AG8&lt;50, 60, IF(AG8&lt;90, 40, 20))))</f>
        <v>20</v>
      </c>
      <c r="AI8" s="263">
        <f>AH8*0.03</f>
        <v>0.6</v>
      </c>
      <c r="AJ8" s="264" t="s">
        <v>3539</v>
      </c>
      <c r="AK8" s="265">
        <f>IF(AJ8="우수", 100, IF(AJ8="양호", 80, IF(AJ8="보통", 60, IF(AJ8= "평가미대상", 60, IF(AJ8="미흡", 40, IF(AJ8="취약", 20))))))</f>
        <v>80</v>
      </c>
      <c r="AL8" s="141">
        <f>AK8*0.03</f>
        <v>2.4</v>
      </c>
      <c r="AM8" s="406">
        <v>0</v>
      </c>
      <c r="AN8" s="406">
        <v>0</v>
      </c>
      <c r="AO8" s="406">
        <v>0</v>
      </c>
      <c r="AP8" s="406">
        <v>0</v>
      </c>
      <c r="AQ8" s="406">
        <v>0</v>
      </c>
      <c r="AR8" s="406">
        <v>0</v>
      </c>
      <c r="AS8" s="406">
        <v>0</v>
      </c>
      <c r="AT8" s="406">
        <v>0</v>
      </c>
      <c r="AU8" s="407">
        <f t="shared" si="10"/>
        <v>0</v>
      </c>
      <c r="AV8" s="407">
        <f t="shared" si="11"/>
        <v>100</v>
      </c>
      <c r="AW8" s="438">
        <f>AV8*0.02</f>
        <v>2</v>
      </c>
      <c r="AX8" s="406">
        <v>0</v>
      </c>
      <c r="AY8" s="406">
        <v>0</v>
      </c>
      <c r="AZ8" s="406">
        <v>0</v>
      </c>
      <c r="BA8" s="406">
        <v>0</v>
      </c>
      <c r="BB8" s="430">
        <f t="shared" si="12"/>
        <v>0</v>
      </c>
      <c r="BC8" s="407">
        <f t="shared" si="13"/>
        <v>25</v>
      </c>
      <c r="BD8" s="418">
        <f>BC8*0.01</f>
        <v>0.25</v>
      </c>
      <c r="BE8" s="340">
        <f t="shared" si="14"/>
        <v>7.85</v>
      </c>
    </row>
    <row r="9" spans="1:57" x14ac:dyDescent="0.6">
      <c r="A9" s="214" t="s">
        <v>1443</v>
      </c>
      <c r="B9" s="13" t="s">
        <v>1985</v>
      </c>
      <c r="C9" s="219" t="s">
        <v>1444</v>
      </c>
      <c r="D9" s="14" t="s">
        <v>203</v>
      </c>
      <c r="E9" s="217" t="s">
        <v>180</v>
      </c>
      <c r="F9" s="217" t="s">
        <v>1429</v>
      </c>
      <c r="G9" s="218">
        <v>27792</v>
      </c>
      <c r="H9" s="217" t="s">
        <v>830</v>
      </c>
      <c r="I9" s="217" t="s">
        <v>841</v>
      </c>
      <c r="J9" s="217" t="s">
        <v>1445</v>
      </c>
      <c r="K9" s="217" t="s">
        <v>91</v>
      </c>
      <c r="L9" s="220">
        <v>3649116385</v>
      </c>
      <c r="M9" s="206">
        <v>587165440</v>
      </c>
      <c r="N9" s="206">
        <v>3061950944</v>
      </c>
      <c r="O9" s="206">
        <v>223739892</v>
      </c>
      <c r="P9" s="206">
        <v>195878366</v>
      </c>
      <c r="Q9" s="206">
        <v>167506991</v>
      </c>
      <c r="R9" s="206">
        <v>146629624</v>
      </c>
      <c r="S9" s="406">
        <v>0</v>
      </c>
      <c r="T9" s="428">
        <f t="shared" si="3"/>
        <v>50</v>
      </c>
      <c r="U9" s="415">
        <f t="shared" si="4"/>
        <v>0.5</v>
      </c>
      <c r="V9" s="405">
        <v>0</v>
      </c>
      <c r="W9" s="428">
        <f t="shared" si="5"/>
        <v>50</v>
      </c>
      <c r="X9" s="415">
        <f t="shared" si="6"/>
        <v>0.5</v>
      </c>
      <c r="Y9" s="406">
        <v>0</v>
      </c>
      <c r="Z9" s="429">
        <v>0</v>
      </c>
      <c r="AA9" s="430">
        <f t="shared" si="7"/>
        <v>50</v>
      </c>
      <c r="AB9" s="415">
        <f t="shared" si="8"/>
        <v>0.5</v>
      </c>
      <c r="AC9" s="431">
        <v>0</v>
      </c>
      <c r="AD9" s="432">
        <f t="shared" si="9"/>
        <v>100</v>
      </c>
      <c r="AE9" s="433">
        <f t="shared" ref="AE9:AE35" si="15">AD9*0.04</f>
        <v>4</v>
      </c>
      <c r="AF9" s="434" t="s">
        <v>2326</v>
      </c>
      <c r="AG9" s="434" t="s">
        <v>2326</v>
      </c>
      <c r="AH9" s="434" t="s">
        <v>2326</v>
      </c>
      <c r="AI9" s="362"/>
      <c r="AJ9" s="434" t="s">
        <v>2326</v>
      </c>
      <c r="AK9" s="434" t="s">
        <v>2326</v>
      </c>
      <c r="AL9" s="363"/>
      <c r="AM9" s="406">
        <v>0</v>
      </c>
      <c r="AN9" s="406">
        <v>0</v>
      </c>
      <c r="AO9" s="406">
        <v>0</v>
      </c>
      <c r="AP9" s="406">
        <v>0</v>
      </c>
      <c r="AQ9" s="406">
        <v>0</v>
      </c>
      <c r="AR9" s="406">
        <v>0</v>
      </c>
      <c r="AS9" s="406">
        <v>0</v>
      </c>
      <c r="AT9" s="406">
        <v>0</v>
      </c>
      <c r="AU9" s="407">
        <f t="shared" si="10"/>
        <v>0</v>
      </c>
      <c r="AV9" s="407">
        <f t="shared" si="11"/>
        <v>100</v>
      </c>
      <c r="AW9" s="408">
        <f t="shared" ref="AW9:AW35" si="16">AV9*0.05</f>
        <v>5</v>
      </c>
      <c r="AX9" s="406">
        <v>0</v>
      </c>
      <c r="AY9" s="406">
        <v>0</v>
      </c>
      <c r="AZ9" s="406">
        <v>0</v>
      </c>
      <c r="BA9" s="406">
        <v>0</v>
      </c>
      <c r="BB9" s="430">
        <f t="shared" si="12"/>
        <v>0</v>
      </c>
      <c r="BC9" s="407">
        <f t="shared" si="13"/>
        <v>25</v>
      </c>
      <c r="BD9" s="408">
        <f t="shared" ref="BD9:BD35" si="17">BC9*0.03</f>
        <v>0.75</v>
      </c>
      <c r="BE9" s="340">
        <f t="shared" si="14"/>
        <v>11.25</v>
      </c>
    </row>
    <row r="10" spans="1:57" x14ac:dyDescent="0.6">
      <c r="A10" s="214" t="s">
        <v>305</v>
      </c>
      <c r="B10" s="13" t="s">
        <v>1986</v>
      </c>
      <c r="C10" s="219" t="s">
        <v>497</v>
      </c>
      <c r="D10" s="216" t="s">
        <v>285</v>
      </c>
      <c r="E10" s="217" t="s">
        <v>872</v>
      </c>
      <c r="F10" s="217" t="s">
        <v>657</v>
      </c>
      <c r="G10" s="218">
        <v>28481</v>
      </c>
      <c r="H10" s="217" t="s">
        <v>830</v>
      </c>
      <c r="I10" s="217" t="s">
        <v>1446</v>
      </c>
      <c r="J10" s="217" t="s">
        <v>659</v>
      </c>
      <c r="K10" s="217" t="s">
        <v>346</v>
      </c>
      <c r="L10" s="220">
        <v>1746816808</v>
      </c>
      <c r="M10" s="206">
        <v>748120989</v>
      </c>
      <c r="N10" s="206">
        <v>998695819</v>
      </c>
      <c r="O10" s="206">
        <v>1962419335</v>
      </c>
      <c r="P10" s="206">
        <v>81072832</v>
      </c>
      <c r="Q10" s="206">
        <v>84339672</v>
      </c>
      <c r="R10" s="206">
        <v>55421181</v>
      </c>
      <c r="S10" s="406">
        <v>0</v>
      </c>
      <c r="T10" s="428">
        <f t="shared" si="3"/>
        <v>50</v>
      </c>
      <c r="U10" s="415">
        <f t="shared" si="4"/>
        <v>0.5</v>
      </c>
      <c r="V10" s="405">
        <v>0</v>
      </c>
      <c r="W10" s="428">
        <f t="shared" si="5"/>
        <v>50</v>
      </c>
      <c r="X10" s="415">
        <f t="shared" si="6"/>
        <v>0.5</v>
      </c>
      <c r="Y10" s="406">
        <v>0</v>
      </c>
      <c r="Z10" s="429">
        <v>0</v>
      </c>
      <c r="AA10" s="430">
        <f t="shared" si="7"/>
        <v>50</v>
      </c>
      <c r="AB10" s="415">
        <f t="shared" si="8"/>
        <v>0.5</v>
      </c>
      <c r="AC10" s="431">
        <v>0</v>
      </c>
      <c r="AD10" s="432">
        <f t="shared" si="9"/>
        <v>100</v>
      </c>
      <c r="AE10" s="433">
        <f t="shared" si="15"/>
        <v>4</v>
      </c>
      <c r="AF10" s="434" t="s">
        <v>2326</v>
      </c>
      <c r="AG10" s="434" t="s">
        <v>2326</v>
      </c>
      <c r="AH10" s="434" t="s">
        <v>2326</v>
      </c>
      <c r="AI10" s="362"/>
      <c r="AJ10" s="434" t="s">
        <v>2326</v>
      </c>
      <c r="AK10" s="434" t="s">
        <v>2326</v>
      </c>
      <c r="AL10" s="363"/>
      <c r="AM10" s="406">
        <v>0</v>
      </c>
      <c r="AN10" s="406">
        <v>0</v>
      </c>
      <c r="AO10" s="406">
        <v>0</v>
      </c>
      <c r="AP10" s="406">
        <v>0</v>
      </c>
      <c r="AQ10" s="406">
        <v>0</v>
      </c>
      <c r="AR10" s="406">
        <v>0</v>
      </c>
      <c r="AS10" s="406">
        <v>0</v>
      </c>
      <c r="AT10" s="406">
        <v>0</v>
      </c>
      <c r="AU10" s="407">
        <f t="shared" si="10"/>
        <v>0</v>
      </c>
      <c r="AV10" s="407">
        <f t="shared" si="11"/>
        <v>100</v>
      </c>
      <c r="AW10" s="408">
        <f t="shared" si="16"/>
        <v>5</v>
      </c>
      <c r="AX10" s="406">
        <v>0</v>
      </c>
      <c r="AY10" s="406">
        <v>0</v>
      </c>
      <c r="AZ10" s="406">
        <v>0</v>
      </c>
      <c r="BA10" s="406">
        <v>0</v>
      </c>
      <c r="BB10" s="430">
        <f t="shared" si="12"/>
        <v>0</v>
      </c>
      <c r="BC10" s="407">
        <f t="shared" si="13"/>
        <v>25</v>
      </c>
      <c r="BD10" s="408">
        <f t="shared" si="17"/>
        <v>0.75</v>
      </c>
      <c r="BE10" s="340">
        <f t="shared" si="14"/>
        <v>11.25</v>
      </c>
    </row>
    <row r="11" spans="1:57" x14ac:dyDescent="0.6">
      <c r="A11" s="214" t="s">
        <v>1447</v>
      </c>
      <c r="B11" s="13" t="s">
        <v>1987</v>
      </c>
      <c r="C11" s="219" t="s">
        <v>1448</v>
      </c>
      <c r="D11" s="14" t="s">
        <v>285</v>
      </c>
      <c r="E11" s="217" t="s">
        <v>867</v>
      </c>
      <c r="F11" s="217" t="s">
        <v>1449</v>
      </c>
      <c r="G11" s="218">
        <v>44221</v>
      </c>
      <c r="H11" s="217" t="s">
        <v>830</v>
      </c>
      <c r="I11" s="217" t="s">
        <v>1450</v>
      </c>
      <c r="J11" s="13" t="s">
        <v>1988</v>
      </c>
      <c r="K11" s="217" t="s">
        <v>91</v>
      </c>
      <c r="L11" s="220">
        <v>6952036110</v>
      </c>
      <c r="M11" s="206">
        <v>3038424778</v>
      </c>
      <c r="N11" s="206">
        <v>3913611332</v>
      </c>
      <c r="O11" s="206">
        <v>5275660012</v>
      </c>
      <c r="P11" s="206">
        <v>402580787</v>
      </c>
      <c r="Q11" s="206">
        <v>469747452</v>
      </c>
      <c r="R11" s="206">
        <v>310207542</v>
      </c>
      <c r="S11" s="406">
        <v>0</v>
      </c>
      <c r="T11" s="428">
        <f t="shared" si="3"/>
        <v>50</v>
      </c>
      <c r="U11" s="415">
        <f t="shared" si="4"/>
        <v>0.5</v>
      </c>
      <c r="V11" s="405">
        <v>0</v>
      </c>
      <c r="W11" s="428">
        <f t="shared" si="5"/>
        <v>50</v>
      </c>
      <c r="X11" s="415">
        <f t="shared" si="6"/>
        <v>0.5</v>
      </c>
      <c r="Y11" s="406">
        <v>0</v>
      </c>
      <c r="Z11" s="429">
        <v>0</v>
      </c>
      <c r="AA11" s="430">
        <f t="shared" si="7"/>
        <v>50</v>
      </c>
      <c r="AB11" s="415">
        <f t="shared" si="8"/>
        <v>0.5</v>
      </c>
      <c r="AC11" s="431">
        <v>1</v>
      </c>
      <c r="AD11" s="432">
        <f t="shared" si="9"/>
        <v>80</v>
      </c>
      <c r="AE11" s="433">
        <f t="shared" si="15"/>
        <v>3.2</v>
      </c>
      <c r="AF11" s="434" t="s">
        <v>2326</v>
      </c>
      <c r="AG11" s="434" t="s">
        <v>2326</v>
      </c>
      <c r="AH11" s="434" t="s">
        <v>2326</v>
      </c>
      <c r="AI11" s="362"/>
      <c r="AJ11" s="434" t="s">
        <v>2326</v>
      </c>
      <c r="AK11" s="434" t="s">
        <v>2326</v>
      </c>
      <c r="AL11" s="363"/>
      <c r="AM11" s="406">
        <v>0</v>
      </c>
      <c r="AN11" s="406">
        <v>0</v>
      </c>
      <c r="AO11" s="406">
        <v>0</v>
      </c>
      <c r="AP11" s="406">
        <v>0</v>
      </c>
      <c r="AQ11" s="406">
        <v>0</v>
      </c>
      <c r="AR11" s="406">
        <v>0</v>
      </c>
      <c r="AS11" s="406">
        <v>0</v>
      </c>
      <c r="AT11" s="406">
        <v>0</v>
      </c>
      <c r="AU11" s="407">
        <f t="shared" si="10"/>
        <v>0</v>
      </c>
      <c r="AV11" s="407">
        <f t="shared" si="11"/>
        <v>100</v>
      </c>
      <c r="AW11" s="408">
        <f t="shared" si="16"/>
        <v>5</v>
      </c>
      <c r="AX11" s="406">
        <v>0</v>
      </c>
      <c r="AY11" s="406">
        <v>0</v>
      </c>
      <c r="AZ11" s="406">
        <v>0</v>
      </c>
      <c r="BA11" s="406">
        <v>0</v>
      </c>
      <c r="BB11" s="430">
        <f t="shared" si="12"/>
        <v>0</v>
      </c>
      <c r="BC11" s="407">
        <f t="shared" si="13"/>
        <v>25</v>
      </c>
      <c r="BD11" s="408">
        <f t="shared" si="17"/>
        <v>0.75</v>
      </c>
      <c r="BE11" s="340">
        <f t="shared" si="14"/>
        <v>10.45</v>
      </c>
    </row>
    <row r="12" spans="1:57" x14ac:dyDescent="0.6">
      <c r="A12" s="214" t="s">
        <v>1451</v>
      </c>
      <c r="B12" s="13" t="s">
        <v>1989</v>
      </c>
      <c r="C12" s="219" t="s">
        <v>1452</v>
      </c>
      <c r="D12" s="14" t="s">
        <v>203</v>
      </c>
      <c r="E12" s="217" t="s">
        <v>617</v>
      </c>
      <c r="F12" s="217" t="s">
        <v>1453</v>
      </c>
      <c r="G12" s="218">
        <v>32410</v>
      </c>
      <c r="H12" s="217" t="s">
        <v>830</v>
      </c>
      <c r="I12" s="217" t="s">
        <v>1454</v>
      </c>
      <c r="J12" s="217" t="s">
        <v>1455</v>
      </c>
      <c r="K12" s="217" t="s">
        <v>50</v>
      </c>
      <c r="L12" s="220">
        <v>1632577263</v>
      </c>
      <c r="M12" s="206">
        <v>965677546</v>
      </c>
      <c r="N12" s="206">
        <v>666899717</v>
      </c>
      <c r="O12" s="206">
        <v>772331699</v>
      </c>
      <c r="P12" s="206">
        <v>96511673</v>
      </c>
      <c r="Q12" s="206">
        <v>50588116</v>
      </c>
      <c r="R12" s="206">
        <v>37870319</v>
      </c>
      <c r="S12" s="406">
        <v>0</v>
      </c>
      <c r="T12" s="428">
        <f t="shared" si="3"/>
        <v>50</v>
      </c>
      <c r="U12" s="415">
        <f t="shared" si="4"/>
        <v>0.5</v>
      </c>
      <c r="V12" s="405">
        <v>0</v>
      </c>
      <c r="W12" s="428">
        <f t="shared" si="5"/>
        <v>50</v>
      </c>
      <c r="X12" s="415">
        <f t="shared" si="6"/>
        <v>0.5</v>
      </c>
      <c r="Y12" s="406">
        <v>0</v>
      </c>
      <c r="Z12" s="429">
        <v>0</v>
      </c>
      <c r="AA12" s="430">
        <f t="shared" si="7"/>
        <v>50</v>
      </c>
      <c r="AB12" s="415">
        <f t="shared" si="8"/>
        <v>0.5</v>
      </c>
      <c r="AC12" s="431">
        <v>0</v>
      </c>
      <c r="AD12" s="432">
        <f t="shared" si="9"/>
        <v>100</v>
      </c>
      <c r="AE12" s="433">
        <f t="shared" si="15"/>
        <v>4</v>
      </c>
      <c r="AF12" s="434" t="s">
        <v>2326</v>
      </c>
      <c r="AG12" s="434" t="s">
        <v>2326</v>
      </c>
      <c r="AH12" s="434" t="s">
        <v>2326</v>
      </c>
      <c r="AI12" s="362"/>
      <c r="AJ12" s="434" t="s">
        <v>2326</v>
      </c>
      <c r="AK12" s="434" t="s">
        <v>2326</v>
      </c>
      <c r="AL12" s="363"/>
      <c r="AM12" s="406">
        <v>0</v>
      </c>
      <c r="AN12" s="406">
        <v>0</v>
      </c>
      <c r="AO12" s="406">
        <v>0</v>
      </c>
      <c r="AP12" s="406">
        <v>0</v>
      </c>
      <c r="AQ12" s="406">
        <v>0</v>
      </c>
      <c r="AR12" s="406">
        <v>0</v>
      </c>
      <c r="AS12" s="406">
        <v>0</v>
      </c>
      <c r="AT12" s="406">
        <v>0</v>
      </c>
      <c r="AU12" s="407">
        <f t="shared" si="10"/>
        <v>0</v>
      </c>
      <c r="AV12" s="407">
        <f t="shared" si="11"/>
        <v>100</v>
      </c>
      <c r="AW12" s="408">
        <f t="shared" si="16"/>
        <v>5</v>
      </c>
      <c r="AX12" s="406">
        <v>0</v>
      </c>
      <c r="AY12" s="406">
        <v>0</v>
      </c>
      <c r="AZ12" s="406">
        <v>0</v>
      </c>
      <c r="BA12" s="406">
        <v>0</v>
      </c>
      <c r="BB12" s="430">
        <f t="shared" si="12"/>
        <v>0</v>
      </c>
      <c r="BC12" s="407">
        <f t="shared" si="13"/>
        <v>25</v>
      </c>
      <c r="BD12" s="408">
        <f t="shared" si="17"/>
        <v>0.75</v>
      </c>
      <c r="BE12" s="340">
        <f t="shared" si="14"/>
        <v>11.25</v>
      </c>
    </row>
    <row r="13" spans="1:57" x14ac:dyDescent="0.6">
      <c r="A13" s="214" t="s">
        <v>1456</v>
      </c>
      <c r="B13" s="13" t="s">
        <v>1990</v>
      </c>
      <c r="C13" s="219" t="s">
        <v>496</v>
      </c>
      <c r="D13" s="216" t="s">
        <v>203</v>
      </c>
      <c r="E13" s="217" t="s">
        <v>200</v>
      </c>
      <c r="F13" s="217" t="s">
        <v>83</v>
      </c>
      <c r="G13" s="218">
        <v>41409</v>
      </c>
      <c r="H13" s="217" t="s">
        <v>830</v>
      </c>
      <c r="I13" s="217" t="s">
        <v>697</v>
      </c>
      <c r="J13" s="217" t="s">
        <v>1003</v>
      </c>
      <c r="K13" s="217" t="s">
        <v>484</v>
      </c>
      <c r="L13" s="220">
        <v>279626168</v>
      </c>
      <c r="M13" s="206">
        <v>94093073</v>
      </c>
      <c r="N13" s="206">
        <v>185533095</v>
      </c>
      <c r="O13" s="206">
        <v>246405810</v>
      </c>
      <c r="P13" s="206">
        <v>31078773</v>
      </c>
      <c r="Q13" s="206">
        <v>26528544</v>
      </c>
      <c r="R13" s="206">
        <v>19234317</v>
      </c>
      <c r="S13" s="406">
        <v>0</v>
      </c>
      <c r="T13" s="428">
        <f t="shared" si="3"/>
        <v>50</v>
      </c>
      <c r="U13" s="415">
        <f t="shared" si="4"/>
        <v>0.5</v>
      </c>
      <c r="V13" s="405">
        <v>0</v>
      </c>
      <c r="W13" s="428">
        <f t="shared" si="5"/>
        <v>50</v>
      </c>
      <c r="X13" s="415">
        <f t="shared" si="6"/>
        <v>0.5</v>
      </c>
      <c r="Y13" s="406">
        <v>0</v>
      </c>
      <c r="Z13" s="429">
        <v>0</v>
      </c>
      <c r="AA13" s="430">
        <f t="shared" si="7"/>
        <v>50</v>
      </c>
      <c r="AB13" s="415">
        <f t="shared" si="8"/>
        <v>0.5</v>
      </c>
      <c r="AC13" s="431">
        <v>0</v>
      </c>
      <c r="AD13" s="432">
        <f t="shared" si="9"/>
        <v>100</v>
      </c>
      <c r="AE13" s="433">
        <f t="shared" si="15"/>
        <v>4</v>
      </c>
      <c r="AF13" s="434" t="s">
        <v>2326</v>
      </c>
      <c r="AG13" s="434" t="s">
        <v>2326</v>
      </c>
      <c r="AH13" s="434" t="s">
        <v>2326</v>
      </c>
      <c r="AI13" s="362"/>
      <c r="AJ13" s="434" t="s">
        <v>2326</v>
      </c>
      <c r="AK13" s="434" t="s">
        <v>2326</v>
      </c>
      <c r="AL13" s="363"/>
      <c r="AM13" s="406">
        <v>0</v>
      </c>
      <c r="AN13" s="406">
        <v>0</v>
      </c>
      <c r="AO13" s="406">
        <v>0</v>
      </c>
      <c r="AP13" s="406">
        <v>0</v>
      </c>
      <c r="AQ13" s="406">
        <v>0</v>
      </c>
      <c r="AR13" s="406">
        <v>0</v>
      </c>
      <c r="AS13" s="406">
        <v>0</v>
      </c>
      <c r="AT13" s="406">
        <v>0</v>
      </c>
      <c r="AU13" s="407">
        <f t="shared" si="10"/>
        <v>0</v>
      </c>
      <c r="AV13" s="407">
        <f t="shared" si="11"/>
        <v>100</v>
      </c>
      <c r="AW13" s="408">
        <f t="shared" si="16"/>
        <v>5</v>
      </c>
      <c r="AX13" s="406">
        <v>0</v>
      </c>
      <c r="AY13" s="406">
        <v>0</v>
      </c>
      <c r="AZ13" s="406">
        <v>0</v>
      </c>
      <c r="BA13" s="406">
        <v>0</v>
      </c>
      <c r="BB13" s="430">
        <f t="shared" si="12"/>
        <v>0</v>
      </c>
      <c r="BC13" s="407">
        <f t="shared" si="13"/>
        <v>25</v>
      </c>
      <c r="BD13" s="408">
        <f t="shared" si="17"/>
        <v>0.75</v>
      </c>
      <c r="BE13" s="340">
        <f t="shared" si="14"/>
        <v>11.25</v>
      </c>
    </row>
    <row r="14" spans="1:57" x14ac:dyDescent="0.6">
      <c r="A14" s="214" t="s">
        <v>96</v>
      </c>
      <c r="B14" s="13" t="s">
        <v>1991</v>
      </c>
      <c r="C14" s="219" t="s">
        <v>66</v>
      </c>
      <c r="D14" s="216" t="s">
        <v>203</v>
      </c>
      <c r="E14" s="217" t="s">
        <v>195</v>
      </c>
      <c r="F14" s="217" t="s">
        <v>288</v>
      </c>
      <c r="G14" s="218">
        <v>37649</v>
      </c>
      <c r="H14" s="217" t="s">
        <v>830</v>
      </c>
      <c r="I14" s="217" t="s">
        <v>980</v>
      </c>
      <c r="J14" s="217" t="s">
        <v>1033</v>
      </c>
      <c r="K14" s="217" t="s">
        <v>341</v>
      </c>
      <c r="L14" s="220">
        <v>259398157</v>
      </c>
      <c r="M14" s="206">
        <v>76302600</v>
      </c>
      <c r="N14" s="206">
        <v>183095557</v>
      </c>
      <c r="O14" s="206">
        <v>261687162</v>
      </c>
      <c r="P14" s="206">
        <v>26367414</v>
      </c>
      <c r="Q14" s="206">
        <v>33010683</v>
      </c>
      <c r="R14" s="206">
        <v>28926448</v>
      </c>
      <c r="S14" s="406">
        <v>0</v>
      </c>
      <c r="T14" s="428">
        <f t="shared" si="3"/>
        <v>50</v>
      </c>
      <c r="U14" s="415">
        <f t="shared" si="4"/>
        <v>0.5</v>
      </c>
      <c r="V14" s="405">
        <v>0</v>
      </c>
      <c r="W14" s="428">
        <f t="shared" si="5"/>
        <v>50</v>
      </c>
      <c r="X14" s="415">
        <f t="shared" si="6"/>
        <v>0.5</v>
      </c>
      <c r="Y14" s="406">
        <v>0</v>
      </c>
      <c r="Z14" s="429">
        <v>0</v>
      </c>
      <c r="AA14" s="430">
        <f t="shared" si="7"/>
        <v>50</v>
      </c>
      <c r="AB14" s="415">
        <f t="shared" si="8"/>
        <v>0.5</v>
      </c>
      <c r="AC14" s="431">
        <v>0</v>
      </c>
      <c r="AD14" s="432">
        <f t="shared" si="9"/>
        <v>100</v>
      </c>
      <c r="AE14" s="433">
        <f t="shared" si="15"/>
        <v>4</v>
      </c>
      <c r="AF14" s="434" t="s">
        <v>2326</v>
      </c>
      <c r="AG14" s="434" t="s">
        <v>2326</v>
      </c>
      <c r="AH14" s="434" t="s">
        <v>2326</v>
      </c>
      <c r="AI14" s="362"/>
      <c r="AJ14" s="434" t="s">
        <v>2326</v>
      </c>
      <c r="AK14" s="434" t="s">
        <v>2326</v>
      </c>
      <c r="AL14" s="363"/>
      <c r="AM14" s="406">
        <v>0</v>
      </c>
      <c r="AN14" s="406">
        <v>0</v>
      </c>
      <c r="AO14" s="406">
        <v>0</v>
      </c>
      <c r="AP14" s="406">
        <v>0</v>
      </c>
      <c r="AQ14" s="406">
        <v>0</v>
      </c>
      <c r="AR14" s="406">
        <v>0</v>
      </c>
      <c r="AS14" s="406">
        <v>0</v>
      </c>
      <c r="AT14" s="406">
        <v>0</v>
      </c>
      <c r="AU14" s="407">
        <f t="shared" si="10"/>
        <v>0</v>
      </c>
      <c r="AV14" s="407">
        <f t="shared" si="11"/>
        <v>100</v>
      </c>
      <c r="AW14" s="408">
        <f t="shared" si="16"/>
        <v>5</v>
      </c>
      <c r="AX14" s="406">
        <v>0</v>
      </c>
      <c r="AY14" s="406">
        <v>0</v>
      </c>
      <c r="AZ14" s="406">
        <v>0</v>
      </c>
      <c r="BA14" s="406">
        <v>0</v>
      </c>
      <c r="BB14" s="430">
        <f t="shared" si="12"/>
        <v>0</v>
      </c>
      <c r="BC14" s="407">
        <f t="shared" si="13"/>
        <v>25</v>
      </c>
      <c r="BD14" s="408">
        <f t="shared" si="17"/>
        <v>0.75</v>
      </c>
      <c r="BE14" s="340">
        <f t="shared" si="14"/>
        <v>11.25</v>
      </c>
    </row>
    <row r="15" spans="1:57" x14ac:dyDescent="0.6">
      <c r="A15" s="214" t="s">
        <v>1457</v>
      </c>
      <c r="B15" s="13" t="s">
        <v>1992</v>
      </c>
      <c r="C15" s="219" t="s">
        <v>1458</v>
      </c>
      <c r="D15" s="14" t="s">
        <v>191</v>
      </c>
      <c r="E15" s="217" t="s">
        <v>190</v>
      </c>
      <c r="F15" s="217" t="s">
        <v>1459</v>
      </c>
      <c r="G15" s="218">
        <v>44337</v>
      </c>
      <c r="H15" s="217" t="s">
        <v>830</v>
      </c>
      <c r="I15" s="217" t="s">
        <v>1460</v>
      </c>
      <c r="J15" s="217" t="s">
        <v>1461</v>
      </c>
      <c r="K15" s="217" t="s">
        <v>91</v>
      </c>
      <c r="L15" s="220">
        <v>1329134616</v>
      </c>
      <c r="M15" s="206">
        <v>413421862</v>
      </c>
      <c r="N15" s="206">
        <v>915712754</v>
      </c>
      <c r="O15" s="206">
        <v>1615587865</v>
      </c>
      <c r="P15" s="206">
        <v>523701828</v>
      </c>
      <c r="Q15" s="206">
        <v>528169893</v>
      </c>
      <c r="R15" s="206">
        <v>385627456</v>
      </c>
      <c r="S15" s="406">
        <v>0</v>
      </c>
      <c r="T15" s="428">
        <f t="shared" si="3"/>
        <v>50</v>
      </c>
      <c r="U15" s="415">
        <f t="shared" si="4"/>
        <v>0.5</v>
      </c>
      <c r="V15" s="405">
        <v>0</v>
      </c>
      <c r="W15" s="428">
        <f t="shared" si="5"/>
        <v>50</v>
      </c>
      <c r="X15" s="415">
        <f t="shared" si="6"/>
        <v>0.5</v>
      </c>
      <c r="Y15" s="406">
        <v>0</v>
      </c>
      <c r="Z15" s="429">
        <v>0</v>
      </c>
      <c r="AA15" s="430">
        <f t="shared" si="7"/>
        <v>50</v>
      </c>
      <c r="AB15" s="415">
        <f t="shared" si="8"/>
        <v>0.5</v>
      </c>
      <c r="AC15" s="431">
        <v>0</v>
      </c>
      <c r="AD15" s="432">
        <f t="shared" si="9"/>
        <v>100</v>
      </c>
      <c r="AE15" s="433">
        <f t="shared" si="15"/>
        <v>4</v>
      </c>
      <c r="AF15" s="434" t="s">
        <v>2326</v>
      </c>
      <c r="AG15" s="434" t="s">
        <v>2326</v>
      </c>
      <c r="AH15" s="434" t="s">
        <v>2326</v>
      </c>
      <c r="AI15" s="362"/>
      <c r="AJ15" s="434" t="s">
        <v>2326</v>
      </c>
      <c r="AK15" s="434" t="s">
        <v>2326</v>
      </c>
      <c r="AL15" s="363"/>
      <c r="AM15" s="406">
        <v>0</v>
      </c>
      <c r="AN15" s="406">
        <v>0</v>
      </c>
      <c r="AO15" s="406">
        <v>0</v>
      </c>
      <c r="AP15" s="406">
        <v>0</v>
      </c>
      <c r="AQ15" s="406">
        <v>0</v>
      </c>
      <c r="AR15" s="406">
        <v>0</v>
      </c>
      <c r="AS15" s="406">
        <v>0</v>
      </c>
      <c r="AT15" s="406">
        <v>0</v>
      </c>
      <c r="AU15" s="407">
        <f t="shared" si="10"/>
        <v>0</v>
      </c>
      <c r="AV15" s="407">
        <f t="shared" si="11"/>
        <v>100</v>
      </c>
      <c r="AW15" s="408">
        <f t="shared" si="16"/>
        <v>5</v>
      </c>
      <c r="AX15" s="406">
        <v>0</v>
      </c>
      <c r="AY15" s="406">
        <v>0</v>
      </c>
      <c r="AZ15" s="406">
        <v>0</v>
      </c>
      <c r="BA15" s="406">
        <v>0</v>
      </c>
      <c r="BB15" s="430">
        <f t="shared" si="12"/>
        <v>0</v>
      </c>
      <c r="BC15" s="407">
        <f t="shared" si="13"/>
        <v>25</v>
      </c>
      <c r="BD15" s="408">
        <f t="shared" si="17"/>
        <v>0.75</v>
      </c>
      <c r="BE15" s="340">
        <f t="shared" si="14"/>
        <v>11.25</v>
      </c>
    </row>
    <row r="16" spans="1:57" x14ac:dyDescent="0.6">
      <c r="A16" s="214" t="s">
        <v>1462</v>
      </c>
      <c r="B16" s="13" t="s">
        <v>1993</v>
      </c>
      <c r="C16" s="219" t="s">
        <v>1463</v>
      </c>
      <c r="D16" s="14" t="s">
        <v>285</v>
      </c>
      <c r="E16" s="217" t="s">
        <v>872</v>
      </c>
      <c r="F16" s="217" t="s">
        <v>1464</v>
      </c>
      <c r="G16" s="218">
        <v>29801</v>
      </c>
      <c r="H16" s="217" t="s">
        <v>830</v>
      </c>
      <c r="I16" s="217" t="s">
        <v>1465</v>
      </c>
      <c r="J16" s="217" t="s">
        <v>1466</v>
      </c>
      <c r="K16" s="217" t="s">
        <v>91</v>
      </c>
      <c r="L16" s="220">
        <v>12739404443</v>
      </c>
      <c r="M16" s="206">
        <v>7806315499</v>
      </c>
      <c r="N16" s="206">
        <v>4933088944</v>
      </c>
      <c r="O16" s="206">
        <v>8613702892</v>
      </c>
      <c r="P16" s="206">
        <v>281011393</v>
      </c>
      <c r="Q16" s="206">
        <v>360875361</v>
      </c>
      <c r="R16" s="206">
        <v>240672686</v>
      </c>
      <c r="S16" s="406">
        <v>0</v>
      </c>
      <c r="T16" s="428">
        <f t="shared" si="3"/>
        <v>50</v>
      </c>
      <c r="U16" s="415">
        <f t="shared" si="4"/>
        <v>0.5</v>
      </c>
      <c r="V16" s="405">
        <v>0</v>
      </c>
      <c r="W16" s="428">
        <f t="shared" si="5"/>
        <v>50</v>
      </c>
      <c r="X16" s="415">
        <f t="shared" si="6"/>
        <v>0.5</v>
      </c>
      <c r="Y16" s="406">
        <v>0</v>
      </c>
      <c r="Z16" s="429">
        <v>0</v>
      </c>
      <c r="AA16" s="430">
        <f t="shared" si="7"/>
        <v>50</v>
      </c>
      <c r="AB16" s="415">
        <f t="shared" si="8"/>
        <v>0.5</v>
      </c>
      <c r="AC16" s="431">
        <v>0</v>
      </c>
      <c r="AD16" s="432">
        <f t="shared" si="9"/>
        <v>100</v>
      </c>
      <c r="AE16" s="433">
        <f t="shared" si="15"/>
        <v>4</v>
      </c>
      <c r="AF16" s="434" t="s">
        <v>2326</v>
      </c>
      <c r="AG16" s="434" t="s">
        <v>2326</v>
      </c>
      <c r="AH16" s="434" t="s">
        <v>2326</v>
      </c>
      <c r="AI16" s="362"/>
      <c r="AJ16" s="434" t="s">
        <v>2326</v>
      </c>
      <c r="AK16" s="434" t="s">
        <v>2326</v>
      </c>
      <c r="AL16" s="363"/>
      <c r="AM16" s="406">
        <v>0</v>
      </c>
      <c r="AN16" s="406">
        <v>0</v>
      </c>
      <c r="AO16" s="406">
        <v>0</v>
      </c>
      <c r="AP16" s="406">
        <v>0</v>
      </c>
      <c r="AQ16" s="406">
        <v>0</v>
      </c>
      <c r="AR16" s="406">
        <v>0</v>
      </c>
      <c r="AS16" s="406">
        <v>0</v>
      </c>
      <c r="AT16" s="406">
        <v>0</v>
      </c>
      <c r="AU16" s="407">
        <f t="shared" si="10"/>
        <v>0</v>
      </c>
      <c r="AV16" s="407">
        <f t="shared" si="11"/>
        <v>100</v>
      </c>
      <c r="AW16" s="408">
        <f t="shared" si="16"/>
        <v>5</v>
      </c>
      <c r="AX16" s="406">
        <v>0</v>
      </c>
      <c r="AY16" s="406">
        <v>0</v>
      </c>
      <c r="AZ16" s="406">
        <v>0</v>
      </c>
      <c r="BA16" s="406">
        <v>0</v>
      </c>
      <c r="BB16" s="430">
        <f t="shared" si="12"/>
        <v>0</v>
      </c>
      <c r="BC16" s="407">
        <f t="shared" si="13"/>
        <v>25</v>
      </c>
      <c r="BD16" s="408">
        <f t="shared" si="17"/>
        <v>0.75</v>
      </c>
      <c r="BE16" s="340">
        <f t="shared" si="14"/>
        <v>11.25</v>
      </c>
    </row>
    <row r="17" spans="1:57" x14ac:dyDescent="0.6">
      <c r="A17" s="214" t="s">
        <v>1467</v>
      </c>
      <c r="B17" s="13" t="s">
        <v>1994</v>
      </c>
      <c r="C17" s="219" t="s">
        <v>1468</v>
      </c>
      <c r="D17" s="222" t="s">
        <v>285</v>
      </c>
      <c r="E17" s="217" t="s">
        <v>245</v>
      </c>
      <c r="F17" s="217" t="s">
        <v>1469</v>
      </c>
      <c r="G17" s="218">
        <v>27937</v>
      </c>
      <c r="H17" s="217" t="s">
        <v>830</v>
      </c>
      <c r="I17" s="217" t="s">
        <v>1470</v>
      </c>
      <c r="J17" s="217" t="s">
        <v>1471</v>
      </c>
      <c r="K17" s="217" t="s">
        <v>91</v>
      </c>
      <c r="L17" s="220">
        <v>997899096</v>
      </c>
      <c r="M17" s="206">
        <v>681241305</v>
      </c>
      <c r="N17" s="206">
        <v>316657791</v>
      </c>
      <c r="O17" s="206">
        <v>4351245277</v>
      </c>
      <c r="P17" s="206">
        <v>72635691</v>
      </c>
      <c r="Q17" s="206">
        <v>36029872</v>
      </c>
      <c r="R17" s="206">
        <v>42401579</v>
      </c>
      <c r="S17" s="406">
        <v>0</v>
      </c>
      <c r="T17" s="428">
        <f t="shared" si="3"/>
        <v>50</v>
      </c>
      <c r="U17" s="415">
        <f t="shared" si="4"/>
        <v>0.5</v>
      </c>
      <c r="V17" s="405">
        <v>0</v>
      </c>
      <c r="W17" s="428">
        <f t="shared" si="5"/>
        <v>50</v>
      </c>
      <c r="X17" s="415">
        <f t="shared" si="6"/>
        <v>0.5</v>
      </c>
      <c r="Y17" s="406">
        <v>0</v>
      </c>
      <c r="Z17" s="429">
        <v>0</v>
      </c>
      <c r="AA17" s="430">
        <f t="shared" si="7"/>
        <v>50</v>
      </c>
      <c r="AB17" s="415">
        <f t="shared" si="8"/>
        <v>0.5</v>
      </c>
      <c r="AC17" s="431">
        <v>1</v>
      </c>
      <c r="AD17" s="432">
        <f t="shared" si="9"/>
        <v>80</v>
      </c>
      <c r="AE17" s="433">
        <f t="shared" si="15"/>
        <v>3.2</v>
      </c>
      <c r="AF17" s="434" t="s">
        <v>2326</v>
      </c>
      <c r="AG17" s="434" t="s">
        <v>2326</v>
      </c>
      <c r="AH17" s="434" t="s">
        <v>2326</v>
      </c>
      <c r="AI17" s="362"/>
      <c r="AJ17" s="434" t="s">
        <v>2326</v>
      </c>
      <c r="AK17" s="434" t="s">
        <v>2326</v>
      </c>
      <c r="AL17" s="363"/>
      <c r="AM17" s="406">
        <v>0</v>
      </c>
      <c r="AN17" s="406">
        <v>0</v>
      </c>
      <c r="AO17" s="406">
        <v>0</v>
      </c>
      <c r="AP17" s="406">
        <v>1</v>
      </c>
      <c r="AQ17" s="406">
        <v>0</v>
      </c>
      <c r="AR17" s="406">
        <v>1</v>
      </c>
      <c r="AS17" s="406">
        <v>0</v>
      </c>
      <c r="AT17" s="406">
        <v>1</v>
      </c>
      <c r="AU17" s="407">
        <f t="shared" si="10"/>
        <v>3</v>
      </c>
      <c r="AV17" s="407">
        <f t="shared" si="11"/>
        <v>40</v>
      </c>
      <c r="AW17" s="408">
        <f t="shared" si="16"/>
        <v>2</v>
      </c>
      <c r="AX17" s="406">
        <v>0</v>
      </c>
      <c r="AY17" s="406">
        <v>0</v>
      </c>
      <c r="AZ17" s="406">
        <v>0</v>
      </c>
      <c r="BA17" s="406">
        <v>0</v>
      </c>
      <c r="BB17" s="430">
        <f t="shared" si="12"/>
        <v>0</v>
      </c>
      <c r="BC17" s="407">
        <f t="shared" si="13"/>
        <v>25</v>
      </c>
      <c r="BD17" s="408">
        <f t="shared" si="17"/>
        <v>0.75</v>
      </c>
      <c r="BE17" s="340">
        <f t="shared" si="14"/>
        <v>7.45</v>
      </c>
    </row>
    <row r="18" spans="1:57" x14ac:dyDescent="0.6">
      <c r="A18" s="214" t="s">
        <v>402</v>
      </c>
      <c r="B18" s="13" t="s">
        <v>1995</v>
      </c>
      <c r="C18" s="219" t="s">
        <v>49</v>
      </c>
      <c r="D18" s="216" t="s">
        <v>202</v>
      </c>
      <c r="E18" s="217" t="s">
        <v>196</v>
      </c>
      <c r="F18" s="217" t="s">
        <v>120</v>
      </c>
      <c r="G18" s="218">
        <v>42271</v>
      </c>
      <c r="H18" s="217" t="s">
        <v>830</v>
      </c>
      <c r="I18" s="217" t="s">
        <v>679</v>
      </c>
      <c r="J18" s="217" t="s">
        <v>1472</v>
      </c>
      <c r="K18" s="217" t="s">
        <v>91</v>
      </c>
      <c r="L18" s="220">
        <v>384013805</v>
      </c>
      <c r="M18" s="206">
        <v>122371399</v>
      </c>
      <c r="N18" s="206">
        <v>261642406</v>
      </c>
      <c r="O18" s="206">
        <v>610731077</v>
      </c>
      <c r="P18" s="206">
        <v>12353544</v>
      </c>
      <c r="Q18" s="206">
        <v>16868521</v>
      </c>
      <c r="R18" s="206">
        <v>12791557</v>
      </c>
      <c r="S18" s="406">
        <v>0</v>
      </c>
      <c r="T18" s="428">
        <f t="shared" si="3"/>
        <v>50</v>
      </c>
      <c r="U18" s="415">
        <f t="shared" si="4"/>
        <v>0.5</v>
      </c>
      <c r="V18" s="405">
        <v>0</v>
      </c>
      <c r="W18" s="428">
        <f t="shared" si="5"/>
        <v>50</v>
      </c>
      <c r="X18" s="415">
        <f t="shared" si="6"/>
        <v>0.5</v>
      </c>
      <c r="Y18" s="406">
        <v>0</v>
      </c>
      <c r="Z18" s="429">
        <v>0</v>
      </c>
      <c r="AA18" s="430">
        <f t="shared" si="7"/>
        <v>50</v>
      </c>
      <c r="AB18" s="415">
        <f t="shared" si="8"/>
        <v>0.5</v>
      </c>
      <c r="AC18" s="431">
        <v>0</v>
      </c>
      <c r="AD18" s="432">
        <f t="shared" si="9"/>
        <v>100</v>
      </c>
      <c r="AE18" s="433">
        <f t="shared" si="15"/>
        <v>4</v>
      </c>
      <c r="AF18" s="434" t="s">
        <v>2326</v>
      </c>
      <c r="AG18" s="434" t="s">
        <v>2326</v>
      </c>
      <c r="AH18" s="434" t="s">
        <v>2326</v>
      </c>
      <c r="AI18" s="362"/>
      <c r="AJ18" s="434" t="s">
        <v>2326</v>
      </c>
      <c r="AK18" s="434" t="s">
        <v>2326</v>
      </c>
      <c r="AL18" s="363"/>
      <c r="AM18" s="406">
        <v>0</v>
      </c>
      <c r="AN18" s="406">
        <v>0</v>
      </c>
      <c r="AO18" s="406">
        <v>0</v>
      </c>
      <c r="AP18" s="406">
        <v>0</v>
      </c>
      <c r="AQ18" s="406">
        <v>0</v>
      </c>
      <c r="AR18" s="406">
        <v>0</v>
      </c>
      <c r="AS18" s="406">
        <v>0</v>
      </c>
      <c r="AT18" s="406">
        <v>0</v>
      </c>
      <c r="AU18" s="407">
        <f t="shared" si="10"/>
        <v>0</v>
      </c>
      <c r="AV18" s="407">
        <f t="shared" si="11"/>
        <v>100</v>
      </c>
      <c r="AW18" s="408">
        <f t="shared" si="16"/>
        <v>5</v>
      </c>
      <c r="AX18" s="406">
        <v>0</v>
      </c>
      <c r="AY18" s="406">
        <v>0</v>
      </c>
      <c r="AZ18" s="406">
        <v>0</v>
      </c>
      <c r="BA18" s="406">
        <v>0</v>
      </c>
      <c r="BB18" s="430">
        <f t="shared" si="12"/>
        <v>0</v>
      </c>
      <c r="BC18" s="407">
        <f t="shared" si="13"/>
        <v>25</v>
      </c>
      <c r="BD18" s="408">
        <f t="shared" si="17"/>
        <v>0.75</v>
      </c>
      <c r="BE18" s="340">
        <f t="shared" si="14"/>
        <v>11.25</v>
      </c>
    </row>
    <row r="19" spans="1:57" x14ac:dyDescent="0.6">
      <c r="A19" s="214" t="s">
        <v>1473</v>
      </c>
      <c r="B19" s="13" t="s">
        <v>1996</v>
      </c>
      <c r="C19" s="219" t="s">
        <v>532</v>
      </c>
      <c r="D19" s="216" t="s">
        <v>203</v>
      </c>
      <c r="E19" s="217" t="s">
        <v>188</v>
      </c>
      <c r="F19" s="217" t="s">
        <v>643</v>
      </c>
      <c r="G19" s="218">
        <v>38985</v>
      </c>
      <c r="H19" s="217" t="s">
        <v>830</v>
      </c>
      <c r="I19" s="217" t="s">
        <v>302</v>
      </c>
      <c r="J19" s="217" t="s">
        <v>668</v>
      </c>
      <c r="K19" s="217" t="s">
        <v>425</v>
      </c>
      <c r="L19" s="220">
        <v>496666959</v>
      </c>
      <c r="M19" s="206">
        <v>232970639</v>
      </c>
      <c r="N19" s="206">
        <v>263696320</v>
      </c>
      <c r="O19" s="206">
        <v>847333959</v>
      </c>
      <c r="P19" s="206">
        <v>12420452</v>
      </c>
      <c r="Q19" s="206">
        <v>21136596</v>
      </c>
      <c r="R19" s="206">
        <v>15436443</v>
      </c>
      <c r="S19" s="406">
        <v>0</v>
      </c>
      <c r="T19" s="428">
        <f t="shared" si="3"/>
        <v>50</v>
      </c>
      <c r="U19" s="415">
        <f t="shared" si="4"/>
        <v>0.5</v>
      </c>
      <c r="V19" s="405">
        <v>0</v>
      </c>
      <c r="W19" s="428">
        <f t="shared" si="5"/>
        <v>50</v>
      </c>
      <c r="X19" s="415">
        <f t="shared" si="6"/>
        <v>0.5</v>
      </c>
      <c r="Y19" s="406">
        <v>0</v>
      </c>
      <c r="Z19" s="429">
        <v>0</v>
      </c>
      <c r="AA19" s="430">
        <f t="shared" si="7"/>
        <v>50</v>
      </c>
      <c r="AB19" s="415">
        <f t="shared" si="8"/>
        <v>0.5</v>
      </c>
      <c r="AC19" s="431">
        <v>0</v>
      </c>
      <c r="AD19" s="432">
        <f t="shared" si="9"/>
        <v>100</v>
      </c>
      <c r="AE19" s="433">
        <f t="shared" si="15"/>
        <v>4</v>
      </c>
      <c r="AF19" s="434" t="s">
        <v>2326</v>
      </c>
      <c r="AG19" s="434" t="s">
        <v>2326</v>
      </c>
      <c r="AH19" s="434" t="s">
        <v>2326</v>
      </c>
      <c r="AI19" s="362"/>
      <c r="AJ19" s="434" t="s">
        <v>2326</v>
      </c>
      <c r="AK19" s="434" t="s">
        <v>2326</v>
      </c>
      <c r="AL19" s="363"/>
      <c r="AM19" s="406">
        <v>0</v>
      </c>
      <c r="AN19" s="406">
        <v>0</v>
      </c>
      <c r="AO19" s="406">
        <v>0</v>
      </c>
      <c r="AP19" s="406">
        <v>0</v>
      </c>
      <c r="AQ19" s="406">
        <v>0</v>
      </c>
      <c r="AR19" s="406">
        <v>0</v>
      </c>
      <c r="AS19" s="406">
        <v>0</v>
      </c>
      <c r="AT19" s="406">
        <v>0</v>
      </c>
      <c r="AU19" s="407">
        <f t="shared" si="10"/>
        <v>0</v>
      </c>
      <c r="AV19" s="407">
        <f t="shared" si="11"/>
        <v>100</v>
      </c>
      <c r="AW19" s="408">
        <f t="shared" si="16"/>
        <v>5</v>
      </c>
      <c r="AX19" s="406">
        <v>0</v>
      </c>
      <c r="AY19" s="406">
        <v>0</v>
      </c>
      <c r="AZ19" s="406">
        <v>0</v>
      </c>
      <c r="BA19" s="406">
        <v>0</v>
      </c>
      <c r="BB19" s="430">
        <f t="shared" si="12"/>
        <v>0</v>
      </c>
      <c r="BC19" s="407">
        <f t="shared" si="13"/>
        <v>25</v>
      </c>
      <c r="BD19" s="408">
        <f t="shared" si="17"/>
        <v>0.75</v>
      </c>
      <c r="BE19" s="340">
        <f t="shared" si="14"/>
        <v>11.25</v>
      </c>
    </row>
    <row r="20" spans="1:57" x14ac:dyDescent="0.6">
      <c r="A20" s="214" t="s">
        <v>1474</v>
      </c>
      <c r="B20" s="13" t="s">
        <v>1997</v>
      </c>
      <c r="C20" s="219" t="s">
        <v>1475</v>
      </c>
      <c r="D20" s="222" t="s">
        <v>285</v>
      </c>
      <c r="E20" s="217" t="s">
        <v>872</v>
      </c>
      <c r="F20" s="217" t="s">
        <v>1476</v>
      </c>
      <c r="G20" s="218">
        <v>43263</v>
      </c>
      <c r="H20" s="217" t="s">
        <v>830</v>
      </c>
      <c r="I20" s="217" t="s">
        <v>1477</v>
      </c>
      <c r="J20" s="217" t="s">
        <v>1478</v>
      </c>
      <c r="K20" s="217" t="s">
        <v>91</v>
      </c>
      <c r="L20" s="220">
        <v>7073844464</v>
      </c>
      <c r="M20" s="206">
        <v>4098482728</v>
      </c>
      <c r="N20" s="206">
        <v>2975361736</v>
      </c>
      <c r="O20" s="206">
        <v>3283542070</v>
      </c>
      <c r="P20" s="206">
        <v>110039015</v>
      </c>
      <c r="Q20" s="206">
        <v>105468581</v>
      </c>
      <c r="R20" s="206">
        <v>36587869</v>
      </c>
      <c r="S20" s="406">
        <v>0</v>
      </c>
      <c r="T20" s="428">
        <f t="shared" si="3"/>
        <v>50</v>
      </c>
      <c r="U20" s="415">
        <f t="shared" si="4"/>
        <v>0.5</v>
      </c>
      <c r="V20" s="405">
        <v>0</v>
      </c>
      <c r="W20" s="428">
        <f t="shared" si="5"/>
        <v>50</v>
      </c>
      <c r="X20" s="415">
        <f t="shared" si="6"/>
        <v>0.5</v>
      </c>
      <c r="Y20" s="406">
        <v>0</v>
      </c>
      <c r="Z20" s="429">
        <v>0</v>
      </c>
      <c r="AA20" s="430">
        <f t="shared" si="7"/>
        <v>50</v>
      </c>
      <c r="AB20" s="415">
        <f t="shared" si="8"/>
        <v>0.5</v>
      </c>
      <c r="AC20" s="431">
        <v>1</v>
      </c>
      <c r="AD20" s="432">
        <f t="shared" si="9"/>
        <v>80</v>
      </c>
      <c r="AE20" s="433">
        <f t="shared" si="15"/>
        <v>3.2</v>
      </c>
      <c r="AF20" s="434" t="s">
        <v>2326</v>
      </c>
      <c r="AG20" s="434" t="s">
        <v>2326</v>
      </c>
      <c r="AH20" s="434" t="s">
        <v>2326</v>
      </c>
      <c r="AI20" s="362"/>
      <c r="AJ20" s="434" t="s">
        <v>2326</v>
      </c>
      <c r="AK20" s="434" t="s">
        <v>2326</v>
      </c>
      <c r="AL20" s="363"/>
      <c r="AM20" s="406">
        <v>0</v>
      </c>
      <c r="AN20" s="406">
        <v>0</v>
      </c>
      <c r="AO20" s="406">
        <v>0</v>
      </c>
      <c r="AP20" s="406">
        <v>0</v>
      </c>
      <c r="AQ20" s="406">
        <v>0</v>
      </c>
      <c r="AR20" s="406">
        <v>0</v>
      </c>
      <c r="AS20" s="406">
        <v>0</v>
      </c>
      <c r="AT20" s="406">
        <v>0</v>
      </c>
      <c r="AU20" s="407">
        <f t="shared" si="10"/>
        <v>0</v>
      </c>
      <c r="AV20" s="407">
        <f t="shared" si="11"/>
        <v>100</v>
      </c>
      <c r="AW20" s="408">
        <f t="shared" si="16"/>
        <v>5</v>
      </c>
      <c r="AX20" s="406">
        <v>0</v>
      </c>
      <c r="AY20" s="406">
        <v>0</v>
      </c>
      <c r="AZ20" s="406">
        <v>0</v>
      </c>
      <c r="BA20" s="406">
        <v>0</v>
      </c>
      <c r="BB20" s="430">
        <f t="shared" si="12"/>
        <v>0</v>
      </c>
      <c r="BC20" s="407">
        <f t="shared" si="13"/>
        <v>25</v>
      </c>
      <c r="BD20" s="408">
        <f t="shared" si="17"/>
        <v>0.75</v>
      </c>
      <c r="BE20" s="340">
        <f t="shared" si="14"/>
        <v>10.45</v>
      </c>
    </row>
    <row r="21" spans="1:57" x14ac:dyDescent="0.6">
      <c r="A21" s="214" t="s">
        <v>1479</v>
      </c>
      <c r="B21" s="13" t="s">
        <v>1998</v>
      </c>
      <c r="C21" s="219" t="s">
        <v>1480</v>
      </c>
      <c r="D21" s="14" t="s">
        <v>202</v>
      </c>
      <c r="E21" s="217" t="s">
        <v>950</v>
      </c>
      <c r="F21" s="217" t="s">
        <v>1481</v>
      </c>
      <c r="G21" s="218">
        <v>43788</v>
      </c>
      <c r="H21" s="217" t="s">
        <v>830</v>
      </c>
      <c r="I21" s="217" t="s">
        <v>1482</v>
      </c>
      <c r="J21" s="217" t="s">
        <v>1483</v>
      </c>
      <c r="K21" s="217" t="s">
        <v>690</v>
      </c>
      <c r="L21" s="220">
        <v>654805747</v>
      </c>
      <c r="M21" s="206">
        <v>269730556</v>
      </c>
      <c r="N21" s="206">
        <v>385075191</v>
      </c>
      <c r="O21" s="206">
        <v>1022975319</v>
      </c>
      <c r="P21" s="206">
        <v>95989545</v>
      </c>
      <c r="Q21" s="206">
        <v>80403526</v>
      </c>
      <c r="R21" s="206">
        <v>64390770</v>
      </c>
      <c r="S21" s="406">
        <v>0</v>
      </c>
      <c r="T21" s="428">
        <f t="shared" si="3"/>
        <v>50</v>
      </c>
      <c r="U21" s="415">
        <f t="shared" si="4"/>
        <v>0.5</v>
      </c>
      <c r="V21" s="405">
        <v>0</v>
      </c>
      <c r="W21" s="428">
        <f t="shared" si="5"/>
        <v>50</v>
      </c>
      <c r="X21" s="415">
        <f t="shared" si="6"/>
        <v>0.5</v>
      </c>
      <c r="Y21" s="406">
        <v>0</v>
      </c>
      <c r="Z21" s="429">
        <v>0</v>
      </c>
      <c r="AA21" s="430">
        <f t="shared" si="7"/>
        <v>50</v>
      </c>
      <c r="AB21" s="415">
        <f t="shared" si="8"/>
        <v>0.5</v>
      </c>
      <c r="AC21" s="431">
        <v>0</v>
      </c>
      <c r="AD21" s="432">
        <f t="shared" si="9"/>
        <v>100</v>
      </c>
      <c r="AE21" s="433">
        <f t="shared" si="15"/>
        <v>4</v>
      </c>
      <c r="AF21" s="434" t="s">
        <v>2326</v>
      </c>
      <c r="AG21" s="434" t="s">
        <v>2326</v>
      </c>
      <c r="AH21" s="434" t="s">
        <v>2326</v>
      </c>
      <c r="AI21" s="362"/>
      <c r="AJ21" s="434" t="s">
        <v>2326</v>
      </c>
      <c r="AK21" s="434" t="s">
        <v>2326</v>
      </c>
      <c r="AL21" s="363"/>
      <c r="AM21" s="406">
        <v>0</v>
      </c>
      <c r="AN21" s="406">
        <v>0</v>
      </c>
      <c r="AO21" s="406">
        <v>0</v>
      </c>
      <c r="AP21" s="406">
        <v>0</v>
      </c>
      <c r="AQ21" s="406">
        <v>0</v>
      </c>
      <c r="AR21" s="406">
        <v>0</v>
      </c>
      <c r="AS21" s="406">
        <v>0</v>
      </c>
      <c r="AT21" s="406">
        <v>0</v>
      </c>
      <c r="AU21" s="407">
        <f t="shared" si="10"/>
        <v>0</v>
      </c>
      <c r="AV21" s="407">
        <f t="shared" si="11"/>
        <v>100</v>
      </c>
      <c r="AW21" s="408">
        <f t="shared" si="16"/>
        <v>5</v>
      </c>
      <c r="AX21" s="406">
        <v>0</v>
      </c>
      <c r="AY21" s="406">
        <v>0</v>
      </c>
      <c r="AZ21" s="406">
        <v>0</v>
      </c>
      <c r="BA21" s="406">
        <v>0</v>
      </c>
      <c r="BB21" s="430">
        <f t="shared" si="12"/>
        <v>0</v>
      </c>
      <c r="BC21" s="407">
        <f t="shared" si="13"/>
        <v>25</v>
      </c>
      <c r="BD21" s="408">
        <f t="shared" si="17"/>
        <v>0.75</v>
      </c>
      <c r="BE21" s="340">
        <f t="shared" si="14"/>
        <v>11.25</v>
      </c>
    </row>
    <row r="22" spans="1:57" x14ac:dyDescent="0.6">
      <c r="A22" s="214" t="s">
        <v>1484</v>
      </c>
      <c r="B22" s="13" t="s">
        <v>1999</v>
      </c>
      <c r="C22" s="219" t="s">
        <v>1485</v>
      </c>
      <c r="D22" s="222" t="s">
        <v>285</v>
      </c>
      <c r="E22" s="217" t="s">
        <v>867</v>
      </c>
      <c r="F22" s="217" t="s">
        <v>1486</v>
      </c>
      <c r="G22" s="218">
        <v>34558</v>
      </c>
      <c r="H22" s="217" t="s">
        <v>830</v>
      </c>
      <c r="I22" s="217" t="s">
        <v>1487</v>
      </c>
      <c r="J22" s="217" t="s">
        <v>1488</v>
      </c>
      <c r="K22" s="217" t="s">
        <v>91</v>
      </c>
      <c r="L22" s="220">
        <v>1405053368</v>
      </c>
      <c r="M22" s="206">
        <v>1006454557</v>
      </c>
      <c r="N22" s="206">
        <v>398598812</v>
      </c>
      <c r="O22" s="206">
        <v>1379461788</v>
      </c>
      <c r="P22" s="206">
        <v>37587942</v>
      </c>
      <c r="Q22" s="206">
        <v>27839730</v>
      </c>
      <c r="R22" s="206">
        <v>18200083</v>
      </c>
      <c r="S22" s="406">
        <v>0</v>
      </c>
      <c r="T22" s="428">
        <f t="shared" si="3"/>
        <v>50</v>
      </c>
      <c r="U22" s="415">
        <f t="shared" si="4"/>
        <v>0.5</v>
      </c>
      <c r="V22" s="405">
        <v>0</v>
      </c>
      <c r="W22" s="428">
        <f t="shared" si="5"/>
        <v>50</v>
      </c>
      <c r="X22" s="415">
        <f t="shared" si="6"/>
        <v>0.5</v>
      </c>
      <c r="Y22" s="406">
        <v>0</v>
      </c>
      <c r="Z22" s="429">
        <v>0</v>
      </c>
      <c r="AA22" s="430">
        <f t="shared" si="7"/>
        <v>50</v>
      </c>
      <c r="AB22" s="415">
        <f t="shared" si="8"/>
        <v>0.5</v>
      </c>
      <c r="AC22" s="431">
        <v>0</v>
      </c>
      <c r="AD22" s="432">
        <f t="shared" si="9"/>
        <v>100</v>
      </c>
      <c r="AE22" s="433">
        <f t="shared" si="15"/>
        <v>4</v>
      </c>
      <c r="AF22" s="434" t="s">
        <v>2326</v>
      </c>
      <c r="AG22" s="434" t="s">
        <v>2326</v>
      </c>
      <c r="AH22" s="434" t="s">
        <v>2326</v>
      </c>
      <c r="AI22" s="362"/>
      <c r="AJ22" s="434" t="s">
        <v>2326</v>
      </c>
      <c r="AK22" s="434" t="s">
        <v>2326</v>
      </c>
      <c r="AL22" s="363"/>
      <c r="AM22" s="406">
        <v>0</v>
      </c>
      <c r="AN22" s="406">
        <v>0</v>
      </c>
      <c r="AO22" s="406">
        <v>0</v>
      </c>
      <c r="AP22" s="406">
        <v>0</v>
      </c>
      <c r="AQ22" s="406">
        <v>0</v>
      </c>
      <c r="AR22" s="406">
        <v>0</v>
      </c>
      <c r="AS22" s="406">
        <v>0</v>
      </c>
      <c r="AT22" s="406">
        <v>0</v>
      </c>
      <c r="AU22" s="407">
        <f t="shared" si="10"/>
        <v>0</v>
      </c>
      <c r="AV22" s="407">
        <f t="shared" si="11"/>
        <v>100</v>
      </c>
      <c r="AW22" s="408">
        <f t="shared" si="16"/>
        <v>5</v>
      </c>
      <c r="AX22" s="406">
        <v>0</v>
      </c>
      <c r="AY22" s="406">
        <v>0</v>
      </c>
      <c r="AZ22" s="406">
        <v>0</v>
      </c>
      <c r="BA22" s="406">
        <v>0</v>
      </c>
      <c r="BB22" s="430">
        <f t="shared" si="12"/>
        <v>0</v>
      </c>
      <c r="BC22" s="407">
        <f t="shared" si="13"/>
        <v>25</v>
      </c>
      <c r="BD22" s="408">
        <f t="shared" si="17"/>
        <v>0.75</v>
      </c>
      <c r="BE22" s="340">
        <f t="shared" si="14"/>
        <v>11.25</v>
      </c>
    </row>
    <row r="23" spans="1:57" x14ac:dyDescent="0.6">
      <c r="A23" s="214" t="s">
        <v>1489</v>
      </c>
      <c r="B23" s="13" t="s">
        <v>2000</v>
      </c>
      <c r="C23" s="219" t="s">
        <v>1490</v>
      </c>
      <c r="D23" s="14" t="s">
        <v>285</v>
      </c>
      <c r="E23" s="217" t="s">
        <v>534</v>
      </c>
      <c r="F23" s="217" t="s">
        <v>1491</v>
      </c>
      <c r="G23" s="218">
        <v>34977</v>
      </c>
      <c r="H23" s="217" t="s">
        <v>830</v>
      </c>
      <c r="I23" s="217" t="s">
        <v>1492</v>
      </c>
      <c r="J23" s="217" t="s">
        <v>1493</v>
      </c>
      <c r="K23" s="217" t="s">
        <v>91</v>
      </c>
      <c r="L23" s="220">
        <v>25684209000</v>
      </c>
      <c r="M23" s="206">
        <v>5067672000</v>
      </c>
      <c r="N23" s="206">
        <v>20616537000</v>
      </c>
      <c r="O23" s="206">
        <v>18429889000</v>
      </c>
      <c r="P23" s="206">
        <v>9919892000</v>
      </c>
      <c r="Q23" s="206">
        <v>10124753000</v>
      </c>
      <c r="R23" s="206">
        <v>10047898000</v>
      </c>
      <c r="S23" s="406">
        <v>0</v>
      </c>
      <c r="T23" s="428">
        <f t="shared" si="3"/>
        <v>50</v>
      </c>
      <c r="U23" s="415">
        <f t="shared" si="4"/>
        <v>0.5</v>
      </c>
      <c r="V23" s="405">
        <v>0</v>
      </c>
      <c r="W23" s="428">
        <f t="shared" si="5"/>
        <v>50</v>
      </c>
      <c r="X23" s="415">
        <f t="shared" si="6"/>
        <v>0.5</v>
      </c>
      <c r="Y23" s="406">
        <v>0</v>
      </c>
      <c r="Z23" s="429">
        <v>0</v>
      </c>
      <c r="AA23" s="430">
        <f t="shared" si="7"/>
        <v>50</v>
      </c>
      <c r="AB23" s="415">
        <f t="shared" si="8"/>
        <v>0.5</v>
      </c>
      <c r="AC23" s="431">
        <v>0</v>
      </c>
      <c r="AD23" s="432">
        <f t="shared" si="9"/>
        <v>100</v>
      </c>
      <c r="AE23" s="433">
        <f t="shared" si="15"/>
        <v>4</v>
      </c>
      <c r="AF23" s="434" t="s">
        <v>2326</v>
      </c>
      <c r="AG23" s="434" t="s">
        <v>2326</v>
      </c>
      <c r="AH23" s="434" t="s">
        <v>2326</v>
      </c>
      <c r="AI23" s="362"/>
      <c r="AJ23" s="434" t="s">
        <v>2326</v>
      </c>
      <c r="AK23" s="434" t="s">
        <v>2326</v>
      </c>
      <c r="AL23" s="363"/>
      <c r="AM23" s="406">
        <v>0</v>
      </c>
      <c r="AN23" s="406">
        <v>0</v>
      </c>
      <c r="AO23" s="406">
        <v>0</v>
      </c>
      <c r="AP23" s="406">
        <v>0</v>
      </c>
      <c r="AQ23" s="406">
        <v>0</v>
      </c>
      <c r="AR23" s="406">
        <v>0</v>
      </c>
      <c r="AS23" s="406">
        <v>0</v>
      </c>
      <c r="AT23" s="406">
        <v>0</v>
      </c>
      <c r="AU23" s="407">
        <f t="shared" si="10"/>
        <v>0</v>
      </c>
      <c r="AV23" s="407">
        <f t="shared" si="11"/>
        <v>100</v>
      </c>
      <c r="AW23" s="408">
        <f t="shared" si="16"/>
        <v>5</v>
      </c>
      <c r="AX23" s="406">
        <v>0</v>
      </c>
      <c r="AY23" s="406">
        <v>0</v>
      </c>
      <c r="AZ23" s="406">
        <v>0</v>
      </c>
      <c r="BA23" s="406">
        <v>0</v>
      </c>
      <c r="BB23" s="430">
        <f t="shared" si="12"/>
        <v>0</v>
      </c>
      <c r="BC23" s="407">
        <f t="shared" si="13"/>
        <v>25</v>
      </c>
      <c r="BD23" s="408">
        <f t="shared" si="17"/>
        <v>0.75</v>
      </c>
      <c r="BE23" s="340">
        <f t="shared" si="14"/>
        <v>11.25</v>
      </c>
    </row>
    <row r="24" spans="1:57" x14ac:dyDescent="0.6">
      <c r="A24" s="214" t="s">
        <v>1494</v>
      </c>
      <c r="B24" s="13" t="s">
        <v>2001</v>
      </c>
      <c r="C24" s="219" t="s">
        <v>306</v>
      </c>
      <c r="D24" s="216" t="s">
        <v>191</v>
      </c>
      <c r="E24" s="217" t="s">
        <v>34</v>
      </c>
      <c r="F24" s="217" t="s">
        <v>670</v>
      </c>
      <c r="G24" s="218">
        <v>42670</v>
      </c>
      <c r="H24" s="217" t="s">
        <v>830</v>
      </c>
      <c r="I24" s="217" t="s">
        <v>692</v>
      </c>
      <c r="J24" s="217" t="s">
        <v>639</v>
      </c>
      <c r="K24" s="217" t="s">
        <v>425</v>
      </c>
      <c r="L24" s="220">
        <v>254329814</v>
      </c>
      <c r="M24" s="206">
        <v>113155622</v>
      </c>
      <c r="N24" s="206">
        <v>141174193</v>
      </c>
      <c r="O24" s="206">
        <v>184874804</v>
      </c>
      <c r="P24" s="206">
        <v>26315611</v>
      </c>
      <c r="Q24" s="206">
        <v>24849352</v>
      </c>
      <c r="R24" s="206">
        <v>19163516</v>
      </c>
      <c r="S24" s="406">
        <v>0</v>
      </c>
      <c r="T24" s="428">
        <f t="shared" si="3"/>
        <v>50</v>
      </c>
      <c r="U24" s="415">
        <f t="shared" si="4"/>
        <v>0.5</v>
      </c>
      <c r="V24" s="405">
        <v>0</v>
      </c>
      <c r="W24" s="428">
        <f t="shared" si="5"/>
        <v>50</v>
      </c>
      <c r="X24" s="415">
        <f t="shared" si="6"/>
        <v>0.5</v>
      </c>
      <c r="Y24" s="406">
        <v>0</v>
      </c>
      <c r="Z24" s="429">
        <v>0</v>
      </c>
      <c r="AA24" s="430">
        <f t="shared" si="7"/>
        <v>50</v>
      </c>
      <c r="AB24" s="415">
        <f t="shared" si="8"/>
        <v>0.5</v>
      </c>
      <c r="AC24" s="431">
        <v>0</v>
      </c>
      <c r="AD24" s="432">
        <f t="shared" si="9"/>
        <v>100</v>
      </c>
      <c r="AE24" s="433">
        <f t="shared" si="15"/>
        <v>4</v>
      </c>
      <c r="AF24" s="434" t="s">
        <v>2326</v>
      </c>
      <c r="AG24" s="434" t="s">
        <v>2326</v>
      </c>
      <c r="AH24" s="434" t="s">
        <v>2326</v>
      </c>
      <c r="AI24" s="362"/>
      <c r="AJ24" s="434" t="s">
        <v>2326</v>
      </c>
      <c r="AK24" s="434" t="s">
        <v>2326</v>
      </c>
      <c r="AL24" s="363"/>
      <c r="AM24" s="406">
        <v>0</v>
      </c>
      <c r="AN24" s="406">
        <v>0</v>
      </c>
      <c r="AO24" s="406">
        <v>0</v>
      </c>
      <c r="AP24" s="406">
        <v>0</v>
      </c>
      <c r="AQ24" s="406">
        <v>0</v>
      </c>
      <c r="AR24" s="406">
        <v>0</v>
      </c>
      <c r="AS24" s="406">
        <v>0</v>
      </c>
      <c r="AT24" s="406">
        <v>0</v>
      </c>
      <c r="AU24" s="407">
        <f t="shared" si="10"/>
        <v>0</v>
      </c>
      <c r="AV24" s="407">
        <f t="shared" si="11"/>
        <v>100</v>
      </c>
      <c r="AW24" s="408">
        <f t="shared" si="16"/>
        <v>5</v>
      </c>
      <c r="AX24" s="406">
        <v>0</v>
      </c>
      <c r="AY24" s="406">
        <v>0</v>
      </c>
      <c r="AZ24" s="406">
        <v>0</v>
      </c>
      <c r="BA24" s="406">
        <v>0</v>
      </c>
      <c r="BB24" s="430">
        <f t="shared" si="12"/>
        <v>0</v>
      </c>
      <c r="BC24" s="407">
        <f t="shared" si="13"/>
        <v>25</v>
      </c>
      <c r="BD24" s="408">
        <f t="shared" si="17"/>
        <v>0.75</v>
      </c>
      <c r="BE24" s="340">
        <f t="shared" si="14"/>
        <v>11.25</v>
      </c>
    </row>
    <row r="25" spans="1:57" x14ac:dyDescent="0.6">
      <c r="A25" s="214" t="s">
        <v>1495</v>
      </c>
      <c r="B25" s="13" t="s">
        <v>2002</v>
      </c>
      <c r="C25" s="219" t="s">
        <v>1496</v>
      </c>
      <c r="D25" s="14" t="s">
        <v>203</v>
      </c>
      <c r="E25" s="217" t="s">
        <v>195</v>
      </c>
      <c r="F25" s="217" t="s">
        <v>1497</v>
      </c>
      <c r="G25" s="218">
        <v>31446</v>
      </c>
      <c r="H25" s="217" t="s">
        <v>830</v>
      </c>
      <c r="I25" s="217" t="s">
        <v>1498</v>
      </c>
      <c r="J25" s="217" t="s">
        <v>1499</v>
      </c>
      <c r="K25" s="217" t="s">
        <v>91</v>
      </c>
      <c r="L25" s="220">
        <v>2935263009</v>
      </c>
      <c r="M25" s="206">
        <v>1282845349</v>
      </c>
      <c r="N25" s="206">
        <v>1652417660</v>
      </c>
      <c r="O25" s="206">
        <v>3676462979</v>
      </c>
      <c r="P25" s="206">
        <v>325853385</v>
      </c>
      <c r="Q25" s="206">
        <v>376778870</v>
      </c>
      <c r="R25" s="206">
        <v>526787734</v>
      </c>
      <c r="S25" s="406">
        <v>0</v>
      </c>
      <c r="T25" s="428">
        <f t="shared" si="3"/>
        <v>50</v>
      </c>
      <c r="U25" s="415">
        <f t="shared" si="4"/>
        <v>0.5</v>
      </c>
      <c r="V25" s="405">
        <v>0</v>
      </c>
      <c r="W25" s="428">
        <f t="shared" si="5"/>
        <v>50</v>
      </c>
      <c r="X25" s="415">
        <f t="shared" si="6"/>
        <v>0.5</v>
      </c>
      <c r="Y25" s="406">
        <v>0</v>
      </c>
      <c r="Z25" s="429">
        <v>0</v>
      </c>
      <c r="AA25" s="430">
        <f t="shared" si="7"/>
        <v>50</v>
      </c>
      <c r="AB25" s="415">
        <f t="shared" si="8"/>
        <v>0.5</v>
      </c>
      <c r="AC25" s="431">
        <v>0</v>
      </c>
      <c r="AD25" s="432">
        <f t="shared" si="9"/>
        <v>100</v>
      </c>
      <c r="AE25" s="433">
        <f t="shared" si="15"/>
        <v>4</v>
      </c>
      <c r="AF25" s="434" t="s">
        <v>2326</v>
      </c>
      <c r="AG25" s="434" t="s">
        <v>2326</v>
      </c>
      <c r="AH25" s="434" t="s">
        <v>2326</v>
      </c>
      <c r="AI25" s="362"/>
      <c r="AJ25" s="434" t="s">
        <v>2326</v>
      </c>
      <c r="AK25" s="434" t="s">
        <v>2326</v>
      </c>
      <c r="AL25" s="363"/>
      <c r="AM25" s="406">
        <v>0</v>
      </c>
      <c r="AN25" s="406">
        <v>0</v>
      </c>
      <c r="AO25" s="406">
        <v>0</v>
      </c>
      <c r="AP25" s="406">
        <v>0</v>
      </c>
      <c r="AQ25" s="406">
        <v>0</v>
      </c>
      <c r="AR25" s="406">
        <v>0</v>
      </c>
      <c r="AS25" s="406">
        <v>0</v>
      </c>
      <c r="AT25" s="406">
        <v>0</v>
      </c>
      <c r="AU25" s="407">
        <f t="shared" si="10"/>
        <v>0</v>
      </c>
      <c r="AV25" s="407">
        <f t="shared" si="11"/>
        <v>100</v>
      </c>
      <c r="AW25" s="408">
        <f t="shared" si="16"/>
        <v>5</v>
      </c>
      <c r="AX25" s="406">
        <v>0</v>
      </c>
      <c r="AY25" s="406">
        <v>0</v>
      </c>
      <c r="AZ25" s="406">
        <v>0</v>
      </c>
      <c r="BA25" s="406">
        <v>0</v>
      </c>
      <c r="BB25" s="430">
        <f t="shared" si="12"/>
        <v>0</v>
      </c>
      <c r="BC25" s="407">
        <f t="shared" si="13"/>
        <v>25</v>
      </c>
      <c r="BD25" s="408">
        <f t="shared" si="17"/>
        <v>0.75</v>
      </c>
      <c r="BE25" s="340">
        <f t="shared" si="14"/>
        <v>11.25</v>
      </c>
    </row>
    <row r="26" spans="1:57" x14ac:dyDescent="0.6">
      <c r="A26" s="214" t="s">
        <v>313</v>
      </c>
      <c r="B26" s="13" t="s">
        <v>2003</v>
      </c>
      <c r="C26" s="219" t="s">
        <v>400</v>
      </c>
      <c r="D26" s="216" t="s">
        <v>203</v>
      </c>
      <c r="E26" s="217" t="s">
        <v>180</v>
      </c>
      <c r="F26" s="217" t="s">
        <v>115</v>
      </c>
      <c r="G26" s="218">
        <v>34695</v>
      </c>
      <c r="H26" s="217" t="s">
        <v>830</v>
      </c>
      <c r="I26" s="217" t="s">
        <v>1027</v>
      </c>
      <c r="J26" s="217" t="s">
        <v>1233</v>
      </c>
      <c r="K26" s="217" t="s">
        <v>91</v>
      </c>
      <c r="L26" s="220">
        <v>700649653</v>
      </c>
      <c r="M26" s="206">
        <v>158687185</v>
      </c>
      <c r="N26" s="206">
        <v>541962468</v>
      </c>
      <c r="O26" s="206">
        <v>797448219</v>
      </c>
      <c r="P26" s="206">
        <v>35898934</v>
      </c>
      <c r="Q26" s="206">
        <v>35959716</v>
      </c>
      <c r="R26" s="206">
        <v>29458044</v>
      </c>
      <c r="S26" s="406">
        <v>0</v>
      </c>
      <c r="T26" s="428">
        <f t="shared" si="3"/>
        <v>50</v>
      </c>
      <c r="U26" s="415">
        <f t="shared" si="4"/>
        <v>0.5</v>
      </c>
      <c r="V26" s="405">
        <v>0</v>
      </c>
      <c r="W26" s="428">
        <f t="shared" si="5"/>
        <v>50</v>
      </c>
      <c r="X26" s="415">
        <f t="shared" si="6"/>
        <v>0.5</v>
      </c>
      <c r="Y26" s="406">
        <v>0</v>
      </c>
      <c r="Z26" s="429">
        <v>0</v>
      </c>
      <c r="AA26" s="430">
        <f t="shared" si="7"/>
        <v>50</v>
      </c>
      <c r="AB26" s="415">
        <f t="shared" si="8"/>
        <v>0.5</v>
      </c>
      <c r="AC26" s="431">
        <v>0</v>
      </c>
      <c r="AD26" s="432">
        <f t="shared" si="9"/>
        <v>100</v>
      </c>
      <c r="AE26" s="433">
        <f t="shared" si="15"/>
        <v>4</v>
      </c>
      <c r="AF26" s="434" t="s">
        <v>2326</v>
      </c>
      <c r="AG26" s="434" t="s">
        <v>2326</v>
      </c>
      <c r="AH26" s="434" t="s">
        <v>2326</v>
      </c>
      <c r="AI26" s="362"/>
      <c r="AJ26" s="434" t="s">
        <v>2326</v>
      </c>
      <c r="AK26" s="434" t="s">
        <v>2326</v>
      </c>
      <c r="AL26" s="363"/>
      <c r="AM26" s="406">
        <v>0</v>
      </c>
      <c r="AN26" s="406">
        <v>0</v>
      </c>
      <c r="AO26" s="406">
        <v>0</v>
      </c>
      <c r="AP26" s="406">
        <v>0</v>
      </c>
      <c r="AQ26" s="406">
        <v>0</v>
      </c>
      <c r="AR26" s="406">
        <v>0</v>
      </c>
      <c r="AS26" s="406">
        <v>0</v>
      </c>
      <c r="AT26" s="406">
        <v>0</v>
      </c>
      <c r="AU26" s="407">
        <f t="shared" si="10"/>
        <v>0</v>
      </c>
      <c r="AV26" s="407">
        <f t="shared" si="11"/>
        <v>100</v>
      </c>
      <c r="AW26" s="408">
        <f t="shared" si="16"/>
        <v>5</v>
      </c>
      <c r="AX26" s="406">
        <v>0</v>
      </c>
      <c r="AY26" s="406">
        <v>0</v>
      </c>
      <c r="AZ26" s="406">
        <v>0</v>
      </c>
      <c r="BA26" s="406">
        <v>0</v>
      </c>
      <c r="BB26" s="430">
        <f t="shared" si="12"/>
        <v>0</v>
      </c>
      <c r="BC26" s="407">
        <f t="shared" si="13"/>
        <v>25</v>
      </c>
      <c r="BD26" s="408">
        <f t="shared" si="17"/>
        <v>0.75</v>
      </c>
      <c r="BE26" s="340">
        <f t="shared" si="14"/>
        <v>11.25</v>
      </c>
    </row>
    <row r="27" spans="1:57" x14ac:dyDescent="0.6">
      <c r="A27" s="214" t="s">
        <v>1500</v>
      </c>
      <c r="B27" s="13" t="s">
        <v>2004</v>
      </c>
      <c r="C27" s="219" t="s">
        <v>74</v>
      </c>
      <c r="D27" s="216" t="s">
        <v>285</v>
      </c>
      <c r="E27" s="217" t="s">
        <v>534</v>
      </c>
      <c r="F27" s="217" t="s">
        <v>1501</v>
      </c>
      <c r="G27" s="218">
        <v>39381</v>
      </c>
      <c r="H27" s="217" t="s">
        <v>830</v>
      </c>
      <c r="I27" s="217" t="s">
        <v>1502</v>
      </c>
      <c r="J27" s="217" t="s">
        <v>1503</v>
      </c>
      <c r="K27" s="217" t="s">
        <v>91</v>
      </c>
      <c r="L27" s="220">
        <v>1612037798</v>
      </c>
      <c r="M27" s="206">
        <v>1209670390</v>
      </c>
      <c r="N27" s="206">
        <v>402367409</v>
      </c>
      <c r="O27" s="206">
        <v>403836166</v>
      </c>
      <c r="P27" s="206">
        <v>64029204</v>
      </c>
      <c r="Q27" s="206">
        <v>42678216</v>
      </c>
      <c r="R27" s="206">
        <v>42137473</v>
      </c>
      <c r="S27" s="406">
        <v>0</v>
      </c>
      <c r="T27" s="428">
        <f t="shared" si="3"/>
        <v>50</v>
      </c>
      <c r="U27" s="415">
        <f t="shared" si="4"/>
        <v>0.5</v>
      </c>
      <c r="V27" s="405">
        <v>0</v>
      </c>
      <c r="W27" s="428">
        <f t="shared" si="5"/>
        <v>50</v>
      </c>
      <c r="X27" s="415">
        <f t="shared" si="6"/>
        <v>0.5</v>
      </c>
      <c r="Y27" s="406">
        <v>0</v>
      </c>
      <c r="Z27" s="429">
        <v>0</v>
      </c>
      <c r="AA27" s="430">
        <f t="shared" si="7"/>
        <v>50</v>
      </c>
      <c r="AB27" s="415">
        <f t="shared" si="8"/>
        <v>0.5</v>
      </c>
      <c r="AC27" s="431">
        <v>0</v>
      </c>
      <c r="AD27" s="432">
        <f t="shared" si="9"/>
        <v>100</v>
      </c>
      <c r="AE27" s="433">
        <f t="shared" si="15"/>
        <v>4</v>
      </c>
      <c r="AF27" s="434" t="s">
        <v>2326</v>
      </c>
      <c r="AG27" s="434" t="s">
        <v>2326</v>
      </c>
      <c r="AH27" s="434" t="s">
        <v>2326</v>
      </c>
      <c r="AI27" s="362"/>
      <c r="AJ27" s="434" t="s">
        <v>2326</v>
      </c>
      <c r="AK27" s="434" t="s">
        <v>2326</v>
      </c>
      <c r="AL27" s="363"/>
      <c r="AM27" s="406">
        <v>0</v>
      </c>
      <c r="AN27" s="406">
        <v>0</v>
      </c>
      <c r="AO27" s="406">
        <v>0</v>
      </c>
      <c r="AP27" s="406">
        <v>0</v>
      </c>
      <c r="AQ27" s="406">
        <v>0</v>
      </c>
      <c r="AR27" s="406">
        <v>0</v>
      </c>
      <c r="AS27" s="406">
        <v>0</v>
      </c>
      <c r="AT27" s="406">
        <v>0</v>
      </c>
      <c r="AU27" s="407">
        <f t="shared" si="10"/>
        <v>0</v>
      </c>
      <c r="AV27" s="407">
        <f t="shared" si="11"/>
        <v>100</v>
      </c>
      <c r="AW27" s="408">
        <f t="shared" si="16"/>
        <v>5</v>
      </c>
      <c r="AX27" s="406">
        <v>0</v>
      </c>
      <c r="AY27" s="406">
        <v>0</v>
      </c>
      <c r="AZ27" s="406">
        <v>0</v>
      </c>
      <c r="BA27" s="406">
        <v>0</v>
      </c>
      <c r="BB27" s="430">
        <f t="shared" si="12"/>
        <v>0</v>
      </c>
      <c r="BC27" s="407">
        <f t="shared" si="13"/>
        <v>25</v>
      </c>
      <c r="BD27" s="408">
        <f t="shared" si="17"/>
        <v>0.75</v>
      </c>
      <c r="BE27" s="340">
        <f t="shared" si="14"/>
        <v>11.25</v>
      </c>
    </row>
    <row r="28" spans="1:57" x14ac:dyDescent="0.6">
      <c r="A28" s="214" t="s">
        <v>292</v>
      </c>
      <c r="B28" s="13" t="s">
        <v>2005</v>
      </c>
      <c r="C28" s="219" t="s">
        <v>398</v>
      </c>
      <c r="D28" s="216" t="s">
        <v>285</v>
      </c>
      <c r="E28" s="217" t="s">
        <v>283</v>
      </c>
      <c r="F28" s="217" t="s">
        <v>1008</v>
      </c>
      <c r="G28" s="218">
        <v>40437</v>
      </c>
      <c r="H28" s="217" t="s">
        <v>830</v>
      </c>
      <c r="I28" s="217" t="s">
        <v>686</v>
      </c>
      <c r="J28" s="217" t="s">
        <v>1025</v>
      </c>
      <c r="K28" s="217" t="s">
        <v>934</v>
      </c>
      <c r="L28" s="220">
        <v>302046228</v>
      </c>
      <c r="M28" s="206">
        <v>136864055</v>
      </c>
      <c r="N28" s="206">
        <v>165182173</v>
      </c>
      <c r="O28" s="206">
        <v>591580546</v>
      </c>
      <c r="P28" s="206">
        <v>16184660</v>
      </c>
      <c r="Q28" s="206">
        <v>17205979</v>
      </c>
      <c r="R28" s="206">
        <v>13158812</v>
      </c>
      <c r="S28" s="406">
        <v>0</v>
      </c>
      <c r="T28" s="428">
        <f t="shared" si="3"/>
        <v>50</v>
      </c>
      <c r="U28" s="415">
        <f t="shared" si="4"/>
        <v>0.5</v>
      </c>
      <c r="V28" s="405">
        <v>0</v>
      </c>
      <c r="W28" s="428">
        <f t="shared" si="5"/>
        <v>50</v>
      </c>
      <c r="X28" s="415">
        <f t="shared" si="6"/>
        <v>0.5</v>
      </c>
      <c r="Y28" s="406">
        <v>0</v>
      </c>
      <c r="Z28" s="429">
        <v>0</v>
      </c>
      <c r="AA28" s="430">
        <f t="shared" si="7"/>
        <v>50</v>
      </c>
      <c r="AB28" s="415">
        <f t="shared" si="8"/>
        <v>0.5</v>
      </c>
      <c r="AC28" s="431">
        <v>0</v>
      </c>
      <c r="AD28" s="432">
        <f t="shared" si="9"/>
        <v>100</v>
      </c>
      <c r="AE28" s="433">
        <f t="shared" si="15"/>
        <v>4</v>
      </c>
      <c r="AF28" s="434" t="s">
        <v>2326</v>
      </c>
      <c r="AG28" s="434" t="s">
        <v>2326</v>
      </c>
      <c r="AH28" s="434" t="s">
        <v>2326</v>
      </c>
      <c r="AI28" s="362"/>
      <c r="AJ28" s="434" t="s">
        <v>2326</v>
      </c>
      <c r="AK28" s="434" t="s">
        <v>2326</v>
      </c>
      <c r="AL28" s="363"/>
      <c r="AM28" s="406">
        <v>0</v>
      </c>
      <c r="AN28" s="406">
        <v>0</v>
      </c>
      <c r="AO28" s="406">
        <v>0</v>
      </c>
      <c r="AP28" s="406">
        <v>0</v>
      </c>
      <c r="AQ28" s="406">
        <v>0</v>
      </c>
      <c r="AR28" s="406">
        <v>0</v>
      </c>
      <c r="AS28" s="406">
        <v>0</v>
      </c>
      <c r="AT28" s="406">
        <v>0</v>
      </c>
      <c r="AU28" s="407">
        <f t="shared" si="10"/>
        <v>0</v>
      </c>
      <c r="AV28" s="407">
        <f t="shared" si="11"/>
        <v>100</v>
      </c>
      <c r="AW28" s="408">
        <f t="shared" si="16"/>
        <v>5</v>
      </c>
      <c r="AX28" s="406">
        <v>0</v>
      </c>
      <c r="AY28" s="406">
        <v>0</v>
      </c>
      <c r="AZ28" s="406">
        <v>0</v>
      </c>
      <c r="BA28" s="406">
        <v>0</v>
      </c>
      <c r="BB28" s="430">
        <f t="shared" si="12"/>
        <v>0</v>
      </c>
      <c r="BC28" s="407">
        <f t="shared" si="13"/>
        <v>25</v>
      </c>
      <c r="BD28" s="408">
        <f t="shared" si="17"/>
        <v>0.75</v>
      </c>
      <c r="BE28" s="340">
        <f t="shared" si="14"/>
        <v>11.25</v>
      </c>
    </row>
    <row r="29" spans="1:57" x14ac:dyDescent="0.6">
      <c r="A29" s="214" t="s">
        <v>1504</v>
      </c>
      <c r="B29" s="13" t="s">
        <v>2006</v>
      </c>
      <c r="C29" s="219" t="s">
        <v>1505</v>
      </c>
      <c r="D29" s="222" t="s">
        <v>285</v>
      </c>
      <c r="E29" s="217" t="s">
        <v>283</v>
      </c>
      <c r="F29" s="217" t="s">
        <v>1506</v>
      </c>
      <c r="G29" s="218">
        <v>40529</v>
      </c>
      <c r="H29" s="217" t="s">
        <v>830</v>
      </c>
      <c r="I29" s="217" t="s">
        <v>1507</v>
      </c>
      <c r="J29" s="217" t="s">
        <v>1508</v>
      </c>
      <c r="K29" s="217" t="s">
        <v>91</v>
      </c>
      <c r="L29" s="220">
        <v>396208069</v>
      </c>
      <c r="M29" s="206">
        <v>199203706</v>
      </c>
      <c r="N29" s="206">
        <v>197004363</v>
      </c>
      <c r="O29" s="206">
        <v>535783306</v>
      </c>
      <c r="P29" s="206">
        <v>19544619</v>
      </c>
      <c r="Q29" s="206">
        <v>19862607</v>
      </c>
      <c r="R29" s="206">
        <v>15916624</v>
      </c>
      <c r="S29" s="406">
        <v>0</v>
      </c>
      <c r="T29" s="428">
        <f t="shared" si="3"/>
        <v>50</v>
      </c>
      <c r="U29" s="415">
        <f t="shared" si="4"/>
        <v>0.5</v>
      </c>
      <c r="V29" s="405">
        <v>0</v>
      </c>
      <c r="W29" s="428">
        <f t="shared" si="5"/>
        <v>50</v>
      </c>
      <c r="X29" s="415">
        <f t="shared" si="6"/>
        <v>0.5</v>
      </c>
      <c r="Y29" s="406">
        <v>0</v>
      </c>
      <c r="Z29" s="429">
        <v>0</v>
      </c>
      <c r="AA29" s="430">
        <f t="shared" si="7"/>
        <v>50</v>
      </c>
      <c r="AB29" s="415">
        <f t="shared" si="8"/>
        <v>0.5</v>
      </c>
      <c r="AC29" s="431">
        <v>0</v>
      </c>
      <c r="AD29" s="432">
        <f t="shared" si="9"/>
        <v>100</v>
      </c>
      <c r="AE29" s="433">
        <f t="shared" si="15"/>
        <v>4</v>
      </c>
      <c r="AF29" s="434" t="s">
        <v>2326</v>
      </c>
      <c r="AG29" s="434" t="s">
        <v>2326</v>
      </c>
      <c r="AH29" s="434" t="s">
        <v>2326</v>
      </c>
      <c r="AI29" s="362"/>
      <c r="AJ29" s="434" t="s">
        <v>2326</v>
      </c>
      <c r="AK29" s="434" t="s">
        <v>2326</v>
      </c>
      <c r="AL29" s="363"/>
      <c r="AM29" s="406">
        <v>0</v>
      </c>
      <c r="AN29" s="406">
        <v>0</v>
      </c>
      <c r="AO29" s="406">
        <v>0</v>
      </c>
      <c r="AP29" s="406">
        <v>0</v>
      </c>
      <c r="AQ29" s="406">
        <v>0</v>
      </c>
      <c r="AR29" s="406">
        <v>0</v>
      </c>
      <c r="AS29" s="406">
        <v>0</v>
      </c>
      <c r="AT29" s="406">
        <v>0</v>
      </c>
      <c r="AU29" s="407">
        <f t="shared" si="10"/>
        <v>0</v>
      </c>
      <c r="AV29" s="407">
        <f t="shared" si="11"/>
        <v>100</v>
      </c>
      <c r="AW29" s="408">
        <f t="shared" si="16"/>
        <v>5</v>
      </c>
      <c r="AX29" s="406">
        <v>0</v>
      </c>
      <c r="AY29" s="406">
        <v>0</v>
      </c>
      <c r="AZ29" s="406">
        <v>0</v>
      </c>
      <c r="BA29" s="406">
        <v>0</v>
      </c>
      <c r="BB29" s="430">
        <f t="shared" si="12"/>
        <v>0</v>
      </c>
      <c r="BC29" s="407">
        <f t="shared" si="13"/>
        <v>25</v>
      </c>
      <c r="BD29" s="408">
        <f t="shared" si="17"/>
        <v>0.75</v>
      </c>
      <c r="BE29" s="340">
        <f t="shared" si="14"/>
        <v>11.25</v>
      </c>
    </row>
    <row r="30" spans="1:57" x14ac:dyDescent="0.6">
      <c r="A30" s="214" t="s">
        <v>709</v>
      </c>
      <c r="B30" s="13" t="s">
        <v>2007</v>
      </c>
      <c r="C30" s="219" t="s">
        <v>513</v>
      </c>
      <c r="D30" s="216" t="s">
        <v>191</v>
      </c>
      <c r="E30" s="217" t="s">
        <v>190</v>
      </c>
      <c r="F30" s="217" t="s">
        <v>618</v>
      </c>
      <c r="G30" s="218">
        <v>39052</v>
      </c>
      <c r="H30" s="217" t="s">
        <v>830</v>
      </c>
      <c r="I30" s="217" t="s">
        <v>970</v>
      </c>
      <c r="J30" s="217" t="s">
        <v>1047</v>
      </c>
      <c r="K30" s="217" t="s">
        <v>91</v>
      </c>
      <c r="L30" s="220">
        <v>1973686923</v>
      </c>
      <c r="M30" s="206">
        <v>455919080</v>
      </c>
      <c r="N30" s="206">
        <v>1517767844</v>
      </c>
      <c r="O30" s="206">
        <v>1271908968</v>
      </c>
      <c r="P30" s="206">
        <v>75779686</v>
      </c>
      <c r="Q30" s="206">
        <v>170929776</v>
      </c>
      <c r="R30" s="206">
        <v>155782948</v>
      </c>
      <c r="S30" s="406">
        <v>0</v>
      </c>
      <c r="T30" s="428">
        <f t="shared" si="3"/>
        <v>50</v>
      </c>
      <c r="U30" s="415">
        <f t="shared" si="4"/>
        <v>0.5</v>
      </c>
      <c r="V30" s="405">
        <v>0</v>
      </c>
      <c r="W30" s="428">
        <f t="shared" si="5"/>
        <v>50</v>
      </c>
      <c r="X30" s="415">
        <f t="shared" si="6"/>
        <v>0.5</v>
      </c>
      <c r="Y30" s="406">
        <v>1</v>
      </c>
      <c r="Z30" s="429">
        <v>0</v>
      </c>
      <c r="AA30" s="430">
        <f t="shared" si="7"/>
        <v>100</v>
      </c>
      <c r="AB30" s="415">
        <f t="shared" si="8"/>
        <v>1</v>
      </c>
      <c r="AC30" s="431">
        <v>9</v>
      </c>
      <c r="AD30" s="432">
        <f t="shared" si="9"/>
        <v>20</v>
      </c>
      <c r="AE30" s="433">
        <f t="shared" si="15"/>
        <v>0.8</v>
      </c>
      <c r="AF30" s="434" t="s">
        <v>2326</v>
      </c>
      <c r="AG30" s="434" t="s">
        <v>2326</v>
      </c>
      <c r="AH30" s="434" t="s">
        <v>2326</v>
      </c>
      <c r="AI30" s="362"/>
      <c r="AJ30" s="434" t="s">
        <v>2326</v>
      </c>
      <c r="AK30" s="434" t="s">
        <v>2326</v>
      </c>
      <c r="AL30" s="363"/>
      <c r="AM30" s="406">
        <v>0</v>
      </c>
      <c r="AN30" s="406">
        <v>0</v>
      </c>
      <c r="AO30" s="406">
        <v>0</v>
      </c>
      <c r="AP30" s="406">
        <v>0</v>
      </c>
      <c r="AQ30" s="406">
        <v>0</v>
      </c>
      <c r="AR30" s="406">
        <v>0</v>
      </c>
      <c r="AS30" s="406">
        <v>0</v>
      </c>
      <c r="AT30" s="406">
        <v>0</v>
      </c>
      <c r="AU30" s="407">
        <f t="shared" si="10"/>
        <v>0</v>
      </c>
      <c r="AV30" s="407">
        <f t="shared" si="11"/>
        <v>100</v>
      </c>
      <c r="AW30" s="408">
        <f t="shared" si="16"/>
        <v>5</v>
      </c>
      <c r="AX30" s="406">
        <v>0</v>
      </c>
      <c r="AY30" s="406">
        <v>0</v>
      </c>
      <c r="AZ30" s="406">
        <v>0</v>
      </c>
      <c r="BA30" s="406">
        <v>0</v>
      </c>
      <c r="BB30" s="430">
        <f t="shared" si="12"/>
        <v>0</v>
      </c>
      <c r="BC30" s="407">
        <f t="shared" si="13"/>
        <v>25</v>
      </c>
      <c r="BD30" s="408">
        <f t="shared" si="17"/>
        <v>0.75</v>
      </c>
      <c r="BE30" s="340">
        <f t="shared" si="14"/>
        <v>8.5500000000000007</v>
      </c>
    </row>
    <row r="31" spans="1:57" x14ac:dyDescent="0.6">
      <c r="A31" s="214" t="s">
        <v>1509</v>
      </c>
      <c r="B31" s="13" t="s">
        <v>2008</v>
      </c>
      <c r="C31" s="219" t="s">
        <v>1510</v>
      </c>
      <c r="D31" s="14" t="s">
        <v>191</v>
      </c>
      <c r="E31" s="217" t="s">
        <v>188</v>
      </c>
      <c r="F31" s="217" t="s">
        <v>1511</v>
      </c>
      <c r="G31" s="218">
        <v>37006</v>
      </c>
      <c r="H31" s="217" t="s">
        <v>830</v>
      </c>
      <c r="I31" s="217" t="s">
        <v>1512</v>
      </c>
      <c r="J31" s="217" t="s">
        <v>1513</v>
      </c>
      <c r="K31" s="217" t="s">
        <v>91</v>
      </c>
      <c r="L31" s="220">
        <v>4707323720</v>
      </c>
      <c r="M31" s="206">
        <v>579230693</v>
      </c>
      <c r="N31" s="206">
        <v>4128093027</v>
      </c>
      <c r="O31" s="206">
        <v>3783321412</v>
      </c>
      <c r="P31" s="206">
        <v>428276866</v>
      </c>
      <c r="Q31" s="206">
        <v>165920076</v>
      </c>
      <c r="R31" s="206">
        <v>76950845</v>
      </c>
      <c r="S31" s="406">
        <v>0</v>
      </c>
      <c r="T31" s="428">
        <f t="shared" si="3"/>
        <v>50</v>
      </c>
      <c r="U31" s="415">
        <f t="shared" si="4"/>
        <v>0.5</v>
      </c>
      <c r="V31" s="405">
        <v>0</v>
      </c>
      <c r="W31" s="428">
        <f t="shared" si="5"/>
        <v>50</v>
      </c>
      <c r="X31" s="415">
        <f t="shared" si="6"/>
        <v>0.5</v>
      </c>
      <c r="Y31" s="406">
        <v>0</v>
      </c>
      <c r="Z31" s="429">
        <v>0</v>
      </c>
      <c r="AA31" s="430">
        <f t="shared" si="7"/>
        <v>50</v>
      </c>
      <c r="AB31" s="415">
        <f t="shared" si="8"/>
        <v>0.5</v>
      </c>
      <c r="AC31" s="431">
        <v>3</v>
      </c>
      <c r="AD31" s="432">
        <f t="shared" si="9"/>
        <v>40</v>
      </c>
      <c r="AE31" s="433">
        <f t="shared" si="15"/>
        <v>1.6</v>
      </c>
      <c r="AF31" s="434" t="s">
        <v>2326</v>
      </c>
      <c r="AG31" s="434" t="s">
        <v>2326</v>
      </c>
      <c r="AH31" s="434" t="s">
        <v>2326</v>
      </c>
      <c r="AI31" s="362"/>
      <c r="AJ31" s="434" t="s">
        <v>2326</v>
      </c>
      <c r="AK31" s="434" t="s">
        <v>2326</v>
      </c>
      <c r="AL31" s="363"/>
      <c r="AM31" s="406">
        <v>0</v>
      </c>
      <c r="AN31" s="406">
        <v>0</v>
      </c>
      <c r="AO31" s="406">
        <v>0</v>
      </c>
      <c r="AP31" s="406">
        <v>0</v>
      </c>
      <c r="AQ31" s="406">
        <v>0</v>
      </c>
      <c r="AR31" s="406">
        <v>0</v>
      </c>
      <c r="AS31" s="406">
        <v>0</v>
      </c>
      <c r="AT31" s="406">
        <v>0</v>
      </c>
      <c r="AU31" s="407">
        <f t="shared" si="10"/>
        <v>0</v>
      </c>
      <c r="AV31" s="407">
        <f t="shared" si="11"/>
        <v>100</v>
      </c>
      <c r="AW31" s="408">
        <f t="shared" si="16"/>
        <v>5</v>
      </c>
      <c r="AX31" s="406">
        <v>0</v>
      </c>
      <c r="AY31" s="406">
        <v>0</v>
      </c>
      <c r="AZ31" s="406">
        <v>0</v>
      </c>
      <c r="BA31" s="406">
        <v>0</v>
      </c>
      <c r="BB31" s="430">
        <f t="shared" si="12"/>
        <v>0</v>
      </c>
      <c r="BC31" s="407">
        <f t="shared" si="13"/>
        <v>25</v>
      </c>
      <c r="BD31" s="408">
        <f t="shared" si="17"/>
        <v>0.75</v>
      </c>
      <c r="BE31" s="340">
        <f t="shared" si="14"/>
        <v>8.85</v>
      </c>
    </row>
    <row r="32" spans="1:57" x14ac:dyDescent="0.6">
      <c r="A32" s="214" t="s">
        <v>67</v>
      </c>
      <c r="B32" s="13" t="s">
        <v>2009</v>
      </c>
      <c r="C32" s="219" t="s">
        <v>471</v>
      </c>
      <c r="D32" s="216" t="s">
        <v>285</v>
      </c>
      <c r="E32" s="217" t="s">
        <v>56</v>
      </c>
      <c r="F32" s="217" t="s">
        <v>148</v>
      </c>
      <c r="G32" s="218">
        <v>39559</v>
      </c>
      <c r="H32" s="217" t="s">
        <v>830</v>
      </c>
      <c r="I32" s="217" t="s">
        <v>806</v>
      </c>
      <c r="J32" s="217" t="s">
        <v>1042</v>
      </c>
      <c r="K32" s="217" t="s">
        <v>91</v>
      </c>
      <c r="L32" s="220">
        <v>18621116000</v>
      </c>
      <c r="M32" s="206">
        <v>10475153000</v>
      </c>
      <c r="N32" s="206">
        <v>8145963000</v>
      </c>
      <c r="O32" s="206">
        <v>12781569000</v>
      </c>
      <c r="P32" s="206">
        <v>1049830000</v>
      </c>
      <c r="Q32" s="206">
        <v>859263000</v>
      </c>
      <c r="R32" s="206">
        <v>661692000</v>
      </c>
      <c r="S32" s="406">
        <v>0</v>
      </c>
      <c r="T32" s="428">
        <f t="shared" si="3"/>
        <v>50</v>
      </c>
      <c r="U32" s="415">
        <f t="shared" si="4"/>
        <v>0.5</v>
      </c>
      <c r="V32" s="405">
        <v>0</v>
      </c>
      <c r="W32" s="428">
        <f t="shared" si="5"/>
        <v>50</v>
      </c>
      <c r="X32" s="415">
        <f t="shared" si="6"/>
        <v>0.5</v>
      </c>
      <c r="Y32" s="406">
        <v>0</v>
      </c>
      <c r="Z32" s="429">
        <v>0</v>
      </c>
      <c r="AA32" s="430">
        <f t="shared" si="7"/>
        <v>50</v>
      </c>
      <c r="AB32" s="415">
        <f t="shared" si="8"/>
        <v>0.5</v>
      </c>
      <c r="AC32" s="431">
        <v>42</v>
      </c>
      <c r="AD32" s="432">
        <f t="shared" si="9"/>
        <v>20</v>
      </c>
      <c r="AE32" s="433">
        <f t="shared" si="15"/>
        <v>0.8</v>
      </c>
      <c r="AF32" s="434" t="s">
        <v>2326</v>
      </c>
      <c r="AG32" s="434" t="s">
        <v>2326</v>
      </c>
      <c r="AH32" s="434" t="s">
        <v>2326</v>
      </c>
      <c r="AI32" s="362"/>
      <c r="AJ32" s="434" t="s">
        <v>2326</v>
      </c>
      <c r="AK32" s="434" t="s">
        <v>2326</v>
      </c>
      <c r="AL32" s="363"/>
      <c r="AM32" s="406">
        <v>0</v>
      </c>
      <c r="AN32" s="406">
        <v>0</v>
      </c>
      <c r="AO32" s="406">
        <v>0</v>
      </c>
      <c r="AP32" s="406">
        <v>0</v>
      </c>
      <c r="AQ32" s="406">
        <v>1</v>
      </c>
      <c r="AR32" s="406">
        <v>0</v>
      </c>
      <c r="AS32" s="406">
        <v>0</v>
      </c>
      <c r="AT32" s="406">
        <v>0</v>
      </c>
      <c r="AU32" s="407">
        <f t="shared" si="10"/>
        <v>1</v>
      </c>
      <c r="AV32" s="407">
        <f t="shared" si="11"/>
        <v>80</v>
      </c>
      <c r="AW32" s="408">
        <f t="shared" si="16"/>
        <v>4</v>
      </c>
      <c r="AX32" s="406">
        <v>0</v>
      </c>
      <c r="AY32" s="406">
        <v>0</v>
      </c>
      <c r="AZ32" s="406">
        <v>0</v>
      </c>
      <c r="BA32" s="406">
        <v>0</v>
      </c>
      <c r="BB32" s="430">
        <f t="shared" si="12"/>
        <v>0</v>
      </c>
      <c r="BC32" s="407">
        <f t="shared" si="13"/>
        <v>25</v>
      </c>
      <c r="BD32" s="408">
        <f t="shared" si="17"/>
        <v>0.75</v>
      </c>
      <c r="BE32" s="340">
        <f t="shared" si="14"/>
        <v>7.05</v>
      </c>
    </row>
    <row r="33" spans="1:57" x14ac:dyDescent="0.6">
      <c r="A33" s="214" t="s">
        <v>850</v>
      </c>
      <c r="B33" s="13" t="s">
        <v>2010</v>
      </c>
      <c r="C33" s="219" t="s">
        <v>498</v>
      </c>
      <c r="D33" s="216" t="s">
        <v>202</v>
      </c>
      <c r="E33" s="217" t="s">
        <v>205</v>
      </c>
      <c r="F33" s="217" t="s">
        <v>183</v>
      </c>
      <c r="G33" s="218">
        <v>39653</v>
      </c>
      <c r="H33" s="217" t="s">
        <v>830</v>
      </c>
      <c r="I33" s="217" t="s">
        <v>737</v>
      </c>
      <c r="J33" s="217" t="s">
        <v>1229</v>
      </c>
      <c r="K33" s="217" t="s">
        <v>91</v>
      </c>
      <c r="L33" s="220">
        <v>8668015355</v>
      </c>
      <c r="M33" s="206">
        <v>5103993834</v>
      </c>
      <c r="N33" s="206">
        <v>3564021521</v>
      </c>
      <c r="O33" s="206">
        <v>19092897004</v>
      </c>
      <c r="P33" s="206">
        <v>1016233433</v>
      </c>
      <c r="Q33" s="206">
        <v>955882532</v>
      </c>
      <c r="R33" s="206">
        <v>720393793</v>
      </c>
      <c r="S33" s="406">
        <v>0</v>
      </c>
      <c r="T33" s="428">
        <f t="shared" si="3"/>
        <v>50</v>
      </c>
      <c r="U33" s="415">
        <f t="shared" si="4"/>
        <v>0.5</v>
      </c>
      <c r="V33" s="405">
        <v>0</v>
      </c>
      <c r="W33" s="428">
        <f t="shared" si="5"/>
        <v>50</v>
      </c>
      <c r="X33" s="415">
        <f t="shared" si="6"/>
        <v>0.5</v>
      </c>
      <c r="Y33" s="406">
        <v>0</v>
      </c>
      <c r="Z33" s="429">
        <v>0</v>
      </c>
      <c r="AA33" s="430">
        <f t="shared" si="7"/>
        <v>50</v>
      </c>
      <c r="AB33" s="415">
        <f t="shared" si="8"/>
        <v>0.5</v>
      </c>
      <c r="AC33" s="431">
        <v>0</v>
      </c>
      <c r="AD33" s="432">
        <f t="shared" si="9"/>
        <v>100</v>
      </c>
      <c r="AE33" s="433">
        <f t="shared" si="15"/>
        <v>4</v>
      </c>
      <c r="AF33" s="434" t="s">
        <v>2326</v>
      </c>
      <c r="AG33" s="434" t="s">
        <v>2326</v>
      </c>
      <c r="AH33" s="434" t="s">
        <v>2326</v>
      </c>
      <c r="AI33" s="362"/>
      <c r="AJ33" s="434" t="s">
        <v>2326</v>
      </c>
      <c r="AK33" s="434" t="s">
        <v>2326</v>
      </c>
      <c r="AL33" s="363"/>
      <c r="AM33" s="406">
        <v>0</v>
      </c>
      <c r="AN33" s="406">
        <v>0</v>
      </c>
      <c r="AO33" s="406">
        <v>0</v>
      </c>
      <c r="AP33" s="406">
        <v>0</v>
      </c>
      <c r="AQ33" s="406">
        <v>0</v>
      </c>
      <c r="AR33" s="406">
        <v>0</v>
      </c>
      <c r="AS33" s="406">
        <v>0</v>
      </c>
      <c r="AT33" s="406">
        <v>0</v>
      </c>
      <c r="AU33" s="407">
        <f t="shared" si="10"/>
        <v>0</v>
      </c>
      <c r="AV33" s="407">
        <f t="shared" si="11"/>
        <v>100</v>
      </c>
      <c r="AW33" s="408">
        <f t="shared" si="16"/>
        <v>5</v>
      </c>
      <c r="AX33" s="406">
        <v>0</v>
      </c>
      <c r="AY33" s="406">
        <v>0</v>
      </c>
      <c r="AZ33" s="406">
        <v>0</v>
      </c>
      <c r="BA33" s="406">
        <v>0</v>
      </c>
      <c r="BB33" s="430">
        <f t="shared" si="12"/>
        <v>0</v>
      </c>
      <c r="BC33" s="407">
        <f t="shared" si="13"/>
        <v>25</v>
      </c>
      <c r="BD33" s="408">
        <f t="shared" si="17"/>
        <v>0.75</v>
      </c>
      <c r="BE33" s="340">
        <f t="shared" si="14"/>
        <v>11.25</v>
      </c>
    </row>
    <row r="34" spans="1:57" x14ac:dyDescent="0.6">
      <c r="A34" s="214" t="s">
        <v>947</v>
      </c>
      <c r="B34" s="13" t="s">
        <v>2011</v>
      </c>
      <c r="C34" s="219" t="s">
        <v>895</v>
      </c>
      <c r="D34" s="216" t="s">
        <v>202</v>
      </c>
      <c r="E34" s="217" t="s">
        <v>606</v>
      </c>
      <c r="F34" s="217" t="s">
        <v>207</v>
      </c>
      <c r="G34" s="218">
        <v>42279</v>
      </c>
      <c r="H34" s="217" t="s">
        <v>830</v>
      </c>
      <c r="I34" s="217" t="s">
        <v>687</v>
      </c>
      <c r="J34" s="217" t="s">
        <v>1046</v>
      </c>
      <c r="K34" s="217" t="s">
        <v>690</v>
      </c>
      <c r="L34" s="220">
        <v>3007428048</v>
      </c>
      <c r="M34" s="206">
        <v>2072248980</v>
      </c>
      <c r="N34" s="206">
        <v>935179068</v>
      </c>
      <c r="O34" s="206">
        <v>2216162119</v>
      </c>
      <c r="P34" s="206">
        <v>178794933</v>
      </c>
      <c r="Q34" s="206">
        <v>157788508</v>
      </c>
      <c r="R34" s="206">
        <v>122939587</v>
      </c>
      <c r="S34" s="406">
        <v>0</v>
      </c>
      <c r="T34" s="428">
        <f t="shared" si="3"/>
        <v>50</v>
      </c>
      <c r="U34" s="415">
        <f t="shared" si="4"/>
        <v>0.5</v>
      </c>
      <c r="V34" s="405">
        <v>0</v>
      </c>
      <c r="W34" s="428">
        <f t="shared" si="5"/>
        <v>50</v>
      </c>
      <c r="X34" s="415">
        <f t="shared" si="6"/>
        <v>0.5</v>
      </c>
      <c r="Y34" s="406">
        <v>0</v>
      </c>
      <c r="Z34" s="429">
        <v>0</v>
      </c>
      <c r="AA34" s="430">
        <f t="shared" si="7"/>
        <v>50</v>
      </c>
      <c r="AB34" s="415">
        <f t="shared" si="8"/>
        <v>0.5</v>
      </c>
      <c r="AC34" s="431">
        <v>0</v>
      </c>
      <c r="AD34" s="432">
        <f t="shared" si="9"/>
        <v>100</v>
      </c>
      <c r="AE34" s="433">
        <f t="shared" si="15"/>
        <v>4</v>
      </c>
      <c r="AF34" s="434" t="s">
        <v>2326</v>
      </c>
      <c r="AG34" s="434" t="s">
        <v>2326</v>
      </c>
      <c r="AH34" s="434" t="s">
        <v>2326</v>
      </c>
      <c r="AI34" s="362"/>
      <c r="AJ34" s="434" t="s">
        <v>2326</v>
      </c>
      <c r="AK34" s="434" t="s">
        <v>2326</v>
      </c>
      <c r="AL34" s="363"/>
      <c r="AM34" s="406">
        <v>0</v>
      </c>
      <c r="AN34" s="406">
        <v>0</v>
      </c>
      <c r="AO34" s="406">
        <v>0</v>
      </c>
      <c r="AP34" s="406">
        <v>0</v>
      </c>
      <c r="AQ34" s="406">
        <v>0</v>
      </c>
      <c r="AR34" s="406">
        <v>0</v>
      </c>
      <c r="AS34" s="406">
        <v>0</v>
      </c>
      <c r="AT34" s="406">
        <v>0</v>
      </c>
      <c r="AU34" s="407">
        <f t="shared" si="10"/>
        <v>0</v>
      </c>
      <c r="AV34" s="407">
        <f t="shared" si="11"/>
        <v>100</v>
      </c>
      <c r="AW34" s="408">
        <f t="shared" si="16"/>
        <v>5</v>
      </c>
      <c r="AX34" s="406">
        <v>0</v>
      </c>
      <c r="AY34" s="406">
        <v>0</v>
      </c>
      <c r="AZ34" s="406">
        <v>0</v>
      </c>
      <c r="BA34" s="406">
        <v>0</v>
      </c>
      <c r="BB34" s="430">
        <f t="shared" si="12"/>
        <v>0</v>
      </c>
      <c r="BC34" s="407">
        <f t="shared" si="13"/>
        <v>25</v>
      </c>
      <c r="BD34" s="408">
        <f t="shared" si="17"/>
        <v>0.75</v>
      </c>
      <c r="BE34" s="340">
        <f t="shared" si="14"/>
        <v>11.25</v>
      </c>
    </row>
    <row r="35" spans="1:57" x14ac:dyDescent="0.6">
      <c r="A35" s="214" t="s">
        <v>1514</v>
      </c>
      <c r="B35" s="13" t="s">
        <v>2012</v>
      </c>
      <c r="C35" s="219" t="s">
        <v>436</v>
      </c>
      <c r="D35" s="216" t="s">
        <v>285</v>
      </c>
      <c r="E35" s="217" t="s">
        <v>444</v>
      </c>
      <c r="F35" s="217" t="s">
        <v>1158</v>
      </c>
      <c r="G35" s="218">
        <v>27789</v>
      </c>
      <c r="H35" s="217" t="s">
        <v>830</v>
      </c>
      <c r="I35" s="217" t="s">
        <v>720</v>
      </c>
      <c r="J35" s="217" t="s">
        <v>388</v>
      </c>
      <c r="K35" s="217" t="s">
        <v>91</v>
      </c>
      <c r="L35" s="220">
        <v>3782850589</v>
      </c>
      <c r="M35" s="206">
        <v>1473354089</v>
      </c>
      <c r="N35" s="206">
        <v>2309496500</v>
      </c>
      <c r="O35" s="206">
        <v>4108362284</v>
      </c>
      <c r="P35" s="206">
        <v>101552809</v>
      </c>
      <c r="Q35" s="206">
        <v>640421674</v>
      </c>
      <c r="R35" s="206">
        <v>528557910</v>
      </c>
      <c r="S35" s="406">
        <v>0</v>
      </c>
      <c r="T35" s="428">
        <f t="shared" si="3"/>
        <v>50</v>
      </c>
      <c r="U35" s="415">
        <f t="shared" si="4"/>
        <v>0.5</v>
      </c>
      <c r="V35" s="405">
        <v>0</v>
      </c>
      <c r="W35" s="428">
        <f t="shared" si="5"/>
        <v>50</v>
      </c>
      <c r="X35" s="415">
        <f t="shared" si="6"/>
        <v>0.5</v>
      </c>
      <c r="Y35" s="406">
        <v>0</v>
      </c>
      <c r="Z35" s="429">
        <v>0</v>
      </c>
      <c r="AA35" s="430">
        <f t="shared" si="7"/>
        <v>50</v>
      </c>
      <c r="AB35" s="415">
        <f t="shared" si="8"/>
        <v>0.5</v>
      </c>
      <c r="AC35" s="431">
        <v>0</v>
      </c>
      <c r="AD35" s="432">
        <f t="shared" si="9"/>
        <v>100</v>
      </c>
      <c r="AE35" s="433">
        <f t="shared" si="15"/>
        <v>4</v>
      </c>
      <c r="AF35" s="434" t="s">
        <v>2326</v>
      </c>
      <c r="AG35" s="434" t="s">
        <v>2326</v>
      </c>
      <c r="AH35" s="434" t="s">
        <v>2326</v>
      </c>
      <c r="AI35" s="362"/>
      <c r="AJ35" s="434" t="s">
        <v>2326</v>
      </c>
      <c r="AK35" s="434" t="s">
        <v>2326</v>
      </c>
      <c r="AL35" s="363"/>
      <c r="AM35" s="406">
        <v>0</v>
      </c>
      <c r="AN35" s="406">
        <v>0</v>
      </c>
      <c r="AO35" s="406">
        <v>0</v>
      </c>
      <c r="AP35" s="406">
        <v>0</v>
      </c>
      <c r="AQ35" s="406">
        <v>0</v>
      </c>
      <c r="AR35" s="406">
        <v>0</v>
      </c>
      <c r="AS35" s="406">
        <v>0</v>
      </c>
      <c r="AT35" s="406">
        <v>0</v>
      </c>
      <c r="AU35" s="407">
        <f t="shared" si="10"/>
        <v>0</v>
      </c>
      <c r="AV35" s="407">
        <f t="shared" si="11"/>
        <v>100</v>
      </c>
      <c r="AW35" s="408">
        <f t="shared" si="16"/>
        <v>5</v>
      </c>
      <c r="AX35" s="406">
        <v>0</v>
      </c>
      <c r="AY35" s="406">
        <v>0</v>
      </c>
      <c r="AZ35" s="406">
        <v>0</v>
      </c>
      <c r="BA35" s="406">
        <v>0</v>
      </c>
      <c r="BB35" s="430">
        <f t="shared" si="12"/>
        <v>0</v>
      </c>
      <c r="BC35" s="407">
        <f t="shared" si="13"/>
        <v>25</v>
      </c>
      <c r="BD35" s="408">
        <f t="shared" si="17"/>
        <v>0.75</v>
      </c>
      <c r="BE35" s="340">
        <f t="shared" si="14"/>
        <v>11.25</v>
      </c>
    </row>
    <row r="36" spans="1:57" x14ac:dyDescent="0.6">
      <c r="A36" s="214" t="s">
        <v>458</v>
      </c>
      <c r="B36" s="13" t="s">
        <v>2013</v>
      </c>
      <c r="C36" s="219" t="s">
        <v>410</v>
      </c>
      <c r="D36" s="221" t="s">
        <v>350</v>
      </c>
      <c r="E36" s="217" t="s">
        <v>179</v>
      </c>
      <c r="F36" s="217" t="s">
        <v>186</v>
      </c>
      <c r="G36" s="218">
        <v>27667</v>
      </c>
      <c r="H36" s="217" t="s">
        <v>830</v>
      </c>
      <c r="I36" s="217" t="s">
        <v>723</v>
      </c>
      <c r="J36" s="217" t="s">
        <v>1005</v>
      </c>
      <c r="K36" s="217" t="s">
        <v>91</v>
      </c>
      <c r="L36" s="220">
        <v>50402862000</v>
      </c>
      <c r="M36" s="206">
        <v>43550273000</v>
      </c>
      <c r="N36" s="206">
        <v>6852589000</v>
      </c>
      <c r="O36" s="206">
        <v>10731117000</v>
      </c>
      <c r="P36" s="206">
        <v>550151000</v>
      </c>
      <c r="Q36" s="206">
        <v>480268000</v>
      </c>
      <c r="R36" s="206">
        <v>338500000</v>
      </c>
      <c r="S36" s="406">
        <v>0</v>
      </c>
      <c r="T36" s="428">
        <f t="shared" si="3"/>
        <v>50</v>
      </c>
      <c r="U36" s="415">
        <f t="shared" si="4"/>
        <v>0.5</v>
      </c>
      <c r="V36" s="405">
        <v>0</v>
      </c>
      <c r="W36" s="428">
        <f t="shared" si="5"/>
        <v>50</v>
      </c>
      <c r="X36" s="415">
        <f t="shared" si="6"/>
        <v>0.5</v>
      </c>
      <c r="Y36" s="406">
        <v>0</v>
      </c>
      <c r="Z36" s="429">
        <v>0</v>
      </c>
      <c r="AA36" s="430">
        <f t="shared" si="7"/>
        <v>50</v>
      </c>
      <c r="AB36" s="415">
        <f t="shared" si="8"/>
        <v>0.5</v>
      </c>
      <c r="AC36" s="75">
        <v>0</v>
      </c>
      <c r="AD36" s="432">
        <f t="shared" si="9"/>
        <v>100</v>
      </c>
      <c r="AE36" s="435">
        <f>AD36*0.03</f>
        <v>3</v>
      </c>
      <c r="AF36" s="436">
        <v>1</v>
      </c>
      <c r="AG36" s="437">
        <f>(_xlfn.PERCENTRANK.INC(AF:AF,AF36, 2))*100</f>
        <v>46</v>
      </c>
      <c r="AH36" s="437">
        <f>IF(AF36=0, 100, IF(AG36&lt;10, 80, IF(AG36&lt;50, 60, IF(AG36&lt;90, 40, 20))))</f>
        <v>60</v>
      </c>
      <c r="AI36" s="263">
        <f>AH36*0.03</f>
        <v>1.7999999999999998</v>
      </c>
      <c r="AJ36" s="264" t="s">
        <v>3540</v>
      </c>
      <c r="AK36" s="265">
        <f>IF(AJ36="우수", 100, IF(AJ36="양호", 80, IF(AJ36="보통", 60, IF(AJ36= "평가미대상", 60, IF(AJ36="미흡", 40, IF(AJ36="취약", 20))))))</f>
        <v>60</v>
      </c>
      <c r="AL36" s="141">
        <f>AK36*0.03</f>
        <v>1.7999999999999998</v>
      </c>
      <c r="AM36" s="406">
        <v>0</v>
      </c>
      <c r="AN36" s="406">
        <v>0</v>
      </c>
      <c r="AO36" s="406">
        <v>0</v>
      </c>
      <c r="AP36" s="406">
        <v>0</v>
      </c>
      <c r="AQ36" s="406">
        <v>0</v>
      </c>
      <c r="AR36" s="406">
        <v>0</v>
      </c>
      <c r="AS36" s="406">
        <v>0</v>
      </c>
      <c r="AT36" s="406">
        <v>0</v>
      </c>
      <c r="AU36" s="407">
        <f t="shared" si="10"/>
        <v>0</v>
      </c>
      <c r="AV36" s="407">
        <f t="shared" si="11"/>
        <v>100</v>
      </c>
      <c r="AW36" s="438">
        <f>AV36*0.02</f>
        <v>2</v>
      </c>
      <c r="AX36" s="406">
        <v>0</v>
      </c>
      <c r="AY36" s="406">
        <v>0</v>
      </c>
      <c r="AZ36" s="406">
        <v>0</v>
      </c>
      <c r="BA36" s="406">
        <v>0</v>
      </c>
      <c r="BB36" s="430">
        <f t="shared" si="12"/>
        <v>0</v>
      </c>
      <c r="BC36" s="407">
        <f t="shared" si="13"/>
        <v>25</v>
      </c>
      <c r="BD36" s="418">
        <f>BC36*0.01</f>
        <v>0.25</v>
      </c>
      <c r="BE36" s="340">
        <f t="shared" si="14"/>
        <v>10.35</v>
      </c>
    </row>
    <row r="37" spans="1:57" x14ac:dyDescent="0.6">
      <c r="A37" s="214" t="s">
        <v>307</v>
      </c>
      <c r="B37" s="13" t="s">
        <v>2014</v>
      </c>
      <c r="C37" s="219" t="s">
        <v>68</v>
      </c>
      <c r="D37" s="216" t="s">
        <v>203</v>
      </c>
      <c r="E37" s="217" t="s">
        <v>195</v>
      </c>
      <c r="F37" s="217" t="s">
        <v>967</v>
      </c>
      <c r="G37" s="218">
        <v>27573</v>
      </c>
      <c r="H37" s="217" t="s">
        <v>830</v>
      </c>
      <c r="I37" s="217" t="s">
        <v>1515</v>
      </c>
      <c r="J37" s="217" t="s">
        <v>1085</v>
      </c>
      <c r="K37" s="217" t="s">
        <v>91</v>
      </c>
      <c r="L37" s="220">
        <v>397444643</v>
      </c>
      <c r="M37" s="206">
        <v>209249323</v>
      </c>
      <c r="N37" s="206">
        <v>188195320</v>
      </c>
      <c r="O37" s="206">
        <v>355390202</v>
      </c>
      <c r="P37" s="206">
        <v>67734933</v>
      </c>
      <c r="Q37" s="206">
        <v>63871175</v>
      </c>
      <c r="R37" s="206">
        <v>48789612</v>
      </c>
      <c r="S37" s="406">
        <v>0</v>
      </c>
      <c r="T37" s="428">
        <f t="shared" si="3"/>
        <v>50</v>
      </c>
      <c r="U37" s="415">
        <f t="shared" si="4"/>
        <v>0.5</v>
      </c>
      <c r="V37" s="405">
        <v>0</v>
      </c>
      <c r="W37" s="428">
        <f t="shared" si="5"/>
        <v>50</v>
      </c>
      <c r="X37" s="415">
        <f t="shared" si="6"/>
        <v>0.5</v>
      </c>
      <c r="Y37" s="406">
        <v>0</v>
      </c>
      <c r="Z37" s="429">
        <v>0</v>
      </c>
      <c r="AA37" s="430">
        <f t="shared" si="7"/>
        <v>50</v>
      </c>
      <c r="AB37" s="415">
        <f t="shared" si="8"/>
        <v>0.5</v>
      </c>
      <c r="AC37" s="431">
        <v>0</v>
      </c>
      <c r="AD37" s="432">
        <f t="shared" si="9"/>
        <v>100</v>
      </c>
      <c r="AE37" s="433">
        <f t="shared" ref="AE37:AE45" si="18">AD37*0.04</f>
        <v>4</v>
      </c>
      <c r="AF37" s="434" t="s">
        <v>2326</v>
      </c>
      <c r="AG37" s="434" t="s">
        <v>2326</v>
      </c>
      <c r="AH37" s="434" t="s">
        <v>2326</v>
      </c>
      <c r="AI37" s="362"/>
      <c r="AJ37" s="434" t="s">
        <v>2326</v>
      </c>
      <c r="AK37" s="434" t="s">
        <v>2326</v>
      </c>
      <c r="AL37" s="363"/>
      <c r="AM37" s="406">
        <v>0</v>
      </c>
      <c r="AN37" s="406">
        <v>0</v>
      </c>
      <c r="AO37" s="406">
        <v>0</v>
      </c>
      <c r="AP37" s="406">
        <v>0</v>
      </c>
      <c r="AQ37" s="406">
        <v>0</v>
      </c>
      <c r="AR37" s="406">
        <v>0</v>
      </c>
      <c r="AS37" s="406">
        <v>0</v>
      </c>
      <c r="AT37" s="406">
        <v>0</v>
      </c>
      <c r="AU37" s="407">
        <f t="shared" si="10"/>
        <v>0</v>
      </c>
      <c r="AV37" s="407">
        <f t="shared" si="11"/>
        <v>100</v>
      </c>
      <c r="AW37" s="408">
        <f t="shared" ref="AW37:AW45" si="19">AV37*0.05</f>
        <v>5</v>
      </c>
      <c r="AX37" s="406">
        <v>0</v>
      </c>
      <c r="AY37" s="406">
        <v>0</v>
      </c>
      <c r="AZ37" s="406">
        <v>0</v>
      </c>
      <c r="BA37" s="406">
        <v>0</v>
      </c>
      <c r="BB37" s="430">
        <f t="shared" si="12"/>
        <v>0</v>
      </c>
      <c r="BC37" s="407">
        <f t="shared" si="13"/>
        <v>25</v>
      </c>
      <c r="BD37" s="408">
        <f t="shared" ref="BD37:BD45" si="20">BC37*0.03</f>
        <v>0.75</v>
      </c>
      <c r="BE37" s="340">
        <f t="shared" si="14"/>
        <v>11.25</v>
      </c>
    </row>
    <row r="38" spans="1:57" x14ac:dyDescent="0.6">
      <c r="A38" s="214" t="s">
        <v>1516</v>
      </c>
      <c r="B38" s="13" t="s">
        <v>2015</v>
      </c>
      <c r="C38" s="219" t="s">
        <v>1517</v>
      </c>
      <c r="D38" s="14" t="s">
        <v>203</v>
      </c>
      <c r="E38" s="217" t="s">
        <v>246</v>
      </c>
      <c r="F38" s="217" t="s">
        <v>1518</v>
      </c>
      <c r="G38" s="218">
        <v>44417</v>
      </c>
      <c r="H38" s="217" t="s">
        <v>830</v>
      </c>
      <c r="I38" s="217" t="s">
        <v>1519</v>
      </c>
      <c r="J38" s="217" t="s">
        <v>1520</v>
      </c>
      <c r="K38" s="217" t="s">
        <v>317</v>
      </c>
      <c r="L38" s="220">
        <v>498996616</v>
      </c>
      <c r="M38" s="206">
        <v>157543399</v>
      </c>
      <c r="N38" s="206">
        <v>341453217</v>
      </c>
      <c r="O38" s="206">
        <v>276440430</v>
      </c>
      <c r="P38" s="206">
        <v>52135090</v>
      </c>
      <c r="Q38" s="206">
        <v>53978399</v>
      </c>
      <c r="R38" s="206">
        <v>45710486</v>
      </c>
      <c r="S38" s="406">
        <v>0</v>
      </c>
      <c r="T38" s="428">
        <f t="shared" si="3"/>
        <v>50</v>
      </c>
      <c r="U38" s="415">
        <f t="shared" si="4"/>
        <v>0.5</v>
      </c>
      <c r="V38" s="405">
        <v>0</v>
      </c>
      <c r="W38" s="428">
        <f t="shared" si="5"/>
        <v>50</v>
      </c>
      <c r="X38" s="415">
        <f t="shared" si="6"/>
        <v>0.5</v>
      </c>
      <c r="Y38" s="406">
        <v>0</v>
      </c>
      <c r="Z38" s="429">
        <v>0</v>
      </c>
      <c r="AA38" s="430">
        <f t="shared" si="7"/>
        <v>50</v>
      </c>
      <c r="AB38" s="415">
        <f t="shared" si="8"/>
        <v>0.5</v>
      </c>
      <c r="AC38" s="431">
        <v>0</v>
      </c>
      <c r="AD38" s="432">
        <f t="shared" si="9"/>
        <v>100</v>
      </c>
      <c r="AE38" s="433">
        <f t="shared" si="18"/>
        <v>4</v>
      </c>
      <c r="AF38" s="434" t="s">
        <v>2326</v>
      </c>
      <c r="AG38" s="434" t="s">
        <v>2326</v>
      </c>
      <c r="AH38" s="434" t="s">
        <v>2326</v>
      </c>
      <c r="AI38" s="362"/>
      <c r="AJ38" s="434" t="s">
        <v>2326</v>
      </c>
      <c r="AK38" s="434" t="s">
        <v>2326</v>
      </c>
      <c r="AL38" s="363"/>
      <c r="AM38" s="406">
        <v>0</v>
      </c>
      <c r="AN38" s="406">
        <v>0</v>
      </c>
      <c r="AO38" s="406">
        <v>0</v>
      </c>
      <c r="AP38" s="406">
        <v>0</v>
      </c>
      <c r="AQ38" s="406">
        <v>0</v>
      </c>
      <c r="AR38" s="406">
        <v>0</v>
      </c>
      <c r="AS38" s="406">
        <v>0</v>
      </c>
      <c r="AT38" s="406">
        <v>0</v>
      </c>
      <c r="AU38" s="407">
        <f t="shared" si="10"/>
        <v>0</v>
      </c>
      <c r="AV38" s="407">
        <f t="shared" si="11"/>
        <v>100</v>
      </c>
      <c r="AW38" s="408">
        <f t="shared" si="19"/>
        <v>5</v>
      </c>
      <c r="AX38" s="406">
        <v>0</v>
      </c>
      <c r="AY38" s="406">
        <v>0</v>
      </c>
      <c r="AZ38" s="406">
        <v>0</v>
      </c>
      <c r="BA38" s="406">
        <v>0</v>
      </c>
      <c r="BB38" s="430">
        <f t="shared" si="12"/>
        <v>0</v>
      </c>
      <c r="BC38" s="407">
        <f t="shared" si="13"/>
        <v>25</v>
      </c>
      <c r="BD38" s="408">
        <f t="shared" si="20"/>
        <v>0.75</v>
      </c>
      <c r="BE38" s="340">
        <f t="shared" si="14"/>
        <v>11.25</v>
      </c>
    </row>
    <row r="39" spans="1:57" x14ac:dyDescent="0.6">
      <c r="A39" s="214" t="s">
        <v>1521</v>
      </c>
      <c r="B39" s="13" t="s">
        <v>2016</v>
      </c>
      <c r="C39" s="219" t="s">
        <v>1522</v>
      </c>
      <c r="D39" s="14" t="s">
        <v>202</v>
      </c>
      <c r="E39" s="217" t="s">
        <v>1523</v>
      </c>
      <c r="F39" s="217" t="s">
        <v>1524</v>
      </c>
      <c r="G39" s="218">
        <v>33975</v>
      </c>
      <c r="H39" s="217" t="s">
        <v>830</v>
      </c>
      <c r="I39" s="217" t="s">
        <v>1525</v>
      </c>
      <c r="J39" s="217" t="s">
        <v>1526</v>
      </c>
      <c r="K39" s="217" t="s">
        <v>91</v>
      </c>
      <c r="L39" s="220">
        <v>1689083868</v>
      </c>
      <c r="M39" s="206">
        <v>1058363402</v>
      </c>
      <c r="N39" s="206">
        <v>630720466</v>
      </c>
      <c r="O39" s="206">
        <v>903462137</v>
      </c>
      <c r="P39" s="206">
        <v>135794969</v>
      </c>
      <c r="Q39" s="206">
        <v>110455021</v>
      </c>
      <c r="R39" s="206">
        <v>82620907</v>
      </c>
      <c r="S39" s="406">
        <v>0</v>
      </c>
      <c r="T39" s="428">
        <f t="shared" si="3"/>
        <v>50</v>
      </c>
      <c r="U39" s="415">
        <f t="shared" si="4"/>
        <v>0.5</v>
      </c>
      <c r="V39" s="405">
        <v>0</v>
      </c>
      <c r="W39" s="428">
        <f t="shared" si="5"/>
        <v>50</v>
      </c>
      <c r="X39" s="415">
        <f t="shared" si="6"/>
        <v>0.5</v>
      </c>
      <c r="Y39" s="406">
        <v>0</v>
      </c>
      <c r="Z39" s="429">
        <v>0</v>
      </c>
      <c r="AA39" s="430">
        <f t="shared" si="7"/>
        <v>50</v>
      </c>
      <c r="AB39" s="415">
        <f t="shared" si="8"/>
        <v>0.5</v>
      </c>
      <c r="AC39" s="431">
        <v>0</v>
      </c>
      <c r="AD39" s="432">
        <f t="shared" si="9"/>
        <v>100</v>
      </c>
      <c r="AE39" s="433">
        <f t="shared" si="18"/>
        <v>4</v>
      </c>
      <c r="AF39" s="434" t="s">
        <v>2326</v>
      </c>
      <c r="AG39" s="434" t="s">
        <v>2326</v>
      </c>
      <c r="AH39" s="434" t="s">
        <v>2326</v>
      </c>
      <c r="AI39" s="362"/>
      <c r="AJ39" s="434" t="s">
        <v>2326</v>
      </c>
      <c r="AK39" s="434" t="s">
        <v>2326</v>
      </c>
      <c r="AL39" s="363"/>
      <c r="AM39" s="406">
        <v>0</v>
      </c>
      <c r="AN39" s="406">
        <v>0</v>
      </c>
      <c r="AO39" s="406">
        <v>0</v>
      </c>
      <c r="AP39" s="406">
        <v>0</v>
      </c>
      <c r="AQ39" s="406">
        <v>0</v>
      </c>
      <c r="AR39" s="406">
        <v>0</v>
      </c>
      <c r="AS39" s="406">
        <v>0</v>
      </c>
      <c r="AT39" s="406">
        <v>0</v>
      </c>
      <c r="AU39" s="407">
        <f t="shared" si="10"/>
        <v>0</v>
      </c>
      <c r="AV39" s="407">
        <f t="shared" si="11"/>
        <v>100</v>
      </c>
      <c r="AW39" s="408">
        <f t="shared" si="19"/>
        <v>5</v>
      </c>
      <c r="AX39" s="406">
        <v>0</v>
      </c>
      <c r="AY39" s="406">
        <v>0</v>
      </c>
      <c r="AZ39" s="406">
        <v>0</v>
      </c>
      <c r="BA39" s="406">
        <v>0</v>
      </c>
      <c r="BB39" s="430">
        <f t="shared" si="12"/>
        <v>0</v>
      </c>
      <c r="BC39" s="407">
        <f t="shared" si="13"/>
        <v>25</v>
      </c>
      <c r="BD39" s="408">
        <f t="shared" si="20"/>
        <v>0.75</v>
      </c>
      <c r="BE39" s="340">
        <f t="shared" si="14"/>
        <v>11.25</v>
      </c>
    </row>
    <row r="40" spans="1:57" x14ac:dyDescent="0.6">
      <c r="A40" s="214" t="s">
        <v>1527</v>
      </c>
      <c r="B40" s="13" t="s">
        <v>2017</v>
      </c>
      <c r="C40" s="219" t="s">
        <v>1528</v>
      </c>
      <c r="D40" s="14" t="s">
        <v>203</v>
      </c>
      <c r="E40" s="217" t="s">
        <v>195</v>
      </c>
      <c r="F40" s="217" t="s">
        <v>1529</v>
      </c>
      <c r="G40" s="218">
        <v>32470</v>
      </c>
      <c r="H40" s="217" t="s">
        <v>830</v>
      </c>
      <c r="I40" s="217" t="s">
        <v>1530</v>
      </c>
      <c r="J40" s="217" t="s">
        <v>1531</v>
      </c>
      <c r="K40" s="217" t="s">
        <v>690</v>
      </c>
      <c r="L40" s="220">
        <v>88291972</v>
      </c>
      <c r="M40" s="206">
        <v>36836002</v>
      </c>
      <c r="N40" s="206">
        <v>51455970</v>
      </c>
      <c r="O40" s="206">
        <v>125263993</v>
      </c>
      <c r="P40" s="206">
        <v>14179053</v>
      </c>
      <c r="Q40" s="206">
        <v>13787797</v>
      </c>
      <c r="R40" s="206">
        <v>10819014</v>
      </c>
      <c r="S40" s="406">
        <v>0</v>
      </c>
      <c r="T40" s="428">
        <f t="shared" si="3"/>
        <v>50</v>
      </c>
      <c r="U40" s="415">
        <f t="shared" si="4"/>
        <v>0.5</v>
      </c>
      <c r="V40" s="405">
        <v>0</v>
      </c>
      <c r="W40" s="428">
        <f t="shared" si="5"/>
        <v>50</v>
      </c>
      <c r="X40" s="415">
        <f t="shared" si="6"/>
        <v>0.5</v>
      </c>
      <c r="Y40" s="406">
        <v>0</v>
      </c>
      <c r="Z40" s="429">
        <v>0</v>
      </c>
      <c r="AA40" s="430">
        <f t="shared" si="7"/>
        <v>50</v>
      </c>
      <c r="AB40" s="415">
        <f t="shared" si="8"/>
        <v>0.5</v>
      </c>
      <c r="AC40" s="431">
        <v>0</v>
      </c>
      <c r="AD40" s="432">
        <f t="shared" si="9"/>
        <v>100</v>
      </c>
      <c r="AE40" s="433">
        <f t="shared" si="18"/>
        <v>4</v>
      </c>
      <c r="AF40" s="434" t="s">
        <v>2326</v>
      </c>
      <c r="AG40" s="434" t="s">
        <v>2326</v>
      </c>
      <c r="AH40" s="434" t="s">
        <v>2326</v>
      </c>
      <c r="AI40" s="362"/>
      <c r="AJ40" s="434" t="s">
        <v>2326</v>
      </c>
      <c r="AK40" s="434" t="s">
        <v>2326</v>
      </c>
      <c r="AL40" s="363"/>
      <c r="AM40" s="406">
        <v>0</v>
      </c>
      <c r="AN40" s="406">
        <v>0</v>
      </c>
      <c r="AO40" s="406">
        <v>0</v>
      </c>
      <c r="AP40" s="406">
        <v>0</v>
      </c>
      <c r="AQ40" s="406">
        <v>0</v>
      </c>
      <c r="AR40" s="406">
        <v>0</v>
      </c>
      <c r="AS40" s="406">
        <v>0</v>
      </c>
      <c r="AT40" s="406">
        <v>0</v>
      </c>
      <c r="AU40" s="407">
        <f t="shared" si="10"/>
        <v>0</v>
      </c>
      <c r="AV40" s="407">
        <f t="shared" si="11"/>
        <v>100</v>
      </c>
      <c r="AW40" s="408">
        <f t="shared" si="19"/>
        <v>5</v>
      </c>
      <c r="AX40" s="406">
        <v>0</v>
      </c>
      <c r="AY40" s="406">
        <v>0</v>
      </c>
      <c r="AZ40" s="406">
        <v>0</v>
      </c>
      <c r="BA40" s="406">
        <v>0</v>
      </c>
      <c r="BB40" s="430">
        <f t="shared" si="12"/>
        <v>0</v>
      </c>
      <c r="BC40" s="407">
        <f t="shared" si="13"/>
        <v>25</v>
      </c>
      <c r="BD40" s="408">
        <f t="shared" si="20"/>
        <v>0.75</v>
      </c>
      <c r="BE40" s="340">
        <f t="shared" si="14"/>
        <v>11.25</v>
      </c>
    </row>
    <row r="41" spans="1:57" x14ac:dyDescent="0.6">
      <c r="A41" s="214" t="s">
        <v>550</v>
      </c>
      <c r="B41" s="13" t="s">
        <v>2018</v>
      </c>
      <c r="C41" s="219" t="s">
        <v>892</v>
      </c>
      <c r="D41" s="216" t="s">
        <v>203</v>
      </c>
      <c r="E41" s="217" t="s">
        <v>195</v>
      </c>
      <c r="F41" s="217" t="s">
        <v>174</v>
      </c>
      <c r="G41" s="218">
        <v>32718</v>
      </c>
      <c r="H41" s="217" t="s">
        <v>830</v>
      </c>
      <c r="I41" s="217" t="s">
        <v>780</v>
      </c>
      <c r="J41" s="217" t="s">
        <v>1024</v>
      </c>
      <c r="K41" s="217" t="s">
        <v>346</v>
      </c>
      <c r="L41" s="220">
        <v>784010055</v>
      </c>
      <c r="M41" s="206">
        <v>266944685</v>
      </c>
      <c r="N41" s="206">
        <v>517065370</v>
      </c>
      <c r="O41" s="206">
        <v>504474738</v>
      </c>
      <c r="P41" s="206">
        <v>87061651</v>
      </c>
      <c r="Q41" s="206">
        <v>64111344</v>
      </c>
      <c r="R41" s="206">
        <v>47519888</v>
      </c>
      <c r="S41" s="406">
        <v>0</v>
      </c>
      <c r="T41" s="428">
        <f t="shared" si="3"/>
        <v>50</v>
      </c>
      <c r="U41" s="415">
        <f t="shared" si="4"/>
        <v>0.5</v>
      </c>
      <c r="V41" s="405">
        <v>0</v>
      </c>
      <c r="W41" s="428">
        <f t="shared" si="5"/>
        <v>50</v>
      </c>
      <c r="X41" s="415">
        <f t="shared" si="6"/>
        <v>0.5</v>
      </c>
      <c r="Y41" s="406">
        <v>0</v>
      </c>
      <c r="Z41" s="429">
        <v>0</v>
      </c>
      <c r="AA41" s="430">
        <f t="shared" si="7"/>
        <v>50</v>
      </c>
      <c r="AB41" s="415">
        <f t="shared" si="8"/>
        <v>0.5</v>
      </c>
      <c r="AC41" s="431">
        <v>0</v>
      </c>
      <c r="AD41" s="432">
        <f t="shared" si="9"/>
        <v>100</v>
      </c>
      <c r="AE41" s="433">
        <f t="shared" si="18"/>
        <v>4</v>
      </c>
      <c r="AF41" s="434" t="s">
        <v>2326</v>
      </c>
      <c r="AG41" s="434" t="s">
        <v>2326</v>
      </c>
      <c r="AH41" s="434" t="s">
        <v>2326</v>
      </c>
      <c r="AI41" s="362"/>
      <c r="AJ41" s="434" t="s">
        <v>2326</v>
      </c>
      <c r="AK41" s="434" t="s">
        <v>2326</v>
      </c>
      <c r="AL41" s="363"/>
      <c r="AM41" s="406">
        <v>0</v>
      </c>
      <c r="AN41" s="406">
        <v>0</v>
      </c>
      <c r="AO41" s="406">
        <v>0</v>
      </c>
      <c r="AP41" s="406">
        <v>0</v>
      </c>
      <c r="AQ41" s="406">
        <v>0</v>
      </c>
      <c r="AR41" s="406">
        <v>0</v>
      </c>
      <c r="AS41" s="406">
        <v>0</v>
      </c>
      <c r="AT41" s="406">
        <v>0</v>
      </c>
      <c r="AU41" s="407">
        <f t="shared" si="10"/>
        <v>0</v>
      </c>
      <c r="AV41" s="407">
        <f t="shared" si="11"/>
        <v>100</v>
      </c>
      <c r="AW41" s="408">
        <f t="shared" si="19"/>
        <v>5</v>
      </c>
      <c r="AX41" s="406"/>
      <c r="AY41" s="406">
        <v>0</v>
      </c>
      <c r="AZ41" s="406">
        <v>0</v>
      </c>
      <c r="BA41" s="406">
        <v>0</v>
      </c>
      <c r="BB41" s="430">
        <f t="shared" si="12"/>
        <v>0</v>
      </c>
      <c r="BC41" s="407">
        <f t="shared" si="13"/>
        <v>25</v>
      </c>
      <c r="BD41" s="408">
        <f t="shared" si="20"/>
        <v>0.75</v>
      </c>
      <c r="BE41" s="340">
        <f t="shared" si="14"/>
        <v>11.25</v>
      </c>
    </row>
    <row r="42" spans="1:57" x14ac:dyDescent="0.6">
      <c r="A42" s="214" t="s">
        <v>1532</v>
      </c>
      <c r="B42" s="13" t="s">
        <v>2019</v>
      </c>
      <c r="C42" s="219" t="s">
        <v>457</v>
      </c>
      <c r="D42" s="216" t="s">
        <v>285</v>
      </c>
      <c r="E42" s="217" t="s">
        <v>171</v>
      </c>
      <c r="F42" s="217" t="s">
        <v>1031</v>
      </c>
      <c r="G42" s="218">
        <v>35669</v>
      </c>
      <c r="H42" s="217" t="s">
        <v>830</v>
      </c>
      <c r="I42" s="217" t="s">
        <v>728</v>
      </c>
      <c r="J42" s="217" t="s">
        <v>1043</v>
      </c>
      <c r="K42" s="217" t="s">
        <v>690</v>
      </c>
      <c r="L42" s="220">
        <v>4987103374</v>
      </c>
      <c r="M42" s="206">
        <v>2920774145</v>
      </c>
      <c r="N42" s="206">
        <v>2066329229</v>
      </c>
      <c r="O42" s="206">
        <v>6978937449</v>
      </c>
      <c r="P42" s="206">
        <v>427890389</v>
      </c>
      <c r="Q42" s="206">
        <v>355031852</v>
      </c>
      <c r="R42" s="206">
        <v>268904384</v>
      </c>
      <c r="S42" s="406">
        <v>0</v>
      </c>
      <c r="T42" s="428">
        <f t="shared" si="3"/>
        <v>50</v>
      </c>
      <c r="U42" s="415">
        <f t="shared" si="4"/>
        <v>0.5</v>
      </c>
      <c r="V42" s="405">
        <v>0</v>
      </c>
      <c r="W42" s="428">
        <f t="shared" si="5"/>
        <v>50</v>
      </c>
      <c r="X42" s="415">
        <f t="shared" si="6"/>
        <v>0.5</v>
      </c>
      <c r="Y42" s="406">
        <v>1</v>
      </c>
      <c r="Z42" s="429">
        <v>0</v>
      </c>
      <c r="AA42" s="430">
        <f t="shared" si="7"/>
        <v>100</v>
      </c>
      <c r="AB42" s="415">
        <f t="shared" si="8"/>
        <v>1</v>
      </c>
      <c r="AC42" s="431">
        <v>1</v>
      </c>
      <c r="AD42" s="432">
        <f t="shared" si="9"/>
        <v>80</v>
      </c>
      <c r="AE42" s="433">
        <f t="shared" si="18"/>
        <v>3.2</v>
      </c>
      <c r="AF42" s="434" t="s">
        <v>2326</v>
      </c>
      <c r="AG42" s="434" t="s">
        <v>2326</v>
      </c>
      <c r="AH42" s="434" t="s">
        <v>2326</v>
      </c>
      <c r="AI42" s="362"/>
      <c r="AJ42" s="434" t="s">
        <v>2326</v>
      </c>
      <c r="AK42" s="434" t="s">
        <v>2326</v>
      </c>
      <c r="AL42" s="363"/>
      <c r="AM42" s="406">
        <v>0</v>
      </c>
      <c r="AN42" s="406">
        <v>0</v>
      </c>
      <c r="AO42" s="406">
        <v>0</v>
      </c>
      <c r="AP42" s="406">
        <v>0</v>
      </c>
      <c r="AQ42" s="406">
        <v>0</v>
      </c>
      <c r="AR42" s="406">
        <v>0</v>
      </c>
      <c r="AS42" s="406">
        <v>0</v>
      </c>
      <c r="AT42" s="406">
        <v>0</v>
      </c>
      <c r="AU42" s="407">
        <f t="shared" si="10"/>
        <v>0</v>
      </c>
      <c r="AV42" s="407">
        <f t="shared" si="11"/>
        <v>100</v>
      </c>
      <c r="AW42" s="408">
        <f t="shared" si="19"/>
        <v>5</v>
      </c>
      <c r="AX42" s="406">
        <v>0</v>
      </c>
      <c r="AY42" s="406">
        <v>0</v>
      </c>
      <c r="AZ42" s="406">
        <v>0</v>
      </c>
      <c r="BA42" s="406">
        <v>0</v>
      </c>
      <c r="BB42" s="430">
        <f t="shared" si="12"/>
        <v>0</v>
      </c>
      <c r="BC42" s="407">
        <f t="shared" si="13"/>
        <v>25</v>
      </c>
      <c r="BD42" s="408">
        <f t="shared" si="20"/>
        <v>0.75</v>
      </c>
      <c r="BE42" s="340">
        <f t="shared" si="14"/>
        <v>10.95</v>
      </c>
    </row>
    <row r="43" spans="1:57" x14ac:dyDescent="0.6">
      <c r="A43" s="214" t="s">
        <v>1533</v>
      </c>
      <c r="B43" s="13" t="s">
        <v>2020</v>
      </c>
      <c r="C43" s="219" t="s">
        <v>450</v>
      </c>
      <c r="D43" s="216" t="s">
        <v>285</v>
      </c>
      <c r="E43" s="217" t="s">
        <v>185</v>
      </c>
      <c r="F43" s="217" t="s">
        <v>175</v>
      </c>
      <c r="G43" s="218">
        <v>41117</v>
      </c>
      <c r="H43" s="217" t="s">
        <v>830</v>
      </c>
      <c r="I43" s="217" t="s">
        <v>732</v>
      </c>
      <c r="J43" s="217" t="s">
        <v>157</v>
      </c>
      <c r="K43" s="217" t="s">
        <v>91</v>
      </c>
      <c r="L43" s="220">
        <v>3341658508</v>
      </c>
      <c r="M43" s="206">
        <v>2823131632</v>
      </c>
      <c r="N43" s="206">
        <v>518526876</v>
      </c>
      <c r="O43" s="206">
        <v>1247543929</v>
      </c>
      <c r="P43" s="206">
        <v>94379336</v>
      </c>
      <c r="Q43" s="206">
        <v>30714021</v>
      </c>
      <c r="R43" s="206">
        <v>21213587</v>
      </c>
      <c r="S43" s="406">
        <v>0</v>
      </c>
      <c r="T43" s="428">
        <f t="shared" si="3"/>
        <v>50</v>
      </c>
      <c r="U43" s="415">
        <f t="shared" si="4"/>
        <v>0.5</v>
      </c>
      <c r="V43" s="405">
        <v>0</v>
      </c>
      <c r="W43" s="428">
        <f t="shared" si="5"/>
        <v>50</v>
      </c>
      <c r="X43" s="415">
        <f t="shared" si="6"/>
        <v>0.5</v>
      </c>
      <c r="Y43" s="406">
        <v>0</v>
      </c>
      <c r="Z43" s="429">
        <v>0</v>
      </c>
      <c r="AA43" s="430">
        <f t="shared" si="7"/>
        <v>50</v>
      </c>
      <c r="AB43" s="415">
        <f t="shared" si="8"/>
        <v>0.5</v>
      </c>
      <c r="AC43" s="431">
        <v>3</v>
      </c>
      <c r="AD43" s="432">
        <f t="shared" si="9"/>
        <v>40</v>
      </c>
      <c r="AE43" s="433">
        <f t="shared" si="18"/>
        <v>1.6</v>
      </c>
      <c r="AF43" s="434" t="s">
        <v>2326</v>
      </c>
      <c r="AG43" s="434" t="s">
        <v>2326</v>
      </c>
      <c r="AH43" s="434" t="s">
        <v>2326</v>
      </c>
      <c r="AI43" s="362"/>
      <c r="AJ43" s="434" t="s">
        <v>2326</v>
      </c>
      <c r="AK43" s="434" t="s">
        <v>2326</v>
      </c>
      <c r="AL43" s="363"/>
      <c r="AM43" s="406">
        <v>0</v>
      </c>
      <c r="AN43" s="406">
        <v>0</v>
      </c>
      <c r="AO43" s="406">
        <v>0</v>
      </c>
      <c r="AP43" s="406">
        <v>0</v>
      </c>
      <c r="AQ43" s="406">
        <v>0</v>
      </c>
      <c r="AR43" s="406">
        <v>0</v>
      </c>
      <c r="AS43" s="406">
        <v>0</v>
      </c>
      <c r="AT43" s="406">
        <v>0</v>
      </c>
      <c r="AU43" s="407">
        <f t="shared" si="10"/>
        <v>0</v>
      </c>
      <c r="AV43" s="407">
        <f t="shared" si="11"/>
        <v>100</v>
      </c>
      <c r="AW43" s="408">
        <f t="shared" si="19"/>
        <v>5</v>
      </c>
      <c r="AX43" s="406">
        <v>0</v>
      </c>
      <c r="AY43" s="406">
        <v>0</v>
      </c>
      <c r="AZ43" s="406">
        <v>0</v>
      </c>
      <c r="BA43" s="406">
        <v>0</v>
      </c>
      <c r="BB43" s="430">
        <f t="shared" si="12"/>
        <v>0</v>
      </c>
      <c r="BC43" s="407">
        <f t="shared" si="13"/>
        <v>25</v>
      </c>
      <c r="BD43" s="408">
        <f t="shared" si="20"/>
        <v>0.75</v>
      </c>
      <c r="BE43" s="340">
        <f t="shared" si="14"/>
        <v>8.85</v>
      </c>
    </row>
    <row r="44" spans="1:57" x14ac:dyDescent="0.6">
      <c r="A44" s="214" t="s">
        <v>1534</v>
      </c>
      <c r="B44" s="13" t="s">
        <v>2021</v>
      </c>
      <c r="C44" s="219" t="s">
        <v>1535</v>
      </c>
      <c r="D44" s="14" t="s">
        <v>191</v>
      </c>
      <c r="E44" s="217" t="s">
        <v>1091</v>
      </c>
      <c r="F44" s="217" t="s">
        <v>1536</v>
      </c>
      <c r="G44" s="218">
        <v>44273</v>
      </c>
      <c r="H44" s="217" t="s">
        <v>830</v>
      </c>
      <c r="I44" s="217" t="s">
        <v>1537</v>
      </c>
      <c r="J44" s="217" t="s">
        <v>1538</v>
      </c>
      <c r="K44" s="217" t="s">
        <v>690</v>
      </c>
      <c r="L44" s="220">
        <v>2142189396</v>
      </c>
      <c r="M44" s="206">
        <v>399934106</v>
      </c>
      <c r="N44" s="206">
        <v>1742255291</v>
      </c>
      <c r="O44" s="206">
        <v>456725871</v>
      </c>
      <c r="P44" s="206">
        <v>115378989</v>
      </c>
      <c r="Q44" s="206">
        <v>142097807</v>
      </c>
      <c r="R44" s="206">
        <v>122816574</v>
      </c>
      <c r="S44" s="406">
        <v>0</v>
      </c>
      <c r="T44" s="428">
        <f t="shared" si="3"/>
        <v>50</v>
      </c>
      <c r="U44" s="415">
        <f t="shared" si="4"/>
        <v>0.5</v>
      </c>
      <c r="V44" s="405">
        <v>0</v>
      </c>
      <c r="W44" s="428">
        <f t="shared" si="5"/>
        <v>50</v>
      </c>
      <c r="X44" s="415">
        <f t="shared" si="6"/>
        <v>0.5</v>
      </c>
      <c r="Y44" s="406">
        <v>0</v>
      </c>
      <c r="Z44" s="429">
        <v>0</v>
      </c>
      <c r="AA44" s="430">
        <f t="shared" si="7"/>
        <v>50</v>
      </c>
      <c r="AB44" s="415">
        <f t="shared" si="8"/>
        <v>0.5</v>
      </c>
      <c r="AC44" s="431">
        <v>0</v>
      </c>
      <c r="AD44" s="432">
        <f t="shared" si="9"/>
        <v>100</v>
      </c>
      <c r="AE44" s="433">
        <f t="shared" si="18"/>
        <v>4</v>
      </c>
      <c r="AF44" s="434" t="s">
        <v>2326</v>
      </c>
      <c r="AG44" s="434" t="s">
        <v>2326</v>
      </c>
      <c r="AH44" s="434" t="s">
        <v>2326</v>
      </c>
      <c r="AI44" s="362"/>
      <c r="AJ44" s="434" t="s">
        <v>2326</v>
      </c>
      <c r="AK44" s="434" t="s">
        <v>2326</v>
      </c>
      <c r="AL44" s="363"/>
      <c r="AM44" s="406">
        <v>0</v>
      </c>
      <c r="AN44" s="406">
        <v>0</v>
      </c>
      <c r="AO44" s="406">
        <v>0</v>
      </c>
      <c r="AP44" s="406">
        <v>0</v>
      </c>
      <c r="AQ44" s="406">
        <v>0</v>
      </c>
      <c r="AR44" s="406">
        <v>0</v>
      </c>
      <c r="AS44" s="406">
        <v>0</v>
      </c>
      <c r="AT44" s="406">
        <v>0</v>
      </c>
      <c r="AU44" s="407">
        <f t="shared" si="10"/>
        <v>0</v>
      </c>
      <c r="AV44" s="407">
        <f t="shared" si="11"/>
        <v>100</v>
      </c>
      <c r="AW44" s="408">
        <f t="shared" si="19"/>
        <v>5</v>
      </c>
      <c r="AX44" s="406">
        <v>0</v>
      </c>
      <c r="AY44" s="406">
        <v>0</v>
      </c>
      <c r="AZ44" s="406">
        <v>0</v>
      </c>
      <c r="BA44" s="406">
        <v>0</v>
      </c>
      <c r="BB44" s="430">
        <f t="shared" si="12"/>
        <v>0</v>
      </c>
      <c r="BC44" s="407">
        <f t="shared" si="13"/>
        <v>25</v>
      </c>
      <c r="BD44" s="408">
        <f t="shared" si="20"/>
        <v>0.75</v>
      </c>
      <c r="BE44" s="340">
        <f t="shared" si="14"/>
        <v>11.25</v>
      </c>
    </row>
    <row r="45" spans="1:57" x14ac:dyDescent="0.6">
      <c r="A45" s="214" t="s">
        <v>1539</v>
      </c>
      <c r="B45" s="13" t="s">
        <v>2022</v>
      </c>
      <c r="C45" s="219" t="s">
        <v>1540</v>
      </c>
      <c r="D45" s="14" t="s">
        <v>203</v>
      </c>
      <c r="E45" s="217" t="s">
        <v>187</v>
      </c>
      <c r="F45" s="217" t="s">
        <v>1541</v>
      </c>
      <c r="G45" s="218">
        <v>39288</v>
      </c>
      <c r="H45" s="217" t="s">
        <v>830</v>
      </c>
      <c r="I45" s="217" t="s">
        <v>1542</v>
      </c>
      <c r="J45" s="217" t="s">
        <v>1543</v>
      </c>
      <c r="K45" s="217" t="s">
        <v>91</v>
      </c>
      <c r="L45" s="220">
        <v>19550742827</v>
      </c>
      <c r="M45" s="206">
        <v>3581307796</v>
      </c>
      <c r="N45" s="206">
        <v>15969435031</v>
      </c>
      <c r="O45" s="206">
        <v>1983533544</v>
      </c>
      <c r="P45" s="206">
        <v>611371885</v>
      </c>
      <c r="Q45" s="206">
        <v>602096059</v>
      </c>
      <c r="R45" s="206">
        <v>453183233</v>
      </c>
      <c r="S45" s="406">
        <v>0</v>
      </c>
      <c r="T45" s="428">
        <f t="shared" si="3"/>
        <v>50</v>
      </c>
      <c r="U45" s="415">
        <f t="shared" si="4"/>
        <v>0.5</v>
      </c>
      <c r="V45" s="405">
        <v>0</v>
      </c>
      <c r="W45" s="428">
        <f t="shared" si="5"/>
        <v>50</v>
      </c>
      <c r="X45" s="415">
        <f t="shared" si="6"/>
        <v>0.5</v>
      </c>
      <c r="Y45" s="406">
        <v>0</v>
      </c>
      <c r="Z45" s="429">
        <v>0</v>
      </c>
      <c r="AA45" s="430">
        <f t="shared" si="7"/>
        <v>50</v>
      </c>
      <c r="AB45" s="415">
        <f t="shared" si="8"/>
        <v>0.5</v>
      </c>
      <c r="AC45" s="431">
        <v>0</v>
      </c>
      <c r="AD45" s="432">
        <f t="shared" si="9"/>
        <v>100</v>
      </c>
      <c r="AE45" s="433">
        <f t="shared" si="18"/>
        <v>4</v>
      </c>
      <c r="AF45" s="434" t="s">
        <v>2326</v>
      </c>
      <c r="AG45" s="434" t="s">
        <v>2326</v>
      </c>
      <c r="AH45" s="434" t="s">
        <v>2326</v>
      </c>
      <c r="AI45" s="362"/>
      <c r="AJ45" s="434" t="s">
        <v>2326</v>
      </c>
      <c r="AK45" s="434" t="s">
        <v>2326</v>
      </c>
      <c r="AL45" s="363"/>
      <c r="AM45" s="406">
        <v>0</v>
      </c>
      <c r="AN45" s="406">
        <v>0</v>
      </c>
      <c r="AO45" s="406">
        <v>0</v>
      </c>
      <c r="AP45" s="406">
        <v>0</v>
      </c>
      <c r="AQ45" s="406">
        <v>0</v>
      </c>
      <c r="AR45" s="406">
        <v>0</v>
      </c>
      <c r="AS45" s="406">
        <v>0</v>
      </c>
      <c r="AT45" s="406">
        <v>0</v>
      </c>
      <c r="AU45" s="407">
        <f t="shared" si="10"/>
        <v>0</v>
      </c>
      <c r="AV45" s="407">
        <f t="shared" si="11"/>
        <v>100</v>
      </c>
      <c r="AW45" s="408">
        <f t="shared" si="19"/>
        <v>5</v>
      </c>
      <c r="AX45" s="406">
        <v>0</v>
      </c>
      <c r="AY45" s="406">
        <v>0</v>
      </c>
      <c r="AZ45" s="406">
        <v>0</v>
      </c>
      <c r="BA45" s="406">
        <v>0</v>
      </c>
      <c r="BB45" s="430">
        <f t="shared" si="12"/>
        <v>0</v>
      </c>
      <c r="BC45" s="407">
        <f t="shared" si="13"/>
        <v>25</v>
      </c>
      <c r="BD45" s="408">
        <f t="shared" si="20"/>
        <v>0.75</v>
      </c>
      <c r="BE45" s="340">
        <f t="shared" si="14"/>
        <v>11.25</v>
      </c>
    </row>
    <row r="46" spans="1:57" x14ac:dyDescent="0.6">
      <c r="A46" s="214" t="s">
        <v>1544</v>
      </c>
      <c r="B46" s="13" t="s">
        <v>2023</v>
      </c>
      <c r="C46" s="219" t="s">
        <v>543</v>
      </c>
      <c r="D46" s="221" t="s">
        <v>350</v>
      </c>
      <c r="E46" s="217" t="s">
        <v>179</v>
      </c>
      <c r="F46" s="217" t="s">
        <v>199</v>
      </c>
      <c r="G46" s="218">
        <v>31675</v>
      </c>
      <c r="H46" s="217" t="s">
        <v>830</v>
      </c>
      <c r="I46" s="217" t="s">
        <v>1545</v>
      </c>
      <c r="J46" s="217" t="s">
        <v>1035</v>
      </c>
      <c r="K46" s="217" t="s">
        <v>91</v>
      </c>
      <c r="L46" s="220">
        <v>5612706908</v>
      </c>
      <c r="M46" s="206">
        <v>5005166436</v>
      </c>
      <c r="N46" s="206">
        <v>607540471</v>
      </c>
      <c r="O46" s="206">
        <v>1137658845</v>
      </c>
      <c r="P46" s="206">
        <v>12048913</v>
      </c>
      <c r="Q46" s="206">
        <v>5565314</v>
      </c>
      <c r="R46" s="206">
        <v>4440548</v>
      </c>
      <c r="S46" s="406">
        <v>0</v>
      </c>
      <c r="T46" s="428">
        <f t="shared" si="3"/>
        <v>50</v>
      </c>
      <c r="U46" s="415">
        <f t="shared" si="4"/>
        <v>0.5</v>
      </c>
      <c r="V46" s="405">
        <v>0</v>
      </c>
      <c r="W46" s="428">
        <f t="shared" si="5"/>
        <v>50</v>
      </c>
      <c r="X46" s="415">
        <f t="shared" si="6"/>
        <v>0.5</v>
      </c>
      <c r="Y46" s="406">
        <v>0</v>
      </c>
      <c r="Z46" s="429">
        <v>0</v>
      </c>
      <c r="AA46" s="430">
        <f t="shared" si="7"/>
        <v>50</v>
      </c>
      <c r="AB46" s="415">
        <f t="shared" si="8"/>
        <v>0.5</v>
      </c>
      <c r="AC46" s="75">
        <v>0</v>
      </c>
      <c r="AD46" s="432">
        <f t="shared" si="9"/>
        <v>100</v>
      </c>
      <c r="AE46" s="435">
        <f>AD46*0.03</f>
        <v>3</v>
      </c>
      <c r="AF46" s="436">
        <v>0</v>
      </c>
      <c r="AG46" s="437">
        <f>(_xlfn.PERCENTRANK.INC(AF:AF,AF46, 2))*100</f>
        <v>0</v>
      </c>
      <c r="AH46" s="437">
        <f>IF(AF46=0, 100, IF(AG46&lt;10, 80, IF(AG46&lt;50, 60, IF(AG46&lt;90, 40, 20))))</f>
        <v>100</v>
      </c>
      <c r="AI46" s="263">
        <f>AH46*0.03</f>
        <v>3</v>
      </c>
      <c r="AJ46" s="264" t="s">
        <v>3540</v>
      </c>
      <c r="AK46" s="265">
        <f>IF(AJ46="우수", 100, IF(AJ46="양호", 80, IF(AJ46="보통", 60, IF(AJ46= "평가미대상", 60, IF(AJ46="미흡", 40, IF(AJ46="취약", 20))))))</f>
        <v>60</v>
      </c>
      <c r="AL46" s="141">
        <f>AK46*0.03</f>
        <v>1.7999999999999998</v>
      </c>
      <c r="AM46" s="406">
        <v>0</v>
      </c>
      <c r="AN46" s="406">
        <v>0</v>
      </c>
      <c r="AO46" s="406">
        <v>0</v>
      </c>
      <c r="AP46" s="406">
        <v>0</v>
      </c>
      <c r="AQ46" s="406">
        <v>0</v>
      </c>
      <c r="AR46" s="406">
        <v>0</v>
      </c>
      <c r="AS46" s="406">
        <v>0</v>
      </c>
      <c r="AT46" s="406">
        <v>0</v>
      </c>
      <c r="AU46" s="407">
        <f t="shared" si="10"/>
        <v>0</v>
      </c>
      <c r="AV46" s="407">
        <f t="shared" si="11"/>
        <v>100</v>
      </c>
      <c r="AW46" s="438">
        <f>AV46*0.02</f>
        <v>2</v>
      </c>
      <c r="AX46" s="406">
        <v>0</v>
      </c>
      <c r="AY46" s="406">
        <v>0</v>
      </c>
      <c r="AZ46" s="406">
        <v>0</v>
      </c>
      <c r="BA46" s="406">
        <v>0</v>
      </c>
      <c r="BB46" s="430">
        <f t="shared" si="12"/>
        <v>0</v>
      </c>
      <c r="BC46" s="407">
        <f t="shared" si="13"/>
        <v>25</v>
      </c>
      <c r="BD46" s="418">
        <f>BC46*0.01</f>
        <v>0.25</v>
      </c>
      <c r="BE46" s="340">
        <f t="shared" si="14"/>
        <v>11.55</v>
      </c>
    </row>
    <row r="47" spans="1:57" x14ac:dyDescent="0.6">
      <c r="A47" s="214" t="s">
        <v>1546</v>
      </c>
      <c r="B47" s="13" t="s">
        <v>2024</v>
      </c>
      <c r="C47" s="219" t="s">
        <v>1547</v>
      </c>
      <c r="D47" s="14" t="s">
        <v>203</v>
      </c>
      <c r="E47" s="217" t="s">
        <v>1548</v>
      </c>
      <c r="F47" s="217" t="s">
        <v>1549</v>
      </c>
      <c r="G47" s="218">
        <v>43105</v>
      </c>
      <c r="H47" s="217" t="s">
        <v>830</v>
      </c>
      <c r="I47" s="217" t="s">
        <v>1550</v>
      </c>
      <c r="J47" s="217" t="s">
        <v>1551</v>
      </c>
      <c r="K47" s="217" t="s">
        <v>690</v>
      </c>
      <c r="L47" s="220">
        <v>1810477193</v>
      </c>
      <c r="M47" s="206">
        <v>690879147</v>
      </c>
      <c r="N47" s="206">
        <v>1119598046</v>
      </c>
      <c r="O47" s="206">
        <v>1256030179</v>
      </c>
      <c r="P47" s="206">
        <v>107526937</v>
      </c>
      <c r="Q47" s="206">
        <v>88400704</v>
      </c>
      <c r="R47" s="206">
        <v>69270430</v>
      </c>
      <c r="S47" s="406">
        <v>0</v>
      </c>
      <c r="T47" s="428">
        <f t="shared" si="3"/>
        <v>50</v>
      </c>
      <c r="U47" s="415">
        <f t="shared" si="4"/>
        <v>0.5</v>
      </c>
      <c r="V47" s="405">
        <v>0</v>
      </c>
      <c r="W47" s="428">
        <f t="shared" si="5"/>
        <v>50</v>
      </c>
      <c r="X47" s="415">
        <f t="shared" si="6"/>
        <v>0.5</v>
      </c>
      <c r="Y47" s="406">
        <v>0</v>
      </c>
      <c r="Z47" s="429">
        <v>0</v>
      </c>
      <c r="AA47" s="430">
        <f t="shared" si="7"/>
        <v>50</v>
      </c>
      <c r="AB47" s="415">
        <f t="shared" si="8"/>
        <v>0.5</v>
      </c>
      <c r="AC47" s="431">
        <v>0</v>
      </c>
      <c r="AD47" s="432">
        <f t="shared" si="9"/>
        <v>100</v>
      </c>
      <c r="AE47" s="433">
        <f t="shared" ref="AE47:AE62" si="21">AD47*0.04</f>
        <v>4</v>
      </c>
      <c r="AF47" s="434" t="s">
        <v>2326</v>
      </c>
      <c r="AG47" s="434" t="s">
        <v>2326</v>
      </c>
      <c r="AH47" s="434" t="s">
        <v>2326</v>
      </c>
      <c r="AI47" s="362"/>
      <c r="AJ47" s="434" t="s">
        <v>2326</v>
      </c>
      <c r="AK47" s="434" t="s">
        <v>2326</v>
      </c>
      <c r="AL47" s="363"/>
      <c r="AM47" s="406">
        <v>0</v>
      </c>
      <c r="AN47" s="406">
        <v>0</v>
      </c>
      <c r="AO47" s="406">
        <v>0</v>
      </c>
      <c r="AP47" s="406">
        <v>0</v>
      </c>
      <c r="AQ47" s="406">
        <v>0</v>
      </c>
      <c r="AR47" s="406">
        <v>0</v>
      </c>
      <c r="AS47" s="406">
        <v>0</v>
      </c>
      <c r="AT47" s="406">
        <v>0</v>
      </c>
      <c r="AU47" s="407">
        <f t="shared" si="10"/>
        <v>0</v>
      </c>
      <c r="AV47" s="407">
        <f t="shared" si="11"/>
        <v>100</v>
      </c>
      <c r="AW47" s="408">
        <f t="shared" ref="AW47:AW62" si="22">AV47*0.05</f>
        <v>5</v>
      </c>
      <c r="AX47" s="406">
        <v>0</v>
      </c>
      <c r="AY47" s="406">
        <v>0</v>
      </c>
      <c r="AZ47" s="406">
        <v>0</v>
      </c>
      <c r="BA47" s="406">
        <v>0</v>
      </c>
      <c r="BB47" s="430">
        <f t="shared" si="12"/>
        <v>0</v>
      </c>
      <c r="BC47" s="407">
        <f t="shared" si="13"/>
        <v>25</v>
      </c>
      <c r="BD47" s="408">
        <f t="shared" ref="BD47:BD62" si="23">BC47*0.03</f>
        <v>0.75</v>
      </c>
      <c r="BE47" s="340">
        <f t="shared" si="14"/>
        <v>11.25</v>
      </c>
    </row>
    <row r="48" spans="1:57" x14ac:dyDescent="0.6">
      <c r="A48" s="214" t="s">
        <v>1552</v>
      </c>
      <c r="B48" s="13" t="s">
        <v>2025</v>
      </c>
      <c r="C48" s="219" t="s">
        <v>1553</v>
      </c>
      <c r="D48" s="14" t="s">
        <v>285</v>
      </c>
      <c r="E48" s="217" t="s">
        <v>56</v>
      </c>
      <c r="F48" s="217" t="s">
        <v>1554</v>
      </c>
      <c r="G48" s="218">
        <v>32819</v>
      </c>
      <c r="H48" s="217" t="s">
        <v>830</v>
      </c>
      <c r="I48" s="217" t="s">
        <v>1555</v>
      </c>
      <c r="J48" s="217" t="s">
        <v>1556</v>
      </c>
      <c r="K48" s="217" t="s">
        <v>91</v>
      </c>
      <c r="L48" s="220">
        <v>26432121000</v>
      </c>
      <c r="M48" s="206">
        <v>16048739000</v>
      </c>
      <c r="N48" s="206">
        <v>10383382000</v>
      </c>
      <c r="O48" s="206">
        <v>12414588000</v>
      </c>
      <c r="P48" s="206">
        <v>1321131000</v>
      </c>
      <c r="Q48" s="206">
        <v>1146250000</v>
      </c>
      <c r="R48" s="206">
        <v>869490000</v>
      </c>
      <c r="S48" s="406">
        <v>0</v>
      </c>
      <c r="T48" s="428">
        <f t="shared" si="3"/>
        <v>50</v>
      </c>
      <c r="U48" s="415">
        <f t="shared" si="4"/>
        <v>0.5</v>
      </c>
      <c r="V48" s="405">
        <v>0</v>
      </c>
      <c r="W48" s="428">
        <f t="shared" si="5"/>
        <v>50</v>
      </c>
      <c r="X48" s="415">
        <f t="shared" si="6"/>
        <v>0.5</v>
      </c>
      <c r="Y48" s="406">
        <v>0</v>
      </c>
      <c r="Z48" s="429">
        <v>0</v>
      </c>
      <c r="AA48" s="430">
        <f t="shared" si="7"/>
        <v>50</v>
      </c>
      <c r="AB48" s="415">
        <f t="shared" si="8"/>
        <v>0.5</v>
      </c>
      <c r="AC48" s="431">
        <v>29</v>
      </c>
      <c r="AD48" s="432">
        <f t="shared" si="9"/>
        <v>20</v>
      </c>
      <c r="AE48" s="433">
        <f t="shared" si="21"/>
        <v>0.8</v>
      </c>
      <c r="AF48" s="434" t="s">
        <v>2326</v>
      </c>
      <c r="AG48" s="434" t="s">
        <v>2326</v>
      </c>
      <c r="AH48" s="434" t="s">
        <v>2326</v>
      </c>
      <c r="AI48" s="362"/>
      <c r="AJ48" s="434" t="s">
        <v>2326</v>
      </c>
      <c r="AK48" s="434" t="s">
        <v>2326</v>
      </c>
      <c r="AL48" s="363"/>
      <c r="AM48" s="406">
        <v>0</v>
      </c>
      <c r="AN48" s="406">
        <v>0</v>
      </c>
      <c r="AO48" s="406">
        <v>0</v>
      </c>
      <c r="AP48" s="406">
        <v>0</v>
      </c>
      <c r="AQ48" s="406">
        <v>0</v>
      </c>
      <c r="AR48" s="406">
        <v>0</v>
      </c>
      <c r="AS48" s="406">
        <v>0</v>
      </c>
      <c r="AT48" s="406">
        <v>0</v>
      </c>
      <c r="AU48" s="407">
        <f t="shared" si="10"/>
        <v>0</v>
      </c>
      <c r="AV48" s="407">
        <f t="shared" si="11"/>
        <v>100</v>
      </c>
      <c r="AW48" s="408">
        <f t="shared" si="22"/>
        <v>5</v>
      </c>
      <c r="AX48" s="406">
        <v>0</v>
      </c>
      <c r="AY48" s="406">
        <v>0</v>
      </c>
      <c r="AZ48" s="406">
        <v>0</v>
      </c>
      <c r="BA48" s="406">
        <v>0</v>
      </c>
      <c r="BB48" s="430">
        <f t="shared" si="12"/>
        <v>0</v>
      </c>
      <c r="BC48" s="407">
        <f t="shared" si="13"/>
        <v>25</v>
      </c>
      <c r="BD48" s="408">
        <f t="shared" si="23"/>
        <v>0.75</v>
      </c>
      <c r="BE48" s="340">
        <f t="shared" si="14"/>
        <v>8.0500000000000007</v>
      </c>
    </row>
    <row r="49" spans="1:57" x14ac:dyDescent="0.6">
      <c r="A49" s="214" t="s">
        <v>479</v>
      </c>
      <c r="B49" s="13" t="s">
        <v>2026</v>
      </c>
      <c r="C49" s="219" t="s">
        <v>907</v>
      </c>
      <c r="D49" s="216" t="s">
        <v>202</v>
      </c>
      <c r="E49" s="217" t="s">
        <v>950</v>
      </c>
      <c r="F49" s="217" t="s">
        <v>961</v>
      </c>
      <c r="G49" s="218">
        <v>35425</v>
      </c>
      <c r="H49" s="217" t="s">
        <v>830</v>
      </c>
      <c r="I49" s="217" t="s">
        <v>616</v>
      </c>
      <c r="J49" s="217" t="s">
        <v>1041</v>
      </c>
      <c r="K49" s="217" t="s">
        <v>690</v>
      </c>
      <c r="L49" s="220">
        <v>91800233000</v>
      </c>
      <c r="M49" s="206">
        <v>31637411000</v>
      </c>
      <c r="N49" s="206">
        <v>60162822000</v>
      </c>
      <c r="O49" s="206">
        <v>37878699000</v>
      </c>
      <c r="P49" s="206">
        <v>7660947000</v>
      </c>
      <c r="Q49" s="206">
        <v>4467040000</v>
      </c>
      <c r="R49" s="206">
        <v>2790457000</v>
      </c>
      <c r="S49" s="406">
        <v>0</v>
      </c>
      <c r="T49" s="428">
        <f t="shared" si="3"/>
        <v>50</v>
      </c>
      <c r="U49" s="415">
        <f t="shared" si="4"/>
        <v>0.5</v>
      </c>
      <c r="V49" s="405">
        <v>0</v>
      </c>
      <c r="W49" s="428">
        <f t="shared" si="5"/>
        <v>50</v>
      </c>
      <c r="X49" s="415">
        <f t="shared" si="6"/>
        <v>0.5</v>
      </c>
      <c r="Y49" s="406">
        <v>0</v>
      </c>
      <c r="Z49" s="429">
        <v>0</v>
      </c>
      <c r="AA49" s="430">
        <f t="shared" si="7"/>
        <v>50</v>
      </c>
      <c r="AB49" s="415">
        <f t="shared" si="8"/>
        <v>0.5</v>
      </c>
      <c r="AC49" s="431">
        <v>0</v>
      </c>
      <c r="AD49" s="432">
        <f t="shared" si="9"/>
        <v>100</v>
      </c>
      <c r="AE49" s="433">
        <f t="shared" si="21"/>
        <v>4</v>
      </c>
      <c r="AF49" s="434" t="s">
        <v>2326</v>
      </c>
      <c r="AG49" s="434" t="s">
        <v>2326</v>
      </c>
      <c r="AH49" s="434" t="s">
        <v>2326</v>
      </c>
      <c r="AI49" s="362"/>
      <c r="AJ49" s="434" t="s">
        <v>2326</v>
      </c>
      <c r="AK49" s="434" t="s">
        <v>2326</v>
      </c>
      <c r="AL49" s="363"/>
      <c r="AM49" s="406">
        <v>0</v>
      </c>
      <c r="AN49" s="406">
        <v>0</v>
      </c>
      <c r="AO49" s="406">
        <v>0</v>
      </c>
      <c r="AP49" s="406">
        <v>0</v>
      </c>
      <c r="AQ49" s="406">
        <v>0</v>
      </c>
      <c r="AR49" s="406">
        <v>0</v>
      </c>
      <c r="AS49" s="406">
        <v>0</v>
      </c>
      <c r="AT49" s="406">
        <v>0</v>
      </c>
      <c r="AU49" s="407">
        <f t="shared" si="10"/>
        <v>0</v>
      </c>
      <c r="AV49" s="407">
        <f t="shared" si="11"/>
        <v>100</v>
      </c>
      <c r="AW49" s="408">
        <f t="shared" si="22"/>
        <v>5</v>
      </c>
      <c r="AX49" s="406">
        <v>0</v>
      </c>
      <c r="AY49" s="406">
        <v>0</v>
      </c>
      <c r="AZ49" s="406">
        <v>0</v>
      </c>
      <c r="BA49" s="406">
        <v>0</v>
      </c>
      <c r="BB49" s="430">
        <f t="shared" si="12"/>
        <v>0</v>
      </c>
      <c r="BC49" s="407">
        <f t="shared" si="13"/>
        <v>25</v>
      </c>
      <c r="BD49" s="408">
        <f t="shared" si="23"/>
        <v>0.75</v>
      </c>
      <c r="BE49" s="340">
        <f t="shared" si="14"/>
        <v>11.25</v>
      </c>
    </row>
    <row r="50" spans="1:57" x14ac:dyDescent="0.6">
      <c r="A50" s="214" t="s">
        <v>1557</v>
      </c>
      <c r="B50" s="13" t="s">
        <v>2027</v>
      </c>
      <c r="C50" s="219" t="s">
        <v>1558</v>
      </c>
      <c r="D50" s="14" t="s">
        <v>202</v>
      </c>
      <c r="E50" s="217" t="s">
        <v>954</v>
      </c>
      <c r="F50" s="217" t="s">
        <v>1559</v>
      </c>
      <c r="G50" s="218">
        <v>27949</v>
      </c>
      <c r="H50" s="217" t="s">
        <v>830</v>
      </c>
      <c r="I50" s="217" t="s">
        <v>1560</v>
      </c>
      <c r="J50" s="217" t="s">
        <v>1561</v>
      </c>
      <c r="K50" s="217" t="s">
        <v>50</v>
      </c>
      <c r="L50" s="220">
        <v>913694578</v>
      </c>
      <c r="M50" s="206">
        <v>256815975</v>
      </c>
      <c r="N50" s="206">
        <v>656878603</v>
      </c>
      <c r="O50" s="206">
        <v>320369756</v>
      </c>
      <c r="P50" s="206">
        <v>25070424</v>
      </c>
      <c r="Q50" s="206">
        <v>28857902</v>
      </c>
      <c r="R50" s="206">
        <v>22824949</v>
      </c>
      <c r="S50" s="406">
        <v>0</v>
      </c>
      <c r="T50" s="428">
        <f t="shared" si="3"/>
        <v>50</v>
      </c>
      <c r="U50" s="415">
        <f t="shared" si="4"/>
        <v>0.5</v>
      </c>
      <c r="V50" s="405">
        <v>0</v>
      </c>
      <c r="W50" s="428">
        <f t="shared" si="5"/>
        <v>50</v>
      </c>
      <c r="X50" s="415">
        <f t="shared" si="6"/>
        <v>0.5</v>
      </c>
      <c r="Y50" s="406">
        <v>0</v>
      </c>
      <c r="Z50" s="429">
        <v>0</v>
      </c>
      <c r="AA50" s="430">
        <f t="shared" si="7"/>
        <v>50</v>
      </c>
      <c r="AB50" s="415">
        <f t="shared" si="8"/>
        <v>0.5</v>
      </c>
      <c r="AC50" s="431">
        <v>0</v>
      </c>
      <c r="AD50" s="432">
        <f t="shared" si="9"/>
        <v>100</v>
      </c>
      <c r="AE50" s="433">
        <f t="shared" si="21"/>
        <v>4</v>
      </c>
      <c r="AF50" s="434" t="s">
        <v>2326</v>
      </c>
      <c r="AG50" s="434" t="s">
        <v>2326</v>
      </c>
      <c r="AH50" s="434" t="s">
        <v>2326</v>
      </c>
      <c r="AI50" s="362"/>
      <c r="AJ50" s="434" t="s">
        <v>2326</v>
      </c>
      <c r="AK50" s="434" t="s">
        <v>2326</v>
      </c>
      <c r="AL50" s="363"/>
      <c r="AM50" s="406">
        <v>0</v>
      </c>
      <c r="AN50" s="406">
        <v>0</v>
      </c>
      <c r="AO50" s="406">
        <v>0</v>
      </c>
      <c r="AP50" s="406">
        <v>0</v>
      </c>
      <c r="AQ50" s="406">
        <v>0</v>
      </c>
      <c r="AR50" s="406">
        <v>0</v>
      </c>
      <c r="AS50" s="406">
        <v>0</v>
      </c>
      <c r="AT50" s="406">
        <v>0</v>
      </c>
      <c r="AU50" s="407">
        <f t="shared" si="10"/>
        <v>0</v>
      </c>
      <c r="AV50" s="407">
        <f t="shared" si="11"/>
        <v>100</v>
      </c>
      <c r="AW50" s="408">
        <f t="shared" si="22"/>
        <v>5</v>
      </c>
      <c r="AX50" s="406">
        <v>0</v>
      </c>
      <c r="AY50" s="406">
        <v>0</v>
      </c>
      <c r="AZ50" s="406">
        <v>0</v>
      </c>
      <c r="BA50" s="406">
        <v>0</v>
      </c>
      <c r="BB50" s="430">
        <f t="shared" si="12"/>
        <v>0</v>
      </c>
      <c r="BC50" s="407">
        <f t="shared" si="13"/>
        <v>25</v>
      </c>
      <c r="BD50" s="408">
        <f t="shared" si="23"/>
        <v>0.75</v>
      </c>
      <c r="BE50" s="340">
        <f t="shared" si="14"/>
        <v>11.25</v>
      </c>
    </row>
    <row r="51" spans="1:57" x14ac:dyDescent="0.6">
      <c r="A51" s="214" t="s">
        <v>338</v>
      </c>
      <c r="B51" s="13" t="s">
        <v>2028</v>
      </c>
      <c r="C51" s="219" t="s">
        <v>80</v>
      </c>
      <c r="D51" s="216" t="s">
        <v>202</v>
      </c>
      <c r="E51" s="217" t="s">
        <v>954</v>
      </c>
      <c r="F51" s="217" t="s">
        <v>146</v>
      </c>
      <c r="G51" s="218">
        <v>37326</v>
      </c>
      <c r="H51" s="217" t="s">
        <v>830</v>
      </c>
      <c r="I51" s="217" t="s">
        <v>1562</v>
      </c>
      <c r="J51" s="217" t="s">
        <v>1239</v>
      </c>
      <c r="K51" s="217" t="s">
        <v>484</v>
      </c>
      <c r="L51" s="220">
        <v>1219422735</v>
      </c>
      <c r="M51" s="206">
        <v>343607691</v>
      </c>
      <c r="N51" s="206">
        <v>875815044</v>
      </c>
      <c r="O51" s="206">
        <v>1004821817</v>
      </c>
      <c r="P51" s="206">
        <v>113170594</v>
      </c>
      <c r="Q51" s="206">
        <v>122466158</v>
      </c>
      <c r="R51" s="206">
        <v>91032057</v>
      </c>
      <c r="S51" s="406">
        <v>0</v>
      </c>
      <c r="T51" s="428">
        <f t="shared" si="3"/>
        <v>50</v>
      </c>
      <c r="U51" s="415">
        <f t="shared" si="4"/>
        <v>0.5</v>
      </c>
      <c r="V51" s="405">
        <v>0</v>
      </c>
      <c r="W51" s="428">
        <f t="shared" si="5"/>
        <v>50</v>
      </c>
      <c r="X51" s="415">
        <f t="shared" si="6"/>
        <v>0.5</v>
      </c>
      <c r="Y51" s="406">
        <v>0</v>
      </c>
      <c r="Z51" s="429">
        <v>0</v>
      </c>
      <c r="AA51" s="430">
        <f t="shared" si="7"/>
        <v>50</v>
      </c>
      <c r="AB51" s="415">
        <f t="shared" si="8"/>
        <v>0.5</v>
      </c>
      <c r="AC51" s="431">
        <v>0</v>
      </c>
      <c r="AD51" s="432">
        <f t="shared" si="9"/>
        <v>100</v>
      </c>
      <c r="AE51" s="433">
        <f t="shared" si="21"/>
        <v>4</v>
      </c>
      <c r="AF51" s="434" t="s">
        <v>2326</v>
      </c>
      <c r="AG51" s="434" t="s">
        <v>2326</v>
      </c>
      <c r="AH51" s="434" t="s">
        <v>2326</v>
      </c>
      <c r="AI51" s="362"/>
      <c r="AJ51" s="434" t="s">
        <v>2326</v>
      </c>
      <c r="AK51" s="434" t="s">
        <v>2326</v>
      </c>
      <c r="AL51" s="363"/>
      <c r="AM51" s="406">
        <v>0</v>
      </c>
      <c r="AN51" s="406">
        <v>0</v>
      </c>
      <c r="AO51" s="406">
        <v>0</v>
      </c>
      <c r="AP51" s="406">
        <v>0</v>
      </c>
      <c r="AQ51" s="406">
        <v>0</v>
      </c>
      <c r="AR51" s="406">
        <v>0</v>
      </c>
      <c r="AS51" s="406">
        <v>0</v>
      </c>
      <c r="AT51" s="406">
        <v>0</v>
      </c>
      <c r="AU51" s="407">
        <f t="shared" si="10"/>
        <v>0</v>
      </c>
      <c r="AV51" s="407">
        <f t="shared" si="11"/>
        <v>100</v>
      </c>
      <c r="AW51" s="408">
        <f t="shared" si="22"/>
        <v>5</v>
      </c>
      <c r="AX51" s="406">
        <v>0</v>
      </c>
      <c r="AY51" s="406">
        <v>0</v>
      </c>
      <c r="AZ51" s="406">
        <v>0</v>
      </c>
      <c r="BA51" s="406">
        <v>0</v>
      </c>
      <c r="BB51" s="430">
        <f t="shared" si="12"/>
        <v>0</v>
      </c>
      <c r="BC51" s="407">
        <f t="shared" si="13"/>
        <v>25</v>
      </c>
      <c r="BD51" s="408">
        <f t="shared" si="23"/>
        <v>0.75</v>
      </c>
      <c r="BE51" s="340">
        <f t="shared" si="14"/>
        <v>11.25</v>
      </c>
    </row>
    <row r="52" spans="1:57" x14ac:dyDescent="0.6">
      <c r="A52" s="214" t="s">
        <v>519</v>
      </c>
      <c r="B52" s="13" t="s">
        <v>2029</v>
      </c>
      <c r="C52" s="219" t="s">
        <v>33</v>
      </c>
      <c r="D52" s="216" t="s">
        <v>202</v>
      </c>
      <c r="E52" s="217" t="s">
        <v>613</v>
      </c>
      <c r="F52" s="217" t="s">
        <v>956</v>
      </c>
      <c r="G52" s="218">
        <v>31936</v>
      </c>
      <c r="H52" s="217" t="s">
        <v>830</v>
      </c>
      <c r="I52" s="217" t="s">
        <v>1563</v>
      </c>
      <c r="J52" s="217" t="s">
        <v>1165</v>
      </c>
      <c r="K52" s="217" t="s">
        <v>690</v>
      </c>
      <c r="L52" s="220">
        <v>692740658</v>
      </c>
      <c r="M52" s="206">
        <v>395155324</v>
      </c>
      <c r="N52" s="206">
        <v>297585335</v>
      </c>
      <c r="O52" s="206">
        <v>1186678750</v>
      </c>
      <c r="P52" s="206">
        <v>24052569</v>
      </c>
      <c r="Q52" s="206">
        <v>10186256</v>
      </c>
      <c r="R52" s="206">
        <v>7026979</v>
      </c>
      <c r="S52" s="406">
        <v>0</v>
      </c>
      <c r="T52" s="428">
        <f t="shared" si="3"/>
        <v>50</v>
      </c>
      <c r="U52" s="415">
        <f t="shared" si="4"/>
        <v>0.5</v>
      </c>
      <c r="V52" s="405">
        <v>0</v>
      </c>
      <c r="W52" s="428">
        <f t="shared" si="5"/>
        <v>50</v>
      </c>
      <c r="X52" s="415">
        <f t="shared" si="6"/>
        <v>0.5</v>
      </c>
      <c r="Y52" s="406">
        <v>0</v>
      </c>
      <c r="Z52" s="429">
        <v>0</v>
      </c>
      <c r="AA52" s="430">
        <f t="shared" si="7"/>
        <v>50</v>
      </c>
      <c r="AB52" s="415">
        <f t="shared" si="8"/>
        <v>0.5</v>
      </c>
      <c r="AC52" s="431">
        <v>0</v>
      </c>
      <c r="AD52" s="432">
        <f t="shared" si="9"/>
        <v>100</v>
      </c>
      <c r="AE52" s="433">
        <f t="shared" si="21"/>
        <v>4</v>
      </c>
      <c r="AF52" s="434" t="s">
        <v>2326</v>
      </c>
      <c r="AG52" s="434" t="s">
        <v>2326</v>
      </c>
      <c r="AH52" s="434" t="s">
        <v>2326</v>
      </c>
      <c r="AI52" s="362"/>
      <c r="AJ52" s="434" t="s">
        <v>2326</v>
      </c>
      <c r="AK52" s="434" t="s">
        <v>2326</v>
      </c>
      <c r="AL52" s="363"/>
      <c r="AM52" s="406">
        <v>0</v>
      </c>
      <c r="AN52" s="406">
        <v>0</v>
      </c>
      <c r="AO52" s="406">
        <v>0</v>
      </c>
      <c r="AP52" s="406">
        <v>0</v>
      </c>
      <c r="AQ52" s="406">
        <v>0</v>
      </c>
      <c r="AR52" s="406">
        <v>0</v>
      </c>
      <c r="AS52" s="406">
        <v>0</v>
      </c>
      <c r="AT52" s="406">
        <v>0</v>
      </c>
      <c r="AU52" s="407">
        <f t="shared" si="10"/>
        <v>0</v>
      </c>
      <c r="AV52" s="407">
        <f t="shared" si="11"/>
        <v>100</v>
      </c>
      <c r="AW52" s="408">
        <f t="shared" si="22"/>
        <v>5</v>
      </c>
      <c r="AX52" s="406">
        <v>0</v>
      </c>
      <c r="AY52" s="406">
        <v>0</v>
      </c>
      <c r="AZ52" s="406">
        <v>0</v>
      </c>
      <c r="BA52" s="406">
        <v>0</v>
      </c>
      <c r="BB52" s="430">
        <f t="shared" si="12"/>
        <v>0</v>
      </c>
      <c r="BC52" s="407">
        <f t="shared" si="13"/>
        <v>25</v>
      </c>
      <c r="BD52" s="408">
        <f t="shared" si="23"/>
        <v>0.75</v>
      </c>
      <c r="BE52" s="340">
        <f t="shared" si="14"/>
        <v>11.25</v>
      </c>
    </row>
    <row r="53" spans="1:57" x14ac:dyDescent="0.6">
      <c r="A53" s="214" t="s">
        <v>1564</v>
      </c>
      <c r="B53" s="13" t="s">
        <v>2030</v>
      </c>
      <c r="C53" s="219" t="s">
        <v>1565</v>
      </c>
      <c r="D53" s="14" t="s">
        <v>285</v>
      </c>
      <c r="E53" s="217" t="s">
        <v>1566</v>
      </c>
      <c r="F53" s="217" t="s">
        <v>1567</v>
      </c>
      <c r="G53" s="218">
        <v>32826</v>
      </c>
      <c r="H53" s="217" t="s">
        <v>830</v>
      </c>
      <c r="I53" s="217" t="s">
        <v>1568</v>
      </c>
      <c r="J53" s="217" t="s">
        <v>1569</v>
      </c>
      <c r="K53" s="217" t="s">
        <v>91</v>
      </c>
      <c r="L53" s="220">
        <v>57863012</v>
      </c>
      <c r="M53" s="206">
        <v>24529480</v>
      </c>
      <c r="N53" s="206">
        <v>33333532</v>
      </c>
      <c r="O53" s="206">
        <v>30093883</v>
      </c>
      <c r="P53" s="206">
        <v>4174665</v>
      </c>
      <c r="Q53" s="206">
        <v>4390397</v>
      </c>
      <c r="R53" s="206">
        <v>4613111</v>
      </c>
      <c r="S53" s="406">
        <v>0</v>
      </c>
      <c r="T53" s="428">
        <f t="shared" si="3"/>
        <v>50</v>
      </c>
      <c r="U53" s="415">
        <f t="shared" si="4"/>
        <v>0.5</v>
      </c>
      <c r="V53" s="405">
        <v>0</v>
      </c>
      <c r="W53" s="428">
        <f t="shared" si="5"/>
        <v>50</v>
      </c>
      <c r="X53" s="415">
        <f t="shared" si="6"/>
        <v>0.5</v>
      </c>
      <c r="Y53" s="406">
        <v>0</v>
      </c>
      <c r="Z53" s="429">
        <v>0</v>
      </c>
      <c r="AA53" s="430">
        <f t="shared" si="7"/>
        <v>50</v>
      </c>
      <c r="AB53" s="415">
        <f t="shared" si="8"/>
        <v>0.5</v>
      </c>
      <c r="AC53" s="431">
        <v>0</v>
      </c>
      <c r="AD53" s="432">
        <f t="shared" si="9"/>
        <v>100</v>
      </c>
      <c r="AE53" s="433">
        <f t="shared" si="21"/>
        <v>4</v>
      </c>
      <c r="AF53" s="434" t="s">
        <v>2326</v>
      </c>
      <c r="AG53" s="434" t="s">
        <v>2326</v>
      </c>
      <c r="AH53" s="434" t="s">
        <v>2326</v>
      </c>
      <c r="AI53" s="362"/>
      <c r="AJ53" s="434" t="s">
        <v>2326</v>
      </c>
      <c r="AK53" s="434" t="s">
        <v>2326</v>
      </c>
      <c r="AL53" s="363"/>
      <c r="AM53" s="406">
        <v>0</v>
      </c>
      <c r="AN53" s="406">
        <v>0</v>
      </c>
      <c r="AO53" s="406">
        <v>0</v>
      </c>
      <c r="AP53" s="406">
        <v>0</v>
      </c>
      <c r="AQ53" s="406">
        <v>0</v>
      </c>
      <c r="AR53" s="406">
        <v>0</v>
      </c>
      <c r="AS53" s="406">
        <v>0</v>
      </c>
      <c r="AT53" s="406">
        <v>0</v>
      </c>
      <c r="AU53" s="407">
        <f t="shared" si="10"/>
        <v>0</v>
      </c>
      <c r="AV53" s="407">
        <f t="shared" si="11"/>
        <v>100</v>
      </c>
      <c r="AW53" s="408">
        <f t="shared" si="22"/>
        <v>5</v>
      </c>
      <c r="AX53" s="406">
        <v>0</v>
      </c>
      <c r="AY53" s="406">
        <v>0</v>
      </c>
      <c r="AZ53" s="406">
        <v>0</v>
      </c>
      <c r="BA53" s="406">
        <v>0</v>
      </c>
      <c r="BB53" s="430">
        <f t="shared" si="12"/>
        <v>0</v>
      </c>
      <c r="BC53" s="407">
        <f t="shared" si="13"/>
        <v>25</v>
      </c>
      <c r="BD53" s="408">
        <f t="shared" si="23"/>
        <v>0.75</v>
      </c>
      <c r="BE53" s="340">
        <f t="shared" si="14"/>
        <v>11.25</v>
      </c>
    </row>
    <row r="54" spans="1:57" x14ac:dyDescent="0.6">
      <c r="A54" s="214" t="s">
        <v>1570</v>
      </c>
      <c r="B54" s="13" t="s">
        <v>2031</v>
      </c>
      <c r="C54" s="219" t="s">
        <v>1571</v>
      </c>
      <c r="D54" s="14" t="s">
        <v>203</v>
      </c>
      <c r="E54" s="217" t="s">
        <v>1067</v>
      </c>
      <c r="F54" s="217" t="s">
        <v>1572</v>
      </c>
      <c r="G54" s="218">
        <v>28306</v>
      </c>
      <c r="H54" s="217" t="s">
        <v>830</v>
      </c>
      <c r="I54" s="217" t="s">
        <v>1573</v>
      </c>
      <c r="J54" s="217" t="s">
        <v>1574</v>
      </c>
      <c r="K54" s="217" t="s">
        <v>91</v>
      </c>
      <c r="L54" s="220">
        <v>342108581</v>
      </c>
      <c r="M54" s="206">
        <v>116198537</v>
      </c>
      <c r="N54" s="206">
        <v>225910045</v>
      </c>
      <c r="O54" s="206">
        <v>202589425</v>
      </c>
      <c r="P54" s="206">
        <v>26820420</v>
      </c>
      <c r="Q54" s="206">
        <v>25169767</v>
      </c>
      <c r="R54" s="206">
        <v>18699263</v>
      </c>
      <c r="S54" s="406">
        <v>0</v>
      </c>
      <c r="T54" s="428">
        <f t="shared" si="3"/>
        <v>50</v>
      </c>
      <c r="U54" s="415">
        <f t="shared" si="4"/>
        <v>0.5</v>
      </c>
      <c r="V54" s="405">
        <v>0</v>
      </c>
      <c r="W54" s="428">
        <f t="shared" si="5"/>
        <v>50</v>
      </c>
      <c r="X54" s="415">
        <f t="shared" si="6"/>
        <v>0.5</v>
      </c>
      <c r="Y54" s="406">
        <v>0</v>
      </c>
      <c r="Z54" s="429">
        <v>0</v>
      </c>
      <c r="AA54" s="430">
        <f t="shared" si="7"/>
        <v>50</v>
      </c>
      <c r="AB54" s="415">
        <f t="shared" si="8"/>
        <v>0.5</v>
      </c>
      <c r="AC54" s="431">
        <v>0</v>
      </c>
      <c r="AD54" s="432">
        <f t="shared" si="9"/>
        <v>100</v>
      </c>
      <c r="AE54" s="433">
        <f t="shared" si="21"/>
        <v>4</v>
      </c>
      <c r="AF54" s="434" t="s">
        <v>2326</v>
      </c>
      <c r="AG54" s="434" t="s">
        <v>2326</v>
      </c>
      <c r="AH54" s="434" t="s">
        <v>2326</v>
      </c>
      <c r="AI54" s="362"/>
      <c r="AJ54" s="434" t="s">
        <v>2326</v>
      </c>
      <c r="AK54" s="434" t="s">
        <v>2326</v>
      </c>
      <c r="AL54" s="363"/>
      <c r="AM54" s="406">
        <v>0</v>
      </c>
      <c r="AN54" s="406">
        <v>0</v>
      </c>
      <c r="AO54" s="406">
        <v>0</v>
      </c>
      <c r="AP54" s="406">
        <v>0</v>
      </c>
      <c r="AQ54" s="406">
        <v>0</v>
      </c>
      <c r="AR54" s="406">
        <v>0</v>
      </c>
      <c r="AS54" s="406">
        <v>0</v>
      </c>
      <c r="AT54" s="406">
        <v>0</v>
      </c>
      <c r="AU54" s="407">
        <f t="shared" si="10"/>
        <v>0</v>
      </c>
      <c r="AV54" s="407">
        <f t="shared" si="11"/>
        <v>100</v>
      </c>
      <c r="AW54" s="408">
        <f t="shared" si="22"/>
        <v>5</v>
      </c>
      <c r="AX54" s="406">
        <v>0</v>
      </c>
      <c r="AY54" s="406">
        <v>0</v>
      </c>
      <c r="AZ54" s="406">
        <v>0</v>
      </c>
      <c r="BA54" s="406">
        <v>0</v>
      </c>
      <c r="BB54" s="430">
        <f t="shared" si="12"/>
        <v>0</v>
      </c>
      <c r="BC54" s="407">
        <f t="shared" si="13"/>
        <v>25</v>
      </c>
      <c r="BD54" s="408">
        <f t="shared" si="23"/>
        <v>0.75</v>
      </c>
      <c r="BE54" s="340">
        <f t="shared" si="14"/>
        <v>11.25</v>
      </c>
    </row>
    <row r="55" spans="1:57" x14ac:dyDescent="0.6">
      <c r="A55" s="214" t="s">
        <v>464</v>
      </c>
      <c r="B55" s="13" t="s">
        <v>2032</v>
      </c>
      <c r="C55" s="219" t="s">
        <v>314</v>
      </c>
      <c r="D55" s="216" t="s">
        <v>285</v>
      </c>
      <c r="E55" s="217" t="s">
        <v>978</v>
      </c>
      <c r="F55" s="217" t="s">
        <v>332</v>
      </c>
      <c r="G55" s="218">
        <v>42867</v>
      </c>
      <c r="H55" s="217" t="s">
        <v>830</v>
      </c>
      <c r="I55" s="217" t="s">
        <v>206</v>
      </c>
      <c r="J55" s="217" t="s">
        <v>1023</v>
      </c>
      <c r="K55" s="217" t="s">
        <v>407</v>
      </c>
      <c r="L55" s="220">
        <v>1064615087</v>
      </c>
      <c r="M55" s="206">
        <v>672093137</v>
      </c>
      <c r="N55" s="206">
        <v>392521950</v>
      </c>
      <c r="O55" s="206">
        <v>2304288140</v>
      </c>
      <c r="P55" s="206">
        <v>25053659</v>
      </c>
      <c r="Q55" s="206">
        <v>30627192</v>
      </c>
      <c r="R55" s="206">
        <v>23488574</v>
      </c>
      <c r="S55" s="406">
        <v>0</v>
      </c>
      <c r="T55" s="428">
        <f t="shared" si="3"/>
        <v>50</v>
      </c>
      <c r="U55" s="415">
        <f t="shared" si="4"/>
        <v>0.5</v>
      </c>
      <c r="V55" s="405">
        <v>0</v>
      </c>
      <c r="W55" s="428">
        <f t="shared" si="5"/>
        <v>50</v>
      </c>
      <c r="X55" s="415">
        <f t="shared" si="6"/>
        <v>0.5</v>
      </c>
      <c r="Y55" s="406">
        <v>1</v>
      </c>
      <c r="Z55" s="429">
        <v>0</v>
      </c>
      <c r="AA55" s="430">
        <f t="shared" si="7"/>
        <v>100</v>
      </c>
      <c r="AB55" s="415">
        <f t="shared" si="8"/>
        <v>1</v>
      </c>
      <c r="AC55" s="431">
        <v>0</v>
      </c>
      <c r="AD55" s="432">
        <f t="shared" si="9"/>
        <v>100</v>
      </c>
      <c r="AE55" s="433">
        <f t="shared" si="21"/>
        <v>4</v>
      </c>
      <c r="AF55" s="434" t="s">
        <v>2326</v>
      </c>
      <c r="AG55" s="434" t="s">
        <v>2326</v>
      </c>
      <c r="AH55" s="434" t="s">
        <v>2326</v>
      </c>
      <c r="AI55" s="362"/>
      <c r="AJ55" s="434" t="s">
        <v>2326</v>
      </c>
      <c r="AK55" s="434" t="s">
        <v>2326</v>
      </c>
      <c r="AL55" s="363"/>
      <c r="AM55" s="406">
        <v>0</v>
      </c>
      <c r="AN55" s="406">
        <v>0</v>
      </c>
      <c r="AO55" s="406">
        <v>0</v>
      </c>
      <c r="AP55" s="406">
        <v>0</v>
      </c>
      <c r="AQ55" s="406">
        <v>0</v>
      </c>
      <c r="AR55" s="406">
        <v>0</v>
      </c>
      <c r="AS55" s="406">
        <v>0</v>
      </c>
      <c r="AT55" s="406">
        <v>0</v>
      </c>
      <c r="AU55" s="407">
        <f t="shared" si="10"/>
        <v>0</v>
      </c>
      <c r="AV55" s="407">
        <f t="shared" si="11"/>
        <v>100</v>
      </c>
      <c r="AW55" s="408">
        <f t="shared" si="22"/>
        <v>5</v>
      </c>
      <c r="AX55" s="406">
        <v>0</v>
      </c>
      <c r="AY55" s="406">
        <v>0</v>
      </c>
      <c r="AZ55" s="406">
        <v>0</v>
      </c>
      <c r="BA55" s="406">
        <v>0</v>
      </c>
      <c r="BB55" s="430">
        <f t="shared" si="12"/>
        <v>0</v>
      </c>
      <c r="BC55" s="407">
        <f t="shared" si="13"/>
        <v>25</v>
      </c>
      <c r="BD55" s="408">
        <f t="shared" si="23"/>
        <v>0.75</v>
      </c>
      <c r="BE55" s="340">
        <f t="shared" si="14"/>
        <v>11.75</v>
      </c>
    </row>
    <row r="56" spans="1:57" x14ac:dyDescent="0.6">
      <c r="A56" s="214" t="s">
        <v>489</v>
      </c>
      <c r="B56" s="13" t="s">
        <v>2033</v>
      </c>
      <c r="C56" s="219" t="s">
        <v>474</v>
      </c>
      <c r="D56" s="216" t="s">
        <v>285</v>
      </c>
      <c r="E56" s="217" t="s">
        <v>867</v>
      </c>
      <c r="F56" s="217" t="s">
        <v>1225</v>
      </c>
      <c r="G56" s="218">
        <v>35094</v>
      </c>
      <c r="H56" s="217" t="s">
        <v>830</v>
      </c>
      <c r="I56" s="217" t="s">
        <v>1575</v>
      </c>
      <c r="J56" s="217" t="s">
        <v>1065</v>
      </c>
      <c r="K56" s="217" t="s">
        <v>934</v>
      </c>
      <c r="L56" s="220">
        <v>1800240035</v>
      </c>
      <c r="M56" s="206">
        <v>1098232792</v>
      </c>
      <c r="N56" s="206">
        <v>702007244</v>
      </c>
      <c r="O56" s="206">
        <v>2052333741</v>
      </c>
      <c r="P56" s="206">
        <v>96367097</v>
      </c>
      <c r="Q56" s="206">
        <v>87514929</v>
      </c>
      <c r="R56" s="206">
        <v>58220411</v>
      </c>
      <c r="S56" s="406">
        <v>0</v>
      </c>
      <c r="T56" s="428">
        <f t="shared" si="3"/>
        <v>50</v>
      </c>
      <c r="U56" s="415">
        <f t="shared" si="4"/>
        <v>0.5</v>
      </c>
      <c r="V56" s="405">
        <v>0</v>
      </c>
      <c r="W56" s="428">
        <f t="shared" si="5"/>
        <v>50</v>
      </c>
      <c r="X56" s="415">
        <f t="shared" si="6"/>
        <v>0.5</v>
      </c>
      <c r="Y56" s="406">
        <v>0</v>
      </c>
      <c r="Z56" s="429">
        <v>0</v>
      </c>
      <c r="AA56" s="430">
        <f t="shared" si="7"/>
        <v>50</v>
      </c>
      <c r="AB56" s="415">
        <f t="shared" si="8"/>
        <v>0.5</v>
      </c>
      <c r="AC56" s="431">
        <v>0</v>
      </c>
      <c r="AD56" s="432">
        <f t="shared" si="9"/>
        <v>100</v>
      </c>
      <c r="AE56" s="433">
        <f t="shared" si="21"/>
        <v>4</v>
      </c>
      <c r="AF56" s="434" t="s">
        <v>2326</v>
      </c>
      <c r="AG56" s="434" t="s">
        <v>2326</v>
      </c>
      <c r="AH56" s="434" t="s">
        <v>2326</v>
      </c>
      <c r="AI56" s="362"/>
      <c r="AJ56" s="434" t="s">
        <v>2326</v>
      </c>
      <c r="AK56" s="434" t="s">
        <v>2326</v>
      </c>
      <c r="AL56" s="363"/>
      <c r="AM56" s="406">
        <v>0</v>
      </c>
      <c r="AN56" s="406">
        <v>0</v>
      </c>
      <c r="AO56" s="406">
        <v>0</v>
      </c>
      <c r="AP56" s="406">
        <v>0</v>
      </c>
      <c r="AQ56" s="406">
        <v>0</v>
      </c>
      <c r="AR56" s="406">
        <v>0</v>
      </c>
      <c r="AS56" s="406">
        <v>0</v>
      </c>
      <c r="AT56" s="406">
        <v>0</v>
      </c>
      <c r="AU56" s="407">
        <f t="shared" si="10"/>
        <v>0</v>
      </c>
      <c r="AV56" s="407">
        <f t="shared" si="11"/>
        <v>100</v>
      </c>
      <c r="AW56" s="408">
        <f t="shared" si="22"/>
        <v>5</v>
      </c>
      <c r="AX56" s="406">
        <v>0</v>
      </c>
      <c r="AY56" s="406">
        <v>0</v>
      </c>
      <c r="AZ56" s="406">
        <v>0</v>
      </c>
      <c r="BA56" s="406">
        <v>0</v>
      </c>
      <c r="BB56" s="430">
        <f t="shared" si="12"/>
        <v>0</v>
      </c>
      <c r="BC56" s="407">
        <f t="shared" si="13"/>
        <v>25</v>
      </c>
      <c r="BD56" s="408">
        <f t="shared" si="23"/>
        <v>0.75</v>
      </c>
      <c r="BE56" s="340">
        <f t="shared" si="14"/>
        <v>11.25</v>
      </c>
    </row>
    <row r="57" spans="1:57" x14ac:dyDescent="0.6">
      <c r="A57" s="214" t="s">
        <v>5</v>
      </c>
      <c r="B57" s="13" t="s">
        <v>2034</v>
      </c>
      <c r="C57" s="219" t="s">
        <v>514</v>
      </c>
      <c r="D57" s="216" t="s">
        <v>191</v>
      </c>
      <c r="E57" s="217" t="s">
        <v>1020</v>
      </c>
      <c r="F57" s="217" t="s">
        <v>1078</v>
      </c>
      <c r="G57" s="218">
        <v>33252</v>
      </c>
      <c r="H57" s="217" t="s">
        <v>830</v>
      </c>
      <c r="I57" s="217" t="s">
        <v>994</v>
      </c>
      <c r="J57" s="217" t="s">
        <v>1021</v>
      </c>
      <c r="K57" s="217" t="s">
        <v>484</v>
      </c>
      <c r="L57" s="220">
        <v>252929703</v>
      </c>
      <c r="M57" s="206">
        <v>156846243</v>
      </c>
      <c r="N57" s="206">
        <v>96083460</v>
      </c>
      <c r="O57" s="206">
        <v>272260521</v>
      </c>
      <c r="P57" s="206">
        <v>5775173</v>
      </c>
      <c r="Q57" s="206">
        <v>1931650</v>
      </c>
      <c r="R57" s="206">
        <v>1853171</v>
      </c>
      <c r="S57" s="406">
        <v>0</v>
      </c>
      <c r="T57" s="428">
        <f t="shared" si="3"/>
        <v>50</v>
      </c>
      <c r="U57" s="415">
        <f t="shared" si="4"/>
        <v>0.5</v>
      </c>
      <c r="V57" s="405">
        <v>0</v>
      </c>
      <c r="W57" s="428">
        <f t="shared" si="5"/>
        <v>50</v>
      </c>
      <c r="X57" s="415">
        <f t="shared" si="6"/>
        <v>0.5</v>
      </c>
      <c r="Y57" s="406">
        <v>0</v>
      </c>
      <c r="Z57" s="429">
        <v>0</v>
      </c>
      <c r="AA57" s="430">
        <f t="shared" si="7"/>
        <v>50</v>
      </c>
      <c r="AB57" s="415">
        <f t="shared" si="8"/>
        <v>0.5</v>
      </c>
      <c r="AC57" s="431">
        <v>0</v>
      </c>
      <c r="AD57" s="432">
        <f t="shared" si="9"/>
        <v>100</v>
      </c>
      <c r="AE57" s="433">
        <f t="shared" si="21"/>
        <v>4</v>
      </c>
      <c r="AF57" s="434" t="s">
        <v>2326</v>
      </c>
      <c r="AG57" s="434" t="s">
        <v>2326</v>
      </c>
      <c r="AH57" s="434" t="s">
        <v>2326</v>
      </c>
      <c r="AI57" s="362"/>
      <c r="AJ57" s="434" t="s">
        <v>2326</v>
      </c>
      <c r="AK57" s="434" t="s">
        <v>2326</v>
      </c>
      <c r="AL57" s="363"/>
      <c r="AM57" s="406">
        <v>0</v>
      </c>
      <c r="AN57" s="406">
        <v>0</v>
      </c>
      <c r="AO57" s="406">
        <v>0</v>
      </c>
      <c r="AP57" s="406">
        <v>0</v>
      </c>
      <c r="AQ57" s="406">
        <v>0</v>
      </c>
      <c r="AR57" s="406">
        <v>0</v>
      </c>
      <c r="AS57" s="406">
        <v>0</v>
      </c>
      <c r="AT57" s="406">
        <v>0</v>
      </c>
      <c r="AU57" s="407">
        <f t="shared" si="10"/>
        <v>0</v>
      </c>
      <c r="AV57" s="407">
        <f t="shared" si="11"/>
        <v>100</v>
      </c>
      <c r="AW57" s="408">
        <f t="shared" si="22"/>
        <v>5</v>
      </c>
      <c r="AX57" s="406">
        <v>1</v>
      </c>
      <c r="AY57" s="406">
        <v>0</v>
      </c>
      <c r="AZ57" s="406">
        <v>0</v>
      </c>
      <c r="BA57" s="406">
        <v>0</v>
      </c>
      <c r="BB57" s="430">
        <f t="shared" si="12"/>
        <v>1</v>
      </c>
      <c r="BC57" s="407">
        <f t="shared" si="13"/>
        <v>50</v>
      </c>
      <c r="BD57" s="408">
        <f t="shared" si="23"/>
        <v>1.5</v>
      </c>
      <c r="BE57" s="340">
        <f t="shared" si="14"/>
        <v>12</v>
      </c>
    </row>
    <row r="58" spans="1:57" x14ac:dyDescent="0.6">
      <c r="A58" s="214" t="s">
        <v>896</v>
      </c>
      <c r="B58" s="13" t="s">
        <v>2035</v>
      </c>
      <c r="C58" s="219" t="s">
        <v>501</v>
      </c>
      <c r="D58" s="216" t="s">
        <v>203</v>
      </c>
      <c r="E58" s="217" t="s">
        <v>200</v>
      </c>
      <c r="F58" s="217" t="s">
        <v>173</v>
      </c>
      <c r="G58" s="218">
        <v>33082</v>
      </c>
      <c r="H58" s="217" t="s">
        <v>830</v>
      </c>
      <c r="I58" s="217" t="s">
        <v>1576</v>
      </c>
      <c r="J58" s="217" t="s">
        <v>1237</v>
      </c>
      <c r="K58" s="217" t="s">
        <v>91</v>
      </c>
      <c r="L58" s="220">
        <v>10091235345</v>
      </c>
      <c r="M58" s="206">
        <v>1690777750</v>
      </c>
      <c r="N58" s="206">
        <v>8400457595</v>
      </c>
      <c r="O58" s="206">
        <v>8081377635</v>
      </c>
      <c r="P58" s="206">
        <v>931364084</v>
      </c>
      <c r="Q58" s="206">
        <v>876898600</v>
      </c>
      <c r="R58" s="206">
        <v>656193706</v>
      </c>
      <c r="S58" s="406">
        <v>0</v>
      </c>
      <c r="T58" s="428">
        <f t="shared" si="3"/>
        <v>50</v>
      </c>
      <c r="U58" s="415">
        <f t="shared" si="4"/>
        <v>0.5</v>
      </c>
      <c r="V58" s="405">
        <v>0</v>
      </c>
      <c r="W58" s="428">
        <f t="shared" si="5"/>
        <v>50</v>
      </c>
      <c r="X58" s="415">
        <f t="shared" si="6"/>
        <v>0.5</v>
      </c>
      <c r="Y58" s="406">
        <v>0</v>
      </c>
      <c r="Z58" s="429">
        <v>0</v>
      </c>
      <c r="AA58" s="430">
        <f t="shared" si="7"/>
        <v>50</v>
      </c>
      <c r="AB58" s="415">
        <f t="shared" si="8"/>
        <v>0.5</v>
      </c>
      <c r="AC58" s="431">
        <v>0</v>
      </c>
      <c r="AD58" s="432">
        <f t="shared" si="9"/>
        <v>100</v>
      </c>
      <c r="AE58" s="433">
        <f t="shared" si="21"/>
        <v>4</v>
      </c>
      <c r="AF58" s="434" t="s">
        <v>2326</v>
      </c>
      <c r="AG58" s="434" t="s">
        <v>2326</v>
      </c>
      <c r="AH58" s="434" t="s">
        <v>2326</v>
      </c>
      <c r="AI58" s="362"/>
      <c r="AJ58" s="434" t="s">
        <v>2326</v>
      </c>
      <c r="AK58" s="434" t="s">
        <v>2326</v>
      </c>
      <c r="AL58" s="363"/>
      <c r="AM58" s="406">
        <v>0</v>
      </c>
      <c r="AN58" s="406">
        <v>0</v>
      </c>
      <c r="AO58" s="406">
        <v>0</v>
      </c>
      <c r="AP58" s="406">
        <v>0</v>
      </c>
      <c r="AQ58" s="406">
        <v>0</v>
      </c>
      <c r="AR58" s="406">
        <v>0</v>
      </c>
      <c r="AS58" s="406">
        <v>0</v>
      </c>
      <c r="AT58" s="406">
        <v>0</v>
      </c>
      <c r="AU58" s="407">
        <f t="shared" si="10"/>
        <v>0</v>
      </c>
      <c r="AV58" s="407">
        <f t="shared" si="11"/>
        <v>100</v>
      </c>
      <c r="AW58" s="408">
        <f t="shared" si="22"/>
        <v>5</v>
      </c>
      <c r="AX58" s="406">
        <v>0</v>
      </c>
      <c r="AY58" s="406">
        <v>0</v>
      </c>
      <c r="AZ58" s="406">
        <v>0</v>
      </c>
      <c r="BA58" s="406">
        <v>0</v>
      </c>
      <c r="BB58" s="430">
        <f t="shared" si="12"/>
        <v>0</v>
      </c>
      <c r="BC58" s="407">
        <f t="shared" si="13"/>
        <v>25</v>
      </c>
      <c r="BD58" s="408">
        <f t="shared" si="23"/>
        <v>0.75</v>
      </c>
      <c r="BE58" s="340">
        <f t="shared" si="14"/>
        <v>11.25</v>
      </c>
    </row>
    <row r="59" spans="1:57" x14ac:dyDescent="0.6">
      <c r="A59" s="214" t="s">
        <v>520</v>
      </c>
      <c r="B59" s="13" t="s">
        <v>2036</v>
      </c>
      <c r="C59" s="219" t="s">
        <v>401</v>
      </c>
      <c r="D59" s="216" t="s">
        <v>203</v>
      </c>
      <c r="E59" s="217" t="s">
        <v>195</v>
      </c>
      <c r="F59" s="217" t="s">
        <v>636</v>
      </c>
      <c r="G59" s="218">
        <v>27905</v>
      </c>
      <c r="H59" s="217" t="s">
        <v>830</v>
      </c>
      <c r="I59" s="217" t="s">
        <v>591</v>
      </c>
      <c r="J59" s="217" t="s">
        <v>1028</v>
      </c>
      <c r="K59" s="217" t="s">
        <v>484</v>
      </c>
      <c r="L59" s="220">
        <v>1426860291</v>
      </c>
      <c r="M59" s="206">
        <v>243570816</v>
      </c>
      <c r="N59" s="206">
        <v>1183289475</v>
      </c>
      <c r="O59" s="206">
        <v>559167200</v>
      </c>
      <c r="P59" s="206">
        <v>43001257</v>
      </c>
      <c r="Q59" s="206">
        <v>60233515</v>
      </c>
      <c r="R59" s="206">
        <v>45128788</v>
      </c>
      <c r="S59" s="406">
        <v>0</v>
      </c>
      <c r="T59" s="428">
        <f t="shared" si="3"/>
        <v>50</v>
      </c>
      <c r="U59" s="415">
        <f t="shared" si="4"/>
        <v>0.5</v>
      </c>
      <c r="V59" s="405">
        <v>0</v>
      </c>
      <c r="W59" s="428">
        <f t="shared" si="5"/>
        <v>50</v>
      </c>
      <c r="X59" s="415">
        <f t="shared" si="6"/>
        <v>0.5</v>
      </c>
      <c r="Y59" s="406">
        <v>0</v>
      </c>
      <c r="Z59" s="429">
        <v>0</v>
      </c>
      <c r="AA59" s="430">
        <f t="shared" si="7"/>
        <v>50</v>
      </c>
      <c r="AB59" s="415">
        <f t="shared" si="8"/>
        <v>0.5</v>
      </c>
      <c r="AC59" s="431">
        <v>0</v>
      </c>
      <c r="AD59" s="432">
        <f t="shared" si="9"/>
        <v>100</v>
      </c>
      <c r="AE59" s="433">
        <f t="shared" si="21"/>
        <v>4</v>
      </c>
      <c r="AF59" s="434" t="s">
        <v>2326</v>
      </c>
      <c r="AG59" s="434" t="s">
        <v>2326</v>
      </c>
      <c r="AH59" s="434" t="s">
        <v>2326</v>
      </c>
      <c r="AI59" s="362"/>
      <c r="AJ59" s="434" t="s">
        <v>2326</v>
      </c>
      <c r="AK59" s="434" t="s">
        <v>2326</v>
      </c>
      <c r="AL59" s="363"/>
      <c r="AM59" s="406">
        <v>0</v>
      </c>
      <c r="AN59" s="406">
        <v>0</v>
      </c>
      <c r="AO59" s="406">
        <v>0</v>
      </c>
      <c r="AP59" s="406">
        <v>0</v>
      </c>
      <c r="AQ59" s="406">
        <v>0</v>
      </c>
      <c r="AR59" s="406">
        <v>0</v>
      </c>
      <c r="AS59" s="406">
        <v>0</v>
      </c>
      <c r="AT59" s="406">
        <v>0</v>
      </c>
      <c r="AU59" s="407">
        <f t="shared" si="10"/>
        <v>0</v>
      </c>
      <c r="AV59" s="407">
        <f t="shared" si="11"/>
        <v>100</v>
      </c>
      <c r="AW59" s="408">
        <f t="shared" si="22"/>
        <v>5</v>
      </c>
      <c r="AX59" s="406">
        <v>1</v>
      </c>
      <c r="AY59" s="406">
        <v>0</v>
      </c>
      <c r="AZ59" s="406">
        <v>0</v>
      </c>
      <c r="BA59" s="406">
        <v>0</v>
      </c>
      <c r="BB59" s="430">
        <f t="shared" si="12"/>
        <v>1</v>
      </c>
      <c r="BC59" s="407">
        <f t="shared" si="13"/>
        <v>50</v>
      </c>
      <c r="BD59" s="408">
        <f t="shared" si="23"/>
        <v>1.5</v>
      </c>
      <c r="BE59" s="340">
        <f t="shared" si="14"/>
        <v>12</v>
      </c>
    </row>
    <row r="60" spans="1:57" x14ac:dyDescent="0.6">
      <c r="A60" s="214" t="s">
        <v>549</v>
      </c>
      <c r="B60" s="13" t="s">
        <v>2037</v>
      </c>
      <c r="C60" s="219" t="s">
        <v>365</v>
      </c>
      <c r="D60" s="216" t="s">
        <v>191</v>
      </c>
      <c r="E60" s="217" t="s">
        <v>34</v>
      </c>
      <c r="F60" s="217" t="s">
        <v>566</v>
      </c>
      <c r="G60" s="218">
        <v>32829</v>
      </c>
      <c r="H60" s="217" t="s">
        <v>830</v>
      </c>
      <c r="I60" s="217" t="s">
        <v>693</v>
      </c>
      <c r="J60" s="217" t="s">
        <v>974</v>
      </c>
      <c r="K60" s="217" t="s">
        <v>91</v>
      </c>
      <c r="L60" s="220">
        <v>767629606</v>
      </c>
      <c r="M60" s="206">
        <v>261642769</v>
      </c>
      <c r="N60" s="206">
        <v>505986838</v>
      </c>
      <c r="O60" s="206">
        <v>850526444</v>
      </c>
      <c r="P60" s="206">
        <v>33566313</v>
      </c>
      <c r="Q60" s="206">
        <v>31909767</v>
      </c>
      <c r="R60" s="206">
        <v>23739402</v>
      </c>
      <c r="S60" s="406">
        <v>0</v>
      </c>
      <c r="T60" s="428">
        <f t="shared" si="3"/>
        <v>50</v>
      </c>
      <c r="U60" s="415">
        <f t="shared" si="4"/>
        <v>0.5</v>
      </c>
      <c r="V60" s="405">
        <v>0</v>
      </c>
      <c r="W60" s="428">
        <f t="shared" si="5"/>
        <v>50</v>
      </c>
      <c r="X60" s="415">
        <f t="shared" si="6"/>
        <v>0.5</v>
      </c>
      <c r="Y60" s="406">
        <v>0</v>
      </c>
      <c r="Z60" s="429">
        <v>0</v>
      </c>
      <c r="AA60" s="430">
        <f t="shared" si="7"/>
        <v>50</v>
      </c>
      <c r="AB60" s="415">
        <f t="shared" si="8"/>
        <v>0.5</v>
      </c>
      <c r="AC60" s="431">
        <v>0</v>
      </c>
      <c r="AD60" s="432">
        <f t="shared" si="9"/>
        <v>100</v>
      </c>
      <c r="AE60" s="433">
        <f t="shared" si="21"/>
        <v>4</v>
      </c>
      <c r="AF60" s="434" t="s">
        <v>2326</v>
      </c>
      <c r="AG60" s="434" t="s">
        <v>2326</v>
      </c>
      <c r="AH60" s="434" t="s">
        <v>2326</v>
      </c>
      <c r="AI60" s="362"/>
      <c r="AJ60" s="434" t="s">
        <v>2326</v>
      </c>
      <c r="AK60" s="434" t="s">
        <v>2326</v>
      </c>
      <c r="AL60" s="363"/>
      <c r="AM60" s="406">
        <v>0</v>
      </c>
      <c r="AN60" s="406">
        <v>0</v>
      </c>
      <c r="AO60" s="406">
        <v>0</v>
      </c>
      <c r="AP60" s="406">
        <v>0</v>
      </c>
      <c r="AQ60" s="406">
        <v>0</v>
      </c>
      <c r="AR60" s="406">
        <v>0</v>
      </c>
      <c r="AS60" s="406">
        <v>0</v>
      </c>
      <c r="AT60" s="406">
        <v>0</v>
      </c>
      <c r="AU60" s="407">
        <f t="shared" si="10"/>
        <v>0</v>
      </c>
      <c r="AV60" s="407">
        <f t="shared" si="11"/>
        <v>100</v>
      </c>
      <c r="AW60" s="408">
        <f t="shared" si="22"/>
        <v>5</v>
      </c>
      <c r="AX60" s="406">
        <v>0</v>
      </c>
      <c r="AY60" s="406">
        <v>0</v>
      </c>
      <c r="AZ60" s="406">
        <v>0</v>
      </c>
      <c r="BA60" s="406">
        <v>0</v>
      </c>
      <c r="BB60" s="430">
        <f t="shared" si="12"/>
        <v>0</v>
      </c>
      <c r="BC60" s="407">
        <f t="shared" si="13"/>
        <v>25</v>
      </c>
      <c r="BD60" s="408">
        <f t="shared" si="23"/>
        <v>0.75</v>
      </c>
      <c r="BE60" s="340">
        <f t="shared" si="14"/>
        <v>11.25</v>
      </c>
    </row>
    <row r="61" spans="1:57" x14ac:dyDescent="0.6">
      <c r="A61" s="214" t="s">
        <v>1577</v>
      </c>
      <c r="B61" s="13" t="s">
        <v>2038</v>
      </c>
      <c r="C61" s="219" t="s">
        <v>101</v>
      </c>
      <c r="D61" s="216" t="s">
        <v>202</v>
      </c>
      <c r="E61" s="217" t="s">
        <v>382</v>
      </c>
      <c r="F61" s="217" t="s">
        <v>127</v>
      </c>
      <c r="G61" s="218">
        <v>33130</v>
      </c>
      <c r="H61" s="217" t="s">
        <v>830</v>
      </c>
      <c r="I61" s="217" t="s">
        <v>369</v>
      </c>
      <c r="J61" s="217" t="s">
        <v>1032</v>
      </c>
      <c r="K61" s="217" t="s">
        <v>690</v>
      </c>
      <c r="L61" s="220">
        <v>153664335</v>
      </c>
      <c r="M61" s="206">
        <v>48649816</v>
      </c>
      <c r="N61" s="206">
        <v>105014518</v>
      </c>
      <c r="O61" s="206">
        <v>130228176</v>
      </c>
      <c r="P61" s="206">
        <v>4340165</v>
      </c>
      <c r="Q61" s="206">
        <v>4654301</v>
      </c>
      <c r="R61" s="206">
        <v>4153557</v>
      </c>
      <c r="S61" s="406">
        <v>0</v>
      </c>
      <c r="T61" s="428">
        <f t="shared" si="3"/>
        <v>50</v>
      </c>
      <c r="U61" s="415">
        <f t="shared" si="4"/>
        <v>0.5</v>
      </c>
      <c r="V61" s="405">
        <v>0</v>
      </c>
      <c r="W61" s="428">
        <f t="shared" si="5"/>
        <v>50</v>
      </c>
      <c r="X61" s="415">
        <f t="shared" si="6"/>
        <v>0.5</v>
      </c>
      <c r="Y61" s="406">
        <v>0</v>
      </c>
      <c r="Z61" s="429">
        <v>0</v>
      </c>
      <c r="AA61" s="430">
        <f t="shared" si="7"/>
        <v>50</v>
      </c>
      <c r="AB61" s="415">
        <f t="shared" si="8"/>
        <v>0.5</v>
      </c>
      <c r="AC61" s="431">
        <v>0</v>
      </c>
      <c r="AD61" s="432">
        <f t="shared" si="9"/>
        <v>100</v>
      </c>
      <c r="AE61" s="433">
        <f t="shared" si="21"/>
        <v>4</v>
      </c>
      <c r="AF61" s="434" t="s">
        <v>2326</v>
      </c>
      <c r="AG61" s="434" t="s">
        <v>2326</v>
      </c>
      <c r="AH61" s="434" t="s">
        <v>2326</v>
      </c>
      <c r="AI61" s="362"/>
      <c r="AJ61" s="434" t="s">
        <v>2326</v>
      </c>
      <c r="AK61" s="434" t="s">
        <v>2326</v>
      </c>
      <c r="AL61" s="363"/>
      <c r="AM61" s="406">
        <v>0</v>
      </c>
      <c r="AN61" s="406">
        <v>0</v>
      </c>
      <c r="AO61" s="406">
        <v>0</v>
      </c>
      <c r="AP61" s="406">
        <v>0</v>
      </c>
      <c r="AQ61" s="406">
        <v>0</v>
      </c>
      <c r="AR61" s="406">
        <v>0</v>
      </c>
      <c r="AS61" s="406">
        <v>0</v>
      </c>
      <c r="AT61" s="406">
        <v>0</v>
      </c>
      <c r="AU61" s="407">
        <f t="shared" si="10"/>
        <v>0</v>
      </c>
      <c r="AV61" s="407">
        <f t="shared" si="11"/>
        <v>100</v>
      </c>
      <c r="AW61" s="408">
        <f t="shared" si="22"/>
        <v>5</v>
      </c>
      <c r="AX61" s="406">
        <v>0</v>
      </c>
      <c r="AY61" s="406">
        <v>0</v>
      </c>
      <c r="AZ61" s="406">
        <v>0</v>
      </c>
      <c r="BA61" s="406">
        <v>0</v>
      </c>
      <c r="BB61" s="430">
        <f t="shared" si="12"/>
        <v>0</v>
      </c>
      <c r="BC61" s="407">
        <f t="shared" si="13"/>
        <v>25</v>
      </c>
      <c r="BD61" s="408">
        <f t="shared" si="23"/>
        <v>0.75</v>
      </c>
      <c r="BE61" s="340">
        <f t="shared" si="14"/>
        <v>11.25</v>
      </c>
    </row>
    <row r="62" spans="1:57" x14ac:dyDescent="0.6">
      <c r="A62" s="214" t="s">
        <v>353</v>
      </c>
      <c r="B62" s="13" t="s">
        <v>2039</v>
      </c>
      <c r="C62" s="219" t="s">
        <v>492</v>
      </c>
      <c r="D62" s="216" t="s">
        <v>285</v>
      </c>
      <c r="E62" s="217" t="s">
        <v>504</v>
      </c>
      <c r="F62" s="217" t="s">
        <v>713</v>
      </c>
      <c r="G62" s="218">
        <v>37294</v>
      </c>
      <c r="H62" s="217" t="s">
        <v>830</v>
      </c>
      <c r="I62" s="217" t="s">
        <v>727</v>
      </c>
      <c r="J62" s="217" t="s">
        <v>1250</v>
      </c>
      <c r="K62" s="217" t="s">
        <v>487</v>
      </c>
      <c r="L62" s="220">
        <v>913454051</v>
      </c>
      <c r="M62" s="206">
        <v>123544315</v>
      </c>
      <c r="N62" s="206">
        <v>789909736</v>
      </c>
      <c r="O62" s="206">
        <v>184873955</v>
      </c>
      <c r="P62" s="206">
        <v>65584851</v>
      </c>
      <c r="Q62" s="206">
        <v>76860200</v>
      </c>
      <c r="R62" s="206">
        <v>56946615</v>
      </c>
      <c r="S62" s="406">
        <v>0</v>
      </c>
      <c r="T62" s="428">
        <f t="shared" si="3"/>
        <v>50</v>
      </c>
      <c r="U62" s="415">
        <f t="shared" si="4"/>
        <v>0.5</v>
      </c>
      <c r="V62" s="405">
        <v>0</v>
      </c>
      <c r="W62" s="428">
        <f t="shared" si="5"/>
        <v>50</v>
      </c>
      <c r="X62" s="415">
        <f t="shared" si="6"/>
        <v>0.5</v>
      </c>
      <c r="Y62" s="406">
        <v>0</v>
      </c>
      <c r="Z62" s="429">
        <v>0</v>
      </c>
      <c r="AA62" s="430">
        <f t="shared" si="7"/>
        <v>50</v>
      </c>
      <c r="AB62" s="415">
        <f t="shared" si="8"/>
        <v>0.5</v>
      </c>
      <c r="AC62" s="431">
        <v>0</v>
      </c>
      <c r="AD62" s="432">
        <f t="shared" si="9"/>
        <v>100</v>
      </c>
      <c r="AE62" s="433">
        <f t="shared" si="21"/>
        <v>4</v>
      </c>
      <c r="AF62" s="434" t="s">
        <v>2326</v>
      </c>
      <c r="AG62" s="434" t="s">
        <v>2326</v>
      </c>
      <c r="AH62" s="434" t="s">
        <v>2326</v>
      </c>
      <c r="AI62" s="362"/>
      <c r="AJ62" s="434" t="s">
        <v>2326</v>
      </c>
      <c r="AK62" s="434" t="s">
        <v>2326</v>
      </c>
      <c r="AL62" s="363"/>
      <c r="AM62" s="406">
        <v>0</v>
      </c>
      <c r="AN62" s="406">
        <v>0</v>
      </c>
      <c r="AO62" s="406">
        <v>0</v>
      </c>
      <c r="AP62" s="406">
        <v>0</v>
      </c>
      <c r="AQ62" s="406">
        <v>0</v>
      </c>
      <c r="AR62" s="406">
        <v>0</v>
      </c>
      <c r="AS62" s="406">
        <v>0</v>
      </c>
      <c r="AT62" s="406">
        <v>0</v>
      </c>
      <c r="AU62" s="407">
        <f t="shared" si="10"/>
        <v>0</v>
      </c>
      <c r="AV62" s="407">
        <f t="shared" si="11"/>
        <v>100</v>
      </c>
      <c r="AW62" s="408">
        <f t="shared" si="22"/>
        <v>5</v>
      </c>
      <c r="AX62" s="406">
        <v>0</v>
      </c>
      <c r="AY62" s="406">
        <v>0</v>
      </c>
      <c r="AZ62" s="406">
        <v>0</v>
      </c>
      <c r="BA62" s="406">
        <v>0</v>
      </c>
      <c r="BB62" s="430">
        <f t="shared" si="12"/>
        <v>0</v>
      </c>
      <c r="BC62" s="407">
        <f t="shared" si="13"/>
        <v>25</v>
      </c>
      <c r="BD62" s="408">
        <f t="shared" si="23"/>
        <v>0.75</v>
      </c>
      <c r="BE62" s="340">
        <f t="shared" si="14"/>
        <v>11.25</v>
      </c>
    </row>
    <row r="63" spans="1:57" x14ac:dyDescent="0.6">
      <c r="A63" s="214" t="s">
        <v>1578</v>
      </c>
      <c r="B63" s="13" t="s">
        <v>2040</v>
      </c>
      <c r="C63" s="219" t="s">
        <v>1579</v>
      </c>
      <c r="D63" s="79" t="s">
        <v>350</v>
      </c>
      <c r="E63" s="217" t="s">
        <v>179</v>
      </c>
      <c r="F63" s="217" t="s">
        <v>992</v>
      </c>
      <c r="G63" s="218">
        <v>37455</v>
      </c>
      <c r="H63" s="217" t="s">
        <v>830</v>
      </c>
      <c r="I63" s="217" t="s">
        <v>1580</v>
      </c>
      <c r="J63" s="217" t="s">
        <v>1581</v>
      </c>
      <c r="K63" s="217" t="s">
        <v>91</v>
      </c>
      <c r="L63" s="220">
        <v>12149139534</v>
      </c>
      <c r="M63" s="206">
        <v>10584274049</v>
      </c>
      <c r="N63" s="206">
        <v>1564865485</v>
      </c>
      <c r="O63" s="206">
        <v>4036211805</v>
      </c>
      <c r="P63" s="206">
        <v>90025670</v>
      </c>
      <c r="Q63" s="206">
        <v>63262018</v>
      </c>
      <c r="R63" s="206">
        <v>44599774</v>
      </c>
      <c r="S63" s="406">
        <v>0</v>
      </c>
      <c r="T63" s="428">
        <f t="shared" si="3"/>
        <v>50</v>
      </c>
      <c r="U63" s="415">
        <f t="shared" si="4"/>
        <v>0.5</v>
      </c>
      <c r="V63" s="405">
        <v>0</v>
      </c>
      <c r="W63" s="428">
        <f t="shared" si="5"/>
        <v>50</v>
      </c>
      <c r="X63" s="415">
        <f t="shared" si="6"/>
        <v>0.5</v>
      </c>
      <c r="Y63" s="406">
        <v>0</v>
      </c>
      <c r="Z63" s="429">
        <v>0</v>
      </c>
      <c r="AA63" s="430">
        <f t="shared" si="7"/>
        <v>50</v>
      </c>
      <c r="AB63" s="415">
        <f t="shared" si="8"/>
        <v>0.5</v>
      </c>
      <c r="AC63" s="75">
        <v>0</v>
      </c>
      <c r="AD63" s="432">
        <f t="shared" si="9"/>
        <v>100</v>
      </c>
      <c r="AE63" s="435">
        <f>AD63*0.03</f>
        <v>3</v>
      </c>
      <c r="AF63" s="436">
        <v>0</v>
      </c>
      <c r="AG63" s="437">
        <f>(_xlfn.PERCENTRANK.INC(AF:AF,AF63, 2))*100</f>
        <v>0</v>
      </c>
      <c r="AH63" s="437">
        <f>IF(AF63=0, 100, IF(AG63&lt;10, 80, IF(AG63&lt;50, 60, IF(AG63&lt;90, 40, 20))))</f>
        <v>100</v>
      </c>
      <c r="AI63" s="263">
        <f>AH63*0.03</f>
        <v>3</v>
      </c>
      <c r="AJ63" s="264" t="s">
        <v>3540</v>
      </c>
      <c r="AK63" s="265">
        <f>IF(AJ63="우수", 100, IF(AJ63="양호", 80, IF(AJ63="보통", 60, IF(AJ63= "평가미대상", 60, IF(AJ63="미흡", 40, IF(AJ63="취약", 20))))))</f>
        <v>60</v>
      </c>
      <c r="AL63" s="141">
        <f>AK63*0.03</f>
        <v>1.7999999999999998</v>
      </c>
      <c r="AM63" s="406">
        <v>0</v>
      </c>
      <c r="AN63" s="406">
        <v>0</v>
      </c>
      <c r="AO63" s="406">
        <v>0</v>
      </c>
      <c r="AP63" s="406">
        <v>0</v>
      </c>
      <c r="AQ63" s="406">
        <v>0</v>
      </c>
      <c r="AR63" s="406">
        <v>0</v>
      </c>
      <c r="AS63" s="406">
        <v>0</v>
      </c>
      <c r="AT63" s="406">
        <v>0</v>
      </c>
      <c r="AU63" s="407">
        <f t="shared" si="10"/>
        <v>0</v>
      </c>
      <c r="AV63" s="407">
        <f t="shared" si="11"/>
        <v>100</v>
      </c>
      <c r="AW63" s="438">
        <f>AV63*0.02</f>
        <v>2</v>
      </c>
      <c r="AX63" s="406">
        <v>0</v>
      </c>
      <c r="AY63" s="406">
        <v>0</v>
      </c>
      <c r="AZ63" s="406">
        <v>0</v>
      </c>
      <c r="BA63" s="406">
        <v>0</v>
      </c>
      <c r="BB63" s="430">
        <f t="shared" si="12"/>
        <v>0</v>
      </c>
      <c r="BC63" s="407">
        <f t="shared" si="13"/>
        <v>25</v>
      </c>
      <c r="BD63" s="418">
        <f>BC63*0.01</f>
        <v>0.25</v>
      </c>
      <c r="BE63" s="340">
        <f t="shared" si="14"/>
        <v>11.55</v>
      </c>
    </row>
    <row r="64" spans="1:57" x14ac:dyDescent="0.6">
      <c r="A64" s="214" t="s">
        <v>1582</v>
      </c>
      <c r="B64" s="13" t="s">
        <v>2041</v>
      </c>
      <c r="C64" s="219" t="s">
        <v>322</v>
      </c>
      <c r="D64" s="216" t="s">
        <v>191</v>
      </c>
      <c r="E64" s="217" t="s">
        <v>568</v>
      </c>
      <c r="F64" s="217" t="s">
        <v>176</v>
      </c>
      <c r="G64" s="218">
        <v>44147</v>
      </c>
      <c r="H64" s="217" t="s">
        <v>830</v>
      </c>
      <c r="I64" s="217" t="s">
        <v>719</v>
      </c>
      <c r="J64" s="217" t="s">
        <v>1045</v>
      </c>
      <c r="K64" s="217" t="s">
        <v>31</v>
      </c>
      <c r="L64" s="220">
        <v>262827323</v>
      </c>
      <c r="M64" s="206">
        <v>108764144</v>
      </c>
      <c r="N64" s="206">
        <v>154063179</v>
      </c>
      <c r="O64" s="206">
        <v>498874562</v>
      </c>
      <c r="P64" s="206">
        <v>2862765</v>
      </c>
      <c r="Q64" s="206">
        <v>2792639</v>
      </c>
      <c r="R64" s="206">
        <v>2643471</v>
      </c>
      <c r="S64" s="406">
        <v>0</v>
      </c>
      <c r="T64" s="428">
        <f t="shared" si="3"/>
        <v>50</v>
      </c>
      <c r="U64" s="415">
        <f t="shared" si="4"/>
        <v>0.5</v>
      </c>
      <c r="V64" s="405">
        <v>0</v>
      </c>
      <c r="W64" s="428">
        <f t="shared" si="5"/>
        <v>50</v>
      </c>
      <c r="X64" s="415">
        <f t="shared" si="6"/>
        <v>0.5</v>
      </c>
      <c r="Y64" s="406">
        <v>0</v>
      </c>
      <c r="Z64" s="429">
        <v>0</v>
      </c>
      <c r="AA64" s="430">
        <f t="shared" si="7"/>
        <v>50</v>
      </c>
      <c r="AB64" s="415">
        <f t="shared" si="8"/>
        <v>0.5</v>
      </c>
      <c r="AC64" s="431">
        <v>1</v>
      </c>
      <c r="AD64" s="432">
        <f t="shared" si="9"/>
        <v>80</v>
      </c>
      <c r="AE64" s="433">
        <f t="shared" ref="AE64:AE75" si="24">AD64*0.04</f>
        <v>3.2</v>
      </c>
      <c r="AF64" s="434" t="s">
        <v>2326</v>
      </c>
      <c r="AG64" s="434" t="s">
        <v>2326</v>
      </c>
      <c r="AH64" s="434" t="s">
        <v>2326</v>
      </c>
      <c r="AI64" s="362"/>
      <c r="AJ64" s="434" t="s">
        <v>2326</v>
      </c>
      <c r="AK64" s="434" t="s">
        <v>2326</v>
      </c>
      <c r="AL64" s="363"/>
      <c r="AM64" s="406">
        <v>0</v>
      </c>
      <c r="AN64" s="406">
        <v>0</v>
      </c>
      <c r="AO64" s="406">
        <v>0</v>
      </c>
      <c r="AP64" s="406">
        <v>0</v>
      </c>
      <c r="AQ64" s="406">
        <v>0</v>
      </c>
      <c r="AR64" s="406">
        <v>0</v>
      </c>
      <c r="AS64" s="406">
        <v>0</v>
      </c>
      <c r="AT64" s="406">
        <v>0</v>
      </c>
      <c r="AU64" s="407">
        <f t="shared" si="10"/>
        <v>0</v>
      </c>
      <c r="AV64" s="407">
        <f t="shared" si="11"/>
        <v>100</v>
      </c>
      <c r="AW64" s="408">
        <f t="shared" ref="AW64:AW75" si="25">AV64*0.05</f>
        <v>5</v>
      </c>
      <c r="AX64" s="406">
        <v>0</v>
      </c>
      <c r="AY64" s="406">
        <v>0</v>
      </c>
      <c r="AZ64" s="406">
        <v>0</v>
      </c>
      <c r="BA64" s="406">
        <v>0</v>
      </c>
      <c r="BB64" s="430">
        <f t="shared" si="12"/>
        <v>0</v>
      </c>
      <c r="BC64" s="407">
        <f t="shared" si="13"/>
        <v>25</v>
      </c>
      <c r="BD64" s="408">
        <f t="shared" ref="BD64:BD75" si="26">BC64*0.03</f>
        <v>0.75</v>
      </c>
      <c r="BE64" s="340">
        <f t="shared" si="14"/>
        <v>10.45</v>
      </c>
    </row>
    <row r="65" spans="1:57" x14ac:dyDescent="0.6">
      <c r="A65" s="214" t="s">
        <v>512</v>
      </c>
      <c r="B65" s="13" t="s">
        <v>2042</v>
      </c>
      <c r="C65" s="219" t="s">
        <v>14</v>
      </c>
      <c r="D65" s="216" t="s">
        <v>203</v>
      </c>
      <c r="E65" s="217" t="s">
        <v>188</v>
      </c>
      <c r="F65" s="217" t="s">
        <v>582</v>
      </c>
      <c r="G65" s="218">
        <v>38645</v>
      </c>
      <c r="H65" s="217" t="s">
        <v>830</v>
      </c>
      <c r="I65" s="217" t="s">
        <v>703</v>
      </c>
      <c r="J65" s="217" t="s">
        <v>1055</v>
      </c>
      <c r="K65" s="217" t="s">
        <v>425</v>
      </c>
      <c r="L65" s="220">
        <v>196645335</v>
      </c>
      <c r="M65" s="206">
        <v>74168153</v>
      </c>
      <c r="N65" s="206">
        <v>122477182</v>
      </c>
      <c r="O65" s="206">
        <v>324927356</v>
      </c>
      <c r="P65" s="206">
        <v>17219652</v>
      </c>
      <c r="Q65" s="206">
        <v>5989331</v>
      </c>
      <c r="R65" s="206">
        <v>2870341</v>
      </c>
      <c r="S65" s="406">
        <v>0</v>
      </c>
      <c r="T65" s="428">
        <f t="shared" si="3"/>
        <v>50</v>
      </c>
      <c r="U65" s="415">
        <f t="shared" si="4"/>
        <v>0.5</v>
      </c>
      <c r="V65" s="405">
        <v>0</v>
      </c>
      <c r="W65" s="428">
        <f t="shared" si="5"/>
        <v>50</v>
      </c>
      <c r="X65" s="415">
        <f t="shared" si="6"/>
        <v>0.5</v>
      </c>
      <c r="Y65" s="406">
        <v>0</v>
      </c>
      <c r="Z65" s="429">
        <v>0</v>
      </c>
      <c r="AA65" s="430">
        <f t="shared" si="7"/>
        <v>50</v>
      </c>
      <c r="AB65" s="415">
        <f t="shared" si="8"/>
        <v>0.5</v>
      </c>
      <c r="AC65" s="431">
        <v>0</v>
      </c>
      <c r="AD65" s="432">
        <f t="shared" si="9"/>
        <v>100</v>
      </c>
      <c r="AE65" s="433">
        <f t="shared" si="24"/>
        <v>4</v>
      </c>
      <c r="AF65" s="434" t="s">
        <v>2326</v>
      </c>
      <c r="AG65" s="434" t="s">
        <v>2326</v>
      </c>
      <c r="AH65" s="434" t="s">
        <v>2326</v>
      </c>
      <c r="AI65" s="362"/>
      <c r="AJ65" s="434" t="s">
        <v>2326</v>
      </c>
      <c r="AK65" s="434" t="s">
        <v>2326</v>
      </c>
      <c r="AL65" s="363"/>
      <c r="AM65" s="406">
        <v>0</v>
      </c>
      <c r="AN65" s="406">
        <v>0</v>
      </c>
      <c r="AO65" s="406">
        <v>0</v>
      </c>
      <c r="AP65" s="406">
        <v>0</v>
      </c>
      <c r="AQ65" s="406">
        <v>0</v>
      </c>
      <c r="AR65" s="406">
        <v>0</v>
      </c>
      <c r="AS65" s="406">
        <v>0</v>
      </c>
      <c r="AT65" s="406">
        <v>0</v>
      </c>
      <c r="AU65" s="407">
        <f t="shared" si="10"/>
        <v>0</v>
      </c>
      <c r="AV65" s="407">
        <f t="shared" si="11"/>
        <v>100</v>
      </c>
      <c r="AW65" s="408">
        <f t="shared" si="25"/>
        <v>5</v>
      </c>
      <c r="AX65" s="406">
        <v>1</v>
      </c>
      <c r="AY65" s="406">
        <v>0</v>
      </c>
      <c r="AZ65" s="406">
        <v>0</v>
      </c>
      <c r="BA65" s="406">
        <v>0</v>
      </c>
      <c r="BB65" s="430">
        <f t="shared" si="12"/>
        <v>1</v>
      </c>
      <c r="BC65" s="407">
        <f t="shared" si="13"/>
        <v>50</v>
      </c>
      <c r="BD65" s="408">
        <f t="shared" si="26"/>
        <v>1.5</v>
      </c>
      <c r="BE65" s="340">
        <f t="shared" si="14"/>
        <v>12</v>
      </c>
    </row>
    <row r="66" spans="1:57" x14ac:dyDescent="0.6">
      <c r="A66" s="214" t="s">
        <v>863</v>
      </c>
      <c r="B66" s="13" t="s">
        <v>2043</v>
      </c>
      <c r="C66" s="219" t="s">
        <v>106</v>
      </c>
      <c r="D66" s="216" t="s">
        <v>203</v>
      </c>
      <c r="E66" s="217" t="s">
        <v>187</v>
      </c>
      <c r="F66" s="217" t="s">
        <v>143</v>
      </c>
      <c r="G66" s="218">
        <v>33269</v>
      </c>
      <c r="H66" s="217" t="s">
        <v>830</v>
      </c>
      <c r="I66" s="217" t="s">
        <v>570</v>
      </c>
      <c r="J66" s="217" t="s">
        <v>1054</v>
      </c>
      <c r="K66" s="217" t="s">
        <v>50</v>
      </c>
      <c r="L66" s="220">
        <v>315529254</v>
      </c>
      <c r="M66" s="206">
        <v>128655873</v>
      </c>
      <c r="N66" s="206">
        <v>186873382</v>
      </c>
      <c r="O66" s="206">
        <v>1220548455</v>
      </c>
      <c r="P66" s="206">
        <v>27189227</v>
      </c>
      <c r="Q66" s="206">
        <v>23861778</v>
      </c>
      <c r="R66" s="206">
        <v>17593831</v>
      </c>
      <c r="S66" s="406">
        <v>0</v>
      </c>
      <c r="T66" s="428">
        <f t="shared" si="3"/>
        <v>50</v>
      </c>
      <c r="U66" s="415">
        <f t="shared" si="4"/>
        <v>0.5</v>
      </c>
      <c r="V66" s="405">
        <v>0</v>
      </c>
      <c r="W66" s="428">
        <f t="shared" si="5"/>
        <v>50</v>
      </c>
      <c r="X66" s="415">
        <f t="shared" si="6"/>
        <v>0.5</v>
      </c>
      <c r="Y66" s="406">
        <v>0</v>
      </c>
      <c r="Z66" s="429">
        <v>0</v>
      </c>
      <c r="AA66" s="430">
        <f t="shared" si="7"/>
        <v>50</v>
      </c>
      <c r="AB66" s="415">
        <f t="shared" si="8"/>
        <v>0.5</v>
      </c>
      <c r="AC66" s="431">
        <v>0</v>
      </c>
      <c r="AD66" s="432">
        <f t="shared" si="9"/>
        <v>100</v>
      </c>
      <c r="AE66" s="433">
        <f t="shared" si="24"/>
        <v>4</v>
      </c>
      <c r="AF66" s="434" t="s">
        <v>2326</v>
      </c>
      <c r="AG66" s="434" t="s">
        <v>2326</v>
      </c>
      <c r="AH66" s="434" t="s">
        <v>2326</v>
      </c>
      <c r="AI66" s="362"/>
      <c r="AJ66" s="434" t="s">
        <v>2326</v>
      </c>
      <c r="AK66" s="434" t="s">
        <v>2326</v>
      </c>
      <c r="AL66" s="363"/>
      <c r="AM66" s="406">
        <v>0</v>
      </c>
      <c r="AN66" s="406">
        <v>0</v>
      </c>
      <c r="AO66" s="406">
        <v>0</v>
      </c>
      <c r="AP66" s="406">
        <v>0</v>
      </c>
      <c r="AQ66" s="406">
        <v>0</v>
      </c>
      <c r="AR66" s="406">
        <v>0</v>
      </c>
      <c r="AS66" s="406">
        <v>0</v>
      </c>
      <c r="AT66" s="406">
        <v>0</v>
      </c>
      <c r="AU66" s="407">
        <f t="shared" si="10"/>
        <v>0</v>
      </c>
      <c r="AV66" s="407">
        <f t="shared" si="11"/>
        <v>100</v>
      </c>
      <c r="AW66" s="408">
        <f t="shared" si="25"/>
        <v>5</v>
      </c>
      <c r="AX66" s="406">
        <v>1</v>
      </c>
      <c r="AY66" s="406">
        <v>0</v>
      </c>
      <c r="AZ66" s="406">
        <v>0</v>
      </c>
      <c r="BA66" s="406">
        <v>0</v>
      </c>
      <c r="BB66" s="430">
        <f t="shared" si="12"/>
        <v>1</v>
      </c>
      <c r="BC66" s="407">
        <f t="shared" si="13"/>
        <v>50</v>
      </c>
      <c r="BD66" s="408">
        <f t="shared" si="26"/>
        <v>1.5</v>
      </c>
      <c r="BE66" s="340">
        <f t="shared" si="14"/>
        <v>12</v>
      </c>
    </row>
    <row r="67" spans="1:57" x14ac:dyDescent="0.6">
      <c r="A67" s="214" t="s">
        <v>941</v>
      </c>
      <c r="B67" s="13" t="s">
        <v>2044</v>
      </c>
      <c r="C67" s="219" t="s">
        <v>866</v>
      </c>
      <c r="D67" s="216" t="s">
        <v>285</v>
      </c>
      <c r="E67" s="217" t="s">
        <v>872</v>
      </c>
      <c r="F67" s="217" t="s">
        <v>1106</v>
      </c>
      <c r="G67" s="218">
        <v>27937</v>
      </c>
      <c r="H67" s="217" t="s">
        <v>830</v>
      </c>
      <c r="I67" s="217" t="s">
        <v>779</v>
      </c>
      <c r="J67" s="217" t="s">
        <v>1030</v>
      </c>
      <c r="K67" s="217" t="s">
        <v>341</v>
      </c>
      <c r="L67" s="220">
        <v>1690618825</v>
      </c>
      <c r="M67" s="206">
        <v>1132886300</v>
      </c>
      <c r="N67" s="206">
        <v>557732525</v>
      </c>
      <c r="O67" s="206">
        <v>2041695477</v>
      </c>
      <c r="P67" s="206">
        <v>55276798</v>
      </c>
      <c r="Q67" s="206">
        <v>60210595</v>
      </c>
      <c r="R67" s="206">
        <v>23918674</v>
      </c>
      <c r="S67" s="406">
        <v>0</v>
      </c>
      <c r="T67" s="428">
        <f t="shared" ref="T67:T129" si="27">IF(S67=1, 100, 50)</f>
        <v>50</v>
      </c>
      <c r="U67" s="415">
        <f t="shared" ref="U67:U129" si="28">T67*0.01</f>
        <v>0.5</v>
      </c>
      <c r="V67" s="405">
        <v>0</v>
      </c>
      <c r="W67" s="428">
        <f t="shared" ref="W67:W129" si="29">IF(V67=1, 100, 50)</f>
        <v>50</v>
      </c>
      <c r="X67" s="415">
        <f t="shared" ref="X67:X129" si="30">W67*0.01</f>
        <v>0.5</v>
      </c>
      <c r="Y67" s="406">
        <v>0</v>
      </c>
      <c r="Z67" s="429">
        <v>0</v>
      </c>
      <c r="AA67" s="430">
        <f t="shared" ref="AA67:AA129" si="31">IF(Y67=1, 50, 0)+IF(Z67=0, 50, 0)</f>
        <v>50</v>
      </c>
      <c r="AB67" s="415">
        <f t="shared" ref="AB67:AB129" si="32">AA67*0.01</f>
        <v>0.5</v>
      </c>
      <c r="AC67" s="431">
        <v>0</v>
      </c>
      <c r="AD67" s="432">
        <f t="shared" ref="AD67:AD129" si="33">IF(AC67=0, 100, IF(AC67=1, 80, IF(AC67=2, 60, IF(AC67=3, 40, IF(AC67&gt;=4, 20)))))</f>
        <v>100</v>
      </c>
      <c r="AE67" s="433">
        <f t="shared" si="24"/>
        <v>4</v>
      </c>
      <c r="AF67" s="434" t="s">
        <v>2326</v>
      </c>
      <c r="AG67" s="434" t="s">
        <v>2326</v>
      </c>
      <c r="AH67" s="434" t="s">
        <v>2326</v>
      </c>
      <c r="AI67" s="362"/>
      <c r="AJ67" s="434" t="s">
        <v>2326</v>
      </c>
      <c r="AK67" s="434" t="s">
        <v>2326</v>
      </c>
      <c r="AL67" s="363"/>
      <c r="AM67" s="406">
        <v>0</v>
      </c>
      <c r="AN67" s="406">
        <v>0</v>
      </c>
      <c r="AO67" s="406">
        <v>0</v>
      </c>
      <c r="AP67" s="406">
        <v>0</v>
      </c>
      <c r="AQ67" s="406">
        <v>0</v>
      </c>
      <c r="AR67" s="406">
        <v>0</v>
      </c>
      <c r="AS67" s="406">
        <v>0</v>
      </c>
      <c r="AT67" s="406">
        <v>0</v>
      </c>
      <c r="AU67" s="407">
        <f t="shared" ref="AU67:AU129" si="34">SUM(AM67:AT67)</f>
        <v>0</v>
      </c>
      <c r="AV67" s="407">
        <f t="shared" ref="AV67:AV129" si="35">IF(AU67=0, 100, IF(AU67=1, 80, IF(AU67=2, 60, IF(AU67=3, 40, 20))))</f>
        <v>100</v>
      </c>
      <c r="AW67" s="408">
        <f t="shared" si="25"/>
        <v>5</v>
      </c>
      <c r="AX67" s="406">
        <v>0</v>
      </c>
      <c r="AY67" s="406">
        <v>0</v>
      </c>
      <c r="AZ67" s="406">
        <v>0</v>
      </c>
      <c r="BA67" s="406">
        <v>0</v>
      </c>
      <c r="BB67" s="430">
        <f t="shared" ref="BB67:BB129" si="36">SUM(AX67:BA67)</f>
        <v>0</v>
      </c>
      <c r="BC67" s="407">
        <f t="shared" ref="BC67:BC129" si="37">IF(BB67=0, 25, IF(BB67=1, 50, IF(BB67=2, 75, IF(BB67&gt;=3, 100))))</f>
        <v>25</v>
      </c>
      <c r="BD67" s="408">
        <f t="shared" si="26"/>
        <v>0.75</v>
      </c>
      <c r="BE67" s="340">
        <f t="shared" ref="BE67:BE129" si="38">U67+X67+AB67+AE67+AI67+AL67+AW67+BD67</f>
        <v>11.25</v>
      </c>
    </row>
    <row r="68" spans="1:57" x14ac:dyDescent="0.6">
      <c r="A68" s="214" t="s">
        <v>1583</v>
      </c>
      <c r="B68" s="13" t="s">
        <v>2045</v>
      </c>
      <c r="C68" s="219" t="s">
        <v>870</v>
      </c>
      <c r="D68" s="216" t="s">
        <v>203</v>
      </c>
      <c r="E68" s="217" t="s">
        <v>180</v>
      </c>
      <c r="F68" s="217" t="s">
        <v>141</v>
      </c>
      <c r="G68" s="218">
        <v>32164</v>
      </c>
      <c r="H68" s="217" t="s">
        <v>830</v>
      </c>
      <c r="I68" s="217" t="s">
        <v>735</v>
      </c>
      <c r="J68" s="217" t="s">
        <v>982</v>
      </c>
      <c r="K68" s="217" t="s">
        <v>91</v>
      </c>
      <c r="L68" s="220">
        <v>4278839838</v>
      </c>
      <c r="M68" s="206">
        <v>1085433049</v>
      </c>
      <c r="N68" s="206">
        <v>3193406789</v>
      </c>
      <c r="O68" s="206">
        <v>5086855586</v>
      </c>
      <c r="P68" s="206">
        <v>656205503</v>
      </c>
      <c r="Q68" s="206">
        <v>747318671</v>
      </c>
      <c r="R68" s="206">
        <v>575138552</v>
      </c>
      <c r="S68" s="406">
        <v>0</v>
      </c>
      <c r="T68" s="428">
        <f t="shared" si="27"/>
        <v>50</v>
      </c>
      <c r="U68" s="415">
        <f t="shared" si="28"/>
        <v>0.5</v>
      </c>
      <c r="V68" s="405">
        <v>0</v>
      </c>
      <c r="W68" s="428">
        <f t="shared" si="29"/>
        <v>50</v>
      </c>
      <c r="X68" s="415">
        <f t="shared" si="30"/>
        <v>0.5</v>
      </c>
      <c r="Y68" s="406">
        <v>0</v>
      </c>
      <c r="Z68" s="429">
        <v>0</v>
      </c>
      <c r="AA68" s="430">
        <f t="shared" si="31"/>
        <v>50</v>
      </c>
      <c r="AB68" s="415">
        <f t="shared" si="32"/>
        <v>0.5</v>
      </c>
      <c r="AC68" s="431">
        <v>0</v>
      </c>
      <c r="AD68" s="432">
        <f t="shared" si="33"/>
        <v>100</v>
      </c>
      <c r="AE68" s="433">
        <f t="shared" si="24"/>
        <v>4</v>
      </c>
      <c r="AF68" s="434" t="s">
        <v>2326</v>
      </c>
      <c r="AG68" s="434" t="s">
        <v>2326</v>
      </c>
      <c r="AH68" s="434" t="s">
        <v>2326</v>
      </c>
      <c r="AI68" s="362"/>
      <c r="AJ68" s="434" t="s">
        <v>2326</v>
      </c>
      <c r="AK68" s="434" t="s">
        <v>2326</v>
      </c>
      <c r="AL68" s="363"/>
      <c r="AM68" s="406">
        <v>0</v>
      </c>
      <c r="AN68" s="406">
        <v>0</v>
      </c>
      <c r="AO68" s="406">
        <v>0</v>
      </c>
      <c r="AP68" s="406">
        <v>0</v>
      </c>
      <c r="AQ68" s="406">
        <v>0</v>
      </c>
      <c r="AR68" s="406">
        <v>0</v>
      </c>
      <c r="AS68" s="406">
        <v>0</v>
      </c>
      <c r="AT68" s="406">
        <v>0</v>
      </c>
      <c r="AU68" s="407">
        <f t="shared" si="34"/>
        <v>0</v>
      </c>
      <c r="AV68" s="407">
        <f t="shared" si="35"/>
        <v>100</v>
      </c>
      <c r="AW68" s="408">
        <f t="shared" si="25"/>
        <v>5</v>
      </c>
      <c r="AX68" s="406">
        <v>0</v>
      </c>
      <c r="AY68" s="406">
        <v>0</v>
      </c>
      <c r="AZ68" s="406">
        <v>0</v>
      </c>
      <c r="BA68" s="406">
        <v>0</v>
      </c>
      <c r="BB68" s="430">
        <f t="shared" si="36"/>
        <v>0</v>
      </c>
      <c r="BC68" s="407">
        <f t="shared" si="37"/>
        <v>25</v>
      </c>
      <c r="BD68" s="408">
        <f t="shared" si="26"/>
        <v>0.75</v>
      </c>
      <c r="BE68" s="340">
        <f t="shared" si="38"/>
        <v>11.25</v>
      </c>
    </row>
    <row r="69" spans="1:57" x14ac:dyDescent="0.6">
      <c r="A69" s="214" t="s">
        <v>1584</v>
      </c>
      <c r="B69" s="13" t="s">
        <v>2046</v>
      </c>
      <c r="C69" s="219" t="s">
        <v>485</v>
      </c>
      <c r="D69" s="216" t="s">
        <v>202</v>
      </c>
      <c r="E69" s="217" t="s">
        <v>572</v>
      </c>
      <c r="F69" s="217" t="s">
        <v>1235</v>
      </c>
      <c r="G69" s="218">
        <v>39385</v>
      </c>
      <c r="H69" s="217" t="s">
        <v>746</v>
      </c>
      <c r="I69" s="217" t="s">
        <v>726</v>
      </c>
      <c r="J69" s="217" t="s">
        <v>1062</v>
      </c>
      <c r="K69" s="217" t="s">
        <v>346</v>
      </c>
      <c r="L69" s="220">
        <v>270299658</v>
      </c>
      <c r="M69" s="206">
        <v>18481909</v>
      </c>
      <c r="N69" s="206">
        <v>251817749</v>
      </c>
      <c r="O69" s="206">
        <v>116116871</v>
      </c>
      <c r="P69" s="206">
        <v>9240856</v>
      </c>
      <c r="Q69" s="206">
        <v>9598370</v>
      </c>
      <c r="R69" s="206">
        <v>7492215</v>
      </c>
      <c r="S69" s="406">
        <v>0</v>
      </c>
      <c r="T69" s="428">
        <f t="shared" si="27"/>
        <v>50</v>
      </c>
      <c r="U69" s="415">
        <f t="shared" si="28"/>
        <v>0.5</v>
      </c>
      <c r="V69" s="405">
        <v>0</v>
      </c>
      <c r="W69" s="428">
        <f t="shared" si="29"/>
        <v>50</v>
      </c>
      <c r="X69" s="415">
        <f t="shared" si="30"/>
        <v>0.5</v>
      </c>
      <c r="Y69" s="406">
        <v>0</v>
      </c>
      <c r="Z69" s="429">
        <v>0</v>
      </c>
      <c r="AA69" s="430">
        <f t="shared" si="31"/>
        <v>50</v>
      </c>
      <c r="AB69" s="415">
        <f t="shared" si="32"/>
        <v>0.5</v>
      </c>
      <c r="AC69" s="431">
        <v>0</v>
      </c>
      <c r="AD69" s="432">
        <f t="shared" si="33"/>
        <v>100</v>
      </c>
      <c r="AE69" s="433">
        <f t="shared" si="24"/>
        <v>4</v>
      </c>
      <c r="AF69" s="434" t="s">
        <v>2326</v>
      </c>
      <c r="AG69" s="434" t="s">
        <v>2326</v>
      </c>
      <c r="AH69" s="434" t="s">
        <v>2326</v>
      </c>
      <c r="AI69" s="362"/>
      <c r="AJ69" s="434" t="s">
        <v>2326</v>
      </c>
      <c r="AK69" s="434" t="s">
        <v>2326</v>
      </c>
      <c r="AL69" s="363"/>
      <c r="AM69" s="406">
        <v>0</v>
      </c>
      <c r="AN69" s="406">
        <v>0</v>
      </c>
      <c r="AO69" s="406">
        <v>0</v>
      </c>
      <c r="AP69" s="406">
        <v>0</v>
      </c>
      <c r="AQ69" s="406">
        <v>0</v>
      </c>
      <c r="AR69" s="406">
        <v>0</v>
      </c>
      <c r="AS69" s="406">
        <v>0</v>
      </c>
      <c r="AT69" s="406">
        <v>0</v>
      </c>
      <c r="AU69" s="407">
        <f t="shared" si="34"/>
        <v>0</v>
      </c>
      <c r="AV69" s="407">
        <f t="shared" si="35"/>
        <v>100</v>
      </c>
      <c r="AW69" s="408">
        <f t="shared" si="25"/>
        <v>5</v>
      </c>
      <c r="AX69" s="406">
        <v>0</v>
      </c>
      <c r="AY69" s="406">
        <v>0</v>
      </c>
      <c r="AZ69" s="406">
        <v>0</v>
      </c>
      <c r="BA69" s="406">
        <v>0</v>
      </c>
      <c r="BB69" s="430">
        <f t="shared" si="36"/>
        <v>0</v>
      </c>
      <c r="BC69" s="407">
        <f t="shared" si="37"/>
        <v>25</v>
      </c>
      <c r="BD69" s="408">
        <f t="shared" si="26"/>
        <v>0.75</v>
      </c>
      <c r="BE69" s="340">
        <f t="shared" si="38"/>
        <v>11.25</v>
      </c>
    </row>
    <row r="70" spans="1:57" x14ac:dyDescent="0.6">
      <c r="A70" s="214" t="s">
        <v>781</v>
      </c>
      <c r="B70" s="13" t="s">
        <v>2047</v>
      </c>
      <c r="C70" s="219" t="s">
        <v>503</v>
      </c>
      <c r="D70" s="216" t="s">
        <v>202</v>
      </c>
      <c r="E70" s="217" t="s">
        <v>996</v>
      </c>
      <c r="F70" s="217" t="s">
        <v>389</v>
      </c>
      <c r="G70" s="218">
        <v>26866</v>
      </c>
      <c r="H70" s="217" t="s">
        <v>830</v>
      </c>
      <c r="I70" s="217" t="s">
        <v>988</v>
      </c>
      <c r="J70" s="217" t="s">
        <v>1060</v>
      </c>
      <c r="K70" s="217" t="s">
        <v>91</v>
      </c>
      <c r="L70" s="220">
        <v>46715448000</v>
      </c>
      <c r="M70" s="206">
        <v>20245275000</v>
      </c>
      <c r="N70" s="206">
        <v>26470173000</v>
      </c>
      <c r="O70" s="206">
        <v>46409721000</v>
      </c>
      <c r="P70" s="206">
        <v>3000886000</v>
      </c>
      <c r="Q70" s="206">
        <v>2639370000</v>
      </c>
      <c r="R70" s="206">
        <v>1953513000</v>
      </c>
      <c r="S70" s="406">
        <v>0</v>
      </c>
      <c r="T70" s="428">
        <f t="shared" si="27"/>
        <v>50</v>
      </c>
      <c r="U70" s="415">
        <f t="shared" si="28"/>
        <v>0.5</v>
      </c>
      <c r="V70" s="405">
        <v>0</v>
      </c>
      <c r="W70" s="428">
        <f t="shared" si="29"/>
        <v>50</v>
      </c>
      <c r="X70" s="415">
        <f t="shared" si="30"/>
        <v>0.5</v>
      </c>
      <c r="Y70" s="406">
        <v>0</v>
      </c>
      <c r="Z70" s="429">
        <v>0</v>
      </c>
      <c r="AA70" s="430">
        <f t="shared" si="31"/>
        <v>50</v>
      </c>
      <c r="AB70" s="415">
        <f t="shared" si="32"/>
        <v>0.5</v>
      </c>
      <c r="AC70" s="431">
        <v>40</v>
      </c>
      <c r="AD70" s="432">
        <f t="shared" si="33"/>
        <v>20</v>
      </c>
      <c r="AE70" s="433">
        <f t="shared" si="24"/>
        <v>0.8</v>
      </c>
      <c r="AF70" s="434" t="s">
        <v>2326</v>
      </c>
      <c r="AG70" s="434" t="s">
        <v>2326</v>
      </c>
      <c r="AH70" s="434" t="s">
        <v>2326</v>
      </c>
      <c r="AI70" s="362"/>
      <c r="AJ70" s="434" t="s">
        <v>2326</v>
      </c>
      <c r="AK70" s="434" t="s">
        <v>2326</v>
      </c>
      <c r="AL70" s="363"/>
      <c r="AM70" s="406">
        <v>0</v>
      </c>
      <c r="AN70" s="406">
        <v>0</v>
      </c>
      <c r="AO70" s="406">
        <v>0</v>
      </c>
      <c r="AP70" s="406">
        <v>0</v>
      </c>
      <c r="AQ70" s="406">
        <v>0</v>
      </c>
      <c r="AR70" s="406">
        <v>0</v>
      </c>
      <c r="AS70" s="406">
        <v>0</v>
      </c>
      <c r="AT70" s="406">
        <v>0</v>
      </c>
      <c r="AU70" s="407">
        <f t="shared" si="34"/>
        <v>0</v>
      </c>
      <c r="AV70" s="407">
        <f t="shared" si="35"/>
        <v>100</v>
      </c>
      <c r="AW70" s="408">
        <f t="shared" si="25"/>
        <v>5</v>
      </c>
      <c r="AX70" s="406">
        <v>0</v>
      </c>
      <c r="AY70" s="406">
        <v>0</v>
      </c>
      <c r="AZ70" s="406">
        <v>0</v>
      </c>
      <c r="BA70" s="406">
        <v>0</v>
      </c>
      <c r="BB70" s="430">
        <f t="shared" si="36"/>
        <v>0</v>
      </c>
      <c r="BC70" s="407">
        <f t="shared" si="37"/>
        <v>25</v>
      </c>
      <c r="BD70" s="408">
        <f t="shared" si="26"/>
        <v>0.75</v>
      </c>
      <c r="BE70" s="340">
        <f t="shared" si="38"/>
        <v>8.0500000000000007</v>
      </c>
    </row>
    <row r="71" spans="1:57" x14ac:dyDescent="0.6">
      <c r="A71" s="214" t="s">
        <v>99</v>
      </c>
      <c r="B71" s="13" t="s">
        <v>2048</v>
      </c>
      <c r="C71" s="219" t="s">
        <v>309</v>
      </c>
      <c r="D71" s="216" t="s">
        <v>285</v>
      </c>
      <c r="E71" s="217" t="s">
        <v>867</v>
      </c>
      <c r="F71" s="217" t="s">
        <v>397</v>
      </c>
      <c r="G71" s="218">
        <v>28122</v>
      </c>
      <c r="H71" s="217" t="s">
        <v>830</v>
      </c>
      <c r="I71" s="217" t="s">
        <v>725</v>
      </c>
      <c r="J71" s="217" t="s">
        <v>1249</v>
      </c>
      <c r="K71" s="217" t="s">
        <v>690</v>
      </c>
      <c r="L71" s="220">
        <v>345786655</v>
      </c>
      <c r="M71" s="206">
        <v>238784577</v>
      </c>
      <c r="N71" s="206">
        <v>107002078</v>
      </c>
      <c r="O71" s="206">
        <v>450379452</v>
      </c>
      <c r="P71" s="206">
        <v>11115820</v>
      </c>
      <c r="Q71" s="206">
        <v>15758165</v>
      </c>
      <c r="R71" s="206">
        <v>19332576</v>
      </c>
      <c r="S71" s="406">
        <v>0</v>
      </c>
      <c r="T71" s="428">
        <f t="shared" si="27"/>
        <v>50</v>
      </c>
      <c r="U71" s="415">
        <f t="shared" si="28"/>
        <v>0.5</v>
      </c>
      <c r="V71" s="405">
        <v>0</v>
      </c>
      <c r="W71" s="428">
        <f t="shared" si="29"/>
        <v>50</v>
      </c>
      <c r="X71" s="415">
        <f t="shared" si="30"/>
        <v>0.5</v>
      </c>
      <c r="Y71" s="406">
        <v>0</v>
      </c>
      <c r="Z71" s="429">
        <v>0</v>
      </c>
      <c r="AA71" s="430">
        <f t="shared" si="31"/>
        <v>50</v>
      </c>
      <c r="AB71" s="415">
        <f t="shared" si="32"/>
        <v>0.5</v>
      </c>
      <c r="AC71" s="431">
        <v>0</v>
      </c>
      <c r="AD71" s="432">
        <f t="shared" si="33"/>
        <v>100</v>
      </c>
      <c r="AE71" s="433">
        <f t="shared" si="24"/>
        <v>4</v>
      </c>
      <c r="AF71" s="434" t="s">
        <v>2326</v>
      </c>
      <c r="AG71" s="434" t="s">
        <v>2326</v>
      </c>
      <c r="AH71" s="434" t="s">
        <v>2326</v>
      </c>
      <c r="AI71" s="362"/>
      <c r="AJ71" s="434" t="s">
        <v>2326</v>
      </c>
      <c r="AK71" s="434" t="s">
        <v>2326</v>
      </c>
      <c r="AL71" s="363"/>
      <c r="AM71" s="406">
        <v>0</v>
      </c>
      <c r="AN71" s="406">
        <v>0</v>
      </c>
      <c r="AO71" s="406">
        <v>0</v>
      </c>
      <c r="AP71" s="406">
        <v>0</v>
      </c>
      <c r="AQ71" s="406">
        <v>0</v>
      </c>
      <c r="AR71" s="406">
        <v>0</v>
      </c>
      <c r="AS71" s="406">
        <v>0</v>
      </c>
      <c r="AT71" s="406">
        <v>0</v>
      </c>
      <c r="AU71" s="407">
        <f t="shared" si="34"/>
        <v>0</v>
      </c>
      <c r="AV71" s="407">
        <f t="shared" si="35"/>
        <v>100</v>
      </c>
      <c r="AW71" s="408">
        <f t="shared" si="25"/>
        <v>5</v>
      </c>
      <c r="AX71" s="406">
        <v>1</v>
      </c>
      <c r="AY71" s="406">
        <v>0</v>
      </c>
      <c r="AZ71" s="406">
        <v>0</v>
      </c>
      <c r="BA71" s="406">
        <v>0</v>
      </c>
      <c r="BB71" s="430">
        <f t="shared" si="36"/>
        <v>1</v>
      </c>
      <c r="BC71" s="407">
        <f t="shared" si="37"/>
        <v>50</v>
      </c>
      <c r="BD71" s="408">
        <f t="shared" si="26"/>
        <v>1.5</v>
      </c>
      <c r="BE71" s="340">
        <f t="shared" si="38"/>
        <v>12</v>
      </c>
    </row>
    <row r="72" spans="1:57" x14ac:dyDescent="0.6">
      <c r="A72" s="214" t="s">
        <v>81</v>
      </c>
      <c r="B72" s="13" t="s">
        <v>2049</v>
      </c>
      <c r="C72" s="219" t="s">
        <v>857</v>
      </c>
      <c r="D72" s="216" t="s">
        <v>203</v>
      </c>
      <c r="E72" s="217" t="s">
        <v>1067</v>
      </c>
      <c r="F72" s="217" t="s">
        <v>1246</v>
      </c>
      <c r="G72" s="218">
        <v>35013</v>
      </c>
      <c r="H72" s="217" t="s">
        <v>830</v>
      </c>
      <c r="I72" s="217" t="s">
        <v>701</v>
      </c>
      <c r="J72" s="217" t="s">
        <v>1080</v>
      </c>
      <c r="K72" s="217" t="s">
        <v>91</v>
      </c>
      <c r="L72" s="220">
        <v>883470621</v>
      </c>
      <c r="M72" s="206">
        <v>371844780</v>
      </c>
      <c r="N72" s="206">
        <v>511625841</v>
      </c>
      <c r="O72" s="206">
        <v>2169565871</v>
      </c>
      <c r="P72" s="206">
        <v>63633740</v>
      </c>
      <c r="Q72" s="206">
        <v>65632977</v>
      </c>
      <c r="R72" s="206">
        <v>47307536</v>
      </c>
      <c r="S72" s="406">
        <v>0</v>
      </c>
      <c r="T72" s="428">
        <f t="shared" si="27"/>
        <v>50</v>
      </c>
      <c r="U72" s="415">
        <f t="shared" si="28"/>
        <v>0.5</v>
      </c>
      <c r="V72" s="405">
        <v>0</v>
      </c>
      <c r="W72" s="428">
        <f t="shared" si="29"/>
        <v>50</v>
      </c>
      <c r="X72" s="415">
        <f t="shared" si="30"/>
        <v>0.5</v>
      </c>
      <c r="Y72" s="406">
        <v>0</v>
      </c>
      <c r="Z72" s="429">
        <v>0</v>
      </c>
      <c r="AA72" s="430">
        <f t="shared" si="31"/>
        <v>50</v>
      </c>
      <c r="AB72" s="415">
        <f t="shared" si="32"/>
        <v>0.5</v>
      </c>
      <c r="AC72" s="431">
        <v>0</v>
      </c>
      <c r="AD72" s="432">
        <f t="shared" si="33"/>
        <v>100</v>
      </c>
      <c r="AE72" s="433">
        <f t="shared" si="24"/>
        <v>4</v>
      </c>
      <c r="AF72" s="434" t="s">
        <v>2326</v>
      </c>
      <c r="AG72" s="434" t="s">
        <v>2326</v>
      </c>
      <c r="AH72" s="434" t="s">
        <v>2326</v>
      </c>
      <c r="AI72" s="362"/>
      <c r="AJ72" s="434" t="s">
        <v>2326</v>
      </c>
      <c r="AK72" s="434" t="s">
        <v>2326</v>
      </c>
      <c r="AL72" s="363"/>
      <c r="AM72" s="406">
        <v>0</v>
      </c>
      <c r="AN72" s="406">
        <v>0</v>
      </c>
      <c r="AO72" s="406">
        <v>0</v>
      </c>
      <c r="AP72" s="406">
        <v>0</v>
      </c>
      <c r="AQ72" s="406">
        <v>0</v>
      </c>
      <c r="AR72" s="406">
        <v>0</v>
      </c>
      <c r="AS72" s="406">
        <v>0</v>
      </c>
      <c r="AT72" s="406">
        <v>0</v>
      </c>
      <c r="AU72" s="407">
        <f t="shared" si="34"/>
        <v>0</v>
      </c>
      <c r="AV72" s="407">
        <f t="shared" si="35"/>
        <v>100</v>
      </c>
      <c r="AW72" s="408">
        <f t="shared" si="25"/>
        <v>5</v>
      </c>
      <c r="AX72" s="406">
        <v>0</v>
      </c>
      <c r="AY72" s="406">
        <v>0</v>
      </c>
      <c r="AZ72" s="406">
        <v>0</v>
      </c>
      <c r="BA72" s="406">
        <v>0</v>
      </c>
      <c r="BB72" s="430">
        <f t="shared" si="36"/>
        <v>0</v>
      </c>
      <c r="BC72" s="407">
        <f t="shared" si="37"/>
        <v>25</v>
      </c>
      <c r="BD72" s="408">
        <f t="shared" si="26"/>
        <v>0.75</v>
      </c>
      <c r="BE72" s="340">
        <f t="shared" si="38"/>
        <v>11.25</v>
      </c>
    </row>
    <row r="73" spans="1:57" x14ac:dyDescent="0.6">
      <c r="A73" s="214" t="s">
        <v>1586</v>
      </c>
      <c r="B73" s="13" t="s">
        <v>2050</v>
      </c>
      <c r="C73" s="219" t="s">
        <v>102</v>
      </c>
      <c r="D73" s="216" t="s">
        <v>203</v>
      </c>
      <c r="E73" s="217" t="s">
        <v>197</v>
      </c>
      <c r="F73" s="217" t="s">
        <v>117</v>
      </c>
      <c r="G73" s="218">
        <v>32130</v>
      </c>
      <c r="H73" s="217" t="s">
        <v>830</v>
      </c>
      <c r="I73" s="217" t="s">
        <v>951</v>
      </c>
      <c r="J73" s="217" t="s">
        <v>1157</v>
      </c>
      <c r="K73" s="217" t="s">
        <v>50</v>
      </c>
      <c r="L73" s="220">
        <v>736767227</v>
      </c>
      <c r="M73" s="206">
        <v>105463213</v>
      </c>
      <c r="N73" s="206">
        <v>631304014</v>
      </c>
      <c r="O73" s="206">
        <v>737876931</v>
      </c>
      <c r="P73" s="206">
        <v>30653869</v>
      </c>
      <c r="Q73" s="206">
        <v>35607383</v>
      </c>
      <c r="R73" s="206">
        <v>31223584</v>
      </c>
      <c r="S73" s="406">
        <v>1</v>
      </c>
      <c r="T73" s="428">
        <f t="shared" si="27"/>
        <v>100</v>
      </c>
      <c r="U73" s="415">
        <f t="shared" si="28"/>
        <v>1</v>
      </c>
      <c r="V73" s="405">
        <v>0</v>
      </c>
      <c r="W73" s="428">
        <f t="shared" si="29"/>
        <v>50</v>
      </c>
      <c r="X73" s="415">
        <f t="shared" si="30"/>
        <v>0.5</v>
      </c>
      <c r="Y73" s="406">
        <v>0</v>
      </c>
      <c r="Z73" s="429">
        <v>0</v>
      </c>
      <c r="AA73" s="430">
        <f t="shared" si="31"/>
        <v>50</v>
      </c>
      <c r="AB73" s="415">
        <f t="shared" si="32"/>
        <v>0.5</v>
      </c>
      <c r="AC73" s="431">
        <v>1</v>
      </c>
      <c r="AD73" s="432">
        <f t="shared" si="33"/>
        <v>80</v>
      </c>
      <c r="AE73" s="433">
        <f t="shared" si="24"/>
        <v>3.2</v>
      </c>
      <c r="AF73" s="434" t="s">
        <v>2326</v>
      </c>
      <c r="AG73" s="434" t="s">
        <v>2326</v>
      </c>
      <c r="AH73" s="434" t="s">
        <v>2326</v>
      </c>
      <c r="AI73" s="362"/>
      <c r="AJ73" s="434" t="s">
        <v>2326</v>
      </c>
      <c r="AK73" s="434" t="s">
        <v>2326</v>
      </c>
      <c r="AL73" s="363"/>
      <c r="AM73" s="406">
        <v>0</v>
      </c>
      <c r="AN73" s="406">
        <v>0</v>
      </c>
      <c r="AO73" s="406">
        <v>0</v>
      </c>
      <c r="AP73" s="406">
        <v>0</v>
      </c>
      <c r="AQ73" s="406">
        <v>0</v>
      </c>
      <c r="AR73" s="406">
        <v>0</v>
      </c>
      <c r="AS73" s="406">
        <v>0</v>
      </c>
      <c r="AT73" s="406">
        <v>0</v>
      </c>
      <c r="AU73" s="407">
        <f t="shared" si="34"/>
        <v>0</v>
      </c>
      <c r="AV73" s="407">
        <f t="shared" si="35"/>
        <v>100</v>
      </c>
      <c r="AW73" s="408">
        <f t="shared" si="25"/>
        <v>5</v>
      </c>
      <c r="AX73" s="406">
        <v>0</v>
      </c>
      <c r="AY73" s="406">
        <v>0</v>
      </c>
      <c r="AZ73" s="406">
        <v>0</v>
      </c>
      <c r="BA73" s="406">
        <v>0</v>
      </c>
      <c r="BB73" s="430">
        <f t="shared" si="36"/>
        <v>0</v>
      </c>
      <c r="BC73" s="407">
        <f t="shared" si="37"/>
        <v>25</v>
      </c>
      <c r="BD73" s="408">
        <f t="shared" si="26"/>
        <v>0.75</v>
      </c>
      <c r="BE73" s="340">
        <f t="shared" si="38"/>
        <v>10.95</v>
      </c>
    </row>
    <row r="74" spans="1:57" x14ac:dyDescent="0.6">
      <c r="A74" s="214" t="s">
        <v>28</v>
      </c>
      <c r="B74" s="13" t="s">
        <v>2051</v>
      </c>
      <c r="C74" s="219" t="s">
        <v>849</v>
      </c>
      <c r="D74" s="216" t="s">
        <v>203</v>
      </c>
      <c r="E74" s="217" t="s">
        <v>188</v>
      </c>
      <c r="F74" s="217" t="s">
        <v>442</v>
      </c>
      <c r="G74" s="218">
        <v>38901</v>
      </c>
      <c r="H74" s="217" t="s">
        <v>830</v>
      </c>
      <c r="I74" s="217" t="s">
        <v>738</v>
      </c>
      <c r="J74" s="13" t="s">
        <v>2052</v>
      </c>
      <c r="K74" s="217" t="s">
        <v>690</v>
      </c>
      <c r="L74" s="220">
        <v>593723438</v>
      </c>
      <c r="M74" s="206">
        <v>279635129</v>
      </c>
      <c r="N74" s="206">
        <v>314088309</v>
      </c>
      <c r="O74" s="206">
        <v>667825639</v>
      </c>
      <c r="P74" s="206">
        <v>18091323</v>
      </c>
      <c r="Q74" s="206">
        <v>10916465</v>
      </c>
      <c r="R74" s="206">
        <v>7428246</v>
      </c>
      <c r="S74" s="406">
        <v>0</v>
      </c>
      <c r="T74" s="428">
        <f t="shared" si="27"/>
        <v>50</v>
      </c>
      <c r="U74" s="415">
        <f t="shared" si="28"/>
        <v>0.5</v>
      </c>
      <c r="V74" s="405">
        <v>0</v>
      </c>
      <c r="W74" s="428">
        <f t="shared" si="29"/>
        <v>50</v>
      </c>
      <c r="X74" s="415">
        <f t="shared" si="30"/>
        <v>0.5</v>
      </c>
      <c r="Y74" s="406">
        <v>0</v>
      </c>
      <c r="Z74" s="429">
        <v>0</v>
      </c>
      <c r="AA74" s="430">
        <f t="shared" si="31"/>
        <v>50</v>
      </c>
      <c r="AB74" s="415">
        <f t="shared" si="32"/>
        <v>0.5</v>
      </c>
      <c r="AC74" s="431">
        <v>0</v>
      </c>
      <c r="AD74" s="432">
        <f t="shared" si="33"/>
        <v>100</v>
      </c>
      <c r="AE74" s="433">
        <f t="shared" si="24"/>
        <v>4</v>
      </c>
      <c r="AF74" s="434" t="s">
        <v>2326</v>
      </c>
      <c r="AG74" s="434" t="s">
        <v>2326</v>
      </c>
      <c r="AH74" s="434" t="s">
        <v>2326</v>
      </c>
      <c r="AI74" s="362"/>
      <c r="AJ74" s="434" t="s">
        <v>2326</v>
      </c>
      <c r="AK74" s="434" t="s">
        <v>2326</v>
      </c>
      <c r="AL74" s="363"/>
      <c r="AM74" s="406">
        <v>0</v>
      </c>
      <c r="AN74" s="406">
        <v>0</v>
      </c>
      <c r="AO74" s="406">
        <v>0</v>
      </c>
      <c r="AP74" s="406">
        <v>0</v>
      </c>
      <c r="AQ74" s="406">
        <v>0</v>
      </c>
      <c r="AR74" s="406">
        <v>0</v>
      </c>
      <c r="AS74" s="406">
        <v>0</v>
      </c>
      <c r="AT74" s="406">
        <v>0</v>
      </c>
      <c r="AU74" s="407">
        <f t="shared" si="34"/>
        <v>0</v>
      </c>
      <c r="AV74" s="407">
        <f t="shared" si="35"/>
        <v>100</v>
      </c>
      <c r="AW74" s="408">
        <f t="shared" si="25"/>
        <v>5</v>
      </c>
      <c r="AX74" s="406">
        <v>0</v>
      </c>
      <c r="AY74" s="406">
        <v>0</v>
      </c>
      <c r="AZ74" s="406">
        <v>0</v>
      </c>
      <c r="BA74" s="406">
        <v>0</v>
      </c>
      <c r="BB74" s="430">
        <f t="shared" si="36"/>
        <v>0</v>
      </c>
      <c r="BC74" s="407">
        <f t="shared" si="37"/>
        <v>25</v>
      </c>
      <c r="BD74" s="408">
        <f t="shared" si="26"/>
        <v>0.75</v>
      </c>
      <c r="BE74" s="340">
        <f t="shared" si="38"/>
        <v>11.25</v>
      </c>
    </row>
    <row r="75" spans="1:57" x14ac:dyDescent="0.6">
      <c r="A75" s="214" t="s">
        <v>729</v>
      </c>
      <c r="B75" s="13" t="s">
        <v>2053</v>
      </c>
      <c r="C75" s="219" t="s">
        <v>493</v>
      </c>
      <c r="D75" s="216" t="s">
        <v>191</v>
      </c>
      <c r="E75" s="217" t="s">
        <v>34</v>
      </c>
      <c r="F75" s="217" t="s">
        <v>184</v>
      </c>
      <c r="G75" s="218">
        <v>32721</v>
      </c>
      <c r="H75" s="217" t="s">
        <v>830</v>
      </c>
      <c r="I75" s="217" t="s">
        <v>776</v>
      </c>
      <c r="J75" s="217" t="s">
        <v>1058</v>
      </c>
      <c r="K75" s="217" t="s">
        <v>690</v>
      </c>
      <c r="L75" s="220">
        <v>1943161484</v>
      </c>
      <c r="M75" s="206">
        <v>692777309</v>
      </c>
      <c r="N75" s="206">
        <v>1250384175</v>
      </c>
      <c r="O75" s="206">
        <v>1244928840</v>
      </c>
      <c r="P75" s="206">
        <v>70305248</v>
      </c>
      <c r="Q75" s="206">
        <v>56807679</v>
      </c>
      <c r="R75" s="206">
        <v>54307547</v>
      </c>
      <c r="S75" s="406">
        <v>0</v>
      </c>
      <c r="T75" s="428">
        <f t="shared" si="27"/>
        <v>50</v>
      </c>
      <c r="U75" s="415">
        <f t="shared" si="28"/>
        <v>0.5</v>
      </c>
      <c r="V75" s="405">
        <v>0</v>
      </c>
      <c r="W75" s="428">
        <f t="shared" si="29"/>
        <v>50</v>
      </c>
      <c r="X75" s="415">
        <f t="shared" si="30"/>
        <v>0.5</v>
      </c>
      <c r="Y75" s="406">
        <v>0</v>
      </c>
      <c r="Z75" s="429">
        <v>0</v>
      </c>
      <c r="AA75" s="430">
        <f t="shared" si="31"/>
        <v>50</v>
      </c>
      <c r="AB75" s="415">
        <f t="shared" si="32"/>
        <v>0.5</v>
      </c>
      <c r="AC75" s="431">
        <v>0</v>
      </c>
      <c r="AD75" s="432">
        <f t="shared" si="33"/>
        <v>100</v>
      </c>
      <c r="AE75" s="433">
        <f t="shared" si="24"/>
        <v>4</v>
      </c>
      <c r="AF75" s="434" t="s">
        <v>2326</v>
      </c>
      <c r="AG75" s="434" t="s">
        <v>2326</v>
      </c>
      <c r="AH75" s="434" t="s">
        <v>2326</v>
      </c>
      <c r="AI75" s="362"/>
      <c r="AJ75" s="434" t="s">
        <v>2326</v>
      </c>
      <c r="AK75" s="434" t="s">
        <v>2326</v>
      </c>
      <c r="AL75" s="363"/>
      <c r="AM75" s="406">
        <v>0</v>
      </c>
      <c r="AN75" s="406">
        <v>0</v>
      </c>
      <c r="AO75" s="406">
        <v>0</v>
      </c>
      <c r="AP75" s="406">
        <v>0</v>
      </c>
      <c r="AQ75" s="406">
        <v>0</v>
      </c>
      <c r="AR75" s="406">
        <v>0</v>
      </c>
      <c r="AS75" s="406">
        <v>0</v>
      </c>
      <c r="AT75" s="406">
        <v>0</v>
      </c>
      <c r="AU75" s="407">
        <f t="shared" si="34"/>
        <v>0</v>
      </c>
      <c r="AV75" s="407">
        <f t="shared" si="35"/>
        <v>100</v>
      </c>
      <c r="AW75" s="408">
        <f t="shared" si="25"/>
        <v>5</v>
      </c>
      <c r="AX75" s="406">
        <v>0</v>
      </c>
      <c r="AY75" s="406">
        <v>0</v>
      </c>
      <c r="AZ75" s="406">
        <v>0</v>
      </c>
      <c r="BA75" s="406">
        <v>0</v>
      </c>
      <c r="BB75" s="430">
        <f t="shared" si="36"/>
        <v>0</v>
      </c>
      <c r="BC75" s="407">
        <f t="shared" si="37"/>
        <v>25</v>
      </c>
      <c r="BD75" s="408">
        <f t="shared" si="26"/>
        <v>0.75</v>
      </c>
      <c r="BE75" s="340">
        <f t="shared" si="38"/>
        <v>11.25</v>
      </c>
    </row>
    <row r="76" spans="1:57" x14ac:dyDescent="0.6">
      <c r="A76" s="214" t="s">
        <v>97</v>
      </c>
      <c r="B76" s="13" t="s">
        <v>2054</v>
      </c>
      <c r="C76" s="219" t="s">
        <v>404</v>
      </c>
      <c r="D76" s="221" t="s">
        <v>350</v>
      </c>
      <c r="E76" s="217" t="s">
        <v>179</v>
      </c>
      <c r="F76" s="217" t="s">
        <v>578</v>
      </c>
      <c r="G76" s="218">
        <v>35388</v>
      </c>
      <c r="H76" s="217" t="s">
        <v>830</v>
      </c>
      <c r="I76" s="217" t="s">
        <v>1587</v>
      </c>
      <c r="J76" s="217" t="s">
        <v>1038</v>
      </c>
      <c r="K76" s="217" t="s">
        <v>91</v>
      </c>
      <c r="L76" s="220">
        <v>3939974802</v>
      </c>
      <c r="M76" s="206">
        <v>3279267721</v>
      </c>
      <c r="N76" s="206">
        <v>660707081</v>
      </c>
      <c r="O76" s="206">
        <v>1268326077</v>
      </c>
      <c r="P76" s="206">
        <v>46098647</v>
      </c>
      <c r="Q76" s="206">
        <v>67910650</v>
      </c>
      <c r="R76" s="206">
        <v>48368439</v>
      </c>
      <c r="S76" s="406">
        <v>0</v>
      </c>
      <c r="T76" s="428">
        <f t="shared" si="27"/>
        <v>50</v>
      </c>
      <c r="U76" s="415">
        <f t="shared" si="28"/>
        <v>0.5</v>
      </c>
      <c r="V76" s="405">
        <v>0</v>
      </c>
      <c r="W76" s="428">
        <f t="shared" si="29"/>
        <v>50</v>
      </c>
      <c r="X76" s="415">
        <f t="shared" si="30"/>
        <v>0.5</v>
      </c>
      <c r="Y76" s="406">
        <v>0</v>
      </c>
      <c r="Z76" s="429">
        <v>0</v>
      </c>
      <c r="AA76" s="430">
        <f t="shared" si="31"/>
        <v>50</v>
      </c>
      <c r="AB76" s="415">
        <f t="shared" si="32"/>
        <v>0.5</v>
      </c>
      <c r="AC76" s="75">
        <v>0</v>
      </c>
      <c r="AD76" s="432">
        <f t="shared" si="33"/>
        <v>100</v>
      </c>
      <c r="AE76" s="435">
        <f>AD76*0.03</f>
        <v>3</v>
      </c>
      <c r="AF76" s="436">
        <v>0</v>
      </c>
      <c r="AG76" s="437">
        <f>(_xlfn.PERCENTRANK.INC(AF:AF,AF76, 2))*100</f>
        <v>0</v>
      </c>
      <c r="AH76" s="437">
        <f>IF(AF76=0, 100, IF(AG76&lt;10, 80, IF(AG76&lt;50, 60, IF(AG76&lt;90, 40, 20))))</f>
        <v>100</v>
      </c>
      <c r="AI76" s="263">
        <f>AH76*0.03</f>
        <v>3</v>
      </c>
      <c r="AJ76" s="264" t="s">
        <v>3540</v>
      </c>
      <c r="AK76" s="265">
        <f>IF(AJ76="우수", 100, IF(AJ76="양호", 80, IF(AJ76="보통", 60, IF(AJ76= "평가미대상", 60, IF(AJ76="미흡", 40, IF(AJ76="취약", 20))))))</f>
        <v>60</v>
      </c>
      <c r="AL76" s="141">
        <f>AK76*0.03</f>
        <v>1.7999999999999998</v>
      </c>
      <c r="AM76" s="406">
        <v>0</v>
      </c>
      <c r="AN76" s="406">
        <v>0</v>
      </c>
      <c r="AO76" s="406">
        <v>0</v>
      </c>
      <c r="AP76" s="406">
        <v>0</v>
      </c>
      <c r="AQ76" s="406">
        <v>0</v>
      </c>
      <c r="AR76" s="406">
        <v>0</v>
      </c>
      <c r="AS76" s="406">
        <v>0</v>
      </c>
      <c r="AT76" s="406">
        <v>0</v>
      </c>
      <c r="AU76" s="407">
        <f t="shared" si="34"/>
        <v>0</v>
      </c>
      <c r="AV76" s="407">
        <f t="shared" si="35"/>
        <v>100</v>
      </c>
      <c r="AW76" s="438">
        <f>AV76*0.02</f>
        <v>2</v>
      </c>
      <c r="AX76" s="406">
        <v>0</v>
      </c>
      <c r="AY76" s="406">
        <v>0</v>
      </c>
      <c r="AZ76" s="406">
        <v>0</v>
      </c>
      <c r="BA76" s="406">
        <v>0</v>
      </c>
      <c r="BB76" s="430">
        <f t="shared" si="36"/>
        <v>0</v>
      </c>
      <c r="BC76" s="407">
        <f t="shared" si="37"/>
        <v>25</v>
      </c>
      <c r="BD76" s="418">
        <f>BC76*0.01</f>
        <v>0.25</v>
      </c>
      <c r="BE76" s="340">
        <f t="shared" si="38"/>
        <v>11.55</v>
      </c>
    </row>
    <row r="77" spans="1:57" x14ac:dyDescent="0.6">
      <c r="A77" s="214" t="s">
        <v>1588</v>
      </c>
      <c r="B77" s="13" t="s">
        <v>2055</v>
      </c>
      <c r="C77" s="219" t="s">
        <v>1589</v>
      </c>
      <c r="D77" s="14" t="s">
        <v>202</v>
      </c>
      <c r="E77" s="217" t="s">
        <v>572</v>
      </c>
      <c r="F77" s="217" t="s">
        <v>1590</v>
      </c>
      <c r="G77" s="218">
        <v>27572</v>
      </c>
      <c r="H77" s="217" t="s">
        <v>830</v>
      </c>
      <c r="I77" s="217" t="s">
        <v>1591</v>
      </c>
      <c r="J77" s="217" t="s">
        <v>1592</v>
      </c>
      <c r="K77" s="217" t="s">
        <v>308</v>
      </c>
      <c r="L77" s="220">
        <v>1037444849</v>
      </c>
      <c r="M77" s="206">
        <v>756037859</v>
      </c>
      <c r="N77" s="206">
        <v>281406990</v>
      </c>
      <c r="O77" s="206">
        <v>1020419354</v>
      </c>
      <c r="P77" s="206">
        <v>62957426</v>
      </c>
      <c r="Q77" s="206">
        <v>23841777</v>
      </c>
      <c r="R77" s="206">
        <v>11209133</v>
      </c>
      <c r="S77" s="406">
        <v>0</v>
      </c>
      <c r="T77" s="428">
        <f t="shared" si="27"/>
        <v>50</v>
      </c>
      <c r="U77" s="415">
        <f t="shared" si="28"/>
        <v>0.5</v>
      </c>
      <c r="V77" s="405">
        <v>0</v>
      </c>
      <c r="W77" s="428">
        <f t="shared" si="29"/>
        <v>50</v>
      </c>
      <c r="X77" s="415">
        <f t="shared" si="30"/>
        <v>0.5</v>
      </c>
      <c r="Y77" s="406">
        <v>0</v>
      </c>
      <c r="Z77" s="429">
        <v>0</v>
      </c>
      <c r="AA77" s="430">
        <f t="shared" si="31"/>
        <v>50</v>
      </c>
      <c r="AB77" s="415">
        <f t="shared" si="32"/>
        <v>0.5</v>
      </c>
      <c r="AC77" s="431">
        <v>0</v>
      </c>
      <c r="AD77" s="432">
        <f t="shared" si="33"/>
        <v>100</v>
      </c>
      <c r="AE77" s="433">
        <f t="shared" ref="AE77:AE101" si="39">AD77*0.04</f>
        <v>4</v>
      </c>
      <c r="AF77" s="434" t="s">
        <v>2326</v>
      </c>
      <c r="AG77" s="434" t="s">
        <v>2326</v>
      </c>
      <c r="AH77" s="434" t="s">
        <v>2326</v>
      </c>
      <c r="AI77" s="362"/>
      <c r="AJ77" s="434" t="s">
        <v>2326</v>
      </c>
      <c r="AK77" s="434" t="s">
        <v>2326</v>
      </c>
      <c r="AL77" s="363"/>
      <c r="AM77" s="406">
        <v>0</v>
      </c>
      <c r="AN77" s="406">
        <v>0</v>
      </c>
      <c r="AO77" s="406">
        <v>0</v>
      </c>
      <c r="AP77" s="406">
        <v>0</v>
      </c>
      <c r="AQ77" s="406">
        <v>0</v>
      </c>
      <c r="AR77" s="406">
        <v>0</v>
      </c>
      <c r="AS77" s="406">
        <v>0</v>
      </c>
      <c r="AT77" s="406">
        <v>0</v>
      </c>
      <c r="AU77" s="407">
        <f t="shared" si="34"/>
        <v>0</v>
      </c>
      <c r="AV77" s="407">
        <f t="shared" si="35"/>
        <v>100</v>
      </c>
      <c r="AW77" s="408">
        <f t="shared" ref="AW77:AW101" si="40">AV77*0.05</f>
        <v>5</v>
      </c>
      <c r="AX77" s="406">
        <v>0</v>
      </c>
      <c r="AY77" s="406">
        <v>0</v>
      </c>
      <c r="AZ77" s="406">
        <v>0</v>
      </c>
      <c r="BA77" s="406">
        <v>0</v>
      </c>
      <c r="BB77" s="430">
        <f t="shared" si="36"/>
        <v>0</v>
      </c>
      <c r="BC77" s="407">
        <f t="shared" si="37"/>
        <v>25</v>
      </c>
      <c r="BD77" s="408">
        <f t="shared" ref="BD77:BD101" si="41">BC77*0.03</f>
        <v>0.75</v>
      </c>
      <c r="BE77" s="340">
        <f t="shared" si="38"/>
        <v>11.25</v>
      </c>
    </row>
    <row r="78" spans="1:57" x14ac:dyDescent="0.6">
      <c r="A78" s="214" t="s">
        <v>700</v>
      </c>
      <c r="B78" s="13" t="s">
        <v>2056</v>
      </c>
      <c r="C78" s="219" t="s">
        <v>545</v>
      </c>
      <c r="D78" s="216" t="s">
        <v>191</v>
      </c>
      <c r="E78" s="217" t="s">
        <v>178</v>
      </c>
      <c r="F78" s="217" t="s">
        <v>137</v>
      </c>
      <c r="G78" s="218">
        <v>25659</v>
      </c>
      <c r="H78" s="217" t="s">
        <v>830</v>
      </c>
      <c r="I78" s="217" t="s">
        <v>716</v>
      </c>
      <c r="J78" s="217" t="s">
        <v>1228</v>
      </c>
      <c r="K78" s="217" t="s">
        <v>91</v>
      </c>
      <c r="L78" s="220">
        <v>2858930432</v>
      </c>
      <c r="M78" s="206">
        <v>1570209001</v>
      </c>
      <c r="N78" s="206">
        <v>1288721432</v>
      </c>
      <c r="O78" s="206">
        <v>3289633814</v>
      </c>
      <c r="P78" s="206">
        <v>129259533</v>
      </c>
      <c r="Q78" s="206">
        <v>115619859</v>
      </c>
      <c r="R78" s="206">
        <v>84739843</v>
      </c>
      <c r="S78" s="406">
        <v>0</v>
      </c>
      <c r="T78" s="428">
        <f t="shared" si="27"/>
        <v>50</v>
      </c>
      <c r="U78" s="415">
        <f t="shared" si="28"/>
        <v>0.5</v>
      </c>
      <c r="V78" s="405">
        <v>0</v>
      </c>
      <c r="W78" s="428">
        <f t="shared" si="29"/>
        <v>50</v>
      </c>
      <c r="X78" s="415">
        <f t="shared" si="30"/>
        <v>0.5</v>
      </c>
      <c r="Y78" s="406">
        <v>1</v>
      </c>
      <c r="Z78" s="429">
        <v>0</v>
      </c>
      <c r="AA78" s="430">
        <f t="shared" si="31"/>
        <v>100</v>
      </c>
      <c r="AB78" s="415">
        <f t="shared" si="32"/>
        <v>1</v>
      </c>
      <c r="AC78" s="431">
        <v>0</v>
      </c>
      <c r="AD78" s="432">
        <f t="shared" si="33"/>
        <v>100</v>
      </c>
      <c r="AE78" s="433">
        <f t="shared" si="39"/>
        <v>4</v>
      </c>
      <c r="AF78" s="434" t="s">
        <v>2326</v>
      </c>
      <c r="AG78" s="434" t="s">
        <v>2326</v>
      </c>
      <c r="AH78" s="434" t="s">
        <v>2326</v>
      </c>
      <c r="AI78" s="362"/>
      <c r="AJ78" s="434" t="s">
        <v>2326</v>
      </c>
      <c r="AK78" s="434" t="s">
        <v>2326</v>
      </c>
      <c r="AL78" s="363"/>
      <c r="AM78" s="406">
        <v>0</v>
      </c>
      <c r="AN78" s="406">
        <v>0</v>
      </c>
      <c r="AO78" s="406">
        <v>0</v>
      </c>
      <c r="AP78" s="406">
        <v>0</v>
      </c>
      <c r="AQ78" s="406">
        <v>0</v>
      </c>
      <c r="AR78" s="406">
        <v>0</v>
      </c>
      <c r="AS78" s="406">
        <v>0</v>
      </c>
      <c r="AT78" s="406">
        <v>0</v>
      </c>
      <c r="AU78" s="407">
        <f t="shared" si="34"/>
        <v>0</v>
      </c>
      <c r="AV78" s="407">
        <f t="shared" si="35"/>
        <v>100</v>
      </c>
      <c r="AW78" s="408">
        <f t="shared" si="40"/>
        <v>5</v>
      </c>
      <c r="AX78" s="406">
        <v>0</v>
      </c>
      <c r="AY78" s="406">
        <v>0</v>
      </c>
      <c r="AZ78" s="406">
        <v>0</v>
      </c>
      <c r="BA78" s="406">
        <v>0</v>
      </c>
      <c r="BB78" s="430">
        <f t="shared" si="36"/>
        <v>0</v>
      </c>
      <c r="BC78" s="407">
        <f t="shared" si="37"/>
        <v>25</v>
      </c>
      <c r="BD78" s="408">
        <f t="shared" si="41"/>
        <v>0.75</v>
      </c>
      <c r="BE78" s="340">
        <f t="shared" si="38"/>
        <v>11.75</v>
      </c>
    </row>
    <row r="79" spans="1:57" x14ac:dyDescent="0.6">
      <c r="A79" s="214" t="s">
        <v>1593</v>
      </c>
      <c r="B79" s="13" t="s">
        <v>2057</v>
      </c>
      <c r="C79" s="219" t="s">
        <v>1594</v>
      </c>
      <c r="D79" s="14" t="s">
        <v>203</v>
      </c>
      <c r="E79" s="217" t="s">
        <v>1595</v>
      </c>
      <c r="F79" s="217" t="s">
        <v>1596</v>
      </c>
      <c r="G79" s="218">
        <v>40389</v>
      </c>
      <c r="H79" s="217" t="s">
        <v>830</v>
      </c>
      <c r="I79" s="217" t="s">
        <v>1597</v>
      </c>
      <c r="J79" s="13" t="s">
        <v>2058</v>
      </c>
      <c r="K79" s="217" t="s">
        <v>91</v>
      </c>
      <c r="L79" s="220">
        <v>991695975</v>
      </c>
      <c r="M79" s="206">
        <v>405389777</v>
      </c>
      <c r="N79" s="206">
        <v>586306198</v>
      </c>
      <c r="O79" s="206">
        <v>881208064</v>
      </c>
      <c r="P79" s="206">
        <v>14182419</v>
      </c>
      <c r="Q79" s="206">
        <v>20162956</v>
      </c>
      <c r="R79" s="206">
        <v>20025770</v>
      </c>
      <c r="S79" s="406">
        <v>0</v>
      </c>
      <c r="T79" s="428">
        <f t="shared" si="27"/>
        <v>50</v>
      </c>
      <c r="U79" s="415">
        <f t="shared" si="28"/>
        <v>0.5</v>
      </c>
      <c r="V79" s="405">
        <v>0</v>
      </c>
      <c r="W79" s="428">
        <f t="shared" si="29"/>
        <v>50</v>
      </c>
      <c r="X79" s="415">
        <f t="shared" si="30"/>
        <v>0.5</v>
      </c>
      <c r="Y79" s="406">
        <v>0</v>
      </c>
      <c r="Z79" s="429">
        <v>0</v>
      </c>
      <c r="AA79" s="430">
        <f t="shared" si="31"/>
        <v>50</v>
      </c>
      <c r="AB79" s="415">
        <f t="shared" si="32"/>
        <v>0.5</v>
      </c>
      <c r="AC79" s="431">
        <v>0</v>
      </c>
      <c r="AD79" s="432">
        <f t="shared" si="33"/>
        <v>100</v>
      </c>
      <c r="AE79" s="433">
        <f t="shared" si="39"/>
        <v>4</v>
      </c>
      <c r="AF79" s="434" t="s">
        <v>2326</v>
      </c>
      <c r="AG79" s="434" t="s">
        <v>2326</v>
      </c>
      <c r="AH79" s="434" t="s">
        <v>2326</v>
      </c>
      <c r="AI79" s="362"/>
      <c r="AJ79" s="434" t="s">
        <v>2326</v>
      </c>
      <c r="AK79" s="434" t="s">
        <v>2326</v>
      </c>
      <c r="AL79" s="363"/>
      <c r="AM79" s="406">
        <v>0</v>
      </c>
      <c r="AN79" s="406">
        <v>0</v>
      </c>
      <c r="AO79" s="406">
        <v>0</v>
      </c>
      <c r="AP79" s="406">
        <v>0</v>
      </c>
      <c r="AQ79" s="406">
        <v>0</v>
      </c>
      <c r="AR79" s="406">
        <v>0</v>
      </c>
      <c r="AS79" s="406">
        <v>0</v>
      </c>
      <c r="AT79" s="406">
        <v>0</v>
      </c>
      <c r="AU79" s="407">
        <f t="shared" si="34"/>
        <v>0</v>
      </c>
      <c r="AV79" s="407">
        <f t="shared" si="35"/>
        <v>100</v>
      </c>
      <c r="AW79" s="408">
        <f t="shared" si="40"/>
        <v>5</v>
      </c>
      <c r="AX79" s="406">
        <v>0</v>
      </c>
      <c r="AY79" s="406">
        <v>0</v>
      </c>
      <c r="AZ79" s="406">
        <v>0</v>
      </c>
      <c r="BA79" s="406">
        <v>0</v>
      </c>
      <c r="BB79" s="430">
        <f t="shared" si="36"/>
        <v>0</v>
      </c>
      <c r="BC79" s="407">
        <f t="shared" si="37"/>
        <v>25</v>
      </c>
      <c r="BD79" s="408">
        <f t="shared" si="41"/>
        <v>0.75</v>
      </c>
      <c r="BE79" s="340">
        <f t="shared" si="38"/>
        <v>11.25</v>
      </c>
    </row>
    <row r="80" spans="1:57" x14ac:dyDescent="0.6">
      <c r="A80" s="214" t="s">
        <v>82</v>
      </c>
      <c r="B80" s="13" t="s">
        <v>2059</v>
      </c>
      <c r="C80" s="219" t="s">
        <v>427</v>
      </c>
      <c r="D80" s="14" t="s">
        <v>203</v>
      </c>
      <c r="E80" s="217" t="s">
        <v>978</v>
      </c>
      <c r="F80" s="217" t="s">
        <v>556</v>
      </c>
      <c r="G80" s="218">
        <v>40536</v>
      </c>
      <c r="H80" s="217" t="s">
        <v>830</v>
      </c>
      <c r="I80" s="217" t="s">
        <v>972</v>
      </c>
      <c r="J80" s="217" t="s">
        <v>638</v>
      </c>
      <c r="K80" s="217" t="s">
        <v>308</v>
      </c>
      <c r="L80" s="220">
        <v>838882273</v>
      </c>
      <c r="M80" s="206">
        <v>521359056</v>
      </c>
      <c r="N80" s="206">
        <v>317523216</v>
      </c>
      <c r="O80" s="206">
        <v>1019977255</v>
      </c>
      <c r="P80" s="206">
        <v>1019269</v>
      </c>
      <c r="Q80" s="206">
        <v>1770357</v>
      </c>
      <c r="R80" s="206">
        <v>1219262</v>
      </c>
      <c r="S80" s="406">
        <v>0</v>
      </c>
      <c r="T80" s="428">
        <f t="shared" si="27"/>
        <v>50</v>
      </c>
      <c r="U80" s="415">
        <f t="shared" si="28"/>
        <v>0.5</v>
      </c>
      <c r="V80" s="405">
        <v>0</v>
      </c>
      <c r="W80" s="428">
        <f t="shared" si="29"/>
        <v>50</v>
      </c>
      <c r="X80" s="415">
        <f t="shared" si="30"/>
        <v>0.5</v>
      </c>
      <c r="Y80" s="406">
        <v>0</v>
      </c>
      <c r="Z80" s="429">
        <v>0</v>
      </c>
      <c r="AA80" s="430">
        <f t="shared" si="31"/>
        <v>50</v>
      </c>
      <c r="AB80" s="415">
        <f t="shared" si="32"/>
        <v>0.5</v>
      </c>
      <c r="AC80" s="431">
        <v>0</v>
      </c>
      <c r="AD80" s="432">
        <f t="shared" si="33"/>
        <v>100</v>
      </c>
      <c r="AE80" s="433">
        <f t="shared" si="39"/>
        <v>4</v>
      </c>
      <c r="AF80" s="434" t="s">
        <v>2326</v>
      </c>
      <c r="AG80" s="434" t="s">
        <v>2326</v>
      </c>
      <c r="AH80" s="434" t="s">
        <v>2326</v>
      </c>
      <c r="AI80" s="362"/>
      <c r="AJ80" s="434" t="s">
        <v>2326</v>
      </c>
      <c r="AK80" s="434" t="s">
        <v>2326</v>
      </c>
      <c r="AL80" s="363"/>
      <c r="AM80" s="406">
        <v>0</v>
      </c>
      <c r="AN80" s="406">
        <v>0</v>
      </c>
      <c r="AO80" s="406">
        <v>0</v>
      </c>
      <c r="AP80" s="406">
        <v>0</v>
      </c>
      <c r="AQ80" s="406">
        <v>0</v>
      </c>
      <c r="AR80" s="406">
        <v>0</v>
      </c>
      <c r="AS80" s="406">
        <v>0</v>
      </c>
      <c r="AT80" s="406">
        <v>0</v>
      </c>
      <c r="AU80" s="407">
        <f t="shared" si="34"/>
        <v>0</v>
      </c>
      <c r="AV80" s="407">
        <f t="shared" si="35"/>
        <v>100</v>
      </c>
      <c r="AW80" s="408">
        <f t="shared" si="40"/>
        <v>5</v>
      </c>
      <c r="AX80" s="406">
        <v>0</v>
      </c>
      <c r="AY80" s="406">
        <v>0</v>
      </c>
      <c r="AZ80" s="406">
        <v>0</v>
      </c>
      <c r="BA80" s="406">
        <v>0</v>
      </c>
      <c r="BB80" s="430">
        <f t="shared" si="36"/>
        <v>0</v>
      </c>
      <c r="BC80" s="407">
        <f t="shared" si="37"/>
        <v>25</v>
      </c>
      <c r="BD80" s="408">
        <f t="shared" si="41"/>
        <v>0.75</v>
      </c>
      <c r="BE80" s="340">
        <f t="shared" si="38"/>
        <v>11.25</v>
      </c>
    </row>
    <row r="81" spans="1:57" x14ac:dyDescent="0.6">
      <c r="A81" s="214" t="s">
        <v>932</v>
      </c>
      <c r="B81" s="13" t="s">
        <v>2060</v>
      </c>
      <c r="C81" s="219" t="s">
        <v>452</v>
      </c>
      <c r="D81" s="216" t="s">
        <v>285</v>
      </c>
      <c r="E81" s="217" t="s">
        <v>872</v>
      </c>
      <c r="F81" s="217" t="s">
        <v>286</v>
      </c>
      <c r="G81" s="218">
        <v>36973</v>
      </c>
      <c r="H81" s="217" t="s">
        <v>830</v>
      </c>
      <c r="I81" s="217" t="s">
        <v>771</v>
      </c>
      <c r="J81" s="217" t="s">
        <v>1598</v>
      </c>
      <c r="K81" s="217" t="s">
        <v>91</v>
      </c>
      <c r="L81" s="220">
        <v>9668849513</v>
      </c>
      <c r="M81" s="206">
        <v>6674852812</v>
      </c>
      <c r="N81" s="206">
        <v>2993996701</v>
      </c>
      <c r="O81" s="206">
        <v>9318914840</v>
      </c>
      <c r="P81" s="206">
        <v>433402928</v>
      </c>
      <c r="Q81" s="206">
        <v>364861645</v>
      </c>
      <c r="R81" s="206">
        <v>254741243</v>
      </c>
      <c r="S81" s="406">
        <v>0</v>
      </c>
      <c r="T81" s="428">
        <f t="shared" si="27"/>
        <v>50</v>
      </c>
      <c r="U81" s="415">
        <f t="shared" si="28"/>
        <v>0.5</v>
      </c>
      <c r="V81" s="405">
        <v>0</v>
      </c>
      <c r="W81" s="428">
        <f t="shared" si="29"/>
        <v>50</v>
      </c>
      <c r="X81" s="415">
        <f t="shared" si="30"/>
        <v>0.5</v>
      </c>
      <c r="Y81" s="406">
        <v>0</v>
      </c>
      <c r="Z81" s="429">
        <v>0</v>
      </c>
      <c r="AA81" s="430">
        <f t="shared" si="31"/>
        <v>50</v>
      </c>
      <c r="AB81" s="415">
        <f t="shared" si="32"/>
        <v>0.5</v>
      </c>
      <c r="AC81" s="431">
        <v>3</v>
      </c>
      <c r="AD81" s="432">
        <f t="shared" si="33"/>
        <v>40</v>
      </c>
      <c r="AE81" s="433">
        <f t="shared" si="39"/>
        <v>1.6</v>
      </c>
      <c r="AF81" s="434" t="s">
        <v>2326</v>
      </c>
      <c r="AG81" s="434" t="s">
        <v>2326</v>
      </c>
      <c r="AH81" s="434" t="s">
        <v>2326</v>
      </c>
      <c r="AI81" s="362"/>
      <c r="AJ81" s="434" t="s">
        <v>2326</v>
      </c>
      <c r="AK81" s="434" t="s">
        <v>2326</v>
      </c>
      <c r="AL81" s="363"/>
      <c r="AM81" s="406">
        <v>0</v>
      </c>
      <c r="AN81" s="406">
        <v>0</v>
      </c>
      <c r="AO81" s="406">
        <v>0</v>
      </c>
      <c r="AP81" s="406">
        <v>0</v>
      </c>
      <c r="AQ81" s="406">
        <v>0</v>
      </c>
      <c r="AR81" s="406">
        <v>0</v>
      </c>
      <c r="AS81" s="406">
        <v>0</v>
      </c>
      <c r="AT81" s="406">
        <v>0</v>
      </c>
      <c r="AU81" s="407">
        <f t="shared" si="34"/>
        <v>0</v>
      </c>
      <c r="AV81" s="407">
        <f t="shared" si="35"/>
        <v>100</v>
      </c>
      <c r="AW81" s="408">
        <f t="shared" si="40"/>
        <v>5</v>
      </c>
      <c r="AX81" s="406">
        <v>0</v>
      </c>
      <c r="AY81" s="406">
        <v>0</v>
      </c>
      <c r="AZ81" s="406">
        <v>0</v>
      </c>
      <c r="BA81" s="406">
        <v>0</v>
      </c>
      <c r="BB81" s="430">
        <f t="shared" si="36"/>
        <v>0</v>
      </c>
      <c r="BC81" s="407">
        <f t="shared" si="37"/>
        <v>25</v>
      </c>
      <c r="BD81" s="408">
        <f t="shared" si="41"/>
        <v>0.75</v>
      </c>
      <c r="BE81" s="340">
        <f t="shared" si="38"/>
        <v>8.85</v>
      </c>
    </row>
    <row r="82" spans="1:57" x14ac:dyDescent="0.6">
      <c r="A82" s="214" t="s">
        <v>761</v>
      </c>
      <c r="B82" s="13" t="s">
        <v>2061</v>
      </c>
      <c r="C82" s="219" t="s">
        <v>552</v>
      </c>
      <c r="D82" s="216" t="s">
        <v>191</v>
      </c>
      <c r="E82" s="217" t="s">
        <v>34</v>
      </c>
      <c r="F82" s="217" t="s">
        <v>131</v>
      </c>
      <c r="G82" s="218">
        <v>26841</v>
      </c>
      <c r="H82" s="217" t="s">
        <v>830</v>
      </c>
      <c r="I82" s="217" t="s">
        <v>739</v>
      </c>
      <c r="J82" s="217" t="s">
        <v>1247</v>
      </c>
      <c r="K82" s="217" t="s">
        <v>690</v>
      </c>
      <c r="L82" s="220">
        <v>467020461</v>
      </c>
      <c r="M82" s="206">
        <v>22242291</v>
      </c>
      <c r="N82" s="206">
        <v>444778170</v>
      </c>
      <c r="O82" s="206">
        <v>102401976</v>
      </c>
      <c r="P82" s="206">
        <v>54478995</v>
      </c>
      <c r="Q82" s="206">
        <v>56254195</v>
      </c>
      <c r="R82" s="206">
        <v>53906527</v>
      </c>
      <c r="S82" s="406">
        <v>0</v>
      </c>
      <c r="T82" s="428">
        <f t="shared" si="27"/>
        <v>50</v>
      </c>
      <c r="U82" s="415">
        <f t="shared" si="28"/>
        <v>0.5</v>
      </c>
      <c r="V82" s="405">
        <v>0</v>
      </c>
      <c r="W82" s="428">
        <f t="shared" si="29"/>
        <v>50</v>
      </c>
      <c r="X82" s="415">
        <f t="shared" si="30"/>
        <v>0.5</v>
      </c>
      <c r="Y82" s="406">
        <v>0</v>
      </c>
      <c r="Z82" s="429">
        <v>0</v>
      </c>
      <c r="AA82" s="430">
        <f t="shared" si="31"/>
        <v>50</v>
      </c>
      <c r="AB82" s="415">
        <f t="shared" si="32"/>
        <v>0.5</v>
      </c>
      <c r="AC82" s="431">
        <v>0</v>
      </c>
      <c r="AD82" s="432">
        <f t="shared" si="33"/>
        <v>100</v>
      </c>
      <c r="AE82" s="433">
        <f t="shared" si="39"/>
        <v>4</v>
      </c>
      <c r="AF82" s="434" t="s">
        <v>2326</v>
      </c>
      <c r="AG82" s="434" t="s">
        <v>2326</v>
      </c>
      <c r="AH82" s="434" t="s">
        <v>2326</v>
      </c>
      <c r="AI82" s="362"/>
      <c r="AJ82" s="434" t="s">
        <v>2326</v>
      </c>
      <c r="AK82" s="434" t="s">
        <v>2326</v>
      </c>
      <c r="AL82" s="363"/>
      <c r="AM82" s="406">
        <v>0</v>
      </c>
      <c r="AN82" s="406">
        <v>0</v>
      </c>
      <c r="AO82" s="406">
        <v>0</v>
      </c>
      <c r="AP82" s="406">
        <v>0</v>
      </c>
      <c r="AQ82" s="406">
        <v>0</v>
      </c>
      <c r="AR82" s="406">
        <v>0</v>
      </c>
      <c r="AS82" s="406">
        <v>0</v>
      </c>
      <c r="AT82" s="406">
        <v>0</v>
      </c>
      <c r="AU82" s="407">
        <f t="shared" si="34"/>
        <v>0</v>
      </c>
      <c r="AV82" s="407">
        <f t="shared" si="35"/>
        <v>100</v>
      </c>
      <c r="AW82" s="408">
        <f t="shared" si="40"/>
        <v>5</v>
      </c>
      <c r="AX82" s="406">
        <v>0</v>
      </c>
      <c r="AY82" s="406">
        <v>0</v>
      </c>
      <c r="AZ82" s="406">
        <v>0</v>
      </c>
      <c r="BA82" s="406">
        <v>0</v>
      </c>
      <c r="BB82" s="430">
        <f t="shared" si="36"/>
        <v>0</v>
      </c>
      <c r="BC82" s="407">
        <f t="shared" si="37"/>
        <v>25</v>
      </c>
      <c r="BD82" s="408">
        <f t="shared" si="41"/>
        <v>0.75</v>
      </c>
      <c r="BE82" s="340">
        <f t="shared" si="38"/>
        <v>11.25</v>
      </c>
    </row>
    <row r="83" spans="1:57" x14ac:dyDescent="0.6">
      <c r="A83" s="214" t="s">
        <v>1599</v>
      </c>
      <c r="B83" s="13" t="s">
        <v>2062</v>
      </c>
      <c r="C83" s="219" t="s">
        <v>1600</v>
      </c>
      <c r="D83" s="14" t="s">
        <v>191</v>
      </c>
      <c r="E83" s="217" t="s">
        <v>34</v>
      </c>
      <c r="F83" s="217" t="s">
        <v>1601</v>
      </c>
      <c r="G83" s="218">
        <v>37561</v>
      </c>
      <c r="H83" s="217" t="s">
        <v>830</v>
      </c>
      <c r="I83" s="217" t="s">
        <v>1602</v>
      </c>
      <c r="J83" s="217" t="s">
        <v>1603</v>
      </c>
      <c r="K83" s="217" t="s">
        <v>690</v>
      </c>
      <c r="L83" s="220">
        <v>1374022214</v>
      </c>
      <c r="M83" s="206">
        <v>714171561</v>
      </c>
      <c r="N83" s="206">
        <v>659850653</v>
      </c>
      <c r="O83" s="206">
        <v>1161253630</v>
      </c>
      <c r="P83" s="206">
        <v>105963323</v>
      </c>
      <c r="Q83" s="206">
        <v>44624254</v>
      </c>
      <c r="R83" s="206">
        <v>48561673</v>
      </c>
      <c r="S83" s="406">
        <v>0</v>
      </c>
      <c r="T83" s="428">
        <f t="shared" si="27"/>
        <v>50</v>
      </c>
      <c r="U83" s="415">
        <f t="shared" si="28"/>
        <v>0.5</v>
      </c>
      <c r="V83" s="405">
        <v>0</v>
      </c>
      <c r="W83" s="428">
        <f t="shared" si="29"/>
        <v>50</v>
      </c>
      <c r="X83" s="415">
        <f t="shared" si="30"/>
        <v>0.5</v>
      </c>
      <c r="Y83" s="406">
        <v>0</v>
      </c>
      <c r="Z83" s="429">
        <v>0</v>
      </c>
      <c r="AA83" s="430">
        <f t="shared" si="31"/>
        <v>50</v>
      </c>
      <c r="AB83" s="415">
        <f t="shared" si="32"/>
        <v>0.5</v>
      </c>
      <c r="AC83" s="431">
        <v>0</v>
      </c>
      <c r="AD83" s="432">
        <f t="shared" si="33"/>
        <v>100</v>
      </c>
      <c r="AE83" s="433">
        <f t="shared" si="39"/>
        <v>4</v>
      </c>
      <c r="AF83" s="434" t="s">
        <v>2326</v>
      </c>
      <c r="AG83" s="434" t="s">
        <v>2326</v>
      </c>
      <c r="AH83" s="434" t="s">
        <v>2326</v>
      </c>
      <c r="AI83" s="362"/>
      <c r="AJ83" s="434" t="s">
        <v>2326</v>
      </c>
      <c r="AK83" s="434" t="s">
        <v>2326</v>
      </c>
      <c r="AL83" s="363"/>
      <c r="AM83" s="406">
        <v>0</v>
      </c>
      <c r="AN83" s="406">
        <v>0</v>
      </c>
      <c r="AO83" s="406">
        <v>0</v>
      </c>
      <c r="AP83" s="406">
        <v>0</v>
      </c>
      <c r="AQ83" s="406">
        <v>0</v>
      </c>
      <c r="AR83" s="406">
        <v>0</v>
      </c>
      <c r="AS83" s="406">
        <v>0</v>
      </c>
      <c r="AT83" s="406">
        <v>0</v>
      </c>
      <c r="AU83" s="407">
        <f t="shared" si="34"/>
        <v>0</v>
      </c>
      <c r="AV83" s="407">
        <f t="shared" si="35"/>
        <v>100</v>
      </c>
      <c r="AW83" s="408">
        <f t="shared" si="40"/>
        <v>5</v>
      </c>
      <c r="AX83" s="406">
        <v>0</v>
      </c>
      <c r="AY83" s="406">
        <v>0</v>
      </c>
      <c r="AZ83" s="406">
        <v>0</v>
      </c>
      <c r="BA83" s="406">
        <v>0</v>
      </c>
      <c r="BB83" s="430">
        <f t="shared" si="36"/>
        <v>0</v>
      </c>
      <c r="BC83" s="407">
        <f t="shared" si="37"/>
        <v>25</v>
      </c>
      <c r="BD83" s="408">
        <f t="shared" si="41"/>
        <v>0.75</v>
      </c>
      <c r="BE83" s="340">
        <f t="shared" si="38"/>
        <v>11.25</v>
      </c>
    </row>
    <row r="84" spans="1:57" x14ac:dyDescent="0.6">
      <c r="A84" s="214" t="s">
        <v>559</v>
      </c>
      <c r="B84" s="13" t="s">
        <v>2063</v>
      </c>
      <c r="C84" s="219" t="s">
        <v>89</v>
      </c>
      <c r="D84" s="216" t="s">
        <v>202</v>
      </c>
      <c r="E84" s="217" t="s">
        <v>954</v>
      </c>
      <c r="F84" s="217" t="s">
        <v>122</v>
      </c>
      <c r="G84" s="218">
        <v>28298</v>
      </c>
      <c r="H84" s="217" t="s">
        <v>830</v>
      </c>
      <c r="I84" s="217" t="s">
        <v>1604</v>
      </c>
      <c r="J84" s="217" t="s">
        <v>1014</v>
      </c>
      <c r="K84" s="217" t="s">
        <v>425</v>
      </c>
      <c r="L84" s="220">
        <v>688386355</v>
      </c>
      <c r="M84" s="206">
        <v>261400791</v>
      </c>
      <c r="N84" s="206">
        <v>426985565</v>
      </c>
      <c r="O84" s="206">
        <v>696217415</v>
      </c>
      <c r="P84" s="206">
        <v>16849939</v>
      </c>
      <c r="Q84" s="206">
        <v>6695668</v>
      </c>
      <c r="R84" s="206">
        <v>10606180</v>
      </c>
      <c r="S84" s="406">
        <v>0</v>
      </c>
      <c r="T84" s="428">
        <f t="shared" si="27"/>
        <v>50</v>
      </c>
      <c r="U84" s="415">
        <f t="shared" si="28"/>
        <v>0.5</v>
      </c>
      <c r="V84" s="405">
        <v>0</v>
      </c>
      <c r="W84" s="428">
        <f t="shared" si="29"/>
        <v>50</v>
      </c>
      <c r="X84" s="415">
        <f t="shared" si="30"/>
        <v>0.5</v>
      </c>
      <c r="Y84" s="406">
        <v>0</v>
      </c>
      <c r="Z84" s="429">
        <v>0</v>
      </c>
      <c r="AA84" s="430">
        <f t="shared" si="31"/>
        <v>50</v>
      </c>
      <c r="AB84" s="415">
        <f t="shared" si="32"/>
        <v>0.5</v>
      </c>
      <c r="AC84" s="431">
        <v>0</v>
      </c>
      <c r="AD84" s="432">
        <f t="shared" si="33"/>
        <v>100</v>
      </c>
      <c r="AE84" s="433">
        <f t="shared" si="39"/>
        <v>4</v>
      </c>
      <c r="AF84" s="434" t="s">
        <v>2326</v>
      </c>
      <c r="AG84" s="434" t="s">
        <v>2326</v>
      </c>
      <c r="AH84" s="434" t="s">
        <v>2326</v>
      </c>
      <c r="AI84" s="362"/>
      <c r="AJ84" s="434" t="s">
        <v>2326</v>
      </c>
      <c r="AK84" s="434" t="s">
        <v>2326</v>
      </c>
      <c r="AL84" s="363"/>
      <c r="AM84" s="406">
        <v>0</v>
      </c>
      <c r="AN84" s="406">
        <v>0</v>
      </c>
      <c r="AO84" s="406">
        <v>0</v>
      </c>
      <c r="AP84" s="406">
        <v>0</v>
      </c>
      <c r="AQ84" s="406">
        <v>0</v>
      </c>
      <c r="AR84" s="406">
        <v>0</v>
      </c>
      <c r="AS84" s="406">
        <v>0</v>
      </c>
      <c r="AT84" s="406">
        <v>0</v>
      </c>
      <c r="AU84" s="407">
        <f t="shared" si="34"/>
        <v>0</v>
      </c>
      <c r="AV84" s="407">
        <f t="shared" si="35"/>
        <v>100</v>
      </c>
      <c r="AW84" s="408">
        <f t="shared" si="40"/>
        <v>5</v>
      </c>
      <c r="AX84" s="406">
        <v>0</v>
      </c>
      <c r="AY84" s="406">
        <v>0</v>
      </c>
      <c r="AZ84" s="406">
        <v>0</v>
      </c>
      <c r="BA84" s="406">
        <v>0</v>
      </c>
      <c r="BB84" s="430">
        <f t="shared" si="36"/>
        <v>0</v>
      </c>
      <c r="BC84" s="407">
        <f t="shared" si="37"/>
        <v>25</v>
      </c>
      <c r="BD84" s="408">
        <f t="shared" si="41"/>
        <v>0.75</v>
      </c>
      <c r="BE84" s="340">
        <f t="shared" si="38"/>
        <v>11.25</v>
      </c>
    </row>
    <row r="85" spans="1:57" x14ac:dyDescent="0.6">
      <c r="A85" s="214" t="s">
        <v>333</v>
      </c>
      <c r="B85" s="13" t="s">
        <v>2064</v>
      </c>
      <c r="C85" s="219" t="s">
        <v>40</v>
      </c>
      <c r="D85" s="216" t="s">
        <v>191</v>
      </c>
      <c r="E85" s="217" t="s">
        <v>34</v>
      </c>
      <c r="F85" s="217" t="s">
        <v>139</v>
      </c>
      <c r="G85" s="218">
        <v>36509</v>
      </c>
      <c r="H85" s="217" t="s">
        <v>830</v>
      </c>
      <c r="I85" s="217" t="s">
        <v>451</v>
      </c>
      <c r="J85" s="217" t="s">
        <v>1227</v>
      </c>
      <c r="K85" s="217" t="s">
        <v>91</v>
      </c>
      <c r="L85" s="220">
        <v>424552601</v>
      </c>
      <c r="M85" s="206">
        <v>177887391</v>
      </c>
      <c r="N85" s="206">
        <v>246665210</v>
      </c>
      <c r="O85" s="206">
        <v>452801417</v>
      </c>
      <c r="P85" s="206">
        <v>47688591</v>
      </c>
      <c r="Q85" s="206">
        <v>39855973</v>
      </c>
      <c r="R85" s="206">
        <v>31496020</v>
      </c>
      <c r="S85" s="406">
        <v>0</v>
      </c>
      <c r="T85" s="428">
        <f t="shared" si="27"/>
        <v>50</v>
      </c>
      <c r="U85" s="415">
        <f t="shared" si="28"/>
        <v>0.5</v>
      </c>
      <c r="V85" s="405">
        <v>0</v>
      </c>
      <c r="W85" s="428">
        <f t="shared" si="29"/>
        <v>50</v>
      </c>
      <c r="X85" s="415">
        <f t="shared" si="30"/>
        <v>0.5</v>
      </c>
      <c r="Y85" s="406">
        <v>0</v>
      </c>
      <c r="Z85" s="429">
        <v>0</v>
      </c>
      <c r="AA85" s="430">
        <f t="shared" si="31"/>
        <v>50</v>
      </c>
      <c r="AB85" s="415">
        <f t="shared" si="32"/>
        <v>0.5</v>
      </c>
      <c r="AC85" s="431">
        <v>0</v>
      </c>
      <c r="AD85" s="432">
        <f t="shared" si="33"/>
        <v>100</v>
      </c>
      <c r="AE85" s="433">
        <f t="shared" si="39"/>
        <v>4</v>
      </c>
      <c r="AF85" s="434" t="s">
        <v>2326</v>
      </c>
      <c r="AG85" s="434" t="s">
        <v>2326</v>
      </c>
      <c r="AH85" s="434" t="s">
        <v>2326</v>
      </c>
      <c r="AI85" s="362"/>
      <c r="AJ85" s="434" t="s">
        <v>2326</v>
      </c>
      <c r="AK85" s="434" t="s">
        <v>2326</v>
      </c>
      <c r="AL85" s="363"/>
      <c r="AM85" s="406">
        <v>0</v>
      </c>
      <c r="AN85" s="406">
        <v>0</v>
      </c>
      <c r="AO85" s="406">
        <v>0</v>
      </c>
      <c r="AP85" s="406">
        <v>0</v>
      </c>
      <c r="AQ85" s="406">
        <v>0</v>
      </c>
      <c r="AR85" s="406">
        <v>0</v>
      </c>
      <c r="AS85" s="406">
        <v>0</v>
      </c>
      <c r="AT85" s="406">
        <v>0</v>
      </c>
      <c r="AU85" s="407">
        <f t="shared" si="34"/>
        <v>0</v>
      </c>
      <c r="AV85" s="407">
        <f t="shared" si="35"/>
        <v>100</v>
      </c>
      <c r="AW85" s="408">
        <f t="shared" si="40"/>
        <v>5</v>
      </c>
      <c r="AX85" s="406">
        <v>0</v>
      </c>
      <c r="AY85" s="406">
        <v>0</v>
      </c>
      <c r="AZ85" s="406">
        <v>0</v>
      </c>
      <c r="BA85" s="406">
        <v>0</v>
      </c>
      <c r="BB85" s="430">
        <f t="shared" si="36"/>
        <v>0</v>
      </c>
      <c r="BC85" s="407">
        <f t="shared" si="37"/>
        <v>25</v>
      </c>
      <c r="BD85" s="408">
        <f t="shared" si="41"/>
        <v>0.75</v>
      </c>
      <c r="BE85" s="340">
        <f t="shared" si="38"/>
        <v>11.25</v>
      </c>
    </row>
    <row r="86" spans="1:57" x14ac:dyDescent="0.6">
      <c r="A86" s="214" t="s">
        <v>423</v>
      </c>
      <c r="B86" s="13" t="s">
        <v>2065</v>
      </c>
      <c r="C86" s="219" t="s">
        <v>316</v>
      </c>
      <c r="D86" s="216" t="s">
        <v>202</v>
      </c>
      <c r="E86" s="217" t="s">
        <v>954</v>
      </c>
      <c r="F86" s="217" t="s">
        <v>118</v>
      </c>
      <c r="G86" s="218">
        <v>32714</v>
      </c>
      <c r="H86" s="217" t="s">
        <v>830</v>
      </c>
      <c r="I86" s="217" t="s">
        <v>751</v>
      </c>
      <c r="J86" s="217" t="s">
        <v>1056</v>
      </c>
      <c r="K86" s="217" t="s">
        <v>50</v>
      </c>
      <c r="L86" s="220">
        <v>250352084</v>
      </c>
      <c r="M86" s="206">
        <v>48446955</v>
      </c>
      <c r="N86" s="206">
        <v>201905129</v>
      </c>
      <c r="O86" s="206">
        <v>318979683</v>
      </c>
      <c r="P86" s="206">
        <v>34727495</v>
      </c>
      <c r="Q86" s="206">
        <v>41272114</v>
      </c>
      <c r="R86" s="206">
        <v>31646295</v>
      </c>
      <c r="S86" s="406">
        <v>0</v>
      </c>
      <c r="T86" s="428">
        <f t="shared" si="27"/>
        <v>50</v>
      </c>
      <c r="U86" s="415">
        <f t="shared" si="28"/>
        <v>0.5</v>
      </c>
      <c r="V86" s="405">
        <v>0</v>
      </c>
      <c r="W86" s="428">
        <f t="shared" si="29"/>
        <v>50</v>
      </c>
      <c r="X86" s="415">
        <f t="shared" si="30"/>
        <v>0.5</v>
      </c>
      <c r="Y86" s="406">
        <v>0</v>
      </c>
      <c r="Z86" s="429">
        <v>0</v>
      </c>
      <c r="AA86" s="430">
        <f t="shared" si="31"/>
        <v>50</v>
      </c>
      <c r="AB86" s="415">
        <f t="shared" si="32"/>
        <v>0.5</v>
      </c>
      <c r="AC86" s="431">
        <v>0</v>
      </c>
      <c r="AD86" s="432">
        <f t="shared" si="33"/>
        <v>100</v>
      </c>
      <c r="AE86" s="433">
        <f t="shared" si="39"/>
        <v>4</v>
      </c>
      <c r="AF86" s="434" t="s">
        <v>2326</v>
      </c>
      <c r="AG86" s="434" t="s">
        <v>2326</v>
      </c>
      <c r="AH86" s="434" t="s">
        <v>2326</v>
      </c>
      <c r="AI86" s="362"/>
      <c r="AJ86" s="434" t="s">
        <v>2326</v>
      </c>
      <c r="AK86" s="434" t="s">
        <v>2326</v>
      </c>
      <c r="AL86" s="363"/>
      <c r="AM86" s="406">
        <v>0</v>
      </c>
      <c r="AN86" s="406">
        <v>0</v>
      </c>
      <c r="AO86" s="406">
        <v>0</v>
      </c>
      <c r="AP86" s="406">
        <v>0</v>
      </c>
      <c r="AQ86" s="406">
        <v>0</v>
      </c>
      <c r="AR86" s="406">
        <v>0</v>
      </c>
      <c r="AS86" s="406">
        <v>0</v>
      </c>
      <c r="AT86" s="406">
        <v>0</v>
      </c>
      <c r="AU86" s="407">
        <f t="shared" si="34"/>
        <v>0</v>
      </c>
      <c r="AV86" s="407">
        <f t="shared" si="35"/>
        <v>100</v>
      </c>
      <c r="AW86" s="408">
        <f t="shared" si="40"/>
        <v>5</v>
      </c>
      <c r="AX86" s="406">
        <v>0</v>
      </c>
      <c r="AY86" s="406">
        <v>0</v>
      </c>
      <c r="AZ86" s="406">
        <v>0</v>
      </c>
      <c r="BA86" s="406">
        <v>0</v>
      </c>
      <c r="BB86" s="430">
        <f t="shared" si="36"/>
        <v>0</v>
      </c>
      <c r="BC86" s="407">
        <f t="shared" si="37"/>
        <v>25</v>
      </c>
      <c r="BD86" s="408">
        <f t="shared" si="41"/>
        <v>0.75</v>
      </c>
      <c r="BE86" s="340">
        <f t="shared" si="38"/>
        <v>11.25</v>
      </c>
    </row>
    <row r="87" spans="1:57" x14ac:dyDescent="0.6">
      <c r="A87" s="214" t="s">
        <v>1605</v>
      </c>
      <c r="B87" s="13" t="s">
        <v>2066</v>
      </c>
      <c r="C87" s="219" t="s">
        <v>1606</v>
      </c>
      <c r="D87" s="14" t="s">
        <v>202</v>
      </c>
      <c r="E87" s="217" t="s">
        <v>613</v>
      </c>
      <c r="F87" s="217" t="s">
        <v>1607</v>
      </c>
      <c r="G87" s="218">
        <v>25199</v>
      </c>
      <c r="H87" s="217" t="s">
        <v>830</v>
      </c>
      <c r="I87" s="217" t="s">
        <v>1608</v>
      </c>
      <c r="J87" s="217" t="s">
        <v>1609</v>
      </c>
      <c r="K87" s="217" t="s">
        <v>690</v>
      </c>
      <c r="L87" s="220">
        <v>1552592143</v>
      </c>
      <c r="M87" s="206">
        <v>682188473</v>
      </c>
      <c r="N87" s="206">
        <v>870403670</v>
      </c>
      <c r="O87" s="206">
        <v>2199525188</v>
      </c>
      <c r="P87" s="206">
        <v>28784541</v>
      </c>
      <c r="Q87" s="206">
        <v>14593912</v>
      </c>
      <c r="R87" s="206">
        <v>8438935</v>
      </c>
      <c r="S87" s="406">
        <v>0</v>
      </c>
      <c r="T87" s="428">
        <f t="shared" si="27"/>
        <v>50</v>
      </c>
      <c r="U87" s="415">
        <f t="shared" si="28"/>
        <v>0.5</v>
      </c>
      <c r="V87" s="405">
        <v>0</v>
      </c>
      <c r="W87" s="428">
        <f t="shared" si="29"/>
        <v>50</v>
      </c>
      <c r="X87" s="415">
        <f t="shared" si="30"/>
        <v>0.5</v>
      </c>
      <c r="Y87" s="406">
        <v>0</v>
      </c>
      <c r="Z87" s="429">
        <v>0</v>
      </c>
      <c r="AA87" s="430">
        <f t="shared" si="31"/>
        <v>50</v>
      </c>
      <c r="AB87" s="415">
        <f t="shared" si="32"/>
        <v>0.5</v>
      </c>
      <c r="AC87" s="431">
        <v>0</v>
      </c>
      <c r="AD87" s="432">
        <f t="shared" si="33"/>
        <v>100</v>
      </c>
      <c r="AE87" s="433">
        <f t="shared" si="39"/>
        <v>4</v>
      </c>
      <c r="AF87" s="434" t="s">
        <v>2326</v>
      </c>
      <c r="AG87" s="434" t="s">
        <v>2326</v>
      </c>
      <c r="AH87" s="434" t="s">
        <v>2326</v>
      </c>
      <c r="AI87" s="362"/>
      <c r="AJ87" s="434" t="s">
        <v>2326</v>
      </c>
      <c r="AK87" s="434" t="s">
        <v>2326</v>
      </c>
      <c r="AL87" s="363"/>
      <c r="AM87" s="406">
        <v>0</v>
      </c>
      <c r="AN87" s="406">
        <v>0</v>
      </c>
      <c r="AO87" s="406">
        <v>0</v>
      </c>
      <c r="AP87" s="406">
        <v>0</v>
      </c>
      <c r="AQ87" s="406">
        <v>0</v>
      </c>
      <c r="AR87" s="406">
        <v>0</v>
      </c>
      <c r="AS87" s="406">
        <v>0</v>
      </c>
      <c r="AT87" s="406">
        <v>0</v>
      </c>
      <c r="AU87" s="407">
        <f t="shared" si="34"/>
        <v>0</v>
      </c>
      <c r="AV87" s="407">
        <f t="shared" si="35"/>
        <v>100</v>
      </c>
      <c r="AW87" s="408">
        <f t="shared" si="40"/>
        <v>5</v>
      </c>
      <c r="AX87" s="406">
        <v>0</v>
      </c>
      <c r="AY87" s="406">
        <v>0</v>
      </c>
      <c r="AZ87" s="406">
        <v>0</v>
      </c>
      <c r="BA87" s="406">
        <v>0</v>
      </c>
      <c r="BB87" s="430">
        <f t="shared" si="36"/>
        <v>0</v>
      </c>
      <c r="BC87" s="407">
        <f t="shared" si="37"/>
        <v>25</v>
      </c>
      <c r="BD87" s="408">
        <f t="shared" si="41"/>
        <v>0.75</v>
      </c>
      <c r="BE87" s="340">
        <f t="shared" si="38"/>
        <v>11.25</v>
      </c>
    </row>
    <row r="88" spans="1:57" x14ac:dyDescent="0.6">
      <c r="A88" s="214" t="s">
        <v>1610</v>
      </c>
      <c r="B88" s="13" t="s">
        <v>2067</v>
      </c>
      <c r="C88" s="219" t="s">
        <v>1611</v>
      </c>
      <c r="D88" s="14" t="s">
        <v>203</v>
      </c>
      <c r="E88" s="217" t="s">
        <v>195</v>
      </c>
      <c r="F88" s="217" t="s">
        <v>1612</v>
      </c>
      <c r="G88" s="218">
        <v>38656</v>
      </c>
      <c r="H88" s="217" t="s">
        <v>830</v>
      </c>
      <c r="I88" s="217" t="s">
        <v>1613</v>
      </c>
      <c r="J88" s="217" t="s">
        <v>1614</v>
      </c>
      <c r="K88" s="217" t="s">
        <v>484</v>
      </c>
      <c r="L88" s="220">
        <v>970387263</v>
      </c>
      <c r="M88" s="206">
        <v>262154054</v>
      </c>
      <c r="N88" s="206">
        <v>708233209</v>
      </c>
      <c r="O88" s="206">
        <v>1283527751</v>
      </c>
      <c r="P88" s="206">
        <v>140978130</v>
      </c>
      <c r="Q88" s="206">
        <v>164027486</v>
      </c>
      <c r="R88" s="206">
        <v>128769206</v>
      </c>
      <c r="S88" s="406">
        <v>0</v>
      </c>
      <c r="T88" s="428">
        <f t="shared" si="27"/>
        <v>50</v>
      </c>
      <c r="U88" s="415">
        <f t="shared" si="28"/>
        <v>0.5</v>
      </c>
      <c r="V88" s="405">
        <v>0</v>
      </c>
      <c r="W88" s="428">
        <f t="shared" si="29"/>
        <v>50</v>
      </c>
      <c r="X88" s="415">
        <f t="shared" si="30"/>
        <v>0.5</v>
      </c>
      <c r="Y88" s="406">
        <v>0</v>
      </c>
      <c r="Z88" s="429">
        <v>0</v>
      </c>
      <c r="AA88" s="430">
        <f t="shared" si="31"/>
        <v>50</v>
      </c>
      <c r="AB88" s="415">
        <f t="shared" si="32"/>
        <v>0.5</v>
      </c>
      <c r="AC88" s="431">
        <v>0</v>
      </c>
      <c r="AD88" s="432">
        <f t="shared" si="33"/>
        <v>100</v>
      </c>
      <c r="AE88" s="433">
        <f t="shared" si="39"/>
        <v>4</v>
      </c>
      <c r="AF88" s="434" t="s">
        <v>2326</v>
      </c>
      <c r="AG88" s="434" t="s">
        <v>2326</v>
      </c>
      <c r="AH88" s="434" t="s">
        <v>2326</v>
      </c>
      <c r="AI88" s="362"/>
      <c r="AJ88" s="434" t="s">
        <v>2326</v>
      </c>
      <c r="AK88" s="434" t="s">
        <v>2326</v>
      </c>
      <c r="AL88" s="363"/>
      <c r="AM88" s="406">
        <v>0</v>
      </c>
      <c r="AN88" s="406">
        <v>0</v>
      </c>
      <c r="AO88" s="406">
        <v>0</v>
      </c>
      <c r="AP88" s="406">
        <v>0</v>
      </c>
      <c r="AQ88" s="406">
        <v>0</v>
      </c>
      <c r="AR88" s="406">
        <v>0</v>
      </c>
      <c r="AS88" s="406">
        <v>0</v>
      </c>
      <c r="AT88" s="406">
        <v>0</v>
      </c>
      <c r="AU88" s="407">
        <f t="shared" si="34"/>
        <v>0</v>
      </c>
      <c r="AV88" s="407">
        <f t="shared" si="35"/>
        <v>100</v>
      </c>
      <c r="AW88" s="408">
        <f t="shared" si="40"/>
        <v>5</v>
      </c>
      <c r="AX88" s="406">
        <v>0</v>
      </c>
      <c r="AY88" s="406">
        <v>0</v>
      </c>
      <c r="AZ88" s="406">
        <v>0</v>
      </c>
      <c r="BA88" s="406">
        <v>0</v>
      </c>
      <c r="BB88" s="430">
        <f t="shared" si="36"/>
        <v>0</v>
      </c>
      <c r="BC88" s="407">
        <f t="shared" si="37"/>
        <v>25</v>
      </c>
      <c r="BD88" s="408">
        <f t="shared" si="41"/>
        <v>0.75</v>
      </c>
      <c r="BE88" s="340">
        <f t="shared" si="38"/>
        <v>11.25</v>
      </c>
    </row>
    <row r="89" spans="1:57" x14ac:dyDescent="0.6">
      <c r="A89" s="214" t="s">
        <v>913</v>
      </c>
      <c r="B89" s="13" t="s">
        <v>2068</v>
      </c>
      <c r="C89" s="219" t="s">
        <v>486</v>
      </c>
      <c r="D89" s="216" t="s">
        <v>191</v>
      </c>
      <c r="E89" s="217" t="s">
        <v>1020</v>
      </c>
      <c r="F89" s="217" t="s">
        <v>156</v>
      </c>
      <c r="G89" s="218">
        <v>25897</v>
      </c>
      <c r="H89" s="217" t="s">
        <v>830</v>
      </c>
      <c r="I89" s="217" t="s">
        <v>204</v>
      </c>
      <c r="J89" s="217" t="s">
        <v>1238</v>
      </c>
      <c r="K89" s="217" t="s">
        <v>91</v>
      </c>
      <c r="L89" s="220">
        <v>891133540</v>
      </c>
      <c r="M89" s="206">
        <v>131474747</v>
      </c>
      <c r="N89" s="206">
        <v>759658793</v>
      </c>
      <c r="O89" s="206">
        <v>462786649</v>
      </c>
      <c r="P89" s="206">
        <v>21452774</v>
      </c>
      <c r="Q89" s="206">
        <v>31309680</v>
      </c>
      <c r="R89" s="206">
        <v>23472409</v>
      </c>
      <c r="S89" s="406">
        <v>0</v>
      </c>
      <c r="T89" s="428">
        <f t="shared" si="27"/>
        <v>50</v>
      </c>
      <c r="U89" s="415">
        <f t="shared" si="28"/>
        <v>0.5</v>
      </c>
      <c r="V89" s="405">
        <v>0</v>
      </c>
      <c r="W89" s="428">
        <f t="shared" si="29"/>
        <v>50</v>
      </c>
      <c r="X89" s="415">
        <f t="shared" si="30"/>
        <v>0.5</v>
      </c>
      <c r="Y89" s="406">
        <v>0</v>
      </c>
      <c r="Z89" s="429">
        <v>0</v>
      </c>
      <c r="AA89" s="430">
        <f t="shared" si="31"/>
        <v>50</v>
      </c>
      <c r="AB89" s="415">
        <f t="shared" si="32"/>
        <v>0.5</v>
      </c>
      <c r="AC89" s="431">
        <v>0</v>
      </c>
      <c r="AD89" s="432">
        <f t="shared" si="33"/>
        <v>100</v>
      </c>
      <c r="AE89" s="433">
        <f t="shared" si="39"/>
        <v>4</v>
      </c>
      <c r="AF89" s="434" t="s">
        <v>2326</v>
      </c>
      <c r="AG89" s="434" t="s">
        <v>2326</v>
      </c>
      <c r="AH89" s="434" t="s">
        <v>2326</v>
      </c>
      <c r="AI89" s="362"/>
      <c r="AJ89" s="434" t="s">
        <v>2326</v>
      </c>
      <c r="AK89" s="434" t="s">
        <v>2326</v>
      </c>
      <c r="AL89" s="363"/>
      <c r="AM89" s="406">
        <v>0</v>
      </c>
      <c r="AN89" s="406">
        <v>0</v>
      </c>
      <c r="AO89" s="406">
        <v>0</v>
      </c>
      <c r="AP89" s="406">
        <v>0</v>
      </c>
      <c r="AQ89" s="406">
        <v>0</v>
      </c>
      <c r="AR89" s="406">
        <v>0</v>
      </c>
      <c r="AS89" s="406">
        <v>0</v>
      </c>
      <c r="AT89" s="406">
        <v>0</v>
      </c>
      <c r="AU89" s="407">
        <f t="shared" si="34"/>
        <v>0</v>
      </c>
      <c r="AV89" s="407">
        <f t="shared" si="35"/>
        <v>100</v>
      </c>
      <c r="AW89" s="408">
        <f t="shared" si="40"/>
        <v>5</v>
      </c>
      <c r="AX89" s="406">
        <v>0</v>
      </c>
      <c r="AY89" s="406">
        <v>0</v>
      </c>
      <c r="AZ89" s="406">
        <v>0</v>
      </c>
      <c r="BA89" s="406">
        <v>0</v>
      </c>
      <c r="BB89" s="430">
        <f t="shared" si="36"/>
        <v>0</v>
      </c>
      <c r="BC89" s="407">
        <f t="shared" si="37"/>
        <v>25</v>
      </c>
      <c r="BD89" s="408">
        <f t="shared" si="41"/>
        <v>0.75</v>
      </c>
      <c r="BE89" s="340">
        <f t="shared" si="38"/>
        <v>11.25</v>
      </c>
    </row>
    <row r="90" spans="1:57" x14ac:dyDescent="0.6">
      <c r="A90" s="214" t="s">
        <v>1615</v>
      </c>
      <c r="B90" s="13" t="s">
        <v>2069</v>
      </c>
      <c r="C90" s="219" t="s">
        <v>1616</v>
      </c>
      <c r="D90" s="14" t="s">
        <v>191</v>
      </c>
      <c r="E90" s="217" t="s">
        <v>240</v>
      </c>
      <c r="F90" s="217" t="s">
        <v>1617</v>
      </c>
      <c r="G90" s="218">
        <v>31404</v>
      </c>
      <c r="H90" s="217" t="s">
        <v>830</v>
      </c>
      <c r="I90" s="217" t="s">
        <v>1618</v>
      </c>
      <c r="J90" s="217" t="s">
        <v>1619</v>
      </c>
      <c r="K90" s="217" t="s">
        <v>91</v>
      </c>
      <c r="L90" s="220">
        <v>836764532</v>
      </c>
      <c r="M90" s="206">
        <v>122779865</v>
      </c>
      <c r="N90" s="206">
        <v>713984667</v>
      </c>
      <c r="O90" s="206">
        <v>150864212</v>
      </c>
      <c r="P90" s="206">
        <v>6382962</v>
      </c>
      <c r="Q90" s="206">
        <v>23763677</v>
      </c>
      <c r="R90" s="206">
        <v>33439084</v>
      </c>
      <c r="S90" s="406">
        <v>0</v>
      </c>
      <c r="T90" s="428">
        <f t="shared" si="27"/>
        <v>50</v>
      </c>
      <c r="U90" s="415">
        <f t="shared" si="28"/>
        <v>0.5</v>
      </c>
      <c r="V90" s="405">
        <v>0</v>
      </c>
      <c r="W90" s="428">
        <f t="shared" si="29"/>
        <v>50</v>
      </c>
      <c r="X90" s="415">
        <f t="shared" si="30"/>
        <v>0.5</v>
      </c>
      <c r="Y90" s="406">
        <v>0</v>
      </c>
      <c r="Z90" s="429">
        <v>0</v>
      </c>
      <c r="AA90" s="430">
        <f t="shared" si="31"/>
        <v>50</v>
      </c>
      <c r="AB90" s="415">
        <f t="shared" si="32"/>
        <v>0.5</v>
      </c>
      <c r="AC90" s="431">
        <v>0</v>
      </c>
      <c r="AD90" s="432">
        <f t="shared" si="33"/>
        <v>100</v>
      </c>
      <c r="AE90" s="433">
        <f t="shared" si="39"/>
        <v>4</v>
      </c>
      <c r="AF90" s="434" t="s">
        <v>2326</v>
      </c>
      <c r="AG90" s="434" t="s">
        <v>2326</v>
      </c>
      <c r="AH90" s="434" t="s">
        <v>2326</v>
      </c>
      <c r="AI90" s="362"/>
      <c r="AJ90" s="434" t="s">
        <v>2326</v>
      </c>
      <c r="AK90" s="434" t="s">
        <v>2326</v>
      </c>
      <c r="AL90" s="363"/>
      <c r="AM90" s="406">
        <v>0</v>
      </c>
      <c r="AN90" s="406">
        <v>0</v>
      </c>
      <c r="AO90" s="406">
        <v>0</v>
      </c>
      <c r="AP90" s="406">
        <v>0</v>
      </c>
      <c r="AQ90" s="406">
        <v>0</v>
      </c>
      <c r="AR90" s="406">
        <v>0</v>
      </c>
      <c r="AS90" s="406">
        <v>0</v>
      </c>
      <c r="AT90" s="406">
        <v>0</v>
      </c>
      <c r="AU90" s="407">
        <f t="shared" si="34"/>
        <v>0</v>
      </c>
      <c r="AV90" s="407">
        <f t="shared" si="35"/>
        <v>100</v>
      </c>
      <c r="AW90" s="408">
        <f t="shared" si="40"/>
        <v>5</v>
      </c>
      <c r="AX90" s="406">
        <v>0</v>
      </c>
      <c r="AY90" s="406">
        <v>0</v>
      </c>
      <c r="AZ90" s="406">
        <v>0</v>
      </c>
      <c r="BA90" s="406">
        <v>0</v>
      </c>
      <c r="BB90" s="430">
        <f t="shared" si="36"/>
        <v>0</v>
      </c>
      <c r="BC90" s="407">
        <f t="shared" si="37"/>
        <v>25</v>
      </c>
      <c r="BD90" s="408">
        <f t="shared" si="41"/>
        <v>0.75</v>
      </c>
      <c r="BE90" s="340">
        <f t="shared" si="38"/>
        <v>11.25</v>
      </c>
    </row>
    <row r="91" spans="1:57" x14ac:dyDescent="0.6">
      <c r="A91" s="214" t="s">
        <v>721</v>
      </c>
      <c r="B91" s="13" t="s">
        <v>2070</v>
      </c>
      <c r="C91" s="219" t="s">
        <v>875</v>
      </c>
      <c r="D91" s="216" t="s">
        <v>191</v>
      </c>
      <c r="E91" s="217" t="s">
        <v>190</v>
      </c>
      <c r="F91" s="217" t="s">
        <v>1241</v>
      </c>
      <c r="G91" s="218">
        <v>33136</v>
      </c>
      <c r="H91" s="217" t="s">
        <v>830</v>
      </c>
      <c r="I91" s="217" t="s">
        <v>736</v>
      </c>
      <c r="J91" s="217" t="s">
        <v>1150</v>
      </c>
      <c r="K91" s="217" t="s">
        <v>91</v>
      </c>
      <c r="L91" s="220">
        <v>297649820</v>
      </c>
      <c r="M91" s="206">
        <v>54998742</v>
      </c>
      <c r="N91" s="206">
        <v>242651079</v>
      </c>
      <c r="O91" s="206">
        <v>319305280</v>
      </c>
      <c r="P91" s="206">
        <v>30195182</v>
      </c>
      <c r="Q91" s="206">
        <v>31995216</v>
      </c>
      <c r="R91" s="206">
        <v>25431135</v>
      </c>
      <c r="S91" s="406">
        <v>0</v>
      </c>
      <c r="T91" s="428">
        <f t="shared" si="27"/>
        <v>50</v>
      </c>
      <c r="U91" s="415">
        <f t="shared" si="28"/>
        <v>0.5</v>
      </c>
      <c r="V91" s="405">
        <v>0</v>
      </c>
      <c r="W91" s="428">
        <f t="shared" si="29"/>
        <v>50</v>
      </c>
      <c r="X91" s="415">
        <f t="shared" si="30"/>
        <v>0.5</v>
      </c>
      <c r="Y91" s="406">
        <v>0</v>
      </c>
      <c r="Z91" s="429">
        <v>0</v>
      </c>
      <c r="AA91" s="430">
        <f t="shared" si="31"/>
        <v>50</v>
      </c>
      <c r="AB91" s="415">
        <f t="shared" si="32"/>
        <v>0.5</v>
      </c>
      <c r="AC91" s="431">
        <v>0</v>
      </c>
      <c r="AD91" s="432">
        <f t="shared" si="33"/>
        <v>100</v>
      </c>
      <c r="AE91" s="433">
        <f t="shared" si="39"/>
        <v>4</v>
      </c>
      <c r="AF91" s="434" t="s">
        <v>2326</v>
      </c>
      <c r="AG91" s="434" t="s">
        <v>2326</v>
      </c>
      <c r="AH91" s="434" t="s">
        <v>2326</v>
      </c>
      <c r="AI91" s="362"/>
      <c r="AJ91" s="434" t="s">
        <v>2326</v>
      </c>
      <c r="AK91" s="434" t="s">
        <v>2326</v>
      </c>
      <c r="AL91" s="363"/>
      <c r="AM91" s="406">
        <v>0</v>
      </c>
      <c r="AN91" s="406">
        <v>0</v>
      </c>
      <c r="AO91" s="406">
        <v>0</v>
      </c>
      <c r="AP91" s="406">
        <v>0</v>
      </c>
      <c r="AQ91" s="406">
        <v>0</v>
      </c>
      <c r="AR91" s="406">
        <v>0</v>
      </c>
      <c r="AS91" s="406">
        <v>0</v>
      </c>
      <c r="AT91" s="406">
        <v>0</v>
      </c>
      <c r="AU91" s="407">
        <f t="shared" si="34"/>
        <v>0</v>
      </c>
      <c r="AV91" s="407">
        <f t="shared" si="35"/>
        <v>100</v>
      </c>
      <c r="AW91" s="408">
        <f t="shared" si="40"/>
        <v>5</v>
      </c>
      <c r="AX91" s="406">
        <v>0</v>
      </c>
      <c r="AY91" s="406">
        <v>0</v>
      </c>
      <c r="AZ91" s="406">
        <v>0</v>
      </c>
      <c r="BA91" s="406">
        <v>0</v>
      </c>
      <c r="BB91" s="430">
        <f t="shared" si="36"/>
        <v>0</v>
      </c>
      <c r="BC91" s="407">
        <f t="shared" si="37"/>
        <v>25</v>
      </c>
      <c r="BD91" s="408">
        <f t="shared" si="41"/>
        <v>0.75</v>
      </c>
      <c r="BE91" s="340">
        <f t="shared" si="38"/>
        <v>11.25</v>
      </c>
    </row>
    <row r="92" spans="1:57" x14ac:dyDescent="0.6">
      <c r="A92" s="214" t="s">
        <v>408</v>
      </c>
      <c r="B92" s="13" t="s">
        <v>2071</v>
      </c>
      <c r="C92" s="219" t="s">
        <v>874</v>
      </c>
      <c r="D92" s="216" t="s">
        <v>285</v>
      </c>
      <c r="E92" s="217" t="s">
        <v>1034</v>
      </c>
      <c r="F92" s="217" t="s">
        <v>987</v>
      </c>
      <c r="G92" s="218">
        <v>32444</v>
      </c>
      <c r="H92" s="217" t="s">
        <v>830</v>
      </c>
      <c r="I92" s="217" t="s">
        <v>752</v>
      </c>
      <c r="J92" s="217" t="s">
        <v>1059</v>
      </c>
      <c r="K92" s="217" t="s">
        <v>1620</v>
      </c>
      <c r="L92" s="220">
        <v>823154130</v>
      </c>
      <c r="M92" s="206">
        <v>397729314</v>
      </c>
      <c r="N92" s="206">
        <v>425424816</v>
      </c>
      <c r="O92" s="206">
        <v>297680162</v>
      </c>
      <c r="P92" s="206">
        <v>45164807</v>
      </c>
      <c r="Q92" s="206">
        <v>31718775</v>
      </c>
      <c r="R92" s="206">
        <v>23212712</v>
      </c>
      <c r="S92" s="406">
        <v>1</v>
      </c>
      <c r="T92" s="428">
        <f t="shared" si="27"/>
        <v>100</v>
      </c>
      <c r="U92" s="415">
        <f t="shared" si="28"/>
        <v>1</v>
      </c>
      <c r="V92" s="405">
        <v>0</v>
      </c>
      <c r="W92" s="428">
        <f t="shared" si="29"/>
        <v>50</v>
      </c>
      <c r="X92" s="415">
        <f t="shared" si="30"/>
        <v>0.5</v>
      </c>
      <c r="Y92" s="406">
        <v>1</v>
      </c>
      <c r="Z92" s="429">
        <v>0</v>
      </c>
      <c r="AA92" s="430">
        <f t="shared" si="31"/>
        <v>100</v>
      </c>
      <c r="AB92" s="415">
        <f t="shared" si="32"/>
        <v>1</v>
      </c>
      <c r="AC92" s="431">
        <v>0</v>
      </c>
      <c r="AD92" s="432">
        <f t="shared" si="33"/>
        <v>100</v>
      </c>
      <c r="AE92" s="433">
        <f t="shared" si="39"/>
        <v>4</v>
      </c>
      <c r="AF92" s="434" t="s">
        <v>2326</v>
      </c>
      <c r="AG92" s="434" t="s">
        <v>2326</v>
      </c>
      <c r="AH92" s="434" t="s">
        <v>2326</v>
      </c>
      <c r="AI92" s="362"/>
      <c r="AJ92" s="434" t="s">
        <v>2326</v>
      </c>
      <c r="AK92" s="434" t="s">
        <v>2326</v>
      </c>
      <c r="AL92" s="363"/>
      <c r="AM92" s="406">
        <v>0</v>
      </c>
      <c r="AN92" s="406">
        <v>0</v>
      </c>
      <c r="AO92" s="406">
        <v>0</v>
      </c>
      <c r="AP92" s="406">
        <v>0</v>
      </c>
      <c r="AQ92" s="406">
        <v>0</v>
      </c>
      <c r="AR92" s="406">
        <v>0</v>
      </c>
      <c r="AS92" s="406">
        <v>0</v>
      </c>
      <c r="AT92" s="406">
        <v>0</v>
      </c>
      <c r="AU92" s="407">
        <f t="shared" si="34"/>
        <v>0</v>
      </c>
      <c r="AV92" s="407">
        <f t="shared" si="35"/>
        <v>100</v>
      </c>
      <c r="AW92" s="408">
        <f t="shared" si="40"/>
        <v>5</v>
      </c>
      <c r="AX92" s="406">
        <v>0</v>
      </c>
      <c r="AY92" s="406">
        <v>0</v>
      </c>
      <c r="AZ92" s="406">
        <v>0</v>
      </c>
      <c r="BA92" s="406">
        <v>0</v>
      </c>
      <c r="BB92" s="430">
        <f t="shared" si="36"/>
        <v>0</v>
      </c>
      <c r="BC92" s="407">
        <f t="shared" si="37"/>
        <v>25</v>
      </c>
      <c r="BD92" s="408">
        <f t="shared" si="41"/>
        <v>0.75</v>
      </c>
      <c r="BE92" s="340">
        <f t="shared" si="38"/>
        <v>12.25</v>
      </c>
    </row>
    <row r="93" spans="1:57" x14ac:dyDescent="0.6">
      <c r="A93" s="214" t="s">
        <v>1621</v>
      </c>
      <c r="B93" s="13" t="s">
        <v>2072</v>
      </c>
      <c r="C93" s="219" t="s">
        <v>1622</v>
      </c>
      <c r="D93" s="14" t="s">
        <v>203</v>
      </c>
      <c r="E93" s="217" t="s">
        <v>246</v>
      </c>
      <c r="F93" s="217" t="s">
        <v>1623</v>
      </c>
      <c r="G93" s="218">
        <v>32045</v>
      </c>
      <c r="H93" s="217" t="s">
        <v>830</v>
      </c>
      <c r="I93" s="217" t="s">
        <v>1624</v>
      </c>
      <c r="J93" s="217" t="s">
        <v>1625</v>
      </c>
      <c r="K93" s="217" t="s">
        <v>690</v>
      </c>
      <c r="L93" s="220">
        <v>120573135</v>
      </c>
      <c r="M93" s="206">
        <v>37891105</v>
      </c>
      <c r="N93" s="206">
        <v>82682030</v>
      </c>
      <c r="O93" s="206">
        <v>116399706</v>
      </c>
      <c r="P93" s="206">
        <v>4903685</v>
      </c>
      <c r="Q93" s="206">
        <v>6345779</v>
      </c>
      <c r="R93" s="206">
        <v>5059159</v>
      </c>
      <c r="S93" s="406">
        <v>0</v>
      </c>
      <c r="T93" s="428">
        <f t="shared" si="27"/>
        <v>50</v>
      </c>
      <c r="U93" s="415">
        <f t="shared" si="28"/>
        <v>0.5</v>
      </c>
      <c r="V93" s="405">
        <v>0</v>
      </c>
      <c r="W93" s="428">
        <f t="shared" si="29"/>
        <v>50</v>
      </c>
      <c r="X93" s="415">
        <f t="shared" si="30"/>
        <v>0.5</v>
      </c>
      <c r="Y93" s="406">
        <v>0</v>
      </c>
      <c r="Z93" s="429">
        <v>0</v>
      </c>
      <c r="AA93" s="430">
        <f t="shared" si="31"/>
        <v>50</v>
      </c>
      <c r="AB93" s="415">
        <f t="shared" si="32"/>
        <v>0.5</v>
      </c>
      <c r="AC93" s="431">
        <v>0</v>
      </c>
      <c r="AD93" s="432">
        <f t="shared" si="33"/>
        <v>100</v>
      </c>
      <c r="AE93" s="433">
        <f t="shared" si="39"/>
        <v>4</v>
      </c>
      <c r="AF93" s="434" t="s">
        <v>2326</v>
      </c>
      <c r="AG93" s="434" t="s">
        <v>2326</v>
      </c>
      <c r="AH93" s="434" t="s">
        <v>2326</v>
      </c>
      <c r="AI93" s="362"/>
      <c r="AJ93" s="434" t="s">
        <v>2326</v>
      </c>
      <c r="AK93" s="434" t="s">
        <v>2326</v>
      </c>
      <c r="AL93" s="363"/>
      <c r="AM93" s="406">
        <v>0</v>
      </c>
      <c r="AN93" s="406">
        <v>0</v>
      </c>
      <c r="AO93" s="406">
        <v>0</v>
      </c>
      <c r="AP93" s="406">
        <v>0</v>
      </c>
      <c r="AQ93" s="406">
        <v>0</v>
      </c>
      <c r="AR93" s="406">
        <v>0</v>
      </c>
      <c r="AS93" s="406">
        <v>0</v>
      </c>
      <c r="AT93" s="406">
        <v>0</v>
      </c>
      <c r="AU93" s="407">
        <f t="shared" si="34"/>
        <v>0</v>
      </c>
      <c r="AV93" s="407">
        <f t="shared" si="35"/>
        <v>100</v>
      </c>
      <c r="AW93" s="408">
        <f t="shared" si="40"/>
        <v>5</v>
      </c>
      <c r="AX93" s="406">
        <v>0</v>
      </c>
      <c r="AY93" s="406">
        <v>0</v>
      </c>
      <c r="AZ93" s="406">
        <v>0</v>
      </c>
      <c r="BA93" s="406">
        <v>0</v>
      </c>
      <c r="BB93" s="430">
        <f t="shared" si="36"/>
        <v>0</v>
      </c>
      <c r="BC93" s="407">
        <f t="shared" si="37"/>
        <v>25</v>
      </c>
      <c r="BD93" s="408">
        <f t="shared" si="41"/>
        <v>0.75</v>
      </c>
      <c r="BE93" s="340">
        <f t="shared" si="38"/>
        <v>11.25</v>
      </c>
    </row>
    <row r="94" spans="1:57" x14ac:dyDescent="0.6">
      <c r="A94" s="214" t="s">
        <v>767</v>
      </c>
      <c r="B94" s="13" t="s">
        <v>2073</v>
      </c>
      <c r="C94" s="219" t="s">
        <v>297</v>
      </c>
      <c r="D94" s="216" t="s">
        <v>202</v>
      </c>
      <c r="E94" s="217" t="s">
        <v>189</v>
      </c>
      <c r="F94" s="217" t="s">
        <v>177</v>
      </c>
      <c r="G94" s="218">
        <v>42809</v>
      </c>
      <c r="H94" s="217" t="s">
        <v>830</v>
      </c>
      <c r="I94" s="217" t="s">
        <v>714</v>
      </c>
      <c r="J94" s="217" t="s">
        <v>1154</v>
      </c>
      <c r="K94" s="217" t="s">
        <v>91</v>
      </c>
      <c r="L94" s="220">
        <v>605644843</v>
      </c>
      <c r="M94" s="206">
        <v>281549415</v>
      </c>
      <c r="N94" s="206">
        <v>324095428</v>
      </c>
      <c r="O94" s="206">
        <v>285310921</v>
      </c>
      <c r="P94" s="206">
        <v>109357470</v>
      </c>
      <c r="Q94" s="206">
        <v>87471331</v>
      </c>
      <c r="R94" s="206">
        <v>61496044</v>
      </c>
      <c r="S94" s="406">
        <v>0</v>
      </c>
      <c r="T94" s="428">
        <f t="shared" si="27"/>
        <v>50</v>
      </c>
      <c r="U94" s="415">
        <f t="shared" si="28"/>
        <v>0.5</v>
      </c>
      <c r="V94" s="405">
        <v>0</v>
      </c>
      <c r="W94" s="428">
        <f t="shared" si="29"/>
        <v>50</v>
      </c>
      <c r="X94" s="415">
        <f t="shared" si="30"/>
        <v>0.5</v>
      </c>
      <c r="Y94" s="406">
        <v>0</v>
      </c>
      <c r="Z94" s="429">
        <v>0</v>
      </c>
      <c r="AA94" s="430">
        <f t="shared" si="31"/>
        <v>50</v>
      </c>
      <c r="AB94" s="415">
        <f t="shared" si="32"/>
        <v>0.5</v>
      </c>
      <c r="AC94" s="431">
        <v>0</v>
      </c>
      <c r="AD94" s="432">
        <f t="shared" si="33"/>
        <v>100</v>
      </c>
      <c r="AE94" s="433">
        <f t="shared" si="39"/>
        <v>4</v>
      </c>
      <c r="AF94" s="434" t="s">
        <v>2326</v>
      </c>
      <c r="AG94" s="434" t="s">
        <v>2326</v>
      </c>
      <c r="AH94" s="434" t="s">
        <v>2326</v>
      </c>
      <c r="AI94" s="362"/>
      <c r="AJ94" s="434" t="s">
        <v>2326</v>
      </c>
      <c r="AK94" s="434" t="s">
        <v>2326</v>
      </c>
      <c r="AL94" s="363"/>
      <c r="AM94" s="406">
        <v>0</v>
      </c>
      <c r="AN94" s="406">
        <v>0</v>
      </c>
      <c r="AO94" s="406">
        <v>0</v>
      </c>
      <c r="AP94" s="406">
        <v>0</v>
      </c>
      <c r="AQ94" s="406">
        <v>0</v>
      </c>
      <c r="AR94" s="406">
        <v>0</v>
      </c>
      <c r="AS94" s="406">
        <v>0</v>
      </c>
      <c r="AT94" s="406">
        <v>0</v>
      </c>
      <c r="AU94" s="407">
        <f t="shared" si="34"/>
        <v>0</v>
      </c>
      <c r="AV94" s="407">
        <f t="shared" si="35"/>
        <v>100</v>
      </c>
      <c r="AW94" s="408">
        <f t="shared" si="40"/>
        <v>5</v>
      </c>
      <c r="AX94" s="406">
        <v>0</v>
      </c>
      <c r="AY94" s="406">
        <v>0</v>
      </c>
      <c r="AZ94" s="406">
        <v>0</v>
      </c>
      <c r="BA94" s="406">
        <v>0</v>
      </c>
      <c r="BB94" s="430">
        <f t="shared" si="36"/>
        <v>0</v>
      </c>
      <c r="BC94" s="407">
        <f t="shared" si="37"/>
        <v>25</v>
      </c>
      <c r="BD94" s="408">
        <f t="shared" si="41"/>
        <v>0.75</v>
      </c>
      <c r="BE94" s="340">
        <f t="shared" si="38"/>
        <v>11.25</v>
      </c>
    </row>
    <row r="95" spans="1:57" x14ac:dyDescent="0.6">
      <c r="A95" s="214" t="s">
        <v>468</v>
      </c>
      <c r="B95" s="13" t="s">
        <v>2074</v>
      </c>
      <c r="C95" s="219" t="s">
        <v>527</v>
      </c>
      <c r="D95" s="216" t="s">
        <v>285</v>
      </c>
      <c r="E95" s="217" t="s">
        <v>1167</v>
      </c>
      <c r="F95" s="217" t="s">
        <v>646</v>
      </c>
      <c r="G95" s="218">
        <v>40402</v>
      </c>
      <c r="H95" s="217" t="s">
        <v>830</v>
      </c>
      <c r="I95" s="217" t="s">
        <v>1626</v>
      </c>
      <c r="J95" s="217" t="s">
        <v>1063</v>
      </c>
      <c r="K95" s="217" t="s">
        <v>91</v>
      </c>
      <c r="L95" s="220">
        <v>495800634</v>
      </c>
      <c r="M95" s="206">
        <v>219426512</v>
      </c>
      <c r="N95" s="206">
        <v>276374122</v>
      </c>
      <c r="O95" s="206">
        <v>550919165</v>
      </c>
      <c r="P95" s="206">
        <v>10121946</v>
      </c>
      <c r="Q95" s="206">
        <v>5248704</v>
      </c>
      <c r="R95" s="206">
        <v>3912437</v>
      </c>
      <c r="S95" s="406">
        <v>0</v>
      </c>
      <c r="T95" s="428">
        <f t="shared" si="27"/>
        <v>50</v>
      </c>
      <c r="U95" s="415">
        <f t="shared" si="28"/>
        <v>0.5</v>
      </c>
      <c r="V95" s="405">
        <v>0</v>
      </c>
      <c r="W95" s="428">
        <f t="shared" si="29"/>
        <v>50</v>
      </c>
      <c r="X95" s="415">
        <f t="shared" si="30"/>
        <v>0.5</v>
      </c>
      <c r="Y95" s="406">
        <v>0</v>
      </c>
      <c r="Z95" s="429">
        <v>0</v>
      </c>
      <c r="AA95" s="430">
        <f t="shared" si="31"/>
        <v>50</v>
      </c>
      <c r="AB95" s="415">
        <f t="shared" si="32"/>
        <v>0.5</v>
      </c>
      <c r="AC95" s="431">
        <v>0</v>
      </c>
      <c r="AD95" s="432">
        <f t="shared" si="33"/>
        <v>100</v>
      </c>
      <c r="AE95" s="433">
        <f t="shared" si="39"/>
        <v>4</v>
      </c>
      <c r="AF95" s="434" t="s">
        <v>2326</v>
      </c>
      <c r="AG95" s="434" t="s">
        <v>2326</v>
      </c>
      <c r="AH95" s="434" t="s">
        <v>2326</v>
      </c>
      <c r="AI95" s="362"/>
      <c r="AJ95" s="434" t="s">
        <v>2326</v>
      </c>
      <c r="AK95" s="434" t="s">
        <v>2326</v>
      </c>
      <c r="AL95" s="363"/>
      <c r="AM95" s="406">
        <v>0</v>
      </c>
      <c r="AN95" s="406">
        <v>0</v>
      </c>
      <c r="AO95" s="406">
        <v>0</v>
      </c>
      <c r="AP95" s="406">
        <v>0</v>
      </c>
      <c r="AQ95" s="406">
        <v>0</v>
      </c>
      <c r="AR95" s="406">
        <v>0</v>
      </c>
      <c r="AS95" s="406">
        <v>0</v>
      </c>
      <c r="AT95" s="406">
        <v>0</v>
      </c>
      <c r="AU95" s="407">
        <f t="shared" si="34"/>
        <v>0</v>
      </c>
      <c r="AV95" s="407">
        <f t="shared" si="35"/>
        <v>100</v>
      </c>
      <c r="AW95" s="408">
        <f t="shared" si="40"/>
        <v>5</v>
      </c>
      <c r="AX95" s="406">
        <v>0</v>
      </c>
      <c r="AY95" s="406">
        <v>0</v>
      </c>
      <c r="AZ95" s="406">
        <v>0</v>
      </c>
      <c r="BA95" s="406">
        <v>0</v>
      </c>
      <c r="BB95" s="430">
        <f t="shared" si="36"/>
        <v>0</v>
      </c>
      <c r="BC95" s="407">
        <f t="shared" si="37"/>
        <v>25</v>
      </c>
      <c r="BD95" s="408">
        <f t="shared" si="41"/>
        <v>0.75</v>
      </c>
      <c r="BE95" s="340">
        <f t="shared" si="38"/>
        <v>11.25</v>
      </c>
    </row>
    <row r="96" spans="1:57" x14ac:dyDescent="0.6">
      <c r="A96" s="214" t="s">
        <v>507</v>
      </c>
      <c r="B96" s="13" t="s">
        <v>2075</v>
      </c>
      <c r="C96" s="219" t="s">
        <v>548</v>
      </c>
      <c r="D96" s="216" t="s">
        <v>203</v>
      </c>
      <c r="E96" s="217" t="s">
        <v>180</v>
      </c>
      <c r="F96" s="217" t="s">
        <v>1176</v>
      </c>
      <c r="G96" s="218">
        <v>35423</v>
      </c>
      <c r="H96" s="217" t="s">
        <v>830</v>
      </c>
      <c r="I96" s="217" t="s">
        <v>571</v>
      </c>
      <c r="J96" s="217" t="s">
        <v>1163</v>
      </c>
      <c r="K96" s="217" t="s">
        <v>425</v>
      </c>
      <c r="L96" s="220">
        <v>92085226</v>
      </c>
      <c r="M96" s="206">
        <v>42058880</v>
      </c>
      <c r="N96" s="206">
        <v>50026346</v>
      </c>
      <c r="O96" s="206">
        <v>193400697</v>
      </c>
      <c r="P96" s="206">
        <v>13461075</v>
      </c>
      <c r="Q96" s="206">
        <v>12948368</v>
      </c>
      <c r="R96" s="206">
        <v>10621743</v>
      </c>
      <c r="S96" s="406">
        <v>0</v>
      </c>
      <c r="T96" s="428">
        <f t="shared" si="27"/>
        <v>50</v>
      </c>
      <c r="U96" s="415">
        <f t="shared" si="28"/>
        <v>0.5</v>
      </c>
      <c r="V96" s="405">
        <v>0</v>
      </c>
      <c r="W96" s="428">
        <f t="shared" si="29"/>
        <v>50</v>
      </c>
      <c r="X96" s="415">
        <f t="shared" si="30"/>
        <v>0.5</v>
      </c>
      <c r="Y96" s="406">
        <v>0</v>
      </c>
      <c r="Z96" s="429">
        <v>0</v>
      </c>
      <c r="AA96" s="430">
        <f t="shared" si="31"/>
        <v>50</v>
      </c>
      <c r="AB96" s="415">
        <f t="shared" si="32"/>
        <v>0.5</v>
      </c>
      <c r="AC96" s="431">
        <v>0</v>
      </c>
      <c r="AD96" s="432">
        <f t="shared" si="33"/>
        <v>100</v>
      </c>
      <c r="AE96" s="433">
        <f t="shared" si="39"/>
        <v>4</v>
      </c>
      <c r="AF96" s="434" t="s">
        <v>2326</v>
      </c>
      <c r="AG96" s="434" t="s">
        <v>2326</v>
      </c>
      <c r="AH96" s="434" t="s">
        <v>2326</v>
      </c>
      <c r="AI96" s="362"/>
      <c r="AJ96" s="434" t="s">
        <v>2326</v>
      </c>
      <c r="AK96" s="434" t="s">
        <v>2326</v>
      </c>
      <c r="AL96" s="363"/>
      <c r="AM96" s="406">
        <v>0</v>
      </c>
      <c r="AN96" s="406">
        <v>0</v>
      </c>
      <c r="AO96" s="406">
        <v>0</v>
      </c>
      <c r="AP96" s="406">
        <v>0</v>
      </c>
      <c r="AQ96" s="406">
        <v>0</v>
      </c>
      <c r="AR96" s="406">
        <v>0</v>
      </c>
      <c r="AS96" s="406">
        <v>0</v>
      </c>
      <c r="AT96" s="406">
        <v>0</v>
      </c>
      <c r="AU96" s="407">
        <f t="shared" si="34"/>
        <v>0</v>
      </c>
      <c r="AV96" s="407">
        <f t="shared" si="35"/>
        <v>100</v>
      </c>
      <c r="AW96" s="408">
        <f t="shared" si="40"/>
        <v>5</v>
      </c>
      <c r="AX96" s="406">
        <v>0</v>
      </c>
      <c r="AY96" s="406">
        <v>0</v>
      </c>
      <c r="AZ96" s="406">
        <v>0</v>
      </c>
      <c r="BA96" s="406">
        <v>0</v>
      </c>
      <c r="BB96" s="430">
        <f t="shared" si="36"/>
        <v>0</v>
      </c>
      <c r="BC96" s="407">
        <f t="shared" si="37"/>
        <v>25</v>
      </c>
      <c r="BD96" s="408">
        <f t="shared" si="41"/>
        <v>0.75</v>
      </c>
      <c r="BE96" s="340">
        <f t="shared" si="38"/>
        <v>11.25</v>
      </c>
    </row>
    <row r="97" spans="1:57" x14ac:dyDescent="0.6">
      <c r="A97" s="214" t="s">
        <v>1627</v>
      </c>
      <c r="B97" s="13" t="s">
        <v>2076</v>
      </c>
      <c r="C97" s="219" t="s">
        <v>856</v>
      </c>
      <c r="D97" s="216" t="s">
        <v>203</v>
      </c>
      <c r="E97" s="217" t="s">
        <v>1067</v>
      </c>
      <c r="F97" s="217" t="s">
        <v>154</v>
      </c>
      <c r="G97" s="218">
        <v>28305</v>
      </c>
      <c r="H97" s="217" t="s">
        <v>830</v>
      </c>
      <c r="I97" s="217" t="s">
        <v>194</v>
      </c>
      <c r="J97" s="217" t="s">
        <v>665</v>
      </c>
      <c r="K97" s="217" t="s">
        <v>91</v>
      </c>
      <c r="L97" s="220">
        <v>215451170</v>
      </c>
      <c r="M97" s="206">
        <v>65681714</v>
      </c>
      <c r="N97" s="206">
        <v>149769456</v>
      </c>
      <c r="O97" s="206">
        <v>146246080</v>
      </c>
      <c r="P97" s="206">
        <v>9308222</v>
      </c>
      <c r="Q97" s="206">
        <v>8741705</v>
      </c>
      <c r="R97" s="206">
        <v>6752046</v>
      </c>
      <c r="S97" s="406">
        <v>0</v>
      </c>
      <c r="T97" s="428">
        <f t="shared" si="27"/>
        <v>50</v>
      </c>
      <c r="U97" s="415">
        <f t="shared" si="28"/>
        <v>0.5</v>
      </c>
      <c r="V97" s="405">
        <v>0</v>
      </c>
      <c r="W97" s="428">
        <f t="shared" si="29"/>
        <v>50</v>
      </c>
      <c r="X97" s="415">
        <f t="shared" si="30"/>
        <v>0.5</v>
      </c>
      <c r="Y97" s="406">
        <v>0</v>
      </c>
      <c r="Z97" s="429">
        <v>0</v>
      </c>
      <c r="AA97" s="430">
        <f t="shared" si="31"/>
        <v>50</v>
      </c>
      <c r="AB97" s="415">
        <f t="shared" si="32"/>
        <v>0.5</v>
      </c>
      <c r="AC97" s="431">
        <v>0</v>
      </c>
      <c r="AD97" s="432">
        <f t="shared" si="33"/>
        <v>100</v>
      </c>
      <c r="AE97" s="433">
        <f t="shared" si="39"/>
        <v>4</v>
      </c>
      <c r="AF97" s="434" t="s">
        <v>2326</v>
      </c>
      <c r="AG97" s="434" t="s">
        <v>2326</v>
      </c>
      <c r="AH97" s="434" t="s">
        <v>2326</v>
      </c>
      <c r="AI97" s="362"/>
      <c r="AJ97" s="434" t="s">
        <v>2326</v>
      </c>
      <c r="AK97" s="434" t="s">
        <v>2326</v>
      </c>
      <c r="AL97" s="363"/>
      <c r="AM97" s="406">
        <v>0</v>
      </c>
      <c r="AN97" s="406">
        <v>0</v>
      </c>
      <c r="AO97" s="406">
        <v>0</v>
      </c>
      <c r="AP97" s="406">
        <v>0</v>
      </c>
      <c r="AQ97" s="406">
        <v>0</v>
      </c>
      <c r="AR97" s="406">
        <v>0</v>
      </c>
      <c r="AS97" s="406">
        <v>0</v>
      </c>
      <c r="AT97" s="406">
        <v>0</v>
      </c>
      <c r="AU97" s="407">
        <f t="shared" si="34"/>
        <v>0</v>
      </c>
      <c r="AV97" s="407">
        <f t="shared" si="35"/>
        <v>100</v>
      </c>
      <c r="AW97" s="408">
        <f t="shared" si="40"/>
        <v>5</v>
      </c>
      <c r="AX97" s="406">
        <v>0</v>
      </c>
      <c r="AY97" s="406">
        <v>0</v>
      </c>
      <c r="AZ97" s="406">
        <v>0</v>
      </c>
      <c r="BA97" s="406">
        <v>0</v>
      </c>
      <c r="BB97" s="430">
        <f t="shared" si="36"/>
        <v>0</v>
      </c>
      <c r="BC97" s="407">
        <f t="shared" si="37"/>
        <v>25</v>
      </c>
      <c r="BD97" s="408">
        <f t="shared" si="41"/>
        <v>0.75</v>
      </c>
      <c r="BE97" s="340">
        <f t="shared" si="38"/>
        <v>11.25</v>
      </c>
    </row>
    <row r="98" spans="1:57" x14ac:dyDescent="0.6">
      <c r="A98" s="214" t="s">
        <v>868</v>
      </c>
      <c r="B98" s="13" t="s">
        <v>2077</v>
      </c>
      <c r="C98" s="219" t="s">
        <v>538</v>
      </c>
      <c r="D98" s="216" t="s">
        <v>285</v>
      </c>
      <c r="E98" s="217" t="s">
        <v>867</v>
      </c>
      <c r="F98" s="217" t="s">
        <v>149</v>
      </c>
      <c r="G98" s="218">
        <v>28793</v>
      </c>
      <c r="H98" s="217" t="s">
        <v>830</v>
      </c>
      <c r="I98" s="217" t="s">
        <v>1628</v>
      </c>
      <c r="J98" s="217" t="s">
        <v>1155</v>
      </c>
      <c r="K98" s="217" t="s">
        <v>91</v>
      </c>
      <c r="L98" s="220">
        <v>1256174707</v>
      </c>
      <c r="M98" s="206">
        <v>687867321</v>
      </c>
      <c r="N98" s="206">
        <v>568307386</v>
      </c>
      <c r="O98" s="206">
        <v>1300137418</v>
      </c>
      <c r="P98" s="206">
        <v>26971265</v>
      </c>
      <c r="Q98" s="206">
        <v>57193340</v>
      </c>
      <c r="R98" s="206">
        <v>46104412</v>
      </c>
      <c r="S98" s="406">
        <v>0</v>
      </c>
      <c r="T98" s="428">
        <f t="shared" si="27"/>
        <v>50</v>
      </c>
      <c r="U98" s="415">
        <f t="shared" si="28"/>
        <v>0.5</v>
      </c>
      <c r="V98" s="405">
        <v>0</v>
      </c>
      <c r="W98" s="428">
        <f t="shared" si="29"/>
        <v>50</v>
      </c>
      <c r="X98" s="415">
        <f t="shared" si="30"/>
        <v>0.5</v>
      </c>
      <c r="Y98" s="406">
        <v>0</v>
      </c>
      <c r="Z98" s="429">
        <v>0</v>
      </c>
      <c r="AA98" s="430">
        <f t="shared" si="31"/>
        <v>50</v>
      </c>
      <c r="AB98" s="415">
        <f t="shared" si="32"/>
        <v>0.5</v>
      </c>
      <c r="AC98" s="431">
        <v>0</v>
      </c>
      <c r="AD98" s="432">
        <f t="shared" si="33"/>
        <v>100</v>
      </c>
      <c r="AE98" s="433">
        <f t="shared" si="39"/>
        <v>4</v>
      </c>
      <c r="AF98" s="434" t="s">
        <v>2326</v>
      </c>
      <c r="AG98" s="434" t="s">
        <v>2326</v>
      </c>
      <c r="AH98" s="434" t="s">
        <v>2326</v>
      </c>
      <c r="AI98" s="362"/>
      <c r="AJ98" s="434" t="s">
        <v>2326</v>
      </c>
      <c r="AK98" s="434" t="s">
        <v>2326</v>
      </c>
      <c r="AL98" s="363"/>
      <c r="AM98" s="406">
        <v>0</v>
      </c>
      <c r="AN98" s="406">
        <v>0</v>
      </c>
      <c r="AO98" s="406">
        <v>0</v>
      </c>
      <c r="AP98" s="406">
        <v>0</v>
      </c>
      <c r="AQ98" s="406">
        <v>0</v>
      </c>
      <c r="AR98" s="406">
        <v>0</v>
      </c>
      <c r="AS98" s="406">
        <v>0</v>
      </c>
      <c r="AT98" s="406">
        <v>0</v>
      </c>
      <c r="AU98" s="407">
        <f t="shared" si="34"/>
        <v>0</v>
      </c>
      <c r="AV98" s="407">
        <f t="shared" si="35"/>
        <v>100</v>
      </c>
      <c r="AW98" s="408">
        <f t="shared" si="40"/>
        <v>5</v>
      </c>
      <c r="AX98" s="406">
        <v>0</v>
      </c>
      <c r="AY98" s="406">
        <v>0</v>
      </c>
      <c r="AZ98" s="406">
        <v>0</v>
      </c>
      <c r="BA98" s="406">
        <v>0</v>
      </c>
      <c r="BB98" s="430">
        <f t="shared" si="36"/>
        <v>0</v>
      </c>
      <c r="BC98" s="407">
        <f t="shared" si="37"/>
        <v>25</v>
      </c>
      <c r="BD98" s="408">
        <f t="shared" si="41"/>
        <v>0.75</v>
      </c>
      <c r="BE98" s="340">
        <f t="shared" si="38"/>
        <v>11.25</v>
      </c>
    </row>
    <row r="99" spans="1:57" x14ac:dyDescent="0.6">
      <c r="A99" s="214" t="s">
        <v>782</v>
      </c>
      <c r="B99" s="13" t="s">
        <v>2078</v>
      </c>
      <c r="C99" s="219" t="s">
        <v>431</v>
      </c>
      <c r="D99" s="216" t="s">
        <v>285</v>
      </c>
      <c r="E99" s="217" t="s">
        <v>568</v>
      </c>
      <c r="F99" s="217" t="s">
        <v>1036</v>
      </c>
      <c r="G99" s="218">
        <v>42566</v>
      </c>
      <c r="H99" s="217" t="s">
        <v>830</v>
      </c>
      <c r="I99" s="217" t="s">
        <v>699</v>
      </c>
      <c r="J99" s="217" t="s">
        <v>1022</v>
      </c>
      <c r="K99" s="217" t="s">
        <v>91</v>
      </c>
      <c r="L99" s="220">
        <v>1605210800</v>
      </c>
      <c r="M99" s="206">
        <v>74995068</v>
      </c>
      <c r="N99" s="206">
        <v>1530215732</v>
      </c>
      <c r="O99" s="206">
        <v>516898546</v>
      </c>
      <c r="P99" s="206">
        <v>34700109</v>
      </c>
      <c r="Q99" s="206">
        <v>126366266</v>
      </c>
      <c r="R99" s="206">
        <v>167855852</v>
      </c>
      <c r="S99" s="406">
        <v>1</v>
      </c>
      <c r="T99" s="428">
        <f t="shared" si="27"/>
        <v>100</v>
      </c>
      <c r="U99" s="415">
        <f t="shared" si="28"/>
        <v>1</v>
      </c>
      <c r="V99" s="405">
        <v>1</v>
      </c>
      <c r="W99" s="428">
        <f t="shared" si="29"/>
        <v>100</v>
      </c>
      <c r="X99" s="415">
        <f t="shared" si="30"/>
        <v>1</v>
      </c>
      <c r="Y99" s="406">
        <v>0</v>
      </c>
      <c r="Z99" s="429">
        <v>0</v>
      </c>
      <c r="AA99" s="430">
        <f t="shared" si="31"/>
        <v>50</v>
      </c>
      <c r="AB99" s="415">
        <f t="shared" si="32"/>
        <v>0.5</v>
      </c>
      <c r="AC99" s="431">
        <v>0</v>
      </c>
      <c r="AD99" s="432">
        <f t="shared" si="33"/>
        <v>100</v>
      </c>
      <c r="AE99" s="433">
        <f t="shared" si="39"/>
        <v>4</v>
      </c>
      <c r="AF99" s="434" t="s">
        <v>2326</v>
      </c>
      <c r="AG99" s="434" t="s">
        <v>2326</v>
      </c>
      <c r="AH99" s="434" t="s">
        <v>2326</v>
      </c>
      <c r="AI99" s="362"/>
      <c r="AJ99" s="434" t="s">
        <v>2326</v>
      </c>
      <c r="AK99" s="434" t="s">
        <v>2326</v>
      </c>
      <c r="AL99" s="363"/>
      <c r="AM99" s="406">
        <v>0</v>
      </c>
      <c r="AN99" s="406">
        <v>0</v>
      </c>
      <c r="AO99" s="406">
        <v>0</v>
      </c>
      <c r="AP99" s="406">
        <v>0</v>
      </c>
      <c r="AQ99" s="406">
        <v>0</v>
      </c>
      <c r="AR99" s="406">
        <v>0</v>
      </c>
      <c r="AS99" s="406">
        <v>0</v>
      </c>
      <c r="AT99" s="406">
        <v>0</v>
      </c>
      <c r="AU99" s="407">
        <f t="shared" si="34"/>
        <v>0</v>
      </c>
      <c r="AV99" s="407">
        <f t="shared" si="35"/>
        <v>100</v>
      </c>
      <c r="AW99" s="408">
        <f t="shared" si="40"/>
        <v>5</v>
      </c>
      <c r="AX99" s="406">
        <v>0</v>
      </c>
      <c r="AY99" s="406">
        <v>0</v>
      </c>
      <c r="AZ99" s="406">
        <v>0</v>
      </c>
      <c r="BA99" s="406">
        <v>0</v>
      </c>
      <c r="BB99" s="430">
        <f t="shared" si="36"/>
        <v>0</v>
      </c>
      <c r="BC99" s="407">
        <f t="shared" si="37"/>
        <v>25</v>
      </c>
      <c r="BD99" s="408">
        <f t="shared" si="41"/>
        <v>0.75</v>
      </c>
      <c r="BE99" s="340">
        <f t="shared" si="38"/>
        <v>12.25</v>
      </c>
    </row>
    <row r="100" spans="1:57" x14ac:dyDescent="0.6">
      <c r="A100" s="214" t="s">
        <v>440</v>
      </c>
      <c r="B100" s="13" t="s">
        <v>2079</v>
      </c>
      <c r="C100" s="219" t="s">
        <v>108</v>
      </c>
      <c r="D100" s="216" t="s">
        <v>191</v>
      </c>
      <c r="E100" s="217" t="s">
        <v>34</v>
      </c>
      <c r="F100" s="217" t="s">
        <v>242</v>
      </c>
      <c r="G100" s="218">
        <v>41372</v>
      </c>
      <c r="H100" s="217" t="s">
        <v>830</v>
      </c>
      <c r="I100" s="217" t="s">
        <v>768</v>
      </c>
      <c r="J100" s="217" t="s">
        <v>1057</v>
      </c>
      <c r="K100" s="217" t="s">
        <v>91</v>
      </c>
      <c r="L100" s="220">
        <v>1135143086</v>
      </c>
      <c r="M100" s="206">
        <v>463178728</v>
      </c>
      <c r="N100" s="206">
        <v>671964358</v>
      </c>
      <c r="O100" s="206">
        <v>635839633</v>
      </c>
      <c r="P100" s="206">
        <v>30527351</v>
      </c>
      <c r="Q100" s="206">
        <v>13547054</v>
      </c>
      <c r="R100" s="206">
        <v>9019750</v>
      </c>
      <c r="S100" s="406">
        <v>0</v>
      </c>
      <c r="T100" s="428">
        <f t="shared" si="27"/>
        <v>50</v>
      </c>
      <c r="U100" s="415">
        <f t="shared" si="28"/>
        <v>0.5</v>
      </c>
      <c r="V100" s="405">
        <v>1</v>
      </c>
      <c r="W100" s="428">
        <f t="shared" si="29"/>
        <v>100</v>
      </c>
      <c r="X100" s="415">
        <f t="shared" si="30"/>
        <v>1</v>
      </c>
      <c r="Y100" s="406">
        <v>0</v>
      </c>
      <c r="Z100" s="429">
        <v>0</v>
      </c>
      <c r="AA100" s="430">
        <f t="shared" si="31"/>
        <v>50</v>
      </c>
      <c r="AB100" s="415">
        <f t="shared" si="32"/>
        <v>0.5</v>
      </c>
      <c r="AC100" s="431">
        <v>0</v>
      </c>
      <c r="AD100" s="432">
        <f t="shared" si="33"/>
        <v>100</v>
      </c>
      <c r="AE100" s="433">
        <f t="shared" si="39"/>
        <v>4</v>
      </c>
      <c r="AF100" s="434" t="s">
        <v>2326</v>
      </c>
      <c r="AG100" s="434" t="s">
        <v>2326</v>
      </c>
      <c r="AH100" s="434" t="s">
        <v>2326</v>
      </c>
      <c r="AI100" s="362"/>
      <c r="AJ100" s="434" t="s">
        <v>2326</v>
      </c>
      <c r="AK100" s="434" t="s">
        <v>2326</v>
      </c>
      <c r="AL100" s="363"/>
      <c r="AM100" s="406">
        <v>0</v>
      </c>
      <c r="AN100" s="406">
        <v>0</v>
      </c>
      <c r="AO100" s="406">
        <v>0</v>
      </c>
      <c r="AP100" s="406">
        <v>0</v>
      </c>
      <c r="AQ100" s="406">
        <v>0</v>
      </c>
      <c r="AR100" s="406">
        <v>0</v>
      </c>
      <c r="AS100" s="406">
        <v>0</v>
      </c>
      <c r="AT100" s="406">
        <v>0</v>
      </c>
      <c r="AU100" s="407">
        <f t="shared" si="34"/>
        <v>0</v>
      </c>
      <c r="AV100" s="407">
        <f t="shared" si="35"/>
        <v>100</v>
      </c>
      <c r="AW100" s="408">
        <f t="shared" si="40"/>
        <v>5</v>
      </c>
      <c r="AX100" s="406">
        <v>0</v>
      </c>
      <c r="AY100" s="406">
        <v>0</v>
      </c>
      <c r="AZ100" s="406">
        <v>0</v>
      </c>
      <c r="BA100" s="406">
        <v>0</v>
      </c>
      <c r="BB100" s="430">
        <f t="shared" si="36"/>
        <v>0</v>
      </c>
      <c r="BC100" s="407">
        <f t="shared" si="37"/>
        <v>25</v>
      </c>
      <c r="BD100" s="408">
        <f t="shared" si="41"/>
        <v>0.75</v>
      </c>
      <c r="BE100" s="340">
        <f t="shared" si="38"/>
        <v>11.75</v>
      </c>
    </row>
    <row r="101" spans="1:57" x14ac:dyDescent="0.6">
      <c r="A101" s="214" t="s">
        <v>59</v>
      </c>
      <c r="B101" s="13" t="s">
        <v>2080</v>
      </c>
      <c r="C101" s="219" t="s">
        <v>521</v>
      </c>
      <c r="D101" s="216" t="s">
        <v>203</v>
      </c>
      <c r="E101" s="217" t="s">
        <v>197</v>
      </c>
      <c r="F101" s="217" t="s">
        <v>221</v>
      </c>
      <c r="G101" s="218">
        <v>43068</v>
      </c>
      <c r="H101" s="217" t="s">
        <v>830</v>
      </c>
      <c r="I101" s="217" t="s">
        <v>416</v>
      </c>
      <c r="J101" s="217" t="s">
        <v>1232</v>
      </c>
      <c r="K101" s="217" t="s">
        <v>50</v>
      </c>
      <c r="L101" s="220">
        <v>455083382</v>
      </c>
      <c r="M101" s="206">
        <v>77689901</v>
      </c>
      <c r="N101" s="206">
        <v>377393482</v>
      </c>
      <c r="O101" s="206">
        <v>201504926</v>
      </c>
      <c r="P101" s="206">
        <v>20813521</v>
      </c>
      <c r="Q101" s="206">
        <v>29530469</v>
      </c>
      <c r="R101" s="206">
        <v>23064473</v>
      </c>
      <c r="S101" s="406">
        <v>0</v>
      </c>
      <c r="T101" s="428">
        <f t="shared" si="27"/>
        <v>50</v>
      </c>
      <c r="U101" s="415">
        <f t="shared" si="28"/>
        <v>0.5</v>
      </c>
      <c r="V101" s="405">
        <v>0</v>
      </c>
      <c r="W101" s="428">
        <f t="shared" si="29"/>
        <v>50</v>
      </c>
      <c r="X101" s="415">
        <f t="shared" si="30"/>
        <v>0.5</v>
      </c>
      <c r="Y101" s="406">
        <v>0</v>
      </c>
      <c r="Z101" s="429">
        <v>0</v>
      </c>
      <c r="AA101" s="430">
        <f t="shared" si="31"/>
        <v>50</v>
      </c>
      <c r="AB101" s="415">
        <f t="shared" si="32"/>
        <v>0.5</v>
      </c>
      <c r="AC101" s="431">
        <v>0</v>
      </c>
      <c r="AD101" s="432">
        <f t="shared" si="33"/>
        <v>100</v>
      </c>
      <c r="AE101" s="433">
        <f t="shared" si="39"/>
        <v>4</v>
      </c>
      <c r="AF101" s="434" t="s">
        <v>2326</v>
      </c>
      <c r="AG101" s="434" t="s">
        <v>2326</v>
      </c>
      <c r="AH101" s="434" t="s">
        <v>2326</v>
      </c>
      <c r="AI101" s="362"/>
      <c r="AJ101" s="434" t="s">
        <v>2326</v>
      </c>
      <c r="AK101" s="434" t="s">
        <v>2326</v>
      </c>
      <c r="AL101" s="363"/>
      <c r="AM101" s="406">
        <v>0</v>
      </c>
      <c r="AN101" s="406">
        <v>0</v>
      </c>
      <c r="AO101" s="406">
        <v>0</v>
      </c>
      <c r="AP101" s="406">
        <v>0</v>
      </c>
      <c r="AQ101" s="406">
        <v>0</v>
      </c>
      <c r="AR101" s="406">
        <v>0</v>
      </c>
      <c r="AS101" s="406">
        <v>0</v>
      </c>
      <c r="AT101" s="406">
        <v>0</v>
      </c>
      <c r="AU101" s="407">
        <f t="shared" si="34"/>
        <v>0</v>
      </c>
      <c r="AV101" s="407">
        <f t="shared" si="35"/>
        <v>100</v>
      </c>
      <c r="AW101" s="408">
        <f t="shared" si="40"/>
        <v>5</v>
      </c>
      <c r="AX101" s="406">
        <v>0</v>
      </c>
      <c r="AY101" s="406">
        <v>0</v>
      </c>
      <c r="AZ101" s="406">
        <v>0</v>
      </c>
      <c r="BA101" s="406">
        <v>0</v>
      </c>
      <c r="BB101" s="430">
        <f t="shared" si="36"/>
        <v>0</v>
      </c>
      <c r="BC101" s="407">
        <f t="shared" si="37"/>
        <v>25</v>
      </c>
      <c r="BD101" s="408">
        <f t="shared" si="41"/>
        <v>0.75</v>
      </c>
      <c r="BE101" s="340">
        <f t="shared" si="38"/>
        <v>11.25</v>
      </c>
    </row>
    <row r="102" spans="1:57" x14ac:dyDescent="0.6">
      <c r="A102" s="214" t="s">
        <v>100</v>
      </c>
      <c r="B102" s="13" t="s">
        <v>2081</v>
      </c>
      <c r="C102" s="219" t="s">
        <v>32</v>
      </c>
      <c r="D102" s="221" t="s">
        <v>481</v>
      </c>
      <c r="E102" s="217" t="s">
        <v>704</v>
      </c>
      <c r="F102" s="217" t="s">
        <v>360</v>
      </c>
      <c r="G102" s="218">
        <v>40094</v>
      </c>
      <c r="H102" s="217" t="s">
        <v>830</v>
      </c>
      <c r="I102" s="217" t="s">
        <v>971</v>
      </c>
      <c r="J102" s="217" t="s">
        <v>1160</v>
      </c>
      <c r="K102" s="217" t="s">
        <v>91</v>
      </c>
      <c r="L102" s="220">
        <v>37434509044</v>
      </c>
      <c r="M102" s="206">
        <v>35502248501</v>
      </c>
      <c r="N102" s="206">
        <v>1932260544</v>
      </c>
      <c r="O102" s="206">
        <v>10262246106</v>
      </c>
      <c r="P102" s="206">
        <v>152919076</v>
      </c>
      <c r="Q102" s="206">
        <v>119769829</v>
      </c>
      <c r="R102" s="206">
        <v>97027738</v>
      </c>
      <c r="S102" s="406">
        <v>0</v>
      </c>
      <c r="T102" s="428">
        <f t="shared" si="27"/>
        <v>50</v>
      </c>
      <c r="U102" s="415">
        <f t="shared" si="28"/>
        <v>0.5</v>
      </c>
      <c r="V102" s="405">
        <v>0</v>
      </c>
      <c r="W102" s="428">
        <f t="shared" si="29"/>
        <v>50</v>
      </c>
      <c r="X102" s="415">
        <f t="shared" si="30"/>
        <v>0.5</v>
      </c>
      <c r="Y102" s="406">
        <v>0</v>
      </c>
      <c r="Z102" s="429">
        <v>0</v>
      </c>
      <c r="AA102" s="430">
        <f t="shared" si="31"/>
        <v>50</v>
      </c>
      <c r="AB102" s="415">
        <f t="shared" si="32"/>
        <v>0.5</v>
      </c>
      <c r="AC102" s="75">
        <v>0</v>
      </c>
      <c r="AD102" s="432">
        <f t="shared" si="33"/>
        <v>100</v>
      </c>
      <c r="AE102" s="435">
        <f>AD102*0.03</f>
        <v>3</v>
      </c>
      <c r="AF102" s="436">
        <v>2.5</v>
      </c>
      <c r="AG102" s="437">
        <f>(_xlfn.PERCENTRANK.INC(AF:AF,AF102, 2))*100</f>
        <v>61</v>
      </c>
      <c r="AH102" s="437">
        <f>IF(AF102=0, 100, IF(AG102&lt;10, 80, IF(AG102&lt;50, 60, IF(AG102&lt;90, 40, 20))))</f>
        <v>40</v>
      </c>
      <c r="AI102" s="263">
        <f>AH102*0.03</f>
        <v>1.2</v>
      </c>
      <c r="AJ102" s="264" t="s">
        <v>3540</v>
      </c>
      <c r="AK102" s="265">
        <f>IF(AJ102="우수", 100, IF(AJ102="양호", 80, IF(AJ102="보통", 60, IF(AJ102= "평가미대상", 60, IF(AJ102="미흡", 40, IF(AJ102="취약", 20))))))</f>
        <v>60</v>
      </c>
      <c r="AL102" s="141">
        <f>AK102*0.03</f>
        <v>1.7999999999999998</v>
      </c>
      <c r="AM102" s="406">
        <v>0</v>
      </c>
      <c r="AN102" s="406">
        <v>0</v>
      </c>
      <c r="AO102" s="406">
        <v>0</v>
      </c>
      <c r="AP102" s="406">
        <v>0</v>
      </c>
      <c r="AQ102" s="406">
        <v>0</v>
      </c>
      <c r="AR102" s="406">
        <v>0</v>
      </c>
      <c r="AS102" s="406">
        <v>0</v>
      </c>
      <c r="AT102" s="406">
        <v>0</v>
      </c>
      <c r="AU102" s="407">
        <f t="shared" si="34"/>
        <v>0</v>
      </c>
      <c r="AV102" s="407">
        <f t="shared" si="35"/>
        <v>100</v>
      </c>
      <c r="AW102" s="438">
        <f>AV102*0.02</f>
        <v>2</v>
      </c>
      <c r="AX102" s="406">
        <v>0</v>
      </c>
      <c r="AY102" s="406">
        <v>0</v>
      </c>
      <c r="AZ102" s="406">
        <v>0</v>
      </c>
      <c r="BA102" s="406">
        <v>0</v>
      </c>
      <c r="BB102" s="430">
        <f t="shared" si="36"/>
        <v>0</v>
      </c>
      <c r="BC102" s="407">
        <f t="shared" si="37"/>
        <v>25</v>
      </c>
      <c r="BD102" s="418">
        <f>BC102*0.01</f>
        <v>0.25</v>
      </c>
      <c r="BE102" s="340">
        <f t="shared" si="38"/>
        <v>9.75</v>
      </c>
    </row>
    <row r="103" spans="1:57" x14ac:dyDescent="0.6">
      <c r="A103" s="214" t="s">
        <v>1629</v>
      </c>
      <c r="B103" s="13" t="s">
        <v>2082</v>
      </c>
      <c r="C103" s="219" t="s">
        <v>1630</v>
      </c>
      <c r="D103" s="14" t="s">
        <v>191</v>
      </c>
      <c r="E103" s="217" t="s">
        <v>178</v>
      </c>
      <c r="F103" s="217" t="s">
        <v>1631</v>
      </c>
      <c r="G103" s="218">
        <v>36853</v>
      </c>
      <c r="H103" s="217" t="s">
        <v>830</v>
      </c>
      <c r="I103" s="217" t="s">
        <v>1632</v>
      </c>
      <c r="J103" s="217" t="s">
        <v>1633</v>
      </c>
      <c r="K103" s="217" t="s">
        <v>91</v>
      </c>
      <c r="L103" s="220">
        <v>1442896840</v>
      </c>
      <c r="M103" s="206">
        <v>718936776</v>
      </c>
      <c r="N103" s="206">
        <v>723960064</v>
      </c>
      <c r="O103" s="206">
        <v>1876232243</v>
      </c>
      <c r="P103" s="206">
        <v>86186465</v>
      </c>
      <c r="Q103" s="206">
        <v>91831146</v>
      </c>
      <c r="R103" s="206">
        <v>73560010</v>
      </c>
      <c r="S103" s="406">
        <v>0</v>
      </c>
      <c r="T103" s="428">
        <f t="shared" si="27"/>
        <v>50</v>
      </c>
      <c r="U103" s="415">
        <f t="shared" si="28"/>
        <v>0.5</v>
      </c>
      <c r="V103" s="405">
        <v>0</v>
      </c>
      <c r="W103" s="428">
        <f t="shared" si="29"/>
        <v>50</v>
      </c>
      <c r="X103" s="415">
        <f t="shared" si="30"/>
        <v>0.5</v>
      </c>
      <c r="Y103" s="406">
        <v>0</v>
      </c>
      <c r="Z103" s="429">
        <v>0</v>
      </c>
      <c r="AA103" s="430">
        <f t="shared" si="31"/>
        <v>50</v>
      </c>
      <c r="AB103" s="415">
        <f t="shared" si="32"/>
        <v>0.5</v>
      </c>
      <c r="AC103" s="431">
        <v>0</v>
      </c>
      <c r="AD103" s="432">
        <f t="shared" si="33"/>
        <v>100</v>
      </c>
      <c r="AE103" s="433">
        <f t="shared" ref="AE103:AE120" si="42">AD103*0.04</f>
        <v>4</v>
      </c>
      <c r="AF103" s="434" t="s">
        <v>2326</v>
      </c>
      <c r="AG103" s="434" t="s">
        <v>2326</v>
      </c>
      <c r="AH103" s="434" t="s">
        <v>2326</v>
      </c>
      <c r="AI103" s="362"/>
      <c r="AJ103" s="434" t="s">
        <v>2326</v>
      </c>
      <c r="AK103" s="434" t="s">
        <v>2326</v>
      </c>
      <c r="AL103" s="363"/>
      <c r="AM103" s="406">
        <v>0</v>
      </c>
      <c r="AN103" s="406">
        <v>0</v>
      </c>
      <c r="AO103" s="406">
        <v>0</v>
      </c>
      <c r="AP103" s="406">
        <v>0</v>
      </c>
      <c r="AQ103" s="406">
        <v>0</v>
      </c>
      <c r="AR103" s="406">
        <v>0</v>
      </c>
      <c r="AS103" s="406">
        <v>0</v>
      </c>
      <c r="AT103" s="406">
        <v>0</v>
      </c>
      <c r="AU103" s="407">
        <f t="shared" si="34"/>
        <v>0</v>
      </c>
      <c r="AV103" s="407">
        <f t="shared" si="35"/>
        <v>100</v>
      </c>
      <c r="AW103" s="408">
        <f t="shared" ref="AW103:AW120" si="43">AV103*0.05</f>
        <v>5</v>
      </c>
      <c r="AX103" s="406">
        <v>0</v>
      </c>
      <c r="AY103" s="406">
        <v>0</v>
      </c>
      <c r="AZ103" s="406">
        <v>0</v>
      </c>
      <c r="BA103" s="406">
        <v>0</v>
      </c>
      <c r="BB103" s="430">
        <f t="shared" si="36"/>
        <v>0</v>
      </c>
      <c r="BC103" s="407">
        <f t="shared" si="37"/>
        <v>25</v>
      </c>
      <c r="BD103" s="408">
        <f t="shared" ref="BD103:BD120" si="44">BC103*0.03</f>
        <v>0.75</v>
      </c>
      <c r="BE103" s="340">
        <f t="shared" si="38"/>
        <v>11.25</v>
      </c>
    </row>
    <row r="104" spans="1:57" x14ac:dyDescent="0.6">
      <c r="A104" s="214" t="s">
        <v>1634</v>
      </c>
      <c r="B104" s="13" t="s">
        <v>2083</v>
      </c>
      <c r="C104" s="219" t="s">
        <v>1635</v>
      </c>
      <c r="D104" s="14" t="s">
        <v>203</v>
      </c>
      <c r="E104" s="217" t="s">
        <v>246</v>
      </c>
      <c r="F104" s="217" t="s">
        <v>1636</v>
      </c>
      <c r="G104" s="218">
        <v>34422</v>
      </c>
      <c r="H104" s="217" t="s">
        <v>830</v>
      </c>
      <c r="I104" s="217" t="s">
        <v>1637</v>
      </c>
      <c r="J104" s="217" t="s">
        <v>1638</v>
      </c>
      <c r="K104" s="217" t="s">
        <v>425</v>
      </c>
      <c r="L104" s="220">
        <v>1380267325</v>
      </c>
      <c r="M104" s="206">
        <v>678125020</v>
      </c>
      <c r="N104" s="206">
        <v>702142305</v>
      </c>
      <c r="O104" s="206">
        <v>1300951533</v>
      </c>
      <c r="P104" s="206">
        <v>82521356</v>
      </c>
      <c r="Q104" s="206">
        <v>74612978</v>
      </c>
      <c r="R104" s="206">
        <v>59394229</v>
      </c>
      <c r="S104" s="406">
        <v>0</v>
      </c>
      <c r="T104" s="428">
        <f t="shared" si="27"/>
        <v>50</v>
      </c>
      <c r="U104" s="415">
        <f t="shared" si="28"/>
        <v>0.5</v>
      </c>
      <c r="V104" s="405">
        <v>0</v>
      </c>
      <c r="W104" s="428">
        <f t="shared" si="29"/>
        <v>50</v>
      </c>
      <c r="X104" s="415">
        <f t="shared" si="30"/>
        <v>0.5</v>
      </c>
      <c r="Y104" s="406">
        <v>0</v>
      </c>
      <c r="Z104" s="429">
        <v>0</v>
      </c>
      <c r="AA104" s="430">
        <f t="shared" si="31"/>
        <v>50</v>
      </c>
      <c r="AB104" s="415">
        <f t="shared" si="32"/>
        <v>0.5</v>
      </c>
      <c r="AC104" s="431">
        <v>0</v>
      </c>
      <c r="AD104" s="432">
        <f t="shared" si="33"/>
        <v>100</v>
      </c>
      <c r="AE104" s="433">
        <f t="shared" si="42"/>
        <v>4</v>
      </c>
      <c r="AF104" s="434" t="s">
        <v>2326</v>
      </c>
      <c r="AG104" s="434" t="s">
        <v>2326</v>
      </c>
      <c r="AH104" s="434" t="s">
        <v>2326</v>
      </c>
      <c r="AI104" s="362"/>
      <c r="AJ104" s="434" t="s">
        <v>2326</v>
      </c>
      <c r="AK104" s="434" t="s">
        <v>2326</v>
      </c>
      <c r="AL104" s="363"/>
      <c r="AM104" s="406">
        <v>0</v>
      </c>
      <c r="AN104" s="406">
        <v>0</v>
      </c>
      <c r="AO104" s="406">
        <v>0</v>
      </c>
      <c r="AP104" s="406">
        <v>0</v>
      </c>
      <c r="AQ104" s="406">
        <v>0</v>
      </c>
      <c r="AR104" s="406">
        <v>0</v>
      </c>
      <c r="AS104" s="406">
        <v>0</v>
      </c>
      <c r="AT104" s="406">
        <v>0</v>
      </c>
      <c r="AU104" s="407">
        <f t="shared" si="34"/>
        <v>0</v>
      </c>
      <c r="AV104" s="407">
        <f t="shared" si="35"/>
        <v>100</v>
      </c>
      <c r="AW104" s="408">
        <f t="shared" si="43"/>
        <v>5</v>
      </c>
      <c r="AX104" s="406">
        <v>0</v>
      </c>
      <c r="AY104" s="406">
        <v>0</v>
      </c>
      <c r="AZ104" s="406">
        <v>0</v>
      </c>
      <c r="BA104" s="406">
        <v>0</v>
      </c>
      <c r="BB104" s="430">
        <f t="shared" si="36"/>
        <v>0</v>
      </c>
      <c r="BC104" s="407">
        <f t="shared" si="37"/>
        <v>25</v>
      </c>
      <c r="BD104" s="408">
        <f t="shared" si="44"/>
        <v>0.75</v>
      </c>
      <c r="BE104" s="340">
        <f t="shared" si="38"/>
        <v>11.25</v>
      </c>
    </row>
    <row r="105" spans="1:57" x14ac:dyDescent="0.6">
      <c r="A105" s="214" t="s">
        <v>865</v>
      </c>
      <c r="B105" s="13" t="s">
        <v>2084</v>
      </c>
      <c r="C105" s="219" t="s">
        <v>852</v>
      </c>
      <c r="D105" s="216" t="s">
        <v>203</v>
      </c>
      <c r="E105" s="217" t="s">
        <v>197</v>
      </c>
      <c r="F105" s="217" t="s">
        <v>357</v>
      </c>
      <c r="G105" s="218">
        <v>41201</v>
      </c>
      <c r="H105" s="217" t="s">
        <v>830</v>
      </c>
      <c r="I105" s="217" t="s">
        <v>774</v>
      </c>
      <c r="J105" s="217" t="s">
        <v>1048</v>
      </c>
      <c r="K105" s="217" t="s">
        <v>484</v>
      </c>
      <c r="L105" s="220">
        <v>372451008</v>
      </c>
      <c r="M105" s="206">
        <v>160285008</v>
      </c>
      <c r="N105" s="206">
        <v>212166000</v>
      </c>
      <c r="O105" s="206">
        <v>382323241</v>
      </c>
      <c r="P105" s="206">
        <v>10643381</v>
      </c>
      <c r="Q105" s="206">
        <v>10453576</v>
      </c>
      <c r="R105" s="206">
        <v>9587170</v>
      </c>
      <c r="S105" s="406">
        <v>0</v>
      </c>
      <c r="T105" s="428">
        <f t="shared" si="27"/>
        <v>50</v>
      </c>
      <c r="U105" s="415">
        <f t="shared" si="28"/>
        <v>0.5</v>
      </c>
      <c r="V105" s="405">
        <v>0</v>
      </c>
      <c r="W105" s="428">
        <f t="shared" si="29"/>
        <v>50</v>
      </c>
      <c r="X105" s="415">
        <f t="shared" si="30"/>
        <v>0.5</v>
      </c>
      <c r="Y105" s="406">
        <v>0</v>
      </c>
      <c r="Z105" s="429">
        <v>0</v>
      </c>
      <c r="AA105" s="430">
        <f t="shared" si="31"/>
        <v>50</v>
      </c>
      <c r="AB105" s="415">
        <f t="shared" si="32"/>
        <v>0.5</v>
      </c>
      <c r="AC105" s="431">
        <v>0</v>
      </c>
      <c r="AD105" s="432">
        <f t="shared" si="33"/>
        <v>100</v>
      </c>
      <c r="AE105" s="433">
        <f t="shared" si="42"/>
        <v>4</v>
      </c>
      <c r="AF105" s="434" t="s">
        <v>2326</v>
      </c>
      <c r="AG105" s="434" t="s">
        <v>2326</v>
      </c>
      <c r="AH105" s="434" t="s">
        <v>2326</v>
      </c>
      <c r="AI105" s="362"/>
      <c r="AJ105" s="434" t="s">
        <v>2326</v>
      </c>
      <c r="AK105" s="434" t="s">
        <v>2326</v>
      </c>
      <c r="AL105" s="363"/>
      <c r="AM105" s="406">
        <v>0</v>
      </c>
      <c r="AN105" s="406">
        <v>0</v>
      </c>
      <c r="AO105" s="406">
        <v>0</v>
      </c>
      <c r="AP105" s="406">
        <v>0</v>
      </c>
      <c r="AQ105" s="406">
        <v>0</v>
      </c>
      <c r="AR105" s="406">
        <v>0</v>
      </c>
      <c r="AS105" s="406">
        <v>0</v>
      </c>
      <c r="AT105" s="406">
        <v>0</v>
      </c>
      <c r="AU105" s="407">
        <f t="shared" si="34"/>
        <v>0</v>
      </c>
      <c r="AV105" s="407">
        <f t="shared" si="35"/>
        <v>100</v>
      </c>
      <c r="AW105" s="408">
        <f t="shared" si="43"/>
        <v>5</v>
      </c>
      <c r="AX105" s="406">
        <v>0</v>
      </c>
      <c r="AY105" s="406">
        <v>0</v>
      </c>
      <c r="AZ105" s="406">
        <v>0</v>
      </c>
      <c r="BA105" s="406">
        <v>0</v>
      </c>
      <c r="BB105" s="430">
        <f t="shared" si="36"/>
        <v>0</v>
      </c>
      <c r="BC105" s="407">
        <f t="shared" si="37"/>
        <v>25</v>
      </c>
      <c r="BD105" s="408">
        <f t="shared" si="44"/>
        <v>0.75</v>
      </c>
      <c r="BE105" s="340">
        <f t="shared" si="38"/>
        <v>11.25</v>
      </c>
    </row>
    <row r="106" spans="1:57" x14ac:dyDescent="0.6">
      <c r="A106" s="214" t="s">
        <v>48</v>
      </c>
      <c r="B106" s="13" t="s">
        <v>2085</v>
      </c>
      <c r="C106" s="219" t="s">
        <v>432</v>
      </c>
      <c r="D106" s="216" t="s">
        <v>203</v>
      </c>
      <c r="E106" s="217" t="s">
        <v>195</v>
      </c>
      <c r="F106" s="217" t="s">
        <v>128</v>
      </c>
      <c r="G106" s="218">
        <v>38533</v>
      </c>
      <c r="H106" s="217" t="s">
        <v>830</v>
      </c>
      <c r="I106" s="217" t="s">
        <v>193</v>
      </c>
      <c r="J106" s="217" t="s">
        <v>1044</v>
      </c>
      <c r="K106" s="217" t="s">
        <v>31</v>
      </c>
      <c r="L106" s="220">
        <v>457877289</v>
      </c>
      <c r="M106" s="206">
        <v>52176470</v>
      </c>
      <c r="N106" s="206">
        <v>405700820</v>
      </c>
      <c r="O106" s="206">
        <v>441052792</v>
      </c>
      <c r="P106" s="206">
        <v>20091259</v>
      </c>
      <c r="Q106" s="206">
        <v>24421805</v>
      </c>
      <c r="R106" s="206">
        <v>18622026</v>
      </c>
      <c r="S106" s="406">
        <v>0</v>
      </c>
      <c r="T106" s="428">
        <f t="shared" si="27"/>
        <v>50</v>
      </c>
      <c r="U106" s="415">
        <f t="shared" si="28"/>
        <v>0.5</v>
      </c>
      <c r="V106" s="405">
        <v>0</v>
      </c>
      <c r="W106" s="428">
        <f t="shared" si="29"/>
        <v>50</v>
      </c>
      <c r="X106" s="415">
        <f t="shared" si="30"/>
        <v>0.5</v>
      </c>
      <c r="Y106" s="406">
        <v>0</v>
      </c>
      <c r="Z106" s="429">
        <v>0</v>
      </c>
      <c r="AA106" s="430">
        <f t="shared" si="31"/>
        <v>50</v>
      </c>
      <c r="AB106" s="415">
        <f t="shared" si="32"/>
        <v>0.5</v>
      </c>
      <c r="AC106" s="431">
        <v>0</v>
      </c>
      <c r="AD106" s="432">
        <f t="shared" si="33"/>
        <v>100</v>
      </c>
      <c r="AE106" s="433">
        <f t="shared" si="42"/>
        <v>4</v>
      </c>
      <c r="AF106" s="434" t="s">
        <v>2326</v>
      </c>
      <c r="AG106" s="434" t="s">
        <v>2326</v>
      </c>
      <c r="AH106" s="434" t="s">
        <v>2326</v>
      </c>
      <c r="AI106" s="362"/>
      <c r="AJ106" s="434" t="s">
        <v>2326</v>
      </c>
      <c r="AK106" s="434" t="s">
        <v>2326</v>
      </c>
      <c r="AL106" s="363"/>
      <c r="AM106" s="406">
        <v>0</v>
      </c>
      <c r="AN106" s="406">
        <v>0</v>
      </c>
      <c r="AO106" s="406">
        <v>0</v>
      </c>
      <c r="AP106" s="406">
        <v>0</v>
      </c>
      <c r="AQ106" s="406">
        <v>0</v>
      </c>
      <c r="AR106" s="406">
        <v>0</v>
      </c>
      <c r="AS106" s="406">
        <v>0</v>
      </c>
      <c r="AT106" s="406">
        <v>0</v>
      </c>
      <c r="AU106" s="407">
        <f t="shared" si="34"/>
        <v>0</v>
      </c>
      <c r="AV106" s="407">
        <f t="shared" si="35"/>
        <v>100</v>
      </c>
      <c r="AW106" s="408">
        <f t="shared" si="43"/>
        <v>5</v>
      </c>
      <c r="AX106" s="406">
        <v>0</v>
      </c>
      <c r="AY106" s="406">
        <v>0</v>
      </c>
      <c r="AZ106" s="406">
        <v>0</v>
      </c>
      <c r="BA106" s="406">
        <v>0</v>
      </c>
      <c r="BB106" s="430">
        <f t="shared" si="36"/>
        <v>0</v>
      </c>
      <c r="BC106" s="407">
        <f t="shared" si="37"/>
        <v>25</v>
      </c>
      <c r="BD106" s="408">
        <f t="shared" si="44"/>
        <v>0.75</v>
      </c>
      <c r="BE106" s="340">
        <f t="shared" si="38"/>
        <v>11.25</v>
      </c>
    </row>
    <row r="107" spans="1:57" x14ac:dyDescent="0.6">
      <c r="A107" s="214" t="s">
        <v>1639</v>
      </c>
      <c r="B107" s="13" t="s">
        <v>2086</v>
      </c>
      <c r="C107" s="219" t="s">
        <v>873</v>
      </c>
      <c r="D107" s="216" t="s">
        <v>203</v>
      </c>
      <c r="E107" s="217" t="s">
        <v>195</v>
      </c>
      <c r="F107" s="217" t="s">
        <v>1075</v>
      </c>
      <c r="G107" s="218">
        <v>42271</v>
      </c>
      <c r="H107" s="217" t="s">
        <v>830</v>
      </c>
      <c r="I107" s="217" t="s">
        <v>1640</v>
      </c>
      <c r="J107" s="217" t="s">
        <v>1172</v>
      </c>
      <c r="K107" s="217" t="s">
        <v>690</v>
      </c>
      <c r="L107" s="220">
        <v>179708719</v>
      </c>
      <c r="M107" s="206">
        <v>22028248</v>
      </c>
      <c r="N107" s="206">
        <v>157680471</v>
      </c>
      <c r="O107" s="206">
        <v>196757615</v>
      </c>
      <c r="P107" s="206">
        <v>2456930</v>
      </c>
      <c r="Q107" s="206">
        <v>3926033</v>
      </c>
      <c r="R107" s="206">
        <v>3345149</v>
      </c>
      <c r="S107" s="406">
        <v>0</v>
      </c>
      <c r="T107" s="428">
        <f t="shared" si="27"/>
        <v>50</v>
      </c>
      <c r="U107" s="415">
        <f t="shared" si="28"/>
        <v>0.5</v>
      </c>
      <c r="V107" s="405">
        <v>0</v>
      </c>
      <c r="W107" s="428">
        <f t="shared" si="29"/>
        <v>50</v>
      </c>
      <c r="X107" s="415">
        <f t="shared" si="30"/>
        <v>0.5</v>
      </c>
      <c r="Y107" s="406">
        <v>0</v>
      </c>
      <c r="Z107" s="429">
        <v>0</v>
      </c>
      <c r="AA107" s="430">
        <f t="shared" si="31"/>
        <v>50</v>
      </c>
      <c r="AB107" s="415">
        <f t="shared" si="32"/>
        <v>0.5</v>
      </c>
      <c r="AC107" s="431">
        <v>0</v>
      </c>
      <c r="AD107" s="432">
        <f t="shared" si="33"/>
        <v>100</v>
      </c>
      <c r="AE107" s="433">
        <f t="shared" si="42"/>
        <v>4</v>
      </c>
      <c r="AF107" s="434" t="s">
        <v>2326</v>
      </c>
      <c r="AG107" s="434" t="s">
        <v>2326</v>
      </c>
      <c r="AH107" s="434" t="s">
        <v>2326</v>
      </c>
      <c r="AI107" s="362"/>
      <c r="AJ107" s="434" t="s">
        <v>2326</v>
      </c>
      <c r="AK107" s="434" t="s">
        <v>2326</v>
      </c>
      <c r="AL107" s="363"/>
      <c r="AM107" s="406">
        <v>0</v>
      </c>
      <c r="AN107" s="406">
        <v>0</v>
      </c>
      <c r="AO107" s="406">
        <v>0</v>
      </c>
      <c r="AP107" s="406">
        <v>0</v>
      </c>
      <c r="AQ107" s="406">
        <v>0</v>
      </c>
      <c r="AR107" s="406">
        <v>0</v>
      </c>
      <c r="AS107" s="406">
        <v>0</v>
      </c>
      <c r="AT107" s="406">
        <v>0</v>
      </c>
      <c r="AU107" s="407">
        <f t="shared" si="34"/>
        <v>0</v>
      </c>
      <c r="AV107" s="407">
        <f t="shared" si="35"/>
        <v>100</v>
      </c>
      <c r="AW107" s="408">
        <f t="shared" si="43"/>
        <v>5</v>
      </c>
      <c r="AX107" s="406">
        <v>0</v>
      </c>
      <c r="AY107" s="406">
        <v>0</v>
      </c>
      <c r="AZ107" s="406">
        <v>0</v>
      </c>
      <c r="BA107" s="406">
        <v>0</v>
      </c>
      <c r="BB107" s="430">
        <f t="shared" si="36"/>
        <v>0</v>
      </c>
      <c r="BC107" s="407">
        <f t="shared" si="37"/>
        <v>25</v>
      </c>
      <c r="BD107" s="408">
        <f t="shared" si="44"/>
        <v>0.75</v>
      </c>
      <c r="BE107" s="340">
        <f t="shared" si="38"/>
        <v>11.25</v>
      </c>
    </row>
    <row r="108" spans="1:57" x14ac:dyDescent="0.6">
      <c r="A108" s="214" t="s">
        <v>370</v>
      </c>
      <c r="B108" s="13" t="s">
        <v>2087</v>
      </c>
      <c r="C108" s="219" t="s">
        <v>319</v>
      </c>
      <c r="D108" s="216" t="s">
        <v>191</v>
      </c>
      <c r="E108" s="217" t="s">
        <v>34</v>
      </c>
      <c r="F108" s="217" t="s">
        <v>567</v>
      </c>
      <c r="G108" s="218">
        <v>27843</v>
      </c>
      <c r="H108" s="217" t="s">
        <v>830</v>
      </c>
      <c r="I108" s="217" t="s">
        <v>1641</v>
      </c>
      <c r="J108" s="217" t="s">
        <v>1191</v>
      </c>
      <c r="K108" s="217" t="s">
        <v>91</v>
      </c>
      <c r="L108" s="220">
        <v>429874042</v>
      </c>
      <c r="M108" s="206">
        <v>70083130</v>
      </c>
      <c r="N108" s="206">
        <v>359790911</v>
      </c>
      <c r="O108" s="206">
        <v>315927932</v>
      </c>
      <c r="P108" s="206">
        <v>26579957</v>
      </c>
      <c r="Q108" s="206">
        <v>20948525</v>
      </c>
      <c r="R108" s="206">
        <v>18208234</v>
      </c>
      <c r="S108" s="406">
        <v>0</v>
      </c>
      <c r="T108" s="428">
        <f t="shared" si="27"/>
        <v>50</v>
      </c>
      <c r="U108" s="415">
        <f t="shared" si="28"/>
        <v>0.5</v>
      </c>
      <c r="V108" s="405">
        <v>0</v>
      </c>
      <c r="W108" s="428">
        <f t="shared" si="29"/>
        <v>50</v>
      </c>
      <c r="X108" s="415">
        <f t="shared" si="30"/>
        <v>0.5</v>
      </c>
      <c r="Y108" s="406">
        <v>0</v>
      </c>
      <c r="Z108" s="429">
        <v>0</v>
      </c>
      <c r="AA108" s="430">
        <f t="shared" si="31"/>
        <v>50</v>
      </c>
      <c r="AB108" s="415">
        <f t="shared" si="32"/>
        <v>0.5</v>
      </c>
      <c r="AC108" s="431">
        <v>0</v>
      </c>
      <c r="AD108" s="432">
        <f t="shared" si="33"/>
        <v>100</v>
      </c>
      <c r="AE108" s="433">
        <f t="shared" si="42"/>
        <v>4</v>
      </c>
      <c r="AF108" s="434" t="s">
        <v>2326</v>
      </c>
      <c r="AG108" s="434" t="s">
        <v>2326</v>
      </c>
      <c r="AH108" s="434" t="s">
        <v>2326</v>
      </c>
      <c r="AI108" s="362"/>
      <c r="AJ108" s="434" t="s">
        <v>2326</v>
      </c>
      <c r="AK108" s="434" t="s">
        <v>2326</v>
      </c>
      <c r="AL108" s="363"/>
      <c r="AM108" s="406">
        <v>0</v>
      </c>
      <c r="AN108" s="406">
        <v>0</v>
      </c>
      <c r="AO108" s="406">
        <v>0</v>
      </c>
      <c r="AP108" s="406">
        <v>0</v>
      </c>
      <c r="AQ108" s="406">
        <v>0</v>
      </c>
      <c r="AR108" s="406">
        <v>0</v>
      </c>
      <c r="AS108" s="406">
        <v>0</v>
      </c>
      <c r="AT108" s="406">
        <v>0</v>
      </c>
      <c r="AU108" s="407">
        <f t="shared" si="34"/>
        <v>0</v>
      </c>
      <c r="AV108" s="407">
        <f t="shared" si="35"/>
        <v>100</v>
      </c>
      <c r="AW108" s="408">
        <f t="shared" si="43"/>
        <v>5</v>
      </c>
      <c r="AX108" s="406">
        <v>0</v>
      </c>
      <c r="AY108" s="406">
        <v>0</v>
      </c>
      <c r="AZ108" s="406">
        <v>0</v>
      </c>
      <c r="BA108" s="406">
        <v>0</v>
      </c>
      <c r="BB108" s="430">
        <f t="shared" si="36"/>
        <v>0</v>
      </c>
      <c r="BC108" s="407">
        <f t="shared" si="37"/>
        <v>25</v>
      </c>
      <c r="BD108" s="408">
        <f t="shared" si="44"/>
        <v>0.75</v>
      </c>
      <c r="BE108" s="340">
        <f t="shared" si="38"/>
        <v>11.25</v>
      </c>
    </row>
    <row r="109" spans="1:57" x14ac:dyDescent="0.6">
      <c r="A109" s="214" t="s">
        <v>446</v>
      </c>
      <c r="B109" s="13" t="s">
        <v>2088</v>
      </c>
      <c r="C109" s="219" t="s">
        <v>523</v>
      </c>
      <c r="D109" s="216" t="s">
        <v>202</v>
      </c>
      <c r="E109" s="217" t="s">
        <v>382</v>
      </c>
      <c r="F109" s="217" t="s">
        <v>443</v>
      </c>
      <c r="G109" s="218">
        <v>43756</v>
      </c>
      <c r="H109" s="217" t="s">
        <v>830</v>
      </c>
      <c r="I109" s="217" t="s">
        <v>1001</v>
      </c>
      <c r="J109" s="217" t="s">
        <v>676</v>
      </c>
      <c r="K109" s="217" t="s">
        <v>320</v>
      </c>
      <c r="L109" s="220">
        <v>1026929716</v>
      </c>
      <c r="M109" s="206">
        <v>503865290</v>
      </c>
      <c r="N109" s="206">
        <v>523064426</v>
      </c>
      <c r="O109" s="206">
        <v>312148721</v>
      </c>
      <c r="P109" s="206">
        <v>7221936</v>
      </c>
      <c r="Q109" s="206">
        <v>4276527</v>
      </c>
      <c r="R109" s="206">
        <v>3863590</v>
      </c>
      <c r="S109" s="406">
        <v>0</v>
      </c>
      <c r="T109" s="428">
        <f t="shared" si="27"/>
        <v>50</v>
      </c>
      <c r="U109" s="415">
        <f t="shared" si="28"/>
        <v>0.5</v>
      </c>
      <c r="V109" s="405">
        <v>0</v>
      </c>
      <c r="W109" s="428">
        <f t="shared" si="29"/>
        <v>50</v>
      </c>
      <c r="X109" s="415">
        <f t="shared" si="30"/>
        <v>0.5</v>
      </c>
      <c r="Y109" s="406">
        <v>0</v>
      </c>
      <c r="Z109" s="429">
        <v>0</v>
      </c>
      <c r="AA109" s="430">
        <f t="shared" si="31"/>
        <v>50</v>
      </c>
      <c r="AB109" s="415">
        <f t="shared" si="32"/>
        <v>0.5</v>
      </c>
      <c r="AC109" s="431">
        <v>0</v>
      </c>
      <c r="AD109" s="432">
        <f t="shared" si="33"/>
        <v>100</v>
      </c>
      <c r="AE109" s="433">
        <f t="shared" si="42"/>
        <v>4</v>
      </c>
      <c r="AF109" s="434" t="s">
        <v>2326</v>
      </c>
      <c r="AG109" s="434" t="s">
        <v>2326</v>
      </c>
      <c r="AH109" s="434" t="s">
        <v>2326</v>
      </c>
      <c r="AI109" s="362"/>
      <c r="AJ109" s="434" t="s">
        <v>2326</v>
      </c>
      <c r="AK109" s="434" t="s">
        <v>2326</v>
      </c>
      <c r="AL109" s="363"/>
      <c r="AM109" s="406">
        <v>0</v>
      </c>
      <c r="AN109" s="406">
        <v>0</v>
      </c>
      <c r="AO109" s="406">
        <v>0</v>
      </c>
      <c r="AP109" s="406">
        <v>0</v>
      </c>
      <c r="AQ109" s="406">
        <v>0</v>
      </c>
      <c r="AR109" s="406">
        <v>0</v>
      </c>
      <c r="AS109" s="406">
        <v>0</v>
      </c>
      <c r="AT109" s="406">
        <v>0</v>
      </c>
      <c r="AU109" s="407">
        <f t="shared" si="34"/>
        <v>0</v>
      </c>
      <c r="AV109" s="407">
        <f t="shared" si="35"/>
        <v>100</v>
      </c>
      <c r="AW109" s="408">
        <f t="shared" si="43"/>
        <v>5</v>
      </c>
      <c r="AX109" s="406">
        <v>0</v>
      </c>
      <c r="AY109" s="406">
        <v>0</v>
      </c>
      <c r="AZ109" s="406">
        <v>0</v>
      </c>
      <c r="BA109" s="406">
        <v>0</v>
      </c>
      <c r="BB109" s="430">
        <f t="shared" si="36"/>
        <v>0</v>
      </c>
      <c r="BC109" s="407">
        <f t="shared" si="37"/>
        <v>25</v>
      </c>
      <c r="BD109" s="408">
        <f t="shared" si="44"/>
        <v>0.75</v>
      </c>
      <c r="BE109" s="340">
        <f t="shared" si="38"/>
        <v>11.25</v>
      </c>
    </row>
    <row r="110" spans="1:57" x14ac:dyDescent="0.6">
      <c r="A110" s="214" t="s">
        <v>748</v>
      </c>
      <c r="B110" s="13" t="s">
        <v>2089</v>
      </c>
      <c r="C110" s="219" t="s">
        <v>98</v>
      </c>
      <c r="D110" s="216" t="s">
        <v>202</v>
      </c>
      <c r="E110" s="217" t="s">
        <v>954</v>
      </c>
      <c r="F110" s="217" t="s">
        <v>625</v>
      </c>
      <c r="G110" s="218">
        <v>42580</v>
      </c>
      <c r="H110" s="217" t="s">
        <v>830</v>
      </c>
      <c r="I110" s="217" t="s">
        <v>261</v>
      </c>
      <c r="J110" s="217" t="s">
        <v>1053</v>
      </c>
      <c r="K110" s="217" t="s">
        <v>91</v>
      </c>
      <c r="L110" s="220">
        <v>287289681</v>
      </c>
      <c r="M110" s="206">
        <v>116203289</v>
      </c>
      <c r="N110" s="206">
        <v>171086392</v>
      </c>
      <c r="O110" s="206">
        <v>227240330</v>
      </c>
      <c r="P110" s="206">
        <v>10840684</v>
      </c>
      <c r="Q110" s="206">
        <v>18488363</v>
      </c>
      <c r="R110" s="206">
        <v>14109027</v>
      </c>
      <c r="S110" s="406">
        <v>0</v>
      </c>
      <c r="T110" s="428">
        <f t="shared" si="27"/>
        <v>50</v>
      </c>
      <c r="U110" s="415">
        <f t="shared" si="28"/>
        <v>0.5</v>
      </c>
      <c r="V110" s="405">
        <v>0</v>
      </c>
      <c r="W110" s="428">
        <f t="shared" si="29"/>
        <v>50</v>
      </c>
      <c r="X110" s="415">
        <f t="shared" si="30"/>
        <v>0.5</v>
      </c>
      <c r="Y110" s="406">
        <v>0</v>
      </c>
      <c r="Z110" s="429">
        <v>0</v>
      </c>
      <c r="AA110" s="430">
        <f t="shared" si="31"/>
        <v>50</v>
      </c>
      <c r="AB110" s="415">
        <f t="shared" si="32"/>
        <v>0.5</v>
      </c>
      <c r="AC110" s="431">
        <v>0</v>
      </c>
      <c r="AD110" s="432">
        <f t="shared" si="33"/>
        <v>100</v>
      </c>
      <c r="AE110" s="433">
        <f t="shared" si="42"/>
        <v>4</v>
      </c>
      <c r="AF110" s="434" t="s">
        <v>2326</v>
      </c>
      <c r="AG110" s="434" t="s">
        <v>2326</v>
      </c>
      <c r="AH110" s="434" t="s">
        <v>2326</v>
      </c>
      <c r="AI110" s="362"/>
      <c r="AJ110" s="434" t="s">
        <v>2326</v>
      </c>
      <c r="AK110" s="434" t="s">
        <v>2326</v>
      </c>
      <c r="AL110" s="363"/>
      <c r="AM110" s="406">
        <v>0</v>
      </c>
      <c r="AN110" s="406">
        <v>0</v>
      </c>
      <c r="AO110" s="406">
        <v>0</v>
      </c>
      <c r="AP110" s="406">
        <v>0</v>
      </c>
      <c r="AQ110" s="406">
        <v>0</v>
      </c>
      <c r="AR110" s="406">
        <v>0</v>
      </c>
      <c r="AS110" s="406">
        <v>0</v>
      </c>
      <c r="AT110" s="406">
        <v>0</v>
      </c>
      <c r="AU110" s="407">
        <f t="shared" si="34"/>
        <v>0</v>
      </c>
      <c r="AV110" s="407">
        <f t="shared" si="35"/>
        <v>100</v>
      </c>
      <c r="AW110" s="408">
        <f t="shared" si="43"/>
        <v>5</v>
      </c>
      <c r="AX110" s="406">
        <v>0</v>
      </c>
      <c r="AY110" s="406">
        <v>0</v>
      </c>
      <c r="AZ110" s="406">
        <v>0</v>
      </c>
      <c r="BA110" s="406">
        <v>0</v>
      </c>
      <c r="BB110" s="430">
        <f t="shared" si="36"/>
        <v>0</v>
      </c>
      <c r="BC110" s="407">
        <f t="shared" si="37"/>
        <v>25</v>
      </c>
      <c r="BD110" s="408">
        <f t="shared" si="44"/>
        <v>0.75</v>
      </c>
      <c r="BE110" s="340">
        <f t="shared" si="38"/>
        <v>11.25</v>
      </c>
    </row>
    <row r="111" spans="1:57" x14ac:dyDescent="0.6">
      <c r="A111" s="214" t="s">
        <v>688</v>
      </c>
      <c r="B111" s="13" t="s">
        <v>2090</v>
      </c>
      <c r="C111" s="219" t="s">
        <v>21</v>
      </c>
      <c r="D111" s="216" t="s">
        <v>203</v>
      </c>
      <c r="E111" s="217" t="s">
        <v>195</v>
      </c>
      <c r="F111" s="217" t="s">
        <v>640</v>
      </c>
      <c r="G111" s="218">
        <v>36390</v>
      </c>
      <c r="H111" s="217" t="s">
        <v>830</v>
      </c>
      <c r="I111" s="217" t="s">
        <v>621</v>
      </c>
      <c r="J111" s="217" t="s">
        <v>1193</v>
      </c>
      <c r="K111" s="217" t="s">
        <v>50</v>
      </c>
      <c r="L111" s="220">
        <v>306956323</v>
      </c>
      <c r="M111" s="206">
        <v>41595074</v>
      </c>
      <c r="N111" s="206">
        <v>265361249</v>
      </c>
      <c r="O111" s="206">
        <v>240604203</v>
      </c>
      <c r="P111" s="206">
        <v>24501432</v>
      </c>
      <c r="Q111" s="206">
        <v>44413864</v>
      </c>
      <c r="R111" s="206">
        <v>37642494</v>
      </c>
      <c r="S111" s="406">
        <v>0</v>
      </c>
      <c r="T111" s="428">
        <f t="shared" si="27"/>
        <v>50</v>
      </c>
      <c r="U111" s="415">
        <f t="shared" si="28"/>
        <v>0.5</v>
      </c>
      <c r="V111" s="405">
        <v>0</v>
      </c>
      <c r="W111" s="428">
        <f t="shared" si="29"/>
        <v>50</v>
      </c>
      <c r="X111" s="415">
        <f t="shared" si="30"/>
        <v>0.5</v>
      </c>
      <c r="Y111" s="406">
        <v>0</v>
      </c>
      <c r="Z111" s="429">
        <v>0</v>
      </c>
      <c r="AA111" s="430">
        <f t="shared" si="31"/>
        <v>50</v>
      </c>
      <c r="AB111" s="415">
        <f t="shared" si="32"/>
        <v>0.5</v>
      </c>
      <c r="AC111" s="431">
        <v>0</v>
      </c>
      <c r="AD111" s="432">
        <f t="shared" si="33"/>
        <v>100</v>
      </c>
      <c r="AE111" s="433">
        <f t="shared" si="42"/>
        <v>4</v>
      </c>
      <c r="AF111" s="434" t="s">
        <v>2326</v>
      </c>
      <c r="AG111" s="434" t="s">
        <v>2326</v>
      </c>
      <c r="AH111" s="434" t="s">
        <v>2326</v>
      </c>
      <c r="AI111" s="362"/>
      <c r="AJ111" s="434" t="s">
        <v>2326</v>
      </c>
      <c r="AK111" s="434" t="s">
        <v>2326</v>
      </c>
      <c r="AL111" s="363"/>
      <c r="AM111" s="406">
        <v>0</v>
      </c>
      <c r="AN111" s="406">
        <v>0</v>
      </c>
      <c r="AO111" s="406">
        <v>0</v>
      </c>
      <c r="AP111" s="406">
        <v>0</v>
      </c>
      <c r="AQ111" s="406">
        <v>0</v>
      </c>
      <c r="AR111" s="406">
        <v>0</v>
      </c>
      <c r="AS111" s="406">
        <v>0</v>
      </c>
      <c r="AT111" s="406">
        <v>0</v>
      </c>
      <c r="AU111" s="407">
        <f t="shared" si="34"/>
        <v>0</v>
      </c>
      <c r="AV111" s="407">
        <f t="shared" si="35"/>
        <v>100</v>
      </c>
      <c r="AW111" s="408">
        <f t="shared" si="43"/>
        <v>5</v>
      </c>
      <c r="AX111" s="406">
        <v>0</v>
      </c>
      <c r="AY111" s="406">
        <v>0</v>
      </c>
      <c r="AZ111" s="406">
        <v>0</v>
      </c>
      <c r="BA111" s="406">
        <v>0</v>
      </c>
      <c r="BB111" s="430">
        <f t="shared" si="36"/>
        <v>0</v>
      </c>
      <c r="BC111" s="407">
        <f t="shared" si="37"/>
        <v>25</v>
      </c>
      <c r="BD111" s="408">
        <f t="shared" si="44"/>
        <v>0.75</v>
      </c>
      <c r="BE111" s="340">
        <f t="shared" si="38"/>
        <v>11.25</v>
      </c>
    </row>
    <row r="112" spans="1:57" x14ac:dyDescent="0.6">
      <c r="A112" s="214" t="s">
        <v>681</v>
      </c>
      <c r="B112" s="13" t="s">
        <v>2091</v>
      </c>
      <c r="C112" s="219" t="s">
        <v>321</v>
      </c>
      <c r="D112" s="216" t="s">
        <v>202</v>
      </c>
      <c r="E112" s="217" t="s">
        <v>161</v>
      </c>
      <c r="F112" s="217" t="s">
        <v>158</v>
      </c>
      <c r="G112" s="218">
        <v>35277</v>
      </c>
      <c r="H112" s="217" t="s">
        <v>830</v>
      </c>
      <c r="I112" s="217" t="s">
        <v>77</v>
      </c>
      <c r="J112" s="217" t="s">
        <v>958</v>
      </c>
      <c r="K112" s="217" t="s">
        <v>91</v>
      </c>
      <c r="L112" s="220">
        <v>217873583</v>
      </c>
      <c r="M112" s="206">
        <v>87027381</v>
      </c>
      <c r="N112" s="206">
        <v>130846203</v>
      </c>
      <c r="O112" s="206">
        <v>151824315</v>
      </c>
      <c r="P112" s="206">
        <v>7759514</v>
      </c>
      <c r="Q112" s="206">
        <v>12802990</v>
      </c>
      <c r="R112" s="206">
        <v>10828940</v>
      </c>
      <c r="S112" s="406">
        <v>0</v>
      </c>
      <c r="T112" s="428">
        <f t="shared" si="27"/>
        <v>50</v>
      </c>
      <c r="U112" s="415">
        <f t="shared" si="28"/>
        <v>0.5</v>
      </c>
      <c r="V112" s="405">
        <v>0</v>
      </c>
      <c r="W112" s="428">
        <f t="shared" si="29"/>
        <v>50</v>
      </c>
      <c r="X112" s="415">
        <f t="shared" si="30"/>
        <v>0.5</v>
      </c>
      <c r="Y112" s="406">
        <v>0</v>
      </c>
      <c r="Z112" s="429">
        <v>0</v>
      </c>
      <c r="AA112" s="430">
        <f t="shared" si="31"/>
        <v>50</v>
      </c>
      <c r="AB112" s="415">
        <f t="shared" si="32"/>
        <v>0.5</v>
      </c>
      <c r="AC112" s="431">
        <v>0</v>
      </c>
      <c r="AD112" s="432">
        <f t="shared" si="33"/>
        <v>100</v>
      </c>
      <c r="AE112" s="433">
        <f t="shared" si="42"/>
        <v>4</v>
      </c>
      <c r="AF112" s="434" t="s">
        <v>2326</v>
      </c>
      <c r="AG112" s="434" t="s">
        <v>2326</v>
      </c>
      <c r="AH112" s="434" t="s">
        <v>2326</v>
      </c>
      <c r="AI112" s="362"/>
      <c r="AJ112" s="434" t="s">
        <v>2326</v>
      </c>
      <c r="AK112" s="434" t="s">
        <v>2326</v>
      </c>
      <c r="AL112" s="363"/>
      <c r="AM112" s="406">
        <v>0</v>
      </c>
      <c r="AN112" s="406">
        <v>0</v>
      </c>
      <c r="AO112" s="406">
        <v>0</v>
      </c>
      <c r="AP112" s="406">
        <v>0</v>
      </c>
      <c r="AQ112" s="406">
        <v>0</v>
      </c>
      <c r="AR112" s="406">
        <v>0</v>
      </c>
      <c r="AS112" s="406">
        <v>0</v>
      </c>
      <c r="AT112" s="406">
        <v>0</v>
      </c>
      <c r="AU112" s="407">
        <f t="shared" si="34"/>
        <v>0</v>
      </c>
      <c r="AV112" s="407">
        <f t="shared" si="35"/>
        <v>100</v>
      </c>
      <c r="AW112" s="408">
        <f t="shared" si="43"/>
        <v>5</v>
      </c>
      <c r="AX112" s="406">
        <v>0</v>
      </c>
      <c r="AY112" s="406">
        <v>0</v>
      </c>
      <c r="AZ112" s="406">
        <v>0</v>
      </c>
      <c r="BA112" s="406">
        <v>0</v>
      </c>
      <c r="BB112" s="430">
        <f t="shared" si="36"/>
        <v>0</v>
      </c>
      <c r="BC112" s="407">
        <f t="shared" si="37"/>
        <v>25</v>
      </c>
      <c r="BD112" s="408">
        <f t="shared" si="44"/>
        <v>0.75</v>
      </c>
      <c r="BE112" s="340">
        <f t="shared" si="38"/>
        <v>11.25</v>
      </c>
    </row>
    <row r="113" spans="1:57" x14ac:dyDescent="0.6">
      <c r="A113" s="214" t="s">
        <v>898</v>
      </c>
      <c r="B113" s="13" t="s">
        <v>2092</v>
      </c>
      <c r="C113" s="219" t="s">
        <v>342</v>
      </c>
      <c r="D113" s="216" t="s">
        <v>202</v>
      </c>
      <c r="E113" s="217" t="s">
        <v>572</v>
      </c>
      <c r="F113" s="217" t="s">
        <v>557</v>
      </c>
      <c r="G113" s="218">
        <v>42019</v>
      </c>
      <c r="H113" s="217" t="s">
        <v>830</v>
      </c>
      <c r="I113" s="217" t="s">
        <v>745</v>
      </c>
      <c r="J113" s="217" t="s">
        <v>1049</v>
      </c>
      <c r="K113" s="217" t="s">
        <v>50</v>
      </c>
      <c r="L113" s="220">
        <v>254037930</v>
      </c>
      <c r="M113" s="206">
        <v>46334209</v>
      </c>
      <c r="N113" s="206">
        <v>207703722</v>
      </c>
      <c r="O113" s="206">
        <v>296998154</v>
      </c>
      <c r="P113" s="206">
        <v>11495556</v>
      </c>
      <c r="Q113" s="206">
        <v>30484094</v>
      </c>
      <c r="R113" s="206">
        <v>29253768</v>
      </c>
      <c r="S113" s="406">
        <v>0</v>
      </c>
      <c r="T113" s="428">
        <f t="shared" si="27"/>
        <v>50</v>
      </c>
      <c r="U113" s="415">
        <f t="shared" si="28"/>
        <v>0.5</v>
      </c>
      <c r="V113" s="405">
        <v>0</v>
      </c>
      <c r="W113" s="428">
        <f t="shared" si="29"/>
        <v>50</v>
      </c>
      <c r="X113" s="415">
        <f t="shared" si="30"/>
        <v>0.5</v>
      </c>
      <c r="Y113" s="406">
        <v>0</v>
      </c>
      <c r="Z113" s="429">
        <v>0</v>
      </c>
      <c r="AA113" s="430">
        <f t="shared" si="31"/>
        <v>50</v>
      </c>
      <c r="AB113" s="415">
        <f t="shared" si="32"/>
        <v>0.5</v>
      </c>
      <c r="AC113" s="431">
        <v>0</v>
      </c>
      <c r="AD113" s="432">
        <f t="shared" si="33"/>
        <v>100</v>
      </c>
      <c r="AE113" s="433">
        <f t="shared" si="42"/>
        <v>4</v>
      </c>
      <c r="AF113" s="434" t="s">
        <v>2326</v>
      </c>
      <c r="AG113" s="434" t="s">
        <v>2326</v>
      </c>
      <c r="AH113" s="434" t="s">
        <v>2326</v>
      </c>
      <c r="AI113" s="362"/>
      <c r="AJ113" s="434" t="s">
        <v>2326</v>
      </c>
      <c r="AK113" s="434" t="s">
        <v>2326</v>
      </c>
      <c r="AL113" s="363"/>
      <c r="AM113" s="406">
        <v>0</v>
      </c>
      <c r="AN113" s="406">
        <v>0</v>
      </c>
      <c r="AO113" s="406">
        <v>0</v>
      </c>
      <c r="AP113" s="406">
        <v>0</v>
      </c>
      <c r="AQ113" s="406">
        <v>0</v>
      </c>
      <c r="AR113" s="406">
        <v>0</v>
      </c>
      <c r="AS113" s="406">
        <v>0</v>
      </c>
      <c r="AT113" s="406">
        <v>0</v>
      </c>
      <c r="AU113" s="407">
        <f t="shared" si="34"/>
        <v>0</v>
      </c>
      <c r="AV113" s="407">
        <f t="shared" si="35"/>
        <v>100</v>
      </c>
      <c r="AW113" s="408">
        <f t="shared" si="43"/>
        <v>5</v>
      </c>
      <c r="AX113" s="406">
        <v>0</v>
      </c>
      <c r="AY113" s="406">
        <v>0</v>
      </c>
      <c r="AZ113" s="406">
        <v>0</v>
      </c>
      <c r="BA113" s="406">
        <v>0</v>
      </c>
      <c r="BB113" s="430">
        <f t="shared" si="36"/>
        <v>0</v>
      </c>
      <c r="BC113" s="407">
        <f t="shared" si="37"/>
        <v>25</v>
      </c>
      <c r="BD113" s="408">
        <f t="shared" si="44"/>
        <v>0.75</v>
      </c>
      <c r="BE113" s="340">
        <f t="shared" si="38"/>
        <v>11.25</v>
      </c>
    </row>
    <row r="114" spans="1:57" x14ac:dyDescent="0.6">
      <c r="A114" s="214" t="s">
        <v>1642</v>
      </c>
      <c r="B114" s="13" t="s">
        <v>2093</v>
      </c>
      <c r="C114" s="219" t="s">
        <v>1643</v>
      </c>
      <c r="D114" s="14" t="s">
        <v>285</v>
      </c>
      <c r="E114" s="217" t="s">
        <v>185</v>
      </c>
      <c r="F114" s="217" t="s">
        <v>1644</v>
      </c>
      <c r="G114" s="218">
        <v>44427</v>
      </c>
      <c r="H114" s="217" t="s">
        <v>830</v>
      </c>
      <c r="I114" s="217" t="s">
        <v>1645</v>
      </c>
      <c r="J114" s="217" t="s">
        <v>1646</v>
      </c>
      <c r="K114" s="217" t="s">
        <v>690</v>
      </c>
      <c r="L114" s="220">
        <v>6047349340</v>
      </c>
      <c r="M114" s="206">
        <v>4946497236</v>
      </c>
      <c r="N114" s="206">
        <v>1100852104</v>
      </c>
      <c r="O114" s="206">
        <v>2522065710</v>
      </c>
      <c r="P114" s="206">
        <v>286357383</v>
      </c>
      <c r="Q114" s="206">
        <v>120975036</v>
      </c>
      <c r="R114" s="206">
        <v>78010954</v>
      </c>
      <c r="S114" s="406">
        <v>0</v>
      </c>
      <c r="T114" s="428">
        <f t="shared" si="27"/>
        <v>50</v>
      </c>
      <c r="U114" s="415">
        <f t="shared" si="28"/>
        <v>0.5</v>
      </c>
      <c r="V114" s="405">
        <v>0</v>
      </c>
      <c r="W114" s="428">
        <f t="shared" si="29"/>
        <v>50</v>
      </c>
      <c r="X114" s="415">
        <f t="shared" si="30"/>
        <v>0.5</v>
      </c>
      <c r="Y114" s="406">
        <v>0</v>
      </c>
      <c r="Z114" s="429">
        <v>0</v>
      </c>
      <c r="AA114" s="430">
        <f t="shared" si="31"/>
        <v>50</v>
      </c>
      <c r="AB114" s="415">
        <f t="shared" si="32"/>
        <v>0.5</v>
      </c>
      <c r="AC114" s="431">
        <v>10</v>
      </c>
      <c r="AD114" s="432">
        <f t="shared" si="33"/>
        <v>20</v>
      </c>
      <c r="AE114" s="433">
        <f t="shared" si="42"/>
        <v>0.8</v>
      </c>
      <c r="AF114" s="434" t="s">
        <v>2326</v>
      </c>
      <c r="AG114" s="434" t="s">
        <v>2326</v>
      </c>
      <c r="AH114" s="434" t="s">
        <v>2326</v>
      </c>
      <c r="AI114" s="362"/>
      <c r="AJ114" s="434" t="s">
        <v>2326</v>
      </c>
      <c r="AK114" s="434" t="s">
        <v>2326</v>
      </c>
      <c r="AL114" s="363"/>
      <c r="AM114" s="406">
        <v>0</v>
      </c>
      <c r="AN114" s="406">
        <v>0</v>
      </c>
      <c r="AO114" s="406">
        <v>0</v>
      </c>
      <c r="AP114" s="406">
        <v>0</v>
      </c>
      <c r="AQ114" s="406">
        <v>0</v>
      </c>
      <c r="AR114" s="406">
        <v>0</v>
      </c>
      <c r="AS114" s="406">
        <v>0</v>
      </c>
      <c r="AT114" s="406">
        <v>0</v>
      </c>
      <c r="AU114" s="407">
        <f t="shared" si="34"/>
        <v>0</v>
      </c>
      <c r="AV114" s="407">
        <f t="shared" si="35"/>
        <v>100</v>
      </c>
      <c r="AW114" s="408">
        <f t="shared" si="43"/>
        <v>5</v>
      </c>
      <c r="AX114" s="406">
        <v>0</v>
      </c>
      <c r="AY114" s="406">
        <v>0</v>
      </c>
      <c r="AZ114" s="406">
        <v>0</v>
      </c>
      <c r="BA114" s="406">
        <v>0</v>
      </c>
      <c r="BB114" s="430">
        <f t="shared" si="36"/>
        <v>0</v>
      </c>
      <c r="BC114" s="407">
        <f t="shared" si="37"/>
        <v>25</v>
      </c>
      <c r="BD114" s="408">
        <f t="shared" si="44"/>
        <v>0.75</v>
      </c>
      <c r="BE114" s="340">
        <f t="shared" si="38"/>
        <v>8.0500000000000007</v>
      </c>
    </row>
    <row r="115" spans="1:57" x14ac:dyDescent="0.6">
      <c r="A115" s="214" t="s">
        <v>1647</v>
      </c>
      <c r="B115" s="13" t="s">
        <v>2094</v>
      </c>
      <c r="C115" s="219" t="s">
        <v>303</v>
      </c>
      <c r="D115" s="216" t="s">
        <v>202</v>
      </c>
      <c r="E115" s="217" t="s">
        <v>205</v>
      </c>
      <c r="F115" s="217" t="s">
        <v>136</v>
      </c>
      <c r="G115" s="218">
        <v>40606</v>
      </c>
      <c r="H115" s="217" t="s">
        <v>830</v>
      </c>
      <c r="I115" s="217" t="s">
        <v>1648</v>
      </c>
      <c r="J115" s="217" t="s">
        <v>1649</v>
      </c>
      <c r="K115" s="217" t="s">
        <v>320</v>
      </c>
      <c r="L115" s="220">
        <v>835420294</v>
      </c>
      <c r="M115" s="206">
        <v>225524201</v>
      </c>
      <c r="N115" s="206">
        <v>609896093</v>
      </c>
      <c r="O115" s="206">
        <v>312422244</v>
      </c>
      <c r="P115" s="206">
        <v>22539859</v>
      </c>
      <c r="Q115" s="206">
        <v>7001542</v>
      </c>
      <c r="R115" s="206">
        <v>4884512</v>
      </c>
      <c r="S115" s="406">
        <v>0</v>
      </c>
      <c r="T115" s="428">
        <f t="shared" si="27"/>
        <v>50</v>
      </c>
      <c r="U115" s="415">
        <f t="shared" si="28"/>
        <v>0.5</v>
      </c>
      <c r="V115" s="405">
        <v>0</v>
      </c>
      <c r="W115" s="428">
        <f t="shared" si="29"/>
        <v>50</v>
      </c>
      <c r="X115" s="415">
        <f t="shared" si="30"/>
        <v>0.5</v>
      </c>
      <c r="Y115" s="406">
        <v>0</v>
      </c>
      <c r="Z115" s="429">
        <v>0</v>
      </c>
      <c r="AA115" s="430">
        <f t="shared" si="31"/>
        <v>50</v>
      </c>
      <c r="AB115" s="415">
        <f t="shared" si="32"/>
        <v>0.5</v>
      </c>
      <c r="AC115" s="431">
        <v>0</v>
      </c>
      <c r="AD115" s="432">
        <f t="shared" si="33"/>
        <v>100</v>
      </c>
      <c r="AE115" s="433">
        <f t="shared" si="42"/>
        <v>4</v>
      </c>
      <c r="AF115" s="434" t="s">
        <v>2326</v>
      </c>
      <c r="AG115" s="434" t="s">
        <v>2326</v>
      </c>
      <c r="AH115" s="434" t="s">
        <v>2326</v>
      </c>
      <c r="AI115" s="362"/>
      <c r="AJ115" s="434" t="s">
        <v>2326</v>
      </c>
      <c r="AK115" s="434" t="s">
        <v>2326</v>
      </c>
      <c r="AL115" s="363"/>
      <c r="AM115" s="406">
        <v>0</v>
      </c>
      <c r="AN115" s="406">
        <v>0</v>
      </c>
      <c r="AO115" s="406">
        <v>0</v>
      </c>
      <c r="AP115" s="406">
        <v>0</v>
      </c>
      <c r="AQ115" s="406">
        <v>0</v>
      </c>
      <c r="AR115" s="406">
        <v>0</v>
      </c>
      <c r="AS115" s="406">
        <v>0</v>
      </c>
      <c r="AT115" s="406">
        <v>0</v>
      </c>
      <c r="AU115" s="407">
        <f t="shared" si="34"/>
        <v>0</v>
      </c>
      <c r="AV115" s="407">
        <f t="shared" si="35"/>
        <v>100</v>
      </c>
      <c r="AW115" s="408">
        <f t="shared" si="43"/>
        <v>5</v>
      </c>
      <c r="AX115" s="406">
        <v>0</v>
      </c>
      <c r="AY115" s="406">
        <v>0</v>
      </c>
      <c r="AZ115" s="406">
        <v>0</v>
      </c>
      <c r="BA115" s="406">
        <v>0</v>
      </c>
      <c r="BB115" s="430">
        <f t="shared" si="36"/>
        <v>0</v>
      </c>
      <c r="BC115" s="407">
        <f t="shared" si="37"/>
        <v>25</v>
      </c>
      <c r="BD115" s="408">
        <f t="shared" si="44"/>
        <v>0.75</v>
      </c>
      <c r="BE115" s="340">
        <f t="shared" si="38"/>
        <v>11.25</v>
      </c>
    </row>
    <row r="116" spans="1:57" x14ac:dyDescent="0.6">
      <c r="A116" s="214" t="s">
        <v>1650</v>
      </c>
      <c r="B116" s="13" t="s">
        <v>2095</v>
      </c>
      <c r="C116" s="219" t="s">
        <v>375</v>
      </c>
      <c r="D116" s="216" t="s">
        <v>191</v>
      </c>
      <c r="E116" s="217" t="s">
        <v>178</v>
      </c>
      <c r="F116" s="217" t="s">
        <v>635</v>
      </c>
      <c r="G116" s="218">
        <v>43038</v>
      </c>
      <c r="H116" s="217" t="s">
        <v>830</v>
      </c>
      <c r="I116" s="217" t="s">
        <v>1651</v>
      </c>
      <c r="J116" s="217" t="s">
        <v>1652</v>
      </c>
      <c r="K116" s="217" t="s">
        <v>91</v>
      </c>
      <c r="L116" s="220">
        <v>3758489001</v>
      </c>
      <c r="M116" s="206">
        <v>1736640152</v>
      </c>
      <c r="N116" s="206">
        <v>2021848848</v>
      </c>
      <c r="O116" s="206">
        <v>2443855289</v>
      </c>
      <c r="P116" s="206">
        <v>80897560</v>
      </c>
      <c r="Q116" s="206">
        <v>19509459</v>
      </c>
      <c r="R116" s="206">
        <v>18708119</v>
      </c>
      <c r="S116" s="406">
        <v>0</v>
      </c>
      <c r="T116" s="428">
        <f t="shared" si="27"/>
        <v>50</v>
      </c>
      <c r="U116" s="415">
        <f t="shared" si="28"/>
        <v>0.5</v>
      </c>
      <c r="V116" s="405">
        <v>0</v>
      </c>
      <c r="W116" s="428">
        <f t="shared" si="29"/>
        <v>50</v>
      </c>
      <c r="X116" s="415">
        <f t="shared" si="30"/>
        <v>0.5</v>
      </c>
      <c r="Y116" s="406">
        <v>0</v>
      </c>
      <c r="Z116" s="429">
        <v>0</v>
      </c>
      <c r="AA116" s="430">
        <f t="shared" si="31"/>
        <v>50</v>
      </c>
      <c r="AB116" s="415">
        <f t="shared" si="32"/>
        <v>0.5</v>
      </c>
      <c r="AC116" s="431">
        <v>1</v>
      </c>
      <c r="AD116" s="432">
        <f t="shared" si="33"/>
        <v>80</v>
      </c>
      <c r="AE116" s="433">
        <f t="shared" si="42"/>
        <v>3.2</v>
      </c>
      <c r="AF116" s="434" t="s">
        <v>2326</v>
      </c>
      <c r="AG116" s="434" t="s">
        <v>2326</v>
      </c>
      <c r="AH116" s="434" t="s">
        <v>2326</v>
      </c>
      <c r="AI116" s="362"/>
      <c r="AJ116" s="434" t="s">
        <v>2326</v>
      </c>
      <c r="AK116" s="434" t="s">
        <v>2326</v>
      </c>
      <c r="AL116" s="363"/>
      <c r="AM116" s="406">
        <v>0</v>
      </c>
      <c r="AN116" s="406">
        <v>0</v>
      </c>
      <c r="AO116" s="406">
        <v>0</v>
      </c>
      <c r="AP116" s="406">
        <v>0</v>
      </c>
      <c r="AQ116" s="406">
        <v>0</v>
      </c>
      <c r="AR116" s="406">
        <v>0</v>
      </c>
      <c r="AS116" s="406">
        <v>0</v>
      </c>
      <c r="AT116" s="406">
        <v>0</v>
      </c>
      <c r="AU116" s="407">
        <f t="shared" si="34"/>
        <v>0</v>
      </c>
      <c r="AV116" s="407">
        <f t="shared" si="35"/>
        <v>100</v>
      </c>
      <c r="AW116" s="408">
        <f t="shared" si="43"/>
        <v>5</v>
      </c>
      <c r="AX116" s="406">
        <v>0</v>
      </c>
      <c r="AY116" s="406">
        <v>0</v>
      </c>
      <c r="AZ116" s="406">
        <v>0</v>
      </c>
      <c r="BA116" s="406">
        <v>0</v>
      </c>
      <c r="BB116" s="430">
        <f t="shared" si="36"/>
        <v>0</v>
      </c>
      <c r="BC116" s="407">
        <f t="shared" si="37"/>
        <v>25</v>
      </c>
      <c r="BD116" s="408">
        <f t="shared" si="44"/>
        <v>0.75</v>
      </c>
      <c r="BE116" s="340">
        <f t="shared" si="38"/>
        <v>10.45</v>
      </c>
    </row>
    <row r="117" spans="1:57" x14ac:dyDescent="0.6">
      <c r="A117" s="214" t="s">
        <v>511</v>
      </c>
      <c r="B117" s="13" t="s">
        <v>2096</v>
      </c>
      <c r="C117" s="219" t="s">
        <v>515</v>
      </c>
      <c r="D117" s="216" t="s">
        <v>203</v>
      </c>
      <c r="E117" s="217" t="s">
        <v>180</v>
      </c>
      <c r="F117" s="217" t="s">
        <v>391</v>
      </c>
      <c r="G117" s="218">
        <v>27865</v>
      </c>
      <c r="H117" s="217" t="s">
        <v>830</v>
      </c>
      <c r="I117" s="217" t="s">
        <v>742</v>
      </c>
      <c r="J117" s="217" t="s">
        <v>671</v>
      </c>
      <c r="K117" s="217" t="s">
        <v>407</v>
      </c>
      <c r="L117" s="220">
        <v>2511638063</v>
      </c>
      <c r="M117" s="206">
        <v>407361084</v>
      </c>
      <c r="N117" s="206">
        <v>2104276979</v>
      </c>
      <c r="O117" s="206">
        <v>2461065167</v>
      </c>
      <c r="P117" s="206">
        <v>406388582</v>
      </c>
      <c r="Q117" s="206">
        <v>513833216</v>
      </c>
      <c r="R117" s="206">
        <v>386538587</v>
      </c>
      <c r="S117" s="406">
        <v>0</v>
      </c>
      <c r="T117" s="428">
        <f t="shared" si="27"/>
        <v>50</v>
      </c>
      <c r="U117" s="415">
        <f t="shared" si="28"/>
        <v>0.5</v>
      </c>
      <c r="V117" s="405">
        <v>0</v>
      </c>
      <c r="W117" s="428">
        <f t="shared" si="29"/>
        <v>50</v>
      </c>
      <c r="X117" s="415">
        <f t="shared" si="30"/>
        <v>0.5</v>
      </c>
      <c r="Y117" s="406">
        <v>0</v>
      </c>
      <c r="Z117" s="429">
        <v>0</v>
      </c>
      <c r="AA117" s="430">
        <f t="shared" si="31"/>
        <v>50</v>
      </c>
      <c r="AB117" s="415">
        <f t="shared" si="32"/>
        <v>0.5</v>
      </c>
      <c r="AC117" s="431">
        <v>0</v>
      </c>
      <c r="AD117" s="432">
        <f t="shared" si="33"/>
        <v>100</v>
      </c>
      <c r="AE117" s="433">
        <f t="shared" si="42"/>
        <v>4</v>
      </c>
      <c r="AF117" s="434" t="s">
        <v>2326</v>
      </c>
      <c r="AG117" s="434" t="s">
        <v>2326</v>
      </c>
      <c r="AH117" s="434" t="s">
        <v>2326</v>
      </c>
      <c r="AI117" s="362"/>
      <c r="AJ117" s="434" t="s">
        <v>2326</v>
      </c>
      <c r="AK117" s="434" t="s">
        <v>2326</v>
      </c>
      <c r="AL117" s="363"/>
      <c r="AM117" s="406">
        <v>0</v>
      </c>
      <c r="AN117" s="406">
        <v>0</v>
      </c>
      <c r="AO117" s="406">
        <v>0</v>
      </c>
      <c r="AP117" s="406">
        <v>0</v>
      </c>
      <c r="AQ117" s="406">
        <v>0</v>
      </c>
      <c r="AR117" s="406">
        <v>0</v>
      </c>
      <c r="AS117" s="406">
        <v>0</v>
      </c>
      <c r="AT117" s="406">
        <v>0</v>
      </c>
      <c r="AU117" s="407">
        <f t="shared" si="34"/>
        <v>0</v>
      </c>
      <c r="AV117" s="407">
        <f t="shared" si="35"/>
        <v>100</v>
      </c>
      <c r="AW117" s="408">
        <f t="shared" si="43"/>
        <v>5</v>
      </c>
      <c r="AX117" s="406">
        <v>0</v>
      </c>
      <c r="AY117" s="406">
        <v>0</v>
      </c>
      <c r="AZ117" s="406">
        <v>0</v>
      </c>
      <c r="BA117" s="406">
        <v>0</v>
      </c>
      <c r="BB117" s="430">
        <f t="shared" si="36"/>
        <v>0</v>
      </c>
      <c r="BC117" s="407">
        <f t="shared" si="37"/>
        <v>25</v>
      </c>
      <c r="BD117" s="408">
        <f t="shared" si="44"/>
        <v>0.75</v>
      </c>
      <c r="BE117" s="340">
        <f t="shared" si="38"/>
        <v>11.25</v>
      </c>
    </row>
    <row r="118" spans="1:57" x14ac:dyDescent="0.6">
      <c r="A118" s="214" t="s">
        <v>15</v>
      </c>
      <c r="B118" s="13" t="s">
        <v>2097</v>
      </c>
      <c r="C118" s="219" t="s">
        <v>71</v>
      </c>
      <c r="D118" s="216" t="s">
        <v>203</v>
      </c>
      <c r="E118" s="217" t="s">
        <v>195</v>
      </c>
      <c r="F118" s="217" t="s">
        <v>1162</v>
      </c>
      <c r="G118" s="218">
        <v>28294</v>
      </c>
      <c r="H118" s="217" t="s">
        <v>755</v>
      </c>
      <c r="I118" s="217" t="s">
        <v>765</v>
      </c>
      <c r="J118" s="217" t="s">
        <v>1159</v>
      </c>
      <c r="K118" s="217" t="s">
        <v>484</v>
      </c>
      <c r="L118" s="220">
        <v>257003015</v>
      </c>
      <c r="M118" s="206">
        <v>25657000</v>
      </c>
      <c r="N118" s="206">
        <v>231346015</v>
      </c>
      <c r="O118" s="206">
        <v>253705017</v>
      </c>
      <c r="P118" s="206">
        <v>209474</v>
      </c>
      <c r="Q118" s="206">
        <v>8220332</v>
      </c>
      <c r="R118" s="206">
        <v>6363937</v>
      </c>
      <c r="S118" s="406">
        <v>0</v>
      </c>
      <c r="T118" s="428">
        <f t="shared" si="27"/>
        <v>50</v>
      </c>
      <c r="U118" s="415">
        <f t="shared" si="28"/>
        <v>0.5</v>
      </c>
      <c r="V118" s="405">
        <v>0</v>
      </c>
      <c r="W118" s="428">
        <f t="shared" si="29"/>
        <v>50</v>
      </c>
      <c r="X118" s="415">
        <f t="shared" si="30"/>
        <v>0.5</v>
      </c>
      <c r="Y118" s="406">
        <v>0</v>
      </c>
      <c r="Z118" s="429">
        <v>0</v>
      </c>
      <c r="AA118" s="430">
        <f t="shared" si="31"/>
        <v>50</v>
      </c>
      <c r="AB118" s="415">
        <f t="shared" si="32"/>
        <v>0.5</v>
      </c>
      <c r="AC118" s="431">
        <v>0</v>
      </c>
      <c r="AD118" s="432">
        <f t="shared" si="33"/>
        <v>100</v>
      </c>
      <c r="AE118" s="433">
        <f t="shared" si="42"/>
        <v>4</v>
      </c>
      <c r="AF118" s="434" t="s">
        <v>2326</v>
      </c>
      <c r="AG118" s="434" t="s">
        <v>2326</v>
      </c>
      <c r="AH118" s="434" t="s">
        <v>2326</v>
      </c>
      <c r="AI118" s="362"/>
      <c r="AJ118" s="434" t="s">
        <v>2326</v>
      </c>
      <c r="AK118" s="434" t="s">
        <v>2326</v>
      </c>
      <c r="AL118" s="363"/>
      <c r="AM118" s="406">
        <v>0</v>
      </c>
      <c r="AN118" s="406">
        <v>0</v>
      </c>
      <c r="AO118" s="406">
        <v>0</v>
      </c>
      <c r="AP118" s="406">
        <v>0</v>
      </c>
      <c r="AQ118" s="406">
        <v>0</v>
      </c>
      <c r="AR118" s="406">
        <v>0</v>
      </c>
      <c r="AS118" s="406">
        <v>0</v>
      </c>
      <c r="AT118" s="406">
        <v>0</v>
      </c>
      <c r="AU118" s="407">
        <f t="shared" si="34"/>
        <v>0</v>
      </c>
      <c r="AV118" s="407">
        <f t="shared" si="35"/>
        <v>100</v>
      </c>
      <c r="AW118" s="408">
        <f t="shared" si="43"/>
        <v>5</v>
      </c>
      <c r="AX118" s="406">
        <v>0</v>
      </c>
      <c r="AY118" s="406">
        <v>0</v>
      </c>
      <c r="AZ118" s="406">
        <v>0</v>
      </c>
      <c r="BA118" s="406">
        <v>0</v>
      </c>
      <c r="BB118" s="430">
        <f t="shared" si="36"/>
        <v>0</v>
      </c>
      <c r="BC118" s="407">
        <f t="shared" si="37"/>
        <v>25</v>
      </c>
      <c r="BD118" s="408">
        <f t="shared" si="44"/>
        <v>0.75</v>
      </c>
      <c r="BE118" s="340">
        <f t="shared" si="38"/>
        <v>11.25</v>
      </c>
    </row>
    <row r="119" spans="1:57" x14ac:dyDescent="0.6">
      <c r="A119" s="214" t="s">
        <v>753</v>
      </c>
      <c r="B119" s="13" t="s">
        <v>2098</v>
      </c>
      <c r="C119" s="219" t="s">
        <v>430</v>
      </c>
      <c r="D119" s="216" t="s">
        <v>202</v>
      </c>
      <c r="E119" s="217" t="s">
        <v>954</v>
      </c>
      <c r="F119" s="217" t="s">
        <v>647</v>
      </c>
      <c r="G119" s="218">
        <v>34348</v>
      </c>
      <c r="H119" s="217" t="s">
        <v>830</v>
      </c>
      <c r="I119" s="217" t="s">
        <v>966</v>
      </c>
      <c r="J119" s="217" t="s">
        <v>1151</v>
      </c>
      <c r="K119" s="217" t="s">
        <v>91</v>
      </c>
      <c r="L119" s="220">
        <v>463199227</v>
      </c>
      <c r="M119" s="206">
        <v>33561119</v>
      </c>
      <c r="N119" s="206">
        <v>429638109</v>
      </c>
      <c r="O119" s="206">
        <v>223860213</v>
      </c>
      <c r="P119" s="206">
        <v>14271412</v>
      </c>
      <c r="Q119" s="206">
        <v>23103260</v>
      </c>
      <c r="R119" s="206">
        <v>17789582</v>
      </c>
      <c r="S119" s="406">
        <v>0</v>
      </c>
      <c r="T119" s="428">
        <f t="shared" si="27"/>
        <v>50</v>
      </c>
      <c r="U119" s="415">
        <f t="shared" si="28"/>
        <v>0.5</v>
      </c>
      <c r="V119" s="405">
        <v>0</v>
      </c>
      <c r="W119" s="428">
        <f t="shared" si="29"/>
        <v>50</v>
      </c>
      <c r="X119" s="415">
        <f t="shared" si="30"/>
        <v>0.5</v>
      </c>
      <c r="Y119" s="406">
        <v>0</v>
      </c>
      <c r="Z119" s="429">
        <v>0</v>
      </c>
      <c r="AA119" s="430">
        <f t="shared" si="31"/>
        <v>50</v>
      </c>
      <c r="AB119" s="415">
        <f t="shared" si="32"/>
        <v>0.5</v>
      </c>
      <c r="AC119" s="431">
        <v>0</v>
      </c>
      <c r="AD119" s="432">
        <f t="shared" si="33"/>
        <v>100</v>
      </c>
      <c r="AE119" s="433">
        <f t="shared" si="42"/>
        <v>4</v>
      </c>
      <c r="AF119" s="434" t="s">
        <v>2326</v>
      </c>
      <c r="AG119" s="434" t="s">
        <v>2326</v>
      </c>
      <c r="AH119" s="434" t="s">
        <v>2326</v>
      </c>
      <c r="AI119" s="362"/>
      <c r="AJ119" s="434" t="s">
        <v>2326</v>
      </c>
      <c r="AK119" s="434" t="s">
        <v>2326</v>
      </c>
      <c r="AL119" s="363"/>
      <c r="AM119" s="406">
        <v>0</v>
      </c>
      <c r="AN119" s="406">
        <v>0</v>
      </c>
      <c r="AO119" s="406">
        <v>0</v>
      </c>
      <c r="AP119" s="406">
        <v>0</v>
      </c>
      <c r="AQ119" s="406">
        <v>0</v>
      </c>
      <c r="AR119" s="406">
        <v>0</v>
      </c>
      <c r="AS119" s="406">
        <v>0</v>
      </c>
      <c r="AT119" s="406">
        <v>0</v>
      </c>
      <c r="AU119" s="407">
        <f t="shared" si="34"/>
        <v>0</v>
      </c>
      <c r="AV119" s="407">
        <f t="shared" si="35"/>
        <v>100</v>
      </c>
      <c r="AW119" s="408">
        <f t="shared" si="43"/>
        <v>5</v>
      </c>
      <c r="AX119" s="406">
        <v>0</v>
      </c>
      <c r="AY119" s="406">
        <v>0</v>
      </c>
      <c r="AZ119" s="406">
        <v>0</v>
      </c>
      <c r="BA119" s="406">
        <v>0</v>
      </c>
      <c r="BB119" s="430">
        <f t="shared" si="36"/>
        <v>0</v>
      </c>
      <c r="BC119" s="407">
        <f t="shared" si="37"/>
        <v>25</v>
      </c>
      <c r="BD119" s="408">
        <f t="shared" si="44"/>
        <v>0.75</v>
      </c>
      <c r="BE119" s="340">
        <f t="shared" si="38"/>
        <v>11.25</v>
      </c>
    </row>
    <row r="120" spans="1:57" x14ac:dyDescent="0.6">
      <c r="A120" s="214" t="s">
        <v>1658</v>
      </c>
      <c r="B120" s="13" t="s">
        <v>2099</v>
      </c>
      <c r="C120" s="219" t="s">
        <v>420</v>
      </c>
      <c r="D120" s="216" t="s">
        <v>203</v>
      </c>
      <c r="E120" s="217" t="s">
        <v>195</v>
      </c>
      <c r="F120" s="217" t="s">
        <v>1188</v>
      </c>
      <c r="G120" s="218">
        <v>34643</v>
      </c>
      <c r="H120" s="217" t="s">
        <v>830</v>
      </c>
      <c r="I120" s="217" t="s">
        <v>1515</v>
      </c>
      <c r="J120" s="217" t="s">
        <v>673</v>
      </c>
      <c r="K120" s="217" t="s">
        <v>91</v>
      </c>
      <c r="L120" s="220">
        <v>206906858</v>
      </c>
      <c r="M120" s="206">
        <v>39013430</v>
      </c>
      <c r="N120" s="206">
        <v>167893428</v>
      </c>
      <c r="O120" s="206">
        <v>192206731</v>
      </c>
      <c r="P120" s="206">
        <v>3006102</v>
      </c>
      <c r="Q120" s="206">
        <v>24358747</v>
      </c>
      <c r="R120" s="206">
        <v>26217228</v>
      </c>
      <c r="S120" s="406">
        <v>0</v>
      </c>
      <c r="T120" s="428">
        <f t="shared" si="27"/>
        <v>50</v>
      </c>
      <c r="U120" s="415">
        <f t="shared" si="28"/>
        <v>0.5</v>
      </c>
      <c r="V120" s="405">
        <v>0</v>
      </c>
      <c r="W120" s="428">
        <f t="shared" si="29"/>
        <v>50</v>
      </c>
      <c r="X120" s="415">
        <f t="shared" si="30"/>
        <v>0.5</v>
      </c>
      <c r="Y120" s="406">
        <v>0</v>
      </c>
      <c r="Z120" s="429">
        <v>0</v>
      </c>
      <c r="AA120" s="430">
        <f t="shared" si="31"/>
        <v>50</v>
      </c>
      <c r="AB120" s="415">
        <f t="shared" si="32"/>
        <v>0.5</v>
      </c>
      <c r="AC120" s="431">
        <v>0</v>
      </c>
      <c r="AD120" s="432">
        <f t="shared" si="33"/>
        <v>100</v>
      </c>
      <c r="AE120" s="433">
        <f t="shared" si="42"/>
        <v>4</v>
      </c>
      <c r="AF120" s="434" t="s">
        <v>2326</v>
      </c>
      <c r="AG120" s="434" t="s">
        <v>2326</v>
      </c>
      <c r="AH120" s="434" t="s">
        <v>2326</v>
      </c>
      <c r="AI120" s="362"/>
      <c r="AJ120" s="434" t="s">
        <v>2326</v>
      </c>
      <c r="AK120" s="434" t="s">
        <v>2326</v>
      </c>
      <c r="AL120" s="363"/>
      <c r="AM120" s="406">
        <v>0</v>
      </c>
      <c r="AN120" s="406">
        <v>0</v>
      </c>
      <c r="AO120" s="406">
        <v>0</v>
      </c>
      <c r="AP120" s="406">
        <v>0</v>
      </c>
      <c r="AQ120" s="406">
        <v>0</v>
      </c>
      <c r="AR120" s="406">
        <v>0</v>
      </c>
      <c r="AS120" s="406">
        <v>0</v>
      </c>
      <c r="AT120" s="406">
        <v>0</v>
      </c>
      <c r="AU120" s="407">
        <f t="shared" si="34"/>
        <v>0</v>
      </c>
      <c r="AV120" s="407">
        <f t="shared" si="35"/>
        <v>100</v>
      </c>
      <c r="AW120" s="408">
        <f t="shared" si="43"/>
        <v>5</v>
      </c>
      <c r="AX120" s="406">
        <v>0</v>
      </c>
      <c r="AY120" s="406">
        <v>0</v>
      </c>
      <c r="AZ120" s="406">
        <v>0</v>
      </c>
      <c r="BA120" s="406">
        <v>0</v>
      </c>
      <c r="BB120" s="430">
        <f t="shared" si="36"/>
        <v>0</v>
      </c>
      <c r="BC120" s="407">
        <f t="shared" si="37"/>
        <v>25</v>
      </c>
      <c r="BD120" s="408">
        <f t="shared" si="44"/>
        <v>0.75</v>
      </c>
      <c r="BE120" s="340">
        <f t="shared" si="38"/>
        <v>11.25</v>
      </c>
    </row>
    <row r="121" spans="1:57" x14ac:dyDescent="0.6">
      <c r="A121" s="214" t="s">
        <v>1659</v>
      </c>
      <c r="B121" s="13" t="s">
        <v>2100</v>
      </c>
      <c r="C121" s="219" t="s">
        <v>476</v>
      </c>
      <c r="D121" s="221" t="s">
        <v>481</v>
      </c>
      <c r="E121" s="217" t="s">
        <v>704</v>
      </c>
      <c r="F121" s="217" t="s">
        <v>57</v>
      </c>
      <c r="G121" s="218">
        <v>42193</v>
      </c>
      <c r="H121" s="217" t="s">
        <v>830</v>
      </c>
      <c r="I121" s="217" t="s">
        <v>271</v>
      </c>
      <c r="J121" s="217" t="s">
        <v>1171</v>
      </c>
      <c r="K121" s="217" t="s">
        <v>91</v>
      </c>
      <c r="L121" s="220">
        <v>37208616897</v>
      </c>
      <c r="M121" s="206">
        <v>35852992352</v>
      </c>
      <c r="N121" s="206">
        <v>1355624545</v>
      </c>
      <c r="O121" s="206">
        <v>3209343241</v>
      </c>
      <c r="P121" s="206">
        <v>76354621</v>
      </c>
      <c r="Q121" s="206">
        <v>78489213</v>
      </c>
      <c r="R121" s="206">
        <v>56143790</v>
      </c>
      <c r="S121" s="406">
        <v>0</v>
      </c>
      <c r="T121" s="428">
        <f t="shared" si="27"/>
        <v>50</v>
      </c>
      <c r="U121" s="415">
        <f t="shared" si="28"/>
        <v>0.5</v>
      </c>
      <c r="V121" s="405">
        <v>1</v>
      </c>
      <c r="W121" s="428">
        <f t="shared" si="29"/>
        <v>100</v>
      </c>
      <c r="X121" s="415">
        <f t="shared" si="30"/>
        <v>1</v>
      </c>
      <c r="Y121" s="406">
        <v>0</v>
      </c>
      <c r="Z121" s="429">
        <v>0</v>
      </c>
      <c r="AA121" s="430">
        <f t="shared" si="31"/>
        <v>50</v>
      </c>
      <c r="AB121" s="415">
        <f t="shared" si="32"/>
        <v>0.5</v>
      </c>
      <c r="AC121" s="75">
        <v>2</v>
      </c>
      <c r="AD121" s="432">
        <f t="shared" si="33"/>
        <v>60</v>
      </c>
      <c r="AE121" s="435">
        <f>AD121*0.03</f>
        <v>1.7999999999999998</v>
      </c>
      <c r="AF121" s="436">
        <v>3.82</v>
      </c>
      <c r="AG121" s="437">
        <f>(_xlfn.PERCENTRANK.INC(AF:AF,AF121, 2))*100</f>
        <v>65</v>
      </c>
      <c r="AH121" s="437">
        <f>IF(AF121=0, 100, IF(AG121&lt;10, 80, IF(AG121&lt;50, 60, IF(AG121&lt;90, 40, 20))))</f>
        <v>40</v>
      </c>
      <c r="AI121" s="263">
        <f>AH121*0.03</f>
        <v>1.2</v>
      </c>
      <c r="AJ121" s="264" t="s">
        <v>3541</v>
      </c>
      <c r="AK121" s="265">
        <f>IF(AJ121="우수", 100, IF(AJ121="양호", 80, IF(AJ121="보통", 60, IF(AJ121= "평가미대상", 60, IF(AJ121="미흡", 40, IF(AJ121="취약", 20))))))</f>
        <v>60</v>
      </c>
      <c r="AL121" s="141">
        <f>AK121*0.03</f>
        <v>1.7999999999999998</v>
      </c>
      <c r="AM121" s="406">
        <v>0</v>
      </c>
      <c r="AN121" s="406">
        <v>0</v>
      </c>
      <c r="AO121" s="406">
        <v>0</v>
      </c>
      <c r="AP121" s="406">
        <v>0</v>
      </c>
      <c r="AQ121" s="406">
        <v>0</v>
      </c>
      <c r="AR121" s="406">
        <v>0</v>
      </c>
      <c r="AS121" s="406">
        <v>0</v>
      </c>
      <c r="AT121" s="406">
        <v>0</v>
      </c>
      <c r="AU121" s="407">
        <f t="shared" si="34"/>
        <v>0</v>
      </c>
      <c r="AV121" s="407">
        <f t="shared" si="35"/>
        <v>100</v>
      </c>
      <c r="AW121" s="438">
        <f>AV121*0.02</f>
        <v>2</v>
      </c>
      <c r="AX121" s="406">
        <v>0</v>
      </c>
      <c r="AY121" s="406">
        <v>0</v>
      </c>
      <c r="AZ121" s="406">
        <v>0</v>
      </c>
      <c r="BA121" s="406">
        <v>0</v>
      </c>
      <c r="BB121" s="430">
        <f t="shared" si="36"/>
        <v>0</v>
      </c>
      <c r="BC121" s="407">
        <f t="shared" si="37"/>
        <v>25</v>
      </c>
      <c r="BD121" s="418">
        <f>BC121*0.01</f>
        <v>0.25</v>
      </c>
      <c r="BE121" s="340">
        <f t="shared" si="38"/>
        <v>9.0500000000000007</v>
      </c>
    </row>
    <row r="122" spans="1:57" x14ac:dyDescent="0.6">
      <c r="A122" s="214" t="s">
        <v>92</v>
      </c>
      <c r="B122" s="13" t="s">
        <v>2101</v>
      </c>
      <c r="C122" s="219" t="s">
        <v>900</v>
      </c>
      <c r="D122" s="221" t="s">
        <v>350</v>
      </c>
      <c r="E122" s="217" t="s">
        <v>179</v>
      </c>
      <c r="F122" s="217" t="s">
        <v>1076</v>
      </c>
      <c r="G122" s="218">
        <v>27667</v>
      </c>
      <c r="H122" s="217" t="s">
        <v>830</v>
      </c>
      <c r="I122" s="217" t="s">
        <v>217</v>
      </c>
      <c r="J122" s="217" t="s">
        <v>289</v>
      </c>
      <c r="K122" s="217" t="s">
        <v>91</v>
      </c>
      <c r="L122" s="220">
        <v>77528737937</v>
      </c>
      <c r="M122" s="206">
        <v>68433158478</v>
      </c>
      <c r="N122" s="206">
        <v>9095579460</v>
      </c>
      <c r="O122" s="206">
        <v>16761431115</v>
      </c>
      <c r="P122" s="206">
        <v>548389982</v>
      </c>
      <c r="Q122" s="206">
        <v>553208432</v>
      </c>
      <c r="R122" s="206">
        <v>397574440</v>
      </c>
      <c r="S122" s="406">
        <v>0</v>
      </c>
      <c r="T122" s="428">
        <f t="shared" si="27"/>
        <v>50</v>
      </c>
      <c r="U122" s="415">
        <f t="shared" si="28"/>
        <v>0.5</v>
      </c>
      <c r="V122" s="405">
        <v>0</v>
      </c>
      <c r="W122" s="428">
        <f t="shared" si="29"/>
        <v>50</v>
      </c>
      <c r="X122" s="415">
        <f t="shared" si="30"/>
        <v>0.5</v>
      </c>
      <c r="Y122" s="406">
        <v>1</v>
      </c>
      <c r="Z122" s="429">
        <v>0</v>
      </c>
      <c r="AA122" s="430">
        <f t="shared" si="31"/>
        <v>100</v>
      </c>
      <c r="AB122" s="415">
        <f t="shared" si="32"/>
        <v>1</v>
      </c>
      <c r="AC122" s="75">
        <v>0</v>
      </c>
      <c r="AD122" s="432">
        <f t="shared" si="33"/>
        <v>100</v>
      </c>
      <c r="AE122" s="435">
        <f>AD122*0.03</f>
        <v>3</v>
      </c>
      <c r="AF122" s="436">
        <v>4</v>
      </c>
      <c r="AG122" s="437">
        <f>(_xlfn.PERCENTRANK.INC(AF:AF,AF122, 2))*100</f>
        <v>69</v>
      </c>
      <c r="AH122" s="437">
        <f>IF(AF122=0, 100, IF(AG122&lt;10, 80, IF(AG122&lt;50, 60, IF(AG122&lt;90, 40, 20))))</f>
        <v>40</v>
      </c>
      <c r="AI122" s="263">
        <f>AH122*0.03</f>
        <v>1.2</v>
      </c>
      <c r="AJ122" s="264" t="s">
        <v>3539</v>
      </c>
      <c r="AK122" s="265">
        <f>IF(AJ122="우수", 100, IF(AJ122="양호", 80, IF(AJ122="보통", 60, IF(AJ122= "평가미대상", 60, IF(AJ122="미흡", 40, IF(AJ122="취약", 20))))))</f>
        <v>80</v>
      </c>
      <c r="AL122" s="141">
        <f>AK122*0.03</f>
        <v>2.4</v>
      </c>
      <c r="AM122" s="406">
        <v>0</v>
      </c>
      <c r="AN122" s="406">
        <v>0</v>
      </c>
      <c r="AO122" s="406">
        <v>0</v>
      </c>
      <c r="AP122" s="406">
        <v>0</v>
      </c>
      <c r="AQ122" s="406">
        <v>0</v>
      </c>
      <c r="AR122" s="406">
        <v>0</v>
      </c>
      <c r="AS122" s="406">
        <v>0</v>
      </c>
      <c r="AT122" s="406">
        <v>0</v>
      </c>
      <c r="AU122" s="407">
        <f t="shared" si="34"/>
        <v>0</v>
      </c>
      <c r="AV122" s="407">
        <f t="shared" si="35"/>
        <v>100</v>
      </c>
      <c r="AW122" s="438">
        <f>AV122*0.02</f>
        <v>2</v>
      </c>
      <c r="AX122" s="406">
        <v>0</v>
      </c>
      <c r="AY122" s="406">
        <v>0</v>
      </c>
      <c r="AZ122" s="406">
        <v>0</v>
      </c>
      <c r="BA122" s="406">
        <v>0</v>
      </c>
      <c r="BB122" s="430">
        <f t="shared" si="36"/>
        <v>0</v>
      </c>
      <c r="BC122" s="407">
        <f t="shared" si="37"/>
        <v>25</v>
      </c>
      <c r="BD122" s="418">
        <f>BC122*0.01</f>
        <v>0.25</v>
      </c>
      <c r="BE122" s="340">
        <f t="shared" si="38"/>
        <v>10.85</v>
      </c>
    </row>
    <row r="123" spans="1:57" x14ac:dyDescent="0.6">
      <c r="A123" s="214" t="s">
        <v>339</v>
      </c>
      <c r="B123" s="13" t="s">
        <v>2102</v>
      </c>
      <c r="C123" s="219" t="s">
        <v>461</v>
      </c>
      <c r="D123" s="216" t="s">
        <v>203</v>
      </c>
      <c r="E123" s="217" t="s">
        <v>188</v>
      </c>
      <c r="F123" s="217" t="s">
        <v>652</v>
      </c>
      <c r="G123" s="218">
        <v>32776</v>
      </c>
      <c r="H123" s="217" t="s">
        <v>830</v>
      </c>
      <c r="I123" s="217" t="s">
        <v>1660</v>
      </c>
      <c r="J123" s="217" t="s">
        <v>1052</v>
      </c>
      <c r="K123" s="217" t="s">
        <v>690</v>
      </c>
      <c r="L123" s="220">
        <v>391399991</v>
      </c>
      <c r="M123" s="206">
        <v>70411675</v>
      </c>
      <c r="N123" s="206">
        <v>320988317</v>
      </c>
      <c r="O123" s="206">
        <v>425547908</v>
      </c>
      <c r="P123" s="206">
        <v>77084280</v>
      </c>
      <c r="Q123" s="206">
        <v>83250609</v>
      </c>
      <c r="R123" s="206">
        <v>65769136</v>
      </c>
      <c r="S123" s="406">
        <v>0</v>
      </c>
      <c r="T123" s="428">
        <f t="shared" si="27"/>
        <v>50</v>
      </c>
      <c r="U123" s="415">
        <f t="shared" si="28"/>
        <v>0.5</v>
      </c>
      <c r="V123" s="405">
        <v>0</v>
      </c>
      <c r="W123" s="428">
        <f t="shared" si="29"/>
        <v>50</v>
      </c>
      <c r="X123" s="415">
        <f t="shared" si="30"/>
        <v>0.5</v>
      </c>
      <c r="Y123" s="406">
        <v>0</v>
      </c>
      <c r="Z123" s="429">
        <v>0</v>
      </c>
      <c r="AA123" s="430">
        <f t="shared" si="31"/>
        <v>50</v>
      </c>
      <c r="AB123" s="415">
        <f t="shared" si="32"/>
        <v>0.5</v>
      </c>
      <c r="AC123" s="431">
        <v>0</v>
      </c>
      <c r="AD123" s="432">
        <f t="shared" si="33"/>
        <v>100</v>
      </c>
      <c r="AE123" s="433">
        <f t="shared" ref="AE123:AE129" si="45">AD123*0.04</f>
        <v>4</v>
      </c>
      <c r="AF123" s="434" t="s">
        <v>2326</v>
      </c>
      <c r="AG123" s="434" t="s">
        <v>2326</v>
      </c>
      <c r="AH123" s="434" t="s">
        <v>2326</v>
      </c>
      <c r="AI123" s="362"/>
      <c r="AJ123" s="434" t="s">
        <v>2326</v>
      </c>
      <c r="AK123" s="434" t="s">
        <v>2326</v>
      </c>
      <c r="AL123" s="363"/>
      <c r="AM123" s="406">
        <v>0</v>
      </c>
      <c r="AN123" s="406">
        <v>0</v>
      </c>
      <c r="AO123" s="406">
        <v>0</v>
      </c>
      <c r="AP123" s="406">
        <v>0</v>
      </c>
      <c r="AQ123" s="406">
        <v>0</v>
      </c>
      <c r="AR123" s="406">
        <v>0</v>
      </c>
      <c r="AS123" s="406">
        <v>0</v>
      </c>
      <c r="AT123" s="406">
        <v>0</v>
      </c>
      <c r="AU123" s="407">
        <f t="shared" si="34"/>
        <v>0</v>
      </c>
      <c r="AV123" s="407">
        <f t="shared" si="35"/>
        <v>100</v>
      </c>
      <c r="AW123" s="408">
        <f t="shared" ref="AW123:AW129" si="46">AV123*0.05</f>
        <v>5</v>
      </c>
      <c r="AX123" s="406">
        <v>0</v>
      </c>
      <c r="AY123" s="406">
        <v>0</v>
      </c>
      <c r="AZ123" s="406">
        <v>0</v>
      </c>
      <c r="BA123" s="406">
        <v>0</v>
      </c>
      <c r="BB123" s="430">
        <f t="shared" si="36"/>
        <v>0</v>
      </c>
      <c r="BC123" s="407">
        <f t="shared" si="37"/>
        <v>25</v>
      </c>
      <c r="BD123" s="408">
        <f t="shared" ref="BD123:BD129" si="47">BC123*0.03</f>
        <v>0.75</v>
      </c>
      <c r="BE123" s="340">
        <f t="shared" si="38"/>
        <v>11.25</v>
      </c>
    </row>
    <row r="124" spans="1:57" x14ac:dyDescent="0.6">
      <c r="A124" s="214" t="s">
        <v>1661</v>
      </c>
      <c r="B124" s="13" t="s">
        <v>2103</v>
      </c>
      <c r="C124" s="219" t="s">
        <v>933</v>
      </c>
      <c r="D124" s="216" t="s">
        <v>203</v>
      </c>
      <c r="E124" s="217" t="s">
        <v>180</v>
      </c>
      <c r="F124" s="217" t="s">
        <v>87</v>
      </c>
      <c r="G124" s="218">
        <v>42877</v>
      </c>
      <c r="H124" s="217" t="s">
        <v>830</v>
      </c>
      <c r="I124" s="217" t="s">
        <v>921</v>
      </c>
      <c r="J124" s="217" t="s">
        <v>1161</v>
      </c>
      <c r="K124" s="217" t="s">
        <v>320</v>
      </c>
      <c r="L124" s="220">
        <v>448351412</v>
      </c>
      <c r="M124" s="206">
        <v>63280350</v>
      </c>
      <c r="N124" s="206">
        <v>385071063</v>
      </c>
      <c r="O124" s="206">
        <v>611355371</v>
      </c>
      <c r="P124" s="206">
        <v>85525773</v>
      </c>
      <c r="Q124" s="206">
        <v>90825472</v>
      </c>
      <c r="R124" s="206">
        <v>70423830</v>
      </c>
      <c r="S124" s="406">
        <v>0</v>
      </c>
      <c r="T124" s="428">
        <f t="shared" si="27"/>
        <v>50</v>
      </c>
      <c r="U124" s="415">
        <f t="shared" si="28"/>
        <v>0.5</v>
      </c>
      <c r="V124" s="405">
        <v>0</v>
      </c>
      <c r="W124" s="428">
        <f t="shared" si="29"/>
        <v>50</v>
      </c>
      <c r="X124" s="415">
        <f t="shared" si="30"/>
        <v>0.5</v>
      </c>
      <c r="Y124" s="406">
        <v>0</v>
      </c>
      <c r="Z124" s="429">
        <v>0</v>
      </c>
      <c r="AA124" s="430">
        <f t="shared" si="31"/>
        <v>50</v>
      </c>
      <c r="AB124" s="415">
        <f t="shared" si="32"/>
        <v>0.5</v>
      </c>
      <c r="AC124" s="431">
        <v>0</v>
      </c>
      <c r="AD124" s="432">
        <f t="shared" si="33"/>
        <v>100</v>
      </c>
      <c r="AE124" s="433">
        <f t="shared" si="45"/>
        <v>4</v>
      </c>
      <c r="AF124" s="434" t="s">
        <v>2326</v>
      </c>
      <c r="AG124" s="434" t="s">
        <v>2326</v>
      </c>
      <c r="AH124" s="434" t="s">
        <v>2326</v>
      </c>
      <c r="AI124" s="362"/>
      <c r="AJ124" s="434" t="s">
        <v>2326</v>
      </c>
      <c r="AK124" s="434" t="s">
        <v>2326</v>
      </c>
      <c r="AL124" s="363"/>
      <c r="AM124" s="406">
        <v>0</v>
      </c>
      <c r="AN124" s="406">
        <v>0</v>
      </c>
      <c r="AO124" s="406">
        <v>0</v>
      </c>
      <c r="AP124" s="406">
        <v>0</v>
      </c>
      <c r="AQ124" s="406">
        <v>0</v>
      </c>
      <c r="AR124" s="406">
        <v>0</v>
      </c>
      <c r="AS124" s="406">
        <v>0</v>
      </c>
      <c r="AT124" s="406">
        <v>0</v>
      </c>
      <c r="AU124" s="407">
        <f t="shared" si="34"/>
        <v>0</v>
      </c>
      <c r="AV124" s="407">
        <f t="shared" si="35"/>
        <v>100</v>
      </c>
      <c r="AW124" s="408">
        <f t="shared" si="46"/>
        <v>5</v>
      </c>
      <c r="AX124" s="406">
        <v>0</v>
      </c>
      <c r="AY124" s="406">
        <v>0</v>
      </c>
      <c r="AZ124" s="406">
        <v>0</v>
      </c>
      <c r="BA124" s="406">
        <v>0</v>
      </c>
      <c r="BB124" s="430">
        <f t="shared" si="36"/>
        <v>0</v>
      </c>
      <c r="BC124" s="407">
        <f t="shared" si="37"/>
        <v>25</v>
      </c>
      <c r="BD124" s="408">
        <f t="shared" si="47"/>
        <v>0.75</v>
      </c>
      <c r="BE124" s="340">
        <f t="shared" si="38"/>
        <v>11.25</v>
      </c>
    </row>
    <row r="125" spans="1:57" x14ac:dyDescent="0.6">
      <c r="A125" s="214" t="s">
        <v>878</v>
      </c>
      <c r="B125" s="13" t="s">
        <v>2104</v>
      </c>
      <c r="C125" s="219" t="s">
        <v>437</v>
      </c>
      <c r="D125" s="216" t="s">
        <v>203</v>
      </c>
      <c r="E125" s="217" t="s">
        <v>188</v>
      </c>
      <c r="F125" s="217" t="s">
        <v>376</v>
      </c>
      <c r="G125" s="218">
        <v>40589</v>
      </c>
      <c r="H125" s="217" t="s">
        <v>830</v>
      </c>
      <c r="I125" s="217" t="s">
        <v>1662</v>
      </c>
      <c r="J125" s="217" t="s">
        <v>672</v>
      </c>
      <c r="K125" s="217" t="s">
        <v>407</v>
      </c>
      <c r="L125" s="220">
        <v>147864036</v>
      </c>
      <c r="M125" s="206">
        <v>15155439</v>
      </c>
      <c r="N125" s="206">
        <v>132708596</v>
      </c>
      <c r="O125" s="206">
        <v>235165568</v>
      </c>
      <c r="P125" s="206">
        <v>18983200</v>
      </c>
      <c r="Q125" s="206">
        <v>20938723</v>
      </c>
      <c r="R125" s="206">
        <v>16260515</v>
      </c>
      <c r="S125" s="406">
        <v>0</v>
      </c>
      <c r="T125" s="428">
        <f t="shared" si="27"/>
        <v>50</v>
      </c>
      <c r="U125" s="415">
        <f t="shared" si="28"/>
        <v>0.5</v>
      </c>
      <c r="V125" s="405">
        <v>0</v>
      </c>
      <c r="W125" s="428">
        <f t="shared" si="29"/>
        <v>50</v>
      </c>
      <c r="X125" s="415">
        <f t="shared" si="30"/>
        <v>0.5</v>
      </c>
      <c r="Y125" s="406">
        <v>0</v>
      </c>
      <c r="Z125" s="429">
        <v>0</v>
      </c>
      <c r="AA125" s="430">
        <f t="shared" si="31"/>
        <v>50</v>
      </c>
      <c r="AB125" s="415">
        <f t="shared" si="32"/>
        <v>0.5</v>
      </c>
      <c r="AC125" s="431">
        <v>0</v>
      </c>
      <c r="AD125" s="432">
        <f t="shared" si="33"/>
        <v>100</v>
      </c>
      <c r="AE125" s="433">
        <f t="shared" si="45"/>
        <v>4</v>
      </c>
      <c r="AF125" s="434" t="s">
        <v>2326</v>
      </c>
      <c r="AG125" s="434" t="s">
        <v>2326</v>
      </c>
      <c r="AH125" s="434" t="s">
        <v>2326</v>
      </c>
      <c r="AI125" s="362"/>
      <c r="AJ125" s="434" t="s">
        <v>2326</v>
      </c>
      <c r="AK125" s="434" t="s">
        <v>2326</v>
      </c>
      <c r="AL125" s="363"/>
      <c r="AM125" s="406">
        <v>0</v>
      </c>
      <c r="AN125" s="406">
        <v>0</v>
      </c>
      <c r="AO125" s="406">
        <v>0</v>
      </c>
      <c r="AP125" s="406">
        <v>0</v>
      </c>
      <c r="AQ125" s="406">
        <v>0</v>
      </c>
      <c r="AR125" s="406">
        <v>0</v>
      </c>
      <c r="AS125" s="406">
        <v>0</v>
      </c>
      <c r="AT125" s="406">
        <v>0</v>
      </c>
      <c r="AU125" s="407">
        <f t="shared" si="34"/>
        <v>0</v>
      </c>
      <c r="AV125" s="407">
        <f t="shared" si="35"/>
        <v>100</v>
      </c>
      <c r="AW125" s="408">
        <f t="shared" si="46"/>
        <v>5</v>
      </c>
      <c r="AX125" s="406">
        <v>0</v>
      </c>
      <c r="AY125" s="406">
        <v>0</v>
      </c>
      <c r="AZ125" s="406">
        <v>0</v>
      </c>
      <c r="BA125" s="406">
        <v>0</v>
      </c>
      <c r="BB125" s="430">
        <f t="shared" si="36"/>
        <v>0</v>
      </c>
      <c r="BC125" s="407">
        <f t="shared" si="37"/>
        <v>25</v>
      </c>
      <c r="BD125" s="408">
        <f t="shared" si="47"/>
        <v>0.75</v>
      </c>
      <c r="BE125" s="340">
        <f t="shared" si="38"/>
        <v>11.25</v>
      </c>
    </row>
    <row r="126" spans="1:57" x14ac:dyDescent="0.6">
      <c r="A126" s="214" t="s">
        <v>938</v>
      </c>
      <c r="B126" s="13" t="s">
        <v>2105</v>
      </c>
      <c r="C126" s="219" t="s">
        <v>52</v>
      </c>
      <c r="D126" s="216" t="s">
        <v>203</v>
      </c>
      <c r="E126" s="217" t="s">
        <v>187</v>
      </c>
      <c r="F126" s="217" t="s">
        <v>1170</v>
      </c>
      <c r="G126" s="218">
        <v>32778</v>
      </c>
      <c r="H126" s="217" t="s">
        <v>830</v>
      </c>
      <c r="I126" s="217" t="s">
        <v>708</v>
      </c>
      <c r="J126" s="217" t="s">
        <v>1173</v>
      </c>
      <c r="K126" s="217" t="s">
        <v>484</v>
      </c>
      <c r="L126" s="220">
        <v>342398880</v>
      </c>
      <c r="M126" s="206">
        <v>36181307</v>
      </c>
      <c r="N126" s="206">
        <v>306217573</v>
      </c>
      <c r="O126" s="206">
        <v>418789690</v>
      </c>
      <c r="P126" s="206">
        <v>44057917</v>
      </c>
      <c r="Q126" s="206">
        <v>28817308</v>
      </c>
      <c r="R126" s="206">
        <v>20885280</v>
      </c>
      <c r="S126" s="406">
        <v>0</v>
      </c>
      <c r="T126" s="428">
        <f t="shared" si="27"/>
        <v>50</v>
      </c>
      <c r="U126" s="415">
        <f t="shared" si="28"/>
        <v>0.5</v>
      </c>
      <c r="V126" s="405">
        <v>0</v>
      </c>
      <c r="W126" s="428">
        <f t="shared" si="29"/>
        <v>50</v>
      </c>
      <c r="X126" s="415">
        <f t="shared" si="30"/>
        <v>0.5</v>
      </c>
      <c r="Y126" s="406">
        <v>0</v>
      </c>
      <c r="Z126" s="429">
        <v>0</v>
      </c>
      <c r="AA126" s="430">
        <f t="shared" si="31"/>
        <v>50</v>
      </c>
      <c r="AB126" s="415">
        <f t="shared" si="32"/>
        <v>0.5</v>
      </c>
      <c r="AC126" s="431">
        <v>0</v>
      </c>
      <c r="AD126" s="432">
        <f t="shared" si="33"/>
        <v>100</v>
      </c>
      <c r="AE126" s="433">
        <f t="shared" si="45"/>
        <v>4</v>
      </c>
      <c r="AF126" s="434" t="s">
        <v>2326</v>
      </c>
      <c r="AG126" s="434" t="s">
        <v>2326</v>
      </c>
      <c r="AH126" s="434" t="s">
        <v>2326</v>
      </c>
      <c r="AI126" s="362"/>
      <c r="AJ126" s="434" t="s">
        <v>2326</v>
      </c>
      <c r="AK126" s="434" t="s">
        <v>2326</v>
      </c>
      <c r="AL126" s="363"/>
      <c r="AM126" s="406">
        <v>0</v>
      </c>
      <c r="AN126" s="406">
        <v>0</v>
      </c>
      <c r="AO126" s="406">
        <v>0</v>
      </c>
      <c r="AP126" s="406">
        <v>0</v>
      </c>
      <c r="AQ126" s="406">
        <v>0</v>
      </c>
      <c r="AR126" s="406">
        <v>0</v>
      </c>
      <c r="AS126" s="406">
        <v>0</v>
      </c>
      <c r="AT126" s="406">
        <v>0</v>
      </c>
      <c r="AU126" s="407">
        <f t="shared" si="34"/>
        <v>0</v>
      </c>
      <c r="AV126" s="407">
        <f t="shared" si="35"/>
        <v>100</v>
      </c>
      <c r="AW126" s="408">
        <f t="shared" si="46"/>
        <v>5</v>
      </c>
      <c r="AX126" s="406">
        <v>0</v>
      </c>
      <c r="AY126" s="406">
        <v>0</v>
      </c>
      <c r="AZ126" s="406">
        <v>0</v>
      </c>
      <c r="BA126" s="406">
        <v>0</v>
      </c>
      <c r="BB126" s="430">
        <f t="shared" si="36"/>
        <v>0</v>
      </c>
      <c r="BC126" s="407">
        <f t="shared" si="37"/>
        <v>25</v>
      </c>
      <c r="BD126" s="408">
        <f t="shared" si="47"/>
        <v>0.75</v>
      </c>
      <c r="BE126" s="340">
        <f t="shared" si="38"/>
        <v>11.25</v>
      </c>
    </row>
    <row r="127" spans="1:57" x14ac:dyDescent="0.6">
      <c r="A127" s="214" t="s">
        <v>743</v>
      </c>
      <c r="B127" s="13" t="s">
        <v>2106</v>
      </c>
      <c r="C127" s="219" t="s">
        <v>880</v>
      </c>
      <c r="D127" s="216" t="s">
        <v>191</v>
      </c>
      <c r="E127" s="217" t="s">
        <v>633</v>
      </c>
      <c r="F127" s="217" t="s">
        <v>1156</v>
      </c>
      <c r="G127" s="218">
        <v>32658</v>
      </c>
      <c r="H127" s="217" t="s">
        <v>712</v>
      </c>
      <c r="I127" s="217" t="s">
        <v>264</v>
      </c>
      <c r="J127" s="217" t="s">
        <v>1109</v>
      </c>
      <c r="K127" s="217" t="s">
        <v>91</v>
      </c>
      <c r="L127" s="220">
        <v>241989773</v>
      </c>
      <c r="M127" s="206">
        <v>40624252</v>
      </c>
      <c r="N127" s="206">
        <v>201365521</v>
      </c>
      <c r="O127" s="206">
        <v>93315362</v>
      </c>
      <c r="P127" s="206">
        <v>2071431</v>
      </c>
      <c r="Q127" s="206">
        <v>7052481</v>
      </c>
      <c r="R127" s="206">
        <v>5569068</v>
      </c>
      <c r="S127" s="406">
        <v>0</v>
      </c>
      <c r="T127" s="428">
        <f t="shared" si="27"/>
        <v>50</v>
      </c>
      <c r="U127" s="415">
        <f t="shared" si="28"/>
        <v>0.5</v>
      </c>
      <c r="V127" s="405">
        <v>0</v>
      </c>
      <c r="W127" s="428">
        <f t="shared" si="29"/>
        <v>50</v>
      </c>
      <c r="X127" s="415">
        <f t="shared" si="30"/>
        <v>0.5</v>
      </c>
      <c r="Y127" s="406">
        <v>0</v>
      </c>
      <c r="Z127" s="429">
        <v>0</v>
      </c>
      <c r="AA127" s="430">
        <f t="shared" si="31"/>
        <v>50</v>
      </c>
      <c r="AB127" s="415">
        <f t="shared" si="32"/>
        <v>0.5</v>
      </c>
      <c r="AC127" s="431">
        <v>0</v>
      </c>
      <c r="AD127" s="432">
        <f t="shared" si="33"/>
        <v>100</v>
      </c>
      <c r="AE127" s="433">
        <f t="shared" si="45"/>
        <v>4</v>
      </c>
      <c r="AF127" s="434" t="s">
        <v>2326</v>
      </c>
      <c r="AG127" s="434" t="s">
        <v>2326</v>
      </c>
      <c r="AH127" s="434" t="s">
        <v>2326</v>
      </c>
      <c r="AI127" s="362"/>
      <c r="AJ127" s="434" t="s">
        <v>2326</v>
      </c>
      <c r="AK127" s="434" t="s">
        <v>2326</v>
      </c>
      <c r="AL127" s="363"/>
      <c r="AM127" s="406">
        <v>0</v>
      </c>
      <c r="AN127" s="406">
        <v>0</v>
      </c>
      <c r="AO127" s="406">
        <v>0</v>
      </c>
      <c r="AP127" s="406">
        <v>0</v>
      </c>
      <c r="AQ127" s="406">
        <v>0</v>
      </c>
      <c r="AR127" s="406">
        <v>0</v>
      </c>
      <c r="AS127" s="406">
        <v>0</v>
      </c>
      <c r="AT127" s="406">
        <v>0</v>
      </c>
      <c r="AU127" s="407">
        <f t="shared" si="34"/>
        <v>0</v>
      </c>
      <c r="AV127" s="407">
        <f t="shared" si="35"/>
        <v>100</v>
      </c>
      <c r="AW127" s="408">
        <f t="shared" si="46"/>
        <v>5</v>
      </c>
      <c r="AX127" s="406">
        <v>0</v>
      </c>
      <c r="AY127" s="406">
        <v>0</v>
      </c>
      <c r="AZ127" s="406">
        <v>0</v>
      </c>
      <c r="BA127" s="406">
        <v>0</v>
      </c>
      <c r="BB127" s="430">
        <f t="shared" si="36"/>
        <v>0</v>
      </c>
      <c r="BC127" s="407">
        <f t="shared" si="37"/>
        <v>25</v>
      </c>
      <c r="BD127" s="408">
        <f t="shared" si="47"/>
        <v>0.75</v>
      </c>
      <c r="BE127" s="340">
        <f t="shared" si="38"/>
        <v>11.25</v>
      </c>
    </row>
    <row r="128" spans="1:57" x14ac:dyDescent="0.6">
      <c r="A128" s="214" t="s">
        <v>883</v>
      </c>
      <c r="B128" s="13" t="s">
        <v>2107</v>
      </c>
      <c r="C128" s="219" t="s">
        <v>937</v>
      </c>
      <c r="D128" s="216" t="s">
        <v>203</v>
      </c>
      <c r="E128" s="217" t="s">
        <v>180</v>
      </c>
      <c r="F128" s="217" t="s">
        <v>565</v>
      </c>
      <c r="G128" s="218">
        <v>27921</v>
      </c>
      <c r="H128" s="217" t="s">
        <v>830</v>
      </c>
      <c r="I128" s="217" t="s">
        <v>1663</v>
      </c>
      <c r="J128" s="217" t="s">
        <v>1051</v>
      </c>
      <c r="K128" s="217" t="s">
        <v>320</v>
      </c>
      <c r="L128" s="220">
        <v>404942084</v>
      </c>
      <c r="M128" s="206">
        <v>194159798</v>
      </c>
      <c r="N128" s="206">
        <v>210782285</v>
      </c>
      <c r="O128" s="206">
        <v>232326917</v>
      </c>
      <c r="P128" s="206">
        <v>28484556</v>
      </c>
      <c r="Q128" s="206">
        <v>25121503</v>
      </c>
      <c r="R128" s="206">
        <v>22437303</v>
      </c>
      <c r="S128" s="406">
        <v>0</v>
      </c>
      <c r="T128" s="428">
        <f t="shared" si="27"/>
        <v>50</v>
      </c>
      <c r="U128" s="415">
        <f t="shared" si="28"/>
        <v>0.5</v>
      </c>
      <c r="V128" s="405">
        <v>0</v>
      </c>
      <c r="W128" s="428">
        <f t="shared" si="29"/>
        <v>50</v>
      </c>
      <c r="X128" s="415">
        <f t="shared" si="30"/>
        <v>0.5</v>
      </c>
      <c r="Y128" s="406">
        <v>0</v>
      </c>
      <c r="Z128" s="429">
        <v>0</v>
      </c>
      <c r="AA128" s="430">
        <f t="shared" si="31"/>
        <v>50</v>
      </c>
      <c r="AB128" s="415">
        <f t="shared" si="32"/>
        <v>0.5</v>
      </c>
      <c r="AC128" s="431">
        <v>0</v>
      </c>
      <c r="AD128" s="432">
        <f t="shared" si="33"/>
        <v>100</v>
      </c>
      <c r="AE128" s="433">
        <f t="shared" si="45"/>
        <v>4</v>
      </c>
      <c r="AF128" s="434" t="s">
        <v>2326</v>
      </c>
      <c r="AG128" s="434" t="s">
        <v>2326</v>
      </c>
      <c r="AH128" s="434" t="s">
        <v>2326</v>
      </c>
      <c r="AI128" s="362"/>
      <c r="AJ128" s="434" t="s">
        <v>2326</v>
      </c>
      <c r="AK128" s="434" t="s">
        <v>2326</v>
      </c>
      <c r="AL128" s="363"/>
      <c r="AM128" s="406">
        <v>0</v>
      </c>
      <c r="AN128" s="406">
        <v>0</v>
      </c>
      <c r="AO128" s="406">
        <v>0</v>
      </c>
      <c r="AP128" s="406">
        <v>0</v>
      </c>
      <c r="AQ128" s="406">
        <v>0</v>
      </c>
      <c r="AR128" s="406">
        <v>0</v>
      </c>
      <c r="AS128" s="406">
        <v>0</v>
      </c>
      <c r="AT128" s="406">
        <v>0</v>
      </c>
      <c r="AU128" s="407">
        <f t="shared" si="34"/>
        <v>0</v>
      </c>
      <c r="AV128" s="407">
        <f t="shared" si="35"/>
        <v>100</v>
      </c>
      <c r="AW128" s="408">
        <f t="shared" si="46"/>
        <v>5</v>
      </c>
      <c r="AX128" s="406">
        <v>0</v>
      </c>
      <c r="AY128" s="406">
        <v>0</v>
      </c>
      <c r="AZ128" s="406">
        <v>0</v>
      </c>
      <c r="BA128" s="406">
        <v>0</v>
      </c>
      <c r="BB128" s="430">
        <f t="shared" si="36"/>
        <v>0</v>
      </c>
      <c r="BC128" s="407">
        <f t="shared" si="37"/>
        <v>25</v>
      </c>
      <c r="BD128" s="408">
        <f t="shared" si="47"/>
        <v>0.75</v>
      </c>
      <c r="BE128" s="340">
        <f t="shared" si="38"/>
        <v>11.25</v>
      </c>
    </row>
    <row r="129" spans="1:57" x14ac:dyDescent="0.6">
      <c r="A129" s="214" t="s">
        <v>689</v>
      </c>
      <c r="B129" s="13" t="s">
        <v>2108</v>
      </c>
      <c r="C129" s="219" t="s">
        <v>46</v>
      </c>
      <c r="D129" s="216" t="s">
        <v>203</v>
      </c>
      <c r="E129" s="217" t="s">
        <v>188</v>
      </c>
      <c r="F129" s="217" t="s">
        <v>119</v>
      </c>
      <c r="G129" s="218">
        <v>32842</v>
      </c>
      <c r="H129" s="217" t="s">
        <v>830</v>
      </c>
      <c r="I129" s="217" t="s">
        <v>717</v>
      </c>
      <c r="J129" s="217" t="s">
        <v>1088</v>
      </c>
      <c r="K129" s="217" t="s">
        <v>690</v>
      </c>
      <c r="L129" s="220">
        <v>60912252</v>
      </c>
      <c r="M129" s="206">
        <v>12528504</v>
      </c>
      <c r="N129" s="206">
        <v>48383747</v>
      </c>
      <c r="O129" s="206">
        <v>48434716</v>
      </c>
      <c r="P129" s="206">
        <v>3282892</v>
      </c>
      <c r="Q129" s="206">
        <v>3389050</v>
      </c>
      <c r="R129" s="206">
        <v>3069106</v>
      </c>
      <c r="S129" s="406">
        <v>0</v>
      </c>
      <c r="T129" s="428">
        <f t="shared" si="27"/>
        <v>50</v>
      </c>
      <c r="U129" s="415">
        <f t="shared" si="28"/>
        <v>0.5</v>
      </c>
      <c r="V129" s="405">
        <v>0</v>
      </c>
      <c r="W129" s="428">
        <f t="shared" si="29"/>
        <v>50</v>
      </c>
      <c r="X129" s="415">
        <f t="shared" si="30"/>
        <v>0.5</v>
      </c>
      <c r="Y129" s="406">
        <v>0</v>
      </c>
      <c r="Z129" s="429">
        <v>0</v>
      </c>
      <c r="AA129" s="430">
        <f t="shared" si="31"/>
        <v>50</v>
      </c>
      <c r="AB129" s="415">
        <f t="shared" si="32"/>
        <v>0.5</v>
      </c>
      <c r="AC129" s="431">
        <v>0</v>
      </c>
      <c r="AD129" s="432">
        <f t="shared" si="33"/>
        <v>100</v>
      </c>
      <c r="AE129" s="433">
        <f t="shared" si="45"/>
        <v>4</v>
      </c>
      <c r="AF129" s="434" t="s">
        <v>2326</v>
      </c>
      <c r="AG129" s="434" t="s">
        <v>2326</v>
      </c>
      <c r="AH129" s="434" t="s">
        <v>2326</v>
      </c>
      <c r="AI129" s="362"/>
      <c r="AJ129" s="434" t="s">
        <v>2326</v>
      </c>
      <c r="AK129" s="434" t="s">
        <v>2326</v>
      </c>
      <c r="AL129" s="363"/>
      <c r="AM129" s="406">
        <v>0</v>
      </c>
      <c r="AN129" s="406">
        <v>0</v>
      </c>
      <c r="AO129" s="406">
        <v>0</v>
      </c>
      <c r="AP129" s="406">
        <v>0</v>
      </c>
      <c r="AQ129" s="406">
        <v>0</v>
      </c>
      <c r="AR129" s="406">
        <v>0</v>
      </c>
      <c r="AS129" s="406">
        <v>0</v>
      </c>
      <c r="AT129" s="406">
        <v>0</v>
      </c>
      <c r="AU129" s="407">
        <f t="shared" si="34"/>
        <v>0</v>
      </c>
      <c r="AV129" s="407">
        <f t="shared" si="35"/>
        <v>100</v>
      </c>
      <c r="AW129" s="408">
        <f t="shared" si="46"/>
        <v>5</v>
      </c>
      <c r="AX129" s="406">
        <v>0</v>
      </c>
      <c r="AY129" s="406">
        <v>0</v>
      </c>
      <c r="AZ129" s="406">
        <v>0</v>
      </c>
      <c r="BA129" s="406">
        <v>0</v>
      </c>
      <c r="BB129" s="430">
        <f t="shared" si="36"/>
        <v>0</v>
      </c>
      <c r="BC129" s="407">
        <f t="shared" si="37"/>
        <v>25</v>
      </c>
      <c r="BD129" s="408">
        <f t="shared" si="47"/>
        <v>0.75</v>
      </c>
      <c r="BE129" s="340">
        <f t="shared" si="38"/>
        <v>11.25</v>
      </c>
    </row>
    <row r="130" spans="1:57" x14ac:dyDescent="0.6">
      <c r="A130" s="214" t="s">
        <v>1664</v>
      </c>
      <c r="B130" s="13" t="s">
        <v>2109</v>
      </c>
      <c r="C130" s="219" t="s">
        <v>79</v>
      </c>
      <c r="D130" s="221" t="s">
        <v>350</v>
      </c>
      <c r="E130" s="217" t="s">
        <v>179</v>
      </c>
      <c r="F130" s="217" t="s">
        <v>965</v>
      </c>
      <c r="G130" s="218">
        <v>32343</v>
      </c>
      <c r="H130" s="217" t="s">
        <v>830</v>
      </c>
      <c r="I130" s="217" t="s">
        <v>763</v>
      </c>
      <c r="J130" s="217" t="s">
        <v>1169</v>
      </c>
      <c r="K130" s="217" t="s">
        <v>91</v>
      </c>
      <c r="L130" s="220">
        <v>1427244316</v>
      </c>
      <c r="M130" s="206">
        <v>761201192</v>
      </c>
      <c r="N130" s="206">
        <v>666043124</v>
      </c>
      <c r="O130" s="206">
        <v>962455644</v>
      </c>
      <c r="P130" s="206">
        <v>61833345</v>
      </c>
      <c r="Q130" s="206">
        <v>63808418</v>
      </c>
      <c r="R130" s="206">
        <v>45756353</v>
      </c>
      <c r="S130" s="406">
        <v>0</v>
      </c>
      <c r="T130" s="428">
        <f t="shared" ref="T130:T193" si="48">IF(S130=1, 100, 50)</f>
        <v>50</v>
      </c>
      <c r="U130" s="415">
        <f t="shared" ref="U130:U193" si="49">T130*0.01</f>
        <v>0.5</v>
      </c>
      <c r="V130" s="405">
        <v>0</v>
      </c>
      <c r="W130" s="428">
        <f t="shared" ref="W130:W193" si="50">IF(V130=1, 100, 50)</f>
        <v>50</v>
      </c>
      <c r="X130" s="415">
        <f t="shared" ref="X130:X193" si="51">W130*0.01</f>
        <v>0.5</v>
      </c>
      <c r="Y130" s="406">
        <v>0</v>
      </c>
      <c r="Z130" s="429">
        <v>0</v>
      </c>
      <c r="AA130" s="430">
        <f t="shared" ref="AA130:AA193" si="52">IF(Y130=1, 50, 0)+IF(Z130=0, 50, 0)</f>
        <v>50</v>
      </c>
      <c r="AB130" s="415">
        <f t="shared" ref="AB130:AB193" si="53">AA130*0.01</f>
        <v>0.5</v>
      </c>
      <c r="AC130" s="75">
        <v>0</v>
      </c>
      <c r="AD130" s="432">
        <f t="shared" ref="AD130:AD193" si="54">IF(AC130=0, 100, IF(AC130=1, 80, IF(AC130=2, 60, IF(AC130=3, 40, IF(AC130&gt;=4, 20)))))</f>
        <v>100</v>
      </c>
      <c r="AE130" s="435">
        <f>AD130*0.03</f>
        <v>3</v>
      </c>
      <c r="AF130" s="436">
        <v>0</v>
      </c>
      <c r="AG130" s="437">
        <f>(_xlfn.PERCENTRANK.INC(AF:AF,AF130, 2))*100</f>
        <v>0</v>
      </c>
      <c r="AH130" s="437">
        <f>IF(AF130=0, 100, IF(AG130&lt;10, 80, IF(AG130&lt;50, 60, IF(AG130&lt;90, 40, 20))))</f>
        <v>100</v>
      </c>
      <c r="AI130" s="263">
        <f>AH130*0.03</f>
        <v>3</v>
      </c>
      <c r="AJ130" s="264" t="s">
        <v>3540</v>
      </c>
      <c r="AK130" s="265">
        <f>IF(AJ130="우수", 100, IF(AJ130="양호", 80, IF(AJ130="보통", 60, IF(AJ130= "평가미대상", 60, IF(AJ130="미흡", 40, IF(AJ130="취약", 20))))))</f>
        <v>60</v>
      </c>
      <c r="AL130" s="141">
        <f>AK130*0.03</f>
        <v>1.7999999999999998</v>
      </c>
      <c r="AM130" s="406">
        <v>0</v>
      </c>
      <c r="AN130" s="406">
        <v>0</v>
      </c>
      <c r="AO130" s="406">
        <v>0</v>
      </c>
      <c r="AP130" s="406">
        <v>0</v>
      </c>
      <c r="AQ130" s="406">
        <v>0</v>
      </c>
      <c r="AR130" s="406">
        <v>0</v>
      </c>
      <c r="AS130" s="406">
        <v>0</v>
      </c>
      <c r="AT130" s="406">
        <v>0</v>
      </c>
      <c r="AU130" s="407">
        <f t="shared" ref="AU130:AU193" si="55">SUM(AM130:AT130)</f>
        <v>0</v>
      </c>
      <c r="AV130" s="407">
        <f t="shared" ref="AV130:AV193" si="56">IF(AU130=0, 100, IF(AU130=1, 80, IF(AU130=2, 60, IF(AU130=3, 40, 20))))</f>
        <v>100</v>
      </c>
      <c r="AW130" s="438">
        <f>AV130*0.02</f>
        <v>2</v>
      </c>
      <c r="AX130" s="406">
        <v>0</v>
      </c>
      <c r="AY130" s="406">
        <v>0</v>
      </c>
      <c r="AZ130" s="406">
        <v>0</v>
      </c>
      <c r="BA130" s="406">
        <v>0</v>
      </c>
      <c r="BB130" s="430">
        <f t="shared" ref="BB130:BB193" si="57">SUM(AX130:BA130)</f>
        <v>0</v>
      </c>
      <c r="BC130" s="407">
        <f t="shared" ref="BC130:BC193" si="58">IF(BB130=0, 25, IF(BB130=1, 50, IF(BB130=2, 75, IF(BB130&gt;=3, 100))))</f>
        <v>25</v>
      </c>
      <c r="BD130" s="418">
        <f>BC130*0.01</f>
        <v>0.25</v>
      </c>
      <c r="BE130" s="340">
        <f t="shared" ref="BE130:BE193" si="59">U130+X130+AB130+AE130+AI130+AL130+AW130+BD130</f>
        <v>11.55</v>
      </c>
    </row>
    <row r="131" spans="1:57" x14ac:dyDescent="0.6">
      <c r="A131" s="214" t="s">
        <v>1665</v>
      </c>
      <c r="B131" s="13" t="s">
        <v>2110</v>
      </c>
      <c r="C131" s="219" t="s">
        <v>62</v>
      </c>
      <c r="D131" s="216" t="s">
        <v>203</v>
      </c>
      <c r="E131" s="217" t="s">
        <v>195</v>
      </c>
      <c r="F131" s="217" t="s">
        <v>731</v>
      </c>
      <c r="G131" s="218">
        <v>39735</v>
      </c>
      <c r="H131" s="217" t="s">
        <v>830</v>
      </c>
      <c r="I131" s="217" t="s">
        <v>3</v>
      </c>
      <c r="J131" s="217" t="s">
        <v>1082</v>
      </c>
      <c r="K131" s="217" t="s">
        <v>487</v>
      </c>
      <c r="L131" s="220">
        <v>153622004</v>
      </c>
      <c r="M131" s="206">
        <v>27614064</v>
      </c>
      <c r="N131" s="206">
        <v>126007940</v>
      </c>
      <c r="O131" s="206">
        <v>209727336</v>
      </c>
      <c r="P131" s="206">
        <v>5922306</v>
      </c>
      <c r="Q131" s="206">
        <v>9227725</v>
      </c>
      <c r="R131" s="206">
        <v>7102656</v>
      </c>
      <c r="S131" s="406">
        <v>0</v>
      </c>
      <c r="T131" s="428">
        <f t="shared" si="48"/>
        <v>50</v>
      </c>
      <c r="U131" s="415">
        <f t="shared" si="49"/>
        <v>0.5</v>
      </c>
      <c r="V131" s="405">
        <v>0</v>
      </c>
      <c r="W131" s="428">
        <f t="shared" si="50"/>
        <v>50</v>
      </c>
      <c r="X131" s="415">
        <f t="shared" si="51"/>
        <v>0.5</v>
      </c>
      <c r="Y131" s="406">
        <v>0</v>
      </c>
      <c r="Z131" s="429">
        <v>0</v>
      </c>
      <c r="AA131" s="430">
        <f t="shared" si="52"/>
        <v>50</v>
      </c>
      <c r="AB131" s="415">
        <f t="shared" si="53"/>
        <v>0.5</v>
      </c>
      <c r="AC131" s="431">
        <v>0</v>
      </c>
      <c r="AD131" s="432">
        <f t="shared" si="54"/>
        <v>100</v>
      </c>
      <c r="AE131" s="433">
        <f>AD131*0.04</f>
        <v>4</v>
      </c>
      <c r="AF131" s="434" t="s">
        <v>2326</v>
      </c>
      <c r="AG131" s="434" t="s">
        <v>2326</v>
      </c>
      <c r="AH131" s="434" t="s">
        <v>2326</v>
      </c>
      <c r="AI131" s="362"/>
      <c r="AJ131" s="434" t="s">
        <v>2326</v>
      </c>
      <c r="AK131" s="434" t="s">
        <v>2326</v>
      </c>
      <c r="AL131" s="363"/>
      <c r="AM131" s="406">
        <v>0</v>
      </c>
      <c r="AN131" s="406">
        <v>0</v>
      </c>
      <c r="AO131" s="406">
        <v>0</v>
      </c>
      <c r="AP131" s="406">
        <v>0</v>
      </c>
      <c r="AQ131" s="406">
        <v>0</v>
      </c>
      <c r="AR131" s="406">
        <v>0</v>
      </c>
      <c r="AS131" s="406">
        <v>0</v>
      </c>
      <c r="AT131" s="406">
        <v>0</v>
      </c>
      <c r="AU131" s="407">
        <f t="shared" si="55"/>
        <v>0</v>
      </c>
      <c r="AV131" s="407">
        <f t="shared" si="56"/>
        <v>100</v>
      </c>
      <c r="AW131" s="408">
        <f>AV131*0.05</f>
        <v>5</v>
      </c>
      <c r="AX131" s="406">
        <v>0</v>
      </c>
      <c r="AY131" s="406">
        <v>0</v>
      </c>
      <c r="AZ131" s="406">
        <v>0</v>
      </c>
      <c r="BA131" s="406">
        <v>0</v>
      </c>
      <c r="BB131" s="430">
        <f t="shared" si="57"/>
        <v>0</v>
      </c>
      <c r="BC131" s="407">
        <f t="shared" si="58"/>
        <v>25</v>
      </c>
      <c r="BD131" s="408">
        <f>BC131*0.03</f>
        <v>0.75</v>
      </c>
      <c r="BE131" s="340">
        <f t="shared" si="59"/>
        <v>11.25</v>
      </c>
    </row>
    <row r="132" spans="1:57" x14ac:dyDescent="0.6">
      <c r="A132" s="214" t="s">
        <v>1666</v>
      </c>
      <c r="B132" s="13" t="s">
        <v>2111</v>
      </c>
      <c r="C132" s="219" t="s">
        <v>1667</v>
      </c>
      <c r="D132" s="14" t="s">
        <v>191</v>
      </c>
      <c r="E132" s="217" t="s">
        <v>952</v>
      </c>
      <c r="F132" s="217" t="s">
        <v>1668</v>
      </c>
      <c r="G132" s="218">
        <v>41089</v>
      </c>
      <c r="H132" s="217" t="s">
        <v>830</v>
      </c>
      <c r="I132" s="217" t="s">
        <v>1669</v>
      </c>
      <c r="J132" s="217" t="s">
        <v>1670</v>
      </c>
      <c r="K132" s="217" t="s">
        <v>91</v>
      </c>
      <c r="L132" s="220">
        <v>350700455</v>
      </c>
      <c r="M132" s="206">
        <v>111544269</v>
      </c>
      <c r="N132" s="206">
        <v>239156186</v>
      </c>
      <c r="O132" s="206">
        <v>201116170</v>
      </c>
      <c r="P132" s="206">
        <v>13584493</v>
      </c>
      <c r="Q132" s="206">
        <v>10414124</v>
      </c>
      <c r="R132" s="206">
        <v>8295233</v>
      </c>
      <c r="S132" s="406">
        <v>0</v>
      </c>
      <c r="T132" s="428">
        <f t="shared" si="48"/>
        <v>50</v>
      </c>
      <c r="U132" s="415">
        <f t="shared" si="49"/>
        <v>0.5</v>
      </c>
      <c r="V132" s="405">
        <v>0</v>
      </c>
      <c r="W132" s="428">
        <f t="shared" si="50"/>
        <v>50</v>
      </c>
      <c r="X132" s="415">
        <f t="shared" si="51"/>
        <v>0.5</v>
      </c>
      <c r="Y132" s="406">
        <v>0</v>
      </c>
      <c r="Z132" s="429">
        <v>0</v>
      </c>
      <c r="AA132" s="430">
        <f t="shared" si="52"/>
        <v>50</v>
      </c>
      <c r="AB132" s="415">
        <f t="shared" si="53"/>
        <v>0.5</v>
      </c>
      <c r="AC132" s="431">
        <v>0</v>
      </c>
      <c r="AD132" s="432">
        <f t="shared" si="54"/>
        <v>100</v>
      </c>
      <c r="AE132" s="433">
        <f>AD132*0.04</f>
        <v>4</v>
      </c>
      <c r="AF132" s="434" t="s">
        <v>2326</v>
      </c>
      <c r="AG132" s="434" t="s">
        <v>2326</v>
      </c>
      <c r="AH132" s="434" t="s">
        <v>2326</v>
      </c>
      <c r="AI132" s="362"/>
      <c r="AJ132" s="434" t="s">
        <v>2326</v>
      </c>
      <c r="AK132" s="434" t="s">
        <v>2326</v>
      </c>
      <c r="AL132" s="363"/>
      <c r="AM132" s="406">
        <v>0</v>
      </c>
      <c r="AN132" s="406">
        <v>0</v>
      </c>
      <c r="AO132" s="406">
        <v>0</v>
      </c>
      <c r="AP132" s="406">
        <v>0</v>
      </c>
      <c r="AQ132" s="406">
        <v>0</v>
      </c>
      <c r="AR132" s="406">
        <v>0</v>
      </c>
      <c r="AS132" s="406">
        <v>0</v>
      </c>
      <c r="AT132" s="406">
        <v>0</v>
      </c>
      <c r="AU132" s="407">
        <f t="shared" si="55"/>
        <v>0</v>
      </c>
      <c r="AV132" s="407">
        <f t="shared" si="56"/>
        <v>100</v>
      </c>
      <c r="AW132" s="408">
        <f>AV132*0.05</f>
        <v>5</v>
      </c>
      <c r="AX132" s="406">
        <v>0</v>
      </c>
      <c r="AY132" s="406">
        <v>0</v>
      </c>
      <c r="AZ132" s="406">
        <v>0</v>
      </c>
      <c r="BA132" s="406">
        <v>0</v>
      </c>
      <c r="BB132" s="430">
        <f t="shared" si="57"/>
        <v>0</v>
      </c>
      <c r="BC132" s="407">
        <f t="shared" si="58"/>
        <v>25</v>
      </c>
      <c r="BD132" s="408">
        <f>BC132*0.03</f>
        <v>0.75</v>
      </c>
      <c r="BE132" s="340">
        <f t="shared" si="59"/>
        <v>11.25</v>
      </c>
    </row>
    <row r="133" spans="1:57" x14ac:dyDescent="0.6">
      <c r="A133" s="214" t="s">
        <v>73</v>
      </c>
      <c r="B133" s="13" t="s">
        <v>2112</v>
      </c>
      <c r="C133" s="219" t="s">
        <v>65</v>
      </c>
      <c r="D133" s="216" t="s">
        <v>191</v>
      </c>
      <c r="E133" s="217" t="s">
        <v>952</v>
      </c>
      <c r="F133" s="217" t="s">
        <v>166</v>
      </c>
      <c r="G133" s="218">
        <v>31770</v>
      </c>
      <c r="H133" s="217" t="s">
        <v>830</v>
      </c>
      <c r="I133" s="217" t="s">
        <v>1671</v>
      </c>
      <c r="J133" s="217" t="s">
        <v>1115</v>
      </c>
      <c r="K133" s="217" t="s">
        <v>91</v>
      </c>
      <c r="L133" s="220">
        <v>343207955</v>
      </c>
      <c r="M133" s="206">
        <v>137261542</v>
      </c>
      <c r="N133" s="206">
        <v>205946413</v>
      </c>
      <c r="O133" s="206">
        <v>369125207</v>
      </c>
      <c r="P133" s="206">
        <v>10201023</v>
      </c>
      <c r="Q133" s="206">
        <v>10693290</v>
      </c>
      <c r="R133" s="206">
        <v>8526794</v>
      </c>
      <c r="S133" s="406">
        <v>0</v>
      </c>
      <c r="T133" s="428">
        <f t="shared" si="48"/>
        <v>50</v>
      </c>
      <c r="U133" s="415">
        <f t="shared" si="49"/>
        <v>0.5</v>
      </c>
      <c r="V133" s="405">
        <v>0</v>
      </c>
      <c r="W133" s="428">
        <f t="shared" si="50"/>
        <v>50</v>
      </c>
      <c r="X133" s="415">
        <f t="shared" si="51"/>
        <v>0.5</v>
      </c>
      <c r="Y133" s="406">
        <v>0</v>
      </c>
      <c r="Z133" s="429">
        <v>0</v>
      </c>
      <c r="AA133" s="430">
        <f t="shared" si="52"/>
        <v>50</v>
      </c>
      <c r="AB133" s="415">
        <f t="shared" si="53"/>
        <v>0.5</v>
      </c>
      <c r="AC133" s="431">
        <v>0</v>
      </c>
      <c r="AD133" s="432">
        <f t="shared" si="54"/>
        <v>100</v>
      </c>
      <c r="AE133" s="433">
        <f>AD133*0.04</f>
        <v>4</v>
      </c>
      <c r="AF133" s="434" t="s">
        <v>2326</v>
      </c>
      <c r="AG133" s="434" t="s">
        <v>2326</v>
      </c>
      <c r="AH133" s="434" t="s">
        <v>2326</v>
      </c>
      <c r="AI133" s="362"/>
      <c r="AJ133" s="434" t="s">
        <v>2326</v>
      </c>
      <c r="AK133" s="434" t="s">
        <v>2326</v>
      </c>
      <c r="AL133" s="363"/>
      <c r="AM133" s="406">
        <v>0</v>
      </c>
      <c r="AN133" s="406">
        <v>0</v>
      </c>
      <c r="AO133" s="406">
        <v>0</v>
      </c>
      <c r="AP133" s="406">
        <v>0</v>
      </c>
      <c r="AQ133" s="406">
        <v>0</v>
      </c>
      <c r="AR133" s="406">
        <v>0</v>
      </c>
      <c r="AS133" s="406">
        <v>0</v>
      </c>
      <c r="AT133" s="406">
        <v>0</v>
      </c>
      <c r="AU133" s="407">
        <f t="shared" si="55"/>
        <v>0</v>
      </c>
      <c r="AV133" s="407">
        <f t="shared" si="56"/>
        <v>100</v>
      </c>
      <c r="AW133" s="408">
        <f>AV133*0.05</f>
        <v>5</v>
      </c>
      <c r="AX133" s="406">
        <v>0</v>
      </c>
      <c r="AY133" s="406">
        <v>0</v>
      </c>
      <c r="AZ133" s="406">
        <v>0</v>
      </c>
      <c r="BA133" s="406">
        <v>0</v>
      </c>
      <c r="BB133" s="430">
        <f t="shared" si="57"/>
        <v>0</v>
      </c>
      <c r="BC133" s="407">
        <f t="shared" si="58"/>
        <v>25</v>
      </c>
      <c r="BD133" s="408">
        <f>BC133*0.03</f>
        <v>0.75</v>
      </c>
      <c r="BE133" s="340">
        <f t="shared" si="59"/>
        <v>11.25</v>
      </c>
    </row>
    <row r="134" spans="1:57" x14ac:dyDescent="0.6">
      <c r="A134" s="214" t="s">
        <v>1672</v>
      </c>
      <c r="B134" s="13" t="s">
        <v>2113</v>
      </c>
      <c r="C134" s="219" t="s">
        <v>1673</v>
      </c>
      <c r="D134" s="14" t="s">
        <v>203</v>
      </c>
      <c r="E134" s="223" t="s">
        <v>617</v>
      </c>
      <c r="F134" s="223" t="s">
        <v>1674</v>
      </c>
      <c r="G134" s="224">
        <v>28913</v>
      </c>
      <c r="H134" s="223" t="s">
        <v>830</v>
      </c>
      <c r="I134" s="223" t="s">
        <v>1675</v>
      </c>
      <c r="J134" s="223" t="s">
        <v>1676</v>
      </c>
      <c r="K134" s="223" t="s">
        <v>690</v>
      </c>
      <c r="L134" s="225">
        <v>18848886743</v>
      </c>
      <c r="M134" s="226">
        <v>6192868704</v>
      </c>
      <c r="N134" s="226">
        <v>12656018039</v>
      </c>
      <c r="O134" s="226">
        <v>17458293610</v>
      </c>
      <c r="P134" s="226">
        <v>1010874359</v>
      </c>
      <c r="Q134" s="226">
        <v>1064689936</v>
      </c>
      <c r="R134" s="226">
        <v>865838207</v>
      </c>
      <c r="S134" s="406">
        <v>0</v>
      </c>
      <c r="T134" s="428">
        <f t="shared" si="48"/>
        <v>50</v>
      </c>
      <c r="U134" s="415">
        <f t="shared" si="49"/>
        <v>0.5</v>
      </c>
      <c r="V134" s="405">
        <v>0</v>
      </c>
      <c r="W134" s="428">
        <f t="shared" si="50"/>
        <v>50</v>
      </c>
      <c r="X134" s="415">
        <f t="shared" si="51"/>
        <v>0.5</v>
      </c>
      <c r="Y134" s="406">
        <v>0</v>
      </c>
      <c r="Z134" s="429">
        <v>0</v>
      </c>
      <c r="AA134" s="430">
        <f t="shared" si="52"/>
        <v>50</v>
      </c>
      <c r="AB134" s="415">
        <f t="shared" si="53"/>
        <v>0.5</v>
      </c>
      <c r="AC134" s="431">
        <v>0</v>
      </c>
      <c r="AD134" s="432">
        <f t="shared" si="54"/>
        <v>100</v>
      </c>
      <c r="AE134" s="433">
        <f>AD134*0.04</f>
        <v>4</v>
      </c>
      <c r="AF134" s="434" t="s">
        <v>2326</v>
      </c>
      <c r="AG134" s="434" t="s">
        <v>2326</v>
      </c>
      <c r="AH134" s="434" t="s">
        <v>2326</v>
      </c>
      <c r="AI134" s="362"/>
      <c r="AJ134" s="434" t="s">
        <v>2326</v>
      </c>
      <c r="AK134" s="434" t="s">
        <v>2326</v>
      </c>
      <c r="AL134" s="363"/>
      <c r="AM134" s="406">
        <v>0</v>
      </c>
      <c r="AN134" s="406">
        <v>0</v>
      </c>
      <c r="AO134" s="406">
        <v>0</v>
      </c>
      <c r="AP134" s="406">
        <v>0</v>
      </c>
      <c r="AQ134" s="406">
        <v>0</v>
      </c>
      <c r="AR134" s="406">
        <v>0</v>
      </c>
      <c r="AS134" s="406">
        <v>0</v>
      </c>
      <c r="AT134" s="406">
        <v>0</v>
      </c>
      <c r="AU134" s="407">
        <f t="shared" si="55"/>
        <v>0</v>
      </c>
      <c r="AV134" s="407">
        <f t="shared" si="56"/>
        <v>100</v>
      </c>
      <c r="AW134" s="408">
        <f>AV134*0.05</f>
        <v>5</v>
      </c>
      <c r="AX134" s="406">
        <v>0</v>
      </c>
      <c r="AY134" s="406">
        <v>0</v>
      </c>
      <c r="AZ134" s="406">
        <v>0</v>
      </c>
      <c r="BA134" s="406">
        <v>0</v>
      </c>
      <c r="BB134" s="430">
        <f t="shared" si="57"/>
        <v>0</v>
      </c>
      <c r="BC134" s="407">
        <f t="shared" si="58"/>
        <v>25</v>
      </c>
      <c r="BD134" s="408">
        <f>BC134*0.03</f>
        <v>0.75</v>
      </c>
      <c r="BE134" s="340">
        <f t="shared" si="59"/>
        <v>11.25</v>
      </c>
    </row>
    <row r="135" spans="1:57" x14ac:dyDescent="0.6">
      <c r="A135" s="214" t="s">
        <v>2114</v>
      </c>
      <c r="B135" s="1" t="s">
        <v>2115</v>
      </c>
      <c r="C135" s="227" t="s">
        <v>1677</v>
      </c>
      <c r="D135" s="6" t="s">
        <v>285</v>
      </c>
      <c r="E135" s="228" t="s">
        <v>171</v>
      </c>
      <c r="F135" s="228" t="s">
        <v>1678</v>
      </c>
      <c r="G135" s="229">
        <v>41991</v>
      </c>
      <c r="H135" s="228" t="s">
        <v>830</v>
      </c>
      <c r="I135" s="228" t="s">
        <v>1679</v>
      </c>
      <c r="J135" s="228" t="s">
        <v>1680</v>
      </c>
      <c r="K135" s="228" t="s">
        <v>91</v>
      </c>
      <c r="L135" s="9">
        <v>39636329822</v>
      </c>
      <c r="M135" s="9">
        <v>15712704458</v>
      </c>
      <c r="N135" s="9">
        <v>23923625364</v>
      </c>
      <c r="O135" s="9">
        <v>26406560657</v>
      </c>
      <c r="P135" s="9">
        <v>939411977</v>
      </c>
      <c r="Q135" s="9">
        <v>1886089047</v>
      </c>
      <c r="R135" s="9">
        <v>1461807709</v>
      </c>
      <c r="S135" s="406">
        <v>0</v>
      </c>
      <c r="T135" s="428">
        <f t="shared" si="48"/>
        <v>50</v>
      </c>
      <c r="U135" s="415">
        <f t="shared" si="49"/>
        <v>0.5</v>
      </c>
      <c r="V135" s="405">
        <v>0</v>
      </c>
      <c r="W135" s="428">
        <f t="shared" si="50"/>
        <v>50</v>
      </c>
      <c r="X135" s="415">
        <f t="shared" si="51"/>
        <v>0.5</v>
      </c>
      <c r="Y135" s="406">
        <v>1</v>
      </c>
      <c r="Z135" s="429">
        <v>0</v>
      </c>
      <c r="AA135" s="430">
        <f t="shared" si="52"/>
        <v>100</v>
      </c>
      <c r="AB135" s="415">
        <f t="shared" si="53"/>
        <v>1</v>
      </c>
      <c r="AC135" s="431">
        <v>1</v>
      </c>
      <c r="AD135" s="432">
        <f t="shared" si="54"/>
        <v>80</v>
      </c>
      <c r="AE135" s="433">
        <f>AD135*0.04</f>
        <v>3.2</v>
      </c>
      <c r="AF135" s="434" t="s">
        <v>2326</v>
      </c>
      <c r="AG135" s="434" t="s">
        <v>2326</v>
      </c>
      <c r="AH135" s="434" t="s">
        <v>2326</v>
      </c>
      <c r="AI135" s="362"/>
      <c r="AJ135" s="434" t="s">
        <v>2326</v>
      </c>
      <c r="AK135" s="434" t="s">
        <v>2326</v>
      </c>
      <c r="AL135" s="363"/>
      <c r="AM135" s="406">
        <v>0</v>
      </c>
      <c r="AN135" s="406">
        <v>0</v>
      </c>
      <c r="AO135" s="406">
        <v>0</v>
      </c>
      <c r="AP135" s="406">
        <v>0</v>
      </c>
      <c r="AQ135" s="406">
        <v>0</v>
      </c>
      <c r="AR135" s="406">
        <v>0</v>
      </c>
      <c r="AS135" s="406">
        <v>0</v>
      </c>
      <c r="AT135" s="406">
        <v>0</v>
      </c>
      <c r="AU135" s="407">
        <f t="shared" si="55"/>
        <v>0</v>
      </c>
      <c r="AV135" s="407">
        <f t="shared" si="56"/>
        <v>100</v>
      </c>
      <c r="AW135" s="408">
        <f>AV135*0.05</f>
        <v>5</v>
      </c>
      <c r="AX135" s="406">
        <v>0</v>
      </c>
      <c r="AY135" s="406">
        <v>0</v>
      </c>
      <c r="AZ135" s="406">
        <v>0</v>
      </c>
      <c r="BA135" s="406">
        <v>0</v>
      </c>
      <c r="BB135" s="430">
        <f t="shared" si="57"/>
        <v>0</v>
      </c>
      <c r="BC135" s="407">
        <f t="shared" si="58"/>
        <v>25</v>
      </c>
      <c r="BD135" s="408">
        <f>BC135*0.03</f>
        <v>0.75</v>
      </c>
      <c r="BE135" s="340">
        <f t="shared" si="59"/>
        <v>10.95</v>
      </c>
    </row>
    <row r="136" spans="1:57" x14ac:dyDescent="0.6">
      <c r="A136" s="214" t="s">
        <v>406</v>
      </c>
      <c r="B136" s="13" t="s">
        <v>2116</v>
      </c>
      <c r="C136" s="219" t="s">
        <v>24</v>
      </c>
      <c r="D136" s="221" t="s">
        <v>481</v>
      </c>
      <c r="E136" s="230" t="s">
        <v>704</v>
      </c>
      <c r="F136" s="230" t="s">
        <v>270</v>
      </c>
      <c r="G136" s="231">
        <v>40310</v>
      </c>
      <c r="H136" s="230" t="s">
        <v>830</v>
      </c>
      <c r="I136" s="230" t="s">
        <v>711</v>
      </c>
      <c r="J136" s="230" t="s">
        <v>1185</v>
      </c>
      <c r="K136" s="230" t="s">
        <v>91</v>
      </c>
      <c r="L136" s="232">
        <v>281498132000</v>
      </c>
      <c r="M136" s="233">
        <v>263811626000</v>
      </c>
      <c r="N136" s="233">
        <v>17686506000</v>
      </c>
      <c r="O136" s="233">
        <v>34485080000</v>
      </c>
      <c r="P136" s="233">
        <v>214616000</v>
      </c>
      <c r="Q136" s="233">
        <v>784965000</v>
      </c>
      <c r="R136" s="233">
        <v>616696000</v>
      </c>
      <c r="S136" s="406">
        <v>0</v>
      </c>
      <c r="T136" s="428">
        <f t="shared" si="48"/>
        <v>50</v>
      </c>
      <c r="U136" s="415">
        <f t="shared" si="49"/>
        <v>0.5</v>
      </c>
      <c r="V136" s="405">
        <v>0</v>
      </c>
      <c r="W136" s="428">
        <f t="shared" si="50"/>
        <v>50</v>
      </c>
      <c r="X136" s="415">
        <f t="shared" si="51"/>
        <v>0.5</v>
      </c>
      <c r="Y136" s="406">
        <v>1</v>
      </c>
      <c r="Z136" s="429">
        <v>0</v>
      </c>
      <c r="AA136" s="430">
        <f t="shared" si="52"/>
        <v>100</v>
      </c>
      <c r="AB136" s="415">
        <f t="shared" si="53"/>
        <v>1</v>
      </c>
      <c r="AC136" s="75">
        <v>1</v>
      </c>
      <c r="AD136" s="432">
        <f t="shared" si="54"/>
        <v>80</v>
      </c>
      <c r="AE136" s="435">
        <f>AD136*0.03</f>
        <v>2.4</v>
      </c>
      <c r="AF136" s="436">
        <v>5.87</v>
      </c>
      <c r="AG136" s="437">
        <f>(_xlfn.PERCENTRANK.INC(AF:AF,AF136, 2))*100</f>
        <v>76</v>
      </c>
      <c r="AH136" s="437">
        <f>IF(AF136=0, 100, IF(AG136&lt;10, 80, IF(AG136&lt;50, 60, IF(AG136&lt;90, 40, 20))))</f>
        <v>40</v>
      </c>
      <c r="AI136" s="263">
        <f>AH136*0.03</f>
        <v>1.2</v>
      </c>
      <c r="AJ136" s="264" t="s">
        <v>3540</v>
      </c>
      <c r="AK136" s="265">
        <f>IF(AJ136="우수", 100, IF(AJ136="양호", 80, IF(AJ136="보통", 60, IF(AJ136= "평가미대상", 60, IF(AJ136="미흡", 40, IF(AJ136="취약", 20))))))</f>
        <v>60</v>
      </c>
      <c r="AL136" s="141">
        <f>AK136*0.03</f>
        <v>1.7999999999999998</v>
      </c>
      <c r="AM136" s="406">
        <v>0</v>
      </c>
      <c r="AN136" s="406">
        <v>0</v>
      </c>
      <c r="AO136" s="406">
        <v>0</v>
      </c>
      <c r="AP136" s="406">
        <v>0</v>
      </c>
      <c r="AQ136" s="406">
        <v>0</v>
      </c>
      <c r="AR136" s="406">
        <v>0</v>
      </c>
      <c r="AS136" s="406">
        <v>0</v>
      </c>
      <c r="AT136" s="406">
        <v>0</v>
      </c>
      <c r="AU136" s="407">
        <f t="shared" si="55"/>
        <v>0</v>
      </c>
      <c r="AV136" s="407">
        <f t="shared" si="56"/>
        <v>100</v>
      </c>
      <c r="AW136" s="438">
        <f>AV136*0.02</f>
        <v>2</v>
      </c>
      <c r="AX136" s="406">
        <v>0</v>
      </c>
      <c r="AY136" s="406">
        <v>0</v>
      </c>
      <c r="AZ136" s="406">
        <v>0</v>
      </c>
      <c r="BA136" s="406">
        <v>0</v>
      </c>
      <c r="BB136" s="430">
        <f t="shared" si="57"/>
        <v>0</v>
      </c>
      <c r="BC136" s="407">
        <f t="shared" si="58"/>
        <v>25</v>
      </c>
      <c r="BD136" s="418">
        <f>BC136*0.01</f>
        <v>0.25</v>
      </c>
      <c r="BE136" s="340">
        <f t="shared" si="59"/>
        <v>9.65</v>
      </c>
    </row>
    <row r="137" spans="1:57" x14ac:dyDescent="0.6">
      <c r="A137" s="214" t="s">
        <v>372</v>
      </c>
      <c r="B137" s="13" t="s">
        <v>2117</v>
      </c>
      <c r="C137" s="219" t="s">
        <v>470</v>
      </c>
      <c r="D137" s="216" t="s">
        <v>285</v>
      </c>
      <c r="E137" s="217" t="s">
        <v>1034</v>
      </c>
      <c r="F137" s="217" t="s">
        <v>380</v>
      </c>
      <c r="G137" s="218">
        <v>41957</v>
      </c>
      <c r="H137" s="217" t="s">
        <v>830</v>
      </c>
      <c r="I137" s="217" t="s">
        <v>832</v>
      </c>
      <c r="J137" s="217" t="s">
        <v>1178</v>
      </c>
      <c r="K137" s="217" t="s">
        <v>91</v>
      </c>
      <c r="L137" s="220">
        <v>7628899434</v>
      </c>
      <c r="M137" s="206">
        <v>1614217740</v>
      </c>
      <c r="N137" s="206">
        <v>6014681694</v>
      </c>
      <c r="O137" s="206">
        <v>5174554118</v>
      </c>
      <c r="P137" s="206">
        <v>296153499</v>
      </c>
      <c r="Q137" s="206">
        <v>482313799</v>
      </c>
      <c r="R137" s="206">
        <v>530145587</v>
      </c>
      <c r="S137" s="406">
        <v>0</v>
      </c>
      <c r="T137" s="428">
        <f t="shared" si="48"/>
        <v>50</v>
      </c>
      <c r="U137" s="415">
        <f t="shared" si="49"/>
        <v>0.5</v>
      </c>
      <c r="V137" s="405">
        <v>0</v>
      </c>
      <c r="W137" s="428">
        <f t="shared" si="50"/>
        <v>50</v>
      </c>
      <c r="X137" s="415">
        <f t="shared" si="51"/>
        <v>0.5</v>
      </c>
      <c r="Y137" s="406">
        <v>1</v>
      </c>
      <c r="Z137" s="429">
        <v>0</v>
      </c>
      <c r="AA137" s="430">
        <f t="shared" si="52"/>
        <v>100</v>
      </c>
      <c r="AB137" s="415">
        <f t="shared" si="53"/>
        <v>1</v>
      </c>
      <c r="AC137" s="431">
        <v>0</v>
      </c>
      <c r="AD137" s="432">
        <f t="shared" si="54"/>
        <v>100</v>
      </c>
      <c r="AE137" s="433">
        <f>AD137*0.04</f>
        <v>4</v>
      </c>
      <c r="AF137" s="434" t="s">
        <v>2326</v>
      </c>
      <c r="AG137" s="434" t="s">
        <v>2326</v>
      </c>
      <c r="AH137" s="434" t="s">
        <v>2326</v>
      </c>
      <c r="AI137" s="362"/>
      <c r="AJ137" s="434" t="s">
        <v>2326</v>
      </c>
      <c r="AK137" s="434" t="s">
        <v>2326</v>
      </c>
      <c r="AL137" s="363"/>
      <c r="AM137" s="406">
        <v>0</v>
      </c>
      <c r="AN137" s="406">
        <v>0</v>
      </c>
      <c r="AO137" s="406">
        <v>0</v>
      </c>
      <c r="AP137" s="406">
        <v>0</v>
      </c>
      <c r="AQ137" s="406">
        <v>0</v>
      </c>
      <c r="AR137" s="406">
        <v>0</v>
      </c>
      <c r="AS137" s="406">
        <v>0</v>
      </c>
      <c r="AT137" s="406">
        <v>0</v>
      </c>
      <c r="AU137" s="407">
        <f t="shared" si="55"/>
        <v>0</v>
      </c>
      <c r="AV137" s="407">
        <f t="shared" si="56"/>
        <v>100</v>
      </c>
      <c r="AW137" s="408">
        <f>AV137*0.05</f>
        <v>5</v>
      </c>
      <c r="AX137" s="406">
        <v>0</v>
      </c>
      <c r="AY137" s="406">
        <v>0</v>
      </c>
      <c r="AZ137" s="406">
        <v>0</v>
      </c>
      <c r="BA137" s="406">
        <v>0</v>
      </c>
      <c r="BB137" s="430">
        <f t="shared" si="57"/>
        <v>0</v>
      </c>
      <c r="BC137" s="407">
        <f t="shared" si="58"/>
        <v>25</v>
      </c>
      <c r="BD137" s="408">
        <f>BC137*0.03</f>
        <v>0.75</v>
      </c>
      <c r="BE137" s="340">
        <f t="shared" si="59"/>
        <v>11.75</v>
      </c>
    </row>
    <row r="138" spans="1:57" x14ac:dyDescent="0.6">
      <c r="A138" s="214" t="s">
        <v>1681</v>
      </c>
      <c r="B138" s="13" t="s">
        <v>2118</v>
      </c>
      <c r="C138" s="219" t="s">
        <v>884</v>
      </c>
      <c r="D138" s="14" t="s">
        <v>202</v>
      </c>
      <c r="E138" s="217" t="s">
        <v>1167</v>
      </c>
      <c r="F138" s="217" t="s">
        <v>658</v>
      </c>
      <c r="G138" s="218">
        <v>35423</v>
      </c>
      <c r="H138" s="217" t="s">
        <v>830</v>
      </c>
      <c r="I138" s="217" t="s">
        <v>1682</v>
      </c>
      <c r="J138" s="217" t="s">
        <v>384</v>
      </c>
      <c r="K138" s="217" t="s">
        <v>91</v>
      </c>
      <c r="L138" s="220">
        <v>5165940385</v>
      </c>
      <c r="M138" s="206">
        <v>3460358420</v>
      </c>
      <c r="N138" s="206">
        <v>1705581965</v>
      </c>
      <c r="O138" s="206">
        <v>6673315540</v>
      </c>
      <c r="P138" s="206">
        <v>504880672</v>
      </c>
      <c r="Q138" s="206">
        <v>403831051</v>
      </c>
      <c r="R138" s="206">
        <v>307787439</v>
      </c>
      <c r="S138" s="406">
        <v>0</v>
      </c>
      <c r="T138" s="428">
        <f t="shared" si="48"/>
        <v>50</v>
      </c>
      <c r="U138" s="415">
        <f t="shared" si="49"/>
        <v>0.5</v>
      </c>
      <c r="V138" s="405">
        <v>0</v>
      </c>
      <c r="W138" s="428">
        <f t="shared" si="50"/>
        <v>50</v>
      </c>
      <c r="X138" s="415">
        <f t="shared" si="51"/>
        <v>0.5</v>
      </c>
      <c r="Y138" s="406">
        <v>0</v>
      </c>
      <c r="Z138" s="429">
        <v>0</v>
      </c>
      <c r="AA138" s="430">
        <f t="shared" si="52"/>
        <v>50</v>
      </c>
      <c r="AB138" s="415">
        <f t="shared" si="53"/>
        <v>0.5</v>
      </c>
      <c r="AC138" s="431">
        <v>0</v>
      </c>
      <c r="AD138" s="432">
        <f t="shared" si="54"/>
        <v>100</v>
      </c>
      <c r="AE138" s="433">
        <f>AD138*0.04</f>
        <v>4</v>
      </c>
      <c r="AF138" s="434" t="s">
        <v>2326</v>
      </c>
      <c r="AG138" s="434" t="s">
        <v>2326</v>
      </c>
      <c r="AH138" s="434" t="s">
        <v>2326</v>
      </c>
      <c r="AI138" s="362"/>
      <c r="AJ138" s="434" t="s">
        <v>2326</v>
      </c>
      <c r="AK138" s="434" t="s">
        <v>2326</v>
      </c>
      <c r="AL138" s="363"/>
      <c r="AM138" s="406">
        <v>0</v>
      </c>
      <c r="AN138" s="406">
        <v>0</v>
      </c>
      <c r="AO138" s="406">
        <v>0</v>
      </c>
      <c r="AP138" s="406">
        <v>0</v>
      </c>
      <c r="AQ138" s="406">
        <v>0</v>
      </c>
      <c r="AR138" s="406">
        <v>0</v>
      </c>
      <c r="AS138" s="406">
        <v>0</v>
      </c>
      <c r="AT138" s="406">
        <v>0</v>
      </c>
      <c r="AU138" s="407">
        <f t="shared" si="55"/>
        <v>0</v>
      </c>
      <c r="AV138" s="407">
        <f t="shared" si="56"/>
        <v>100</v>
      </c>
      <c r="AW138" s="408">
        <f>AV138*0.05</f>
        <v>5</v>
      </c>
      <c r="AX138" s="406">
        <v>0</v>
      </c>
      <c r="AY138" s="406">
        <v>0</v>
      </c>
      <c r="AZ138" s="406">
        <v>0</v>
      </c>
      <c r="BA138" s="406">
        <v>0</v>
      </c>
      <c r="BB138" s="430">
        <f t="shared" si="57"/>
        <v>0</v>
      </c>
      <c r="BC138" s="407">
        <f t="shared" si="58"/>
        <v>25</v>
      </c>
      <c r="BD138" s="408">
        <f>BC138*0.03</f>
        <v>0.75</v>
      </c>
      <c r="BE138" s="340">
        <f t="shared" si="59"/>
        <v>11.25</v>
      </c>
    </row>
    <row r="139" spans="1:57" x14ac:dyDescent="0.6">
      <c r="A139" s="214" t="s">
        <v>1683</v>
      </c>
      <c r="B139" s="13" t="s">
        <v>2119</v>
      </c>
      <c r="C139" s="219" t="s">
        <v>1684</v>
      </c>
      <c r="D139" s="14" t="s">
        <v>202</v>
      </c>
      <c r="E139" s="217" t="s">
        <v>205</v>
      </c>
      <c r="F139" s="217" t="s">
        <v>1685</v>
      </c>
      <c r="G139" s="218">
        <v>28913</v>
      </c>
      <c r="H139" s="217" t="s">
        <v>830</v>
      </c>
      <c r="I139" s="217" t="s">
        <v>1686</v>
      </c>
      <c r="J139" s="217" t="s">
        <v>1687</v>
      </c>
      <c r="K139" s="217" t="s">
        <v>690</v>
      </c>
      <c r="L139" s="220">
        <v>7910256817</v>
      </c>
      <c r="M139" s="206">
        <v>2124391740</v>
      </c>
      <c r="N139" s="206">
        <v>5785865077</v>
      </c>
      <c r="O139" s="206">
        <v>7244994321</v>
      </c>
      <c r="P139" s="206">
        <v>799695030</v>
      </c>
      <c r="Q139" s="206">
        <v>929802982</v>
      </c>
      <c r="R139" s="206">
        <v>701357778</v>
      </c>
      <c r="S139" s="406">
        <v>0</v>
      </c>
      <c r="T139" s="428">
        <f t="shared" si="48"/>
        <v>50</v>
      </c>
      <c r="U139" s="415">
        <f t="shared" si="49"/>
        <v>0.5</v>
      </c>
      <c r="V139" s="405">
        <v>0</v>
      </c>
      <c r="W139" s="428">
        <f t="shared" si="50"/>
        <v>50</v>
      </c>
      <c r="X139" s="415">
        <f t="shared" si="51"/>
        <v>0.5</v>
      </c>
      <c r="Y139" s="406">
        <v>0</v>
      </c>
      <c r="Z139" s="429">
        <v>0</v>
      </c>
      <c r="AA139" s="430">
        <f t="shared" si="52"/>
        <v>50</v>
      </c>
      <c r="AB139" s="415">
        <f t="shared" si="53"/>
        <v>0.5</v>
      </c>
      <c r="AC139" s="431">
        <v>0</v>
      </c>
      <c r="AD139" s="432">
        <f t="shared" si="54"/>
        <v>100</v>
      </c>
      <c r="AE139" s="433">
        <f>AD139*0.04</f>
        <v>4</v>
      </c>
      <c r="AF139" s="434" t="s">
        <v>2326</v>
      </c>
      <c r="AG139" s="434" t="s">
        <v>2326</v>
      </c>
      <c r="AH139" s="434" t="s">
        <v>2326</v>
      </c>
      <c r="AI139" s="362"/>
      <c r="AJ139" s="434" t="s">
        <v>2326</v>
      </c>
      <c r="AK139" s="434" t="s">
        <v>2326</v>
      </c>
      <c r="AL139" s="363"/>
      <c r="AM139" s="406">
        <v>0</v>
      </c>
      <c r="AN139" s="406">
        <v>0</v>
      </c>
      <c r="AO139" s="406">
        <v>0</v>
      </c>
      <c r="AP139" s="406">
        <v>0</v>
      </c>
      <c r="AQ139" s="406">
        <v>0</v>
      </c>
      <c r="AR139" s="406">
        <v>0</v>
      </c>
      <c r="AS139" s="406">
        <v>0</v>
      </c>
      <c r="AT139" s="406">
        <v>0</v>
      </c>
      <c r="AU139" s="407">
        <f t="shared" si="55"/>
        <v>0</v>
      </c>
      <c r="AV139" s="407">
        <f t="shared" si="56"/>
        <v>100</v>
      </c>
      <c r="AW139" s="408">
        <f>AV139*0.05</f>
        <v>5</v>
      </c>
      <c r="AX139" s="406">
        <v>0</v>
      </c>
      <c r="AY139" s="406">
        <v>0</v>
      </c>
      <c r="AZ139" s="406">
        <v>0</v>
      </c>
      <c r="BA139" s="406">
        <v>0</v>
      </c>
      <c r="BB139" s="430">
        <f t="shared" si="57"/>
        <v>0</v>
      </c>
      <c r="BC139" s="407">
        <f t="shared" si="58"/>
        <v>25</v>
      </c>
      <c r="BD139" s="408">
        <f>BC139*0.03</f>
        <v>0.75</v>
      </c>
      <c r="BE139" s="340">
        <f t="shared" si="59"/>
        <v>11.25</v>
      </c>
    </row>
    <row r="140" spans="1:57" x14ac:dyDescent="0.6">
      <c r="A140" s="214" t="s">
        <v>1688</v>
      </c>
      <c r="B140" s="13" t="s">
        <v>2120</v>
      </c>
      <c r="C140" s="219" t="s">
        <v>1689</v>
      </c>
      <c r="D140" s="14" t="s">
        <v>202</v>
      </c>
      <c r="E140" s="217" t="s">
        <v>623</v>
      </c>
      <c r="F140" s="217" t="s">
        <v>1690</v>
      </c>
      <c r="G140" s="218">
        <v>27556</v>
      </c>
      <c r="H140" s="217" t="s">
        <v>830</v>
      </c>
      <c r="I140" s="217" t="s">
        <v>1691</v>
      </c>
      <c r="J140" s="217" t="s">
        <v>1692</v>
      </c>
      <c r="K140" s="217" t="s">
        <v>690</v>
      </c>
      <c r="L140" s="220">
        <v>260083750000</v>
      </c>
      <c r="M140" s="206">
        <v>50667559000</v>
      </c>
      <c r="N140" s="206">
        <v>209416191000</v>
      </c>
      <c r="O140" s="206">
        <v>211867483000</v>
      </c>
      <c r="P140" s="206">
        <v>25319329000</v>
      </c>
      <c r="Q140" s="206">
        <v>29691920000</v>
      </c>
      <c r="R140" s="206">
        <v>25418778000</v>
      </c>
      <c r="S140" s="406">
        <v>0</v>
      </c>
      <c r="T140" s="428">
        <f t="shared" si="48"/>
        <v>50</v>
      </c>
      <c r="U140" s="415">
        <f t="shared" si="49"/>
        <v>0.5</v>
      </c>
      <c r="V140" s="405">
        <v>0</v>
      </c>
      <c r="W140" s="428">
        <f t="shared" si="50"/>
        <v>50</v>
      </c>
      <c r="X140" s="415">
        <f t="shared" si="51"/>
        <v>0.5</v>
      </c>
      <c r="Y140" s="406">
        <v>0</v>
      </c>
      <c r="Z140" s="429">
        <v>0</v>
      </c>
      <c r="AA140" s="430">
        <f t="shared" si="52"/>
        <v>50</v>
      </c>
      <c r="AB140" s="415">
        <f t="shared" si="53"/>
        <v>0.5</v>
      </c>
      <c r="AC140" s="431">
        <v>12</v>
      </c>
      <c r="AD140" s="432">
        <f t="shared" si="54"/>
        <v>20</v>
      </c>
      <c r="AE140" s="433">
        <f>AD140*0.04</f>
        <v>0.8</v>
      </c>
      <c r="AF140" s="434" t="s">
        <v>2326</v>
      </c>
      <c r="AG140" s="434" t="s">
        <v>2326</v>
      </c>
      <c r="AH140" s="434" t="s">
        <v>2326</v>
      </c>
      <c r="AI140" s="362"/>
      <c r="AJ140" s="434" t="s">
        <v>2326</v>
      </c>
      <c r="AK140" s="434" t="s">
        <v>2326</v>
      </c>
      <c r="AL140" s="363"/>
      <c r="AM140" s="406">
        <v>0</v>
      </c>
      <c r="AN140" s="406">
        <v>0</v>
      </c>
      <c r="AO140" s="406">
        <v>0</v>
      </c>
      <c r="AP140" s="406">
        <v>0</v>
      </c>
      <c r="AQ140" s="406">
        <v>0</v>
      </c>
      <c r="AR140" s="406">
        <v>0</v>
      </c>
      <c r="AS140" s="406">
        <v>0</v>
      </c>
      <c r="AT140" s="406">
        <v>0</v>
      </c>
      <c r="AU140" s="407">
        <f t="shared" si="55"/>
        <v>0</v>
      </c>
      <c r="AV140" s="407">
        <f t="shared" si="56"/>
        <v>100</v>
      </c>
      <c r="AW140" s="408">
        <f>AV140*0.05</f>
        <v>5</v>
      </c>
      <c r="AX140" s="406">
        <v>0</v>
      </c>
      <c r="AY140" s="406">
        <v>0</v>
      </c>
      <c r="AZ140" s="406">
        <v>0</v>
      </c>
      <c r="BA140" s="406">
        <v>0</v>
      </c>
      <c r="BB140" s="430">
        <f t="shared" si="57"/>
        <v>0</v>
      </c>
      <c r="BC140" s="407">
        <f t="shared" si="58"/>
        <v>25</v>
      </c>
      <c r="BD140" s="408">
        <f>BC140*0.03</f>
        <v>0.75</v>
      </c>
      <c r="BE140" s="340">
        <f t="shared" si="59"/>
        <v>8.0500000000000007</v>
      </c>
    </row>
    <row r="141" spans="1:57" x14ac:dyDescent="0.6">
      <c r="A141" s="214" t="s">
        <v>531</v>
      </c>
      <c r="B141" s="13" t="s">
        <v>2121</v>
      </c>
      <c r="C141" s="219" t="s">
        <v>422</v>
      </c>
      <c r="D141" s="221" t="s">
        <v>350</v>
      </c>
      <c r="E141" s="217" t="s">
        <v>179</v>
      </c>
      <c r="F141" s="217" t="s">
        <v>993</v>
      </c>
      <c r="G141" s="218">
        <v>32230</v>
      </c>
      <c r="H141" s="217" t="s">
        <v>830</v>
      </c>
      <c r="I141" s="217" t="s">
        <v>756</v>
      </c>
      <c r="J141" s="217" t="s">
        <v>1174</v>
      </c>
      <c r="K141" s="217" t="s">
        <v>91</v>
      </c>
      <c r="L141" s="220">
        <v>47708236386</v>
      </c>
      <c r="M141" s="206">
        <v>41728539853</v>
      </c>
      <c r="N141" s="206">
        <v>5979696533</v>
      </c>
      <c r="O141" s="206">
        <v>13122029972</v>
      </c>
      <c r="P141" s="206">
        <v>522368891</v>
      </c>
      <c r="Q141" s="206">
        <v>514777360</v>
      </c>
      <c r="R141" s="206">
        <v>377508788</v>
      </c>
      <c r="S141" s="406">
        <v>0</v>
      </c>
      <c r="T141" s="428">
        <f t="shared" si="48"/>
        <v>50</v>
      </c>
      <c r="U141" s="415">
        <f t="shared" si="49"/>
        <v>0.5</v>
      </c>
      <c r="V141" s="405">
        <v>1</v>
      </c>
      <c r="W141" s="428">
        <f t="shared" si="50"/>
        <v>100</v>
      </c>
      <c r="X141" s="415">
        <f t="shared" si="51"/>
        <v>1</v>
      </c>
      <c r="Y141" s="406">
        <v>1</v>
      </c>
      <c r="Z141" s="429">
        <v>0</v>
      </c>
      <c r="AA141" s="430">
        <f t="shared" si="52"/>
        <v>100</v>
      </c>
      <c r="AB141" s="415">
        <f t="shared" si="53"/>
        <v>1</v>
      </c>
      <c r="AC141" s="75">
        <v>0</v>
      </c>
      <c r="AD141" s="432">
        <f t="shared" si="54"/>
        <v>100</v>
      </c>
      <c r="AE141" s="435">
        <f>AD141*0.03</f>
        <v>3</v>
      </c>
      <c r="AF141" s="436">
        <v>1</v>
      </c>
      <c r="AG141" s="437">
        <f>(_xlfn.PERCENTRANK.INC(AF:AF,AF141, 2))*100</f>
        <v>46</v>
      </c>
      <c r="AH141" s="437">
        <f>IF(AF141=0, 100, IF(AG141&lt;10, 80, IF(AG141&lt;50, 60, IF(AG141&lt;90, 40, 20))))</f>
        <v>60</v>
      </c>
      <c r="AI141" s="263">
        <f>AH141*0.03</f>
        <v>1.7999999999999998</v>
      </c>
      <c r="AJ141" s="264" t="s">
        <v>3540</v>
      </c>
      <c r="AK141" s="265">
        <f>IF(AJ141="우수", 100, IF(AJ141="양호", 80, IF(AJ141="보통", 60, IF(AJ141= "평가미대상", 60, IF(AJ141="미흡", 40, IF(AJ141="취약", 20))))))</f>
        <v>60</v>
      </c>
      <c r="AL141" s="141">
        <f>AK141*0.03</f>
        <v>1.7999999999999998</v>
      </c>
      <c r="AM141" s="406">
        <v>0</v>
      </c>
      <c r="AN141" s="406">
        <v>0</v>
      </c>
      <c r="AO141" s="406">
        <v>0</v>
      </c>
      <c r="AP141" s="406">
        <v>0</v>
      </c>
      <c r="AQ141" s="406">
        <v>0</v>
      </c>
      <c r="AR141" s="406">
        <v>0</v>
      </c>
      <c r="AS141" s="406">
        <v>0</v>
      </c>
      <c r="AT141" s="406">
        <v>0</v>
      </c>
      <c r="AU141" s="407">
        <f t="shared" si="55"/>
        <v>0</v>
      </c>
      <c r="AV141" s="407">
        <f t="shared" si="56"/>
        <v>100</v>
      </c>
      <c r="AW141" s="438">
        <f>AV141*0.02</f>
        <v>2</v>
      </c>
      <c r="AX141" s="406">
        <v>0</v>
      </c>
      <c r="AY141" s="406">
        <v>0</v>
      </c>
      <c r="AZ141" s="406">
        <v>0</v>
      </c>
      <c r="BA141" s="406">
        <v>0</v>
      </c>
      <c r="BB141" s="430">
        <f t="shared" si="57"/>
        <v>0</v>
      </c>
      <c r="BC141" s="407">
        <f t="shared" si="58"/>
        <v>25</v>
      </c>
      <c r="BD141" s="418">
        <f>BC141*0.01</f>
        <v>0.25</v>
      </c>
      <c r="BE141" s="340">
        <f t="shared" si="59"/>
        <v>11.35</v>
      </c>
    </row>
    <row r="142" spans="1:57" x14ac:dyDescent="0.6">
      <c r="A142" s="214" t="s">
        <v>891</v>
      </c>
      <c r="B142" s="13" t="s">
        <v>2122</v>
      </c>
      <c r="C142" s="219" t="s">
        <v>336</v>
      </c>
      <c r="D142" s="221" t="s">
        <v>88</v>
      </c>
      <c r="E142" s="217" t="s">
        <v>61</v>
      </c>
      <c r="F142" s="217" t="s">
        <v>1</v>
      </c>
      <c r="G142" s="218">
        <v>39260</v>
      </c>
      <c r="H142" s="217" t="s">
        <v>830</v>
      </c>
      <c r="I142" s="217" t="s">
        <v>816</v>
      </c>
      <c r="J142" s="217" t="s">
        <v>666</v>
      </c>
      <c r="K142" s="217" t="s">
        <v>91</v>
      </c>
      <c r="L142" s="220">
        <v>29407344093</v>
      </c>
      <c r="M142" s="206">
        <v>21565863258</v>
      </c>
      <c r="N142" s="206">
        <v>7841480835</v>
      </c>
      <c r="O142" s="206">
        <v>3641606365</v>
      </c>
      <c r="P142" s="206">
        <v>846324379</v>
      </c>
      <c r="Q142" s="206">
        <v>843940009</v>
      </c>
      <c r="R142" s="206">
        <v>617150148</v>
      </c>
      <c r="S142" s="406">
        <v>0</v>
      </c>
      <c r="T142" s="428">
        <f t="shared" si="48"/>
        <v>50</v>
      </c>
      <c r="U142" s="415">
        <f t="shared" si="49"/>
        <v>0.5</v>
      </c>
      <c r="V142" s="405">
        <v>0</v>
      </c>
      <c r="W142" s="428">
        <f t="shared" si="50"/>
        <v>50</v>
      </c>
      <c r="X142" s="415">
        <f t="shared" si="51"/>
        <v>0.5</v>
      </c>
      <c r="Y142" s="406">
        <v>1</v>
      </c>
      <c r="Z142" s="429">
        <v>0</v>
      </c>
      <c r="AA142" s="430">
        <f t="shared" si="52"/>
        <v>100</v>
      </c>
      <c r="AB142" s="415">
        <f t="shared" si="53"/>
        <v>1</v>
      </c>
      <c r="AC142" s="75">
        <v>0</v>
      </c>
      <c r="AD142" s="432">
        <f t="shared" si="54"/>
        <v>100</v>
      </c>
      <c r="AE142" s="435">
        <f>AD142*0.03</f>
        <v>3</v>
      </c>
      <c r="AF142" s="436">
        <v>0</v>
      </c>
      <c r="AG142" s="437">
        <f>(_xlfn.PERCENTRANK.INC(AF:AF,AF142, 2))*100</f>
        <v>0</v>
      </c>
      <c r="AH142" s="437">
        <f>IF(AF142=0, 100, IF(AG142&lt;10, 80, IF(AG142&lt;50, 60, IF(AG142&lt;90, 40, 20))))</f>
        <v>100</v>
      </c>
      <c r="AI142" s="263">
        <f>AH142*0.03</f>
        <v>3</v>
      </c>
      <c r="AJ142" s="264" t="s">
        <v>3541</v>
      </c>
      <c r="AK142" s="265">
        <f>IF(AJ142="우수", 100, IF(AJ142="양호", 80, IF(AJ142="보통", 60, IF(AJ142= "평가미대상", 60, IF(AJ142="미흡", 40, IF(AJ142="취약", 20))))))</f>
        <v>60</v>
      </c>
      <c r="AL142" s="141">
        <f>AK142*0.03</f>
        <v>1.7999999999999998</v>
      </c>
      <c r="AM142" s="406">
        <v>0</v>
      </c>
      <c r="AN142" s="406">
        <v>0</v>
      </c>
      <c r="AO142" s="406">
        <v>0</v>
      </c>
      <c r="AP142" s="406">
        <v>0</v>
      </c>
      <c r="AQ142" s="406">
        <v>0</v>
      </c>
      <c r="AR142" s="406">
        <v>0</v>
      </c>
      <c r="AS142" s="406">
        <v>0</v>
      </c>
      <c r="AT142" s="406">
        <v>0</v>
      </c>
      <c r="AU142" s="407">
        <f t="shared" si="55"/>
        <v>0</v>
      </c>
      <c r="AV142" s="407">
        <f t="shared" si="56"/>
        <v>100</v>
      </c>
      <c r="AW142" s="438">
        <f>AV142*0.02</f>
        <v>2</v>
      </c>
      <c r="AX142" s="406">
        <v>0</v>
      </c>
      <c r="AY142" s="406">
        <v>0</v>
      </c>
      <c r="AZ142" s="406">
        <v>0</v>
      </c>
      <c r="BA142" s="406">
        <v>0</v>
      </c>
      <c r="BB142" s="430">
        <f t="shared" si="57"/>
        <v>0</v>
      </c>
      <c r="BC142" s="407">
        <f t="shared" si="58"/>
        <v>25</v>
      </c>
      <c r="BD142" s="418">
        <f>BC142*0.01</f>
        <v>0.25</v>
      </c>
      <c r="BE142" s="340">
        <f t="shared" si="59"/>
        <v>12.05</v>
      </c>
    </row>
    <row r="143" spans="1:57" x14ac:dyDescent="0.6">
      <c r="A143" s="214" t="s">
        <v>262</v>
      </c>
      <c r="B143" s="13" t="s">
        <v>2123</v>
      </c>
      <c r="C143" s="219" t="s">
        <v>919</v>
      </c>
      <c r="D143" s="221" t="s">
        <v>481</v>
      </c>
      <c r="E143" s="217" t="s">
        <v>704</v>
      </c>
      <c r="F143" s="217" t="s">
        <v>1118</v>
      </c>
      <c r="G143" s="218">
        <v>27575</v>
      </c>
      <c r="H143" s="217" t="s">
        <v>830</v>
      </c>
      <c r="I143" s="217" t="s">
        <v>773</v>
      </c>
      <c r="J143" s="217" t="s">
        <v>1166</v>
      </c>
      <c r="K143" s="217" t="s">
        <v>91</v>
      </c>
      <c r="L143" s="220">
        <v>86856870802</v>
      </c>
      <c r="M143" s="206">
        <v>76041738670</v>
      </c>
      <c r="N143" s="206">
        <v>10815132132</v>
      </c>
      <c r="O143" s="206">
        <v>18511997130</v>
      </c>
      <c r="P143" s="206">
        <v>1524131094</v>
      </c>
      <c r="Q143" s="206">
        <v>1536847185</v>
      </c>
      <c r="R143" s="206">
        <v>1141384899</v>
      </c>
      <c r="S143" s="406">
        <v>0</v>
      </c>
      <c r="T143" s="428">
        <f t="shared" si="48"/>
        <v>50</v>
      </c>
      <c r="U143" s="415">
        <f t="shared" si="49"/>
        <v>0.5</v>
      </c>
      <c r="V143" s="405">
        <v>0</v>
      </c>
      <c r="W143" s="428">
        <f t="shared" si="50"/>
        <v>50</v>
      </c>
      <c r="X143" s="415">
        <f t="shared" si="51"/>
        <v>0.5</v>
      </c>
      <c r="Y143" s="406">
        <v>1</v>
      </c>
      <c r="Z143" s="429">
        <v>0</v>
      </c>
      <c r="AA143" s="430">
        <f t="shared" si="52"/>
        <v>100</v>
      </c>
      <c r="AB143" s="415">
        <f t="shared" si="53"/>
        <v>1</v>
      </c>
      <c r="AC143" s="75">
        <v>2</v>
      </c>
      <c r="AD143" s="432">
        <f t="shared" si="54"/>
        <v>60</v>
      </c>
      <c r="AE143" s="435">
        <f>AD143*0.03</f>
        <v>1.7999999999999998</v>
      </c>
      <c r="AF143" s="436">
        <v>47</v>
      </c>
      <c r="AG143" s="437">
        <f>(_xlfn.PERCENTRANK.INC(AF:AF,AF143, 2))*100</f>
        <v>100</v>
      </c>
      <c r="AH143" s="437">
        <f>IF(AF143=0, 100, IF(AG143&lt;10, 80, IF(AG143&lt;50, 60, IF(AG143&lt;90, 40, 20))))</f>
        <v>20</v>
      </c>
      <c r="AI143" s="263">
        <f>AH143*0.03</f>
        <v>0.6</v>
      </c>
      <c r="AJ143" s="264" t="s">
        <v>3540</v>
      </c>
      <c r="AK143" s="265">
        <f>IF(AJ143="우수", 100, IF(AJ143="양호", 80, IF(AJ143="보통", 60, IF(AJ143= "평가미대상", 60, IF(AJ143="미흡", 40, IF(AJ143="취약", 20))))))</f>
        <v>60</v>
      </c>
      <c r="AL143" s="141">
        <f>AK143*0.03</f>
        <v>1.7999999999999998</v>
      </c>
      <c r="AM143" s="406">
        <v>0</v>
      </c>
      <c r="AN143" s="406">
        <v>0</v>
      </c>
      <c r="AO143" s="406">
        <v>0</v>
      </c>
      <c r="AP143" s="406">
        <v>0</v>
      </c>
      <c r="AQ143" s="406">
        <v>0</v>
      </c>
      <c r="AR143" s="406">
        <v>0</v>
      </c>
      <c r="AS143" s="406">
        <v>0</v>
      </c>
      <c r="AT143" s="406">
        <v>0</v>
      </c>
      <c r="AU143" s="407">
        <f t="shared" si="55"/>
        <v>0</v>
      </c>
      <c r="AV143" s="407">
        <f t="shared" si="56"/>
        <v>100</v>
      </c>
      <c r="AW143" s="438">
        <f>AV143*0.02</f>
        <v>2</v>
      </c>
      <c r="AX143" s="406">
        <v>0</v>
      </c>
      <c r="AY143" s="406">
        <v>0</v>
      </c>
      <c r="AZ143" s="406">
        <v>0</v>
      </c>
      <c r="BA143" s="406">
        <v>0</v>
      </c>
      <c r="BB143" s="430">
        <f t="shared" si="57"/>
        <v>0</v>
      </c>
      <c r="BC143" s="407">
        <f t="shared" si="58"/>
        <v>25</v>
      </c>
      <c r="BD143" s="418">
        <f>BC143*0.01</f>
        <v>0.25</v>
      </c>
      <c r="BE143" s="340">
        <f t="shared" si="59"/>
        <v>8.4499999999999993</v>
      </c>
    </row>
    <row r="144" spans="1:57" x14ac:dyDescent="0.6">
      <c r="A144" s="214" t="s">
        <v>7</v>
      </c>
      <c r="B144" s="13" t="s">
        <v>2124</v>
      </c>
      <c r="C144" s="219" t="s">
        <v>42</v>
      </c>
      <c r="D144" s="216" t="s">
        <v>203</v>
      </c>
      <c r="E144" s="217" t="s">
        <v>200</v>
      </c>
      <c r="F144" s="217" t="s">
        <v>661</v>
      </c>
      <c r="G144" s="218">
        <v>29560</v>
      </c>
      <c r="H144" s="217" t="s">
        <v>830</v>
      </c>
      <c r="I144" s="217" t="s">
        <v>903</v>
      </c>
      <c r="J144" s="217" t="s">
        <v>1064</v>
      </c>
      <c r="K144" s="217" t="s">
        <v>690</v>
      </c>
      <c r="L144" s="220">
        <v>287810418</v>
      </c>
      <c r="M144" s="206">
        <v>149871483</v>
      </c>
      <c r="N144" s="206">
        <v>137938935</v>
      </c>
      <c r="O144" s="206">
        <v>272706610</v>
      </c>
      <c r="P144" s="206">
        <v>22413049</v>
      </c>
      <c r="Q144" s="206">
        <v>21027374</v>
      </c>
      <c r="R144" s="206">
        <v>17206656</v>
      </c>
      <c r="S144" s="406">
        <v>0</v>
      </c>
      <c r="T144" s="428">
        <f t="shared" si="48"/>
        <v>50</v>
      </c>
      <c r="U144" s="415">
        <f t="shared" si="49"/>
        <v>0.5</v>
      </c>
      <c r="V144" s="405">
        <v>0</v>
      </c>
      <c r="W144" s="428">
        <f t="shared" si="50"/>
        <v>50</v>
      </c>
      <c r="X144" s="415">
        <f t="shared" si="51"/>
        <v>0.5</v>
      </c>
      <c r="Y144" s="406">
        <v>0</v>
      </c>
      <c r="Z144" s="429">
        <v>0</v>
      </c>
      <c r="AA144" s="430">
        <f t="shared" si="52"/>
        <v>50</v>
      </c>
      <c r="AB144" s="415">
        <f t="shared" si="53"/>
        <v>0.5</v>
      </c>
      <c r="AC144" s="431">
        <v>0</v>
      </c>
      <c r="AD144" s="432">
        <f t="shared" si="54"/>
        <v>100</v>
      </c>
      <c r="AE144" s="433">
        <f t="shared" ref="AE144:AE178" si="60">AD144*0.04</f>
        <v>4</v>
      </c>
      <c r="AF144" s="434" t="s">
        <v>2326</v>
      </c>
      <c r="AG144" s="434" t="s">
        <v>2326</v>
      </c>
      <c r="AH144" s="434" t="s">
        <v>2326</v>
      </c>
      <c r="AI144" s="362"/>
      <c r="AJ144" s="434" t="s">
        <v>2326</v>
      </c>
      <c r="AK144" s="434" t="s">
        <v>2326</v>
      </c>
      <c r="AL144" s="363"/>
      <c r="AM144" s="406">
        <v>0</v>
      </c>
      <c r="AN144" s="406">
        <v>0</v>
      </c>
      <c r="AO144" s="406">
        <v>0</v>
      </c>
      <c r="AP144" s="406">
        <v>0</v>
      </c>
      <c r="AQ144" s="406">
        <v>0</v>
      </c>
      <c r="AR144" s="406">
        <v>0</v>
      </c>
      <c r="AS144" s="406">
        <v>0</v>
      </c>
      <c r="AT144" s="406">
        <v>0</v>
      </c>
      <c r="AU144" s="407">
        <f t="shared" si="55"/>
        <v>0</v>
      </c>
      <c r="AV144" s="407">
        <f t="shared" si="56"/>
        <v>100</v>
      </c>
      <c r="AW144" s="408">
        <f t="shared" ref="AW144:AW178" si="61">AV144*0.05</f>
        <v>5</v>
      </c>
      <c r="AX144" s="406">
        <v>0</v>
      </c>
      <c r="AY144" s="406">
        <v>0</v>
      </c>
      <c r="AZ144" s="406">
        <v>0</v>
      </c>
      <c r="BA144" s="406">
        <v>0</v>
      </c>
      <c r="BB144" s="430">
        <f t="shared" si="57"/>
        <v>0</v>
      </c>
      <c r="BC144" s="407">
        <f t="shared" si="58"/>
        <v>25</v>
      </c>
      <c r="BD144" s="408">
        <f t="shared" ref="BD144:BD178" si="62">BC144*0.03</f>
        <v>0.75</v>
      </c>
      <c r="BE144" s="340">
        <f t="shared" si="59"/>
        <v>11.25</v>
      </c>
    </row>
    <row r="145" spans="1:57" x14ac:dyDescent="0.6">
      <c r="A145" s="214" t="s">
        <v>741</v>
      </c>
      <c r="B145" s="13" t="s">
        <v>2125</v>
      </c>
      <c r="C145" s="219" t="s">
        <v>909</v>
      </c>
      <c r="D145" s="216" t="s">
        <v>191</v>
      </c>
      <c r="E145" s="217" t="s">
        <v>178</v>
      </c>
      <c r="F145" s="217" t="s">
        <v>809</v>
      </c>
      <c r="G145" s="218">
        <v>40882</v>
      </c>
      <c r="H145" s="217" t="s">
        <v>830</v>
      </c>
      <c r="I145" s="217" t="s">
        <v>239</v>
      </c>
      <c r="J145" s="217" t="s">
        <v>1153</v>
      </c>
      <c r="K145" s="217" t="s">
        <v>91</v>
      </c>
      <c r="L145" s="220">
        <v>2278458050</v>
      </c>
      <c r="M145" s="206">
        <v>1056955250</v>
      </c>
      <c r="N145" s="206">
        <v>1221502799</v>
      </c>
      <c r="O145" s="206">
        <v>1998768182</v>
      </c>
      <c r="P145" s="206">
        <v>37795019</v>
      </c>
      <c r="Q145" s="206">
        <v>66850204</v>
      </c>
      <c r="R145" s="206">
        <v>55711450</v>
      </c>
      <c r="S145" s="406">
        <v>0</v>
      </c>
      <c r="T145" s="428">
        <f t="shared" si="48"/>
        <v>50</v>
      </c>
      <c r="U145" s="415">
        <f t="shared" si="49"/>
        <v>0.5</v>
      </c>
      <c r="V145" s="405">
        <v>0</v>
      </c>
      <c r="W145" s="428">
        <f t="shared" si="50"/>
        <v>50</v>
      </c>
      <c r="X145" s="415">
        <f t="shared" si="51"/>
        <v>0.5</v>
      </c>
      <c r="Y145" s="406">
        <v>0</v>
      </c>
      <c r="Z145" s="429">
        <v>0</v>
      </c>
      <c r="AA145" s="430">
        <f t="shared" si="52"/>
        <v>50</v>
      </c>
      <c r="AB145" s="415">
        <f t="shared" si="53"/>
        <v>0.5</v>
      </c>
      <c r="AC145" s="431">
        <v>0</v>
      </c>
      <c r="AD145" s="432">
        <f t="shared" si="54"/>
        <v>100</v>
      </c>
      <c r="AE145" s="433">
        <f t="shared" si="60"/>
        <v>4</v>
      </c>
      <c r="AF145" s="434" t="s">
        <v>2326</v>
      </c>
      <c r="AG145" s="434" t="s">
        <v>2326</v>
      </c>
      <c r="AH145" s="434" t="s">
        <v>2326</v>
      </c>
      <c r="AI145" s="362"/>
      <c r="AJ145" s="434" t="s">
        <v>2326</v>
      </c>
      <c r="AK145" s="434" t="s">
        <v>2326</v>
      </c>
      <c r="AL145" s="363"/>
      <c r="AM145" s="406">
        <v>0</v>
      </c>
      <c r="AN145" s="406">
        <v>0</v>
      </c>
      <c r="AO145" s="406">
        <v>0</v>
      </c>
      <c r="AP145" s="406">
        <v>0</v>
      </c>
      <c r="AQ145" s="406">
        <v>0</v>
      </c>
      <c r="AR145" s="406">
        <v>0</v>
      </c>
      <c r="AS145" s="406">
        <v>0</v>
      </c>
      <c r="AT145" s="406">
        <v>0</v>
      </c>
      <c r="AU145" s="407">
        <f t="shared" si="55"/>
        <v>0</v>
      </c>
      <c r="AV145" s="407">
        <f t="shared" si="56"/>
        <v>100</v>
      </c>
      <c r="AW145" s="408">
        <f t="shared" si="61"/>
        <v>5</v>
      </c>
      <c r="AX145" s="406">
        <v>0</v>
      </c>
      <c r="AY145" s="406">
        <v>0</v>
      </c>
      <c r="AZ145" s="406">
        <v>0</v>
      </c>
      <c r="BA145" s="406">
        <v>0</v>
      </c>
      <c r="BB145" s="430">
        <f t="shared" si="57"/>
        <v>0</v>
      </c>
      <c r="BC145" s="407">
        <f t="shared" si="58"/>
        <v>25</v>
      </c>
      <c r="BD145" s="408">
        <f t="shared" si="62"/>
        <v>0.75</v>
      </c>
      <c r="BE145" s="340">
        <f t="shared" si="59"/>
        <v>11.25</v>
      </c>
    </row>
    <row r="146" spans="1:57" x14ac:dyDescent="0.6">
      <c r="A146" s="214" t="s">
        <v>363</v>
      </c>
      <c r="B146" s="13" t="s">
        <v>2126</v>
      </c>
      <c r="C146" s="219" t="s">
        <v>105</v>
      </c>
      <c r="D146" s="216" t="s">
        <v>191</v>
      </c>
      <c r="E146" s="217" t="s">
        <v>178</v>
      </c>
      <c r="F146" s="217" t="s">
        <v>563</v>
      </c>
      <c r="G146" s="218">
        <v>27575</v>
      </c>
      <c r="H146" s="217" t="s">
        <v>830</v>
      </c>
      <c r="I146" s="217" t="s">
        <v>1693</v>
      </c>
      <c r="J146" s="217" t="s">
        <v>1183</v>
      </c>
      <c r="K146" s="217" t="s">
        <v>91</v>
      </c>
      <c r="L146" s="220">
        <v>857127709</v>
      </c>
      <c r="M146" s="206">
        <v>439493133</v>
      </c>
      <c r="N146" s="206">
        <v>417634577</v>
      </c>
      <c r="O146" s="206">
        <v>833227370</v>
      </c>
      <c r="P146" s="206">
        <v>86234040</v>
      </c>
      <c r="Q146" s="206">
        <v>96322163</v>
      </c>
      <c r="R146" s="206">
        <v>75455528</v>
      </c>
      <c r="S146" s="406">
        <v>0</v>
      </c>
      <c r="T146" s="428">
        <f t="shared" si="48"/>
        <v>50</v>
      </c>
      <c r="U146" s="415">
        <f t="shared" si="49"/>
        <v>0.5</v>
      </c>
      <c r="V146" s="405">
        <v>1</v>
      </c>
      <c r="W146" s="428">
        <f t="shared" si="50"/>
        <v>100</v>
      </c>
      <c r="X146" s="415">
        <f t="shared" si="51"/>
        <v>1</v>
      </c>
      <c r="Y146" s="406">
        <v>0</v>
      </c>
      <c r="Z146" s="429">
        <v>0</v>
      </c>
      <c r="AA146" s="430">
        <f t="shared" si="52"/>
        <v>50</v>
      </c>
      <c r="AB146" s="415">
        <f t="shared" si="53"/>
        <v>0.5</v>
      </c>
      <c r="AC146" s="431">
        <v>0</v>
      </c>
      <c r="AD146" s="432">
        <f t="shared" si="54"/>
        <v>100</v>
      </c>
      <c r="AE146" s="433">
        <f t="shared" si="60"/>
        <v>4</v>
      </c>
      <c r="AF146" s="434" t="s">
        <v>2326</v>
      </c>
      <c r="AG146" s="434" t="s">
        <v>2326</v>
      </c>
      <c r="AH146" s="434" t="s">
        <v>2326</v>
      </c>
      <c r="AI146" s="362"/>
      <c r="AJ146" s="434" t="s">
        <v>2326</v>
      </c>
      <c r="AK146" s="434" t="s">
        <v>2326</v>
      </c>
      <c r="AL146" s="363"/>
      <c r="AM146" s="406">
        <v>0</v>
      </c>
      <c r="AN146" s="406">
        <v>0</v>
      </c>
      <c r="AO146" s="406">
        <v>0</v>
      </c>
      <c r="AP146" s="406">
        <v>0</v>
      </c>
      <c r="AQ146" s="406">
        <v>0</v>
      </c>
      <c r="AR146" s="406">
        <v>0</v>
      </c>
      <c r="AS146" s="406">
        <v>0</v>
      </c>
      <c r="AT146" s="406">
        <v>0</v>
      </c>
      <c r="AU146" s="407">
        <f t="shared" si="55"/>
        <v>0</v>
      </c>
      <c r="AV146" s="407">
        <f t="shared" si="56"/>
        <v>100</v>
      </c>
      <c r="AW146" s="408">
        <f t="shared" si="61"/>
        <v>5</v>
      </c>
      <c r="AX146" s="406">
        <v>0</v>
      </c>
      <c r="AY146" s="406">
        <v>0</v>
      </c>
      <c r="AZ146" s="406">
        <v>0</v>
      </c>
      <c r="BA146" s="406">
        <v>0</v>
      </c>
      <c r="BB146" s="430">
        <f t="shared" si="57"/>
        <v>0</v>
      </c>
      <c r="BC146" s="407">
        <f t="shared" si="58"/>
        <v>25</v>
      </c>
      <c r="BD146" s="408">
        <f t="shared" si="62"/>
        <v>0.75</v>
      </c>
      <c r="BE146" s="340">
        <f t="shared" si="59"/>
        <v>11.75</v>
      </c>
    </row>
    <row r="147" spans="1:57" x14ac:dyDescent="0.6">
      <c r="A147" s="214" t="s">
        <v>885</v>
      </c>
      <c r="B147" s="13" t="s">
        <v>2127</v>
      </c>
      <c r="C147" s="219" t="s">
        <v>311</v>
      </c>
      <c r="D147" s="216" t="s">
        <v>191</v>
      </c>
      <c r="E147" s="217" t="s">
        <v>977</v>
      </c>
      <c r="F147" s="217" t="s">
        <v>393</v>
      </c>
      <c r="G147" s="218">
        <v>32822</v>
      </c>
      <c r="H147" s="217" t="s">
        <v>830</v>
      </c>
      <c r="I147" s="217" t="s">
        <v>1103</v>
      </c>
      <c r="J147" s="217" t="s">
        <v>1200</v>
      </c>
      <c r="K147" s="217" t="s">
        <v>91</v>
      </c>
      <c r="L147" s="220">
        <v>443969944</v>
      </c>
      <c r="M147" s="206">
        <v>38559474</v>
      </c>
      <c r="N147" s="206">
        <v>405410470</v>
      </c>
      <c r="O147" s="206">
        <v>177572920</v>
      </c>
      <c r="P147" s="206">
        <v>14182631</v>
      </c>
      <c r="Q147" s="206">
        <v>16901598</v>
      </c>
      <c r="R147" s="206">
        <v>12822855</v>
      </c>
      <c r="S147" s="406">
        <v>0</v>
      </c>
      <c r="T147" s="428">
        <f t="shared" si="48"/>
        <v>50</v>
      </c>
      <c r="U147" s="415">
        <f t="shared" si="49"/>
        <v>0.5</v>
      </c>
      <c r="V147" s="405">
        <v>0</v>
      </c>
      <c r="W147" s="428">
        <f t="shared" si="50"/>
        <v>50</v>
      </c>
      <c r="X147" s="415">
        <f t="shared" si="51"/>
        <v>0.5</v>
      </c>
      <c r="Y147" s="406">
        <v>0</v>
      </c>
      <c r="Z147" s="429">
        <v>0</v>
      </c>
      <c r="AA147" s="430">
        <f t="shared" si="52"/>
        <v>50</v>
      </c>
      <c r="AB147" s="415">
        <f t="shared" si="53"/>
        <v>0.5</v>
      </c>
      <c r="AC147" s="431">
        <v>0</v>
      </c>
      <c r="AD147" s="432">
        <f t="shared" si="54"/>
        <v>100</v>
      </c>
      <c r="AE147" s="433">
        <f t="shared" si="60"/>
        <v>4</v>
      </c>
      <c r="AF147" s="434" t="s">
        <v>2326</v>
      </c>
      <c r="AG147" s="434" t="s">
        <v>2326</v>
      </c>
      <c r="AH147" s="434" t="s">
        <v>2326</v>
      </c>
      <c r="AI147" s="362"/>
      <c r="AJ147" s="434" t="s">
        <v>2326</v>
      </c>
      <c r="AK147" s="434" t="s">
        <v>2326</v>
      </c>
      <c r="AL147" s="363"/>
      <c r="AM147" s="406">
        <v>0</v>
      </c>
      <c r="AN147" s="406">
        <v>0</v>
      </c>
      <c r="AO147" s="406">
        <v>0</v>
      </c>
      <c r="AP147" s="406">
        <v>0</v>
      </c>
      <c r="AQ147" s="406">
        <v>0</v>
      </c>
      <c r="AR147" s="406">
        <v>0</v>
      </c>
      <c r="AS147" s="406">
        <v>0</v>
      </c>
      <c r="AT147" s="406">
        <v>0</v>
      </c>
      <c r="AU147" s="407">
        <f t="shared" si="55"/>
        <v>0</v>
      </c>
      <c r="AV147" s="407">
        <f t="shared" si="56"/>
        <v>100</v>
      </c>
      <c r="AW147" s="408">
        <f t="shared" si="61"/>
        <v>5</v>
      </c>
      <c r="AX147" s="406">
        <v>0</v>
      </c>
      <c r="AY147" s="406">
        <v>0</v>
      </c>
      <c r="AZ147" s="406">
        <v>0</v>
      </c>
      <c r="BA147" s="406">
        <v>0</v>
      </c>
      <c r="BB147" s="430">
        <f t="shared" si="57"/>
        <v>0</v>
      </c>
      <c r="BC147" s="407">
        <f t="shared" si="58"/>
        <v>25</v>
      </c>
      <c r="BD147" s="408">
        <f t="shared" si="62"/>
        <v>0.75</v>
      </c>
      <c r="BE147" s="340">
        <f t="shared" si="59"/>
        <v>11.25</v>
      </c>
    </row>
    <row r="148" spans="1:57" x14ac:dyDescent="0.6">
      <c r="A148" s="214" t="s">
        <v>1694</v>
      </c>
      <c r="B148" s="13" t="s">
        <v>2128</v>
      </c>
      <c r="C148" s="219" t="s">
        <v>1695</v>
      </c>
      <c r="D148" s="14" t="s">
        <v>203</v>
      </c>
      <c r="E148" s="217" t="s">
        <v>246</v>
      </c>
      <c r="F148" s="217" t="s">
        <v>1696</v>
      </c>
      <c r="G148" s="218">
        <v>27941</v>
      </c>
      <c r="H148" s="217" t="s">
        <v>830</v>
      </c>
      <c r="I148" s="217" t="s">
        <v>1697</v>
      </c>
      <c r="J148" s="217" t="s">
        <v>1698</v>
      </c>
      <c r="K148" s="217" t="s">
        <v>91</v>
      </c>
      <c r="L148" s="220">
        <v>98509521</v>
      </c>
      <c r="M148" s="206">
        <v>46664469</v>
      </c>
      <c r="N148" s="206">
        <v>51845052</v>
      </c>
      <c r="O148" s="206">
        <v>115386329</v>
      </c>
      <c r="P148" s="206">
        <v>2879227</v>
      </c>
      <c r="Q148" s="206">
        <v>2393878</v>
      </c>
      <c r="R148" s="206">
        <v>2701762</v>
      </c>
      <c r="S148" s="406">
        <v>0</v>
      </c>
      <c r="T148" s="428">
        <f t="shared" si="48"/>
        <v>50</v>
      </c>
      <c r="U148" s="415">
        <f t="shared" si="49"/>
        <v>0.5</v>
      </c>
      <c r="V148" s="405">
        <v>0</v>
      </c>
      <c r="W148" s="428">
        <f t="shared" si="50"/>
        <v>50</v>
      </c>
      <c r="X148" s="415">
        <f t="shared" si="51"/>
        <v>0.5</v>
      </c>
      <c r="Y148" s="406">
        <v>0</v>
      </c>
      <c r="Z148" s="429">
        <v>0</v>
      </c>
      <c r="AA148" s="430">
        <f t="shared" si="52"/>
        <v>50</v>
      </c>
      <c r="AB148" s="415">
        <f t="shared" si="53"/>
        <v>0.5</v>
      </c>
      <c r="AC148" s="431">
        <v>0</v>
      </c>
      <c r="AD148" s="432">
        <f t="shared" si="54"/>
        <v>100</v>
      </c>
      <c r="AE148" s="433">
        <f t="shared" si="60"/>
        <v>4</v>
      </c>
      <c r="AF148" s="434" t="s">
        <v>2326</v>
      </c>
      <c r="AG148" s="434" t="s">
        <v>2326</v>
      </c>
      <c r="AH148" s="434" t="s">
        <v>2326</v>
      </c>
      <c r="AI148" s="362"/>
      <c r="AJ148" s="434" t="s">
        <v>2326</v>
      </c>
      <c r="AK148" s="434" t="s">
        <v>2326</v>
      </c>
      <c r="AL148" s="363"/>
      <c r="AM148" s="406">
        <v>0</v>
      </c>
      <c r="AN148" s="406">
        <v>0</v>
      </c>
      <c r="AO148" s="406">
        <v>0</v>
      </c>
      <c r="AP148" s="406">
        <v>0</v>
      </c>
      <c r="AQ148" s="406">
        <v>0</v>
      </c>
      <c r="AR148" s="406">
        <v>0</v>
      </c>
      <c r="AS148" s="406">
        <v>0</v>
      </c>
      <c r="AT148" s="406">
        <v>0</v>
      </c>
      <c r="AU148" s="407">
        <f t="shared" si="55"/>
        <v>0</v>
      </c>
      <c r="AV148" s="407">
        <f t="shared" si="56"/>
        <v>100</v>
      </c>
      <c r="AW148" s="408">
        <f t="shared" si="61"/>
        <v>5</v>
      </c>
      <c r="AX148" s="406">
        <v>1</v>
      </c>
      <c r="AY148" s="406">
        <v>0</v>
      </c>
      <c r="AZ148" s="406">
        <v>0</v>
      </c>
      <c r="BA148" s="406">
        <v>0</v>
      </c>
      <c r="BB148" s="430">
        <f t="shared" si="57"/>
        <v>1</v>
      </c>
      <c r="BC148" s="407">
        <f t="shared" si="58"/>
        <v>50</v>
      </c>
      <c r="BD148" s="408">
        <f t="shared" si="62"/>
        <v>1.5</v>
      </c>
      <c r="BE148" s="340">
        <f t="shared" si="59"/>
        <v>12</v>
      </c>
    </row>
    <row r="149" spans="1:57" x14ac:dyDescent="0.6">
      <c r="A149" s="214" t="s">
        <v>911</v>
      </c>
      <c r="B149" s="13" t="s">
        <v>2129</v>
      </c>
      <c r="C149" s="219" t="s">
        <v>439</v>
      </c>
      <c r="D149" s="216" t="s">
        <v>285</v>
      </c>
      <c r="E149" s="217" t="s">
        <v>171</v>
      </c>
      <c r="F149" s="217" t="s">
        <v>259</v>
      </c>
      <c r="G149" s="218">
        <v>32230</v>
      </c>
      <c r="H149" s="217" t="s">
        <v>830</v>
      </c>
      <c r="I149" s="217" t="s">
        <v>793</v>
      </c>
      <c r="J149" s="217" t="s">
        <v>1216</v>
      </c>
      <c r="K149" s="217" t="s">
        <v>91</v>
      </c>
      <c r="L149" s="220">
        <v>395346619</v>
      </c>
      <c r="M149" s="206">
        <v>33864968</v>
      </c>
      <c r="N149" s="206">
        <v>361481651</v>
      </c>
      <c r="O149" s="206">
        <v>285742678</v>
      </c>
      <c r="P149" s="206">
        <v>9710082</v>
      </c>
      <c r="Q149" s="206">
        <v>36912471</v>
      </c>
      <c r="R149" s="206">
        <v>33624974</v>
      </c>
      <c r="S149" s="406">
        <v>0</v>
      </c>
      <c r="T149" s="428">
        <f t="shared" si="48"/>
        <v>50</v>
      </c>
      <c r="U149" s="415">
        <f t="shared" si="49"/>
        <v>0.5</v>
      </c>
      <c r="V149" s="405">
        <v>0</v>
      </c>
      <c r="W149" s="428">
        <f t="shared" si="50"/>
        <v>50</v>
      </c>
      <c r="X149" s="415">
        <f t="shared" si="51"/>
        <v>0.5</v>
      </c>
      <c r="Y149" s="406">
        <v>0</v>
      </c>
      <c r="Z149" s="429">
        <v>0</v>
      </c>
      <c r="AA149" s="430">
        <f t="shared" si="52"/>
        <v>50</v>
      </c>
      <c r="AB149" s="415">
        <f t="shared" si="53"/>
        <v>0.5</v>
      </c>
      <c r="AC149" s="431">
        <v>0</v>
      </c>
      <c r="AD149" s="432">
        <f t="shared" si="54"/>
        <v>100</v>
      </c>
      <c r="AE149" s="433">
        <f t="shared" si="60"/>
        <v>4</v>
      </c>
      <c r="AF149" s="434" t="s">
        <v>2326</v>
      </c>
      <c r="AG149" s="434" t="s">
        <v>2326</v>
      </c>
      <c r="AH149" s="434" t="s">
        <v>2326</v>
      </c>
      <c r="AI149" s="362"/>
      <c r="AJ149" s="434" t="s">
        <v>2326</v>
      </c>
      <c r="AK149" s="434" t="s">
        <v>2326</v>
      </c>
      <c r="AL149" s="363"/>
      <c r="AM149" s="406">
        <v>0</v>
      </c>
      <c r="AN149" s="406">
        <v>0</v>
      </c>
      <c r="AO149" s="406">
        <v>0</v>
      </c>
      <c r="AP149" s="406">
        <v>0</v>
      </c>
      <c r="AQ149" s="406">
        <v>0</v>
      </c>
      <c r="AR149" s="406">
        <v>0</v>
      </c>
      <c r="AS149" s="406">
        <v>0</v>
      </c>
      <c r="AT149" s="406">
        <v>0</v>
      </c>
      <c r="AU149" s="407">
        <f t="shared" si="55"/>
        <v>0</v>
      </c>
      <c r="AV149" s="407">
        <f t="shared" si="56"/>
        <v>100</v>
      </c>
      <c r="AW149" s="408">
        <f t="shared" si="61"/>
        <v>5</v>
      </c>
      <c r="AX149" s="406">
        <v>0</v>
      </c>
      <c r="AY149" s="406">
        <v>0</v>
      </c>
      <c r="AZ149" s="406">
        <v>0</v>
      </c>
      <c r="BA149" s="406">
        <v>0</v>
      </c>
      <c r="BB149" s="430">
        <f t="shared" si="57"/>
        <v>0</v>
      </c>
      <c r="BC149" s="407">
        <f t="shared" si="58"/>
        <v>25</v>
      </c>
      <c r="BD149" s="408">
        <f t="shared" si="62"/>
        <v>0.75</v>
      </c>
      <c r="BE149" s="340">
        <f t="shared" si="59"/>
        <v>11.25</v>
      </c>
    </row>
    <row r="150" spans="1:57" x14ac:dyDescent="0.6">
      <c r="A150" s="214" t="s">
        <v>940</v>
      </c>
      <c r="B150" s="13" t="s">
        <v>2130</v>
      </c>
      <c r="C150" s="219" t="s">
        <v>888</v>
      </c>
      <c r="D150" s="216" t="s">
        <v>202</v>
      </c>
      <c r="E150" s="217" t="s">
        <v>205</v>
      </c>
      <c r="F150" s="217" t="s">
        <v>387</v>
      </c>
      <c r="G150" s="218">
        <v>28122</v>
      </c>
      <c r="H150" s="217" t="s">
        <v>830</v>
      </c>
      <c r="I150" s="217" t="s">
        <v>986</v>
      </c>
      <c r="J150" s="217" t="s">
        <v>1213</v>
      </c>
      <c r="K150" s="217" t="s">
        <v>690</v>
      </c>
      <c r="L150" s="220">
        <v>486680110</v>
      </c>
      <c r="M150" s="206">
        <v>12024987</v>
      </c>
      <c r="N150" s="206">
        <v>474655123</v>
      </c>
      <c r="O150" s="206">
        <v>196500716</v>
      </c>
      <c r="P150" s="206">
        <v>14583438</v>
      </c>
      <c r="Q150" s="206">
        <v>24138425</v>
      </c>
      <c r="R150" s="206">
        <v>18484244</v>
      </c>
      <c r="S150" s="406">
        <v>0</v>
      </c>
      <c r="T150" s="428">
        <f t="shared" si="48"/>
        <v>50</v>
      </c>
      <c r="U150" s="415">
        <f t="shared" si="49"/>
        <v>0.5</v>
      </c>
      <c r="V150" s="405">
        <v>0</v>
      </c>
      <c r="W150" s="428">
        <f t="shared" si="50"/>
        <v>50</v>
      </c>
      <c r="X150" s="415">
        <f t="shared" si="51"/>
        <v>0.5</v>
      </c>
      <c r="Y150" s="406">
        <v>0</v>
      </c>
      <c r="Z150" s="429">
        <v>0</v>
      </c>
      <c r="AA150" s="430">
        <f t="shared" si="52"/>
        <v>50</v>
      </c>
      <c r="AB150" s="415">
        <f t="shared" si="53"/>
        <v>0.5</v>
      </c>
      <c r="AC150" s="431">
        <v>0</v>
      </c>
      <c r="AD150" s="432">
        <f t="shared" si="54"/>
        <v>100</v>
      </c>
      <c r="AE150" s="433">
        <f t="shared" si="60"/>
        <v>4</v>
      </c>
      <c r="AF150" s="434" t="s">
        <v>2326</v>
      </c>
      <c r="AG150" s="434" t="s">
        <v>2326</v>
      </c>
      <c r="AH150" s="434" t="s">
        <v>2326</v>
      </c>
      <c r="AI150" s="362"/>
      <c r="AJ150" s="434" t="s">
        <v>2326</v>
      </c>
      <c r="AK150" s="434" t="s">
        <v>2326</v>
      </c>
      <c r="AL150" s="363"/>
      <c r="AM150" s="406">
        <v>0</v>
      </c>
      <c r="AN150" s="406">
        <v>0</v>
      </c>
      <c r="AO150" s="406">
        <v>0</v>
      </c>
      <c r="AP150" s="406">
        <v>0</v>
      </c>
      <c r="AQ150" s="406">
        <v>0</v>
      </c>
      <c r="AR150" s="406">
        <v>0</v>
      </c>
      <c r="AS150" s="406">
        <v>0</v>
      </c>
      <c r="AT150" s="406">
        <v>0</v>
      </c>
      <c r="AU150" s="407">
        <f t="shared" si="55"/>
        <v>0</v>
      </c>
      <c r="AV150" s="407">
        <f t="shared" si="56"/>
        <v>100</v>
      </c>
      <c r="AW150" s="408">
        <f t="shared" si="61"/>
        <v>5</v>
      </c>
      <c r="AX150" s="406">
        <v>0</v>
      </c>
      <c r="AY150" s="406">
        <v>0</v>
      </c>
      <c r="AZ150" s="406">
        <v>0</v>
      </c>
      <c r="BA150" s="406">
        <v>0</v>
      </c>
      <c r="BB150" s="430">
        <f t="shared" si="57"/>
        <v>0</v>
      </c>
      <c r="BC150" s="407">
        <f t="shared" si="58"/>
        <v>25</v>
      </c>
      <c r="BD150" s="408">
        <f t="shared" si="62"/>
        <v>0.75</v>
      </c>
      <c r="BE150" s="340">
        <f t="shared" si="59"/>
        <v>11.25</v>
      </c>
    </row>
    <row r="151" spans="1:57" x14ac:dyDescent="0.6">
      <c r="A151" s="214" t="s">
        <v>94</v>
      </c>
      <c r="B151" s="13" t="s">
        <v>2131</v>
      </c>
      <c r="C151" s="219" t="s">
        <v>943</v>
      </c>
      <c r="D151" s="216" t="s">
        <v>202</v>
      </c>
      <c r="E151" s="217" t="s">
        <v>954</v>
      </c>
      <c r="F151" s="217" t="s">
        <v>152</v>
      </c>
      <c r="G151" s="218">
        <v>40746</v>
      </c>
      <c r="H151" s="217" t="s">
        <v>830</v>
      </c>
      <c r="I151" s="217" t="s">
        <v>1699</v>
      </c>
      <c r="J151" s="217" t="s">
        <v>644</v>
      </c>
      <c r="K151" s="217" t="s">
        <v>31</v>
      </c>
      <c r="L151" s="220">
        <v>293690103</v>
      </c>
      <c r="M151" s="206">
        <v>62909269</v>
      </c>
      <c r="N151" s="206">
        <v>230780834</v>
      </c>
      <c r="O151" s="206">
        <v>364111086</v>
      </c>
      <c r="P151" s="206">
        <v>16532526</v>
      </c>
      <c r="Q151" s="206">
        <v>16979269</v>
      </c>
      <c r="R151" s="206">
        <v>13013318</v>
      </c>
      <c r="S151" s="406">
        <v>0</v>
      </c>
      <c r="T151" s="428">
        <f t="shared" si="48"/>
        <v>50</v>
      </c>
      <c r="U151" s="415">
        <f t="shared" si="49"/>
        <v>0.5</v>
      </c>
      <c r="V151" s="405">
        <v>0</v>
      </c>
      <c r="W151" s="428">
        <f t="shared" si="50"/>
        <v>50</v>
      </c>
      <c r="X151" s="415">
        <f t="shared" si="51"/>
        <v>0.5</v>
      </c>
      <c r="Y151" s="406">
        <v>0</v>
      </c>
      <c r="Z151" s="429">
        <v>0</v>
      </c>
      <c r="AA151" s="430">
        <f t="shared" si="52"/>
        <v>50</v>
      </c>
      <c r="AB151" s="415">
        <f t="shared" si="53"/>
        <v>0.5</v>
      </c>
      <c r="AC151" s="431">
        <v>0</v>
      </c>
      <c r="AD151" s="432">
        <f t="shared" si="54"/>
        <v>100</v>
      </c>
      <c r="AE151" s="433">
        <f t="shared" si="60"/>
        <v>4</v>
      </c>
      <c r="AF151" s="434" t="s">
        <v>2326</v>
      </c>
      <c r="AG151" s="434" t="s">
        <v>2326</v>
      </c>
      <c r="AH151" s="434" t="s">
        <v>2326</v>
      </c>
      <c r="AI151" s="362"/>
      <c r="AJ151" s="434" t="s">
        <v>2326</v>
      </c>
      <c r="AK151" s="434" t="s">
        <v>2326</v>
      </c>
      <c r="AL151" s="363"/>
      <c r="AM151" s="406">
        <v>0</v>
      </c>
      <c r="AN151" s="406">
        <v>0</v>
      </c>
      <c r="AO151" s="406">
        <v>0</v>
      </c>
      <c r="AP151" s="406">
        <v>0</v>
      </c>
      <c r="AQ151" s="406">
        <v>0</v>
      </c>
      <c r="AR151" s="406">
        <v>0</v>
      </c>
      <c r="AS151" s="406">
        <v>0</v>
      </c>
      <c r="AT151" s="406">
        <v>0</v>
      </c>
      <c r="AU151" s="407">
        <f t="shared" si="55"/>
        <v>0</v>
      </c>
      <c r="AV151" s="407">
        <f t="shared" si="56"/>
        <v>100</v>
      </c>
      <c r="AW151" s="408">
        <f t="shared" si="61"/>
        <v>5</v>
      </c>
      <c r="AX151" s="406">
        <v>0</v>
      </c>
      <c r="AY151" s="406">
        <v>0</v>
      </c>
      <c r="AZ151" s="406">
        <v>0</v>
      </c>
      <c r="BA151" s="406">
        <v>0</v>
      </c>
      <c r="BB151" s="430">
        <f t="shared" si="57"/>
        <v>0</v>
      </c>
      <c r="BC151" s="407">
        <f t="shared" si="58"/>
        <v>25</v>
      </c>
      <c r="BD151" s="408">
        <f t="shared" si="62"/>
        <v>0.75</v>
      </c>
      <c r="BE151" s="340">
        <f t="shared" si="59"/>
        <v>11.25</v>
      </c>
    </row>
    <row r="152" spans="1:57" x14ac:dyDescent="0.6">
      <c r="A152" s="214" t="s">
        <v>371</v>
      </c>
      <c r="B152" s="13" t="s">
        <v>2132</v>
      </c>
      <c r="C152" s="219" t="s">
        <v>930</v>
      </c>
      <c r="D152" s="216" t="s">
        <v>202</v>
      </c>
      <c r="E152" s="217" t="s">
        <v>575</v>
      </c>
      <c r="F152" s="217" t="s">
        <v>123</v>
      </c>
      <c r="G152" s="218">
        <v>32777</v>
      </c>
      <c r="H152" s="217" t="s">
        <v>830</v>
      </c>
      <c r="I152" s="217" t="s">
        <v>279</v>
      </c>
      <c r="J152" s="217" t="s">
        <v>1177</v>
      </c>
      <c r="K152" s="217" t="s">
        <v>308</v>
      </c>
      <c r="L152" s="220">
        <v>439293006</v>
      </c>
      <c r="M152" s="206">
        <v>233301117</v>
      </c>
      <c r="N152" s="206">
        <v>205991889</v>
      </c>
      <c r="O152" s="206">
        <v>339133931</v>
      </c>
      <c r="P152" s="206">
        <v>20669671</v>
      </c>
      <c r="Q152" s="206">
        <v>19430527</v>
      </c>
      <c r="R152" s="206">
        <v>16418030</v>
      </c>
      <c r="S152" s="406">
        <v>0</v>
      </c>
      <c r="T152" s="428">
        <f t="shared" si="48"/>
        <v>50</v>
      </c>
      <c r="U152" s="415">
        <f t="shared" si="49"/>
        <v>0.5</v>
      </c>
      <c r="V152" s="405">
        <v>0</v>
      </c>
      <c r="W152" s="428">
        <f t="shared" si="50"/>
        <v>50</v>
      </c>
      <c r="X152" s="415">
        <f t="shared" si="51"/>
        <v>0.5</v>
      </c>
      <c r="Y152" s="406">
        <v>0</v>
      </c>
      <c r="Z152" s="429">
        <v>0</v>
      </c>
      <c r="AA152" s="430">
        <f t="shared" si="52"/>
        <v>50</v>
      </c>
      <c r="AB152" s="415">
        <f t="shared" si="53"/>
        <v>0.5</v>
      </c>
      <c r="AC152" s="431">
        <v>0</v>
      </c>
      <c r="AD152" s="432">
        <f t="shared" si="54"/>
        <v>100</v>
      </c>
      <c r="AE152" s="433">
        <f t="shared" si="60"/>
        <v>4</v>
      </c>
      <c r="AF152" s="434" t="s">
        <v>2326</v>
      </c>
      <c r="AG152" s="434" t="s">
        <v>2326</v>
      </c>
      <c r="AH152" s="434" t="s">
        <v>2326</v>
      </c>
      <c r="AI152" s="362"/>
      <c r="AJ152" s="434" t="s">
        <v>2326</v>
      </c>
      <c r="AK152" s="434" t="s">
        <v>2326</v>
      </c>
      <c r="AL152" s="363"/>
      <c r="AM152" s="406">
        <v>0</v>
      </c>
      <c r="AN152" s="406">
        <v>0</v>
      </c>
      <c r="AO152" s="406">
        <v>0</v>
      </c>
      <c r="AP152" s="406">
        <v>0</v>
      </c>
      <c r="AQ152" s="406">
        <v>0</v>
      </c>
      <c r="AR152" s="406">
        <v>0</v>
      </c>
      <c r="AS152" s="406">
        <v>0</v>
      </c>
      <c r="AT152" s="406">
        <v>0</v>
      </c>
      <c r="AU152" s="407">
        <f t="shared" si="55"/>
        <v>0</v>
      </c>
      <c r="AV152" s="407">
        <f t="shared" si="56"/>
        <v>100</v>
      </c>
      <c r="AW152" s="408">
        <f t="shared" si="61"/>
        <v>5</v>
      </c>
      <c r="AX152" s="406">
        <v>0</v>
      </c>
      <c r="AY152" s="406">
        <v>0</v>
      </c>
      <c r="AZ152" s="406">
        <v>0</v>
      </c>
      <c r="BA152" s="406">
        <v>0</v>
      </c>
      <c r="BB152" s="430">
        <f t="shared" si="57"/>
        <v>0</v>
      </c>
      <c r="BC152" s="407">
        <f t="shared" si="58"/>
        <v>25</v>
      </c>
      <c r="BD152" s="408">
        <f t="shared" si="62"/>
        <v>0.75</v>
      </c>
      <c r="BE152" s="340">
        <f t="shared" si="59"/>
        <v>11.25</v>
      </c>
    </row>
    <row r="153" spans="1:57" x14ac:dyDescent="0.6">
      <c r="A153" s="214" t="s">
        <v>1700</v>
      </c>
      <c r="B153" s="13" t="s">
        <v>2133</v>
      </c>
      <c r="C153" s="219" t="s">
        <v>1701</v>
      </c>
      <c r="D153" s="14" t="s">
        <v>191</v>
      </c>
      <c r="E153" s="217" t="s">
        <v>1702</v>
      </c>
      <c r="F153" s="217" t="s">
        <v>1703</v>
      </c>
      <c r="G153" s="218">
        <v>32416</v>
      </c>
      <c r="H153" s="217" t="s">
        <v>830</v>
      </c>
      <c r="I153" s="217" t="s">
        <v>1704</v>
      </c>
      <c r="J153" s="217" t="s">
        <v>1705</v>
      </c>
      <c r="K153" s="217" t="s">
        <v>317</v>
      </c>
      <c r="L153" s="220">
        <v>292340683</v>
      </c>
      <c r="M153" s="206">
        <v>98908853</v>
      </c>
      <c r="N153" s="206">
        <v>193431830</v>
      </c>
      <c r="O153" s="206">
        <v>135261634</v>
      </c>
      <c r="P153" s="206">
        <v>10418758</v>
      </c>
      <c r="Q153" s="206">
        <v>6051762</v>
      </c>
      <c r="R153" s="206">
        <v>3276434</v>
      </c>
      <c r="S153" s="406">
        <v>0</v>
      </c>
      <c r="T153" s="428">
        <f t="shared" si="48"/>
        <v>50</v>
      </c>
      <c r="U153" s="415">
        <f t="shared" si="49"/>
        <v>0.5</v>
      </c>
      <c r="V153" s="405">
        <v>0</v>
      </c>
      <c r="W153" s="428">
        <f t="shared" si="50"/>
        <v>50</v>
      </c>
      <c r="X153" s="415">
        <f t="shared" si="51"/>
        <v>0.5</v>
      </c>
      <c r="Y153" s="406">
        <v>0</v>
      </c>
      <c r="Z153" s="429">
        <v>0</v>
      </c>
      <c r="AA153" s="430">
        <f t="shared" si="52"/>
        <v>50</v>
      </c>
      <c r="AB153" s="415">
        <f t="shared" si="53"/>
        <v>0.5</v>
      </c>
      <c r="AC153" s="431">
        <v>0</v>
      </c>
      <c r="AD153" s="432">
        <f t="shared" si="54"/>
        <v>100</v>
      </c>
      <c r="AE153" s="433">
        <f t="shared" si="60"/>
        <v>4</v>
      </c>
      <c r="AF153" s="434" t="s">
        <v>2326</v>
      </c>
      <c r="AG153" s="434" t="s">
        <v>2326</v>
      </c>
      <c r="AH153" s="434" t="s">
        <v>2326</v>
      </c>
      <c r="AI153" s="362"/>
      <c r="AJ153" s="434" t="s">
        <v>2326</v>
      </c>
      <c r="AK153" s="434" t="s">
        <v>2326</v>
      </c>
      <c r="AL153" s="363"/>
      <c r="AM153" s="406">
        <v>0</v>
      </c>
      <c r="AN153" s="406">
        <v>0</v>
      </c>
      <c r="AO153" s="406">
        <v>0</v>
      </c>
      <c r="AP153" s="406">
        <v>0</v>
      </c>
      <c r="AQ153" s="406">
        <v>0</v>
      </c>
      <c r="AR153" s="406">
        <v>0</v>
      </c>
      <c r="AS153" s="406">
        <v>0</v>
      </c>
      <c r="AT153" s="406">
        <v>0</v>
      </c>
      <c r="AU153" s="407">
        <f t="shared" si="55"/>
        <v>0</v>
      </c>
      <c r="AV153" s="407">
        <f t="shared" si="56"/>
        <v>100</v>
      </c>
      <c r="AW153" s="408">
        <f t="shared" si="61"/>
        <v>5</v>
      </c>
      <c r="AX153" s="406">
        <v>0</v>
      </c>
      <c r="AY153" s="406">
        <v>0</v>
      </c>
      <c r="AZ153" s="406">
        <v>0</v>
      </c>
      <c r="BA153" s="406">
        <v>0</v>
      </c>
      <c r="BB153" s="430">
        <f t="shared" si="57"/>
        <v>0</v>
      </c>
      <c r="BC153" s="407">
        <f t="shared" si="58"/>
        <v>25</v>
      </c>
      <c r="BD153" s="408">
        <f t="shared" si="62"/>
        <v>0.75</v>
      </c>
      <c r="BE153" s="340">
        <f t="shared" si="59"/>
        <v>11.25</v>
      </c>
    </row>
    <row r="154" spans="1:57" x14ac:dyDescent="0.6">
      <c r="A154" s="214" t="s">
        <v>906</v>
      </c>
      <c r="B154" s="13" t="s">
        <v>2134</v>
      </c>
      <c r="C154" s="219" t="s">
        <v>300</v>
      </c>
      <c r="D154" s="216" t="s">
        <v>191</v>
      </c>
      <c r="E154" s="217" t="s">
        <v>34</v>
      </c>
      <c r="F154" s="217" t="s">
        <v>395</v>
      </c>
      <c r="G154" s="218">
        <v>32312</v>
      </c>
      <c r="H154" s="217" t="s">
        <v>830</v>
      </c>
      <c r="I154" s="217" t="s">
        <v>730</v>
      </c>
      <c r="J154" s="217" t="s">
        <v>675</v>
      </c>
      <c r="K154" s="217" t="s">
        <v>91</v>
      </c>
      <c r="L154" s="220">
        <v>404796609</v>
      </c>
      <c r="M154" s="206">
        <v>130234655</v>
      </c>
      <c r="N154" s="206">
        <v>274561954</v>
      </c>
      <c r="O154" s="206">
        <v>274031808</v>
      </c>
      <c r="P154" s="206">
        <v>23292333</v>
      </c>
      <c r="Q154" s="206">
        <v>24312301</v>
      </c>
      <c r="R154" s="206">
        <v>21111758</v>
      </c>
      <c r="S154" s="406">
        <v>0</v>
      </c>
      <c r="T154" s="428">
        <f t="shared" si="48"/>
        <v>50</v>
      </c>
      <c r="U154" s="415">
        <f t="shared" si="49"/>
        <v>0.5</v>
      </c>
      <c r="V154" s="405">
        <v>0</v>
      </c>
      <c r="W154" s="428">
        <f t="shared" si="50"/>
        <v>50</v>
      </c>
      <c r="X154" s="415">
        <f t="shared" si="51"/>
        <v>0.5</v>
      </c>
      <c r="Y154" s="406">
        <v>0</v>
      </c>
      <c r="Z154" s="429">
        <v>0</v>
      </c>
      <c r="AA154" s="430">
        <f t="shared" si="52"/>
        <v>50</v>
      </c>
      <c r="AB154" s="415">
        <f t="shared" si="53"/>
        <v>0.5</v>
      </c>
      <c r="AC154" s="431">
        <v>0</v>
      </c>
      <c r="AD154" s="432">
        <f t="shared" si="54"/>
        <v>100</v>
      </c>
      <c r="AE154" s="433">
        <f t="shared" si="60"/>
        <v>4</v>
      </c>
      <c r="AF154" s="434" t="s">
        <v>2326</v>
      </c>
      <c r="AG154" s="434" t="s">
        <v>2326</v>
      </c>
      <c r="AH154" s="434" t="s">
        <v>2326</v>
      </c>
      <c r="AI154" s="362"/>
      <c r="AJ154" s="434" t="s">
        <v>2326</v>
      </c>
      <c r="AK154" s="434" t="s">
        <v>2326</v>
      </c>
      <c r="AL154" s="363"/>
      <c r="AM154" s="406">
        <v>0</v>
      </c>
      <c r="AN154" s="406">
        <v>0</v>
      </c>
      <c r="AO154" s="406">
        <v>0</v>
      </c>
      <c r="AP154" s="406">
        <v>0</v>
      </c>
      <c r="AQ154" s="406">
        <v>0</v>
      </c>
      <c r="AR154" s="406">
        <v>0</v>
      </c>
      <c r="AS154" s="406">
        <v>0</v>
      </c>
      <c r="AT154" s="406">
        <v>0</v>
      </c>
      <c r="AU154" s="407">
        <f t="shared" si="55"/>
        <v>0</v>
      </c>
      <c r="AV154" s="407">
        <f t="shared" si="56"/>
        <v>100</v>
      </c>
      <c r="AW154" s="408">
        <f t="shared" si="61"/>
        <v>5</v>
      </c>
      <c r="AX154" s="406">
        <v>0</v>
      </c>
      <c r="AY154" s="406">
        <v>0</v>
      </c>
      <c r="AZ154" s="406">
        <v>0</v>
      </c>
      <c r="BA154" s="406">
        <v>0</v>
      </c>
      <c r="BB154" s="430">
        <f t="shared" si="57"/>
        <v>0</v>
      </c>
      <c r="BC154" s="407">
        <f t="shared" si="58"/>
        <v>25</v>
      </c>
      <c r="BD154" s="408">
        <f t="shared" si="62"/>
        <v>0.75</v>
      </c>
      <c r="BE154" s="340">
        <f t="shared" si="59"/>
        <v>11.25</v>
      </c>
    </row>
    <row r="155" spans="1:57" x14ac:dyDescent="0.6">
      <c r="A155" s="214" t="s">
        <v>329</v>
      </c>
      <c r="B155" s="13" t="s">
        <v>2135</v>
      </c>
      <c r="C155" s="219" t="s">
        <v>858</v>
      </c>
      <c r="D155" s="216" t="s">
        <v>285</v>
      </c>
      <c r="E155" s="217" t="s">
        <v>1061</v>
      </c>
      <c r="F155" s="217" t="s">
        <v>124</v>
      </c>
      <c r="G155" s="218">
        <v>38484</v>
      </c>
      <c r="H155" s="217" t="s">
        <v>830</v>
      </c>
      <c r="I155" s="217" t="s">
        <v>734</v>
      </c>
      <c r="J155" s="217" t="s">
        <v>1197</v>
      </c>
      <c r="K155" s="217" t="s">
        <v>425</v>
      </c>
      <c r="L155" s="220">
        <v>278609820</v>
      </c>
      <c r="M155" s="206">
        <v>60662564</v>
      </c>
      <c r="N155" s="206">
        <v>217947256</v>
      </c>
      <c r="O155" s="206">
        <v>300844920</v>
      </c>
      <c r="P155" s="206">
        <v>2168970</v>
      </c>
      <c r="Q155" s="206">
        <v>5936019</v>
      </c>
      <c r="R155" s="206">
        <v>4978376</v>
      </c>
      <c r="S155" s="406">
        <v>0</v>
      </c>
      <c r="T155" s="428">
        <f t="shared" si="48"/>
        <v>50</v>
      </c>
      <c r="U155" s="415">
        <f t="shared" si="49"/>
        <v>0.5</v>
      </c>
      <c r="V155" s="405">
        <v>0</v>
      </c>
      <c r="W155" s="428">
        <f t="shared" si="50"/>
        <v>50</v>
      </c>
      <c r="X155" s="415">
        <f t="shared" si="51"/>
        <v>0.5</v>
      </c>
      <c r="Y155" s="406">
        <v>0</v>
      </c>
      <c r="Z155" s="429">
        <v>0</v>
      </c>
      <c r="AA155" s="430">
        <f t="shared" si="52"/>
        <v>50</v>
      </c>
      <c r="AB155" s="415">
        <f t="shared" si="53"/>
        <v>0.5</v>
      </c>
      <c r="AC155" s="431">
        <v>0</v>
      </c>
      <c r="AD155" s="432">
        <f t="shared" si="54"/>
        <v>100</v>
      </c>
      <c r="AE155" s="433">
        <f t="shared" si="60"/>
        <v>4</v>
      </c>
      <c r="AF155" s="434" t="s">
        <v>2326</v>
      </c>
      <c r="AG155" s="434" t="s">
        <v>2326</v>
      </c>
      <c r="AH155" s="434" t="s">
        <v>2326</v>
      </c>
      <c r="AI155" s="362"/>
      <c r="AJ155" s="434" t="s">
        <v>2326</v>
      </c>
      <c r="AK155" s="434" t="s">
        <v>2326</v>
      </c>
      <c r="AL155" s="363"/>
      <c r="AM155" s="406">
        <v>0</v>
      </c>
      <c r="AN155" s="406">
        <v>0</v>
      </c>
      <c r="AO155" s="406">
        <v>0</v>
      </c>
      <c r="AP155" s="406">
        <v>0</v>
      </c>
      <c r="AQ155" s="406">
        <v>0</v>
      </c>
      <c r="AR155" s="406">
        <v>0</v>
      </c>
      <c r="AS155" s="406">
        <v>0</v>
      </c>
      <c r="AT155" s="406">
        <v>0</v>
      </c>
      <c r="AU155" s="407">
        <f t="shared" si="55"/>
        <v>0</v>
      </c>
      <c r="AV155" s="407">
        <f t="shared" si="56"/>
        <v>100</v>
      </c>
      <c r="AW155" s="408">
        <f t="shared" si="61"/>
        <v>5</v>
      </c>
      <c r="AX155" s="406">
        <v>0</v>
      </c>
      <c r="AY155" s="406">
        <v>0</v>
      </c>
      <c r="AZ155" s="406">
        <v>0</v>
      </c>
      <c r="BA155" s="406">
        <v>0</v>
      </c>
      <c r="BB155" s="430">
        <f t="shared" si="57"/>
        <v>0</v>
      </c>
      <c r="BC155" s="407">
        <f t="shared" si="58"/>
        <v>25</v>
      </c>
      <c r="BD155" s="408">
        <f t="shared" si="62"/>
        <v>0.75</v>
      </c>
      <c r="BE155" s="340">
        <f t="shared" si="59"/>
        <v>11.25</v>
      </c>
    </row>
    <row r="156" spans="1:57" x14ac:dyDescent="0.6">
      <c r="A156" s="214" t="s">
        <v>27</v>
      </c>
      <c r="B156" s="13" t="s">
        <v>2136</v>
      </c>
      <c r="C156" s="219" t="s">
        <v>312</v>
      </c>
      <c r="D156" s="216" t="s">
        <v>202</v>
      </c>
      <c r="E156" s="217" t="s">
        <v>205</v>
      </c>
      <c r="F156" s="217" t="s">
        <v>260</v>
      </c>
      <c r="G156" s="218">
        <v>31740</v>
      </c>
      <c r="H156" s="217" t="s">
        <v>830</v>
      </c>
      <c r="I156" s="217" t="s">
        <v>250</v>
      </c>
      <c r="J156" s="217" t="s">
        <v>1086</v>
      </c>
      <c r="K156" s="217" t="s">
        <v>317</v>
      </c>
      <c r="L156" s="220">
        <v>110962184</v>
      </c>
      <c r="M156" s="206">
        <v>49075760</v>
      </c>
      <c r="N156" s="206">
        <v>61886424</v>
      </c>
      <c r="O156" s="206">
        <v>192666638</v>
      </c>
      <c r="P156" s="206">
        <v>14593397</v>
      </c>
      <c r="Q156" s="206">
        <v>13329040</v>
      </c>
      <c r="R156" s="206">
        <v>11131018</v>
      </c>
      <c r="S156" s="406">
        <v>0</v>
      </c>
      <c r="T156" s="428">
        <f t="shared" si="48"/>
        <v>50</v>
      </c>
      <c r="U156" s="415">
        <f t="shared" si="49"/>
        <v>0.5</v>
      </c>
      <c r="V156" s="405">
        <v>0</v>
      </c>
      <c r="W156" s="428">
        <f t="shared" si="50"/>
        <v>50</v>
      </c>
      <c r="X156" s="415">
        <f t="shared" si="51"/>
        <v>0.5</v>
      </c>
      <c r="Y156" s="406">
        <v>0</v>
      </c>
      <c r="Z156" s="429">
        <v>0</v>
      </c>
      <c r="AA156" s="430">
        <f t="shared" si="52"/>
        <v>50</v>
      </c>
      <c r="AB156" s="415">
        <f t="shared" si="53"/>
        <v>0.5</v>
      </c>
      <c r="AC156" s="431">
        <v>0</v>
      </c>
      <c r="AD156" s="432">
        <f t="shared" si="54"/>
        <v>100</v>
      </c>
      <c r="AE156" s="433">
        <f t="shared" si="60"/>
        <v>4</v>
      </c>
      <c r="AF156" s="434" t="s">
        <v>2326</v>
      </c>
      <c r="AG156" s="434" t="s">
        <v>2326</v>
      </c>
      <c r="AH156" s="434" t="s">
        <v>2326</v>
      </c>
      <c r="AI156" s="362"/>
      <c r="AJ156" s="434" t="s">
        <v>2326</v>
      </c>
      <c r="AK156" s="434" t="s">
        <v>2326</v>
      </c>
      <c r="AL156" s="363"/>
      <c r="AM156" s="406">
        <v>0</v>
      </c>
      <c r="AN156" s="406">
        <v>0</v>
      </c>
      <c r="AO156" s="406">
        <v>0</v>
      </c>
      <c r="AP156" s="406">
        <v>0</v>
      </c>
      <c r="AQ156" s="406">
        <v>0</v>
      </c>
      <c r="AR156" s="406">
        <v>0</v>
      </c>
      <c r="AS156" s="406">
        <v>0</v>
      </c>
      <c r="AT156" s="406">
        <v>0</v>
      </c>
      <c r="AU156" s="407">
        <f t="shared" si="55"/>
        <v>0</v>
      </c>
      <c r="AV156" s="407">
        <f t="shared" si="56"/>
        <v>100</v>
      </c>
      <c r="AW156" s="408">
        <f t="shared" si="61"/>
        <v>5</v>
      </c>
      <c r="AX156" s="406">
        <v>0</v>
      </c>
      <c r="AY156" s="406">
        <v>0</v>
      </c>
      <c r="AZ156" s="406">
        <v>0</v>
      </c>
      <c r="BA156" s="406">
        <v>0</v>
      </c>
      <c r="BB156" s="430">
        <f t="shared" si="57"/>
        <v>0</v>
      </c>
      <c r="BC156" s="407">
        <f t="shared" si="58"/>
        <v>25</v>
      </c>
      <c r="BD156" s="408">
        <f t="shared" si="62"/>
        <v>0.75</v>
      </c>
      <c r="BE156" s="340">
        <f t="shared" si="59"/>
        <v>11.25</v>
      </c>
    </row>
    <row r="157" spans="1:57" x14ac:dyDescent="0.6">
      <c r="A157" s="214" t="s">
        <v>70</v>
      </c>
      <c r="B157" s="13" t="s">
        <v>2137</v>
      </c>
      <c r="C157" s="219" t="s">
        <v>328</v>
      </c>
      <c r="D157" s="216" t="s">
        <v>202</v>
      </c>
      <c r="E157" s="217" t="s">
        <v>205</v>
      </c>
      <c r="F157" s="217" t="s">
        <v>249</v>
      </c>
      <c r="G157" s="218">
        <v>27937</v>
      </c>
      <c r="H157" s="217" t="s">
        <v>830</v>
      </c>
      <c r="I157" s="217" t="s">
        <v>908</v>
      </c>
      <c r="J157" s="217" t="s">
        <v>1079</v>
      </c>
      <c r="K157" s="217" t="s">
        <v>690</v>
      </c>
      <c r="L157" s="220">
        <v>258833722</v>
      </c>
      <c r="M157" s="206">
        <v>56671294</v>
      </c>
      <c r="N157" s="206">
        <v>202162428</v>
      </c>
      <c r="O157" s="206">
        <v>211265922</v>
      </c>
      <c r="P157" s="206">
        <v>24633492</v>
      </c>
      <c r="Q157" s="206">
        <v>27322194</v>
      </c>
      <c r="R157" s="206">
        <v>21624124</v>
      </c>
      <c r="S157" s="406">
        <v>0</v>
      </c>
      <c r="T157" s="428">
        <f t="shared" si="48"/>
        <v>50</v>
      </c>
      <c r="U157" s="415">
        <f t="shared" si="49"/>
        <v>0.5</v>
      </c>
      <c r="V157" s="405">
        <v>0</v>
      </c>
      <c r="W157" s="428">
        <f t="shared" si="50"/>
        <v>50</v>
      </c>
      <c r="X157" s="415">
        <f t="shared" si="51"/>
        <v>0.5</v>
      </c>
      <c r="Y157" s="406">
        <v>0</v>
      </c>
      <c r="Z157" s="429">
        <v>0</v>
      </c>
      <c r="AA157" s="430">
        <f t="shared" si="52"/>
        <v>50</v>
      </c>
      <c r="AB157" s="415">
        <f t="shared" si="53"/>
        <v>0.5</v>
      </c>
      <c r="AC157" s="431">
        <v>0</v>
      </c>
      <c r="AD157" s="432">
        <f t="shared" si="54"/>
        <v>100</v>
      </c>
      <c r="AE157" s="433">
        <f t="shared" si="60"/>
        <v>4</v>
      </c>
      <c r="AF157" s="434" t="s">
        <v>2326</v>
      </c>
      <c r="AG157" s="434" t="s">
        <v>2326</v>
      </c>
      <c r="AH157" s="434" t="s">
        <v>2326</v>
      </c>
      <c r="AI157" s="362"/>
      <c r="AJ157" s="434" t="s">
        <v>2326</v>
      </c>
      <c r="AK157" s="434" t="s">
        <v>2326</v>
      </c>
      <c r="AL157" s="363"/>
      <c r="AM157" s="406">
        <v>0</v>
      </c>
      <c r="AN157" s="406">
        <v>0</v>
      </c>
      <c r="AO157" s="406">
        <v>0</v>
      </c>
      <c r="AP157" s="406">
        <v>0</v>
      </c>
      <c r="AQ157" s="406">
        <v>0</v>
      </c>
      <c r="AR157" s="406">
        <v>0</v>
      </c>
      <c r="AS157" s="406">
        <v>0</v>
      </c>
      <c r="AT157" s="406">
        <v>0</v>
      </c>
      <c r="AU157" s="407">
        <f t="shared" si="55"/>
        <v>0</v>
      </c>
      <c r="AV157" s="407">
        <f t="shared" si="56"/>
        <v>100</v>
      </c>
      <c r="AW157" s="408">
        <f t="shared" si="61"/>
        <v>5</v>
      </c>
      <c r="AX157" s="406">
        <v>0</v>
      </c>
      <c r="AY157" s="406">
        <v>0</v>
      </c>
      <c r="AZ157" s="406">
        <v>0</v>
      </c>
      <c r="BA157" s="406">
        <v>0</v>
      </c>
      <c r="BB157" s="430">
        <f t="shared" si="57"/>
        <v>0</v>
      </c>
      <c r="BC157" s="407">
        <f t="shared" si="58"/>
        <v>25</v>
      </c>
      <c r="BD157" s="408">
        <f t="shared" si="62"/>
        <v>0.75</v>
      </c>
      <c r="BE157" s="340">
        <f t="shared" si="59"/>
        <v>11.25</v>
      </c>
    </row>
    <row r="158" spans="1:57" x14ac:dyDescent="0.6">
      <c r="A158" s="214" t="s">
        <v>45</v>
      </c>
      <c r="B158" s="13" t="s">
        <v>2138</v>
      </c>
      <c r="C158" s="219" t="s">
        <v>95</v>
      </c>
      <c r="D158" s="216" t="s">
        <v>202</v>
      </c>
      <c r="E158" s="217" t="s">
        <v>954</v>
      </c>
      <c r="F158" s="217" t="s">
        <v>162</v>
      </c>
      <c r="G158" s="218">
        <v>38287</v>
      </c>
      <c r="H158" s="217" t="s">
        <v>830</v>
      </c>
      <c r="I158" s="217" t="s">
        <v>247</v>
      </c>
      <c r="J158" s="217" t="s">
        <v>1066</v>
      </c>
      <c r="K158" s="217" t="s">
        <v>308</v>
      </c>
      <c r="L158" s="220">
        <v>425929471</v>
      </c>
      <c r="M158" s="206">
        <v>214344538</v>
      </c>
      <c r="N158" s="206">
        <v>211584933</v>
      </c>
      <c r="O158" s="206">
        <v>373474666</v>
      </c>
      <c r="P158" s="206">
        <v>26834891</v>
      </c>
      <c r="Q158" s="206">
        <v>16665875</v>
      </c>
      <c r="R158" s="206">
        <v>11131495</v>
      </c>
      <c r="S158" s="406">
        <v>0</v>
      </c>
      <c r="T158" s="428">
        <f t="shared" si="48"/>
        <v>50</v>
      </c>
      <c r="U158" s="415">
        <f t="shared" si="49"/>
        <v>0.5</v>
      </c>
      <c r="V158" s="405">
        <v>0</v>
      </c>
      <c r="W158" s="428">
        <f t="shared" si="50"/>
        <v>50</v>
      </c>
      <c r="X158" s="415">
        <f t="shared" si="51"/>
        <v>0.5</v>
      </c>
      <c r="Y158" s="406">
        <v>0</v>
      </c>
      <c r="Z158" s="429">
        <v>0</v>
      </c>
      <c r="AA158" s="430">
        <f t="shared" si="52"/>
        <v>50</v>
      </c>
      <c r="AB158" s="415">
        <f t="shared" si="53"/>
        <v>0.5</v>
      </c>
      <c r="AC158" s="431">
        <v>0</v>
      </c>
      <c r="AD158" s="432">
        <f t="shared" si="54"/>
        <v>100</v>
      </c>
      <c r="AE158" s="433">
        <f t="shared" si="60"/>
        <v>4</v>
      </c>
      <c r="AF158" s="434" t="s">
        <v>2326</v>
      </c>
      <c r="AG158" s="434" t="s">
        <v>2326</v>
      </c>
      <c r="AH158" s="434" t="s">
        <v>2326</v>
      </c>
      <c r="AI158" s="362"/>
      <c r="AJ158" s="434" t="s">
        <v>2326</v>
      </c>
      <c r="AK158" s="434" t="s">
        <v>2326</v>
      </c>
      <c r="AL158" s="363"/>
      <c r="AM158" s="406">
        <v>0</v>
      </c>
      <c r="AN158" s="406">
        <v>0</v>
      </c>
      <c r="AO158" s="406">
        <v>0</v>
      </c>
      <c r="AP158" s="406">
        <v>0</v>
      </c>
      <c r="AQ158" s="406">
        <v>0</v>
      </c>
      <c r="AR158" s="406">
        <v>0</v>
      </c>
      <c r="AS158" s="406">
        <v>0</v>
      </c>
      <c r="AT158" s="406">
        <v>0</v>
      </c>
      <c r="AU158" s="407">
        <f t="shared" si="55"/>
        <v>0</v>
      </c>
      <c r="AV158" s="407">
        <f t="shared" si="56"/>
        <v>100</v>
      </c>
      <c r="AW158" s="408">
        <f t="shared" si="61"/>
        <v>5</v>
      </c>
      <c r="AX158" s="406">
        <v>0</v>
      </c>
      <c r="AY158" s="406">
        <v>0</v>
      </c>
      <c r="AZ158" s="406">
        <v>0</v>
      </c>
      <c r="BA158" s="406">
        <v>0</v>
      </c>
      <c r="BB158" s="430">
        <f t="shared" si="57"/>
        <v>0</v>
      </c>
      <c r="BC158" s="407">
        <f t="shared" si="58"/>
        <v>25</v>
      </c>
      <c r="BD158" s="408">
        <f t="shared" si="62"/>
        <v>0.75</v>
      </c>
      <c r="BE158" s="340">
        <f t="shared" si="59"/>
        <v>11.25</v>
      </c>
    </row>
    <row r="159" spans="1:57" x14ac:dyDescent="0.6">
      <c r="A159" s="214" t="s">
        <v>25</v>
      </c>
      <c r="B159" s="13" t="s">
        <v>2139</v>
      </c>
      <c r="C159" s="219" t="s">
        <v>39</v>
      </c>
      <c r="D159" s="216" t="s">
        <v>191</v>
      </c>
      <c r="E159" s="217" t="s">
        <v>178</v>
      </c>
      <c r="F159" s="217" t="s">
        <v>749</v>
      </c>
      <c r="G159" s="218">
        <v>42591</v>
      </c>
      <c r="H159" s="217" t="s">
        <v>830</v>
      </c>
      <c r="I159" s="217" t="s">
        <v>758</v>
      </c>
      <c r="J159" s="217" t="s">
        <v>1117</v>
      </c>
      <c r="K159" s="217" t="s">
        <v>91</v>
      </c>
      <c r="L159" s="220">
        <v>323958042</v>
      </c>
      <c r="M159" s="206">
        <v>108746469</v>
      </c>
      <c r="N159" s="206">
        <v>215211573</v>
      </c>
      <c r="O159" s="206">
        <v>362553052</v>
      </c>
      <c r="P159" s="206">
        <v>8643494</v>
      </c>
      <c r="Q159" s="206">
        <v>12941595</v>
      </c>
      <c r="R159" s="206">
        <v>11435933</v>
      </c>
      <c r="S159" s="406">
        <v>0</v>
      </c>
      <c r="T159" s="428">
        <f t="shared" si="48"/>
        <v>50</v>
      </c>
      <c r="U159" s="415">
        <f t="shared" si="49"/>
        <v>0.5</v>
      </c>
      <c r="V159" s="405">
        <v>1</v>
      </c>
      <c r="W159" s="428">
        <f t="shared" si="50"/>
        <v>100</v>
      </c>
      <c r="X159" s="415">
        <f t="shared" si="51"/>
        <v>1</v>
      </c>
      <c r="Y159" s="406">
        <v>0</v>
      </c>
      <c r="Z159" s="429">
        <v>0</v>
      </c>
      <c r="AA159" s="430">
        <f t="shared" si="52"/>
        <v>50</v>
      </c>
      <c r="AB159" s="415">
        <f t="shared" si="53"/>
        <v>0.5</v>
      </c>
      <c r="AC159" s="431">
        <v>0</v>
      </c>
      <c r="AD159" s="432">
        <f t="shared" si="54"/>
        <v>100</v>
      </c>
      <c r="AE159" s="433">
        <f t="shared" si="60"/>
        <v>4</v>
      </c>
      <c r="AF159" s="434" t="s">
        <v>2326</v>
      </c>
      <c r="AG159" s="434" t="s">
        <v>2326</v>
      </c>
      <c r="AH159" s="434" t="s">
        <v>2326</v>
      </c>
      <c r="AI159" s="362"/>
      <c r="AJ159" s="434" t="s">
        <v>2326</v>
      </c>
      <c r="AK159" s="434" t="s">
        <v>2326</v>
      </c>
      <c r="AL159" s="363"/>
      <c r="AM159" s="406">
        <v>0</v>
      </c>
      <c r="AN159" s="406">
        <v>0</v>
      </c>
      <c r="AO159" s="406">
        <v>0</v>
      </c>
      <c r="AP159" s="406">
        <v>0</v>
      </c>
      <c r="AQ159" s="406">
        <v>0</v>
      </c>
      <c r="AR159" s="406">
        <v>0</v>
      </c>
      <c r="AS159" s="406">
        <v>0</v>
      </c>
      <c r="AT159" s="406">
        <v>0</v>
      </c>
      <c r="AU159" s="407">
        <f t="shared" si="55"/>
        <v>0</v>
      </c>
      <c r="AV159" s="407">
        <f t="shared" si="56"/>
        <v>100</v>
      </c>
      <c r="AW159" s="408">
        <f t="shared" si="61"/>
        <v>5</v>
      </c>
      <c r="AX159" s="406">
        <v>1</v>
      </c>
      <c r="AY159" s="406">
        <v>0</v>
      </c>
      <c r="AZ159" s="406">
        <v>0</v>
      </c>
      <c r="BA159" s="406">
        <v>0</v>
      </c>
      <c r="BB159" s="430">
        <f t="shared" si="57"/>
        <v>1</v>
      </c>
      <c r="BC159" s="407">
        <f t="shared" si="58"/>
        <v>50</v>
      </c>
      <c r="BD159" s="408">
        <f t="shared" si="62"/>
        <v>1.5</v>
      </c>
      <c r="BE159" s="340">
        <f t="shared" si="59"/>
        <v>12.5</v>
      </c>
    </row>
    <row r="160" spans="1:57" x14ac:dyDescent="0.6">
      <c r="A160" s="214" t="s">
        <v>1706</v>
      </c>
      <c r="B160" s="13" t="s">
        <v>2140</v>
      </c>
      <c r="C160" s="219" t="s">
        <v>1707</v>
      </c>
      <c r="D160" s="14" t="s">
        <v>203</v>
      </c>
      <c r="E160" s="217" t="s">
        <v>978</v>
      </c>
      <c r="F160" s="217" t="s">
        <v>1708</v>
      </c>
      <c r="G160" s="218">
        <v>34929</v>
      </c>
      <c r="H160" s="217" t="s">
        <v>830</v>
      </c>
      <c r="I160" s="217" t="s">
        <v>1709</v>
      </c>
      <c r="J160" s="217" t="s">
        <v>1710</v>
      </c>
      <c r="K160" s="217" t="s">
        <v>91</v>
      </c>
      <c r="L160" s="220">
        <v>1847155998</v>
      </c>
      <c r="M160" s="206">
        <v>810732237</v>
      </c>
      <c r="N160" s="206">
        <v>1036423762</v>
      </c>
      <c r="O160" s="206">
        <v>1716610303</v>
      </c>
      <c r="P160" s="206">
        <v>2873932</v>
      </c>
      <c r="Q160" s="206">
        <v>21741733</v>
      </c>
      <c r="R160" s="206">
        <v>17341286</v>
      </c>
      <c r="S160" s="406">
        <v>0</v>
      </c>
      <c r="T160" s="428">
        <f t="shared" si="48"/>
        <v>50</v>
      </c>
      <c r="U160" s="415">
        <f t="shared" si="49"/>
        <v>0.5</v>
      </c>
      <c r="V160" s="405">
        <v>0</v>
      </c>
      <c r="W160" s="428">
        <f t="shared" si="50"/>
        <v>50</v>
      </c>
      <c r="X160" s="415">
        <f t="shared" si="51"/>
        <v>0.5</v>
      </c>
      <c r="Y160" s="406">
        <v>0</v>
      </c>
      <c r="Z160" s="429">
        <v>0</v>
      </c>
      <c r="AA160" s="430">
        <f t="shared" si="52"/>
        <v>50</v>
      </c>
      <c r="AB160" s="415">
        <f t="shared" si="53"/>
        <v>0.5</v>
      </c>
      <c r="AC160" s="431">
        <v>0</v>
      </c>
      <c r="AD160" s="432">
        <f t="shared" si="54"/>
        <v>100</v>
      </c>
      <c r="AE160" s="433">
        <f t="shared" si="60"/>
        <v>4</v>
      </c>
      <c r="AF160" s="434" t="s">
        <v>2326</v>
      </c>
      <c r="AG160" s="434" t="s">
        <v>2326</v>
      </c>
      <c r="AH160" s="434" t="s">
        <v>2326</v>
      </c>
      <c r="AI160" s="362"/>
      <c r="AJ160" s="434" t="s">
        <v>2326</v>
      </c>
      <c r="AK160" s="434" t="s">
        <v>2326</v>
      </c>
      <c r="AL160" s="363"/>
      <c r="AM160" s="406">
        <v>0</v>
      </c>
      <c r="AN160" s="406">
        <v>0</v>
      </c>
      <c r="AO160" s="406">
        <v>0</v>
      </c>
      <c r="AP160" s="406">
        <v>0</v>
      </c>
      <c r="AQ160" s="406">
        <v>0</v>
      </c>
      <c r="AR160" s="406">
        <v>0</v>
      </c>
      <c r="AS160" s="406">
        <v>0</v>
      </c>
      <c r="AT160" s="406">
        <v>0</v>
      </c>
      <c r="AU160" s="407">
        <f t="shared" si="55"/>
        <v>0</v>
      </c>
      <c r="AV160" s="407">
        <f t="shared" si="56"/>
        <v>100</v>
      </c>
      <c r="AW160" s="408">
        <f t="shared" si="61"/>
        <v>5</v>
      </c>
      <c r="AX160" s="406">
        <v>0</v>
      </c>
      <c r="AY160" s="406">
        <v>0</v>
      </c>
      <c r="AZ160" s="406">
        <v>0</v>
      </c>
      <c r="BA160" s="406">
        <v>0</v>
      </c>
      <c r="BB160" s="430">
        <f t="shared" si="57"/>
        <v>0</v>
      </c>
      <c r="BC160" s="407">
        <f t="shared" si="58"/>
        <v>25</v>
      </c>
      <c r="BD160" s="408">
        <f t="shared" si="62"/>
        <v>0.75</v>
      </c>
      <c r="BE160" s="340">
        <f t="shared" si="59"/>
        <v>11.25</v>
      </c>
    </row>
    <row r="161" spans="1:57" x14ac:dyDescent="0.6">
      <c r="A161" s="214" t="s">
        <v>1711</v>
      </c>
      <c r="B161" s="13" t="s">
        <v>2141</v>
      </c>
      <c r="C161" s="219" t="s">
        <v>1712</v>
      </c>
      <c r="D161" s="14" t="s">
        <v>191</v>
      </c>
      <c r="E161" s="217" t="s">
        <v>1713</v>
      </c>
      <c r="F161" s="217" t="s">
        <v>1714</v>
      </c>
      <c r="G161" s="218">
        <v>40590</v>
      </c>
      <c r="H161" s="217" t="s">
        <v>830</v>
      </c>
      <c r="I161" s="217" t="s">
        <v>1715</v>
      </c>
      <c r="J161" s="1" t="s">
        <v>2304</v>
      </c>
      <c r="K161" s="217" t="s">
        <v>690</v>
      </c>
      <c r="L161" s="220">
        <v>915554063</v>
      </c>
      <c r="M161" s="206">
        <v>489216440</v>
      </c>
      <c r="N161" s="206">
        <v>426337623</v>
      </c>
      <c r="O161" s="206">
        <v>1198282787</v>
      </c>
      <c r="P161" s="206">
        <v>30096580</v>
      </c>
      <c r="Q161" s="206">
        <v>53117187</v>
      </c>
      <c r="R161" s="206">
        <v>41094963</v>
      </c>
      <c r="S161" s="406">
        <v>0</v>
      </c>
      <c r="T161" s="428">
        <f t="shared" si="48"/>
        <v>50</v>
      </c>
      <c r="U161" s="415">
        <f t="shared" si="49"/>
        <v>0.5</v>
      </c>
      <c r="V161" s="405">
        <v>0</v>
      </c>
      <c r="W161" s="428">
        <f t="shared" si="50"/>
        <v>50</v>
      </c>
      <c r="X161" s="415">
        <f t="shared" si="51"/>
        <v>0.5</v>
      </c>
      <c r="Y161" s="406">
        <v>0</v>
      </c>
      <c r="Z161" s="429">
        <v>0</v>
      </c>
      <c r="AA161" s="430">
        <f t="shared" si="52"/>
        <v>50</v>
      </c>
      <c r="AB161" s="415">
        <f t="shared" si="53"/>
        <v>0.5</v>
      </c>
      <c r="AC161" s="431">
        <v>0</v>
      </c>
      <c r="AD161" s="432">
        <f t="shared" si="54"/>
        <v>100</v>
      </c>
      <c r="AE161" s="433">
        <f t="shared" si="60"/>
        <v>4</v>
      </c>
      <c r="AF161" s="434" t="s">
        <v>2326</v>
      </c>
      <c r="AG161" s="434" t="s">
        <v>2326</v>
      </c>
      <c r="AH161" s="434" t="s">
        <v>2326</v>
      </c>
      <c r="AI161" s="362"/>
      <c r="AJ161" s="434" t="s">
        <v>2326</v>
      </c>
      <c r="AK161" s="434" t="s">
        <v>2326</v>
      </c>
      <c r="AL161" s="363"/>
      <c r="AM161" s="406">
        <v>0</v>
      </c>
      <c r="AN161" s="406">
        <v>0</v>
      </c>
      <c r="AO161" s="406">
        <v>0</v>
      </c>
      <c r="AP161" s="406">
        <v>0</v>
      </c>
      <c r="AQ161" s="406">
        <v>0</v>
      </c>
      <c r="AR161" s="406">
        <v>0</v>
      </c>
      <c r="AS161" s="406">
        <v>0</v>
      </c>
      <c r="AT161" s="406">
        <v>0</v>
      </c>
      <c r="AU161" s="407">
        <f t="shared" si="55"/>
        <v>0</v>
      </c>
      <c r="AV161" s="407">
        <f t="shared" si="56"/>
        <v>100</v>
      </c>
      <c r="AW161" s="408">
        <f t="shared" si="61"/>
        <v>5</v>
      </c>
      <c r="AX161" s="406">
        <v>0</v>
      </c>
      <c r="AY161" s="406">
        <v>0</v>
      </c>
      <c r="AZ161" s="406">
        <v>0</v>
      </c>
      <c r="BA161" s="406">
        <v>0</v>
      </c>
      <c r="BB161" s="430">
        <f t="shared" si="57"/>
        <v>0</v>
      </c>
      <c r="BC161" s="407">
        <f t="shared" si="58"/>
        <v>25</v>
      </c>
      <c r="BD161" s="408">
        <f t="shared" si="62"/>
        <v>0.75</v>
      </c>
      <c r="BE161" s="340">
        <f t="shared" si="59"/>
        <v>11.25</v>
      </c>
    </row>
    <row r="162" spans="1:57" x14ac:dyDescent="0.6">
      <c r="A162" s="214" t="s">
        <v>1716</v>
      </c>
      <c r="B162" s="13" t="s">
        <v>2142</v>
      </c>
      <c r="C162" s="219" t="s">
        <v>1717</v>
      </c>
      <c r="D162" s="14" t="s">
        <v>285</v>
      </c>
      <c r="E162" s="217" t="s">
        <v>1432</v>
      </c>
      <c r="F162" s="217" t="s">
        <v>1718</v>
      </c>
      <c r="G162" s="218">
        <v>28264</v>
      </c>
      <c r="H162" s="217" t="s">
        <v>830</v>
      </c>
      <c r="I162" s="217" t="s">
        <v>1719</v>
      </c>
      <c r="J162" s="217" t="s">
        <v>1720</v>
      </c>
      <c r="K162" s="217" t="s">
        <v>484</v>
      </c>
      <c r="L162" s="220">
        <v>818244152</v>
      </c>
      <c r="M162" s="206">
        <v>212287560</v>
      </c>
      <c r="N162" s="206">
        <v>605956593</v>
      </c>
      <c r="O162" s="206">
        <v>708635837</v>
      </c>
      <c r="P162" s="206">
        <v>24543012</v>
      </c>
      <c r="Q162" s="206">
        <v>35564999</v>
      </c>
      <c r="R162" s="206">
        <v>39359123</v>
      </c>
      <c r="S162" s="406">
        <v>0</v>
      </c>
      <c r="T162" s="428">
        <f t="shared" si="48"/>
        <v>50</v>
      </c>
      <c r="U162" s="415">
        <f t="shared" si="49"/>
        <v>0.5</v>
      </c>
      <c r="V162" s="405">
        <v>0</v>
      </c>
      <c r="W162" s="428">
        <f t="shared" si="50"/>
        <v>50</v>
      </c>
      <c r="X162" s="415">
        <f t="shared" si="51"/>
        <v>0.5</v>
      </c>
      <c r="Y162" s="406">
        <v>0</v>
      </c>
      <c r="Z162" s="429">
        <v>0</v>
      </c>
      <c r="AA162" s="430">
        <f t="shared" si="52"/>
        <v>50</v>
      </c>
      <c r="AB162" s="415">
        <f t="shared" si="53"/>
        <v>0.5</v>
      </c>
      <c r="AC162" s="431">
        <v>0</v>
      </c>
      <c r="AD162" s="432">
        <f t="shared" si="54"/>
        <v>100</v>
      </c>
      <c r="AE162" s="433">
        <f t="shared" si="60"/>
        <v>4</v>
      </c>
      <c r="AF162" s="434" t="s">
        <v>2326</v>
      </c>
      <c r="AG162" s="434" t="s">
        <v>2326</v>
      </c>
      <c r="AH162" s="434" t="s">
        <v>2326</v>
      </c>
      <c r="AI162" s="362"/>
      <c r="AJ162" s="434" t="s">
        <v>2326</v>
      </c>
      <c r="AK162" s="434" t="s">
        <v>2326</v>
      </c>
      <c r="AL162" s="363"/>
      <c r="AM162" s="406">
        <v>0</v>
      </c>
      <c r="AN162" s="406">
        <v>0</v>
      </c>
      <c r="AO162" s="406">
        <v>0</v>
      </c>
      <c r="AP162" s="406">
        <v>0</v>
      </c>
      <c r="AQ162" s="406">
        <v>0</v>
      </c>
      <c r="AR162" s="406">
        <v>0</v>
      </c>
      <c r="AS162" s="406">
        <v>0</v>
      </c>
      <c r="AT162" s="406">
        <v>0</v>
      </c>
      <c r="AU162" s="407">
        <f t="shared" si="55"/>
        <v>0</v>
      </c>
      <c r="AV162" s="407">
        <f t="shared" si="56"/>
        <v>100</v>
      </c>
      <c r="AW162" s="408">
        <f t="shared" si="61"/>
        <v>5</v>
      </c>
      <c r="AX162" s="406">
        <v>0</v>
      </c>
      <c r="AY162" s="406">
        <v>0</v>
      </c>
      <c r="AZ162" s="406">
        <v>0</v>
      </c>
      <c r="BA162" s="406">
        <v>0</v>
      </c>
      <c r="BB162" s="430">
        <f t="shared" si="57"/>
        <v>0</v>
      </c>
      <c r="BC162" s="407">
        <f t="shared" si="58"/>
        <v>25</v>
      </c>
      <c r="BD162" s="408">
        <f t="shared" si="62"/>
        <v>0.75</v>
      </c>
      <c r="BE162" s="340">
        <f t="shared" si="59"/>
        <v>11.25</v>
      </c>
    </row>
    <row r="163" spans="1:57" x14ac:dyDescent="0.6">
      <c r="A163" s="214" t="s">
        <v>1721</v>
      </c>
      <c r="B163" s="13" t="s">
        <v>2143</v>
      </c>
      <c r="C163" s="219" t="s">
        <v>500</v>
      </c>
      <c r="D163" s="216" t="s">
        <v>202</v>
      </c>
      <c r="E163" s="217" t="s">
        <v>617</v>
      </c>
      <c r="F163" s="217" t="s">
        <v>1194</v>
      </c>
      <c r="G163" s="218">
        <v>32109</v>
      </c>
      <c r="H163" s="217" t="s">
        <v>830</v>
      </c>
      <c r="I163" s="217" t="s">
        <v>1722</v>
      </c>
      <c r="J163" s="217" t="s">
        <v>1087</v>
      </c>
      <c r="K163" s="217" t="s">
        <v>91</v>
      </c>
      <c r="L163" s="220">
        <v>1482320425</v>
      </c>
      <c r="M163" s="206">
        <v>264349343</v>
      </c>
      <c r="N163" s="206">
        <v>1217971082</v>
      </c>
      <c r="O163" s="206">
        <v>1278383546</v>
      </c>
      <c r="P163" s="206">
        <v>73366427</v>
      </c>
      <c r="Q163" s="206">
        <v>70696990</v>
      </c>
      <c r="R163" s="206">
        <v>48458346</v>
      </c>
      <c r="S163" s="406">
        <v>0</v>
      </c>
      <c r="T163" s="428">
        <f t="shared" si="48"/>
        <v>50</v>
      </c>
      <c r="U163" s="415">
        <f t="shared" si="49"/>
        <v>0.5</v>
      </c>
      <c r="V163" s="405">
        <v>0</v>
      </c>
      <c r="W163" s="428">
        <f t="shared" si="50"/>
        <v>50</v>
      </c>
      <c r="X163" s="415">
        <f t="shared" si="51"/>
        <v>0.5</v>
      </c>
      <c r="Y163" s="406">
        <v>0</v>
      </c>
      <c r="Z163" s="429">
        <v>0</v>
      </c>
      <c r="AA163" s="430">
        <f t="shared" si="52"/>
        <v>50</v>
      </c>
      <c r="AB163" s="415">
        <f t="shared" si="53"/>
        <v>0.5</v>
      </c>
      <c r="AC163" s="431">
        <v>0</v>
      </c>
      <c r="AD163" s="432">
        <f t="shared" si="54"/>
        <v>100</v>
      </c>
      <c r="AE163" s="433">
        <f t="shared" si="60"/>
        <v>4</v>
      </c>
      <c r="AF163" s="434" t="s">
        <v>2326</v>
      </c>
      <c r="AG163" s="434" t="s">
        <v>2326</v>
      </c>
      <c r="AH163" s="434" t="s">
        <v>2326</v>
      </c>
      <c r="AI163" s="362"/>
      <c r="AJ163" s="434" t="s">
        <v>2326</v>
      </c>
      <c r="AK163" s="434" t="s">
        <v>2326</v>
      </c>
      <c r="AL163" s="363"/>
      <c r="AM163" s="406">
        <v>0</v>
      </c>
      <c r="AN163" s="406">
        <v>0</v>
      </c>
      <c r="AO163" s="406">
        <v>0</v>
      </c>
      <c r="AP163" s="406">
        <v>0</v>
      </c>
      <c r="AQ163" s="406">
        <v>0</v>
      </c>
      <c r="AR163" s="406">
        <v>0</v>
      </c>
      <c r="AS163" s="406">
        <v>0</v>
      </c>
      <c r="AT163" s="406">
        <v>0</v>
      </c>
      <c r="AU163" s="407">
        <f t="shared" si="55"/>
        <v>0</v>
      </c>
      <c r="AV163" s="407">
        <f t="shared" si="56"/>
        <v>100</v>
      </c>
      <c r="AW163" s="408">
        <f t="shared" si="61"/>
        <v>5</v>
      </c>
      <c r="AX163" s="406">
        <v>0</v>
      </c>
      <c r="AY163" s="406">
        <v>0</v>
      </c>
      <c r="AZ163" s="406">
        <v>0</v>
      </c>
      <c r="BA163" s="406">
        <v>0</v>
      </c>
      <c r="BB163" s="430">
        <f t="shared" si="57"/>
        <v>0</v>
      </c>
      <c r="BC163" s="407">
        <f t="shared" si="58"/>
        <v>25</v>
      </c>
      <c r="BD163" s="408">
        <f t="shared" si="62"/>
        <v>0.75</v>
      </c>
      <c r="BE163" s="340">
        <f t="shared" si="59"/>
        <v>11.25</v>
      </c>
    </row>
    <row r="164" spans="1:57" x14ac:dyDescent="0.6">
      <c r="A164" s="214" t="s">
        <v>12</v>
      </c>
      <c r="B164" s="13" t="s">
        <v>2144</v>
      </c>
      <c r="C164" s="219" t="s">
        <v>301</v>
      </c>
      <c r="D164" s="216" t="s">
        <v>203</v>
      </c>
      <c r="E164" s="217" t="s">
        <v>195</v>
      </c>
      <c r="F164" s="217" t="s">
        <v>757</v>
      </c>
      <c r="G164" s="218">
        <v>43378</v>
      </c>
      <c r="H164" s="217" t="s">
        <v>830</v>
      </c>
      <c r="I164" s="217" t="s">
        <v>267</v>
      </c>
      <c r="J164" s="217" t="s">
        <v>1196</v>
      </c>
      <c r="K164" s="217" t="s">
        <v>91</v>
      </c>
      <c r="L164" s="220">
        <v>1465129429</v>
      </c>
      <c r="M164" s="206">
        <v>636127563</v>
      </c>
      <c r="N164" s="206">
        <v>829001866</v>
      </c>
      <c r="O164" s="206">
        <v>1801835090</v>
      </c>
      <c r="P164" s="206">
        <v>215165658</v>
      </c>
      <c r="Q164" s="206">
        <v>211145518</v>
      </c>
      <c r="R164" s="206">
        <v>159294293</v>
      </c>
      <c r="S164" s="406">
        <v>0</v>
      </c>
      <c r="T164" s="428">
        <f t="shared" si="48"/>
        <v>50</v>
      </c>
      <c r="U164" s="415">
        <f t="shared" si="49"/>
        <v>0.5</v>
      </c>
      <c r="V164" s="405">
        <v>0</v>
      </c>
      <c r="W164" s="428">
        <f t="shared" si="50"/>
        <v>50</v>
      </c>
      <c r="X164" s="415">
        <f t="shared" si="51"/>
        <v>0.5</v>
      </c>
      <c r="Y164" s="406">
        <v>0</v>
      </c>
      <c r="Z164" s="429">
        <v>0</v>
      </c>
      <c r="AA164" s="430">
        <f t="shared" si="52"/>
        <v>50</v>
      </c>
      <c r="AB164" s="415">
        <f t="shared" si="53"/>
        <v>0.5</v>
      </c>
      <c r="AC164" s="431">
        <v>0</v>
      </c>
      <c r="AD164" s="432">
        <f t="shared" si="54"/>
        <v>100</v>
      </c>
      <c r="AE164" s="433">
        <f t="shared" si="60"/>
        <v>4</v>
      </c>
      <c r="AF164" s="434" t="s">
        <v>2326</v>
      </c>
      <c r="AG164" s="434" t="s">
        <v>2326</v>
      </c>
      <c r="AH164" s="434" t="s">
        <v>2326</v>
      </c>
      <c r="AI164" s="362"/>
      <c r="AJ164" s="434" t="s">
        <v>2326</v>
      </c>
      <c r="AK164" s="434" t="s">
        <v>2326</v>
      </c>
      <c r="AL164" s="363"/>
      <c r="AM164" s="406">
        <v>0</v>
      </c>
      <c r="AN164" s="406">
        <v>0</v>
      </c>
      <c r="AO164" s="406">
        <v>0</v>
      </c>
      <c r="AP164" s="406">
        <v>0</v>
      </c>
      <c r="AQ164" s="406">
        <v>0</v>
      </c>
      <c r="AR164" s="406">
        <v>0</v>
      </c>
      <c r="AS164" s="406">
        <v>0</v>
      </c>
      <c r="AT164" s="406">
        <v>0</v>
      </c>
      <c r="AU164" s="407">
        <f t="shared" si="55"/>
        <v>0</v>
      </c>
      <c r="AV164" s="407">
        <f t="shared" si="56"/>
        <v>100</v>
      </c>
      <c r="AW164" s="408">
        <f t="shared" si="61"/>
        <v>5</v>
      </c>
      <c r="AX164" s="406">
        <v>0</v>
      </c>
      <c r="AY164" s="406">
        <v>0</v>
      </c>
      <c r="AZ164" s="406">
        <v>0</v>
      </c>
      <c r="BA164" s="406">
        <v>0</v>
      </c>
      <c r="BB164" s="430">
        <f t="shared" si="57"/>
        <v>0</v>
      </c>
      <c r="BC164" s="407">
        <f t="shared" si="58"/>
        <v>25</v>
      </c>
      <c r="BD164" s="408">
        <f t="shared" si="62"/>
        <v>0.75</v>
      </c>
      <c r="BE164" s="340">
        <f t="shared" si="59"/>
        <v>11.25</v>
      </c>
    </row>
    <row r="165" spans="1:57" x14ac:dyDescent="0.6">
      <c r="A165" s="214" t="s">
        <v>869</v>
      </c>
      <c r="B165" s="13" t="s">
        <v>2145</v>
      </c>
      <c r="C165" s="219" t="s">
        <v>478</v>
      </c>
      <c r="D165" s="216" t="s">
        <v>285</v>
      </c>
      <c r="E165" s="217" t="s">
        <v>171</v>
      </c>
      <c r="F165" s="217" t="s">
        <v>144</v>
      </c>
      <c r="G165" s="218">
        <v>32756</v>
      </c>
      <c r="H165" s="217" t="s">
        <v>830</v>
      </c>
      <c r="I165" s="217" t="s">
        <v>1723</v>
      </c>
      <c r="J165" s="217" t="s">
        <v>1182</v>
      </c>
      <c r="K165" s="217" t="s">
        <v>346</v>
      </c>
      <c r="L165" s="220">
        <v>49842667</v>
      </c>
      <c r="M165" s="206">
        <v>4029139</v>
      </c>
      <c r="N165" s="206">
        <v>45813528</v>
      </c>
      <c r="O165" s="206">
        <v>28065827</v>
      </c>
      <c r="P165" s="206">
        <v>1582371</v>
      </c>
      <c r="Q165" s="206">
        <v>2149604</v>
      </c>
      <c r="R165" s="206">
        <v>1307423</v>
      </c>
      <c r="S165" s="406">
        <v>0</v>
      </c>
      <c r="T165" s="428">
        <f t="shared" si="48"/>
        <v>50</v>
      </c>
      <c r="U165" s="415">
        <f t="shared" si="49"/>
        <v>0.5</v>
      </c>
      <c r="V165" s="405">
        <v>0</v>
      </c>
      <c r="W165" s="428">
        <f t="shared" si="50"/>
        <v>50</v>
      </c>
      <c r="X165" s="415">
        <f t="shared" si="51"/>
        <v>0.5</v>
      </c>
      <c r="Y165" s="406">
        <v>0</v>
      </c>
      <c r="Z165" s="429">
        <v>0</v>
      </c>
      <c r="AA165" s="430">
        <f t="shared" si="52"/>
        <v>50</v>
      </c>
      <c r="AB165" s="415">
        <f t="shared" si="53"/>
        <v>0.5</v>
      </c>
      <c r="AC165" s="431">
        <v>0</v>
      </c>
      <c r="AD165" s="432">
        <f t="shared" si="54"/>
        <v>100</v>
      </c>
      <c r="AE165" s="433">
        <f t="shared" si="60"/>
        <v>4</v>
      </c>
      <c r="AF165" s="434" t="s">
        <v>2326</v>
      </c>
      <c r="AG165" s="434" t="s">
        <v>2326</v>
      </c>
      <c r="AH165" s="434" t="s">
        <v>2326</v>
      </c>
      <c r="AI165" s="362"/>
      <c r="AJ165" s="434" t="s">
        <v>2326</v>
      </c>
      <c r="AK165" s="434" t="s">
        <v>2326</v>
      </c>
      <c r="AL165" s="363"/>
      <c r="AM165" s="406">
        <v>0</v>
      </c>
      <c r="AN165" s="406">
        <v>0</v>
      </c>
      <c r="AO165" s="406">
        <v>0</v>
      </c>
      <c r="AP165" s="406">
        <v>0</v>
      </c>
      <c r="AQ165" s="406">
        <v>0</v>
      </c>
      <c r="AR165" s="406">
        <v>0</v>
      </c>
      <c r="AS165" s="406">
        <v>0</v>
      </c>
      <c r="AT165" s="406">
        <v>0</v>
      </c>
      <c r="AU165" s="407">
        <f t="shared" si="55"/>
        <v>0</v>
      </c>
      <c r="AV165" s="407">
        <f t="shared" si="56"/>
        <v>100</v>
      </c>
      <c r="AW165" s="408">
        <f t="shared" si="61"/>
        <v>5</v>
      </c>
      <c r="AX165" s="406">
        <v>0</v>
      </c>
      <c r="AY165" s="406">
        <v>0</v>
      </c>
      <c r="AZ165" s="406">
        <v>0</v>
      </c>
      <c r="BA165" s="406">
        <v>0</v>
      </c>
      <c r="BB165" s="430">
        <f t="shared" si="57"/>
        <v>0</v>
      </c>
      <c r="BC165" s="407">
        <f t="shared" si="58"/>
        <v>25</v>
      </c>
      <c r="BD165" s="408">
        <f t="shared" si="62"/>
        <v>0.75</v>
      </c>
      <c r="BE165" s="340">
        <f t="shared" si="59"/>
        <v>11.25</v>
      </c>
    </row>
    <row r="166" spans="1:57" x14ac:dyDescent="0.6">
      <c r="A166" s="214" t="s">
        <v>19</v>
      </c>
      <c r="B166" s="13" t="s">
        <v>2146</v>
      </c>
      <c r="C166" s="219" t="s">
        <v>927</v>
      </c>
      <c r="D166" s="216" t="s">
        <v>202</v>
      </c>
      <c r="E166" s="217" t="s">
        <v>954</v>
      </c>
      <c r="F166" s="217" t="s">
        <v>968</v>
      </c>
      <c r="G166" s="218">
        <v>35249</v>
      </c>
      <c r="H166" s="217" t="s">
        <v>755</v>
      </c>
      <c r="I166" s="217" t="s">
        <v>733</v>
      </c>
      <c r="J166" s="217" t="s">
        <v>1026</v>
      </c>
      <c r="K166" s="217" t="s">
        <v>308</v>
      </c>
      <c r="L166" s="220">
        <v>298109844</v>
      </c>
      <c r="M166" s="206">
        <v>31806382</v>
      </c>
      <c r="N166" s="206">
        <v>266303462</v>
      </c>
      <c r="O166" s="206">
        <v>55615777</v>
      </c>
      <c r="P166" s="206">
        <v>4744809</v>
      </c>
      <c r="Q166" s="206">
        <v>9739774</v>
      </c>
      <c r="R166" s="206">
        <v>7926239</v>
      </c>
      <c r="S166" s="406">
        <v>0</v>
      </c>
      <c r="T166" s="428">
        <f t="shared" si="48"/>
        <v>50</v>
      </c>
      <c r="U166" s="415">
        <f t="shared" si="49"/>
        <v>0.5</v>
      </c>
      <c r="V166" s="405">
        <v>0</v>
      </c>
      <c r="W166" s="428">
        <f t="shared" si="50"/>
        <v>50</v>
      </c>
      <c r="X166" s="415">
        <f t="shared" si="51"/>
        <v>0.5</v>
      </c>
      <c r="Y166" s="406">
        <v>0</v>
      </c>
      <c r="Z166" s="429">
        <v>0</v>
      </c>
      <c r="AA166" s="430">
        <f t="shared" si="52"/>
        <v>50</v>
      </c>
      <c r="AB166" s="415">
        <f t="shared" si="53"/>
        <v>0.5</v>
      </c>
      <c r="AC166" s="431">
        <v>0</v>
      </c>
      <c r="AD166" s="432">
        <f t="shared" si="54"/>
        <v>100</v>
      </c>
      <c r="AE166" s="433">
        <f t="shared" si="60"/>
        <v>4</v>
      </c>
      <c r="AF166" s="434" t="s">
        <v>2326</v>
      </c>
      <c r="AG166" s="434" t="s">
        <v>2326</v>
      </c>
      <c r="AH166" s="434" t="s">
        <v>2326</v>
      </c>
      <c r="AI166" s="362"/>
      <c r="AJ166" s="434" t="s">
        <v>2326</v>
      </c>
      <c r="AK166" s="434" t="s">
        <v>2326</v>
      </c>
      <c r="AL166" s="363"/>
      <c r="AM166" s="406">
        <v>0</v>
      </c>
      <c r="AN166" s="406">
        <v>0</v>
      </c>
      <c r="AO166" s="406">
        <v>0</v>
      </c>
      <c r="AP166" s="406">
        <v>0</v>
      </c>
      <c r="AQ166" s="406">
        <v>0</v>
      </c>
      <c r="AR166" s="406">
        <v>0</v>
      </c>
      <c r="AS166" s="406">
        <v>0</v>
      </c>
      <c r="AT166" s="406">
        <v>0</v>
      </c>
      <c r="AU166" s="407">
        <f t="shared" si="55"/>
        <v>0</v>
      </c>
      <c r="AV166" s="407">
        <f t="shared" si="56"/>
        <v>100</v>
      </c>
      <c r="AW166" s="408">
        <f t="shared" si="61"/>
        <v>5</v>
      </c>
      <c r="AX166" s="406">
        <v>0</v>
      </c>
      <c r="AY166" s="406">
        <v>0</v>
      </c>
      <c r="AZ166" s="406">
        <v>0</v>
      </c>
      <c r="BA166" s="406">
        <v>0</v>
      </c>
      <c r="BB166" s="430">
        <f t="shared" si="57"/>
        <v>0</v>
      </c>
      <c r="BC166" s="407">
        <f t="shared" si="58"/>
        <v>25</v>
      </c>
      <c r="BD166" s="408">
        <f t="shared" si="62"/>
        <v>0.75</v>
      </c>
      <c r="BE166" s="340">
        <f t="shared" si="59"/>
        <v>11.25</v>
      </c>
    </row>
    <row r="167" spans="1:57" x14ac:dyDescent="0.6">
      <c r="A167" s="214" t="s">
        <v>361</v>
      </c>
      <c r="B167" s="13" t="s">
        <v>2147</v>
      </c>
      <c r="C167" s="219" t="s">
        <v>949</v>
      </c>
      <c r="D167" s="216" t="s">
        <v>285</v>
      </c>
      <c r="E167" s="217" t="s">
        <v>504</v>
      </c>
      <c r="F167" s="217" t="s">
        <v>650</v>
      </c>
      <c r="G167" s="218">
        <v>37462</v>
      </c>
      <c r="H167" s="217" t="s">
        <v>830</v>
      </c>
      <c r="I167" s="217" t="s">
        <v>1724</v>
      </c>
      <c r="J167" s="217" t="s">
        <v>1175</v>
      </c>
      <c r="K167" s="217" t="s">
        <v>91</v>
      </c>
      <c r="L167" s="220">
        <v>573569548</v>
      </c>
      <c r="M167" s="206">
        <v>109458880</v>
      </c>
      <c r="N167" s="206">
        <v>464110668</v>
      </c>
      <c r="O167" s="206">
        <v>119350275</v>
      </c>
      <c r="P167" s="206">
        <v>9219026</v>
      </c>
      <c r="Q167" s="206">
        <v>8486086</v>
      </c>
      <c r="R167" s="206">
        <v>9179410</v>
      </c>
      <c r="S167" s="406">
        <v>0</v>
      </c>
      <c r="T167" s="428">
        <f t="shared" si="48"/>
        <v>50</v>
      </c>
      <c r="U167" s="415">
        <f t="shared" si="49"/>
        <v>0.5</v>
      </c>
      <c r="V167" s="405">
        <v>0</v>
      </c>
      <c r="W167" s="428">
        <f t="shared" si="50"/>
        <v>50</v>
      </c>
      <c r="X167" s="415">
        <f t="shared" si="51"/>
        <v>0.5</v>
      </c>
      <c r="Y167" s="406">
        <v>0</v>
      </c>
      <c r="Z167" s="429">
        <v>0</v>
      </c>
      <c r="AA167" s="430">
        <f t="shared" si="52"/>
        <v>50</v>
      </c>
      <c r="AB167" s="415">
        <f t="shared" si="53"/>
        <v>0.5</v>
      </c>
      <c r="AC167" s="431">
        <v>0</v>
      </c>
      <c r="AD167" s="432">
        <f t="shared" si="54"/>
        <v>100</v>
      </c>
      <c r="AE167" s="433">
        <f t="shared" si="60"/>
        <v>4</v>
      </c>
      <c r="AF167" s="434" t="s">
        <v>2326</v>
      </c>
      <c r="AG167" s="434" t="s">
        <v>2326</v>
      </c>
      <c r="AH167" s="434" t="s">
        <v>2326</v>
      </c>
      <c r="AI167" s="362"/>
      <c r="AJ167" s="434" t="s">
        <v>2326</v>
      </c>
      <c r="AK167" s="434" t="s">
        <v>2326</v>
      </c>
      <c r="AL167" s="363"/>
      <c r="AM167" s="406">
        <v>0</v>
      </c>
      <c r="AN167" s="406">
        <v>0</v>
      </c>
      <c r="AO167" s="406">
        <v>0</v>
      </c>
      <c r="AP167" s="406">
        <v>1</v>
      </c>
      <c r="AQ167" s="406">
        <v>0</v>
      </c>
      <c r="AR167" s="406">
        <v>0</v>
      </c>
      <c r="AS167" s="406">
        <v>0</v>
      </c>
      <c r="AT167" s="406">
        <v>1</v>
      </c>
      <c r="AU167" s="407">
        <f t="shared" si="55"/>
        <v>2</v>
      </c>
      <c r="AV167" s="407">
        <f t="shared" si="56"/>
        <v>60</v>
      </c>
      <c r="AW167" s="408">
        <f t="shared" si="61"/>
        <v>3</v>
      </c>
      <c r="AX167" s="406">
        <v>0</v>
      </c>
      <c r="AY167" s="406">
        <v>0</v>
      </c>
      <c r="AZ167" s="406">
        <v>0</v>
      </c>
      <c r="BA167" s="406">
        <v>0</v>
      </c>
      <c r="BB167" s="430">
        <f t="shared" si="57"/>
        <v>0</v>
      </c>
      <c r="BC167" s="407">
        <f t="shared" si="58"/>
        <v>25</v>
      </c>
      <c r="BD167" s="408">
        <f t="shared" si="62"/>
        <v>0.75</v>
      </c>
      <c r="BE167" s="340">
        <f t="shared" si="59"/>
        <v>9.25</v>
      </c>
    </row>
    <row r="168" spans="1:57" x14ac:dyDescent="0.6">
      <c r="A168" s="214" t="s">
        <v>1725</v>
      </c>
      <c r="B168" s="13" t="s">
        <v>2148</v>
      </c>
      <c r="C168" s="219" t="s">
        <v>351</v>
      </c>
      <c r="D168" s="216" t="s">
        <v>191</v>
      </c>
      <c r="E168" s="217" t="s">
        <v>1091</v>
      </c>
      <c r="F168" s="217" t="s">
        <v>584</v>
      </c>
      <c r="G168" s="218">
        <v>43140</v>
      </c>
      <c r="H168" s="217" t="s">
        <v>830</v>
      </c>
      <c r="I168" s="217" t="s">
        <v>804</v>
      </c>
      <c r="J168" s="217" t="s">
        <v>1164</v>
      </c>
      <c r="K168" s="217" t="s">
        <v>346</v>
      </c>
      <c r="L168" s="220">
        <v>5571483130</v>
      </c>
      <c r="M168" s="206">
        <v>1401534327</v>
      </c>
      <c r="N168" s="206">
        <v>4169948803</v>
      </c>
      <c r="O168" s="206">
        <v>1937469297</v>
      </c>
      <c r="P168" s="206">
        <v>618890773</v>
      </c>
      <c r="Q168" s="206">
        <v>606389938</v>
      </c>
      <c r="R168" s="206">
        <v>511383102</v>
      </c>
      <c r="S168" s="406">
        <v>0</v>
      </c>
      <c r="T168" s="428">
        <f t="shared" si="48"/>
        <v>50</v>
      </c>
      <c r="U168" s="415">
        <f t="shared" si="49"/>
        <v>0.5</v>
      </c>
      <c r="V168" s="405">
        <v>0</v>
      </c>
      <c r="W168" s="428">
        <f t="shared" si="50"/>
        <v>50</v>
      </c>
      <c r="X168" s="415">
        <f t="shared" si="51"/>
        <v>0.5</v>
      </c>
      <c r="Y168" s="406">
        <v>0</v>
      </c>
      <c r="Z168" s="429">
        <v>0</v>
      </c>
      <c r="AA168" s="430">
        <f t="shared" si="52"/>
        <v>50</v>
      </c>
      <c r="AB168" s="415">
        <f t="shared" si="53"/>
        <v>0.5</v>
      </c>
      <c r="AC168" s="431">
        <v>0</v>
      </c>
      <c r="AD168" s="432">
        <f t="shared" si="54"/>
        <v>100</v>
      </c>
      <c r="AE168" s="433">
        <f t="shared" si="60"/>
        <v>4</v>
      </c>
      <c r="AF168" s="434" t="s">
        <v>2326</v>
      </c>
      <c r="AG168" s="434" t="s">
        <v>2326</v>
      </c>
      <c r="AH168" s="434" t="s">
        <v>2326</v>
      </c>
      <c r="AI168" s="362"/>
      <c r="AJ168" s="434" t="s">
        <v>2326</v>
      </c>
      <c r="AK168" s="434" t="s">
        <v>2326</v>
      </c>
      <c r="AL168" s="363"/>
      <c r="AM168" s="406">
        <v>0</v>
      </c>
      <c r="AN168" s="406">
        <v>0</v>
      </c>
      <c r="AO168" s="406">
        <v>0</v>
      </c>
      <c r="AP168" s="406">
        <v>0</v>
      </c>
      <c r="AQ168" s="406">
        <v>0</v>
      </c>
      <c r="AR168" s="406">
        <v>0</v>
      </c>
      <c r="AS168" s="406">
        <v>0</v>
      </c>
      <c r="AT168" s="406">
        <v>0</v>
      </c>
      <c r="AU168" s="407">
        <f t="shared" si="55"/>
        <v>0</v>
      </c>
      <c r="AV168" s="407">
        <f t="shared" si="56"/>
        <v>100</v>
      </c>
      <c r="AW168" s="408">
        <f t="shared" si="61"/>
        <v>5</v>
      </c>
      <c r="AX168" s="406">
        <v>0</v>
      </c>
      <c r="AY168" s="406">
        <v>0</v>
      </c>
      <c r="AZ168" s="406">
        <v>0</v>
      </c>
      <c r="BA168" s="406">
        <v>0</v>
      </c>
      <c r="BB168" s="430">
        <f t="shared" si="57"/>
        <v>0</v>
      </c>
      <c r="BC168" s="407">
        <f t="shared" si="58"/>
        <v>25</v>
      </c>
      <c r="BD168" s="408">
        <f t="shared" si="62"/>
        <v>0.75</v>
      </c>
      <c r="BE168" s="340">
        <f t="shared" si="59"/>
        <v>11.25</v>
      </c>
    </row>
    <row r="169" spans="1:57" x14ac:dyDescent="0.6">
      <c r="A169" s="214" t="s">
        <v>1726</v>
      </c>
      <c r="B169" s="13" t="s">
        <v>2149</v>
      </c>
      <c r="C169" s="219" t="s">
        <v>1727</v>
      </c>
      <c r="D169" s="14" t="s">
        <v>202</v>
      </c>
      <c r="E169" s="217" t="s">
        <v>205</v>
      </c>
      <c r="F169" s="217" t="s">
        <v>1728</v>
      </c>
      <c r="G169" s="218">
        <v>44229</v>
      </c>
      <c r="H169" s="217" t="s">
        <v>830</v>
      </c>
      <c r="I169" s="217" t="s">
        <v>1729</v>
      </c>
      <c r="J169" s="217" t="s">
        <v>1730</v>
      </c>
      <c r="K169" s="217" t="s">
        <v>690</v>
      </c>
      <c r="L169" s="220">
        <v>487384549</v>
      </c>
      <c r="M169" s="206">
        <v>250541994</v>
      </c>
      <c r="N169" s="206">
        <v>236842555</v>
      </c>
      <c r="O169" s="206">
        <v>931449231</v>
      </c>
      <c r="P169" s="206">
        <v>44671754</v>
      </c>
      <c r="Q169" s="206">
        <v>50417620</v>
      </c>
      <c r="R169" s="206">
        <v>39493848</v>
      </c>
      <c r="S169" s="406">
        <v>0</v>
      </c>
      <c r="T169" s="428">
        <f t="shared" si="48"/>
        <v>50</v>
      </c>
      <c r="U169" s="415">
        <f t="shared" si="49"/>
        <v>0.5</v>
      </c>
      <c r="V169" s="405">
        <v>0</v>
      </c>
      <c r="W169" s="428">
        <f t="shared" si="50"/>
        <v>50</v>
      </c>
      <c r="X169" s="415">
        <f t="shared" si="51"/>
        <v>0.5</v>
      </c>
      <c r="Y169" s="406">
        <v>0</v>
      </c>
      <c r="Z169" s="429">
        <v>0</v>
      </c>
      <c r="AA169" s="430">
        <f t="shared" si="52"/>
        <v>50</v>
      </c>
      <c r="AB169" s="415">
        <f t="shared" si="53"/>
        <v>0.5</v>
      </c>
      <c r="AC169" s="431">
        <v>0</v>
      </c>
      <c r="AD169" s="432">
        <f t="shared" si="54"/>
        <v>100</v>
      </c>
      <c r="AE169" s="433">
        <f t="shared" si="60"/>
        <v>4</v>
      </c>
      <c r="AF169" s="434" t="s">
        <v>2326</v>
      </c>
      <c r="AG169" s="434" t="s">
        <v>2326</v>
      </c>
      <c r="AH169" s="434" t="s">
        <v>2326</v>
      </c>
      <c r="AI169" s="362"/>
      <c r="AJ169" s="434" t="s">
        <v>2326</v>
      </c>
      <c r="AK169" s="434" t="s">
        <v>2326</v>
      </c>
      <c r="AL169" s="363"/>
      <c r="AM169" s="406">
        <v>0</v>
      </c>
      <c r="AN169" s="406">
        <v>0</v>
      </c>
      <c r="AO169" s="406">
        <v>0</v>
      </c>
      <c r="AP169" s="406">
        <v>0</v>
      </c>
      <c r="AQ169" s="406">
        <v>0</v>
      </c>
      <c r="AR169" s="406">
        <v>0</v>
      </c>
      <c r="AS169" s="406">
        <v>0</v>
      </c>
      <c r="AT169" s="406">
        <v>0</v>
      </c>
      <c r="AU169" s="407">
        <f t="shared" si="55"/>
        <v>0</v>
      </c>
      <c r="AV169" s="407">
        <f t="shared" si="56"/>
        <v>100</v>
      </c>
      <c r="AW169" s="408">
        <f t="shared" si="61"/>
        <v>5</v>
      </c>
      <c r="AX169" s="406">
        <v>0</v>
      </c>
      <c r="AY169" s="406">
        <v>0</v>
      </c>
      <c r="AZ169" s="406">
        <v>0</v>
      </c>
      <c r="BA169" s="406">
        <v>0</v>
      </c>
      <c r="BB169" s="430">
        <f t="shared" si="57"/>
        <v>0</v>
      </c>
      <c r="BC169" s="407">
        <f t="shared" si="58"/>
        <v>25</v>
      </c>
      <c r="BD169" s="408">
        <f t="shared" si="62"/>
        <v>0.75</v>
      </c>
      <c r="BE169" s="340">
        <f t="shared" si="59"/>
        <v>11.25</v>
      </c>
    </row>
    <row r="170" spans="1:57" x14ac:dyDescent="0.6">
      <c r="A170" s="214" t="s">
        <v>945</v>
      </c>
      <c r="B170" s="13" t="s">
        <v>2150</v>
      </c>
      <c r="C170" s="219" t="s">
        <v>51</v>
      </c>
      <c r="D170" s="216" t="s">
        <v>203</v>
      </c>
      <c r="E170" s="217" t="s">
        <v>188</v>
      </c>
      <c r="F170" s="217" t="s">
        <v>160</v>
      </c>
      <c r="G170" s="218">
        <v>28301</v>
      </c>
      <c r="H170" s="217" t="s">
        <v>830</v>
      </c>
      <c r="I170" s="217" t="s">
        <v>253</v>
      </c>
      <c r="J170" s="217" t="s">
        <v>1050</v>
      </c>
      <c r="K170" s="217" t="s">
        <v>407</v>
      </c>
      <c r="L170" s="220">
        <v>1117980000</v>
      </c>
      <c r="M170" s="206">
        <v>475314000</v>
      </c>
      <c r="N170" s="206">
        <v>642666000</v>
      </c>
      <c r="O170" s="206">
        <v>1145427000</v>
      </c>
      <c r="P170" s="206">
        <v>167535000</v>
      </c>
      <c r="Q170" s="206">
        <v>168668000</v>
      </c>
      <c r="R170" s="206">
        <v>122873000</v>
      </c>
      <c r="S170" s="406">
        <v>0</v>
      </c>
      <c r="T170" s="428">
        <f t="shared" si="48"/>
        <v>50</v>
      </c>
      <c r="U170" s="415">
        <f t="shared" si="49"/>
        <v>0.5</v>
      </c>
      <c r="V170" s="405">
        <v>0</v>
      </c>
      <c r="W170" s="428">
        <f t="shared" si="50"/>
        <v>50</v>
      </c>
      <c r="X170" s="415">
        <f t="shared" si="51"/>
        <v>0.5</v>
      </c>
      <c r="Y170" s="406">
        <v>0</v>
      </c>
      <c r="Z170" s="429">
        <v>0</v>
      </c>
      <c r="AA170" s="430">
        <f t="shared" si="52"/>
        <v>50</v>
      </c>
      <c r="AB170" s="415">
        <f t="shared" si="53"/>
        <v>0.5</v>
      </c>
      <c r="AC170" s="431">
        <v>0</v>
      </c>
      <c r="AD170" s="432">
        <f t="shared" si="54"/>
        <v>100</v>
      </c>
      <c r="AE170" s="433">
        <f t="shared" si="60"/>
        <v>4</v>
      </c>
      <c r="AF170" s="434" t="s">
        <v>2326</v>
      </c>
      <c r="AG170" s="434" t="s">
        <v>2326</v>
      </c>
      <c r="AH170" s="434" t="s">
        <v>2326</v>
      </c>
      <c r="AI170" s="362"/>
      <c r="AJ170" s="434" t="s">
        <v>2326</v>
      </c>
      <c r="AK170" s="434" t="s">
        <v>2326</v>
      </c>
      <c r="AL170" s="363"/>
      <c r="AM170" s="406">
        <v>0</v>
      </c>
      <c r="AN170" s="406">
        <v>0</v>
      </c>
      <c r="AO170" s="406">
        <v>0</v>
      </c>
      <c r="AP170" s="406">
        <v>0</v>
      </c>
      <c r="AQ170" s="406">
        <v>0</v>
      </c>
      <c r="AR170" s="406">
        <v>0</v>
      </c>
      <c r="AS170" s="406">
        <v>0</v>
      </c>
      <c r="AT170" s="406">
        <v>0</v>
      </c>
      <c r="AU170" s="407">
        <f t="shared" si="55"/>
        <v>0</v>
      </c>
      <c r="AV170" s="407">
        <f t="shared" si="56"/>
        <v>100</v>
      </c>
      <c r="AW170" s="408">
        <f t="shared" si="61"/>
        <v>5</v>
      </c>
      <c r="AX170" s="406">
        <v>0</v>
      </c>
      <c r="AY170" s="406">
        <v>0</v>
      </c>
      <c r="AZ170" s="406">
        <v>0</v>
      </c>
      <c r="BA170" s="406">
        <v>0</v>
      </c>
      <c r="BB170" s="430">
        <f t="shared" si="57"/>
        <v>0</v>
      </c>
      <c r="BC170" s="407">
        <f t="shared" si="58"/>
        <v>25</v>
      </c>
      <c r="BD170" s="408">
        <f t="shared" si="62"/>
        <v>0.75</v>
      </c>
      <c r="BE170" s="340">
        <f t="shared" si="59"/>
        <v>11.25</v>
      </c>
    </row>
    <row r="171" spans="1:57" x14ac:dyDescent="0.6">
      <c r="A171" s="214" t="s">
        <v>1731</v>
      </c>
      <c r="B171" s="13" t="s">
        <v>2151</v>
      </c>
      <c r="C171" s="219" t="s">
        <v>1732</v>
      </c>
      <c r="D171" s="14" t="s">
        <v>202</v>
      </c>
      <c r="E171" s="217" t="s">
        <v>572</v>
      </c>
      <c r="F171" s="217" t="s">
        <v>1733</v>
      </c>
      <c r="G171" s="218">
        <v>33480</v>
      </c>
      <c r="H171" s="217" t="s">
        <v>830</v>
      </c>
      <c r="I171" s="217" t="s">
        <v>1734</v>
      </c>
      <c r="J171" s="217" t="s">
        <v>1735</v>
      </c>
      <c r="K171" s="217" t="s">
        <v>690</v>
      </c>
      <c r="L171" s="220">
        <v>181493057</v>
      </c>
      <c r="M171" s="206">
        <v>70279714</v>
      </c>
      <c r="N171" s="206">
        <v>111213342</v>
      </c>
      <c r="O171" s="206">
        <v>120360819</v>
      </c>
      <c r="P171" s="206">
        <v>9391620</v>
      </c>
      <c r="Q171" s="206">
        <v>7726840</v>
      </c>
      <c r="R171" s="206">
        <v>5939402</v>
      </c>
      <c r="S171" s="406">
        <v>0</v>
      </c>
      <c r="T171" s="428">
        <f t="shared" si="48"/>
        <v>50</v>
      </c>
      <c r="U171" s="415">
        <f t="shared" si="49"/>
        <v>0.5</v>
      </c>
      <c r="V171" s="405">
        <v>0</v>
      </c>
      <c r="W171" s="428">
        <f t="shared" si="50"/>
        <v>50</v>
      </c>
      <c r="X171" s="415">
        <f t="shared" si="51"/>
        <v>0.5</v>
      </c>
      <c r="Y171" s="406">
        <v>0</v>
      </c>
      <c r="Z171" s="429">
        <v>0</v>
      </c>
      <c r="AA171" s="430">
        <f t="shared" si="52"/>
        <v>50</v>
      </c>
      <c r="AB171" s="415">
        <f t="shared" si="53"/>
        <v>0.5</v>
      </c>
      <c r="AC171" s="431">
        <v>0</v>
      </c>
      <c r="AD171" s="432">
        <f t="shared" si="54"/>
        <v>100</v>
      </c>
      <c r="AE171" s="433">
        <f t="shared" si="60"/>
        <v>4</v>
      </c>
      <c r="AF171" s="434" t="s">
        <v>2326</v>
      </c>
      <c r="AG171" s="434" t="s">
        <v>2326</v>
      </c>
      <c r="AH171" s="434" t="s">
        <v>2326</v>
      </c>
      <c r="AI171" s="362"/>
      <c r="AJ171" s="434" t="s">
        <v>2326</v>
      </c>
      <c r="AK171" s="434" t="s">
        <v>2326</v>
      </c>
      <c r="AL171" s="363"/>
      <c r="AM171" s="406">
        <v>0</v>
      </c>
      <c r="AN171" s="406">
        <v>0</v>
      </c>
      <c r="AO171" s="406">
        <v>0</v>
      </c>
      <c r="AP171" s="406">
        <v>0</v>
      </c>
      <c r="AQ171" s="406">
        <v>0</v>
      </c>
      <c r="AR171" s="406">
        <v>0</v>
      </c>
      <c r="AS171" s="406">
        <v>0</v>
      </c>
      <c r="AT171" s="406">
        <v>0</v>
      </c>
      <c r="AU171" s="407">
        <f t="shared" si="55"/>
        <v>0</v>
      </c>
      <c r="AV171" s="407">
        <f t="shared" si="56"/>
        <v>100</v>
      </c>
      <c r="AW171" s="408">
        <f t="shared" si="61"/>
        <v>5</v>
      </c>
      <c r="AX171" s="406">
        <v>0</v>
      </c>
      <c r="AY171" s="406">
        <v>0</v>
      </c>
      <c r="AZ171" s="406">
        <v>0</v>
      </c>
      <c r="BA171" s="406">
        <v>0</v>
      </c>
      <c r="BB171" s="430">
        <f t="shared" si="57"/>
        <v>0</v>
      </c>
      <c r="BC171" s="407">
        <f t="shared" si="58"/>
        <v>25</v>
      </c>
      <c r="BD171" s="408">
        <f t="shared" si="62"/>
        <v>0.75</v>
      </c>
      <c r="BE171" s="340">
        <f t="shared" si="59"/>
        <v>11.25</v>
      </c>
    </row>
    <row r="172" spans="1:57" x14ac:dyDescent="0.6">
      <c r="A172" s="214" t="s">
        <v>762</v>
      </c>
      <c r="B172" s="13" t="s">
        <v>2152</v>
      </c>
      <c r="C172" s="219" t="s">
        <v>103</v>
      </c>
      <c r="D172" s="216" t="s">
        <v>191</v>
      </c>
      <c r="E172" s="217" t="s">
        <v>554</v>
      </c>
      <c r="F172" s="217" t="s">
        <v>777</v>
      </c>
      <c r="G172" s="218">
        <v>40568</v>
      </c>
      <c r="H172" s="217" t="s">
        <v>830</v>
      </c>
      <c r="I172" s="217" t="s">
        <v>1736</v>
      </c>
      <c r="J172" s="217" t="s">
        <v>1081</v>
      </c>
      <c r="K172" s="217" t="s">
        <v>690</v>
      </c>
      <c r="L172" s="220">
        <v>84677096</v>
      </c>
      <c r="M172" s="206">
        <v>21426870</v>
      </c>
      <c r="N172" s="206">
        <v>63250226</v>
      </c>
      <c r="O172" s="206">
        <v>241730925</v>
      </c>
      <c r="P172" s="206">
        <v>412795</v>
      </c>
      <c r="Q172" s="206">
        <v>2901178</v>
      </c>
      <c r="R172" s="206">
        <v>2331137</v>
      </c>
      <c r="S172" s="406">
        <v>0</v>
      </c>
      <c r="T172" s="428">
        <f t="shared" si="48"/>
        <v>50</v>
      </c>
      <c r="U172" s="415">
        <f t="shared" si="49"/>
        <v>0.5</v>
      </c>
      <c r="V172" s="405">
        <v>0</v>
      </c>
      <c r="W172" s="428">
        <f t="shared" si="50"/>
        <v>50</v>
      </c>
      <c r="X172" s="415">
        <f t="shared" si="51"/>
        <v>0.5</v>
      </c>
      <c r="Y172" s="406">
        <v>0</v>
      </c>
      <c r="Z172" s="429">
        <v>0</v>
      </c>
      <c r="AA172" s="430">
        <f t="shared" si="52"/>
        <v>50</v>
      </c>
      <c r="AB172" s="415">
        <f t="shared" si="53"/>
        <v>0.5</v>
      </c>
      <c r="AC172" s="431">
        <v>6</v>
      </c>
      <c r="AD172" s="432">
        <f t="shared" si="54"/>
        <v>20</v>
      </c>
      <c r="AE172" s="433">
        <f t="shared" si="60"/>
        <v>0.8</v>
      </c>
      <c r="AF172" s="434" t="s">
        <v>2326</v>
      </c>
      <c r="AG172" s="434" t="s">
        <v>2326</v>
      </c>
      <c r="AH172" s="434" t="s">
        <v>2326</v>
      </c>
      <c r="AI172" s="362"/>
      <c r="AJ172" s="434" t="s">
        <v>2326</v>
      </c>
      <c r="AK172" s="434" t="s">
        <v>2326</v>
      </c>
      <c r="AL172" s="363"/>
      <c r="AM172" s="406">
        <v>0</v>
      </c>
      <c r="AN172" s="406">
        <v>0</v>
      </c>
      <c r="AO172" s="406">
        <v>0</v>
      </c>
      <c r="AP172" s="406">
        <v>0</v>
      </c>
      <c r="AQ172" s="406">
        <v>0</v>
      </c>
      <c r="AR172" s="406">
        <v>0</v>
      </c>
      <c r="AS172" s="406">
        <v>0</v>
      </c>
      <c r="AT172" s="406">
        <v>0</v>
      </c>
      <c r="AU172" s="407">
        <f t="shared" si="55"/>
        <v>0</v>
      </c>
      <c r="AV172" s="407">
        <f t="shared" si="56"/>
        <v>100</v>
      </c>
      <c r="AW172" s="408">
        <f t="shared" si="61"/>
        <v>5</v>
      </c>
      <c r="AX172" s="406">
        <v>0</v>
      </c>
      <c r="AY172" s="406">
        <v>0</v>
      </c>
      <c r="AZ172" s="406">
        <v>0</v>
      </c>
      <c r="BA172" s="406">
        <v>0</v>
      </c>
      <c r="BB172" s="430">
        <f t="shared" si="57"/>
        <v>0</v>
      </c>
      <c r="BC172" s="407">
        <f t="shared" si="58"/>
        <v>25</v>
      </c>
      <c r="BD172" s="408">
        <f t="shared" si="62"/>
        <v>0.75</v>
      </c>
      <c r="BE172" s="340">
        <f t="shared" si="59"/>
        <v>8.0500000000000007</v>
      </c>
    </row>
    <row r="173" spans="1:57" x14ac:dyDescent="0.6">
      <c r="A173" s="214" t="s">
        <v>899</v>
      </c>
      <c r="B173" s="13" t="s">
        <v>2153</v>
      </c>
      <c r="C173" s="219" t="s">
        <v>862</v>
      </c>
      <c r="D173" s="216" t="s">
        <v>191</v>
      </c>
      <c r="E173" s="217" t="s">
        <v>1029</v>
      </c>
      <c r="F173" s="217" t="s">
        <v>1107</v>
      </c>
      <c r="G173" s="218">
        <v>35054</v>
      </c>
      <c r="H173" s="217" t="s">
        <v>830</v>
      </c>
      <c r="I173" s="217" t="s">
        <v>975</v>
      </c>
      <c r="J173" s="217" t="s">
        <v>1215</v>
      </c>
      <c r="K173" s="217" t="s">
        <v>690</v>
      </c>
      <c r="L173" s="220">
        <v>426922360</v>
      </c>
      <c r="M173" s="206">
        <v>43331711</v>
      </c>
      <c r="N173" s="206">
        <v>383590648</v>
      </c>
      <c r="O173" s="206">
        <v>226067372</v>
      </c>
      <c r="P173" s="206">
        <v>21433375</v>
      </c>
      <c r="Q173" s="206">
        <v>24456144</v>
      </c>
      <c r="R173" s="206">
        <v>20262547</v>
      </c>
      <c r="S173" s="406">
        <v>0</v>
      </c>
      <c r="T173" s="428">
        <f t="shared" si="48"/>
        <v>50</v>
      </c>
      <c r="U173" s="415">
        <f t="shared" si="49"/>
        <v>0.5</v>
      </c>
      <c r="V173" s="405">
        <v>0</v>
      </c>
      <c r="W173" s="428">
        <f t="shared" si="50"/>
        <v>50</v>
      </c>
      <c r="X173" s="415">
        <f t="shared" si="51"/>
        <v>0.5</v>
      </c>
      <c r="Y173" s="406">
        <v>0</v>
      </c>
      <c r="Z173" s="429">
        <v>0</v>
      </c>
      <c r="AA173" s="430">
        <f t="shared" si="52"/>
        <v>50</v>
      </c>
      <c r="AB173" s="415">
        <f t="shared" si="53"/>
        <v>0.5</v>
      </c>
      <c r="AC173" s="431">
        <v>0</v>
      </c>
      <c r="AD173" s="432">
        <f t="shared" si="54"/>
        <v>100</v>
      </c>
      <c r="AE173" s="433">
        <f t="shared" si="60"/>
        <v>4</v>
      </c>
      <c r="AF173" s="434" t="s">
        <v>2326</v>
      </c>
      <c r="AG173" s="434" t="s">
        <v>2326</v>
      </c>
      <c r="AH173" s="434" t="s">
        <v>2326</v>
      </c>
      <c r="AI173" s="362"/>
      <c r="AJ173" s="434" t="s">
        <v>2326</v>
      </c>
      <c r="AK173" s="434" t="s">
        <v>2326</v>
      </c>
      <c r="AL173" s="363"/>
      <c r="AM173" s="406">
        <v>0</v>
      </c>
      <c r="AN173" s="406">
        <v>0</v>
      </c>
      <c r="AO173" s="406">
        <v>0</v>
      </c>
      <c r="AP173" s="406">
        <v>0</v>
      </c>
      <c r="AQ173" s="406">
        <v>0</v>
      </c>
      <c r="AR173" s="406">
        <v>0</v>
      </c>
      <c r="AS173" s="406">
        <v>0</v>
      </c>
      <c r="AT173" s="406">
        <v>0</v>
      </c>
      <c r="AU173" s="407">
        <f t="shared" si="55"/>
        <v>0</v>
      </c>
      <c r="AV173" s="407">
        <f t="shared" si="56"/>
        <v>100</v>
      </c>
      <c r="AW173" s="408">
        <f t="shared" si="61"/>
        <v>5</v>
      </c>
      <c r="AX173" s="406">
        <v>0</v>
      </c>
      <c r="AY173" s="406">
        <v>0</v>
      </c>
      <c r="AZ173" s="406">
        <v>0</v>
      </c>
      <c r="BA173" s="406">
        <v>0</v>
      </c>
      <c r="BB173" s="430">
        <f t="shared" si="57"/>
        <v>0</v>
      </c>
      <c r="BC173" s="407">
        <f t="shared" si="58"/>
        <v>25</v>
      </c>
      <c r="BD173" s="408">
        <f t="shared" si="62"/>
        <v>0.75</v>
      </c>
      <c r="BE173" s="340">
        <f t="shared" si="59"/>
        <v>11.25</v>
      </c>
    </row>
    <row r="174" spans="1:57" x14ac:dyDescent="0.6">
      <c r="A174" s="214" t="s">
        <v>881</v>
      </c>
      <c r="B174" s="13" t="s">
        <v>2154</v>
      </c>
      <c r="C174" s="219" t="s">
        <v>547</v>
      </c>
      <c r="D174" s="216" t="s">
        <v>191</v>
      </c>
      <c r="E174" s="217" t="s">
        <v>403</v>
      </c>
      <c r="F174" s="217" t="s">
        <v>159</v>
      </c>
      <c r="G174" s="218">
        <v>27941</v>
      </c>
      <c r="H174" s="217" t="s">
        <v>830</v>
      </c>
      <c r="I174" s="217" t="s">
        <v>800</v>
      </c>
      <c r="J174" s="217" t="s">
        <v>1077</v>
      </c>
      <c r="K174" s="217" t="s">
        <v>91</v>
      </c>
      <c r="L174" s="220">
        <v>692320507</v>
      </c>
      <c r="M174" s="206">
        <v>130333252</v>
      </c>
      <c r="N174" s="206">
        <v>561987255</v>
      </c>
      <c r="O174" s="206">
        <v>383845600</v>
      </c>
      <c r="P174" s="206">
        <v>10768868</v>
      </c>
      <c r="Q174" s="206">
        <v>19845163</v>
      </c>
      <c r="R174" s="206">
        <v>15665849</v>
      </c>
      <c r="S174" s="406">
        <v>0</v>
      </c>
      <c r="T174" s="428">
        <f t="shared" si="48"/>
        <v>50</v>
      </c>
      <c r="U174" s="415">
        <f t="shared" si="49"/>
        <v>0.5</v>
      </c>
      <c r="V174" s="405">
        <v>0</v>
      </c>
      <c r="W174" s="428">
        <f t="shared" si="50"/>
        <v>50</v>
      </c>
      <c r="X174" s="415">
        <f t="shared" si="51"/>
        <v>0.5</v>
      </c>
      <c r="Y174" s="406">
        <v>0</v>
      </c>
      <c r="Z174" s="429">
        <v>0</v>
      </c>
      <c r="AA174" s="430">
        <f t="shared" si="52"/>
        <v>50</v>
      </c>
      <c r="AB174" s="415">
        <f t="shared" si="53"/>
        <v>0.5</v>
      </c>
      <c r="AC174" s="431">
        <v>0</v>
      </c>
      <c r="AD174" s="432">
        <f t="shared" si="54"/>
        <v>100</v>
      </c>
      <c r="AE174" s="433">
        <f t="shared" si="60"/>
        <v>4</v>
      </c>
      <c r="AF174" s="434" t="s">
        <v>2326</v>
      </c>
      <c r="AG174" s="434" t="s">
        <v>2326</v>
      </c>
      <c r="AH174" s="434" t="s">
        <v>2326</v>
      </c>
      <c r="AI174" s="362"/>
      <c r="AJ174" s="434" t="s">
        <v>2326</v>
      </c>
      <c r="AK174" s="434" t="s">
        <v>2326</v>
      </c>
      <c r="AL174" s="363"/>
      <c r="AM174" s="406">
        <v>0</v>
      </c>
      <c r="AN174" s="406">
        <v>0</v>
      </c>
      <c r="AO174" s="406">
        <v>0</v>
      </c>
      <c r="AP174" s="406">
        <v>0</v>
      </c>
      <c r="AQ174" s="406">
        <v>0</v>
      </c>
      <c r="AR174" s="406">
        <v>0</v>
      </c>
      <c r="AS174" s="406">
        <v>0</v>
      </c>
      <c r="AT174" s="406">
        <v>0</v>
      </c>
      <c r="AU174" s="407">
        <f t="shared" si="55"/>
        <v>0</v>
      </c>
      <c r="AV174" s="407">
        <f t="shared" si="56"/>
        <v>100</v>
      </c>
      <c r="AW174" s="408">
        <f t="shared" si="61"/>
        <v>5</v>
      </c>
      <c r="AX174" s="406">
        <v>0</v>
      </c>
      <c r="AY174" s="406">
        <v>0</v>
      </c>
      <c r="AZ174" s="406">
        <v>0</v>
      </c>
      <c r="BA174" s="406">
        <v>0</v>
      </c>
      <c r="BB174" s="430">
        <f t="shared" si="57"/>
        <v>0</v>
      </c>
      <c r="BC174" s="407">
        <f t="shared" si="58"/>
        <v>25</v>
      </c>
      <c r="BD174" s="408">
        <f t="shared" si="62"/>
        <v>0.75</v>
      </c>
      <c r="BE174" s="340">
        <f t="shared" si="59"/>
        <v>11.25</v>
      </c>
    </row>
    <row r="175" spans="1:57" x14ac:dyDescent="0.6">
      <c r="A175" s="214" t="s">
        <v>330</v>
      </c>
      <c r="B175" s="13" t="s">
        <v>2155</v>
      </c>
      <c r="C175" s="219" t="s">
        <v>78</v>
      </c>
      <c r="D175" s="216" t="s">
        <v>285</v>
      </c>
      <c r="E175" s="217" t="s">
        <v>171</v>
      </c>
      <c r="F175" s="217" t="s">
        <v>1205</v>
      </c>
      <c r="G175" s="218">
        <v>27750</v>
      </c>
      <c r="H175" s="217" t="s">
        <v>755</v>
      </c>
      <c r="I175" s="217" t="s">
        <v>232</v>
      </c>
      <c r="J175" s="217" t="s">
        <v>1093</v>
      </c>
      <c r="K175" s="217" t="s">
        <v>91</v>
      </c>
      <c r="L175" s="220">
        <v>993336394</v>
      </c>
      <c r="M175" s="206">
        <v>651630168</v>
      </c>
      <c r="N175" s="206">
        <v>341706226</v>
      </c>
      <c r="O175" s="206">
        <v>1463883744</v>
      </c>
      <c r="P175" s="206">
        <v>144479752</v>
      </c>
      <c r="Q175" s="206">
        <v>118763976</v>
      </c>
      <c r="R175" s="206">
        <v>84457579</v>
      </c>
      <c r="S175" s="406">
        <v>0</v>
      </c>
      <c r="T175" s="428">
        <f t="shared" si="48"/>
        <v>50</v>
      </c>
      <c r="U175" s="415">
        <f t="shared" si="49"/>
        <v>0.5</v>
      </c>
      <c r="V175" s="405">
        <v>0</v>
      </c>
      <c r="W175" s="428">
        <f t="shared" si="50"/>
        <v>50</v>
      </c>
      <c r="X175" s="415">
        <f t="shared" si="51"/>
        <v>0.5</v>
      </c>
      <c r="Y175" s="406">
        <v>1</v>
      </c>
      <c r="Z175" s="429">
        <v>0</v>
      </c>
      <c r="AA175" s="430">
        <f t="shared" si="52"/>
        <v>100</v>
      </c>
      <c r="AB175" s="415">
        <f t="shared" si="53"/>
        <v>1</v>
      </c>
      <c r="AC175" s="431">
        <v>0</v>
      </c>
      <c r="AD175" s="432">
        <f t="shared" si="54"/>
        <v>100</v>
      </c>
      <c r="AE175" s="433">
        <f t="shared" si="60"/>
        <v>4</v>
      </c>
      <c r="AF175" s="434" t="s">
        <v>2326</v>
      </c>
      <c r="AG175" s="434" t="s">
        <v>2326</v>
      </c>
      <c r="AH175" s="434" t="s">
        <v>2326</v>
      </c>
      <c r="AI175" s="362"/>
      <c r="AJ175" s="434" t="s">
        <v>2326</v>
      </c>
      <c r="AK175" s="434" t="s">
        <v>2326</v>
      </c>
      <c r="AL175" s="363"/>
      <c r="AM175" s="406">
        <v>0</v>
      </c>
      <c r="AN175" s="406">
        <v>0</v>
      </c>
      <c r="AO175" s="406">
        <v>0</v>
      </c>
      <c r="AP175" s="406">
        <v>0</v>
      </c>
      <c r="AQ175" s="406">
        <v>0</v>
      </c>
      <c r="AR175" s="406">
        <v>0</v>
      </c>
      <c r="AS175" s="406">
        <v>0</v>
      </c>
      <c r="AT175" s="406">
        <v>0</v>
      </c>
      <c r="AU175" s="407">
        <f t="shared" si="55"/>
        <v>0</v>
      </c>
      <c r="AV175" s="407">
        <f t="shared" si="56"/>
        <v>100</v>
      </c>
      <c r="AW175" s="408">
        <f t="shared" si="61"/>
        <v>5</v>
      </c>
      <c r="AX175" s="406">
        <v>0</v>
      </c>
      <c r="AY175" s="406">
        <v>0</v>
      </c>
      <c r="AZ175" s="406">
        <v>0</v>
      </c>
      <c r="BA175" s="406">
        <v>0</v>
      </c>
      <c r="BB175" s="430">
        <f t="shared" si="57"/>
        <v>0</v>
      </c>
      <c r="BC175" s="407">
        <f t="shared" si="58"/>
        <v>25</v>
      </c>
      <c r="BD175" s="408">
        <f t="shared" si="62"/>
        <v>0.75</v>
      </c>
      <c r="BE175" s="340">
        <f t="shared" si="59"/>
        <v>11.75</v>
      </c>
    </row>
    <row r="176" spans="1:57" x14ac:dyDescent="0.6">
      <c r="A176" s="214" t="s">
        <v>707</v>
      </c>
      <c r="B176" s="13" t="s">
        <v>2156</v>
      </c>
      <c r="C176" s="219" t="s">
        <v>4</v>
      </c>
      <c r="D176" s="216" t="s">
        <v>285</v>
      </c>
      <c r="E176" s="217" t="s">
        <v>504</v>
      </c>
      <c r="F176" s="217" t="s">
        <v>594</v>
      </c>
      <c r="G176" s="218">
        <v>31278</v>
      </c>
      <c r="H176" s="217" t="s">
        <v>830</v>
      </c>
      <c r="I176" s="217" t="s">
        <v>798</v>
      </c>
      <c r="J176" s="217" t="s">
        <v>1199</v>
      </c>
      <c r="K176" s="217" t="s">
        <v>91</v>
      </c>
      <c r="L176" s="220">
        <v>8345250728</v>
      </c>
      <c r="M176" s="206">
        <v>4385916580</v>
      </c>
      <c r="N176" s="206">
        <v>3959334148</v>
      </c>
      <c r="O176" s="206">
        <v>1865707316</v>
      </c>
      <c r="P176" s="206">
        <v>348026286</v>
      </c>
      <c r="Q176" s="206">
        <v>294941948</v>
      </c>
      <c r="R176" s="206">
        <v>247588341</v>
      </c>
      <c r="S176" s="406">
        <v>0</v>
      </c>
      <c r="T176" s="428">
        <f t="shared" si="48"/>
        <v>50</v>
      </c>
      <c r="U176" s="415">
        <f t="shared" si="49"/>
        <v>0.5</v>
      </c>
      <c r="V176" s="405">
        <v>0</v>
      </c>
      <c r="W176" s="428">
        <f t="shared" si="50"/>
        <v>50</v>
      </c>
      <c r="X176" s="415">
        <f t="shared" si="51"/>
        <v>0.5</v>
      </c>
      <c r="Y176" s="406">
        <v>0</v>
      </c>
      <c r="Z176" s="429">
        <v>0</v>
      </c>
      <c r="AA176" s="430">
        <f t="shared" si="52"/>
        <v>50</v>
      </c>
      <c r="AB176" s="415">
        <f t="shared" si="53"/>
        <v>0.5</v>
      </c>
      <c r="AC176" s="431">
        <v>0</v>
      </c>
      <c r="AD176" s="432">
        <f t="shared" si="54"/>
        <v>100</v>
      </c>
      <c r="AE176" s="433">
        <f t="shared" si="60"/>
        <v>4</v>
      </c>
      <c r="AF176" s="434" t="s">
        <v>2326</v>
      </c>
      <c r="AG176" s="434" t="s">
        <v>2326</v>
      </c>
      <c r="AH176" s="434" t="s">
        <v>2326</v>
      </c>
      <c r="AI176" s="362"/>
      <c r="AJ176" s="434" t="s">
        <v>2326</v>
      </c>
      <c r="AK176" s="434" t="s">
        <v>2326</v>
      </c>
      <c r="AL176" s="363"/>
      <c r="AM176" s="406">
        <v>0</v>
      </c>
      <c r="AN176" s="406">
        <v>0</v>
      </c>
      <c r="AO176" s="406">
        <v>0</v>
      </c>
      <c r="AP176" s="406">
        <v>0</v>
      </c>
      <c r="AQ176" s="406">
        <v>0</v>
      </c>
      <c r="AR176" s="406">
        <v>0</v>
      </c>
      <c r="AS176" s="406">
        <v>0</v>
      </c>
      <c r="AT176" s="406">
        <v>0</v>
      </c>
      <c r="AU176" s="407">
        <f t="shared" si="55"/>
        <v>0</v>
      </c>
      <c r="AV176" s="407">
        <f t="shared" si="56"/>
        <v>100</v>
      </c>
      <c r="AW176" s="408">
        <f t="shared" si="61"/>
        <v>5</v>
      </c>
      <c r="AX176" s="406">
        <v>0</v>
      </c>
      <c r="AY176" s="406">
        <v>0</v>
      </c>
      <c r="AZ176" s="406">
        <v>0</v>
      </c>
      <c r="BA176" s="406">
        <v>0</v>
      </c>
      <c r="BB176" s="430">
        <f t="shared" si="57"/>
        <v>0</v>
      </c>
      <c r="BC176" s="407">
        <f t="shared" si="58"/>
        <v>25</v>
      </c>
      <c r="BD176" s="408">
        <f t="shared" si="62"/>
        <v>0.75</v>
      </c>
      <c r="BE176" s="340">
        <f t="shared" si="59"/>
        <v>11.25</v>
      </c>
    </row>
    <row r="177" spans="1:57" x14ac:dyDescent="0.6">
      <c r="A177" s="214" t="s">
        <v>231</v>
      </c>
      <c r="B177" s="13" t="s">
        <v>2157</v>
      </c>
      <c r="C177" s="219" t="s">
        <v>413</v>
      </c>
      <c r="D177" s="216" t="s">
        <v>285</v>
      </c>
      <c r="E177" s="217" t="s">
        <v>1039</v>
      </c>
      <c r="F177" s="217" t="s">
        <v>1072</v>
      </c>
      <c r="G177" s="218">
        <v>40738</v>
      </c>
      <c r="H177" s="217" t="s">
        <v>830</v>
      </c>
      <c r="I177" s="217" t="s">
        <v>1737</v>
      </c>
      <c r="J177" s="217" t="s">
        <v>1187</v>
      </c>
      <c r="K177" s="217" t="s">
        <v>91</v>
      </c>
      <c r="L177" s="220">
        <v>1134250211</v>
      </c>
      <c r="M177" s="206">
        <v>421706641</v>
      </c>
      <c r="N177" s="206">
        <v>712543570</v>
      </c>
      <c r="O177" s="206">
        <v>1430631262</v>
      </c>
      <c r="P177" s="206">
        <v>99554619</v>
      </c>
      <c r="Q177" s="206">
        <v>116211296</v>
      </c>
      <c r="R177" s="206">
        <v>89493182</v>
      </c>
      <c r="S177" s="406">
        <v>0</v>
      </c>
      <c r="T177" s="428">
        <f t="shared" si="48"/>
        <v>50</v>
      </c>
      <c r="U177" s="415">
        <f t="shared" si="49"/>
        <v>0.5</v>
      </c>
      <c r="V177" s="405">
        <v>0</v>
      </c>
      <c r="W177" s="428">
        <f t="shared" si="50"/>
        <v>50</v>
      </c>
      <c r="X177" s="415">
        <f t="shared" si="51"/>
        <v>0.5</v>
      </c>
      <c r="Y177" s="406">
        <v>1</v>
      </c>
      <c r="Z177" s="429">
        <v>0</v>
      </c>
      <c r="AA177" s="430">
        <f t="shared" si="52"/>
        <v>100</v>
      </c>
      <c r="AB177" s="415">
        <f t="shared" si="53"/>
        <v>1</v>
      </c>
      <c r="AC177" s="431">
        <v>0</v>
      </c>
      <c r="AD177" s="432">
        <f t="shared" si="54"/>
        <v>100</v>
      </c>
      <c r="AE177" s="433">
        <f t="shared" si="60"/>
        <v>4</v>
      </c>
      <c r="AF177" s="434" t="s">
        <v>2326</v>
      </c>
      <c r="AG177" s="434" t="s">
        <v>2326</v>
      </c>
      <c r="AH177" s="434" t="s">
        <v>2326</v>
      </c>
      <c r="AI177" s="362"/>
      <c r="AJ177" s="434" t="s">
        <v>2326</v>
      </c>
      <c r="AK177" s="434" t="s">
        <v>2326</v>
      </c>
      <c r="AL177" s="363"/>
      <c r="AM177" s="406">
        <v>0</v>
      </c>
      <c r="AN177" s="406">
        <v>0</v>
      </c>
      <c r="AO177" s="406">
        <v>0</v>
      </c>
      <c r="AP177" s="406">
        <v>0</v>
      </c>
      <c r="AQ177" s="406">
        <v>0</v>
      </c>
      <c r="AR177" s="406">
        <v>0</v>
      </c>
      <c r="AS177" s="406">
        <v>0</v>
      </c>
      <c r="AT177" s="406">
        <v>0</v>
      </c>
      <c r="AU177" s="407">
        <f t="shared" si="55"/>
        <v>0</v>
      </c>
      <c r="AV177" s="407">
        <f t="shared" si="56"/>
        <v>100</v>
      </c>
      <c r="AW177" s="408">
        <f t="shared" si="61"/>
        <v>5</v>
      </c>
      <c r="AX177" s="406">
        <v>0</v>
      </c>
      <c r="AY177" s="406">
        <v>0</v>
      </c>
      <c r="AZ177" s="406">
        <v>0</v>
      </c>
      <c r="BA177" s="406">
        <v>0</v>
      </c>
      <c r="BB177" s="430">
        <f t="shared" si="57"/>
        <v>0</v>
      </c>
      <c r="BC177" s="407">
        <f t="shared" si="58"/>
        <v>25</v>
      </c>
      <c r="BD177" s="408">
        <f t="shared" si="62"/>
        <v>0.75</v>
      </c>
      <c r="BE177" s="340">
        <f t="shared" si="59"/>
        <v>11.75</v>
      </c>
    </row>
    <row r="178" spans="1:57" x14ac:dyDescent="0.6">
      <c r="A178" s="214" t="s">
        <v>1738</v>
      </c>
      <c r="B178" s="13" t="s">
        <v>2158</v>
      </c>
      <c r="C178" s="219" t="s">
        <v>374</v>
      </c>
      <c r="D178" s="216" t="s">
        <v>191</v>
      </c>
      <c r="E178" s="217" t="s">
        <v>190</v>
      </c>
      <c r="F178" s="217" t="s">
        <v>125</v>
      </c>
      <c r="G178" s="218">
        <v>28122</v>
      </c>
      <c r="H178" s="217" t="s">
        <v>830</v>
      </c>
      <c r="I178" s="217" t="s">
        <v>251</v>
      </c>
      <c r="J178" s="217" t="s">
        <v>287</v>
      </c>
      <c r="K178" s="217" t="s">
        <v>91</v>
      </c>
      <c r="L178" s="220">
        <v>385696451</v>
      </c>
      <c r="M178" s="206">
        <v>57970889</v>
      </c>
      <c r="N178" s="206">
        <v>327725561</v>
      </c>
      <c r="O178" s="206">
        <v>201337780</v>
      </c>
      <c r="P178" s="206">
        <v>7473489</v>
      </c>
      <c r="Q178" s="206">
        <v>11002724</v>
      </c>
      <c r="R178" s="206">
        <v>11593733</v>
      </c>
      <c r="S178" s="406">
        <v>0</v>
      </c>
      <c r="T178" s="428">
        <f t="shared" si="48"/>
        <v>50</v>
      </c>
      <c r="U178" s="415">
        <f t="shared" si="49"/>
        <v>0.5</v>
      </c>
      <c r="V178" s="405">
        <v>0</v>
      </c>
      <c r="W178" s="428">
        <f t="shared" si="50"/>
        <v>50</v>
      </c>
      <c r="X178" s="415">
        <f t="shared" si="51"/>
        <v>0.5</v>
      </c>
      <c r="Y178" s="406">
        <v>0</v>
      </c>
      <c r="Z178" s="429">
        <v>0</v>
      </c>
      <c r="AA178" s="430">
        <f t="shared" si="52"/>
        <v>50</v>
      </c>
      <c r="AB178" s="415">
        <f t="shared" si="53"/>
        <v>0.5</v>
      </c>
      <c r="AC178" s="431">
        <v>0</v>
      </c>
      <c r="AD178" s="432">
        <f t="shared" si="54"/>
        <v>100</v>
      </c>
      <c r="AE178" s="433">
        <f t="shared" si="60"/>
        <v>4</v>
      </c>
      <c r="AF178" s="434" t="s">
        <v>2326</v>
      </c>
      <c r="AG178" s="434" t="s">
        <v>2326</v>
      </c>
      <c r="AH178" s="434" t="s">
        <v>2326</v>
      </c>
      <c r="AI178" s="362"/>
      <c r="AJ178" s="434" t="s">
        <v>2326</v>
      </c>
      <c r="AK178" s="434" t="s">
        <v>2326</v>
      </c>
      <c r="AL178" s="363"/>
      <c r="AM178" s="406">
        <v>0</v>
      </c>
      <c r="AN178" s="406">
        <v>0</v>
      </c>
      <c r="AO178" s="406">
        <v>0</v>
      </c>
      <c r="AP178" s="406">
        <v>0</v>
      </c>
      <c r="AQ178" s="406">
        <v>0</v>
      </c>
      <c r="AR178" s="406">
        <v>0</v>
      </c>
      <c r="AS178" s="406">
        <v>0</v>
      </c>
      <c r="AT178" s="406">
        <v>0</v>
      </c>
      <c r="AU178" s="407">
        <f t="shared" si="55"/>
        <v>0</v>
      </c>
      <c r="AV178" s="407">
        <f t="shared" si="56"/>
        <v>100</v>
      </c>
      <c r="AW178" s="408">
        <f t="shared" si="61"/>
        <v>5</v>
      </c>
      <c r="AX178" s="406">
        <v>0</v>
      </c>
      <c r="AY178" s="406">
        <v>0</v>
      </c>
      <c r="AZ178" s="406">
        <v>0</v>
      </c>
      <c r="BA178" s="406">
        <v>0</v>
      </c>
      <c r="BB178" s="430">
        <f t="shared" si="57"/>
        <v>0</v>
      </c>
      <c r="BC178" s="407">
        <f t="shared" si="58"/>
        <v>25</v>
      </c>
      <c r="BD178" s="408">
        <f t="shared" si="62"/>
        <v>0.75</v>
      </c>
      <c r="BE178" s="340">
        <f t="shared" si="59"/>
        <v>11.25</v>
      </c>
    </row>
    <row r="179" spans="1:57" x14ac:dyDescent="0.6">
      <c r="A179" s="214" t="s">
        <v>414</v>
      </c>
      <c r="B179" s="13" t="s">
        <v>2159</v>
      </c>
      <c r="C179" s="219" t="s">
        <v>411</v>
      </c>
      <c r="D179" s="221" t="s">
        <v>350</v>
      </c>
      <c r="E179" s="217" t="s">
        <v>179</v>
      </c>
      <c r="F179" s="217" t="s">
        <v>808</v>
      </c>
      <c r="G179" s="218">
        <v>32013</v>
      </c>
      <c r="H179" s="217" t="s">
        <v>746</v>
      </c>
      <c r="I179" s="217" t="s">
        <v>266</v>
      </c>
      <c r="J179" s="217" t="s">
        <v>1192</v>
      </c>
      <c r="K179" s="217" t="s">
        <v>91</v>
      </c>
      <c r="L179" s="220">
        <v>10400472991</v>
      </c>
      <c r="M179" s="206">
        <v>9031560866</v>
      </c>
      <c r="N179" s="206">
        <v>1368912125</v>
      </c>
      <c r="O179" s="206">
        <v>2043938653</v>
      </c>
      <c r="P179" s="206">
        <v>111260253</v>
      </c>
      <c r="Q179" s="206">
        <v>121787342</v>
      </c>
      <c r="R179" s="206">
        <v>93015535</v>
      </c>
      <c r="S179" s="406">
        <v>0</v>
      </c>
      <c r="T179" s="428">
        <f t="shared" si="48"/>
        <v>50</v>
      </c>
      <c r="U179" s="415">
        <f t="shared" si="49"/>
        <v>0.5</v>
      </c>
      <c r="V179" s="405">
        <v>0</v>
      </c>
      <c r="W179" s="428">
        <f t="shared" si="50"/>
        <v>50</v>
      </c>
      <c r="X179" s="415">
        <f t="shared" si="51"/>
        <v>0.5</v>
      </c>
      <c r="Y179" s="406">
        <v>0</v>
      </c>
      <c r="Z179" s="429">
        <v>0</v>
      </c>
      <c r="AA179" s="430">
        <f t="shared" si="52"/>
        <v>50</v>
      </c>
      <c r="AB179" s="415">
        <f t="shared" si="53"/>
        <v>0.5</v>
      </c>
      <c r="AC179" s="75">
        <v>0</v>
      </c>
      <c r="AD179" s="432">
        <f t="shared" si="54"/>
        <v>100</v>
      </c>
      <c r="AE179" s="435">
        <f>AD179*0.03</f>
        <v>3</v>
      </c>
      <c r="AF179" s="436">
        <v>0</v>
      </c>
      <c r="AG179" s="437">
        <f>(_xlfn.PERCENTRANK.INC(AF:AF,AF179, 2))*100</f>
        <v>0</v>
      </c>
      <c r="AH179" s="437">
        <f>IF(AF179=0, 100, IF(AG179&lt;10, 80, IF(AG179&lt;50, 60, IF(AG179&lt;90, 40, 20))))</f>
        <v>100</v>
      </c>
      <c r="AI179" s="263">
        <f>AH179*0.03</f>
        <v>3</v>
      </c>
      <c r="AJ179" s="264" t="s">
        <v>3540</v>
      </c>
      <c r="AK179" s="265">
        <f>IF(AJ179="우수", 100, IF(AJ179="양호", 80, IF(AJ179="보통", 60, IF(AJ179= "평가미대상", 60, IF(AJ179="미흡", 40, IF(AJ179="취약", 20))))))</f>
        <v>60</v>
      </c>
      <c r="AL179" s="141">
        <f>AK179*0.03</f>
        <v>1.7999999999999998</v>
      </c>
      <c r="AM179" s="406">
        <v>0</v>
      </c>
      <c r="AN179" s="406">
        <v>0</v>
      </c>
      <c r="AO179" s="406">
        <v>0</v>
      </c>
      <c r="AP179" s="406">
        <v>0</v>
      </c>
      <c r="AQ179" s="406">
        <v>0</v>
      </c>
      <c r="AR179" s="406">
        <v>0</v>
      </c>
      <c r="AS179" s="406">
        <v>0</v>
      </c>
      <c r="AT179" s="406">
        <v>0</v>
      </c>
      <c r="AU179" s="407">
        <f t="shared" si="55"/>
        <v>0</v>
      </c>
      <c r="AV179" s="407">
        <f t="shared" si="56"/>
        <v>100</v>
      </c>
      <c r="AW179" s="438">
        <f>AV179*0.02</f>
        <v>2</v>
      </c>
      <c r="AX179" s="406">
        <v>0</v>
      </c>
      <c r="AY179" s="406">
        <v>0</v>
      </c>
      <c r="AZ179" s="406">
        <v>0</v>
      </c>
      <c r="BA179" s="406">
        <v>0</v>
      </c>
      <c r="BB179" s="430">
        <f t="shared" si="57"/>
        <v>0</v>
      </c>
      <c r="BC179" s="407">
        <f t="shared" si="58"/>
        <v>25</v>
      </c>
      <c r="BD179" s="418">
        <f>BC179*0.01</f>
        <v>0.25</v>
      </c>
      <c r="BE179" s="340">
        <f t="shared" si="59"/>
        <v>11.55</v>
      </c>
    </row>
    <row r="180" spans="1:57" x14ac:dyDescent="0.6">
      <c r="A180" s="214" t="s">
        <v>9</v>
      </c>
      <c r="B180" s="13" t="s">
        <v>2160</v>
      </c>
      <c r="C180" s="219" t="s">
        <v>505</v>
      </c>
      <c r="D180" s="216" t="s">
        <v>285</v>
      </c>
      <c r="E180" s="217" t="s">
        <v>999</v>
      </c>
      <c r="F180" s="217" t="s">
        <v>165</v>
      </c>
      <c r="G180" s="218">
        <v>27667</v>
      </c>
      <c r="H180" s="217" t="s">
        <v>830</v>
      </c>
      <c r="I180" s="217" t="s">
        <v>754</v>
      </c>
      <c r="J180" s="217" t="s">
        <v>1089</v>
      </c>
      <c r="K180" s="217" t="s">
        <v>425</v>
      </c>
      <c r="L180" s="220">
        <v>152880655</v>
      </c>
      <c r="M180" s="206">
        <v>70989813</v>
      </c>
      <c r="N180" s="206">
        <v>81890843</v>
      </c>
      <c r="O180" s="206">
        <v>202728990</v>
      </c>
      <c r="P180" s="206">
        <v>2828954</v>
      </c>
      <c r="Q180" s="206">
        <v>1737125</v>
      </c>
      <c r="R180" s="206">
        <v>1041713</v>
      </c>
      <c r="S180" s="406">
        <v>0</v>
      </c>
      <c r="T180" s="428">
        <f t="shared" si="48"/>
        <v>50</v>
      </c>
      <c r="U180" s="415">
        <f t="shared" si="49"/>
        <v>0.5</v>
      </c>
      <c r="V180" s="405">
        <v>0</v>
      </c>
      <c r="W180" s="428">
        <f t="shared" si="50"/>
        <v>50</v>
      </c>
      <c r="X180" s="415">
        <f t="shared" si="51"/>
        <v>0.5</v>
      </c>
      <c r="Y180" s="406">
        <v>0</v>
      </c>
      <c r="Z180" s="429">
        <v>0</v>
      </c>
      <c r="AA180" s="430">
        <f t="shared" si="52"/>
        <v>50</v>
      </c>
      <c r="AB180" s="415">
        <f t="shared" si="53"/>
        <v>0.5</v>
      </c>
      <c r="AC180" s="431">
        <v>0</v>
      </c>
      <c r="AD180" s="432">
        <f t="shared" si="54"/>
        <v>100</v>
      </c>
      <c r="AE180" s="433">
        <f t="shared" ref="AE180:AE193" si="63">AD180*0.04</f>
        <v>4</v>
      </c>
      <c r="AF180" s="434" t="s">
        <v>2326</v>
      </c>
      <c r="AG180" s="434" t="s">
        <v>2326</v>
      </c>
      <c r="AH180" s="434" t="s">
        <v>2326</v>
      </c>
      <c r="AI180" s="362"/>
      <c r="AJ180" s="434" t="s">
        <v>2326</v>
      </c>
      <c r="AK180" s="434" t="s">
        <v>2326</v>
      </c>
      <c r="AL180" s="363"/>
      <c r="AM180" s="406">
        <v>0</v>
      </c>
      <c r="AN180" s="406">
        <v>0</v>
      </c>
      <c r="AO180" s="406">
        <v>0</v>
      </c>
      <c r="AP180" s="406">
        <v>1</v>
      </c>
      <c r="AQ180" s="406">
        <v>0</v>
      </c>
      <c r="AR180" s="406">
        <v>0</v>
      </c>
      <c r="AS180" s="406">
        <v>0</v>
      </c>
      <c r="AT180" s="406">
        <v>0</v>
      </c>
      <c r="AU180" s="407">
        <f t="shared" si="55"/>
        <v>1</v>
      </c>
      <c r="AV180" s="407">
        <f t="shared" si="56"/>
        <v>80</v>
      </c>
      <c r="AW180" s="408">
        <f t="shared" ref="AW180:AW193" si="64">AV180*0.05</f>
        <v>4</v>
      </c>
      <c r="AX180" s="406">
        <v>0</v>
      </c>
      <c r="AY180" s="406">
        <v>0</v>
      </c>
      <c r="AZ180" s="406">
        <v>0</v>
      </c>
      <c r="BA180" s="406">
        <v>0</v>
      </c>
      <c r="BB180" s="430">
        <f t="shared" si="57"/>
        <v>0</v>
      </c>
      <c r="BC180" s="407">
        <f t="shared" si="58"/>
        <v>25</v>
      </c>
      <c r="BD180" s="408">
        <f t="shared" ref="BD180:BD193" si="65">BC180*0.03</f>
        <v>0.75</v>
      </c>
      <c r="BE180" s="340">
        <f t="shared" si="59"/>
        <v>10.25</v>
      </c>
    </row>
    <row r="181" spans="1:57" x14ac:dyDescent="0.6">
      <c r="A181" s="214" t="s">
        <v>821</v>
      </c>
      <c r="B181" s="13" t="s">
        <v>2161</v>
      </c>
      <c r="C181" s="219" t="s">
        <v>86</v>
      </c>
      <c r="D181" s="216" t="s">
        <v>285</v>
      </c>
      <c r="E181" s="217" t="s">
        <v>999</v>
      </c>
      <c r="F181" s="217" t="s">
        <v>153</v>
      </c>
      <c r="G181" s="218">
        <v>33277</v>
      </c>
      <c r="H181" s="217" t="s">
        <v>830</v>
      </c>
      <c r="I181" s="217" t="s">
        <v>787</v>
      </c>
      <c r="J181" s="217" t="s">
        <v>1245</v>
      </c>
      <c r="K181" s="217" t="s">
        <v>91</v>
      </c>
      <c r="L181" s="220">
        <v>131824972</v>
      </c>
      <c r="M181" s="206">
        <v>27592356</v>
      </c>
      <c r="N181" s="206">
        <v>104232616</v>
      </c>
      <c r="O181" s="206">
        <v>117958170</v>
      </c>
      <c r="P181" s="206">
        <v>9678013</v>
      </c>
      <c r="Q181" s="206">
        <v>10111802</v>
      </c>
      <c r="R181" s="206">
        <v>8289001</v>
      </c>
      <c r="S181" s="406">
        <v>0</v>
      </c>
      <c r="T181" s="428">
        <f t="shared" si="48"/>
        <v>50</v>
      </c>
      <c r="U181" s="415">
        <f t="shared" si="49"/>
        <v>0.5</v>
      </c>
      <c r="V181" s="405">
        <v>0</v>
      </c>
      <c r="W181" s="428">
        <f t="shared" si="50"/>
        <v>50</v>
      </c>
      <c r="X181" s="415">
        <f t="shared" si="51"/>
        <v>0.5</v>
      </c>
      <c r="Y181" s="406">
        <v>0</v>
      </c>
      <c r="Z181" s="429">
        <v>0</v>
      </c>
      <c r="AA181" s="430">
        <f t="shared" si="52"/>
        <v>50</v>
      </c>
      <c r="AB181" s="415">
        <f t="shared" si="53"/>
        <v>0.5</v>
      </c>
      <c r="AC181" s="431">
        <v>0</v>
      </c>
      <c r="AD181" s="432">
        <f t="shared" si="54"/>
        <v>100</v>
      </c>
      <c r="AE181" s="433">
        <f t="shared" si="63"/>
        <v>4</v>
      </c>
      <c r="AF181" s="434" t="s">
        <v>2326</v>
      </c>
      <c r="AG181" s="434" t="s">
        <v>2326</v>
      </c>
      <c r="AH181" s="434" t="s">
        <v>2326</v>
      </c>
      <c r="AI181" s="362"/>
      <c r="AJ181" s="434" t="s">
        <v>2326</v>
      </c>
      <c r="AK181" s="434" t="s">
        <v>2326</v>
      </c>
      <c r="AL181" s="363"/>
      <c r="AM181" s="406">
        <v>0</v>
      </c>
      <c r="AN181" s="406">
        <v>0</v>
      </c>
      <c r="AO181" s="406">
        <v>0</v>
      </c>
      <c r="AP181" s="406">
        <v>0</v>
      </c>
      <c r="AQ181" s="406">
        <v>0</v>
      </c>
      <c r="AR181" s="406">
        <v>0</v>
      </c>
      <c r="AS181" s="406">
        <v>0</v>
      </c>
      <c r="AT181" s="406">
        <v>0</v>
      </c>
      <c r="AU181" s="407">
        <f t="shared" si="55"/>
        <v>0</v>
      </c>
      <c r="AV181" s="407">
        <f t="shared" si="56"/>
        <v>100</v>
      </c>
      <c r="AW181" s="408">
        <f t="shared" si="64"/>
        <v>5</v>
      </c>
      <c r="AX181" s="406">
        <v>0</v>
      </c>
      <c r="AY181" s="406">
        <v>0</v>
      </c>
      <c r="AZ181" s="406">
        <v>0</v>
      </c>
      <c r="BA181" s="406">
        <v>0</v>
      </c>
      <c r="BB181" s="430">
        <f t="shared" si="57"/>
        <v>0</v>
      </c>
      <c r="BC181" s="407">
        <f t="shared" si="58"/>
        <v>25</v>
      </c>
      <c r="BD181" s="408">
        <f t="shared" si="65"/>
        <v>0.75</v>
      </c>
      <c r="BE181" s="340">
        <f t="shared" si="59"/>
        <v>11.25</v>
      </c>
    </row>
    <row r="182" spans="1:57" x14ac:dyDescent="0.6">
      <c r="A182" s="214" t="s">
        <v>553</v>
      </c>
      <c r="B182" s="13" t="s">
        <v>2162</v>
      </c>
      <c r="C182" s="219" t="s">
        <v>47</v>
      </c>
      <c r="D182" s="216" t="s">
        <v>203</v>
      </c>
      <c r="E182" s="217" t="s">
        <v>1179</v>
      </c>
      <c r="F182" s="217" t="s">
        <v>211</v>
      </c>
      <c r="G182" s="218">
        <v>27517</v>
      </c>
      <c r="H182" s="217" t="s">
        <v>830</v>
      </c>
      <c r="I182" s="217" t="s">
        <v>973</v>
      </c>
      <c r="J182" s="217" t="s">
        <v>381</v>
      </c>
      <c r="K182" s="217" t="s">
        <v>91</v>
      </c>
      <c r="L182" s="220">
        <v>3324252824</v>
      </c>
      <c r="M182" s="206">
        <v>1744378392</v>
      </c>
      <c r="N182" s="206">
        <v>1579874432</v>
      </c>
      <c r="O182" s="206">
        <v>1329446841</v>
      </c>
      <c r="P182" s="206">
        <v>132736708</v>
      </c>
      <c r="Q182" s="206">
        <v>169634745</v>
      </c>
      <c r="R182" s="206">
        <v>144326674</v>
      </c>
      <c r="S182" s="406">
        <v>0</v>
      </c>
      <c r="T182" s="428">
        <f t="shared" si="48"/>
        <v>50</v>
      </c>
      <c r="U182" s="415">
        <f t="shared" si="49"/>
        <v>0.5</v>
      </c>
      <c r="V182" s="405">
        <v>0</v>
      </c>
      <c r="W182" s="428">
        <f t="shared" si="50"/>
        <v>50</v>
      </c>
      <c r="X182" s="415">
        <f t="shared" si="51"/>
        <v>0.5</v>
      </c>
      <c r="Y182" s="406">
        <v>0</v>
      </c>
      <c r="Z182" s="429">
        <v>0</v>
      </c>
      <c r="AA182" s="430">
        <f t="shared" si="52"/>
        <v>50</v>
      </c>
      <c r="AB182" s="415">
        <f t="shared" si="53"/>
        <v>0.5</v>
      </c>
      <c r="AC182" s="431">
        <v>0</v>
      </c>
      <c r="AD182" s="432">
        <f t="shared" si="54"/>
        <v>100</v>
      </c>
      <c r="AE182" s="433">
        <f t="shared" si="63"/>
        <v>4</v>
      </c>
      <c r="AF182" s="434" t="s">
        <v>2326</v>
      </c>
      <c r="AG182" s="434" t="s">
        <v>2326</v>
      </c>
      <c r="AH182" s="434" t="s">
        <v>2326</v>
      </c>
      <c r="AI182" s="362"/>
      <c r="AJ182" s="434" t="s">
        <v>2326</v>
      </c>
      <c r="AK182" s="434" t="s">
        <v>2326</v>
      </c>
      <c r="AL182" s="363"/>
      <c r="AM182" s="406">
        <v>0</v>
      </c>
      <c r="AN182" s="406">
        <v>0</v>
      </c>
      <c r="AO182" s="406">
        <v>0</v>
      </c>
      <c r="AP182" s="406">
        <v>0</v>
      </c>
      <c r="AQ182" s="406">
        <v>0</v>
      </c>
      <c r="AR182" s="406">
        <v>0</v>
      </c>
      <c r="AS182" s="406">
        <v>0</v>
      </c>
      <c r="AT182" s="406">
        <v>0</v>
      </c>
      <c r="AU182" s="407">
        <f t="shared" si="55"/>
        <v>0</v>
      </c>
      <c r="AV182" s="407">
        <f t="shared" si="56"/>
        <v>100</v>
      </c>
      <c r="AW182" s="408">
        <f t="shared" si="64"/>
        <v>5</v>
      </c>
      <c r="AX182" s="406">
        <v>0</v>
      </c>
      <c r="AY182" s="406">
        <v>0</v>
      </c>
      <c r="AZ182" s="406">
        <v>0</v>
      </c>
      <c r="BA182" s="406">
        <v>0</v>
      </c>
      <c r="BB182" s="430">
        <f t="shared" si="57"/>
        <v>0</v>
      </c>
      <c r="BC182" s="407">
        <f t="shared" si="58"/>
        <v>25</v>
      </c>
      <c r="BD182" s="408">
        <f t="shared" si="65"/>
        <v>0.75</v>
      </c>
      <c r="BE182" s="340">
        <f t="shared" si="59"/>
        <v>11.25</v>
      </c>
    </row>
    <row r="183" spans="1:57" x14ac:dyDescent="0.6">
      <c r="A183" s="214" t="s">
        <v>290</v>
      </c>
      <c r="B183" s="13" t="s">
        <v>2163</v>
      </c>
      <c r="C183" s="219" t="s">
        <v>325</v>
      </c>
      <c r="D183" s="216" t="s">
        <v>202</v>
      </c>
      <c r="E183" s="217" t="s">
        <v>205</v>
      </c>
      <c r="F183" s="217" t="s">
        <v>164</v>
      </c>
      <c r="G183" s="218">
        <v>31889</v>
      </c>
      <c r="H183" s="217" t="s">
        <v>830</v>
      </c>
      <c r="I183" s="217" t="s">
        <v>710</v>
      </c>
      <c r="J183" s="217" t="s">
        <v>1095</v>
      </c>
      <c r="K183" s="217" t="s">
        <v>317</v>
      </c>
      <c r="L183" s="220">
        <v>75722188</v>
      </c>
      <c r="M183" s="206">
        <v>2498635</v>
      </c>
      <c r="N183" s="206">
        <v>73223553</v>
      </c>
      <c r="O183" s="206">
        <v>17441063</v>
      </c>
      <c r="P183" s="206">
        <v>2055789</v>
      </c>
      <c r="Q183" s="206">
        <v>4418292</v>
      </c>
      <c r="R183" s="206">
        <v>5632855</v>
      </c>
      <c r="S183" s="406">
        <v>0</v>
      </c>
      <c r="T183" s="428">
        <f t="shared" si="48"/>
        <v>50</v>
      </c>
      <c r="U183" s="415">
        <f t="shared" si="49"/>
        <v>0.5</v>
      </c>
      <c r="V183" s="405">
        <v>0</v>
      </c>
      <c r="W183" s="428">
        <f t="shared" si="50"/>
        <v>50</v>
      </c>
      <c r="X183" s="415">
        <f t="shared" si="51"/>
        <v>0.5</v>
      </c>
      <c r="Y183" s="406">
        <v>0</v>
      </c>
      <c r="Z183" s="429">
        <v>0</v>
      </c>
      <c r="AA183" s="430">
        <f t="shared" si="52"/>
        <v>50</v>
      </c>
      <c r="AB183" s="415">
        <f t="shared" si="53"/>
        <v>0.5</v>
      </c>
      <c r="AC183" s="431">
        <v>0</v>
      </c>
      <c r="AD183" s="432">
        <f t="shared" si="54"/>
        <v>100</v>
      </c>
      <c r="AE183" s="433">
        <f t="shared" si="63"/>
        <v>4</v>
      </c>
      <c r="AF183" s="434" t="s">
        <v>2326</v>
      </c>
      <c r="AG183" s="434" t="s">
        <v>2326</v>
      </c>
      <c r="AH183" s="434" t="s">
        <v>2326</v>
      </c>
      <c r="AI183" s="362"/>
      <c r="AJ183" s="434" t="s">
        <v>2326</v>
      </c>
      <c r="AK183" s="434" t="s">
        <v>2326</v>
      </c>
      <c r="AL183" s="363"/>
      <c r="AM183" s="406">
        <v>0</v>
      </c>
      <c r="AN183" s="406">
        <v>0</v>
      </c>
      <c r="AO183" s="406">
        <v>0</v>
      </c>
      <c r="AP183" s="406">
        <v>0</v>
      </c>
      <c r="AQ183" s="406">
        <v>0</v>
      </c>
      <c r="AR183" s="406">
        <v>0</v>
      </c>
      <c r="AS183" s="406">
        <v>0</v>
      </c>
      <c r="AT183" s="406">
        <v>0</v>
      </c>
      <c r="AU183" s="407">
        <f t="shared" si="55"/>
        <v>0</v>
      </c>
      <c r="AV183" s="407">
        <f t="shared" si="56"/>
        <v>100</v>
      </c>
      <c r="AW183" s="408">
        <f t="shared" si="64"/>
        <v>5</v>
      </c>
      <c r="AX183" s="406">
        <v>0</v>
      </c>
      <c r="AY183" s="406">
        <v>0</v>
      </c>
      <c r="AZ183" s="406">
        <v>0</v>
      </c>
      <c r="BA183" s="406">
        <v>0</v>
      </c>
      <c r="BB183" s="430">
        <f t="shared" si="57"/>
        <v>0</v>
      </c>
      <c r="BC183" s="407">
        <f t="shared" si="58"/>
        <v>25</v>
      </c>
      <c r="BD183" s="408">
        <f t="shared" si="65"/>
        <v>0.75</v>
      </c>
      <c r="BE183" s="340">
        <f t="shared" si="59"/>
        <v>11.25</v>
      </c>
    </row>
    <row r="184" spans="1:57" x14ac:dyDescent="0.6">
      <c r="A184" s="214" t="s">
        <v>1739</v>
      </c>
      <c r="B184" s="13" t="s">
        <v>2164</v>
      </c>
      <c r="C184" s="219" t="s">
        <v>922</v>
      </c>
      <c r="D184" s="216" t="s">
        <v>202</v>
      </c>
      <c r="E184" s="217" t="s">
        <v>593</v>
      </c>
      <c r="F184" s="217" t="s">
        <v>991</v>
      </c>
      <c r="G184" s="218">
        <v>30905</v>
      </c>
      <c r="H184" s="217" t="s">
        <v>830</v>
      </c>
      <c r="I184" s="217" t="s">
        <v>759</v>
      </c>
      <c r="J184" s="217" t="s">
        <v>1116</v>
      </c>
      <c r="K184" s="217" t="s">
        <v>91</v>
      </c>
      <c r="L184" s="220">
        <v>150922633</v>
      </c>
      <c r="M184" s="206">
        <v>52979361</v>
      </c>
      <c r="N184" s="206">
        <v>97943272</v>
      </c>
      <c r="O184" s="206">
        <v>457295501</v>
      </c>
      <c r="P184" s="206">
        <v>13985109</v>
      </c>
      <c r="Q184" s="206">
        <v>16291509</v>
      </c>
      <c r="R184" s="206">
        <v>13892645</v>
      </c>
      <c r="S184" s="406">
        <v>0</v>
      </c>
      <c r="T184" s="428">
        <f t="shared" si="48"/>
        <v>50</v>
      </c>
      <c r="U184" s="415">
        <f t="shared" si="49"/>
        <v>0.5</v>
      </c>
      <c r="V184" s="405">
        <v>0</v>
      </c>
      <c r="W184" s="428">
        <f t="shared" si="50"/>
        <v>50</v>
      </c>
      <c r="X184" s="415">
        <f t="shared" si="51"/>
        <v>0.5</v>
      </c>
      <c r="Y184" s="406">
        <v>0</v>
      </c>
      <c r="Z184" s="429">
        <v>0</v>
      </c>
      <c r="AA184" s="430">
        <f t="shared" si="52"/>
        <v>50</v>
      </c>
      <c r="AB184" s="415">
        <f t="shared" si="53"/>
        <v>0.5</v>
      </c>
      <c r="AC184" s="431">
        <v>0</v>
      </c>
      <c r="AD184" s="432">
        <f t="shared" si="54"/>
        <v>100</v>
      </c>
      <c r="AE184" s="433">
        <f t="shared" si="63"/>
        <v>4</v>
      </c>
      <c r="AF184" s="434" t="s">
        <v>2326</v>
      </c>
      <c r="AG184" s="434" t="s">
        <v>2326</v>
      </c>
      <c r="AH184" s="434" t="s">
        <v>2326</v>
      </c>
      <c r="AI184" s="362"/>
      <c r="AJ184" s="434" t="s">
        <v>2326</v>
      </c>
      <c r="AK184" s="434" t="s">
        <v>2326</v>
      </c>
      <c r="AL184" s="363"/>
      <c r="AM184" s="406">
        <v>0</v>
      </c>
      <c r="AN184" s="406">
        <v>0</v>
      </c>
      <c r="AO184" s="406">
        <v>0</v>
      </c>
      <c r="AP184" s="406">
        <v>0</v>
      </c>
      <c r="AQ184" s="406">
        <v>0</v>
      </c>
      <c r="AR184" s="406">
        <v>0</v>
      </c>
      <c r="AS184" s="406">
        <v>0</v>
      </c>
      <c r="AT184" s="406">
        <v>0</v>
      </c>
      <c r="AU184" s="407">
        <f t="shared" si="55"/>
        <v>0</v>
      </c>
      <c r="AV184" s="407">
        <f t="shared" si="56"/>
        <v>100</v>
      </c>
      <c r="AW184" s="408">
        <f t="shared" si="64"/>
        <v>5</v>
      </c>
      <c r="AX184" s="406">
        <v>0</v>
      </c>
      <c r="AY184" s="406">
        <v>0</v>
      </c>
      <c r="AZ184" s="406">
        <v>0</v>
      </c>
      <c r="BA184" s="406">
        <v>0</v>
      </c>
      <c r="BB184" s="430">
        <f t="shared" si="57"/>
        <v>0</v>
      </c>
      <c r="BC184" s="407">
        <f t="shared" si="58"/>
        <v>25</v>
      </c>
      <c r="BD184" s="408">
        <f t="shared" si="65"/>
        <v>0.75</v>
      </c>
      <c r="BE184" s="340">
        <f t="shared" si="59"/>
        <v>11.25</v>
      </c>
    </row>
    <row r="185" spans="1:57" x14ac:dyDescent="0.6">
      <c r="A185" s="214" t="s">
        <v>429</v>
      </c>
      <c r="B185" s="13" t="s">
        <v>2165</v>
      </c>
      <c r="C185" s="219" t="s">
        <v>445</v>
      </c>
      <c r="D185" s="216" t="s">
        <v>203</v>
      </c>
      <c r="E185" s="217" t="s">
        <v>1179</v>
      </c>
      <c r="F185" s="217" t="s">
        <v>608</v>
      </c>
      <c r="G185" s="218">
        <v>41584</v>
      </c>
      <c r="H185" s="217" t="s">
        <v>830</v>
      </c>
      <c r="I185" s="217" t="s">
        <v>241</v>
      </c>
      <c r="J185" s="217" t="s">
        <v>1226</v>
      </c>
      <c r="K185" s="217" t="s">
        <v>91</v>
      </c>
      <c r="L185" s="220">
        <v>1177294529</v>
      </c>
      <c r="M185" s="206">
        <v>334705711</v>
      </c>
      <c r="N185" s="206">
        <v>842588818</v>
      </c>
      <c r="O185" s="206">
        <v>479630807</v>
      </c>
      <c r="P185" s="206">
        <v>74104110</v>
      </c>
      <c r="Q185" s="206">
        <v>65510324</v>
      </c>
      <c r="R185" s="206">
        <v>49527867</v>
      </c>
      <c r="S185" s="406">
        <v>0</v>
      </c>
      <c r="T185" s="428">
        <f t="shared" si="48"/>
        <v>50</v>
      </c>
      <c r="U185" s="415">
        <f t="shared" si="49"/>
        <v>0.5</v>
      </c>
      <c r="V185" s="405">
        <v>0</v>
      </c>
      <c r="W185" s="428">
        <f t="shared" si="50"/>
        <v>50</v>
      </c>
      <c r="X185" s="415">
        <f t="shared" si="51"/>
        <v>0.5</v>
      </c>
      <c r="Y185" s="406">
        <v>0</v>
      </c>
      <c r="Z185" s="429">
        <v>0</v>
      </c>
      <c r="AA185" s="430">
        <f t="shared" si="52"/>
        <v>50</v>
      </c>
      <c r="AB185" s="415">
        <f t="shared" si="53"/>
        <v>0.5</v>
      </c>
      <c r="AC185" s="431">
        <v>0</v>
      </c>
      <c r="AD185" s="432">
        <f t="shared" si="54"/>
        <v>100</v>
      </c>
      <c r="AE185" s="433">
        <f t="shared" si="63"/>
        <v>4</v>
      </c>
      <c r="AF185" s="434" t="s">
        <v>2326</v>
      </c>
      <c r="AG185" s="434" t="s">
        <v>2326</v>
      </c>
      <c r="AH185" s="434" t="s">
        <v>2326</v>
      </c>
      <c r="AI185" s="362"/>
      <c r="AJ185" s="434" t="s">
        <v>2326</v>
      </c>
      <c r="AK185" s="434" t="s">
        <v>2326</v>
      </c>
      <c r="AL185" s="363"/>
      <c r="AM185" s="406">
        <v>0</v>
      </c>
      <c r="AN185" s="406">
        <v>0</v>
      </c>
      <c r="AO185" s="406">
        <v>0</v>
      </c>
      <c r="AP185" s="406">
        <v>0</v>
      </c>
      <c r="AQ185" s="406">
        <v>0</v>
      </c>
      <c r="AR185" s="406">
        <v>0</v>
      </c>
      <c r="AS185" s="406">
        <v>0</v>
      </c>
      <c r="AT185" s="406">
        <v>0</v>
      </c>
      <c r="AU185" s="407">
        <f t="shared" si="55"/>
        <v>0</v>
      </c>
      <c r="AV185" s="407">
        <f t="shared" si="56"/>
        <v>100</v>
      </c>
      <c r="AW185" s="408">
        <f t="shared" si="64"/>
        <v>5</v>
      </c>
      <c r="AX185" s="406">
        <v>0</v>
      </c>
      <c r="AY185" s="406">
        <v>0</v>
      </c>
      <c r="AZ185" s="406">
        <v>0</v>
      </c>
      <c r="BA185" s="406">
        <v>0</v>
      </c>
      <c r="BB185" s="430">
        <f t="shared" si="57"/>
        <v>0</v>
      </c>
      <c r="BC185" s="407">
        <f t="shared" si="58"/>
        <v>25</v>
      </c>
      <c r="BD185" s="408">
        <f t="shared" si="65"/>
        <v>0.75</v>
      </c>
      <c r="BE185" s="340">
        <f t="shared" si="59"/>
        <v>11.25</v>
      </c>
    </row>
    <row r="186" spans="1:57" x14ac:dyDescent="0.6">
      <c r="A186" s="214" t="s">
        <v>22</v>
      </c>
      <c r="B186" s="13" t="s">
        <v>2166</v>
      </c>
      <c r="C186" s="219" t="s">
        <v>426</v>
      </c>
      <c r="D186" s="216" t="s">
        <v>191</v>
      </c>
      <c r="E186" s="217" t="s">
        <v>1029</v>
      </c>
      <c r="F186" s="217" t="s">
        <v>169</v>
      </c>
      <c r="G186" s="218">
        <v>32492</v>
      </c>
      <c r="H186" s="217" t="s">
        <v>830</v>
      </c>
      <c r="I186" s="217" t="s">
        <v>235</v>
      </c>
      <c r="J186" s="217" t="s">
        <v>1180</v>
      </c>
      <c r="K186" s="217" t="s">
        <v>91</v>
      </c>
      <c r="L186" s="220">
        <v>790607841</v>
      </c>
      <c r="M186" s="206">
        <v>88403731</v>
      </c>
      <c r="N186" s="206">
        <v>702204110</v>
      </c>
      <c r="O186" s="206">
        <v>598684604</v>
      </c>
      <c r="P186" s="206">
        <v>76947409</v>
      </c>
      <c r="Q186" s="206">
        <v>87571953</v>
      </c>
      <c r="R186" s="206">
        <v>64953978</v>
      </c>
      <c r="S186" s="406">
        <v>0</v>
      </c>
      <c r="T186" s="428">
        <f t="shared" si="48"/>
        <v>50</v>
      </c>
      <c r="U186" s="415">
        <f t="shared" si="49"/>
        <v>0.5</v>
      </c>
      <c r="V186" s="405">
        <v>0</v>
      </c>
      <c r="W186" s="428">
        <f t="shared" si="50"/>
        <v>50</v>
      </c>
      <c r="X186" s="415">
        <f t="shared" si="51"/>
        <v>0.5</v>
      </c>
      <c r="Y186" s="406">
        <v>0</v>
      </c>
      <c r="Z186" s="429">
        <v>0</v>
      </c>
      <c r="AA186" s="430">
        <f t="shared" si="52"/>
        <v>50</v>
      </c>
      <c r="AB186" s="415">
        <f t="shared" si="53"/>
        <v>0.5</v>
      </c>
      <c r="AC186" s="431">
        <v>0</v>
      </c>
      <c r="AD186" s="432">
        <f t="shared" si="54"/>
        <v>100</v>
      </c>
      <c r="AE186" s="433">
        <f t="shared" si="63"/>
        <v>4</v>
      </c>
      <c r="AF186" s="434" t="s">
        <v>2326</v>
      </c>
      <c r="AG186" s="434" t="s">
        <v>2326</v>
      </c>
      <c r="AH186" s="434" t="s">
        <v>2326</v>
      </c>
      <c r="AI186" s="362"/>
      <c r="AJ186" s="434" t="s">
        <v>2326</v>
      </c>
      <c r="AK186" s="434" t="s">
        <v>2326</v>
      </c>
      <c r="AL186" s="363"/>
      <c r="AM186" s="406">
        <v>0</v>
      </c>
      <c r="AN186" s="406">
        <v>0</v>
      </c>
      <c r="AO186" s="406">
        <v>0</v>
      </c>
      <c r="AP186" s="406">
        <v>0</v>
      </c>
      <c r="AQ186" s="406">
        <v>0</v>
      </c>
      <c r="AR186" s="406">
        <v>0</v>
      </c>
      <c r="AS186" s="406">
        <v>0</v>
      </c>
      <c r="AT186" s="406">
        <v>0</v>
      </c>
      <c r="AU186" s="407">
        <f t="shared" si="55"/>
        <v>0</v>
      </c>
      <c r="AV186" s="407">
        <f t="shared" si="56"/>
        <v>100</v>
      </c>
      <c r="AW186" s="408">
        <f t="shared" si="64"/>
        <v>5</v>
      </c>
      <c r="AX186" s="406">
        <v>0</v>
      </c>
      <c r="AY186" s="406">
        <v>0</v>
      </c>
      <c r="AZ186" s="406">
        <v>0</v>
      </c>
      <c r="BA186" s="406">
        <v>0</v>
      </c>
      <c r="BB186" s="430">
        <f t="shared" si="57"/>
        <v>0</v>
      </c>
      <c r="BC186" s="407">
        <f t="shared" si="58"/>
        <v>25</v>
      </c>
      <c r="BD186" s="408">
        <f t="shared" si="65"/>
        <v>0.75</v>
      </c>
      <c r="BE186" s="340">
        <f t="shared" si="59"/>
        <v>11.25</v>
      </c>
    </row>
    <row r="187" spans="1:57" x14ac:dyDescent="0.6">
      <c r="A187" s="214" t="s">
        <v>6</v>
      </c>
      <c r="B187" s="13" t="s">
        <v>2167</v>
      </c>
      <c r="C187" s="219" t="s">
        <v>558</v>
      </c>
      <c r="D187" s="216" t="s">
        <v>285</v>
      </c>
      <c r="E187" s="217" t="s">
        <v>245</v>
      </c>
      <c r="F187" s="217" t="s">
        <v>236</v>
      </c>
      <c r="G187" s="218">
        <v>40389</v>
      </c>
      <c r="H187" s="217" t="s">
        <v>830</v>
      </c>
      <c r="I187" s="217" t="s">
        <v>791</v>
      </c>
      <c r="J187" s="217" t="s">
        <v>1189</v>
      </c>
      <c r="K187" s="217" t="s">
        <v>91</v>
      </c>
      <c r="L187" s="220">
        <v>825178689</v>
      </c>
      <c r="M187" s="206">
        <v>439685810</v>
      </c>
      <c r="N187" s="206">
        <v>385492879</v>
      </c>
      <c r="O187" s="206">
        <v>2678991235</v>
      </c>
      <c r="P187" s="206">
        <v>35714794</v>
      </c>
      <c r="Q187" s="206">
        <v>39761445</v>
      </c>
      <c r="R187" s="206">
        <v>36294420</v>
      </c>
      <c r="S187" s="406">
        <v>0</v>
      </c>
      <c r="T187" s="428">
        <f t="shared" si="48"/>
        <v>50</v>
      </c>
      <c r="U187" s="415">
        <f t="shared" si="49"/>
        <v>0.5</v>
      </c>
      <c r="V187" s="405">
        <v>0</v>
      </c>
      <c r="W187" s="428">
        <f t="shared" si="50"/>
        <v>50</v>
      </c>
      <c r="X187" s="415">
        <f t="shared" si="51"/>
        <v>0.5</v>
      </c>
      <c r="Y187" s="406">
        <v>0</v>
      </c>
      <c r="Z187" s="429">
        <v>0</v>
      </c>
      <c r="AA187" s="430">
        <f t="shared" si="52"/>
        <v>50</v>
      </c>
      <c r="AB187" s="415">
        <f t="shared" si="53"/>
        <v>0.5</v>
      </c>
      <c r="AC187" s="431">
        <v>0</v>
      </c>
      <c r="AD187" s="432">
        <f t="shared" si="54"/>
        <v>100</v>
      </c>
      <c r="AE187" s="433">
        <f t="shared" si="63"/>
        <v>4</v>
      </c>
      <c r="AF187" s="434" t="s">
        <v>2326</v>
      </c>
      <c r="AG187" s="434" t="s">
        <v>2326</v>
      </c>
      <c r="AH187" s="434" t="s">
        <v>2326</v>
      </c>
      <c r="AI187" s="362"/>
      <c r="AJ187" s="434" t="s">
        <v>2326</v>
      </c>
      <c r="AK187" s="434" t="s">
        <v>2326</v>
      </c>
      <c r="AL187" s="363"/>
      <c r="AM187" s="406">
        <v>0</v>
      </c>
      <c r="AN187" s="406">
        <v>0</v>
      </c>
      <c r="AO187" s="406">
        <v>0</v>
      </c>
      <c r="AP187" s="406">
        <v>0</v>
      </c>
      <c r="AQ187" s="406">
        <v>0</v>
      </c>
      <c r="AR187" s="406">
        <v>0</v>
      </c>
      <c r="AS187" s="406">
        <v>0</v>
      </c>
      <c r="AT187" s="406">
        <v>0</v>
      </c>
      <c r="AU187" s="407">
        <f t="shared" si="55"/>
        <v>0</v>
      </c>
      <c r="AV187" s="407">
        <f t="shared" si="56"/>
        <v>100</v>
      </c>
      <c r="AW187" s="408">
        <f t="shared" si="64"/>
        <v>5</v>
      </c>
      <c r="AX187" s="406">
        <v>0</v>
      </c>
      <c r="AY187" s="406">
        <v>0</v>
      </c>
      <c r="AZ187" s="406">
        <v>0</v>
      </c>
      <c r="BA187" s="406">
        <v>0</v>
      </c>
      <c r="BB187" s="430">
        <f t="shared" si="57"/>
        <v>0</v>
      </c>
      <c r="BC187" s="407">
        <f t="shared" si="58"/>
        <v>25</v>
      </c>
      <c r="BD187" s="408">
        <f t="shared" si="65"/>
        <v>0.75</v>
      </c>
      <c r="BE187" s="340">
        <f t="shared" si="59"/>
        <v>11.25</v>
      </c>
    </row>
    <row r="188" spans="1:57" x14ac:dyDescent="0.6">
      <c r="A188" s="214" t="s">
        <v>1740</v>
      </c>
      <c r="B188" s="13" t="s">
        <v>2168</v>
      </c>
      <c r="C188" s="219" t="s">
        <v>1741</v>
      </c>
      <c r="D188" s="14" t="s">
        <v>203</v>
      </c>
      <c r="E188" s="217" t="s">
        <v>1179</v>
      </c>
      <c r="F188" s="217" t="s">
        <v>1742</v>
      </c>
      <c r="G188" s="218">
        <v>31439</v>
      </c>
      <c r="H188" s="217" t="s">
        <v>830</v>
      </c>
      <c r="I188" s="217" t="s">
        <v>1743</v>
      </c>
      <c r="J188" s="217" t="s">
        <v>1744</v>
      </c>
      <c r="K188" s="217" t="s">
        <v>91</v>
      </c>
      <c r="L188" s="220">
        <v>3153017076</v>
      </c>
      <c r="M188" s="206">
        <v>1770069189</v>
      </c>
      <c r="N188" s="206">
        <v>1382947887</v>
      </c>
      <c r="O188" s="206">
        <v>1806485573</v>
      </c>
      <c r="P188" s="206">
        <v>305824732</v>
      </c>
      <c r="Q188" s="206">
        <v>260984230</v>
      </c>
      <c r="R188" s="206">
        <v>190493378</v>
      </c>
      <c r="S188" s="406">
        <v>0</v>
      </c>
      <c r="T188" s="428">
        <f t="shared" si="48"/>
        <v>50</v>
      </c>
      <c r="U188" s="415">
        <f t="shared" si="49"/>
        <v>0.5</v>
      </c>
      <c r="V188" s="405">
        <v>0</v>
      </c>
      <c r="W188" s="428">
        <f t="shared" si="50"/>
        <v>50</v>
      </c>
      <c r="X188" s="415">
        <f t="shared" si="51"/>
        <v>0.5</v>
      </c>
      <c r="Y188" s="406">
        <v>0</v>
      </c>
      <c r="Z188" s="429">
        <v>0</v>
      </c>
      <c r="AA188" s="430">
        <f t="shared" si="52"/>
        <v>50</v>
      </c>
      <c r="AB188" s="415">
        <f t="shared" si="53"/>
        <v>0.5</v>
      </c>
      <c r="AC188" s="431">
        <v>0</v>
      </c>
      <c r="AD188" s="432">
        <f t="shared" si="54"/>
        <v>100</v>
      </c>
      <c r="AE188" s="433">
        <f t="shared" si="63"/>
        <v>4</v>
      </c>
      <c r="AF188" s="434" t="s">
        <v>2326</v>
      </c>
      <c r="AG188" s="434" t="s">
        <v>2326</v>
      </c>
      <c r="AH188" s="434" t="s">
        <v>2326</v>
      </c>
      <c r="AI188" s="362"/>
      <c r="AJ188" s="434" t="s">
        <v>2326</v>
      </c>
      <c r="AK188" s="434" t="s">
        <v>2326</v>
      </c>
      <c r="AL188" s="363"/>
      <c r="AM188" s="406">
        <v>0</v>
      </c>
      <c r="AN188" s="406">
        <v>0</v>
      </c>
      <c r="AO188" s="406">
        <v>0</v>
      </c>
      <c r="AP188" s="406">
        <v>0</v>
      </c>
      <c r="AQ188" s="406">
        <v>0</v>
      </c>
      <c r="AR188" s="406">
        <v>0</v>
      </c>
      <c r="AS188" s="406">
        <v>0</v>
      </c>
      <c r="AT188" s="406">
        <v>0</v>
      </c>
      <c r="AU188" s="407">
        <f t="shared" si="55"/>
        <v>0</v>
      </c>
      <c r="AV188" s="407">
        <f t="shared" si="56"/>
        <v>100</v>
      </c>
      <c r="AW188" s="408">
        <f t="shared" si="64"/>
        <v>5</v>
      </c>
      <c r="AX188" s="406">
        <v>0</v>
      </c>
      <c r="AY188" s="406">
        <v>0</v>
      </c>
      <c r="AZ188" s="406">
        <v>0</v>
      </c>
      <c r="BA188" s="406">
        <v>0</v>
      </c>
      <c r="BB188" s="430">
        <f t="shared" si="57"/>
        <v>0</v>
      </c>
      <c r="BC188" s="407">
        <f t="shared" si="58"/>
        <v>25</v>
      </c>
      <c r="BD188" s="408">
        <f t="shared" si="65"/>
        <v>0.75</v>
      </c>
      <c r="BE188" s="340">
        <f t="shared" si="59"/>
        <v>11.25</v>
      </c>
    </row>
    <row r="189" spans="1:57" x14ac:dyDescent="0.6">
      <c r="A189" s="214" t="s">
        <v>18</v>
      </c>
      <c r="B189" s="13" t="s">
        <v>2169</v>
      </c>
      <c r="C189" s="219" t="s">
        <v>912</v>
      </c>
      <c r="D189" s="216" t="s">
        <v>203</v>
      </c>
      <c r="E189" s="217" t="s">
        <v>188</v>
      </c>
      <c r="F189" s="217" t="s">
        <v>392</v>
      </c>
      <c r="G189" s="218">
        <v>43181</v>
      </c>
      <c r="H189" s="217" t="s">
        <v>830</v>
      </c>
      <c r="I189" s="217" t="s">
        <v>181</v>
      </c>
      <c r="J189" s="217" t="s">
        <v>1184</v>
      </c>
      <c r="K189" s="217" t="s">
        <v>91</v>
      </c>
      <c r="L189" s="220">
        <v>477316913</v>
      </c>
      <c r="M189" s="206">
        <v>117171080</v>
      </c>
      <c r="N189" s="206">
        <v>360145833</v>
      </c>
      <c r="O189" s="206">
        <v>589759237</v>
      </c>
      <c r="P189" s="206">
        <v>37545912</v>
      </c>
      <c r="Q189" s="206">
        <v>22571287</v>
      </c>
      <c r="R189" s="206">
        <v>16498602</v>
      </c>
      <c r="S189" s="406">
        <v>0</v>
      </c>
      <c r="T189" s="428">
        <f t="shared" si="48"/>
        <v>50</v>
      </c>
      <c r="U189" s="415">
        <f t="shared" si="49"/>
        <v>0.5</v>
      </c>
      <c r="V189" s="405">
        <v>0</v>
      </c>
      <c r="W189" s="428">
        <f t="shared" si="50"/>
        <v>50</v>
      </c>
      <c r="X189" s="415">
        <f t="shared" si="51"/>
        <v>0.5</v>
      </c>
      <c r="Y189" s="406">
        <v>0</v>
      </c>
      <c r="Z189" s="429">
        <v>0</v>
      </c>
      <c r="AA189" s="430">
        <f t="shared" si="52"/>
        <v>50</v>
      </c>
      <c r="AB189" s="415">
        <f t="shared" si="53"/>
        <v>0.5</v>
      </c>
      <c r="AC189" s="431">
        <v>0</v>
      </c>
      <c r="AD189" s="432">
        <f t="shared" si="54"/>
        <v>100</v>
      </c>
      <c r="AE189" s="433">
        <f t="shared" si="63"/>
        <v>4</v>
      </c>
      <c r="AF189" s="434" t="s">
        <v>2326</v>
      </c>
      <c r="AG189" s="434" t="s">
        <v>2326</v>
      </c>
      <c r="AH189" s="434" t="s">
        <v>2326</v>
      </c>
      <c r="AI189" s="362"/>
      <c r="AJ189" s="434" t="s">
        <v>2326</v>
      </c>
      <c r="AK189" s="434" t="s">
        <v>2326</v>
      </c>
      <c r="AL189" s="363"/>
      <c r="AM189" s="406">
        <v>0</v>
      </c>
      <c r="AN189" s="406">
        <v>0</v>
      </c>
      <c r="AO189" s="406">
        <v>0</v>
      </c>
      <c r="AP189" s="406">
        <v>0</v>
      </c>
      <c r="AQ189" s="406">
        <v>0</v>
      </c>
      <c r="AR189" s="406">
        <v>0</v>
      </c>
      <c r="AS189" s="406">
        <v>0</v>
      </c>
      <c r="AT189" s="406">
        <v>0</v>
      </c>
      <c r="AU189" s="407">
        <f t="shared" si="55"/>
        <v>0</v>
      </c>
      <c r="AV189" s="407">
        <f t="shared" si="56"/>
        <v>100</v>
      </c>
      <c r="AW189" s="408">
        <f t="shared" si="64"/>
        <v>5</v>
      </c>
      <c r="AX189" s="406">
        <v>0</v>
      </c>
      <c r="AY189" s="406">
        <v>0</v>
      </c>
      <c r="AZ189" s="406">
        <v>0</v>
      </c>
      <c r="BA189" s="406">
        <v>0</v>
      </c>
      <c r="BB189" s="430">
        <f t="shared" si="57"/>
        <v>0</v>
      </c>
      <c r="BC189" s="407">
        <f t="shared" si="58"/>
        <v>25</v>
      </c>
      <c r="BD189" s="408">
        <f t="shared" si="65"/>
        <v>0.75</v>
      </c>
      <c r="BE189" s="340">
        <f t="shared" si="59"/>
        <v>11.25</v>
      </c>
    </row>
    <row r="190" spans="1:57" x14ac:dyDescent="0.6">
      <c r="A190" s="214" t="s">
        <v>111</v>
      </c>
      <c r="B190" s="13" t="s">
        <v>2170</v>
      </c>
      <c r="C190" s="219" t="s">
        <v>482</v>
      </c>
      <c r="D190" s="216" t="s">
        <v>203</v>
      </c>
      <c r="E190" s="217" t="s">
        <v>180</v>
      </c>
      <c r="F190" s="217" t="s">
        <v>170</v>
      </c>
      <c r="G190" s="218">
        <v>41169</v>
      </c>
      <c r="H190" s="217" t="s">
        <v>830</v>
      </c>
      <c r="I190" s="217" t="s">
        <v>772</v>
      </c>
      <c r="J190" s="217" t="s">
        <v>390</v>
      </c>
      <c r="K190" s="217" t="s">
        <v>91</v>
      </c>
      <c r="L190" s="220">
        <v>1062980988</v>
      </c>
      <c r="M190" s="206">
        <v>365498356</v>
      </c>
      <c r="N190" s="206">
        <v>697482632</v>
      </c>
      <c r="O190" s="206">
        <v>1712779790</v>
      </c>
      <c r="P190" s="206">
        <v>90523569</v>
      </c>
      <c r="Q190" s="206">
        <v>88392901</v>
      </c>
      <c r="R190" s="206">
        <v>56304809</v>
      </c>
      <c r="S190" s="406">
        <v>0</v>
      </c>
      <c r="T190" s="428">
        <f t="shared" si="48"/>
        <v>50</v>
      </c>
      <c r="U190" s="415">
        <f t="shared" si="49"/>
        <v>0.5</v>
      </c>
      <c r="V190" s="405">
        <v>0</v>
      </c>
      <c r="W190" s="428">
        <f t="shared" si="50"/>
        <v>50</v>
      </c>
      <c r="X190" s="415">
        <f t="shared" si="51"/>
        <v>0.5</v>
      </c>
      <c r="Y190" s="406">
        <v>0</v>
      </c>
      <c r="Z190" s="429">
        <v>0</v>
      </c>
      <c r="AA190" s="430">
        <f t="shared" si="52"/>
        <v>50</v>
      </c>
      <c r="AB190" s="415">
        <f t="shared" si="53"/>
        <v>0.5</v>
      </c>
      <c r="AC190" s="431">
        <v>0</v>
      </c>
      <c r="AD190" s="432">
        <f t="shared" si="54"/>
        <v>100</v>
      </c>
      <c r="AE190" s="433">
        <f t="shared" si="63"/>
        <v>4</v>
      </c>
      <c r="AF190" s="434" t="s">
        <v>2326</v>
      </c>
      <c r="AG190" s="434" t="s">
        <v>2326</v>
      </c>
      <c r="AH190" s="434" t="s">
        <v>2326</v>
      </c>
      <c r="AI190" s="362"/>
      <c r="AJ190" s="434" t="s">
        <v>2326</v>
      </c>
      <c r="AK190" s="434" t="s">
        <v>2326</v>
      </c>
      <c r="AL190" s="363"/>
      <c r="AM190" s="406">
        <v>0</v>
      </c>
      <c r="AN190" s="406">
        <v>0</v>
      </c>
      <c r="AO190" s="406">
        <v>0</v>
      </c>
      <c r="AP190" s="406">
        <v>0</v>
      </c>
      <c r="AQ190" s="406">
        <v>0</v>
      </c>
      <c r="AR190" s="406">
        <v>0</v>
      </c>
      <c r="AS190" s="406">
        <v>0</v>
      </c>
      <c r="AT190" s="406">
        <v>0</v>
      </c>
      <c r="AU190" s="407">
        <f t="shared" si="55"/>
        <v>0</v>
      </c>
      <c r="AV190" s="407">
        <f t="shared" si="56"/>
        <v>100</v>
      </c>
      <c r="AW190" s="408">
        <f t="shared" si="64"/>
        <v>5</v>
      </c>
      <c r="AX190" s="406">
        <v>0</v>
      </c>
      <c r="AY190" s="406">
        <v>0</v>
      </c>
      <c r="AZ190" s="406">
        <v>0</v>
      </c>
      <c r="BA190" s="406">
        <v>0</v>
      </c>
      <c r="BB190" s="430">
        <f t="shared" si="57"/>
        <v>0</v>
      </c>
      <c r="BC190" s="407">
        <f t="shared" si="58"/>
        <v>25</v>
      </c>
      <c r="BD190" s="408">
        <f t="shared" si="65"/>
        <v>0.75</v>
      </c>
      <c r="BE190" s="340">
        <f t="shared" si="59"/>
        <v>11.25</v>
      </c>
    </row>
    <row r="191" spans="1:57" x14ac:dyDescent="0.6">
      <c r="A191" s="214" t="s">
        <v>1745</v>
      </c>
      <c r="B191" s="13" t="s">
        <v>2171</v>
      </c>
      <c r="C191" s="219" t="s">
        <v>1746</v>
      </c>
      <c r="D191" s="14" t="s">
        <v>202</v>
      </c>
      <c r="E191" s="217" t="s">
        <v>189</v>
      </c>
      <c r="F191" s="217" t="s">
        <v>1747</v>
      </c>
      <c r="G191" s="218">
        <v>44393</v>
      </c>
      <c r="H191" s="217" t="s">
        <v>830</v>
      </c>
      <c r="I191" s="217" t="s">
        <v>1748</v>
      </c>
      <c r="J191" s="217" t="s">
        <v>1749</v>
      </c>
      <c r="K191" s="217" t="s">
        <v>690</v>
      </c>
      <c r="L191" s="220">
        <v>3184712423</v>
      </c>
      <c r="M191" s="206">
        <v>268563685</v>
      </c>
      <c r="N191" s="206">
        <v>2916148739</v>
      </c>
      <c r="O191" s="206">
        <v>2820638098</v>
      </c>
      <c r="P191" s="206">
        <v>1115338664</v>
      </c>
      <c r="Q191" s="206">
        <v>1224820701</v>
      </c>
      <c r="R191" s="206">
        <v>903927973</v>
      </c>
      <c r="S191" s="406">
        <v>0</v>
      </c>
      <c r="T191" s="428">
        <f t="shared" si="48"/>
        <v>50</v>
      </c>
      <c r="U191" s="415">
        <f t="shared" si="49"/>
        <v>0.5</v>
      </c>
      <c r="V191" s="405">
        <v>0</v>
      </c>
      <c r="W191" s="428">
        <f t="shared" si="50"/>
        <v>50</v>
      </c>
      <c r="X191" s="415">
        <f t="shared" si="51"/>
        <v>0.5</v>
      </c>
      <c r="Y191" s="406">
        <v>0</v>
      </c>
      <c r="Z191" s="429">
        <v>0</v>
      </c>
      <c r="AA191" s="430">
        <f t="shared" si="52"/>
        <v>50</v>
      </c>
      <c r="AB191" s="415">
        <f t="shared" si="53"/>
        <v>0.5</v>
      </c>
      <c r="AC191" s="431">
        <v>0</v>
      </c>
      <c r="AD191" s="432">
        <f t="shared" si="54"/>
        <v>100</v>
      </c>
      <c r="AE191" s="433">
        <f t="shared" si="63"/>
        <v>4</v>
      </c>
      <c r="AF191" s="434" t="s">
        <v>2326</v>
      </c>
      <c r="AG191" s="434" t="s">
        <v>2326</v>
      </c>
      <c r="AH191" s="434" t="s">
        <v>2326</v>
      </c>
      <c r="AI191" s="362"/>
      <c r="AJ191" s="434" t="s">
        <v>2326</v>
      </c>
      <c r="AK191" s="434" t="s">
        <v>2326</v>
      </c>
      <c r="AL191" s="363"/>
      <c r="AM191" s="406">
        <v>0</v>
      </c>
      <c r="AN191" s="406">
        <v>0</v>
      </c>
      <c r="AO191" s="406">
        <v>0</v>
      </c>
      <c r="AP191" s="406">
        <v>0</v>
      </c>
      <c r="AQ191" s="406">
        <v>0</v>
      </c>
      <c r="AR191" s="406">
        <v>0</v>
      </c>
      <c r="AS191" s="406">
        <v>0</v>
      </c>
      <c r="AT191" s="406">
        <v>0</v>
      </c>
      <c r="AU191" s="407">
        <f t="shared" si="55"/>
        <v>0</v>
      </c>
      <c r="AV191" s="407">
        <f t="shared" si="56"/>
        <v>100</v>
      </c>
      <c r="AW191" s="408">
        <f t="shared" si="64"/>
        <v>5</v>
      </c>
      <c r="AX191" s="406">
        <v>0</v>
      </c>
      <c r="AY191" s="406">
        <v>0</v>
      </c>
      <c r="AZ191" s="406">
        <v>0</v>
      </c>
      <c r="BA191" s="406">
        <v>0</v>
      </c>
      <c r="BB191" s="430">
        <f t="shared" si="57"/>
        <v>0</v>
      </c>
      <c r="BC191" s="407">
        <f t="shared" si="58"/>
        <v>25</v>
      </c>
      <c r="BD191" s="408">
        <f t="shared" si="65"/>
        <v>0.75</v>
      </c>
      <c r="BE191" s="340">
        <f t="shared" si="59"/>
        <v>11.25</v>
      </c>
    </row>
    <row r="192" spans="1:57" x14ac:dyDescent="0.6">
      <c r="A192" s="214" t="s">
        <v>1750</v>
      </c>
      <c r="B192" s="13" t="s">
        <v>2172</v>
      </c>
      <c r="C192" s="219" t="s">
        <v>1751</v>
      </c>
      <c r="D192" s="14" t="s">
        <v>202</v>
      </c>
      <c r="E192" s="217" t="s">
        <v>954</v>
      </c>
      <c r="F192" s="217" t="s">
        <v>1752</v>
      </c>
      <c r="G192" s="218">
        <v>32455</v>
      </c>
      <c r="H192" s="217" t="s">
        <v>830</v>
      </c>
      <c r="I192" s="217" t="s">
        <v>1753</v>
      </c>
      <c r="J192" s="217" t="s">
        <v>1754</v>
      </c>
      <c r="K192" s="217" t="s">
        <v>308</v>
      </c>
      <c r="L192" s="220">
        <v>1914532174</v>
      </c>
      <c r="M192" s="206">
        <v>433489874</v>
      </c>
      <c r="N192" s="206">
        <v>1481042299</v>
      </c>
      <c r="O192" s="206">
        <v>2351608869</v>
      </c>
      <c r="P192" s="206">
        <v>172143218</v>
      </c>
      <c r="Q192" s="206">
        <v>206431272</v>
      </c>
      <c r="R192" s="206">
        <v>163552128</v>
      </c>
      <c r="S192" s="406">
        <v>0</v>
      </c>
      <c r="T192" s="428">
        <f t="shared" si="48"/>
        <v>50</v>
      </c>
      <c r="U192" s="415">
        <f t="shared" si="49"/>
        <v>0.5</v>
      </c>
      <c r="V192" s="405">
        <v>0</v>
      </c>
      <c r="W192" s="428">
        <f t="shared" si="50"/>
        <v>50</v>
      </c>
      <c r="X192" s="415">
        <f t="shared" si="51"/>
        <v>0.5</v>
      </c>
      <c r="Y192" s="406">
        <v>0</v>
      </c>
      <c r="Z192" s="429">
        <v>0</v>
      </c>
      <c r="AA192" s="430">
        <f t="shared" si="52"/>
        <v>50</v>
      </c>
      <c r="AB192" s="415">
        <f t="shared" si="53"/>
        <v>0.5</v>
      </c>
      <c r="AC192" s="431">
        <v>0</v>
      </c>
      <c r="AD192" s="432">
        <f t="shared" si="54"/>
        <v>100</v>
      </c>
      <c r="AE192" s="433">
        <f t="shared" si="63"/>
        <v>4</v>
      </c>
      <c r="AF192" s="434" t="s">
        <v>2326</v>
      </c>
      <c r="AG192" s="434" t="s">
        <v>2326</v>
      </c>
      <c r="AH192" s="434" t="s">
        <v>2326</v>
      </c>
      <c r="AI192" s="362"/>
      <c r="AJ192" s="434" t="s">
        <v>2326</v>
      </c>
      <c r="AK192" s="434" t="s">
        <v>2326</v>
      </c>
      <c r="AL192" s="363"/>
      <c r="AM192" s="406">
        <v>0</v>
      </c>
      <c r="AN192" s="406">
        <v>0</v>
      </c>
      <c r="AO192" s="406">
        <v>0</v>
      </c>
      <c r="AP192" s="406">
        <v>0</v>
      </c>
      <c r="AQ192" s="406">
        <v>0</v>
      </c>
      <c r="AR192" s="406">
        <v>0</v>
      </c>
      <c r="AS192" s="406">
        <v>0</v>
      </c>
      <c r="AT192" s="406">
        <v>0</v>
      </c>
      <c r="AU192" s="407">
        <f t="shared" si="55"/>
        <v>0</v>
      </c>
      <c r="AV192" s="407">
        <f t="shared" si="56"/>
        <v>100</v>
      </c>
      <c r="AW192" s="408">
        <f t="shared" si="64"/>
        <v>5</v>
      </c>
      <c r="AX192" s="406">
        <v>0</v>
      </c>
      <c r="AY192" s="406">
        <v>0</v>
      </c>
      <c r="AZ192" s="406">
        <v>0</v>
      </c>
      <c r="BA192" s="406">
        <v>0</v>
      </c>
      <c r="BB192" s="430">
        <f t="shared" si="57"/>
        <v>0</v>
      </c>
      <c r="BC192" s="407">
        <f t="shared" si="58"/>
        <v>25</v>
      </c>
      <c r="BD192" s="408">
        <f t="shared" si="65"/>
        <v>0.75</v>
      </c>
      <c r="BE192" s="340">
        <f t="shared" si="59"/>
        <v>11.25</v>
      </c>
    </row>
    <row r="193" spans="1:57" x14ac:dyDescent="0.6">
      <c r="A193" s="214" t="s">
        <v>789</v>
      </c>
      <c r="B193" s="13" t="s">
        <v>2173</v>
      </c>
      <c r="C193" s="219" t="s">
        <v>448</v>
      </c>
      <c r="D193" s="216" t="s">
        <v>285</v>
      </c>
      <c r="E193" s="217" t="s">
        <v>624</v>
      </c>
      <c r="F193" s="217" t="s">
        <v>1186</v>
      </c>
      <c r="G193" s="218">
        <v>35094</v>
      </c>
      <c r="H193" s="217" t="s">
        <v>830</v>
      </c>
      <c r="I193" s="217" t="s">
        <v>579</v>
      </c>
      <c r="J193" s="217" t="s">
        <v>964</v>
      </c>
      <c r="K193" s="217" t="s">
        <v>91</v>
      </c>
      <c r="L193" s="220">
        <v>1985699161</v>
      </c>
      <c r="M193" s="206">
        <v>512258282</v>
      </c>
      <c r="N193" s="206">
        <v>1473440879</v>
      </c>
      <c r="O193" s="206">
        <v>2427260264</v>
      </c>
      <c r="P193" s="206">
        <v>192825146</v>
      </c>
      <c r="Q193" s="206">
        <v>188400341</v>
      </c>
      <c r="R193" s="206">
        <v>141531341</v>
      </c>
      <c r="S193" s="406">
        <v>0</v>
      </c>
      <c r="T193" s="428">
        <f t="shared" si="48"/>
        <v>50</v>
      </c>
      <c r="U193" s="415">
        <f t="shared" si="49"/>
        <v>0.5</v>
      </c>
      <c r="V193" s="405">
        <v>0</v>
      </c>
      <c r="W193" s="428">
        <f t="shared" si="50"/>
        <v>50</v>
      </c>
      <c r="X193" s="415">
        <f t="shared" si="51"/>
        <v>0.5</v>
      </c>
      <c r="Y193" s="406">
        <v>1</v>
      </c>
      <c r="Z193" s="429">
        <v>0</v>
      </c>
      <c r="AA193" s="430">
        <f t="shared" si="52"/>
        <v>100</v>
      </c>
      <c r="AB193" s="415">
        <f t="shared" si="53"/>
        <v>1</v>
      </c>
      <c r="AC193" s="431">
        <v>3</v>
      </c>
      <c r="AD193" s="432">
        <f t="shared" si="54"/>
        <v>40</v>
      </c>
      <c r="AE193" s="433">
        <f t="shared" si="63"/>
        <v>1.6</v>
      </c>
      <c r="AF193" s="434" t="s">
        <v>2326</v>
      </c>
      <c r="AG193" s="434" t="s">
        <v>2326</v>
      </c>
      <c r="AH193" s="434" t="s">
        <v>2326</v>
      </c>
      <c r="AI193" s="362"/>
      <c r="AJ193" s="434" t="s">
        <v>2326</v>
      </c>
      <c r="AK193" s="434" t="s">
        <v>2326</v>
      </c>
      <c r="AL193" s="363"/>
      <c r="AM193" s="406">
        <v>0</v>
      </c>
      <c r="AN193" s="406">
        <v>0</v>
      </c>
      <c r="AO193" s="406">
        <v>0</v>
      </c>
      <c r="AP193" s="406">
        <v>0</v>
      </c>
      <c r="AQ193" s="406">
        <v>0</v>
      </c>
      <c r="AR193" s="406">
        <v>0</v>
      </c>
      <c r="AS193" s="406">
        <v>0</v>
      </c>
      <c r="AT193" s="406">
        <v>0</v>
      </c>
      <c r="AU193" s="407">
        <f t="shared" si="55"/>
        <v>0</v>
      </c>
      <c r="AV193" s="407">
        <f t="shared" si="56"/>
        <v>100</v>
      </c>
      <c r="AW193" s="408">
        <f t="shared" si="64"/>
        <v>5</v>
      </c>
      <c r="AX193" s="406">
        <v>0</v>
      </c>
      <c r="AY193" s="406">
        <v>0</v>
      </c>
      <c r="AZ193" s="406">
        <v>0</v>
      </c>
      <c r="BA193" s="406">
        <v>0</v>
      </c>
      <c r="BB193" s="430">
        <f t="shared" si="57"/>
        <v>0</v>
      </c>
      <c r="BC193" s="407">
        <f t="shared" si="58"/>
        <v>25</v>
      </c>
      <c r="BD193" s="408">
        <f t="shared" si="65"/>
        <v>0.75</v>
      </c>
      <c r="BE193" s="340">
        <f t="shared" si="59"/>
        <v>9.35</v>
      </c>
    </row>
    <row r="194" spans="1:57" x14ac:dyDescent="0.6">
      <c r="A194" s="214" t="s">
        <v>1755</v>
      </c>
      <c r="B194" s="13" t="s">
        <v>2174</v>
      </c>
      <c r="C194" s="219" t="s">
        <v>533</v>
      </c>
      <c r="D194" s="221" t="s">
        <v>481</v>
      </c>
      <c r="E194" s="217" t="s">
        <v>604</v>
      </c>
      <c r="F194" s="217" t="s">
        <v>268</v>
      </c>
      <c r="G194" s="218">
        <v>44155</v>
      </c>
      <c r="H194" s="217" t="s">
        <v>830</v>
      </c>
      <c r="I194" s="217" t="s">
        <v>955</v>
      </c>
      <c r="J194" s="1" t="s">
        <v>2305</v>
      </c>
      <c r="K194" s="217" t="s">
        <v>91</v>
      </c>
      <c r="L194" s="220">
        <v>204362337</v>
      </c>
      <c r="M194" s="206">
        <v>77627222</v>
      </c>
      <c r="N194" s="206">
        <v>126735115</v>
      </c>
      <c r="O194" s="206">
        <v>230018279</v>
      </c>
      <c r="P194" s="206">
        <v>3054336</v>
      </c>
      <c r="Q194" s="206">
        <v>41586408</v>
      </c>
      <c r="R194" s="206">
        <v>32212761</v>
      </c>
      <c r="S194" s="406">
        <v>0</v>
      </c>
      <c r="T194" s="428">
        <f t="shared" ref="T194:T257" si="66">IF(S194=1, 100, 50)</f>
        <v>50</v>
      </c>
      <c r="U194" s="415">
        <f t="shared" ref="U194:U257" si="67">T194*0.01</f>
        <v>0.5</v>
      </c>
      <c r="V194" s="405">
        <v>0</v>
      </c>
      <c r="W194" s="428">
        <f t="shared" ref="W194:W257" si="68">IF(V194=1, 100, 50)</f>
        <v>50</v>
      </c>
      <c r="X194" s="415">
        <f t="shared" ref="X194:X257" si="69">W194*0.01</f>
        <v>0.5</v>
      </c>
      <c r="Y194" s="406">
        <v>0</v>
      </c>
      <c r="Z194" s="429">
        <v>0</v>
      </c>
      <c r="AA194" s="430">
        <f t="shared" ref="AA194:AA257" si="70">IF(Y194=1, 50, 0)+IF(Z194=0, 50, 0)</f>
        <v>50</v>
      </c>
      <c r="AB194" s="415">
        <f t="shared" ref="AB194:AB257" si="71">AA194*0.01</f>
        <v>0.5</v>
      </c>
      <c r="AC194" s="75">
        <v>2</v>
      </c>
      <c r="AD194" s="432">
        <f t="shared" ref="AD194:AD257" si="72">IF(AC194=0, 100, IF(AC194=1, 80, IF(AC194=2, 60, IF(AC194=3, 40, IF(AC194&gt;=4, 20)))))</f>
        <v>60</v>
      </c>
      <c r="AE194" s="435">
        <f>AD194*0.03</f>
        <v>1.7999999999999998</v>
      </c>
      <c r="AF194" s="436">
        <v>0</v>
      </c>
      <c r="AG194" s="437">
        <f>(_xlfn.PERCENTRANK.INC(AF:AF,AF194, 2))*100</f>
        <v>0</v>
      </c>
      <c r="AH194" s="437">
        <f>IF(AF194=0, 100, IF(AG194&lt;10, 80, IF(AG194&lt;50, 60, IF(AG194&lt;90, 40, 20))))</f>
        <v>100</v>
      </c>
      <c r="AI194" s="263">
        <f>AH194*0.03</f>
        <v>3</v>
      </c>
      <c r="AJ194" s="264" t="s">
        <v>3540</v>
      </c>
      <c r="AK194" s="265">
        <f>IF(AJ194="우수", 100, IF(AJ194="양호", 80, IF(AJ194="보통", 60, IF(AJ194= "평가미대상", 60, IF(AJ194="미흡", 40, IF(AJ194="취약", 20))))))</f>
        <v>60</v>
      </c>
      <c r="AL194" s="141">
        <f>AK194*0.03</f>
        <v>1.7999999999999998</v>
      </c>
      <c r="AM194" s="406">
        <v>0</v>
      </c>
      <c r="AN194" s="406">
        <v>0</v>
      </c>
      <c r="AO194" s="406">
        <v>0</v>
      </c>
      <c r="AP194" s="406">
        <v>0</v>
      </c>
      <c r="AQ194" s="406">
        <v>0</v>
      </c>
      <c r="AR194" s="406">
        <v>0</v>
      </c>
      <c r="AS194" s="406">
        <v>0</v>
      </c>
      <c r="AT194" s="406">
        <v>0</v>
      </c>
      <c r="AU194" s="407">
        <f t="shared" ref="AU194:AU257" si="73">SUM(AM194:AT194)</f>
        <v>0</v>
      </c>
      <c r="AV194" s="407">
        <f t="shared" ref="AV194:AV257" si="74">IF(AU194=0, 100, IF(AU194=1, 80, IF(AU194=2, 60, IF(AU194=3, 40, 20))))</f>
        <v>100</v>
      </c>
      <c r="AW194" s="438">
        <f>AV194*0.02</f>
        <v>2</v>
      </c>
      <c r="AX194" s="406">
        <v>0</v>
      </c>
      <c r="AY194" s="406">
        <v>0</v>
      </c>
      <c r="AZ194" s="406">
        <v>0</v>
      </c>
      <c r="BA194" s="406">
        <v>0</v>
      </c>
      <c r="BB194" s="430">
        <f t="shared" ref="BB194:BB257" si="75">SUM(AX194:BA194)</f>
        <v>0</v>
      </c>
      <c r="BC194" s="407">
        <f t="shared" ref="BC194:BC257" si="76">IF(BB194=0, 25, IF(BB194=1, 50, IF(BB194=2, 75, IF(BB194&gt;=3, 100))))</f>
        <v>25</v>
      </c>
      <c r="BD194" s="418">
        <f>BC194*0.01</f>
        <v>0.25</v>
      </c>
      <c r="BE194" s="340">
        <f t="shared" ref="BE194:BE257" si="77">U194+X194+AB194+AE194+AI194+AL194+AW194+BD194</f>
        <v>10.35</v>
      </c>
    </row>
    <row r="195" spans="1:57" x14ac:dyDescent="0.6">
      <c r="A195" s="214" t="s">
        <v>813</v>
      </c>
      <c r="B195" s="13" t="s">
        <v>2175</v>
      </c>
      <c r="C195" s="219" t="s">
        <v>428</v>
      </c>
      <c r="D195" s="216" t="s">
        <v>203</v>
      </c>
      <c r="E195" s="217" t="s">
        <v>246</v>
      </c>
      <c r="F195" s="217" t="s">
        <v>394</v>
      </c>
      <c r="G195" s="218">
        <v>25454</v>
      </c>
      <c r="H195" s="217" t="s">
        <v>830</v>
      </c>
      <c r="I195" s="217" t="s">
        <v>783</v>
      </c>
      <c r="J195" s="217" t="s">
        <v>1069</v>
      </c>
      <c r="K195" s="217" t="s">
        <v>690</v>
      </c>
      <c r="L195" s="220">
        <v>436729659</v>
      </c>
      <c r="M195" s="206">
        <v>131134120</v>
      </c>
      <c r="N195" s="206">
        <v>305595540</v>
      </c>
      <c r="O195" s="206">
        <v>388455876</v>
      </c>
      <c r="P195" s="206">
        <v>16230918</v>
      </c>
      <c r="Q195" s="206">
        <v>19676309</v>
      </c>
      <c r="R195" s="206">
        <v>17916229</v>
      </c>
      <c r="S195" s="406">
        <v>0</v>
      </c>
      <c r="T195" s="428">
        <f t="shared" si="66"/>
        <v>50</v>
      </c>
      <c r="U195" s="415">
        <f t="shared" si="67"/>
        <v>0.5</v>
      </c>
      <c r="V195" s="405">
        <v>0</v>
      </c>
      <c r="W195" s="428">
        <f t="shared" si="68"/>
        <v>50</v>
      </c>
      <c r="X195" s="415">
        <f t="shared" si="69"/>
        <v>0.5</v>
      </c>
      <c r="Y195" s="406">
        <v>0</v>
      </c>
      <c r="Z195" s="429">
        <v>0</v>
      </c>
      <c r="AA195" s="430">
        <f t="shared" si="70"/>
        <v>50</v>
      </c>
      <c r="AB195" s="415">
        <f t="shared" si="71"/>
        <v>0.5</v>
      </c>
      <c r="AC195" s="431">
        <v>0</v>
      </c>
      <c r="AD195" s="432">
        <f t="shared" si="72"/>
        <v>100</v>
      </c>
      <c r="AE195" s="433">
        <f t="shared" ref="AE195:AE206" si="78">AD195*0.04</f>
        <v>4</v>
      </c>
      <c r="AF195" s="434" t="s">
        <v>2326</v>
      </c>
      <c r="AG195" s="434" t="s">
        <v>2326</v>
      </c>
      <c r="AH195" s="434" t="s">
        <v>2326</v>
      </c>
      <c r="AI195" s="362"/>
      <c r="AJ195" s="434" t="s">
        <v>2326</v>
      </c>
      <c r="AK195" s="434" t="s">
        <v>2326</v>
      </c>
      <c r="AL195" s="363"/>
      <c r="AM195" s="406">
        <v>0</v>
      </c>
      <c r="AN195" s="406">
        <v>0</v>
      </c>
      <c r="AO195" s="406">
        <v>0</v>
      </c>
      <c r="AP195" s="406">
        <v>0</v>
      </c>
      <c r="AQ195" s="406">
        <v>0</v>
      </c>
      <c r="AR195" s="406">
        <v>0</v>
      </c>
      <c r="AS195" s="406">
        <v>0</v>
      </c>
      <c r="AT195" s="406">
        <v>0</v>
      </c>
      <c r="AU195" s="407">
        <f t="shared" si="73"/>
        <v>0</v>
      </c>
      <c r="AV195" s="407">
        <f t="shared" si="74"/>
        <v>100</v>
      </c>
      <c r="AW195" s="408">
        <f t="shared" ref="AW195:AW206" si="79">AV195*0.05</f>
        <v>5</v>
      </c>
      <c r="AX195" s="406">
        <v>0</v>
      </c>
      <c r="AY195" s="406">
        <v>0</v>
      </c>
      <c r="AZ195" s="406">
        <v>0</v>
      </c>
      <c r="BA195" s="406">
        <v>0</v>
      </c>
      <c r="BB195" s="430">
        <f t="shared" si="75"/>
        <v>0</v>
      </c>
      <c r="BC195" s="407">
        <f t="shared" si="76"/>
        <v>25</v>
      </c>
      <c r="BD195" s="408">
        <f t="shared" ref="BD195:BD206" si="80">BC195*0.03</f>
        <v>0.75</v>
      </c>
      <c r="BE195" s="340">
        <f t="shared" si="77"/>
        <v>11.25</v>
      </c>
    </row>
    <row r="196" spans="1:57" x14ac:dyDescent="0.6">
      <c r="A196" s="214" t="s">
        <v>1757</v>
      </c>
      <c r="B196" s="13" t="s">
        <v>2176</v>
      </c>
      <c r="C196" s="219" t="s">
        <v>1758</v>
      </c>
      <c r="D196" s="14" t="s">
        <v>202</v>
      </c>
      <c r="E196" s="217" t="s">
        <v>593</v>
      </c>
      <c r="F196" s="217" t="s">
        <v>1759</v>
      </c>
      <c r="G196" s="218">
        <v>44383</v>
      </c>
      <c r="H196" s="217" t="s">
        <v>830</v>
      </c>
      <c r="I196" s="217" t="s">
        <v>1760</v>
      </c>
      <c r="J196" s="217" t="s">
        <v>1761</v>
      </c>
      <c r="K196" s="217" t="s">
        <v>346</v>
      </c>
      <c r="L196" s="220">
        <v>490185292</v>
      </c>
      <c r="M196" s="206">
        <v>160877015</v>
      </c>
      <c r="N196" s="206">
        <v>329308277</v>
      </c>
      <c r="O196" s="206">
        <v>853045926</v>
      </c>
      <c r="P196" s="206">
        <v>11254172</v>
      </c>
      <c r="Q196" s="206">
        <v>25536401</v>
      </c>
      <c r="R196" s="206">
        <v>19988516</v>
      </c>
      <c r="S196" s="406">
        <v>0</v>
      </c>
      <c r="T196" s="428">
        <f t="shared" si="66"/>
        <v>50</v>
      </c>
      <c r="U196" s="415">
        <f t="shared" si="67"/>
        <v>0.5</v>
      </c>
      <c r="V196" s="405">
        <v>0</v>
      </c>
      <c r="W196" s="428">
        <f t="shared" si="68"/>
        <v>50</v>
      </c>
      <c r="X196" s="415">
        <f t="shared" si="69"/>
        <v>0.5</v>
      </c>
      <c r="Y196" s="406">
        <v>0</v>
      </c>
      <c r="Z196" s="429">
        <v>0</v>
      </c>
      <c r="AA196" s="430">
        <f t="shared" si="70"/>
        <v>50</v>
      </c>
      <c r="AB196" s="415">
        <f t="shared" si="71"/>
        <v>0.5</v>
      </c>
      <c r="AC196" s="431">
        <v>0</v>
      </c>
      <c r="AD196" s="432">
        <f t="shared" si="72"/>
        <v>100</v>
      </c>
      <c r="AE196" s="433">
        <f t="shared" si="78"/>
        <v>4</v>
      </c>
      <c r="AF196" s="434" t="s">
        <v>2326</v>
      </c>
      <c r="AG196" s="434" t="s">
        <v>2326</v>
      </c>
      <c r="AH196" s="434" t="s">
        <v>2326</v>
      </c>
      <c r="AI196" s="362"/>
      <c r="AJ196" s="434" t="s">
        <v>2326</v>
      </c>
      <c r="AK196" s="434" t="s">
        <v>2326</v>
      </c>
      <c r="AL196" s="363"/>
      <c r="AM196" s="406">
        <v>0</v>
      </c>
      <c r="AN196" s="406">
        <v>0</v>
      </c>
      <c r="AO196" s="406">
        <v>0</v>
      </c>
      <c r="AP196" s="406">
        <v>0</v>
      </c>
      <c r="AQ196" s="406">
        <v>0</v>
      </c>
      <c r="AR196" s="406">
        <v>0</v>
      </c>
      <c r="AS196" s="406">
        <v>0</v>
      </c>
      <c r="AT196" s="406">
        <v>0</v>
      </c>
      <c r="AU196" s="407">
        <f t="shared" si="73"/>
        <v>0</v>
      </c>
      <c r="AV196" s="407">
        <f t="shared" si="74"/>
        <v>100</v>
      </c>
      <c r="AW196" s="408">
        <f t="shared" si="79"/>
        <v>5</v>
      </c>
      <c r="AX196" s="406">
        <v>0</v>
      </c>
      <c r="AY196" s="406">
        <v>0</v>
      </c>
      <c r="AZ196" s="406">
        <v>0</v>
      </c>
      <c r="BA196" s="406">
        <v>0</v>
      </c>
      <c r="BB196" s="430">
        <f t="shared" si="75"/>
        <v>0</v>
      </c>
      <c r="BC196" s="407">
        <f t="shared" si="76"/>
        <v>25</v>
      </c>
      <c r="BD196" s="408">
        <f t="shared" si="80"/>
        <v>0.75</v>
      </c>
      <c r="BE196" s="340">
        <f t="shared" si="77"/>
        <v>11.25</v>
      </c>
    </row>
    <row r="197" spans="1:57" x14ac:dyDescent="0.6">
      <c r="A197" s="214" t="s">
        <v>524</v>
      </c>
      <c r="B197" s="13" t="s">
        <v>2177</v>
      </c>
      <c r="C197" s="219" t="s">
        <v>905</v>
      </c>
      <c r="D197" s="216" t="s">
        <v>203</v>
      </c>
      <c r="E197" s="217" t="s">
        <v>246</v>
      </c>
      <c r="F197" s="217" t="s">
        <v>1190</v>
      </c>
      <c r="G197" s="218">
        <v>35669</v>
      </c>
      <c r="H197" s="217" t="s">
        <v>830</v>
      </c>
      <c r="I197" s="217" t="s">
        <v>760</v>
      </c>
      <c r="J197" s="217" t="s">
        <v>1090</v>
      </c>
      <c r="K197" s="217" t="s">
        <v>317</v>
      </c>
      <c r="L197" s="220">
        <v>169880794</v>
      </c>
      <c r="M197" s="206">
        <v>10753658</v>
      </c>
      <c r="N197" s="206">
        <v>159127136</v>
      </c>
      <c r="O197" s="206">
        <v>80968867</v>
      </c>
      <c r="P197" s="206">
        <v>2227640</v>
      </c>
      <c r="Q197" s="206">
        <v>2895711</v>
      </c>
      <c r="R197" s="206">
        <v>2402054</v>
      </c>
      <c r="S197" s="406">
        <v>0</v>
      </c>
      <c r="T197" s="428">
        <f t="shared" si="66"/>
        <v>50</v>
      </c>
      <c r="U197" s="415">
        <f t="shared" si="67"/>
        <v>0.5</v>
      </c>
      <c r="V197" s="405">
        <v>0</v>
      </c>
      <c r="W197" s="428">
        <f t="shared" si="68"/>
        <v>50</v>
      </c>
      <c r="X197" s="415">
        <f t="shared" si="69"/>
        <v>0.5</v>
      </c>
      <c r="Y197" s="406">
        <v>0</v>
      </c>
      <c r="Z197" s="429">
        <v>0</v>
      </c>
      <c r="AA197" s="430">
        <f t="shared" si="70"/>
        <v>50</v>
      </c>
      <c r="AB197" s="415">
        <f t="shared" si="71"/>
        <v>0.5</v>
      </c>
      <c r="AC197" s="431">
        <v>0</v>
      </c>
      <c r="AD197" s="432">
        <f t="shared" si="72"/>
        <v>100</v>
      </c>
      <c r="AE197" s="433">
        <f t="shared" si="78"/>
        <v>4</v>
      </c>
      <c r="AF197" s="434" t="s">
        <v>2326</v>
      </c>
      <c r="AG197" s="434" t="s">
        <v>2326</v>
      </c>
      <c r="AH197" s="434" t="s">
        <v>2326</v>
      </c>
      <c r="AI197" s="362"/>
      <c r="AJ197" s="434" t="s">
        <v>2326</v>
      </c>
      <c r="AK197" s="434" t="s">
        <v>2326</v>
      </c>
      <c r="AL197" s="363"/>
      <c r="AM197" s="406">
        <v>0</v>
      </c>
      <c r="AN197" s="406">
        <v>0</v>
      </c>
      <c r="AO197" s="406">
        <v>0</v>
      </c>
      <c r="AP197" s="406">
        <v>0</v>
      </c>
      <c r="AQ197" s="406">
        <v>0</v>
      </c>
      <c r="AR197" s="406">
        <v>0</v>
      </c>
      <c r="AS197" s="406">
        <v>0</v>
      </c>
      <c r="AT197" s="406">
        <v>0</v>
      </c>
      <c r="AU197" s="407">
        <f t="shared" si="73"/>
        <v>0</v>
      </c>
      <c r="AV197" s="407">
        <f t="shared" si="74"/>
        <v>100</v>
      </c>
      <c r="AW197" s="408">
        <f t="shared" si="79"/>
        <v>5</v>
      </c>
      <c r="AX197" s="406">
        <v>0</v>
      </c>
      <c r="AY197" s="406">
        <v>0</v>
      </c>
      <c r="AZ197" s="406">
        <v>0</v>
      </c>
      <c r="BA197" s="406">
        <v>0</v>
      </c>
      <c r="BB197" s="430">
        <f t="shared" si="75"/>
        <v>0</v>
      </c>
      <c r="BC197" s="407">
        <f t="shared" si="76"/>
        <v>25</v>
      </c>
      <c r="BD197" s="408">
        <f t="shared" si="80"/>
        <v>0.75</v>
      </c>
      <c r="BE197" s="340">
        <f t="shared" si="77"/>
        <v>11.25</v>
      </c>
    </row>
    <row r="198" spans="1:57" x14ac:dyDescent="0.6">
      <c r="A198" s="214" t="s">
        <v>506</v>
      </c>
      <c r="B198" s="13" t="s">
        <v>2178</v>
      </c>
      <c r="C198" s="219" t="s">
        <v>453</v>
      </c>
      <c r="D198" s="216" t="s">
        <v>285</v>
      </c>
      <c r="E198" s="217" t="s">
        <v>245</v>
      </c>
      <c r="F198" s="217" t="s">
        <v>344</v>
      </c>
      <c r="G198" s="218">
        <v>40024</v>
      </c>
      <c r="H198" s="217" t="s">
        <v>830</v>
      </c>
      <c r="I198" s="217" t="s">
        <v>724</v>
      </c>
      <c r="J198" s="1" t="s">
        <v>2306</v>
      </c>
      <c r="K198" s="217" t="s">
        <v>91</v>
      </c>
      <c r="L198" s="220">
        <v>1895028518</v>
      </c>
      <c r="M198" s="206">
        <v>309482206</v>
      </c>
      <c r="N198" s="206">
        <v>1585546312</v>
      </c>
      <c r="O198" s="206">
        <v>2130649097</v>
      </c>
      <c r="P198" s="206">
        <v>241563536</v>
      </c>
      <c r="Q198" s="206">
        <v>256945444</v>
      </c>
      <c r="R198" s="206">
        <v>204214530</v>
      </c>
      <c r="S198" s="406">
        <v>0</v>
      </c>
      <c r="T198" s="428">
        <f t="shared" si="66"/>
        <v>50</v>
      </c>
      <c r="U198" s="415">
        <f t="shared" si="67"/>
        <v>0.5</v>
      </c>
      <c r="V198" s="405">
        <v>0</v>
      </c>
      <c r="W198" s="428">
        <f t="shared" si="68"/>
        <v>50</v>
      </c>
      <c r="X198" s="415">
        <f t="shared" si="69"/>
        <v>0.5</v>
      </c>
      <c r="Y198" s="406">
        <v>0</v>
      </c>
      <c r="Z198" s="429">
        <v>0</v>
      </c>
      <c r="AA198" s="430">
        <f t="shared" si="70"/>
        <v>50</v>
      </c>
      <c r="AB198" s="415">
        <f t="shared" si="71"/>
        <v>0.5</v>
      </c>
      <c r="AC198" s="431">
        <v>0</v>
      </c>
      <c r="AD198" s="432">
        <f t="shared" si="72"/>
        <v>100</v>
      </c>
      <c r="AE198" s="433">
        <f t="shared" si="78"/>
        <v>4</v>
      </c>
      <c r="AF198" s="434" t="s">
        <v>2326</v>
      </c>
      <c r="AG198" s="434" t="s">
        <v>2326</v>
      </c>
      <c r="AH198" s="434" t="s">
        <v>2326</v>
      </c>
      <c r="AI198" s="362"/>
      <c r="AJ198" s="434" t="s">
        <v>2326</v>
      </c>
      <c r="AK198" s="434" t="s">
        <v>2326</v>
      </c>
      <c r="AL198" s="363"/>
      <c r="AM198" s="406">
        <v>0</v>
      </c>
      <c r="AN198" s="406">
        <v>0</v>
      </c>
      <c r="AO198" s="406">
        <v>0</v>
      </c>
      <c r="AP198" s="406">
        <v>0</v>
      </c>
      <c r="AQ198" s="406">
        <v>0</v>
      </c>
      <c r="AR198" s="406">
        <v>0</v>
      </c>
      <c r="AS198" s="406">
        <v>0</v>
      </c>
      <c r="AT198" s="406">
        <v>0</v>
      </c>
      <c r="AU198" s="407">
        <f t="shared" si="73"/>
        <v>0</v>
      </c>
      <c r="AV198" s="407">
        <f t="shared" si="74"/>
        <v>100</v>
      </c>
      <c r="AW198" s="408">
        <f t="shared" si="79"/>
        <v>5</v>
      </c>
      <c r="AX198" s="406">
        <v>0</v>
      </c>
      <c r="AY198" s="406">
        <v>0</v>
      </c>
      <c r="AZ198" s="406">
        <v>0</v>
      </c>
      <c r="BA198" s="406">
        <v>0</v>
      </c>
      <c r="BB198" s="430">
        <f t="shared" si="75"/>
        <v>0</v>
      </c>
      <c r="BC198" s="407">
        <f t="shared" si="76"/>
        <v>25</v>
      </c>
      <c r="BD198" s="408">
        <f t="shared" si="80"/>
        <v>0.75</v>
      </c>
      <c r="BE198" s="340">
        <f t="shared" si="77"/>
        <v>11.25</v>
      </c>
    </row>
    <row r="199" spans="1:57" x14ac:dyDescent="0.6">
      <c r="A199" s="214" t="s">
        <v>1762</v>
      </c>
      <c r="B199" s="13" t="s">
        <v>2179</v>
      </c>
      <c r="C199" s="219" t="s">
        <v>864</v>
      </c>
      <c r="D199" s="216" t="s">
        <v>191</v>
      </c>
      <c r="E199" s="217" t="s">
        <v>1029</v>
      </c>
      <c r="F199" s="217" t="s">
        <v>1002</v>
      </c>
      <c r="G199" s="218">
        <v>35249</v>
      </c>
      <c r="H199" s="217" t="s">
        <v>830</v>
      </c>
      <c r="I199" s="217" t="s">
        <v>718</v>
      </c>
      <c r="J199" s="217" t="s">
        <v>1122</v>
      </c>
      <c r="K199" s="217" t="s">
        <v>690</v>
      </c>
      <c r="L199" s="220">
        <v>203654155</v>
      </c>
      <c r="M199" s="206">
        <v>67128963</v>
      </c>
      <c r="N199" s="206">
        <v>136525192</v>
      </c>
      <c r="O199" s="206">
        <v>105452639</v>
      </c>
      <c r="P199" s="206">
        <v>7856944</v>
      </c>
      <c r="Q199" s="206">
        <v>10061299</v>
      </c>
      <c r="R199" s="206">
        <v>7970141</v>
      </c>
      <c r="S199" s="406">
        <v>0</v>
      </c>
      <c r="T199" s="428">
        <f t="shared" si="66"/>
        <v>50</v>
      </c>
      <c r="U199" s="415">
        <f t="shared" si="67"/>
        <v>0.5</v>
      </c>
      <c r="V199" s="405">
        <v>0</v>
      </c>
      <c r="W199" s="428">
        <f t="shared" si="68"/>
        <v>50</v>
      </c>
      <c r="X199" s="415">
        <f t="shared" si="69"/>
        <v>0.5</v>
      </c>
      <c r="Y199" s="406">
        <v>0</v>
      </c>
      <c r="Z199" s="429">
        <v>0</v>
      </c>
      <c r="AA199" s="430">
        <f t="shared" si="70"/>
        <v>50</v>
      </c>
      <c r="AB199" s="415">
        <f t="shared" si="71"/>
        <v>0.5</v>
      </c>
      <c r="AC199" s="431">
        <v>0</v>
      </c>
      <c r="AD199" s="432">
        <f t="shared" si="72"/>
        <v>100</v>
      </c>
      <c r="AE199" s="433">
        <f t="shared" si="78"/>
        <v>4</v>
      </c>
      <c r="AF199" s="434" t="s">
        <v>2326</v>
      </c>
      <c r="AG199" s="434" t="s">
        <v>2326</v>
      </c>
      <c r="AH199" s="434" t="s">
        <v>2326</v>
      </c>
      <c r="AI199" s="362"/>
      <c r="AJ199" s="434" t="s">
        <v>2326</v>
      </c>
      <c r="AK199" s="434" t="s">
        <v>2326</v>
      </c>
      <c r="AL199" s="363"/>
      <c r="AM199" s="406">
        <v>0</v>
      </c>
      <c r="AN199" s="406">
        <v>0</v>
      </c>
      <c r="AO199" s="406">
        <v>0</v>
      </c>
      <c r="AP199" s="406">
        <v>0</v>
      </c>
      <c r="AQ199" s="406">
        <v>0</v>
      </c>
      <c r="AR199" s="406">
        <v>0</v>
      </c>
      <c r="AS199" s="406">
        <v>0</v>
      </c>
      <c r="AT199" s="406">
        <v>0</v>
      </c>
      <c r="AU199" s="407">
        <f t="shared" si="73"/>
        <v>0</v>
      </c>
      <c r="AV199" s="407">
        <f t="shared" si="74"/>
        <v>100</v>
      </c>
      <c r="AW199" s="408">
        <f t="shared" si="79"/>
        <v>5</v>
      </c>
      <c r="AX199" s="406">
        <v>0</v>
      </c>
      <c r="AY199" s="406">
        <v>0</v>
      </c>
      <c r="AZ199" s="406">
        <v>0</v>
      </c>
      <c r="BA199" s="406">
        <v>0</v>
      </c>
      <c r="BB199" s="430">
        <f t="shared" si="75"/>
        <v>0</v>
      </c>
      <c r="BC199" s="407">
        <f t="shared" si="76"/>
        <v>25</v>
      </c>
      <c r="BD199" s="408">
        <f t="shared" si="80"/>
        <v>0.75</v>
      </c>
      <c r="BE199" s="340">
        <f t="shared" si="77"/>
        <v>11.25</v>
      </c>
    </row>
    <row r="200" spans="1:57" x14ac:dyDescent="0.6">
      <c r="A200" s="214" t="s">
        <v>792</v>
      </c>
      <c r="B200" s="13" t="s">
        <v>2180</v>
      </c>
      <c r="C200" s="219" t="s">
        <v>518</v>
      </c>
      <c r="D200" s="216" t="s">
        <v>191</v>
      </c>
      <c r="E200" s="217" t="s">
        <v>178</v>
      </c>
      <c r="F200" s="217" t="s">
        <v>280</v>
      </c>
      <c r="G200" s="218">
        <v>42923</v>
      </c>
      <c r="H200" s="217" t="s">
        <v>830</v>
      </c>
      <c r="I200" s="217" t="s">
        <v>702</v>
      </c>
      <c r="J200" s="217" t="s">
        <v>1181</v>
      </c>
      <c r="K200" s="217" t="s">
        <v>91</v>
      </c>
      <c r="L200" s="220">
        <v>1228500766</v>
      </c>
      <c r="M200" s="206">
        <v>276810740</v>
      </c>
      <c r="N200" s="206">
        <v>951690026</v>
      </c>
      <c r="O200" s="206">
        <v>939112572</v>
      </c>
      <c r="P200" s="206">
        <v>140231959</v>
      </c>
      <c r="Q200" s="206">
        <v>140016468</v>
      </c>
      <c r="R200" s="206">
        <v>104657276</v>
      </c>
      <c r="S200" s="406">
        <v>0</v>
      </c>
      <c r="T200" s="428">
        <f t="shared" si="66"/>
        <v>50</v>
      </c>
      <c r="U200" s="415">
        <f t="shared" si="67"/>
        <v>0.5</v>
      </c>
      <c r="V200" s="405">
        <v>0</v>
      </c>
      <c r="W200" s="428">
        <f t="shared" si="68"/>
        <v>50</v>
      </c>
      <c r="X200" s="415">
        <f t="shared" si="69"/>
        <v>0.5</v>
      </c>
      <c r="Y200" s="406">
        <v>0</v>
      </c>
      <c r="Z200" s="429">
        <v>0</v>
      </c>
      <c r="AA200" s="430">
        <f t="shared" si="70"/>
        <v>50</v>
      </c>
      <c r="AB200" s="415">
        <f t="shared" si="71"/>
        <v>0.5</v>
      </c>
      <c r="AC200" s="431">
        <v>1</v>
      </c>
      <c r="AD200" s="432">
        <f t="shared" si="72"/>
        <v>80</v>
      </c>
      <c r="AE200" s="433">
        <f t="shared" si="78"/>
        <v>3.2</v>
      </c>
      <c r="AF200" s="434" t="s">
        <v>2326</v>
      </c>
      <c r="AG200" s="434" t="s">
        <v>2326</v>
      </c>
      <c r="AH200" s="434" t="s">
        <v>2326</v>
      </c>
      <c r="AI200" s="362"/>
      <c r="AJ200" s="434" t="s">
        <v>2326</v>
      </c>
      <c r="AK200" s="434" t="s">
        <v>2326</v>
      </c>
      <c r="AL200" s="363"/>
      <c r="AM200" s="406">
        <v>0</v>
      </c>
      <c r="AN200" s="406">
        <v>0</v>
      </c>
      <c r="AO200" s="406">
        <v>0</v>
      </c>
      <c r="AP200" s="406">
        <v>0</v>
      </c>
      <c r="AQ200" s="406">
        <v>0</v>
      </c>
      <c r="AR200" s="406">
        <v>0</v>
      </c>
      <c r="AS200" s="406">
        <v>0</v>
      </c>
      <c r="AT200" s="406">
        <v>0</v>
      </c>
      <c r="AU200" s="407">
        <f t="shared" si="73"/>
        <v>0</v>
      </c>
      <c r="AV200" s="407">
        <f t="shared" si="74"/>
        <v>100</v>
      </c>
      <c r="AW200" s="408">
        <f t="shared" si="79"/>
        <v>5</v>
      </c>
      <c r="AX200" s="406">
        <v>0</v>
      </c>
      <c r="AY200" s="406">
        <v>0</v>
      </c>
      <c r="AZ200" s="406">
        <v>0</v>
      </c>
      <c r="BA200" s="406">
        <v>0</v>
      </c>
      <c r="BB200" s="430">
        <f t="shared" si="75"/>
        <v>0</v>
      </c>
      <c r="BC200" s="407">
        <f t="shared" si="76"/>
        <v>25</v>
      </c>
      <c r="BD200" s="408">
        <f t="shared" si="80"/>
        <v>0.75</v>
      </c>
      <c r="BE200" s="340">
        <f t="shared" si="77"/>
        <v>10.45</v>
      </c>
    </row>
    <row r="201" spans="1:57" x14ac:dyDescent="0.6">
      <c r="A201" s="214" t="s">
        <v>1763</v>
      </c>
      <c r="B201" s="13" t="s">
        <v>2181</v>
      </c>
      <c r="C201" s="219" t="s">
        <v>1764</v>
      </c>
      <c r="D201" s="14" t="s">
        <v>202</v>
      </c>
      <c r="E201" s="217" t="s">
        <v>572</v>
      </c>
      <c r="F201" s="217" t="s">
        <v>1765</v>
      </c>
      <c r="G201" s="218">
        <v>38861</v>
      </c>
      <c r="H201" s="217" t="s">
        <v>830</v>
      </c>
      <c r="I201" s="217" t="s">
        <v>1766</v>
      </c>
      <c r="J201" s="217" t="s">
        <v>1767</v>
      </c>
      <c r="K201" s="217" t="s">
        <v>317</v>
      </c>
      <c r="L201" s="220">
        <v>285172713</v>
      </c>
      <c r="M201" s="206">
        <v>183290683</v>
      </c>
      <c r="N201" s="206">
        <v>101882030</v>
      </c>
      <c r="O201" s="206">
        <v>252909508</v>
      </c>
      <c r="P201" s="206">
        <v>22627714</v>
      </c>
      <c r="Q201" s="206">
        <v>24143944</v>
      </c>
      <c r="R201" s="206">
        <v>20922790</v>
      </c>
      <c r="S201" s="406">
        <v>0</v>
      </c>
      <c r="T201" s="428">
        <f t="shared" si="66"/>
        <v>50</v>
      </c>
      <c r="U201" s="415">
        <f t="shared" si="67"/>
        <v>0.5</v>
      </c>
      <c r="V201" s="405">
        <v>0</v>
      </c>
      <c r="W201" s="428">
        <f t="shared" si="68"/>
        <v>50</v>
      </c>
      <c r="X201" s="415">
        <f t="shared" si="69"/>
        <v>0.5</v>
      </c>
      <c r="Y201" s="406">
        <v>0</v>
      </c>
      <c r="Z201" s="429">
        <v>0</v>
      </c>
      <c r="AA201" s="430">
        <f t="shared" si="70"/>
        <v>50</v>
      </c>
      <c r="AB201" s="415">
        <f t="shared" si="71"/>
        <v>0.5</v>
      </c>
      <c r="AC201" s="431">
        <v>0</v>
      </c>
      <c r="AD201" s="432">
        <f t="shared" si="72"/>
        <v>100</v>
      </c>
      <c r="AE201" s="433">
        <f t="shared" si="78"/>
        <v>4</v>
      </c>
      <c r="AF201" s="434" t="s">
        <v>2326</v>
      </c>
      <c r="AG201" s="434" t="s">
        <v>2326</v>
      </c>
      <c r="AH201" s="434" t="s">
        <v>2326</v>
      </c>
      <c r="AI201" s="362"/>
      <c r="AJ201" s="434" t="s">
        <v>2326</v>
      </c>
      <c r="AK201" s="434" t="s">
        <v>2326</v>
      </c>
      <c r="AL201" s="363"/>
      <c r="AM201" s="406">
        <v>0</v>
      </c>
      <c r="AN201" s="406">
        <v>0</v>
      </c>
      <c r="AO201" s="406">
        <v>0</v>
      </c>
      <c r="AP201" s="406">
        <v>0</v>
      </c>
      <c r="AQ201" s="406">
        <v>0</v>
      </c>
      <c r="AR201" s="406">
        <v>0</v>
      </c>
      <c r="AS201" s="406">
        <v>0</v>
      </c>
      <c r="AT201" s="406">
        <v>0</v>
      </c>
      <c r="AU201" s="407">
        <f t="shared" si="73"/>
        <v>0</v>
      </c>
      <c r="AV201" s="407">
        <f t="shared" si="74"/>
        <v>100</v>
      </c>
      <c r="AW201" s="408">
        <f t="shared" si="79"/>
        <v>5</v>
      </c>
      <c r="AX201" s="406">
        <v>0</v>
      </c>
      <c r="AY201" s="406">
        <v>0</v>
      </c>
      <c r="AZ201" s="406">
        <v>0</v>
      </c>
      <c r="BA201" s="406">
        <v>0</v>
      </c>
      <c r="BB201" s="430">
        <f t="shared" si="75"/>
        <v>0</v>
      </c>
      <c r="BC201" s="407">
        <f t="shared" si="76"/>
        <v>25</v>
      </c>
      <c r="BD201" s="408">
        <f t="shared" si="80"/>
        <v>0.75</v>
      </c>
      <c r="BE201" s="340">
        <f t="shared" si="77"/>
        <v>11.25</v>
      </c>
    </row>
    <row r="202" spans="1:57" x14ac:dyDescent="0.6">
      <c r="A202" s="214" t="s">
        <v>1768</v>
      </c>
      <c r="B202" s="13" t="s">
        <v>2182</v>
      </c>
      <c r="C202" s="219" t="s">
        <v>1769</v>
      </c>
      <c r="D202" s="14" t="s">
        <v>285</v>
      </c>
      <c r="E202" s="217" t="s">
        <v>1770</v>
      </c>
      <c r="F202" s="217" t="s">
        <v>1771</v>
      </c>
      <c r="G202" s="218">
        <v>39233</v>
      </c>
      <c r="H202" s="217" t="s">
        <v>830</v>
      </c>
      <c r="I202" s="217" t="s">
        <v>1772</v>
      </c>
      <c r="J202" s="217" t="s">
        <v>1773</v>
      </c>
      <c r="K202" s="217" t="s">
        <v>690</v>
      </c>
      <c r="L202" s="220">
        <v>675351513</v>
      </c>
      <c r="M202" s="206">
        <v>277354565</v>
      </c>
      <c r="N202" s="206">
        <v>397996948</v>
      </c>
      <c r="O202" s="206">
        <v>731149922</v>
      </c>
      <c r="P202" s="206">
        <v>30772712</v>
      </c>
      <c r="Q202" s="206">
        <v>12835237</v>
      </c>
      <c r="R202" s="206">
        <v>6907900</v>
      </c>
      <c r="S202" s="406">
        <v>0</v>
      </c>
      <c r="T202" s="428">
        <f t="shared" si="66"/>
        <v>50</v>
      </c>
      <c r="U202" s="415">
        <f t="shared" si="67"/>
        <v>0.5</v>
      </c>
      <c r="V202" s="405">
        <v>0</v>
      </c>
      <c r="W202" s="428">
        <f t="shared" si="68"/>
        <v>50</v>
      </c>
      <c r="X202" s="415">
        <f t="shared" si="69"/>
        <v>0.5</v>
      </c>
      <c r="Y202" s="406">
        <v>0</v>
      </c>
      <c r="Z202" s="429">
        <v>0</v>
      </c>
      <c r="AA202" s="430">
        <f t="shared" si="70"/>
        <v>50</v>
      </c>
      <c r="AB202" s="415">
        <f t="shared" si="71"/>
        <v>0.5</v>
      </c>
      <c r="AC202" s="431">
        <v>0</v>
      </c>
      <c r="AD202" s="432">
        <f t="shared" si="72"/>
        <v>100</v>
      </c>
      <c r="AE202" s="433">
        <f t="shared" si="78"/>
        <v>4</v>
      </c>
      <c r="AF202" s="434" t="s">
        <v>2326</v>
      </c>
      <c r="AG202" s="434" t="s">
        <v>2326</v>
      </c>
      <c r="AH202" s="434" t="s">
        <v>2326</v>
      </c>
      <c r="AI202" s="362"/>
      <c r="AJ202" s="434" t="s">
        <v>2326</v>
      </c>
      <c r="AK202" s="434" t="s">
        <v>2326</v>
      </c>
      <c r="AL202" s="363"/>
      <c r="AM202" s="406">
        <v>0</v>
      </c>
      <c r="AN202" s="406">
        <v>0</v>
      </c>
      <c r="AO202" s="406">
        <v>0</v>
      </c>
      <c r="AP202" s="406">
        <v>0</v>
      </c>
      <c r="AQ202" s="406">
        <v>0</v>
      </c>
      <c r="AR202" s="406">
        <v>0</v>
      </c>
      <c r="AS202" s="406">
        <v>0</v>
      </c>
      <c r="AT202" s="406">
        <v>0</v>
      </c>
      <c r="AU202" s="407">
        <f t="shared" si="73"/>
        <v>0</v>
      </c>
      <c r="AV202" s="407">
        <f t="shared" si="74"/>
        <v>100</v>
      </c>
      <c r="AW202" s="408">
        <f t="shared" si="79"/>
        <v>5</v>
      </c>
      <c r="AX202" s="406">
        <v>0</v>
      </c>
      <c r="AY202" s="406">
        <v>0</v>
      </c>
      <c r="AZ202" s="406">
        <v>0</v>
      </c>
      <c r="BA202" s="406">
        <v>0</v>
      </c>
      <c r="BB202" s="430">
        <f t="shared" si="75"/>
        <v>0</v>
      </c>
      <c r="BC202" s="407">
        <f t="shared" si="76"/>
        <v>25</v>
      </c>
      <c r="BD202" s="408">
        <f t="shared" si="80"/>
        <v>0.75</v>
      </c>
      <c r="BE202" s="340">
        <f t="shared" si="77"/>
        <v>11.25</v>
      </c>
    </row>
    <row r="203" spans="1:57" x14ac:dyDescent="0.6">
      <c r="A203" s="214" t="s">
        <v>326</v>
      </c>
      <c r="B203" s="13" t="s">
        <v>2183</v>
      </c>
      <c r="C203" s="219" t="s">
        <v>76</v>
      </c>
      <c r="D203" s="216" t="s">
        <v>191</v>
      </c>
      <c r="E203" s="217" t="s">
        <v>34</v>
      </c>
      <c r="F203" s="217" t="s">
        <v>126</v>
      </c>
      <c r="G203" s="218">
        <v>39378</v>
      </c>
      <c r="H203" s="217" t="s">
        <v>830</v>
      </c>
      <c r="I203" s="217" t="s">
        <v>706</v>
      </c>
      <c r="J203" s="217" t="s">
        <v>1097</v>
      </c>
      <c r="K203" s="217" t="s">
        <v>855</v>
      </c>
      <c r="L203" s="220">
        <v>417890867</v>
      </c>
      <c r="M203" s="206">
        <v>80034380</v>
      </c>
      <c r="N203" s="206">
        <v>337856486</v>
      </c>
      <c r="O203" s="206">
        <v>262522023</v>
      </c>
      <c r="P203" s="206">
        <v>48213162</v>
      </c>
      <c r="Q203" s="206">
        <v>53424815</v>
      </c>
      <c r="R203" s="206">
        <v>45275094</v>
      </c>
      <c r="S203" s="406">
        <v>0</v>
      </c>
      <c r="T203" s="428">
        <f t="shared" si="66"/>
        <v>50</v>
      </c>
      <c r="U203" s="415">
        <f t="shared" si="67"/>
        <v>0.5</v>
      </c>
      <c r="V203" s="405">
        <v>0</v>
      </c>
      <c r="W203" s="428">
        <f t="shared" si="68"/>
        <v>50</v>
      </c>
      <c r="X203" s="415">
        <f t="shared" si="69"/>
        <v>0.5</v>
      </c>
      <c r="Y203" s="406">
        <v>0</v>
      </c>
      <c r="Z203" s="429">
        <v>0</v>
      </c>
      <c r="AA203" s="430">
        <f t="shared" si="70"/>
        <v>50</v>
      </c>
      <c r="AB203" s="415">
        <f t="shared" si="71"/>
        <v>0.5</v>
      </c>
      <c r="AC203" s="431">
        <v>0</v>
      </c>
      <c r="AD203" s="432">
        <f t="shared" si="72"/>
        <v>100</v>
      </c>
      <c r="AE203" s="433">
        <f t="shared" si="78"/>
        <v>4</v>
      </c>
      <c r="AF203" s="434" t="s">
        <v>2326</v>
      </c>
      <c r="AG203" s="434" t="s">
        <v>2326</v>
      </c>
      <c r="AH203" s="434" t="s">
        <v>2326</v>
      </c>
      <c r="AI203" s="362"/>
      <c r="AJ203" s="434" t="s">
        <v>2326</v>
      </c>
      <c r="AK203" s="434" t="s">
        <v>2326</v>
      </c>
      <c r="AL203" s="363"/>
      <c r="AM203" s="406">
        <v>0</v>
      </c>
      <c r="AN203" s="406">
        <v>0</v>
      </c>
      <c r="AO203" s="406">
        <v>0</v>
      </c>
      <c r="AP203" s="406">
        <v>0</v>
      </c>
      <c r="AQ203" s="406">
        <v>0</v>
      </c>
      <c r="AR203" s="406">
        <v>0</v>
      </c>
      <c r="AS203" s="406">
        <v>0</v>
      </c>
      <c r="AT203" s="406">
        <v>0</v>
      </c>
      <c r="AU203" s="407">
        <f t="shared" si="73"/>
        <v>0</v>
      </c>
      <c r="AV203" s="407">
        <f t="shared" si="74"/>
        <v>100</v>
      </c>
      <c r="AW203" s="408">
        <f t="shared" si="79"/>
        <v>5</v>
      </c>
      <c r="AX203" s="406">
        <v>0</v>
      </c>
      <c r="AY203" s="406">
        <v>0</v>
      </c>
      <c r="AZ203" s="406">
        <v>0</v>
      </c>
      <c r="BA203" s="406">
        <v>0</v>
      </c>
      <c r="BB203" s="430">
        <f t="shared" si="75"/>
        <v>0</v>
      </c>
      <c r="BC203" s="407">
        <f t="shared" si="76"/>
        <v>25</v>
      </c>
      <c r="BD203" s="408">
        <f t="shared" si="80"/>
        <v>0.75</v>
      </c>
      <c r="BE203" s="340">
        <f t="shared" si="77"/>
        <v>11.25</v>
      </c>
    </row>
    <row r="204" spans="1:57" x14ac:dyDescent="0.6">
      <c r="A204" s="214" t="s">
        <v>824</v>
      </c>
      <c r="B204" s="13" t="s">
        <v>2184</v>
      </c>
      <c r="C204" s="219" t="s">
        <v>944</v>
      </c>
      <c r="D204" s="216" t="s">
        <v>203</v>
      </c>
      <c r="E204" s="217" t="s">
        <v>180</v>
      </c>
      <c r="F204" s="217" t="s">
        <v>121</v>
      </c>
      <c r="G204" s="218">
        <v>38324</v>
      </c>
      <c r="H204" s="217" t="s">
        <v>830</v>
      </c>
      <c r="I204" s="217" t="s">
        <v>1774</v>
      </c>
      <c r="J204" s="217" t="s">
        <v>1083</v>
      </c>
      <c r="K204" s="217" t="s">
        <v>91</v>
      </c>
      <c r="L204" s="220">
        <v>1081099768</v>
      </c>
      <c r="M204" s="206">
        <v>439582782</v>
      </c>
      <c r="N204" s="206">
        <v>641516987</v>
      </c>
      <c r="O204" s="206">
        <v>792569992</v>
      </c>
      <c r="P204" s="206">
        <v>95951025</v>
      </c>
      <c r="Q204" s="206">
        <v>117596454</v>
      </c>
      <c r="R204" s="206">
        <v>117383163</v>
      </c>
      <c r="S204" s="406">
        <v>0</v>
      </c>
      <c r="T204" s="428">
        <f t="shared" si="66"/>
        <v>50</v>
      </c>
      <c r="U204" s="415">
        <f t="shared" si="67"/>
        <v>0.5</v>
      </c>
      <c r="V204" s="405">
        <v>0</v>
      </c>
      <c r="W204" s="428">
        <f t="shared" si="68"/>
        <v>50</v>
      </c>
      <c r="X204" s="415">
        <f t="shared" si="69"/>
        <v>0.5</v>
      </c>
      <c r="Y204" s="406">
        <v>0</v>
      </c>
      <c r="Z204" s="429">
        <v>0</v>
      </c>
      <c r="AA204" s="430">
        <f t="shared" si="70"/>
        <v>50</v>
      </c>
      <c r="AB204" s="415">
        <f t="shared" si="71"/>
        <v>0.5</v>
      </c>
      <c r="AC204" s="431">
        <v>0</v>
      </c>
      <c r="AD204" s="432">
        <f t="shared" si="72"/>
        <v>100</v>
      </c>
      <c r="AE204" s="433">
        <f t="shared" si="78"/>
        <v>4</v>
      </c>
      <c r="AF204" s="434" t="s">
        <v>2326</v>
      </c>
      <c r="AG204" s="434" t="s">
        <v>2326</v>
      </c>
      <c r="AH204" s="434" t="s">
        <v>2326</v>
      </c>
      <c r="AI204" s="362"/>
      <c r="AJ204" s="434" t="s">
        <v>2326</v>
      </c>
      <c r="AK204" s="434" t="s">
        <v>2326</v>
      </c>
      <c r="AL204" s="363"/>
      <c r="AM204" s="406">
        <v>0</v>
      </c>
      <c r="AN204" s="406">
        <v>0</v>
      </c>
      <c r="AO204" s="406">
        <v>0</v>
      </c>
      <c r="AP204" s="406">
        <v>0</v>
      </c>
      <c r="AQ204" s="406">
        <v>0</v>
      </c>
      <c r="AR204" s="406">
        <v>0</v>
      </c>
      <c r="AS204" s="406">
        <v>0</v>
      </c>
      <c r="AT204" s="406">
        <v>0</v>
      </c>
      <c r="AU204" s="407">
        <f t="shared" si="73"/>
        <v>0</v>
      </c>
      <c r="AV204" s="407">
        <f t="shared" si="74"/>
        <v>100</v>
      </c>
      <c r="AW204" s="408">
        <f t="shared" si="79"/>
        <v>5</v>
      </c>
      <c r="AX204" s="406">
        <v>0</v>
      </c>
      <c r="AY204" s="406">
        <v>0</v>
      </c>
      <c r="AZ204" s="406">
        <v>0</v>
      </c>
      <c r="BA204" s="406">
        <v>0</v>
      </c>
      <c r="BB204" s="430">
        <f t="shared" si="75"/>
        <v>0</v>
      </c>
      <c r="BC204" s="407">
        <f t="shared" si="76"/>
        <v>25</v>
      </c>
      <c r="BD204" s="408">
        <f t="shared" si="80"/>
        <v>0.75</v>
      </c>
      <c r="BE204" s="340">
        <f t="shared" si="77"/>
        <v>11.25</v>
      </c>
    </row>
    <row r="205" spans="1:57" x14ac:dyDescent="0.6">
      <c r="A205" s="214" t="s">
        <v>1775</v>
      </c>
      <c r="B205" s="13" t="s">
        <v>2185</v>
      </c>
      <c r="C205" s="219" t="s">
        <v>355</v>
      </c>
      <c r="D205" s="216" t="s">
        <v>191</v>
      </c>
      <c r="E205" s="217" t="s">
        <v>977</v>
      </c>
      <c r="F205" s="217" t="s">
        <v>962</v>
      </c>
      <c r="G205" s="218">
        <v>32856</v>
      </c>
      <c r="H205" s="217" t="s">
        <v>830</v>
      </c>
      <c r="I205" s="217" t="s">
        <v>803</v>
      </c>
      <c r="J205" s="217" t="s">
        <v>1108</v>
      </c>
      <c r="K205" s="217" t="s">
        <v>690</v>
      </c>
      <c r="L205" s="220">
        <v>219850861</v>
      </c>
      <c r="M205" s="206">
        <v>106769427</v>
      </c>
      <c r="N205" s="206">
        <v>113081434</v>
      </c>
      <c r="O205" s="206">
        <v>103067188</v>
      </c>
      <c r="P205" s="206">
        <v>4420274</v>
      </c>
      <c r="Q205" s="206">
        <v>926544</v>
      </c>
      <c r="R205" s="206">
        <v>3447674</v>
      </c>
      <c r="S205" s="406">
        <v>0</v>
      </c>
      <c r="T205" s="428">
        <f t="shared" si="66"/>
        <v>50</v>
      </c>
      <c r="U205" s="415">
        <f t="shared" si="67"/>
        <v>0.5</v>
      </c>
      <c r="V205" s="405">
        <v>0</v>
      </c>
      <c r="W205" s="428">
        <f t="shared" si="68"/>
        <v>50</v>
      </c>
      <c r="X205" s="415">
        <f t="shared" si="69"/>
        <v>0.5</v>
      </c>
      <c r="Y205" s="406">
        <v>0</v>
      </c>
      <c r="Z205" s="429">
        <v>0</v>
      </c>
      <c r="AA205" s="430">
        <f t="shared" si="70"/>
        <v>50</v>
      </c>
      <c r="AB205" s="415">
        <f t="shared" si="71"/>
        <v>0.5</v>
      </c>
      <c r="AC205" s="431">
        <v>0</v>
      </c>
      <c r="AD205" s="432">
        <f t="shared" si="72"/>
        <v>100</v>
      </c>
      <c r="AE205" s="433">
        <f t="shared" si="78"/>
        <v>4</v>
      </c>
      <c r="AF205" s="434" t="s">
        <v>2326</v>
      </c>
      <c r="AG205" s="434" t="s">
        <v>2326</v>
      </c>
      <c r="AH205" s="434" t="s">
        <v>2326</v>
      </c>
      <c r="AI205" s="362"/>
      <c r="AJ205" s="434" t="s">
        <v>2326</v>
      </c>
      <c r="AK205" s="434" t="s">
        <v>2326</v>
      </c>
      <c r="AL205" s="363"/>
      <c r="AM205" s="406">
        <v>0</v>
      </c>
      <c r="AN205" s="406">
        <v>0</v>
      </c>
      <c r="AO205" s="406">
        <v>0</v>
      </c>
      <c r="AP205" s="406">
        <v>0</v>
      </c>
      <c r="AQ205" s="406">
        <v>0</v>
      </c>
      <c r="AR205" s="406">
        <v>0</v>
      </c>
      <c r="AS205" s="406">
        <v>0</v>
      </c>
      <c r="AT205" s="406">
        <v>0</v>
      </c>
      <c r="AU205" s="407">
        <f t="shared" si="73"/>
        <v>0</v>
      </c>
      <c r="AV205" s="407">
        <f t="shared" si="74"/>
        <v>100</v>
      </c>
      <c r="AW205" s="408">
        <f t="shared" si="79"/>
        <v>5</v>
      </c>
      <c r="AX205" s="406">
        <v>0</v>
      </c>
      <c r="AY205" s="406">
        <v>0</v>
      </c>
      <c r="AZ205" s="406">
        <v>0</v>
      </c>
      <c r="BA205" s="406">
        <v>0</v>
      </c>
      <c r="BB205" s="430">
        <f t="shared" si="75"/>
        <v>0</v>
      </c>
      <c r="BC205" s="407">
        <f t="shared" si="76"/>
        <v>25</v>
      </c>
      <c r="BD205" s="408">
        <f t="shared" si="80"/>
        <v>0.75</v>
      </c>
      <c r="BE205" s="340">
        <f t="shared" si="77"/>
        <v>11.25</v>
      </c>
    </row>
    <row r="206" spans="1:57" x14ac:dyDescent="0.6">
      <c r="A206" s="214" t="s">
        <v>871</v>
      </c>
      <c r="B206" s="13" t="s">
        <v>2186</v>
      </c>
      <c r="C206" s="219" t="s">
        <v>20</v>
      </c>
      <c r="D206" s="216" t="s">
        <v>285</v>
      </c>
      <c r="E206" s="217" t="s">
        <v>999</v>
      </c>
      <c r="F206" s="217" t="s">
        <v>1007</v>
      </c>
      <c r="G206" s="218">
        <v>38204</v>
      </c>
      <c r="H206" s="217" t="s">
        <v>830</v>
      </c>
      <c r="I206" s="217" t="s">
        <v>331</v>
      </c>
      <c r="J206" s="217" t="s">
        <v>1212</v>
      </c>
      <c r="K206" s="217" t="s">
        <v>690</v>
      </c>
      <c r="L206" s="220">
        <v>475552210</v>
      </c>
      <c r="M206" s="206">
        <v>243500167</v>
      </c>
      <c r="N206" s="206">
        <v>232052043</v>
      </c>
      <c r="O206" s="206">
        <v>729811429</v>
      </c>
      <c r="P206" s="206">
        <v>47569618</v>
      </c>
      <c r="Q206" s="206">
        <v>37906414</v>
      </c>
      <c r="R206" s="206">
        <v>29707608</v>
      </c>
      <c r="S206" s="406">
        <v>0</v>
      </c>
      <c r="T206" s="428">
        <f t="shared" si="66"/>
        <v>50</v>
      </c>
      <c r="U206" s="415">
        <f t="shared" si="67"/>
        <v>0.5</v>
      </c>
      <c r="V206" s="405">
        <v>0</v>
      </c>
      <c r="W206" s="428">
        <f t="shared" si="68"/>
        <v>50</v>
      </c>
      <c r="X206" s="415">
        <f t="shared" si="69"/>
        <v>0.5</v>
      </c>
      <c r="Y206" s="406">
        <v>0</v>
      </c>
      <c r="Z206" s="429">
        <v>0</v>
      </c>
      <c r="AA206" s="430">
        <f t="shared" si="70"/>
        <v>50</v>
      </c>
      <c r="AB206" s="415">
        <f t="shared" si="71"/>
        <v>0.5</v>
      </c>
      <c r="AC206" s="431">
        <v>0</v>
      </c>
      <c r="AD206" s="432">
        <f t="shared" si="72"/>
        <v>100</v>
      </c>
      <c r="AE206" s="433">
        <f t="shared" si="78"/>
        <v>4</v>
      </c>
      <c r="AF206" s="434" t="s">
        <v>2326</v>
      </c>
      <c r="AG206" s="434" t="s">
        <v>2326</v>
      </c>
      <c r="AH206" s="434" t="s">
        <v>2326</v>
      </c>
      <c r="AI206" s="362"/>
      <c r="AJ206" s="434" t="s">
        <v>2326</v>
      </c>
      <c r="AK206" s="434" t="s">
        <v>2326</v>
      </c>
      <c r="AL206" s="363"/>
      <c r="AM206" s="406">
        <v>0</v>
      </c>
      <c r="AN206" s="406">
        <v>0</v>
      </c>
      <c r="AO206" s="406">
        <v>0</v>
      </c>
      <c r="AP206" s="406">
        <v>0</v>
      </c>
      <c r="AQ206" s="406">
        <v>0</v>
      </c>
      <c r="AR206" s="406">
        <v>0</v>
      </c>
      <c r="AS206" s="406">
        <v>0</v>
      </c>
      <c r="AT206" s="406">
        <v>0</v>
      </c>
      <c r="AU206" s="407">
        <f t="shared" si="73"/>
        <v>0</v>
      </c>
      <c r="AV206" s="407">
        <f t="shared" si="74"/>
        <v>100</v>
      </c>
      <c r="AW206" s="408">
        <f t="shared" si="79"/>
        <v>5</v>
      </c>
      <c r="AX206" s="406">
        <v>0</v>
      </c>
      <c r="AY206" s="406">
        <v>0</v>
      </c>
      <c r="AZ206" s="406">
        <v>0</v>
      </c>
      <c r="BA206" s="406">
        <v>0</v>
      </c>
      <c r="BB206" s="430">
        <f t="shared" si="75"/>
        <v>0</v>
      </c>
      <c r="BC206" s="407">
        <f t="shared" si="76"/>
        <v>25</v>
      </c>
      <c r="BD206" s="408">
        <f t="shared" si="80"/>
        <v>0.75</v>
      </c>
      <c r="BE206" s="340">
        <f t="shared" si="77"/>
        <v>11.25</v>
      </c>
    </row>
    <row r="207" spans="1:57" x14ac:dyDescent="0.6">
      <c r="A207" s="214" t="s">
        <v>560</v>
      </c>
      <c r="B207" s="13" t="s">
        <v>2187</v>
      </c>
      <c r="C207" s="219" t="s">
        <v>11</v>
      </c>
      <c r="D207" s="221" t="s">
        <v>350</v>
      </c>
      <c r="E207" s="217" t="s">
        <v>179</v>
      </c>
      <c r="F207" s="217" t="s">
        <v>992</v>
      </c>
      <c r="G207" s="218">
        <v>32163</v>
      </c>
      <c r="H207" s="217" t="s">
        <v>830</v>
      </c>
      <c r="I207" s="217" t="s">
        <v>786</v>
      </c>
      <c r="J207" s="217" t="s">
        <v>1211</v>
      </c>
      <c r="K207" s="217" t="s">
        <v>91</v>
      </c>
      <c r="L207" s="220">
        <v>12900025445</v>
      </c>
      <c r="M207" s="206">
        <v>11393545083</v>
      </c>
      <c r="N207" s="206">
        <v>1506480362</v>
      </c>
      <c r="O207" s="206">
        <v>2449590915</v>
      </c>
      <c r="P207" s="206">
        <v>49619816</v>
      </c>
      <c r="Q207" s="206">
        <v>61425265</v>
      </c>
      <c r="R207" s="206">
        <v>38657881</v>
      </c>
      <c r="S207" s="406">
        <v>0</v>
      </c>
      <c r="T207" s="428">
        <f t="shared" si="66"/>
        <v>50</v>
      </c>
      <c r="U207" s="415">
        <f t="shared" si="67"/>
        <v>0.5</v>
      </c>
      <c r="V207" s="405">
        <v>0</v>
      </c>
      <c r="W207" s="428">
        <f t="shared" si="68"/>
        <v>50</v>
      </c>
      <c r="X207" s="415">
        <f t="shared" si="69"/>
        <v>0.5</v>
      </c>
      <c r="Y207" s="406">
        <v>1</v>
      </c>
      <c r="Z207" s="429">
        <v>0</v>
      </c>
      <c r="AA207" s="430">
        <f t="shared" si="70"/>
        <v>100</v>
      </c>
      <c r="AB207" s="415">
        <f t="shared" si="71"/>
        <v>1</v>
      </c>
      <c r="AC207" s="75">
        <v>0</v>
      </c>
      <c r="AD207" s="432">
        <f t="shared" si="72"/>
        <v>100</v>
      </c>
      <c r="AE207" s="435">
        <f>AD207*0.03</f>
        <v>3</v>
      </c>
      <c r="AF207" s="436">
        <v>7</v>
      </c>
      <c r="AG207" s="437">
        <f>(_xlfn.PERCENTRANK.INC(AF:AF,AF207, 2))*100</f>
        <v>80</v>
      </c>
      <c r="AH207" s="437">
        <f>IF(AF207=0, 100, IF(AG207&lt;10, 80, IF(AG207&lt;50, 60, IF(AG207&lt;90, 40, 20))))</f>
        <v>40</v>
      </c>
      <c r="AI207" s="263">
        <f>AH207*0.03</f>
        <v>1.2</v>
      </c>
      <c r="AJ207" s="264" t="s">
        <v>3540</v>
      </c>
      <c r="AK207" s="265">
        <f>IF(AJ207="우수", 100, IF(AJ207="양호", 80, IF(AJ207="보통", 60, IF(AJ207= "평가미대상", 60, IF(AJ207="미흡", 40, IF(AJ207="취약", 20))))))</f>
        <v>60</v>
      </c>
      <c r="AL207" s="141">
        <f>AK207*0.03</f>
        <v>1.7999999999999998</v>
      </c>
      <c r="AM207" s="406">
        <v>0</v>
      </c>
      <c r="AN207" s="406">
        <v>0</v>
      </c>
      <c r="AO207" s="406">
        <v>0</v>
      </c>
      <c r="AP207" s="406">
        <v>0</v>
      </c>
      <c r="AQ207" s="406">
        <v>0</v>
      </c>
      <c r="AR207" s="406">
        <v>0</v>
      </c>
      <c r="AS207" s="406">
        <v>0</v>
      </c>
      <c r="AT207" s="406">
        <v>0</v>
      </c>
      <c r="AU207" s="407">
        <f t="shared" si="73"/>
        <v>0</v>
      </c>
      <c r="AV207" s="407">
        <f t="shared" si="74"/>
        <v>100</v>
      </c>
      <c r="AW207" s="438">
        <f>AV207*0.02</f>
        <v>2</v>
      </c>
      <c r="AX207" s="406">
        <v>0</v>
      </c>
      <c r="AY207" s="406">
        <v>0</v>
      </c>
      <c r="AZ207" s="406">
        <v>0</v>
      </c>
      <c r="BA207" s="406">
        <v>0</v>
      </c>
      <c r="BB207" s="430">
        <f t="shared" si="75"/>
        <v>0</v>
      </c>
      <c r="BC207" s="407">
        <f t="shared" si="76"/>
        <v>25</v>
      </c>
      <c r="BD207" s="418">
        <f>BC207*0.01</f>
        <v>0.25</v>
      </c>
      <c r="BE207" s="340">
        <f t="shared" si="77"/>
        <v>10.25</v>
      </c>
    </row>
    <row r="208" spans="1:57" x14ac:dyDescent="0.6">
      <c r="A208" s="214" t="s">
        <v>1776</v>
      </c>
      <c r="B208" s="13" t="s">
        <v>2188</v>
      </c>
      <c r="C208" s="219" t="s">
        <v>53</v>
      </c>
      <c r="D208" s="221" t="s">
        <v>350</v>
      </c>
      <c r="E208" s="217" t="s">
        <v>179</v>
      </c>
      <c r="F208" s="217" t="s">
        <v>620</v>
      </c>
      <c r="G208" s="218">
        <v>32013</v>
      </c>
      <c r="H208" s="217" t="s">
        <v>830</v>
      </c>
      <c r="I208" s="217" t="s">
        <v>631</v>
      </c>
      <c r="J208" s="217" t="s">
        <v>1123</v>
      </c>
      <c r="K208" s="217" t="s">
        <v>91</v>
      </c>
      <c r="L208" s="220">
        <v>7518981791</v>
      </c>
      <c r="M208" s="206">
        <v>6570247685</v>
      </c>
      <c r="N208" s="206">
        <v>948734106</v>
      </c>
      <c r="O208" s="206">
        <v>1456503449</v>
      </c>
      <c r="P208" s="206">
        <v>11313859</v>
      </c>
      <c r="Q208" s="206">
        <v>9393410</v>
      </c>
      <c r="R208" s="206">
        <v>3677466</v>
      </c>
      <c r="S208" s="406">
        <v>0</v>
      </c>
      <c r="T208" s="428">
        <f t="shared" si="66"/>
        <v>50</v>
      </c>
      <c r="U208" s="415">
        <f t="shared" si="67"/>
        <v>0.5</v>
      </c>
      <c r="V208" s="405">
        <v>0</v>
      </c>
      <c r="W208" s="428">
        <f t="shared" si="68"/>
        <v>50</v>
      </c>
      <c r="X208" s="415">
        <f t="shared" si="69"/>
        <v>0.5</v>
      </c>
      <c r="Y208" s="406">
        <v>0</v>
      </c>
      <c r="Z208" s="429">
        <v>0</v>
      </c>
      <c r="AA208" s="430">
        <f t="shared" si="70"/>
        <v>50</v>
      </c>
      <c r="AB208" s="415">
        <f t="shared" si="71"/>
        <v>0.5</v>
      </c>
      <c r="AC208" s="75">
        <v>0</v>
      </c>
      <c r="AD208" s="432">
        <f t="shared" si="72"/>
        <v>100</v>
      </c>
      <c r="AE208" s="435">
        <f>AD208*0.03</f>
        <v>3</v>
      </c>
      <c r="AF208" s="436">
        <v>0</v>
      </c>
      <c r="AG208" s="437">
        <f>(_xlfn.PERCENTRANK.INC(AF:AF,AF208, 2))*100</f>
        <v>0</v>
      </c>
      <c r="AH208" s="437">
        <f>IF(AF208=0, 100, IF(AG208&lt;10, 80, IF(AG208&lt;50, 60, IF(AG208&lt;90, 40, 20))))</f>
        <v>100</v>
      </c>
      <c r="AI208" s="263">
        <f>AH208*0.03</f>
        <v>3</v>
      </c>
      <c r="AJ208" s="264" t="s">
        <v>3540</v>
      </c>
      <c r="AK208" s="265">
        <f>IF(AJ208="우수", 100, IF(AJ208="양호", 80, IF(AJ208="보통", 60, IF(AJ208= "평가미대상", 60, IF(AJ208="미흡", 40, IF(AJ208="취약", 20))))))</f>
        <v>60</v>
      </c>
      <c r="AL208" s="141">
        <f>AK208*0.03</f>
        <v>1.7999999999999998</v>
      </c>
      <c r="AM208" s="406">
        <v>0</v>
      </c>
      <c r="AN208" s="406">
        <v>0</v>
      </c>
      <c r="AO208" s="406">
        <v>0</v>
      </c>
      <c r="AP208" s="406">
        <v>0</v>
      </c>
      <c r="AQ208" s="406">
        <v>0</v>
      </c>
      <c r="AR208" s="406">
        <v>0</v>
      </c>
      <c r="AS208" s="406">
        <v>0</v>
      </c>
      <c r="AT208" s="406">
        <v>0</v>
      </c>
      <c r="AU208" s="407">
        <f t="shared" si="73"/>
        <v>0</v>
      </c>
      <c r="AV208" s="407">
        <f t="shared" si="74"/>
        <v>100</v>
      </c>
      <c r="AW208" s="438">
        <f>AV208*0.02</f>
        <v>2</v>
      </c>
      <c r="AX208" s="406">
        <v>0</v>
      </c>
      <c r="AY208" s="406">
        <v>0</v>
      </c>
      <c r="AZ208" s="406">
        <v>0</v>
      </c>
      <c r="BA208" s="406">
        <v>0</v>
      </c>
      <c r="BB208" s="430">
        <f t="shared" si="75"/>
        <v>0</v>
      </c>
      <c r="BC208" s="407">
        <f t="shared" si="76"/>
        <v>25</v>
      </c>
      <c r="BD208" s="418">
        <f>BC208*0.01</f>
        <v>0.25</v>
      </c>
      <c r="BE208" s="340">
        <f t="shared" si="77"/>
        <v>11.55</v>
      </c>
    </row>
    <row r="209" spans="1:57" x14ac:dyDescent="0.6">
      <c r="A209" s="214" t="s">
        <v>405</v>
      </c>
      <c r="B209" s="13" t="s">
        <v>2189</v>
      </c>
      <c r="C209" s="219" t="s">
        <v>522</v>
      </c>
      <c r="D209" s="216" t="s">
        <v>191</v>
      </c>
      <c r="E209" s="217" t="s">
        <v>34</v>
      </c>
      <c r="F209" s="217" t="s">
        <v>116</v>
      </c>
      <c r="G209" s="218">
        <v>22951</v>
      </c>
      <c r="H209" s="217" t="s">
        <v>830</v>
      </c>
      <c r="I209" s="217" t="s">
        <v>258</v>
      </c>
      <c r="J209" s="217" t="s">
        <v>1114</v>
      </c>
      <c r="K209" s="217" t="s">
        <v>91</v>
      </c>
      <c r="L209" s="220">
        <v>2274482334</v>
      </c>
      <c r="M209" s="206">
        <v>333634565</v>
      </c>
      <c r="N209" s="206">
        <v>1940847769</v>
      </c>
      <c r="O209" s="206">
        <v>1726364617</v>
      </c>
      <c r="P209" s="206">
        <v>41119507</v>
      </c>
      <c r="Q209" s="206">
        <v>153965942</v>
      </c>
      <c r="R209" s="206">
        <v>130274124</v>
      </c>
      <c r="S209" s="406">
        <v>0</v>
      </c>
      <c r="T209" s="428">
        <f t="shared" si="66"/>
        <v>50</v>
      </c>
      <c r="U209" s="415">
        <f t="shared" si="67"/>
        <v>0.5</v>
      </c>
      <c r="V209" s="405">
        <v>0</v>
      </c>
      <c r="W209" s="428">
        <f t="shared" si="68"/>
        <v>50</v>
      </c>
      <c r="X209" s="415">
        <f t="shared" si="69"/>
        <v>0.5</v>
      </c>
      <c r="Y209" s="406">
        <v>0</v>
      </c>
      <c r="Z209" s="429">
        <v>0</v>
      </c>
      <c r="AA209" s="430">
        <f t="shared" si="70"/>
        <v>50</v>
      </c>
      <c r="AB209" s="415">
        <f t="shared" si="71"/>
        <v>0.5</v>
      </c>
      <c r="AC209" s="431">
        <v>0</v>
      </c>
      <c r="AD209" s="432">
        <f t="shared" si="72"/>
        <v>100</v>
      </c>
      <c r="AE209" s="433">
        <f t="shared" ref="AE209:AE225" si="81">AD209*0.04</f>
        <v>4</v>
      </c>
      <c r="AF209" s="434" t="s">
        <v>2326</v>
      </c>
      <c r="AG209" s="434" t="s">
        <v>2326</v>
      </c>
      <c r="AH209" s="434" t="s">
        <v>2326</v>
      </c>
      <c r="AI209" s="362"/>
      <c r="AJ209" s="434" t="s">
        <v>2326</v>
      </c>
      <c r="AK209" s="434" t="s">
        <v>2326</v>
      </c>
      <c r="AL209" s="363"/>
      <c r="AM209" s="406">
        <v>0</v>
      </c>
      <c r="AN209" s="406">
        <v>0</v>
      </c>
      <c r="AO209" s="406">
        <v>0</v>
      </c>
      <c r="AP209" s="406">
        <v>0</v>
      </c>
      <c r="AQ209" s="406">
        <v>0</v>
      </c>
      <c r="AR209" s="406">
        <v>0</v>
      </c>
      <c r="AS209" s="406">
        <v>0</v>
      </c>
      <c r="AT209" s="406">
        <v>0</v>
      </c>
      <c r="AU209" s="407">
        <f t="shared" si="73"/>
        <v>0</v>
      </c>
      <c r="AV209" s="407">
        <f t="shared" si="74"/>
        <v>100</v>
      </c>
      <c r="AW209" s="408">
        <f t="shared" ref="AW209:AW225" si="82">AV209*0.05</f>
        <v>5</v>
      </c>
      <c r="AX209" s="406">
        <v>0</v>
      </c>
      <c r="AY209" s="406">
        <v>0</v>
      </c>
      <c r="AZ209" s="406">
        <v>0</v>
      </c>
      <c r="BA209" s="406">
        <v>0</v>
      </c>
      <c r="BB209" s="430">
        <f t="shared" si="75"/>
        <v>0</v>
      </c>
      <c r="BC209" s="407">
        <f t="shared" si="76"/>
        <v>25</v>
      </c>
      <c r="BD209" s="408">
        <f t="shared" ref="BD209:BD225" si="83">BC209*0.03</f>
        <v>0.75</v>
      </c>
      <c r="BE209" s="340">
        <f t="shared" si="77"/>
        <v>11.25</v>
      </c>
    </row>
    <row r="210" spans="1:57" x14ac:dyDescent="0.6">
      <c r="A210" s="214" t="s">
        <v>942</v>
      </c>
      <c r="B210" s="13" t="s">
        <v>2190</v>
      </c>
      <c r="C210" s="219" t="s">
        <v>477</v>
      </c>
      <c r="D210" s="216" t="s">
        <v>203</v>
      </c>
      <c r="E210" s="217" t="s">
        <v>200</v>
      </c>
      <c r="F210" s="217" t="s">
        <v>654</v>
      </c>
      <c r="G210" s="218">
        <v>34929</v>
      </c>
      <c r="H210" s="217" t="s">
        <v>830</v>
      </c>
      <c r="I210" s="217" t="s">
        <v>997</v>
      </c>
      <c r="J210" s="217" t="s">
        <v>1074</v>
      </c>
      <c r="K210" s="217" t="s">
        <v>690</v>
      </c>
      <c r="L210" s="220">
        <v>337212432</v>
      </c>
      <c r="M210" s="206">
        <v>209999598</v>
      </c>
      <c r="N210" s="206">
        <v>127212835</v>
      </c>
      <c r="O210" s="206">
        <v>429618752</v>
      </c>
      <c r="P210" s="206">
        <v>13690371</v>
      </c>
      <c r="Q210" s="206">
        <v>5164140</v>
      </c>
      <c r="R210" s="206">
        <v>5720773</v>
      </c>
      <c r="S210" s="406">
        <v>0</v>
      </c>
      <c r="T210" s="428">
        <f t="shared" si="66"/>
        <v>50</v>
      </c>
      <c r="U210" s="415">
        <f t="shared" si="67"/>
        <v>0.5</v>
      </c>
      <c r="V210" s="405">
        <v>0</v>
      </c>
      <c r="W210" s="428">
        <f t="shared" si="68"/>
        <v>50</v>
      </c>
      <c r="X210" s="415">
        <f t="shared" si="69"/>
        <v>0.5</v>
      </c>
      <c r="Y210" s="406">
        <v>0</v>
      </c>
      <c r="Z210" s="429">
        <v>0</v>
      </c>
      <c r="AA210" s="430">
        <f t="shared" si="70"/>
        <v>50</v>
      </c>
      <c r="AB210" s="415">
        <f t="shared" si="71"/>
        <v>0.5</v>
      </c>
      <c r="AC210" s="431">
        <v>0</v>
      </c>
      <c r="AD210" s="432">
        <f t="shared" si="72"/>
        <v>100</v>
      </c>
      <c r="AE210" s="433">
        <f t="shared" si="81"/>
        <v>4</v>
      </c>
      <c r="AF210" s="434" t="s">
        <v>2326</v>
      </c>
      <c r="AG210" s="434" t="s">
        <v>2326</v>
      </c>
      <c r="AH210" s="434" t="s">
        <v>2326</v>
      </c>
      <c r="AI210" s="362"/>
      <c r="AJ210" s="434" t="s">
        <v>2326</v>
      </c>
      <c r="AK210" s="434" t="s">
        <v>2326</v>
      </c>
      <c r="AL210" s="363"/>
      <c r="AM210" s="406">
        <v>0</v>
      </c>
      <c r="AN210" s="406">
        <v>0</v>
      </c>
      <c r="AO210" s="406">
        <v>0</v>
      </c>
      <c r="AP210" s="406">
        <v>0</v>
      </c>
      <c r="AQ210" s="406">
        <v>0</v>
      </c>
      <c r="AR210" s="406">
        <v>0</v>
      </c>
      <c r="AS210" s="406">
        <v>0</v>
      </c>
      <c r="AT210" s="406">
        <v>0</v>
      </c>
      <c r="AU210" s="407">
        <f t="shared" si="73"/>
        <v>0</v>
      </c>
      <c r="AV210" s="407">
        <f t="shared" si="74"/>
        <v>100</v>
      </c>
      <c r="AW210" s="408">
        <f t="shared" si="82"/>
        <v>5</v>
      </c>
      <c r="AX210" s="406">
        <v>0</v>
      </c>
      <c r="AY210" s="406">
        <v>0</v>
      </c>
      <c r="AZ210" s="406">
        <v>0</v>
      </c>
      <c r="BA210" s="406">
        <v>0</v>
      </c>
      <c r="BB210" s="430">
        <f t="shared" si="75"/>
        <v>0</v>
      </c>
      <c r="BC210" s="407">
        <f t="shared" si="76"/>
        <v>25</v>
      </c>
      <c r="BD210" s="408">
        <f t="shared" si="83"/>
        <v>0.75</v>
      </c>
      <c r="BE210" s="340">
        <f t="shared" si="77"/>
        <v>11.25</v>
      </c>
    </row>
    <row r="211" spans="1:57" x14ac:dyDescent="0.6">
      <c r="A211" s="214" t="s">
        <v>820</v>
      </c>
      <c r="B211" s="13" t="s">
        <v>2191</v>
      </c>
      <c r="C211" s="219" t="s">
        <v>419</v>
      </c>
      <c r="D211" s="216" t="s">
        <v>285</v>
      </c>
      <c r="E211" s="217" t="s">
        <v>796</v>
      </c>
      <c r="F211" s="217" t="s">
        <v>1015</v>
      </c>
      <c r="G211" s="218">
        <v>42202</v>
      </c>
      <c r="H211" s="217" t="s">
        <v>830</v>
      </c>
      <c r="I211" s="217" t="s">
        <v>784</v>
      </c>
      <c r="J211" s="217" t="s">
        <v>1104</v>
      </c>
      <c r="K211" s="217" t="s">
        <v>91</v>
      </c>
      <c r="L211" s="220">
        <v>1090534674</v>
      </c>
      <c r="M211" s="206">
        <v>385964079</v>
      </c>
      <c r="N211" s="206">
        <v>704570595</v>
      </c>
      <c r="O211" s="206">
        <v>487630665</v>
      </c>
      <c r="P211" s="206">
        <v>26670913</v>
      </c>
      <c r="Q211" s="206">
        <v>152059469</v>
      </c>
      <c r="R211" s="206">
        <v>126398998</v>
      </c>
      <c r="S211" s="406">
        <v>0</v>
      </c>
      <c r="T211" s="428">
        <f t="shared" si="66"/>
        <v>50</v>
      </c>
      <c r="U211" s="415">
        <f t="shared" si="67"/>
        <v>0.5</v>
      </c>
      <c r="V211" s="405">
        <v>0</v>
      </c>
      <c r="W211" s="428">
        <f t="shared" si="68"/>
        <v>50</v>
      </c>
      <c r="X211" s="415">
        <f t="shared" si="69"/>
        <v>0.5</v>
      </c>
      <c r="Y211" s="406">
        <v>0</v>
      </c>
      <c r="Z211" s="429">
        <v>0</v>
      </c>
      <c r="AA211" s="430">
        <f t="shared" si="70"/>
        <v>50</v>
      </c>
      <c r="AB211" s="415">
        <f t="shared" si="71"/>
        <v>0.5</v>
      </c>
      <c r="AC211" s="431">
        <v>0</v>
      </c>
      <c r="AD211" s="432">
        <f t="shared" si="72"/>
        <v>100</v>
      </c>
      <c r="AE211" s="433">
        <f t="shared" si="81"/>
        <v>4</v>
      </c>
      <c r="AF211" s="434" t="s">
        <v>2326</v>
      </c>
      <c r="AG211" s="434" t="s">
        <v>2326</v>
      </c>
      <c r="AH211" s="434" t="s">
        <v>2326</v>
      </c>
      <c r="AI211" s="362"/>
      <c r="AJ211" s="434" t="s">
        <v>2326</v>
      </c>
      <c r="AK211" s="434" t="s">
        <v>2326</v>
      </c>
      <c r="AL211" s="363"/>
      <c r="AM211" s="406">
        <v>0</v>
      </c>
      <c r="AN211" s="406">
        <v>0</v>
      </c>
      <c r="AO211" s="406">
        <v>0</v>
      </c>
      <c r="AP211" s="406">
        <v>0</v>
      </c>
      <c r="AQ211" s="406">
        <v>0</v>
      </c>
      <c r="AR211" s="406">
        <v>0</v>
      </c>
      <c r="AS211" s="406">
        <v>0</v>
      </c>
      <c r="AT211" s="406">
        <v>0</v>
      </c>
      <c r="AU211" s="407">
        <f t="shared" si="73"/>
        <v>0</v>
      </c>
      <c r="AV211" s="407">
        <f t="shared" si="74"/>
        <v>100</v>
      </c>
      <c r="AW211" s="408">
        <f t="shared" si="82"/>
        <v>5</v>
      </c>
      <c r="AX211" s="406">
        <v>0</v>
      </c>
      <c r="AY211" s="406">
        <v>0</v>
      </c>
      <c r="AZ211" s="406">
        <v>0</v>
      </c>
      <c r="BA211" s="406">
        <v>0</v>
      </c>
      <c r="BB211" s="430">
        <f t="shared" si="75"/>
        <v>0</v>
      </c>
      <c r="BC211" s="407">
        <f t="shared" si="76"/>
        <v>25</v>
      </c>
      <c r="BD211" s="408">
        <f t="shared" si="83"/>
        <v>0.75</v>
      </c>
      <c r="BE211" s="340">
        <f t="shared" si="77"/>
        <v>11.25</v>
      </c>
    </row>
    <row r="212" spans="1:57" x14ac:dyDescent="0.6">
      <c r="A212" s="214" t="s">
        <v>831</v>
      </c>
      <c r="B212" s="13" t="s">
        <v>2192</v>
      </c>
      <c r="C212" s="219" t="s">
        <v>421</v>
      </c>
      <c r="D212" s="216" t="s">
        <v>285</v>
      </c>
      <c r="E212" s="217" t="s">
        <v>504</v>
      </c>
      <c r="F212" s="217" t="s">
        <v>879</v>
      </c>
      <c r="G212" s="218">
        <v>40704</v>
      </c>
      <c r="H212" s="217" t="s">
        <v>830</v>
      </c>
      <c r="I212" s="217" t="s">
        <v>778</v>
      </c>
      <c r="J212" s="217" t="s">
        <v>113</v>
      </c>
      <c r="K212" s="217" t="s">
        <v>91</v>
      </c>
      <c r="L212" s="220">
        <v>20129787392</v>
      </c>
      <c r="M212" s="206">
        <v>9708728742</v>
      </c>
      <c r="N212" s="206">
        <v>10421058650</v>
      </c>
      <c r="O212" s="206">
        <v>15486823899</v>
      </c>
      <c r="P212" s="206">
        <v>258855639</v>
      </c>
      <c r="Q212" s="206">
        <v>1381769677</v>
      </c>
      <c r="R212" s="206">
        <v>1050709937</v>
      </c>
      <c r="S212" s="406">
        <v>0</v>
      </c>
      <c r="T212" s="428">
        <f t="shared" si="66"/>
        <v>50</v>
      </c>
      <c r="U212" s="415">
        <f t="shared" si="67"/>
        <v>0.5</v>
      </c>
      <c r="V212" s="405">
        <v>0</v>
      </c>
      <c r="W212" s="428">
        <f t="shared" si="68"/>
        <v>50</v>
      </c>
      <c r="X212" s="415">
        <f t="shared" si="69"/>
        <v>0.5</v>
      </c>
      <c r="Y212" s="406">
        <v>1</v>
      </c>
      <c r="Z212" s="429">
        <v>0</v>
      </c>
      <c r="AA212" s="430">
        <f t="shared" si="70"/>
        <v>100</v>
      </c>
      <c r="AB212" s="415">
        <f t="shared" si="71"/>
        <v>1</v>
      </c>
      <c r="AC212" s="431">
        <v>10</v>
      </c>
      <c r="AD212" s="432">
        <f t="shared" si="72"/>
        <v>20</v>
      </c>
      <c r="AE212" s="433">
        <f t="shared" si="81"/>
        <v>0.8</v>
      </c>
      <c r="AF212" s="434" t="s">
        <v>2326</v>
      </c>
      <c r="AG212" s="434" t="s">
        <v>2326</v>
      </c>
      <c r="AH212" s="434" t="s">
        <v>2326</v>
      </c>
      <c r="AI212" s="362"/>
      <c r="AJ212" s="434" t="s">
        <v>2326</v>
      </c>
      <c r="AK212" s="434" t="s">
        <v>2326</v>
      </c>
      <c r="AL212" s="363"/>
      <c r="AM212" s="406">
        <v>0</v>
      </c>
      <c r="AN212" s="406">
        <v>0</v>
      </c>
      <c r="AO212" s="406">
        <v>0</v>
      </c>
      <c r="AP212" s="406">
        <v>0</v>
      </c>
      <c r="AQ212" s="406">
        <v>0</v>
      </c>
      <c r="AR212" s="406">
        <v>1</v>
      </c>
      <c r="AS212" s="406">
        <v>0</v>
      </c>
      <c r="AT212" s="406">
        <v>1</v>
      </c>
      <c r="AU212" s="407">
        <f t="shared" si="73"/>
        <v>2</v>
      </c>
      <c r="AV212" s="407">
        <f t="shared" si="74"/>
        <v>60</v>
      </c>
      <c r="AW212" s="408">
        <f t="shared" si="82"/>
        <v>3</v>
      </c>
      <c r="AX212" s="406">
        <v>0</v>
      </c>
      <c r="AY212" s="406">
        <v>0</v>
      </c>
      <c r="AZ212" s="406">
        <v>0</v>
      </c>
      <c r="BA212" s="406">
        <v>0</v>
      </c>
      <c r="BB212" s="430">
        <f t="shared" si="75"/>
        <v>0</v>
      </c>
      <c r="BC212" s="407">
        <f t="shared" si="76"/>
        <v>25</v>
      </c>
      <c r="BD212" s="408">
        <f t="shared" si="83"/>
        <v>0.75</v>
      </c>
      <c r="BE212" s="340">
        <f t="shared" si="77"/>
        <v>6.55</v>
      </c>
    </row>
    <row r="213" spans="1:57" x14ac:dyDescent="0.6">
      <c r="A213" s="214" t="s">
        <v>1777</v>
      </c>
      <c r="B213" s="13" t="s">
        <v>2193</v>
      </c>
      <c r="C213" s="219" t="s">
        <v>1778</v>
      </c>
      <c r="D213" s="14" t="s">
        <v>202</v>
      </c>
      <c r="E213" s="217" t="s">
        <v>205</v>
      </c>
      <c r="F213" s="217" t="s">
        <v>1779</v>
      </c>
      <c r="G213" s="218">
        <v>37901</v>
      </c>
      <c r="H213" s="217" t="s">
        <v>830</v>
      </c>
      <c r="I213" s="217" t="s">
        <v>1780</v>
      </c>
      <c r="J213" s="217" t="s">
        <v>1781</v>
      </c>
      <c r="K213" s="217" t="s">
        <v>308</v>
      </c>
      <c r="L213" s="220">
        <v>462207021</v>
      </c>
      <c r="M213" s="206">
        <v>210809722</v>
      </c>
      <c r="N213" s="206">
        <v>251397299</v>
      </c>
      <c r="O213" s="206">
        <v>497212502</v>
      </c>
      <c r="P213" s="206">
        <v>96368755</v>
      </c>
      <c r="Q213" s="206">
        <v>91241096</v>
      </c>
      <c r="R213" s="206">
        <v>85549247</v>
      </c>
      <c r="S213" s="406">
        <v>0</v>
      </c>
      <c r="T213" s="428">
        <f t="shared" si="66"/>
        <v>50</v>
      </c>
      <c r="U213" s="415">
        <f t="shared" si="67"/>
        <v>0.5</v>
      </c>
      <c r="V213" s="405">
        <v>0</v>
      </c>
      <c r="W213" s="428">
        <f t="shared" si="68"/>
        <v>50</v>
      </c>
      <c r="X213" s="415">
        <f t="shared" si="69"/>
        <v>0.5</v>
      </c>
      <c r="Y213" s="406">
        <v>0</v>
      </c>
      <c r="Z213" s="429">
        <v>0</v>
      </c>
      <c r="AA213" s="430">
        <f t="shared" si="70"/>
        <v>50</v>
      </c>
      <c r="AB213" s="415">
        <f t="shared" si="71"/>
        <v>0.5</v>
      </c>
      <c r="AC213" s="431">
        <v>0</v>
      </c>
      <c r="AD213" s="432">
        <f t="shared" si="72"/>
        <v>100</v>
      </c>
      <c r="AE213" s="433">
        <f t="shared" si="81"/>
        <v>4</v>
      </c>
      <c r="AF213" s="434" t="s">
        <v>2326</v>
      </c>
      <c r="AG213" s="434" t="s">
        <v>2326</v>
      </c>
      <c r="AH213" s="434" t="s">
        <v>2326</v>
      </c>
      <c r="AI213" s="362"/>
      <c r="AJ213" s="434" t="s">
        <v>2326</v>
      </c>
      <c r="AK213" s="434" t="s">
        <v>2326</v>
      </c>
      <c r="AL213" s="363"/>
      <c r="AM213" s="406">
        <v>0</v>
      </c>
      <c r="AN213" s="406">
        <v>0</v>
      </c>
      <c r="AO213" s="406">
        <v>0</v>
      </c>
      <c r="AP213" s="406">
        <v>0</v>
      </c>
      <c r="AQ213" s="406">
        <v>0</v>
      </c>
      <c r="AR213" s="406">
        <v>0</v>
      </c>
      <c r="AS213" s="406">
        <v>0</v>
      </c>
      <c r="AT213" s="406">
        <v>0</v>
      </c>
      <c r="AU213" s="407">
        <f t="shared" si="73"/>
        <v>0</v>
      </c>
      <c r="AV213" s="407">
        <f t="shared" si="74"/>
        <v>100</v>
      </c>
      <c r="AW213" s="408">
        <f t="shared" si="82"/>
        <v>5</v>
      </c>
      <c r="AX213" s="406">
        <v>0</v>
      </c>
      <c r="AY213" s="406">
        <v>0</v>
      </c>
      <c r="AZ213" s="406">
        <v>0</v>
      </c>
      <c r="BA213" s="406">
        <v>0</v>
      </c>
      <c r="BB213" s="430">
        <f t="shared" si="75"/>
        <v>0</v>
      </c>
      <c r="BC213" s="407">
        <f t="shared" si="76"/>
        <v>25</v>
      </c>
      <c r="BD213" s="408">
        <f t="shared" si="83"/>
        <v>0.75</v>
      </c>
      <c r="BE213" s="340">
        <f t="shared" si="77"/>
        <v>11.25</v>
      </c>
    </row>
    <row r="214" spans="1:57" x14ac:dyDescent="0.6">
      <c r="A214" s="214" t="s">
        <v>488</v>
      </c>
      <c r="B214" s="13" t="s">
        <v>2194</v>
      </c>
      <c r="C214" s="219" t="s">
        <v>495</v>
      </c>
      <c r="D214" s="216" t="s">
        <v>191</v>
      </c>
      <c r="E214" s="217" t="s">
        <v>34</v>
      </c>
      <c r="F214" s="217" t="s">
        <v>234</v>
      </c>
      <c r="G214" s="218">
        <v>40339</v>
      </c>
      <c r="H214" s="217" t="s">
        <v>830</v>
      </c>
      <c r="I214" s="217" t="s">
        <v>959</v>
      </c>
      <c r="J214" s="217" t="s">
        <v>1070</v>
      </c>
      <c r="K214" s="217" t="s">
        <v>91</v>
      </c>
      <c r="L214" s="220">
        <v>479981348</v>
      </c>
      <c r="M214" s="206">
        <v>232687116</v>
      </c>
      <c r="N214" s="206">
        <v>247294232</v>
      </c>
      <c r="O214" s="206">
        <v>154038839</v>
      </c>
      <c r="P214" s="206">
        <v>5567015</v>
      </c>
      <c r="Q214" s="206">
        <v>5998079</v>
      </c>
      <c r="R214" s="206">
        <v>7325400</v>
      </c>
      <c r="S214" s="406">
        <v>0</v>
      </c>
      <c r="T214" s="428">
        <f t="shared" si="66"/>
        <v>50</v>
      </c>
      <c r="U214" s="415">
        <f t="shared" si="67"/>
        <v>0.5</v>
      </c>
      <c r="V214" s="405">
        <v>0</v>
      </c>
      <c r="W214" s="428">
        <f t="shared" si="68"/>
        <v>50</v>
      </c>
      <c r="X214" s="415">
        <f t="shared" si="69"/>
        <v>0.5</v>
      </c>
      <c r="Y214" s="406">
        <v>0</v>
      </c>
      <c r="Z214" s="429">
        <v>0</v>
      </c>
      <c r="AA214" s="430">
        <f t="shared" si="70"/>
        <v>50</v>
      </c>
      <c r="AB214" s="415">
        <f t="shared" si="71"/>
        <v>0.5</v>
      </c>
      <c r="AC214" s="431">
        <v>0</v>
      </c>
      <c r="AD214" s="432">
        <f t="shared" si="72"/>
        <v>100</v>
      </c>
      <c r="AE214" s="433">
        <f t="shared" si="81"/>
        <v>4</v>
      </c>
      <c r="AF214" s="434" t="s">
        <v>2326</v>
      </c>
      <c r="AG214" s="434" t="s">
        <v>2326</v>
      </c>
      <c r="AH214" s="434" t="s">
        <v>2326</v>
      </c>
      <c r="AI214" s="362"/>
      <c r="AJ214" s="434" t="s">
        <v>2326</v>
      </c>
      <c r="AK214" s="434" t="s">
        <v>2326</v>
      </c>
      <c r="AL214" s="363"/>
      <c r="AM214" s="406">
        <v>0</v>
      </c>
      <c r="AN214" s="406">
        <v>0</v>
      </c>
      <c r="AO214" s="406">
        <v>0</v>
      </c>
      <c r="AP214" s="406">
        <v>0</v>
      </c>
      <c r="AQ214" s="406">
        <v>0</v>
      </c>
      <c r="AR214" s="406">
        <v>0</v>
      </c>
      <c r="AS214" s="406">
        <v>0</v>
      </c>
      <c r="AT214" s="406">
        <v>0</v>
      </c>
      <c r="AU214" s="407">
        <f t="shared" si="73"/>
        <v>0</v>
      </c>
      <c r="AV214" s="407">
        <f t="shared" si="74"/>
        <v>100</v>
      </c>
      <c r="AW214" s="408">
        <f t="shared" si="82"/>
        <v>5</v>
      </c>
      <c r="AX214" s="406">
        <v>0</v>
      </c>
      <c r="AY214" s="406">
        <v>0</v>
      </c>
      <c r="AZ214" s="406">
        <v>0</v>
      </c>
      <c r="BA214" s="406">
        <v>0</v>
      </c>
      <c r="BB214" s="430">
        <f t="shared" si="75"/>
        <v>0</v>
      </c>
      <c r="BC214" s="407">
        <f t="shared" si="76"/>
        <v>25</v>
      </c>
      <c r="BD214" s="408">
        <f t="shared" si="83"/>
        <v>0.75</v>
      </c>
      <c r="BE214" s="340">
        <f t="shared" si="77"/>
        <v>11.25</v>
      </c>
    </row>
    <row r="215" spans="1:57" x14ac:dyDescent="0.6">
      <c r="A215" s="214" t="s">
        <v>854</v>
      </c>
      <c r="B215" s="13" t="s">
        <v>2195</v>
      </c>
      <c r="C215" s="219" t="s">
        <v>324</v>
      </c>
      <c r="D215" s="216" t="s">
        <v>285</v>
      </c>
      <c r="E215" s="217" t="s">
        <v>978</v>
      </c>
      <c r="F215" s="217" t="s">
        <v>628</v>
      </c>
      <c r="G215" s="218">
        <v>39028</v>
      </c>
      <c r="H215" s="217" t="s">
        <v>830</v>
      </c>
      <c r="I215" s="217" t="s">
        <v>1782</v>
      </c>
      <c r="J215" s="217" t="s">
        <v>1073</v>
      </c>
      <c r="K215" s="217" t="s">
        <v>346</v>
      </c>
      <c r="L215" s="220">
        <v>425143163</v>
      </c>
      <c r="M215" s="206">
        <v>223549583</v>
      </c>
      <c r="N215" s="206">
        <v>201593580</v>
      </c>
      <c r="O215" s="206">
        <v>728356330</v>
      </c>
      <c r="P215" s="206">
        <v>8460657</v>
      </c>
      <c r="Q215" s="206">
        <v>15047784</v>
      </c>
      <c r="R215" s="206">
        <v>11942346</v>
      </c>
      <c r="S215" s="406">
        <v>0</v>
      </c>
      <c r="T215" s="428">
        <f t="shared" si="66"/>
        <v>50</v>
      </c>
      <c r="U215" s="415">
        <f t="shared" si="67"/>
        <v>0.5</v>
      </c>
      <c r="V215" s="405">
        <v>0</v>
      </c>
      <c r="W215" s="428">
        <f t="shared" si="68"/>
        <v>50</v>
      </c>
      <c r="X215" s="415">
        <f t="shared" si="69"/>
        <v>0.5</v>
      </c>
      <c r="Y215" s="406">
        <v>0</v>
      </c>
      <c r="Z215" s="429">
        <v>0</v>
      </c>
      <c r="AA215" s="430">
        <f t="shared" si="70"/>
        <v>50</v>
      </c>
      <c r="AB215" s="415">
        <f t="shared" si="71"/>
        <v>0.5</v>
      </c>
      <c r="AC215" s="431">
        <v>0</v>
      </c>
      <c r="AD215" s="432">
        <f t="shared" si="72"/>
        <v>100</v>
      </c>
      <c r="AE215" s="433">
        <f t="shared" si="81"/>
        <v>4</v>
      </c>
      <c r="AF215" s="434" t="s">
        <v>2326</v>
      </c>
      <c r="AG215" s="434" t="s">
        <v>2326</v>
      </c>
      <c r="AH215" s="434" t="s">
        <v>2326</v>
      </c>
      <c r="AI215" s="362"/>
      <c r="AJ215" s="434" t="s">
        <v>2326</v>
      </c>
      <c r="AK215" s="434" t="s">
        <v>2326</v>
      </c>
      <c r="AL215" s="363"/>
      <c r="AM215" s="406">
        <v>0</v>
      </c>
      <c r="AN215" s="406">
        <v>0</v>
      </c>
      <c r="AO215" s="406">
        <v>0</v>
      </c>
      <c r="AP215" s="406">
        <v>0</v>
      </c>
      <c r="AQ215" s="406">
        <v>0</v>
      </c>
      <c r="AR215" s="406">
        <v>0</v>
      </c>
      <c r="AS215" s="406">
        <v>0</v>
      </c>
      <c r="AT215" s="406">
        <v>0</v>
      </c>
      <c r="AU215" s="407">
        <f t="shared" si="73"/>
        <v>0</v>
      </c>
      <c r="AV215" s="407">
        <f t="shared" si="74"/>
        <v>100</v>
      </c>
      <c r="AW215" s="408">
        <f t="shared" si="82"/>
        <v>5</v>
      </c>
      <c r="AX215" s="406">
        <v>0</v>
      </c>
      <c r="AY215" s="406">
        <v>0</v>
      </c>
      <c r="AZ215" s="406">
        <v>0</v>
      </c>
      <c r="BA215" s="406">
        <v>0</v>
      </c>
      <c r="BB215" s="430">
        <f t="shared" si="75"/>
        <v>0</v>
      </c>
      <c r="BC215" s="407">
        <f t="shared" si="76"/>
        <v>25</v>
      </c>
      <c r="BD215" s="408">
        <f t="shared" si="83"/>
        <v>0.75</v>
      </c>
      <c r="BE215" s="340">
        <f t="shared" si="77"/>
        <v>11.25</v>
      </c>
    </row>
    <row r="216" spans="1:57" x14ac:dyDescent="0.6">
      <c r="A216" s="214" t="s">
        <v>1783</v>
      </c>
      <c r="B216" s="13" t="s">
        <v>2196</v>
      </c>
      <c r="C216" s="219" t="s">
        <v>1784</v>
      </c>
      <c r="D216" s="14" t="s">
        <v>285</v>
      </c>
      <c r="E216" s="217" t="s">
        <v>1432</v>
      </c>
      <c r="F216" s="217" t="s">
        <v>1785</v>
      </c>
      <c r="G216" s="218">
        <v>40893</v>
      </c>
      <c r="H216" s="217" t="s">
        <v>830</v>
      </c>
      <c r="I216" s="217" t="s">
        <v>1786</v>
      </c>
      <c r="J216" s="217" t="s">
        <v>1787</v>
      </c>
      <c r="K216" s="217" t="s">
        <v>484</v>
      </c>
      <c r="L216" s="220">
        <v>385856608</v>
      </c>
      <c r="M216" s="206">
        <v>158877086</v>
      </c>
      <c r="N216" s="206">
        <v>226979522</v>
      </c>
      <c r="O216" s="206">
        <v>667448084</v>
      </c>
      <c r="P216" s="206">
        <v>26380166</v>
      </c>
      <c r="Q216" s="206">
        <v>27563574</v>
      </c>
      <c r="R216" s="206">
        <v>25353259</v>
      </c>
      <c r="S216" s="406">
        <v>0</v>
      </c>
      <c r="T216" s="428">
        <f t="shared" si="66"/>
        <v>50</v>
      </c>
      <c r="U216" s="415">
        <f t="shared" si="67"/>
        <v>0.5</v>
      </c>
      <c r="V216" s="405">
        <v>0</v>
      </c>
      <c r="W216" s="428">
        <f t="shared" si="68"/>
        <v>50</v>
      </c>
      <c r="X216" s="415">
        <f t="shared" si="69"/>
        <v>0.5</v>
      </c>
      <c r="Y216" s="406">
        <v>0</v>
      </c>
      <c r="Z216" s="429">
        <v>0</v>
      </c>
      <c r="AA216" s="430">
        <f t="shared" si="70"/>
        <v>50</v>
      </c>
      <c r="AB216" s="415">
        <f t="shared" si="71"/>
        <v>0.5</v>
      </c>
      <c r="AC216" s="431">
        <v>0</v>
      </c>
      <c r="AD216" s="432">
        <f t="shared" si="72"/>
        <v>100</v>
      </c>
      <c r="AE216" s="433">
        <f t="shared" si="81"/>
        <v>4</v>
      </c>
      <c r="AF216" s="434" t="s">
        <v>2326</v>
      </c>
      <c r="AG216" s="434" t="s">
        <v>2326</v>
      </c>
      <c r="AH216" s="434" t="s">
        <v>2326</v>
      </c>
      <c r="AI216" s="362"/>
      <c r="AJ216" s="434" t="s">
        <v>2326</v>
      </c>
      <c r="AK216" s="434" t="s">
        <v>2326</v>
      </c>
      <c r="AL216" s="363"/>
      <c r="AM216" s="406">
        <v>0</v>
      </c>
      <c r="AN216" s="406">
        <v>0</v>
      </c>
      <c r="AO216" s="406">
        <v>0</v>
      </c>
      <c r="AP216" s="406">
        <v>0</v>
      </c>
      <c r="AQ216" s="406">
        <v>0</v>
      </c>
      <c r="AR216" s="406">
        <v>0</v>
      </c>
      <c r="AS216" s="406">
        <v>0</v>
      </c>
      <c r="AT216" s="406">
        <v>0</v>
      </c>
      <c r="AU216" s="407">
        <f t="shared" si="73"/>
        <v>0</v>
      </c>
      <c r="AV216" s="407">
        <f t="shared" si="74"/>
        <v>100</v>
      </c>
      <c r="AW216" s="408">
        <f t="shared" si="82"/>
        <v>5</v>
      </c>
      <c r="AX216" s="406">
        <v>0</v>
      </c>
      <c r="AY216" s="406">
        <v>0</v>
      </c>
      <c r="AZ216" s="406">
        <v>0</v>
      </c>
      <c r="BA216" s="406">
        <v>0</v>
      </c>
      <c r="BB216" s="430">
        <f t="shared" si="75"/>
        <v>0</v>
      </c>
      <c r="BC216" s="407">
        <f t="shared" si="76"/>
        <v>25</v>
      </c>
      <c r="BD216" s="408">
        <f t="shared" si="83"/>
        <v>0.75</v>
      </c>
      <c r="BE216" s="340">
        <f t="shared" si="77"/>
        <v>11.25</v>
      </c>
    </row>
    <row r="217" spans="1:57" x14ac:dyDescent="0.6">
      <c r="A217" s="214" t="s">
        <v>1788</v>
      </c>
      <c r="B217" s="13" t="s">
        <v>2197</v>
      </c>
      <c r="C217" s="219" t="s">
        <v>1789</v>
      </c>
      <c r="D217" s="14" t="s">
        <v>202</v>
      </c>
      <c r="E217" s="217" t="s">
        <v>954</v>
      </c>
      <c r="F217" s="217" t="s">
        <v>1790</v>
      </c>
      <c r="G217" s="218">
        <v>38251</v>
      </c>
      <c r="H217" s="217" t="s">
        <v>830</v>
      </c>
      <c r="I217" s="217" t="s">
        <v>1791</v>
      </c>
      <c r="J217" s="217" t="s">
        <v>1792</v>
      </c>
      <c r="K217" s="217" t="s">
        <v>91</v>
      </c>
      <c r="L217" s="220">
        <v>233019596</v>
      </c>
      <c r="M217" s="206">
        <v>132560660</v>
      </c>
      <c r="N217" s="206">
        <v>100458936</v>
      </c>
      <c r="O217" s="206">
        <v>236142858</v>
      </c>
      <c r="P217" s="206">
        <v>7431623</v>
      </c>
      <c r="Q217" s="206">
        <v>7265559</v>
      </c>
      <c r="R217" s="206">
        <v>6211434</v>
      </c>
      <c r="S217" s="406">
        <v>0</v>
      </c>
      <c r="T217" s="428">
        <f t="shared" si="66"/>
        <v>50</v>
      </c>
      <c r="U217" s="415">
        <f t="shared" si="67"/>
        <v>0.5</v>
      </c>
      <c r="V217" s="405">
        <v>0</v>
      </c>
      <c r="W217" s="428">
        <f t="shared" si="68"/>
        <v>50</v>
      </c>
      <c r="X217" s="415">
        <f t="shared" si="69"/>
        <v>0.5</v>
      </c>
      <c r="Y217" s="406">
        <v>0</v>
      </c>
      <c r="Z217" s="429">
        <v>0</v>
      </c>
      <c r="AA217" s="430">
        <f t="shared" si="70"/>
        <v>50</v>
      </c>
      <c r="AB217" s="415">
        <f t="shared" si="71"/>
        <v>0.5</v>
      </c>
      <c r="AC217" s="431">
        <v>0</v>
      </c>
      <c r="AD217" s="432">
        <f t="shared" si="72"/>
        <v>100</v>
      </c>
      <c r="AE217" s="433">
        <f t="shared" si="81"/>
        <v>4</v>
      </c>
      <c r="AF217" s="434" t="s">
        <v>2326</v>
      </c>
      <c r="AG217" s="434" t="s">
        <v>2326</v>
      </c>
      <c r="AH217" s="434" t="s">
        <v>2326</v>
      </c>
      <c r="AI217" s="362"/>
      <c r="AJ217" s="434" t="s">
        <v>2326</v>
      </c>
      <c r="AK217" s="434" t="s">
        <v>2326</v>
      </c>
      <c r="AL217" s="363"/>
      <c r="AM217" s="406">
        <v>0</v>
      </c>
      <c r="AN217" s="406">
        <v>0</v>
      </c>
      <c r="AO217" s="406">
        <v>0</v>
      </c>
      <c r="AP217" s="406">
        <v>0</v>
      </c>
      <c r="AQ217" s="406">
        <v>0</v>
      </c>
      <c r="AR217" s="406">
        <v>0</v>
      </c>
      <c r="AS217" s="406">
        <v>0</v>
      </c>
      <c r="AT217" s="406">
        <v>0</v>
      </c>
      <c r="AU217" s="407">
        <f t="shared" si="73"/>
        <v>0</v>
      </c>
      <c r="AV217" s="407">
        <f t="shared" si="74"/>
        <v>100</v>
      </c>
      <c r="AW217" s="408">
        <f t="shared" si="82"/>
        <v>5</v>
      </c>
      <c r="AX217" s="406">
        <v>0</v>
      </c>
      <c r="AY217" s="406">
        <v>0</v>
      </c>
      <c r="AZ217" s="406">
        <v>0</v>
      </c>
      <c r="BA217" s="406">
        <v>0</v>
      </c>
      <c r="BB217" s="430">
        <f t="shared" si="75"/>
        <v>0</v>
      </c>
      <c r="BC217" s="407">
        <f t="shared" si="76"/>
        <v>25</v>
      </c>
      <c r="BD217" s="408">
        <f t="shared" si="83"/>
        <v>0.75</v>
      </c>
      <c r="BE217" s="340">
        <f t="shared" si="77"/>
        <v>11.25</v>
      </c>
    </row>
    <row r="218" spans="1:57" x14ac:dyDescent="0.6">
      <c r="A218" s="214" t="s">
        <v>412</v>
      </c>
      <c r="B218" s="13" t="s">
        <v>2198</v>
      </c>
      <c r="C218" s="219" t="s">
        <v>310</v>
      </c>
      <c r="D218" s="216" t="s">
        <v>285</v>
      </c>
      <c r="E218" s="217" t="s">
        <v>867</v>
      </c>
      <c r="F218" s="217" t="s">
        <v>573</v>
      </c>
      <c r="G218" s="218">
        <v>32844</v>
      </c>
      <c r="H218" s="217" t="s">
        <v>830</v>
      </c>
      <c r="I218" s="217" t="s">
        <v>785</v>
      </c>
      <c r="J218" s="217" t="s">
        <v>656</v>
      </c>
      <c r="K218" s="217" t="s">
        <v>346</v>
      </c>
      <c r="L218" s="220">
        <v>409776787</v>
      </c>
      <c r="M218" s="206">
        <v>290957356</v>
      </c>
      <c r="N218" s="206">
        <v>118819431</v>
      </c>
      <c r="O218" s="206">
        <v>462562008</v>
      </c>
      <c r="P218" s="206">
        <v>3161189</v>
      </c>
      <c r="Q218" s="206">
        <v>2974624</v>
      </c>
      <c r="R218" s="206">
        <v>6061078</v>
      </c>
      <c r="S218" s="406">
        <v>0</v>
      </c>
      <c r="T218" s="428">
        <f t="shared" si="66"/>
        <v>50</v>
      </c>
      <c r="U218" s="415">
        <f t="shared" si="67"/>
        <v>0.5</v>
      </c>
      <c r="V218" s="405">
        <v>0</v>
      </c>
      <c r="W218" s="428">
        <f t="shared" si="68"/>
        <v>50</v>
      </c>
      <c r="X218" s="415">
        <f t="shared" si="69"/>
        <v>0.5</v>
      </c>
      <c r="Y218" s="406">
        <v>0</v>
      </c>
      <c r="Z218" s="429">
        <v>0</v>
      </c>
      <c r="AA218" s="430">
        <f t="shared" si="70"/>
        <v>50</v>
      </c>
      <c r="AB218" s="415">
        <f t="shared" si="71"/>
        <v>0.5</v>
      </c>
      <c r="AC218" s="431">
        <v>0</v>
      </c>
      <c r="AD218" s="432">
        <f t="shared" si="72"/>
        <v>100</v>
      </c>
      <c r="AE218" s="433">
        <f t="shared" si="81"/>
        <v>4</v>
      </c>
      <c r="AF218" s="434" t="s">
        <v>2326</v>
      </c>
      <c r="AG218" s="434" t="s">
        <v>2326</v>
      </c>
      <c r="AH218" s="434" t="s">
        <v>2326</v>
      </c>
      <c r="AI218" s="362"/>
      <c r="AJ218" s="434" t="s">
        <v>2326</v>
      </c>
      <c r="AK218" s="434" t="s">
        <v>2326</v>
      </c>
      <c r="AL218" s="363"/>
      <c r="AM218" s="406">
        <v>0</v>
      </c>
      <c r="AN218" s="406">
        <v>0</v>
      </c>
      <c r="AO218" s="406">
        <v>0</v>
      </c>
      <c r="AP218" s="406">
        <v>0</v>
      </c>
      <c r="AQ218" s="406">
        <v>0</v>
      </c>
      <c r="AR218" s="406">
        <v>0</v>
      </c>
      <c r="AS218" s="406">
        <v>0</v>
      </c>
      <c r="AT218" s="406">
        <v>0</v>
      </c>
      <c r="AU218" s="407">
        <f t="shared" si="73"/>
        <v>0</v>
      </c>
      <c r="AV218" s="407">
        <f t="shared" si="74"/>
        <v>100</v>
      </c>
      <c r="AW218" s="408">
        <f t="shared" si="82"/>
        <v>5</v>
      </c>
      <c r="AX218" s="406">
        <v>0</v>
      </c>
      <c r="AY218" s="406">
        <v>0</v>
      </c>
      <c r="AZ218" s="406">
        <v>0</v>
      </c>
      <c r="BA218" s="406">
        <v>0</v>
      </c>
      <c r="BB218" s="430">
        <f t="shared" si="75"/>
        <v>0</v>
      </c>
      <c r="BC218" s="407">
        <f t="shared" si="76"/>
        <v>25</v>
      </c>
      <c r="BD218" s="408">
        <f t="shared" si="83"/>
        <v>0.75</v>
      </c>
      <c r="BE218" s="340">
        <f t="shared" si="77"/>
        <v>11.25</v>
      </c>
    </row>
    <row r="219" spans="1:57" x14ac:dyDescent="0.6">
      <c r="A219" s="214" t="s">
        <v>1793</v>
      </c>
      <c r="B219" s="13" t="s">
        <v>2199</v>
      </c>
      <c r="C219" s="219" t="s">
        <v>1794</v>
      </c>
      <c r="D219" s="14" t="s">
        <v>203</v>
      </c>
      <c r="E219" s="217" t="s">
        <v>1795</v>
      </c>
      <c r="F219" s="217" t="s">
        <v>1796</v>
      </c>
      <c r="G219" s="218">
        <v>31475</v>
      </c>
      <c r="H219" s="217" t="s">
        <v>830</v>
      </c>
      <c r="I219" s="217" t="s">
        <v>1797</v>
      </c>
      <c r="J219" s="217" t="s">
        <v>1798</v>
      </c>
      <c r="K219" s="217" t="s">
        <v>91</v>
      </c>
      <c r="L219" s="220">
        <v>116167864</v>
      </c>
      <c r="M219" s="206">
        <v>60940447</v>
      </c>
      <c r="N219" s="206">
        <v>55227417</v>
      </c>
      <c r="O219" s="206">
        <v>137670991</v>
      </c>
      <c r="P219" s="206">
        <v>3899804</v>
      </c>
      <c r="Q219" s="206">
        <v>2802032</v>
      </c>
      <c r="R219" s="206">
        <v>2347584</v>
      </c>
      <c r="S219" s="406">
        <v>0</v>
      </c>
      <c r="T219" s="428">
        <f t="shared" si="66"/>
        <v>50</v>
      </c>
      <c r="U219" s="415">
        <f t="shared" si="67"/>
        <v>0.5</v>
      </c>
      <c r="V219" s="405">
        <v>0</v>
      </c>
      <c r="W219" s="428">
        <f t="shared" si="68"/>
        <v>50</v>
      </c>
      <c r="X219" s="415">
        <f t="shared" si="69"/>
        <v>0.5</v>
      </c>
      <c r="Y219" s="406">
        <v>0</v>
      </c>
      <c r="Z219" s="429">
        <v>0</v>
      </c>
      <c r="AA219" s="430">
        <f t="shared" si="70"/>
        <v>50</v>
      </c>
      <c r="AB219" s="415">
        <f t="shared" si="71"/>
        <v>0.5</v>
      </c>
      <c r="AC219" s="431">
        <v>0</v>
      </c>
      <c r="AD219" s="432">
        <f t="shared" si="72"/>
        <v>100</v>
      </c>
      <c r="AE219" s="433">
        <f t="shared" si="81"/>
        <v>4</v>
      </c>
      <c r="AF219" s="434" t="s">
        <v>2326</v>
      </c>
      <c r="AG219" s="434" t="s">
        <v>2326</v>
      </c>
      <c r="AH219" s="434" t="s">
        <v>2326</v>
      </c>
      <c r="AI219" s="362"/>
      <c r="AJ219" s="434" t="s">
        <v>2326</v>
      </c>
      <c r="AK219" s="434" t="s">
        <v>2326</v>
      </c>
      <c r="AL219" s="363"/>
      <c r="AM219" s="406">
        <v>0</v>
      </c>
      <c r="AN219" s="406">
        <v>0</v>
      </c>
      <c r="AO219" s="406">
        <v>0</v>
      </c>
      <c r="AP219" s="406">
        <v>0</v>
      </c>
      <c r="AQ219" s="406">
        <v>0</v>
      </c>
      <c r="AR219" s="406">
        <v>0</v>
      </c>
      <c r="AS219" s="406">
        <v>0</v>
      </c>
      <c r="AT219" s="406">
        <v>0</v>
      </c>
      <c r="AU219" s="407">
        <f t="shared" si="73"/>
        <v>0</v>
      </c>
      <c r="AV219" s="407">
        <f t="shared" si="74"/>
        <v>100</v>
      </c>
      <c r="AW219" s="408">
        <f t="shared" si="82"/>
        <v>5</v>
      </c>
      <c r="AX219" s="406">
        <v>0</v>
      </c>
      <c r="AY219" s="406">
        <v>0</v>
      </c>
      <c r="AZ219" s="406">
        <v>0</v>
      </c>
      <c r="BA219" s="406">
        <v>0</v>
      </c>
      <c r="BB219" s="430">
        <f t="shared" si="75"/>
        <v>0</v>
      </c>
      <c r="BC219" s="407">
        <f t="shared" si="76"/>
        <v>25</v>
      </c>
      <c r="BD219" s="408">
        <f t="shared" si="83"/>
        <v>0.75</v>
      </c>
      <c r="BE219" s="340">
        <f t="shared" si="77"/>
        <v>11.25</v>
      </c>
    </row>
    <row r="220" spans="1:57" x14ac:dyDescent="0.6">
      <c r="A220" s="214" t="s">
        <v>508</v>
      </c>
      <c r="B220" s="13" t="s">
        <v>2200</v>
      </c>
      <c r="C220" s="219" t="s">
        <v>460</v>
      </c>
      <c r="D220" s="216" t="s">
        <v>191</v>
      </c>
      <c r="E220" s="217" t="s">
        <v>34</v>
      </c>
      <c r="F220" s="217" t="s">
        <v>134</v>
      </c>
      <c r="G220" s="218">
        <v>27269</v>
      </c>
      <c r="H220" s="217" t="s">
        <v>830</v>
      </c>
      <c r="I220" s="217" t="s">
        <v>1799</v>
      </c>
      <c r="J220" s="217" t="s">
        <v>1071</v>
      </c>
      <c r="K220" s="217" t="s">
        <v>690</v>
      </c>
      <c r="L220" s="220">
        <v>348763942</v>
      </c>
      <c r="M220" s="206">
        <v>159228662</v>
      </c>
      <c r="N220" s="206">
        <v>189535280</v>
      </c>
      <c r="O220" s="206">
        <v>235057199</v>
      </c>
      <c r="P220" s="206">
        <v>11763437</v>
      </c>
      <c r="Q220" s="206">
        <v>12291336</v>
      </c>
      <c r="R220" s="206">
        <v>9393997</v>
      </c>
      <c r="S220" s="406">
        <v>0</v>
      </c>
      <c r="T220" s="428">
        <f t="shared" si="66"/>
        <v>50</v>
      </c>
      <c r="U220" s="415">
        <f t="shared" si="67"/>
        <v>0.5</v>
      </c>
      <c r="V220" s="405">
        <v>0</v>
      </c>
      <c r="W220" s="428">
        <f t="shared" si="68"/>
        <v>50</v>
      </c>
      <c r="X220" s="415">
        <f t="shared" si="69"/>
        <v>0.5</v>
      </c>
      <c r="Y220" s="406">
        <v>0</v>
      </c>
      <c r="Z220" s="429">
        <v>0</v>
      </c>
      <c r="AA220" s="430">
        <f t="shared" si="70"/>
        <v>50</v>
      </c>
      <c r="AB220" s="415">
        <f t="shared" si="71"/>
        <v>0.5</v>
      </c>
      <c r="AC220" s="431">
        <v>1</v>
      </c>
      <c r="AD220" s="432">
        <f t="shared" si="72"/>
        <v>80</v>
      </c>
      <c r="AE220" s="433">
        <f t="shared" si="81"/>
        <v>3.2</v>
      </c>
      <c r="AF220" s="434" t="s">
        <v>2326</v>
      </c>
      <c r="AG220" s="434" t="s">
        <v>2326</v>
      </c>
      <c r="AH220" s="434" t="s">
        <v>2326</v>
      </c>
      <c r="AI220" s="362"/>
      <c r="AJ220" s="434" t="s">
        <v>2326</v>
      </c>
      <c r="AK220" s="434" t="s">
        <v>2326</v>
      </c>
      <c r="AL220" s="363"/>
      <c r="AM220" s="406">
        <v>0</v>
      </c>
      <c r="AN220" s="406">
        <v>0</v>
      </c>
      <c r="AO220" s="406">
        <v>0</v>
      </c>
      <c r="AP220" s="406">
        <v>0</v>
      </c>
      <c r="AQ220" s="406">
        <v>0</v>
      </c>
      <c r="AR220" s="406">
        <v>0</v>
      </c>
      <c r="AS220" s="406">
        <v>0</v>
      </c>
      <c r="AT220" s="406">
        <v>0</v>
      </c>
      <c r="AU220" s="407">
        <f t="shared" si="73"/>
        <v>0</v>
      </c>
      <c r="AV220" s="407">
        <f t="shared" si="74"/>
        <v>100</v>
      </c>
      <c r="AW220" s="408">
        <f t="shared" si="82"/>
        <v>5</v>
      </c>
      <c r="AX220" s="406">
        <v>0</v>
      </c>
      <c r="AY220" s="406">
        <v>0</v>
      </c>
      <c r="AZ220" s="406">
        <v>0</v>
      </c>
      <c r="BA220" s="406">
        <v>0</v>
      </c>
      <c r="BB220" s="430">
        <f t="shared" si="75"/>
        <v>0</v>
      </c>
      <c r="BC220" s="407">
        <f t="shared" si="76"/>
        <v>25</v>
      </c>
      <c r="BD220" s="408">
        <f t="shared" si="83"/>
        <v>0.75</v>
      </c>
      <c r="BE220" s="340">
        <f t="shared" si="77"/>
        <v>10.45</v>
      </c>
    </row>
    <row r="221" spans="1:57" x14ac:dyDescent="0.6">
      <c r="A221" s="214" t="s">
        <v>362</v>
      </c>
      <c r="B221" s="13" t="s">
        <v>2201</v>
      </c>
      <c r="C221" s="219" t="s">
        <v>490</v>
      </c>
      <c r="D221" s="216" t="s">
        <v>202</v>
      </c>
      <c r="E221" s="217" t="s">
        <v>613</v>
      </c>
      <c r="F221" s="217">
        <v>0</v>
      </c>
      <c r="G221" s="218">
        <v>39661</v>
      </c>
      <c r="H221" s="217" t="s">
        <v>830</v>
      </c>
      <c r="I221" s="217" t="s">
        <v>214</v>
      </c>
      <c r="J221" s="1" t="s">
        <v>2307</v>
      </c>
      <c r="K221" s="217" t="s">
        <v>690</v>
      </c>
      <c r="L221" s="220">
        <v>818333453</v>
      </c>
      <c r="M221" s="206">
        <v>480040681</v>
      </c>
      <c r="N221" s="206">
        <v>338292772</v>
      </c>
      <c r="O221" s="206">
        <v>1132474477</v>
      </c>
      <c r="P221" s="206">
        <v>29176389</v>
      </c>
      <c r="Q221" s="206">
        <v>25221767</v>
      </c>
      <c r="R221" s="206">
        <v>22259261</v>
      </c>
      <c r="S221" s="406">
        <v>0</v>
      </c>
      <c r="T221" s="428">
        <f t="shared" si="66"/>
        <v>50</v>
      </c>
      <c r="U221" s="415">
        <f t="shared" si="67"/>
        <v>0.5</v>
      </c>
      <c r="V221" s="405">
        <v>0</v>
      </c>
      <c r="W221" s="428">
        <f t="shared" si="68"/>
        <v>50</v>
      </c>
      <c r="X221" s="415">
        <f t="shared" si="69"/>
        <v>0.5</v>
      </c>
      <c r="Y221" s="406">
        <v>0</v>
      </c>
      <c r="Z221" s="429">
        <v>0</v>
      </c>
      <c r="AA221" s="430">
        <f t="shared" si="70"/>
        <v>50</v>
      </c>
      <c r="AB221" s="415">
        <f t="shared" si="71"/>
        <v>0.5</v>
      </c>
      <c r="AC221" s="431">
        <v>0</v>
      </c>
      <c r="AD221" s="432">
        <f t="shared" si="72"/>
        <v>100</v>
      </c>
      <c r="AE221" s="433">
        <f t="shared" si="81"/>
        <v>4</v>
      </c>
      <c r="AF221" s="434" t="s">
        <v>2326</v>
      </c>
      <c r="AG221" s="434" t="s">
        <v>2326</v>
      </c>
      <c r="AH221" s="434" t="s">
        <v>2326</v>
      </c>
      <c r="AI221" s="362"/>
      <c r="AJ221" s="434" t="s">
        <v>2326</v>
      </c>
      <c r="AK221" s="434" t="s">
        <v>2326</v>
      </c>
      <c r="AL221" s="363"/>
      <c r="AM221" s="406">
        <v>0</v>
      </c>
      <c r="AN221" s="406">
        <v>0</v>
      </c>
      <c r="AO221" s="406">
        <v>0</v>
      </c>
      <c r="AP221" s="406">
        <v>0</v>
      </c>
      <c r="AQ221" s="406">
        <v>0</v>
      </c>
      <c r="AR221" s="406">
        <v>0</v>
      </c>
      <c r="AS221" s="406">
        <v>0</v>
      </c>
      <c r="AT221" s="406">
        <v>0</v>
      </c>
      <c r="AU221" s="407">
        <f t="shared" si="73"/>
        <v>0</v>
      </c>
      <c r="AV221" s="407">
        <f t="shared" si="74"/>
        <v>100</v>
      </c>
      <c r="AW221" s="408">
        <f t="shared" si="82"/>
        <v>5</v>
      </c>
      <c r="AX221" s="406">
        <v>0</v>
      </c>
      <c r="AY221" s="406">
        <v>0</v>
      </c>
      <c r="AZ221" s="406">
        <v>0</v>
      </c>
      <c r="BA221" s="406">
        <v>0</v>
      </c>
      <c r="BB221" s="430">
        <f t="shared" si="75"/>
        <v>0</v>
      </c>
      <c r="BC221" s="407">
        <f t="shared" si="76"/>
        <v>25</v>
      </c>
      <c r="BD221" s="408">
        <f t="shared" si="83"/>
        <v>0.75</v>
      </c>
      <c r="BE221" s="340">
        <f t="shared" si="77"/>
        <v>11.25</v>
      </c>
    </row>
    <row r="222" spans="1:57" x14ac:dyDescent="0.6">
      <c r="A222" s="214" t="s">
        <v>1800</v>
      </c>
      <c r="B222" s="13" t="s">
        <v>2202</v>
      </c>
      <c r="C222" s="219" t="s">
        <v>1801</v>
      </c>
      <c r="D222" s="14" t="s">
        <v>285</v>
      </c>
      <c r="E222" s="217" t="s">
        <v>1802</v>
      </c>
      <c r="F222" s="217" t="s">
        <v>1803</v>
      </c>
      <c r="G222" s="218">
        <v>44440</v>
      </c>
      <c r="H222" s="217" t="s">
        <v>830</v>
      </c>
      <c r="I222" s="217" t="s">
        <v>1804</v>
      </c>
      <c r="J222" s="217" t="s">
        <v>1805</v>
      </c>
      <c r="K222" s="217" t="s">
        <v>320</v>
      </c>
      <c r="L222" s="220">
        <v>342505451</v>
      </c>
      <c r="M222" s="206">
        <v>27786558</v>
      </c>
      <c r="N222" s="206">
        <v>314718893</v>
      </c>
      <c r="O222" s="206">
        <v>109080826</v>
      </c>
      <c r="P222" s="206">
        <v>2772988</v>
      </c>
      <c r="Q222" s="206">
        <v>8635778</v>
      </c>
      <c r="R222" s="206">
        <v>7043345</v>
      </c>
      <c r="S222" s="406">
        <v>0</v>
      </c>
      <c r="T222" s="428">
        <f t="shared" si="66"/>
        <v>50</v>
      </c>
      <c r="U222" s="415">
        <f t="shared" si="67"/>
        <v>0.5</v>
      </c>
      <c r="V222" s="405">
        <v>0</v>
      </c>
      <c r="W222" s="428">
        <f t="shared" si="68"/>
        <v>50</v>
      </c>
      <c r="X222" s="415">
        <f t="shared" si="69"/>
        <v>0.5</v>
      </c>
      <c r="Y222" s="406">
        <v>0</v>
      </c>
      <c r="Z222" s="429">
        <v>0</v>
      </c>
      <c r="AA222" s="430">
        <f t="shared" si="70"/>
        <v>50</v>
      </c>
      <c r="AB222" s="415">
        <f t="shared" si="71"/>
        <v>0.5</v>
      </c>
      <c r="AC222" s="431">
        <v>0</v>
      </c>
      <c r="AD222" s="432">
        <f t="shared" si="72"/>
        <v>100</v>
      </c>
      <c r="AE222" s="433">
        <f t="shared" si="81"/>
        <v>4</v>
      </c>
      <c r="AF222" s="434" t="s">
        <v>2326</v>
      </c>
      <c r="AG222" s="434" t="s">
        <v>2326</v>
      </c>
      <c r="AH222" s="434" t="s">
        <v>2326</v>
      </c>
      <c r="AI222" s="362"/>
      <c r="AJ222" s="434" t="s">
        <v>2326</v>
      </c>
      <c r="AK222" s="434" t="s">
        <v>2326</v>
      </c>
      <c r="AL222" s="363"/>
      <c r="AM222" s="406">
        <v>0</v>
      </c>
      <c r="AN222" s="406">
        <v>0</v>
      </c>
      <c r="AO222" s="406">
        <v>0</v>
      </c>
      <c r="AP222" s="406">
        <v>0</v>
      </c>
      <c r="AQ222" s="406">
        <v>0</v>
      </c>
      <c r="AR222" s="406">
        <v>0</v>
      </c>
      <c r="AS222" s="406">
        <v>0</v>
      </c>
      <c r="AT222" s="406">
        <v>0</v>
      </c>
      <c r="AU222" s="407">
        <f t="shared" si="73"/>
        <v>0</v>
      </c>
      <c r="AV222" s="407">
        <f t="shared" si="74"/>
        <v>100</v>
      </c>
      <c r="AW222" s="408">
        <f t="shared" si="82"/>
        <v>5</v>
      </c>
      <c r="AX222" s="406">
        <v>0</v>
      </c>
      <c r="AY222" s="406">
        <v>0</v>
      </c>
      <c r="AZ222" s="406">
        <v>0</v>
      </c>
      <c r="BA222" s="406">
        <v>0</v>
      </c>
      <c r="BB222" s="430">
        <f t="shared" si="75"/>
        <v>0</v>
      </c>
      <c r="BC222" s="407">
        <f t="shared" si="76"/>
        <v>25</v>
      </c>
      <c r="BD222" s="408">
        <f t="shared" si="83"/>
        <v>0.75</v>
      </c>
      <c r="BE222" s="340">
        <f t="shared" si="77"/>
        <v>11.25</v>
      </c>
    </row>
    <row r="223" spans="1:57" x14ac:dyDescent="0.6">
      <c r="A223" s="214" t="s">
        <v>93</v>
      </c>
      <c r="B223" s="13" t="s">
        <v>2203</v>
      </c>
      <c r="C223" s="219" t="s">
        <v>517</v>
      </c>
      <c r="D223" s="216" t="s">
        <v>285</v>
      </c>
      <c r="E223" s="217" t="s">
        <v>626</v>
      </c>
      <c r="F223" s="217" t="s">
        <v>129</v>
      </c>
      <c r="G223" s="218">
        <v>43775</v>
      </c>
      <c r="H223" s="217" t="s">
        <v>830</v>
      </c>
      <c r="I223" s="217" t="s">
        <v>837</v>
      </c>
      <c r="J223" s="217" t="s">
        <v>1119</v>
      </c>
      <c r="K223" s="217" t="s">
        <v>91</v>
      </c>
      <c r="L223" s="220">
        <v>753639957</v>
      </c>
      <c r="M223" s="206">
        <v>284239813</v>
      </c>
      <c r="N223" s="206">
        <v>469400144</v>
      </c>
      <c r="O223" s="206">
        <v>589689077</v>
      </c>
      <c r="P223" s="206">
        <v>92750362</v>
      </c>
      <c r="Q223" s="206">
        <v>95830158</v>
      </c>
      <c r="R223" s="206">
        <v>72515496</v>
      </c>
      <c r="S223" s="406">
        <v>0</v>
      </c>
      <c r="T223" s="428">
        <f t="shared" si="66"/>
        <v>50</v>
      </c>
      <c r="U223" s="415">
        <f t="shared" si="67"/>
        <v>0.5</v>
      </c>
      <c r="V223" s="405">
        <v>0</v>
      </c>
      <c r="W223" s="428">
        <f t="shared" si="68"/>
        <v>50</v>
      </c>
      <c r="X223" s="415">
        <f t="shared" si="69"/>
        <v>0.5</v>
      </c>
      <c r="Y223" s="406">
        <v>0</v>
      </c>
      <c r="Z223" s="429">
        <v>0</v>
      </c>
      <c r="AA223" s="430">
        <f t="shared" si="70"/>
        <v>50</v>
      </c>
      <c r="AB223" s="415">
        <f t="shared" si="71"/>
        <v>0.5</v>
      </c>
      <c r="AC223" s="431">
        <v>0</v>
      </c>
      <c r="AD223" s="432">
        <f t="shared" si="72"/>
        <v>100</v>
      </c>
      <c r="AE223" s="433">
        <f t="shared" si="81"/>
        <v>4</v>
      </c>
      <c r="AF223" s="434" t="s">
        <v>2326</v>
      </c>
      <c r="AG223" s="434" t="s">
        <v>2326</v>
      </c>
      <c r="AH223" s="434" t="s">
        <v>2326</v>
      </c>
      <c r="AI223" s="362"/>
      <c r="AJ223" s="434" t="s">
        <v>2326</v>
      </c>
      <c r="AK223" s="434" t="s">
        <v>2326</v>
      </c>
      <c r="AL223" s="363"/>
      <c r="AM223" s="406">
        <v>0</v>
      </c>
      <c r="AN223" s="406">
        <v>0</v>
      </c>
      <c r="AO223" s="406">
        <v>0</v>
      </c>
      <c r="AP223" s="406">
        <v>0</v>
      </c>
      <c r="AQ223" s="406">
        <v>0</v>
      </c>
      <c r="AR223" s="406">
        <v>0</v>
      </c>
      <c r="AS223" s="406">
        <v>0</v>
      </c>
      <c r="AT223" s="406">
        <v>0</v>
      </c>
      <c r="AU223" s="407">
        <f t="shared" si="73"/>
        <v>0</v>
      </c>
      <c r="AV223" s="407">
        <f t="shared" si="74"/>
        <v>100</v>
      </c>
      <c r="AW223" s="408">
        <f t="shared" si="82"/>
        <v>5</v>
      </c>
      <c r="AX223" s="406">
        <v>0</v>
      </c>
      <c r="AY223" s="406">
        <v>0</v>
      </c>
      <c r="AZ223" s="406">
        <v>0</v>
      </c>
      <c r="BA223" s="406">
        <v>0</v>
      </c>
      <c r="BB223" s="430">
        <f t="shared" si="75"/>
        <v>0</v>
      </c>
      <c r="BC223" s="407">
        <f t="shared" si="76"/>
        <v>25</v>
      </c>
      <c r="BD223" s="408">
        <f t="shared" si="83"/>
        <v>0.75</v>
      </c>
      <c r="BE223" s="340">
        <f t="shared" si="77"/>
        <v>11.25</v>
      </c>
    </row>
    <row r="224" spans="1:57" x14ac:dyDescent="0.6">
      <c r="A224" s="214" t="s">
        <v>917</v>
      </c>
      <c r="B224" s="13" t="s">
        <v>2204</v>
      </c>
      <c r="C224" s="219" t="s">
        <v>13</v>
      </c>
      <c r="D224" s="216" t="s">
        <v>285</v>
      </c>
      <c r="E224" s="217" t="s">
        <v>796</v>
      </c>
      <c r="F224" s="217" t="s">
        <v>1099</v>
      </c>
      <c r="G224" s="218">
        <v>35857</v>
      </c>
      <c r="H224" s="217" t="s">
        <v>830</v>
      </c>
      <c r="I224" s="217" t="s">
        <v>841</v>
      </c>
      <c r="J224" s="217" t="s">
        <v>1137</v>
      </c>
      <c r="K224" s="217" t="s">
        <v>91</v>
      </c>
      <c r="L224" s="220">
        <v>1328473794</v>
      </c>
      <c r="M224" s="206">
        <v>623497507</v>
      </c>
      <c r="N224" s="206">
        <v>704976287</v>
      </c>
      <c r="O224" s="206">
        <v>1280522528</v>
      </c>
      <c r="P224" s="206">
        <v>100830968</v>
      </c>
      <c r="Q224" s="206">
        <v>95133282</v>
      </c>
      <c r="R224" s="206">
        <v>62923623</v>
      </c>
      <c r="S224" s="406">
        <v>0</v>
      </c>
      <c r="T224" s="428">
        <f t="shared" si="66"/>
        <v>50</v>
      </c>
      <c r="U224" s="415">
        <f t="shared" si="67"/>
        <v>0.5</v>
      </c>
      <c r="V224" s="405">
        <v>0</v>
      </c>
      <c r="W224" s="428">
        <f t="shared" si="68"/>
        <v>50</v>
      </c>
      <c r="X224" s="415">
        <f t="shared" si="69"/>
        <v>0.5</v>
      </c>
      <c r="Y224" s="406">
        <v>0</v>
      </c>
      <c r="Z224" s="429">
        <v>0</v>
      </c>
      <c r="AA224" s="430">
        <f t="shared" si="70"/>
        <v>50</v>
      </c>
      <c r="AB224" s="415">
        <f t="shared" si="71"/>
        <v>0.5</v>
      </c>
      <c r="AC224" s="431">
        <v>0</v>
      </c>
      <c r="AD224" s="432">
        <f t="shared" si="72"/>
        <v>100</v>
      </c>
      <c r="AE224" s="433">
        <f t="shared" si="81"/>
        <v>4</v>
      </c>
      <c r="AF224" s="434" t="s">
        <v>2326</v>
      </c>
      <c r="AG224" s="434" t="s">
        <v>2326</v>
      </c>
      <c r="AH224" s="434" t="s">
        <v>2326</v>
      </c>
      <c r="AI224" s="362"/>
      <c r="AJ224" s="434" t="s">
        <v>2326</v>
      </c>
      <c r="AK224" s="434" t="s">
        <v>2326</v>
      </c>
      <c r="AL224" s="363"/>
      <c r="AM224" s="406">
        <v>0</v>
      </c>
      <c r="AN224" s="406">
        <v>0</v>
      </c>
      <c r="AO224" s="406">
        <v>0</v>
      </c>
      <c r="AP224" s="406">
        <v>0</v>
      </c>
      <c r="AQ224" s="406">
        <v>0</v>
      </c>
      <c r="AR224" s="406">
        <v>0</v>
      </c>
      <c r="AS224" s="406">
        <v>0</v>
      </c>
      <c r="AT224" s="406">
        <v>0</v>
      </c>
      <c r="AU224" s="407">
        <f t="shared" si="73"/>
        <v>0</v>
      </c>
      <c r="AV224" s="407">
        <f t="shared" si="74"/>
        <v>100</v>
      </c>
      <c r="AW224" s="408">
        <f t="shared" si="82"/>
        <v>5</v>
      </c>
      <c r="AX224" s="406">
        <v>0</v>
      </c>
      <c r="AY224" s="406">
        <v>0</v>
      </c>
      <c r="AZ224" s="406">
        <v>0</v>
      </c>
      <c r="BA224" s="406">
        <v>0</v>
      </c>
      <c r="BB224" s="430">
        <f t="shared" si="75"/>
        <v>0</v>
      </c>
      <c r="BC224" s="407">
        <f t="shared" si="76"/>
        <v>25</v>
      </c>
      <c r="BD224" s="408">
        <f t="shared" si="83"/>
        <v>0.75</v>
      </c>
      <c r="BE224" s="340">
        <f t="shared" si="77"/>
        <v>11.25</v>
      </c>
    </row>
    <row r="225" spans="1:57" x14ac:dyDescent="0.6">
      <c r="A225" s="214" t="s">
        <v>55</v>
      </c>
      <c r="B225" s="13" t="s">
        <v>2205</v>
      </c>
      <c r="C225" s="219" t="s">
        <v>356</v>
      </c>
      <c r="D225" s="216" t="s">
        <v>203</v>
      </c>
      <c r="E225" s="217" t="s">
        <v>583</v>
      </c>
      <c r="F225" s="217" t="s">
        <v>1084</v>
      </c>
      <c r="G225" s="218">
        <v>38695</v>
      </c>
      <c r="H225" s="217" t="s">
        <v>830</v>
      </c>
      <c r="I225" s="217" t="s">
        <v>1120</v>
      </c>
      <c r="J225" s="217" t="s">
        <v>1198</v>
      </c>
      <c r="K225" s="217" t="s">
        <v>31</v>
      </c>
      <c r="L225" s="220">
        <v>89562390</v>
      </c>
      <c r="M225" s="206">
        <v>12372096</v>
      </c>
      <c r="N225" s="206">
        <v>77190293</v>
      </c>
      <c r="O225" s="206">
        <v>71732783</v>
      </c>
      <c r="P225" s="206">
        <v>2955130</v>
      </c>
      <c r="Q225" s="206">
        <v>147493</v>
      </c>
      <c r="R225" s="206">
        <v>19601</v>
      </c>
      <c r="S225" s="406">
        <v>0</v>
      </c>
      <c r="T225" s="428">
        <f t="shared" si="66"/>
        <v>50</v>
      </c>
      <c r="U225" s="415">
        <f t="shared" si="67"/>
        <v>0.5</v>
      </c>
      <c r="V225" s="405">
        <v>0</v>
      </c>
      <c r="W225" s="428">
        <f t="shared" si="68"/>
        <v>50</v>
      </c>
      <c r="X225" s="415">
        <f t="shared" si="69"/>
        <v>0.5</v>
      </c>
      <c r="Y225" s="406">
        <v>0</v>
      </c>
      <c r="Z225" s="429">
        <v>0</v>
      </c>
      <c r="AA225" s="430">
        <f t="shared" si="70"/>
        <v>50</v>
      </c>
      <c r="AB225" s="415">
        <f t="shared" si="71"/>
        <v>0.5</v>
      </c>
      <c r="AC225" s="431">
        <v>0</v>
      </c>
      <c r="AD225" s="432">
        <f t="shared" si="72"/>
        <v>100</v>
      </c>
      <c r="AE225" s="433">
        <f t="shared" si="81"/>
        <v>4</v>
      </c>
      <c r="AF225" s="434" t="s">
        <v>2326</v>
      </c>
      <c r="AG225" s="434" t="s">
        <v>2326</v>
      </c>
      <c r="AH225" s="434" t="s">
        <v>2326</v>
      </c>
      <c r="AI225" s="362"/>
      <c r="AJ225" s="434" t="s">
        <v>2326</v>
      </c>
      <c r="AK225" s="434" t="s">
        <v>2326</v>
      </c>
      <c r="AL225" s="363"/>
      <c r="AM225" s="406">
        <v>0</v>
      </c>
      <c r="AN225" s="406">
        <v>0</v>
      </c>
      <c r="AO225" s="406">
        <v>0</v>
      </c>
      <c r="AP225" s="406">
        <v>0</v>
      </c>
      <c r="AQ225" s="406">
        <v>0</v>
      </c>
      <c r="AR225" s="406">
        <v>0</v>
      </c>
      <c r="AS225" s="406">
        <v>0</v>
      </c>
      <c r="AT225" s="406">
        <v>0</v>
      </c>
      <c r="AU225" s="407">
        <f t="shared" si="73"/>
        <v>0</v>
      </c>
      <c r="AV225" s="407">
        <f t="shared" si="74"/>
        <v>100</v>
      </c>
      <c r="AW225" s="408">
        <f t="shared" si="82"/>
        <v>5</v>
      </c>
      <c r="AX225" s="406">
        <v>0</v>
      </c>
      <c r="AY225" s="406">
        <v>0</v>
      </c>
      <c r="AZ225" s="406">
        <v>0</v>
      </c>
      <c r="BA225" s="406">
        <v>0</v>
      </c>
      <c r="BB225" s="430">
        <f t="shared" si="75"/>
        <v>0</v>
      </c>
      <c r="BC225" s="407">
        <f t="shared" si="76"/>
        <v>25</v>
      </c>
      <c r="BD225" s="408">
        <f t="shared" si="83"/>
        <v>0.75</v>
      </c>
      <c r="BE225" s="340">
        <f t="shared" si="77"/>
        <v>11.25</v>
      </c>
    </row>
    <row r="226" spans="1:57" x14ac:dyDescent="0.6">
      <c r="A226" s="214" t="s">
        <v>1806</v>
      </c>
      <c r="B226" s="13" t="s">
        <v>2206</v>
      </c>
      <c r="C226" s="219" t="s">
        <v>1807</v>
      </c>
      <c r="D226" s="79" t="s">
        <v>88</v>
      </c>
      <c r="E226" s="217" t="s">
        <v>1585</v>
      </c>
      <c r="F226" s="217" t="s">
        <v>1808</v>
      </c>
      <c r="G226" s="218">
        <v>26661</v>
      </c>
      <c r="H226" s="217" t="s">
        <v>830</v>
      </c>
      <c r="I226" s="217" t="s">
        <v>1809</v>
      </c>
      <c r="J226" s="217" t="s">
        <v>1810</v>
      </c>
      <c r="K226" s="217" t="s">
        <v>1811</v>
      </c>
      <c r="L226" s="220">
        <v>7311029000</v>
      </c>
      <c r="M226" s="206">
        <v>6789175000</v>
      </c>
      <c r="N226" s="206">
        <v>521854000</v>
      </c>
      <c r="O226" s="206">
        <v>275373000</v>
      </c>
      <c r="P226" s="206">
        <v>27020000</v>
      </c>
      <c r="Q226" s="206">
        <v>26964000</v>
      </c>
      <c r="R226" s="206">
        <v>22820000</v>
      </c>
      <c r="S226" s="406">
        <v>0</v>
      </c>
      <c r="T226" s="428">
        <f t="shared" si="66"/>
        <v>50</v>
      </c>
      <c r="U226" s="415">
        <f t="shared" si="67"/>
        <v>0.5</v>
      </c>
      <c r="V226" s="405">
        <v>0</v>
      </c>
      <c r="W226" s="428">
        <f t="shared" si="68"/>
        <v>50</v>
      </c>
      <c r="X226" s="415">
        <f t="shared" si="69"/>
        <v>0.5</v>
      </c>
      <c r="Y226" s="406">
        <v>0</v>
      </c>
      <c r="Z226" s="429">
        <v>0</v>
      </c>
      <c r="AA226" s="430">
        <f t="shared" si="70"/>
        <v>50</v>
      </c>
      <c r="AB226" s="415">
        <f t="shared" si="71"/>
        <v>0.5</v>
      </c>
      <c r="AC226" s="75">
        <v>0</v>
      </c>
      <c r="AD226" s="432">
        <f t="shared" si="72"/>
        <v>100</v>
      </c>
      <c r="AE226" s="435">
        <f>AD226*0.03</f>
        <v>3</v>
      </c>
      <c r="AF226" s="436">
        <v>0</v>
      </c>
      <c r="AG226" s="437">
        <f>(_xlfn.PERCENTRANK.INC(AF:AF,AF226, 2))*100</f>
        <v>0</v>
      </c>
      <c r="AH226" s="437">
        <f>IF(AF226=0, 100, IF(AG226&lt;10, 80, IF(AG226&lt;50, 60, IF(AG226&lt;90, 40, 20))))</f>
        <v>100</v>
      </c>
      <c r="AI226" s="263">
        <f>AH226*0.03</f>
        <v>3</v>
      </c>
      <c r="AJ226" s="264" t="s">
        <v>3540</v>
      </c>
      <c r="AK226" s="265">
        <f>IF(AJ226="우수", 100, IF(AJ226="양호", 80, IF(AJ226="보통", 60, IF(AJ226= "평가미대상", 60, IF(AJ226="미흡", 40, IF(AJ226="취약", 20))))))</f>
        <v>60</v>
      </c>
      <c r="AL226" s="141">
        <f>AK226*0.03</f>
        <v>1.7999999999999998</v>
      </c>
      <c r="AM226" s="406">
        <v>0</v>
      </c>
      <c r="AN226" s="406">
        <v>0</v>
      </c>
      <c r="AO226" s="406">
        <v>0</v>
      </c>
      <c r="AP226" s="406">
        <v>0</v>
      </c>
      <c r="AQ226" s="406">
        <v>0</v>
      </c>
      <c r="AR226" s="406">
        <v>0</v>
      </c>
      <c r="AS226" s="406">
        <v>0</v>
      </c>
      <c r="AT226" s="406">
        <v>0</v>
      </c>
      <c r="AU226" s="407">
        <f t="shared" si="73"/>
        <v>0</v>
      </c>
      <c r="AV226" s="407">
        <f t="shared" si="74"/>
        <v>100</v>
      </c>
      <c r="AW226" s="438">
        <f>AV226*0.02</f>
        <v>2</v>
      </c>
      <c r="AX226" s="406">
        <v>0</v>
      </c>
      <c r="AY226" s="406">
        <v>0</v>
      </c>
      <c r="AZ226" s="406">
        <v>0</v>
      </c>
      <c r="BA226" s="406">
        <v>0</v>
      </c>
      <c r="BB226" s="430">
        <f t="shared" si="75"/>
        <v>0</v>
      </c>
      <c r="BC226" s="407">
        <f t="shared" si="76"/>
        <v>25</v>
      </c>
      <c r="BD226" s="418">
        <f>BC226*0.01</f>
        <v>0.25</v>
      </c>
      <c r="BE226" s="340">
        <f t="shared" si="77"/>
        <v>11.55</v>
      </c>
    </row>
    <row r="227" spans="1:57" x14ac:dyDescent="0.6">
      <c r="A227" s="214" t="s">
        <v>1812</v>
      </c>
      <c r="B227" s="13" t="s">
        <v>2207</v>
      </c>
      <c r="C227" s="219" t="s">
        <v>1813</v>
      </c>
      <c r="D227" s="14" t="s">
        <v>191</v>
      </c>
      <c r="E227" s="217" t="s">
        <v>977</v>
      </c>
      <c r="F227" s="217" t="s">
        <v>1814</v>
      </c>
      <c r="G227" s="218">
        <v>28272</v>
      </c>
      <c r="H227" s="217" t="s">
        <v>830</v>
      </c>
      <c r="I227" s="217" t="s">
        <v>1815</v>
      </c>
      <c r="J227" s="217" t="s">
        <v>1816</v>
      </c>
      <c r="K227" s="217" t="s">
        <v>317</v>
      </c>
      <c r="L227" s="220">
        <v>442034876</v>
      </c>
      <c r="M227" s="206">
        <v>63994596</v>
      </c>
      <c r="N227" s="206">
        <v>378040280</v>
      </c>
      <c r="O227" s="206">
        <v>122005783</v>
      </c>
      <c r="P227" s="206">
        <v>507524</v>
      </c>
      <c r="Q227" s="206">
        <v>4251780</v>
      </c>
      <c r="R227" s="206">
        <v>6061277</v>
      </c>
      <c r="S227" s="406">
        <v>0</v>
      </c>
      <c r="T227" s="428">
        <f t="shared" si="66"/>
        <v>50</v>
      </c>
      <c r="U227" s="415">
        <f t="shared" si="67"/>
        <v>0.5</v>
      </c>
      <c r="V227" s="405">
        <v>0</v>
      </c>
      <c r="W227" s="428">
        <f t="shared" si="68"/>
        <v>50</v>
      </c>
      <c r="X227" s="415">
        <f t="shared" si="69"/>
        <v>0.5</v>
      </c>
      <c r="Y227" s="406">
        <v>0</v>
      </c>
      <c r="Z227" s="429">
        <v>0</v>
      </c>
      <c r="AA227" s="430">
        <f t="shared" si="70"/>
        <v>50</v>
      </c>
      <c r="AB227" s="415">
        <f t="shared" si="71"/>
        <v>0.5</v>
      </c>
      <c r="AC227" s="431">
        <v>0</v>
      </c>
      <c r="AD227" s="432">
        <f t="shared" si="72"/>
        <v>100</v>
      </c>
      <c r="AE227" s="433">
        <f t="shared" ref="AE227:AE235" si="84">AD227*0.04</f>
        <v>4</v>
      </c>
      <c r="AF227" s="434" t="s">
        <v>2326</v>
      </c>
      <c r="AG227" s="434" t="s">
        <v>2326</v>
      </c>
      <c r="AH227" s="434" t="s">
        <v>2326</v>
      </c>
      <c r="AI227" s="362"/>
      <c r="AJ227" s="434" t="s">
        <v>2326</v>
      </c>
      <c r="AK227" s="434" t="s">
        <v>2326</v>
      </c>
      <c r="AL227" s="363"/>
      <c r="AM227" s="406">
        <v>0</v>
      </c>
      <c r="AN227" s="406">
        <v>0</v>
      </c>
      <c r="AO227" s="406">
        <v>0</v>
      </c>
      <c r="AP227" s="406">
        <v>0</v>
      </c>
      <c r="AQ227" s="406">
        <v>0</v>
      </c>
      <c r="AR227" s="406">
        <v>0</v>
      </c>
      <c r="AS227" s="406">
        <v>0</v>
      </c>
      <c r="AT227" s="406">
        <v>0</v>
      </c>
      <c r="AU227" s="407">
        <f t="shared" si="73"/>
        <v>0</v>
      </c>
      <c r="AV227" s="407">
        <f t="shared" si="74"/>
        <v>100</v>
      </c>
      <c r="AW227" s="408">
        <f t="shared" ref="AW227:AW235" si="85">AV227*0.05</f>
        <v>5</v>
      </c>
      <c r="AX227" s="406">
        <v>0</v>
      </c>
      <c r="AY227" s="406">
        <v>0</v>
      </c>
      <c r="AZ227" s="406">
        <v>0</v>
      </c>
      <c r="BA227" s="406">
        <v>0</v>
      </c>
      <c r="BB227" s="430">
        <f t="shared" si="75"/>
        <v>0</v>
      </c>
      <c r="BC227" s="407">
        <f t="shared" si="76"/>
        <v>25</v>
      </c>
      <c r="BD227" s="408">
        <f t="shared" ref="BD227:BD235" si="86">BC227*0.03</f>
        <v>0.75</v>
      </c>
      <c r="BE227" s="340">
        <f t="shared" si="77"/>
        <v>11.25</v>
      </c>
    </row>
    <row r="228" spans="1:57" x14ac:dyDescent="0.6">
      <c r="A228" s="214" t="s">
        <v>1817</v>
      </c>
      <c r="B228" s="13" t="s">
        <v>2208</v>
      </c>
      <c r="C228" s="219" t="s">
        <v>1818</v>
      </c>
      <c r="D228" s="14" t="s">
        <v>191</v>
      </c>
      <c r="E228" s="217" t="s">
        <v>1067</v>
      </c>
      <c r="F228" s="217" t="s">
        <v>1819</v>
      </c>
      <c r="G228" s="218">
        <v>28122</v>
      </c>
      <c r="H228" s="217" t="s">
        <v>830</v>
      </c>
      <c r="I228" s="217" t="s">
        <v>1820</v>
      </c>
      <c r="J228" s="217" t="s">
        <v>1821</v>
      </c>
      <c r="K228" s="217" t="s">
        <v>91</v>
      </c>
      <c r="L228" s="220">
        <v>130041760</v>
      </c>
      <c r="M228" s="206">
        <v>68561446</v>
      </c>
      <c r="N228" s="206">
        <v>61480314</v>
      </c>
      <c r="O228" s="206">
        <v>148554918</v>
      </c>
      <c r="P228" s="206">
        <v>11907297</v>
      </c>
      <c r="Q228" s="206">
        <v>8526105</v>
      </c>
      <c r="R228" s="206">
        <v>8638058</v>
      </c>
      <c r="S228" s="406">
        <v>0</v>
      </c>
      <c r="T228" s="428">
        <f t="shared" si="66"/>
        <v>50</v>
      </c>
      <c r="U228" s="415">
        <f t="shared" si="67"/>
        <v>0.5</v>
      </c>
      <c r="V228" s="405">
        <v>0</v>
      </c>
      <c r="W228" s="428">
        <f t="shared" si="68"/>
        <v>50</v>
      </c>
      <c r="X228" s="415">
        <f t="shared" si="69"/>
        <v>0.5</v>
      </c>
      <c r="Y228" s="406">
        <v>0</v>
      </c>
      <c r="Z228" s="429">
        <v>0</v>
      </c>
      <c r="AA228" s="430">
        <f t="shared" si="70"/>
        <v>50</v>
      </c>
      <c r="AB228" s="415">
        <f t="shared" si="71"/>
        <v>0.5</v>
      </c>
      <c r="AC228" s="431">
        <v>0</v>
      </c>
      <c r="AD228" s="432">
        <f t="shared" si="72"/>
        <v>100</v>
      </c>
      <c r="AE228" s="433">
        <f t="shared" si="84"/>
        <v>4</v>
      </c>
      <c r="AF228" s="434" t="s">
        <v>2326</v>
      </c>
      <c r="AG228" s="434" t="s">
        <v>2326</v>
      </c>
      <c r="AH228" s="434" t="s">
        <v>2326</v>
      </c>
      <c r="AI228" s="362"/>
      <c r="AJ228" s="434" t="s">
        <v>2326</v>
      </c>
      <c r="AK228" s="434" t="s">
        <v>2326</v>
      </c>
      <c r="AL228" s="363"/>
      <c r="AM228" s="406">
        <v>0</v>
      </c>
      <c r="AN228" s="406">
        <v>0</v>
      </c>
      <c r="AO228" s="406">
        <v>0</v>
      </c>
      <c r="AP228" s="406">
        <v>0</v>
      </c>
      <c r="AQ228" s="406">
        <v>0</v>
      </c>
      <c r="AR228" s="406">
        <v>0</v>
      </c>
      <c r="AS228" s="406">
        <v>0</v>
      </c>
      <c r="AT228" s="406">
        <v>0</v>
      </c>
      <c r="AU228" s="407">
        <f t="shared" si="73"/>
        <v>0</v>
      </c>
      <c r="AV228" s="407">
        <f t="shared" si="74"/>
        <v>100</v>
      </c>
      <c r="AW228" s="408">
        <f t="shared" si="85"/>
        <v>5</v>
      </c>
      <c r="AX228" s="406">
        <v>0</v>
      </c>
      <c r="AY228" s="406">
        <v>0</v>
      </c>
      <c r="AZ228" s="406">
        <v>0</v>
      </c>
      <c r="BA228" s="406">
        <v>0</v>
      </c>
      <c r="BB228" s="430">
        <f t="shared" si="75"/>
        <v>0</v>
      </c>
      <c r="BC228" s="407">
        <f t="shared" si="76"/>
        <v>25</v>
      </c>
      <c r="BD228" s="408">
        <f t="shared" si="86"/>
        <v>0.75</v>
      </c>
      <c r="BE228" s="340">
        <f t="shared" si="77"/>
        <v>11.25</v>
      </c>
    </row>
    <row r="229" spans="1:57" x14ac:dyDescent="0.6">
      <c r="A229" s="214" t="s">
        <v>509</v>
      </c>
      <c r="B229" s="13" t="s">
        <v>2209</v>
      </c>
      <c r="C229" s="219" t="s">
        <v>536</v>
      </c>
      <c r="D229" s="216" t="s">
        <v>203</v>
      </c>
      <c r="E229" s="217" t="s">
        <v>585</v>
      </c>
      <c r="F229" s="217" t="s">
        <v>418</v>
      </c>
      <c r="G229" s="218">
        <v>40228</v>
      </c>
      <c r="H229" s="217" t="s">
        <v>830</v>
      </c>
      <c r="I229" s="217" t="s">
        <v>829</v>
      </c>
      <c r="J229" s="217" t="s">
        <v>664</v>
      </c>
      <c r="K229" s="217" t="s">
        <v>31</v>
      </c>
      <c r="L229" s="220">
        <v>145133297</v>
      </c>
      <c r="M229" s="206">
        <v>9248179</v>
      </c>
      <c r="N229" s="206">
        <v>135885117</v>
      </c>
      <c r="O229" s="206">
        <v>66976160</v>
      </c>
      <c r="P229" s="206">
        <v>9435413</v>
      </c>
      <c r="Q229" s="206">
        <v>13174731</v>
      </c>
      <c r="R229" s="206">
        <v>10522135</v>
      </c>
      <c r="S229" s="406">
        <v>0</v>
      </c>
      <c r="T229" s="428">
        <f t="shared" si="66"/>
        <v>50</v>
      </c>
      <c r="U229" s="415">
        <f t="shared" si="67"/>
        <v>0.5</v>
      </c>
      <c r="V229" s="405">
        <v>0</v>
      </c>
      <c r="W229" s="428">
        <f t="shared" si="68"/>
        <v>50</v>
      </c>
      <c r="X229" s="415">
        <f t="shared" si="69"/>
        <v>0.5</v>
      </c>
      <c r="Y229" s="406">
        <v>0</v>
      </c>
      <c r="Z229" s="429">
        <v>0</v>
      </c>
      <c r="AA229" s="430">
        <f t="shared" si="70"/>
        <v>50</v>
      </c>
      <c r="AB229" s="415">
        <f t="shared" si="71"/>
        <v>0.5</v>
      </c>
      <c r="AC229" s="431">
        <v>0</v>
      </c>
      <c r="AD229" s="432">
        <f t="shared" si="72"/>
        <v>100</v>
      </c>
      <c r="AE229" s="433">
        <f t="shared" si="84"/>
        <v>4</v>
      </c>
      <c r="AF229" s="434" t="s">
        <v>2326</v>
      </c>
      <c r="AG229" s="434" t="s">
        <v>2326</v>
      </c>
      <c r="AH229" s="434" t="s">
        <v>2326</v>
      </c>
      <c r="AI229" s="362"/>
      <c r="AJ229" s="434" t="s">
        <v>2326</v>
      </c>
      <c r="AK229" s="434" t="s">
        <v>2326</v>
      </c>
      <c r="AL229" s="363"/>
      <c r="AM229" s="406">
        <v>0</v>
      </c>
      <c r="AN229" s="406">
        <v>0</v>
      </c>
      <c r="AO229" s="406">
        <v>0</v>
      </c>
      <c r="AP229" s="406">
        <v>0</v>
      </c>
      <c r="AQ229" s="406">
        <v>0</v>
      </c>
      <c r="AR229" s="406">
        <v>0</v>
      </c>
      <c r="AS229" s="406">
        <v>0</v>
      </c>
      <c r="AT229" s="406">
        <v>0</v>
      </c>
      <c r="AU229" s="407">
        <f t="shared" si="73"/>
        <v>0</v>
      </c>
      <c r="AV229" s="407">
        <f t="shared" si="74"/>
        <v>100</v>
      </c>
      <c r="AW229" s="408">
        <f t="shared" si="85"/>
        <v>5</v>
      </c>
      <c r="AX229" s="406">
        <v>0</v>
      </c>
      <c r="AY229" s="406">
        <v>0</v>
      </c>
      <c r="AZ229" s="406">
        <v>0</v>
      </c>
      <c r="BA229" s="406">
        <v>0</v>
      </c>
      <c r="BB229" s="430">
        <f t="shared" si="75"/>
        <v>0</v>
      </c>
      <c r="BC229" s="407">
        <f t="shared" si="76"/>
        <v>25</v>
      </c>
      <c r="BD229" s="408">
        <f t="shared" si="86"/>
        <v>0.75</v>
      </c>
      <c r="BE229" s="340">
        <f t="shared" si="77"/>
        <v>11.25</v>
      </c>
    </row>
    <row r="230" spans="1:57" x14ac:dyDescent="0.6">
      <c r="A230" s="214" t="s">
        <v>775</v>
      </c>
      <c r="B230" s="13" t="s">
        <v>2210</v>
      </c>
      <c r="C230" s="219" t="s">
        <v>64</v>
      </c>
      <c r="D230" s="216" t="s">
        <v>191</v>
      </c>
      <c r="E230" s="217" t="s">
        <v>178</v>
      </c>
      <c r="F230" s="217" t="s">
        <v>147</v>
      </c>
      <c r="G230" s="218">
        <v>28117</v>
      </c>
      <c r="H230" s="217" t="s">
        <v>830</v>
      </c>
      <c r="I230" s="217" t="s">
        <v>790</v>
      </c>
      <c r="J230" s="217" t="s">
        <v>1206</v>
      </c>
      <c r="K230" s="217" t="s">
        <v>690</v>
      </c>
      <c r="L230" s="220">
        <v>418548891</v>
      </c>
      <c r="M230" s="206">
        <v>263651210</v>
      </c>
      <c r="N230" s="206">
        <v>154897681</v>
      </c>
      <c r="O230" s="206">
        <v>319394587</v>
      </c>
      <c r="P230" s="206">
        <v>15318484</v>
      </c>
      <c r="Q230" s="206">
        <v>13458495</v>
      </c>
      <c r="R230" s="206">
        <v>11843676</v>
      </c>
      <c r="S230" s="406">
        <v>0</v>
      </c>
      <c r="T230" s="428">
        <f t="shared" si="66"/>
        <v>50</v>
      </c>
      <c r="U230" s="415">
        <f t="shared" si="67"/>
        <v>0.5</v>
      </c>
      <c r="V230" s="405">
        <v>0</v>
      </c>
      <c r="W230" s="428">
        <f t="shared" si="68"/>
        <v>50</v>
      </c>
      <c r="X230" s="415">
        <f t="shared" si="69"/>
        <v>0.5</v>
      </c>
      <c r="Y230" s="406">
        <v>0</v>
      </c>
      <c r="Z230" s="429">
        <v>0</v>
      </c>
      <c r="AA230" s="430">
        <f t="shared" si="70"/>
        <v>50</v>
      </c>
      <c r="AB230" s="415">
        <f t="shared" si="71"/>
        <v>0.5</v>
      </c>
      <c r="AC230" s="431">
        <v>0</v>
      </c>
      <c r="AD230" s="432">
        <f t="shared" si="72"/>
        <v>100</v>
      </c>
      <c r="AE230" s="433">
        <f t="shared" si="84"/>
        <v>4</v>
      </c>
      <c r="AF230" s="434" t="s">
        <v>2326</v>
      </c>
      <c r="AG230" s="434" t="s">
        <v>2326</v>
      </c>
      <c r="AH230" s="434" t="s">
        <v>2326</v>
      </c>
      <c r="AI230" s="362"/>
      <c r="AJ230" s="434" t="s">
        <v>2326</v>
      </c>
      <c r="AK230" s="434" t="s">
        <v>2326</v>
      </c>
      <c r="AL230" s="363"/>
      <c r="AM230" s="406">
        <v>0</v>
      </c>
      <c r="AN230" s="406">
        <v>0</v>
      </c>
      <c r="AO230" s="406">
        <v>0</v>
      </c>
      <c r="AP230" s="406">
        <v>0</v>
      </c>
      <c r="AQ230" s="406">
        <v>0</v>
      </c>
      <c r="AR230" s="406">
        <v>0</v>
      </c>
      <c r="AS230" s="406">
        <v>0</v>
      </c>
      <c r="AT230" s="406">
        <v>0</v>
      </c>
      <c r="AU230" s="407">
        <f t="shared" si="73"/>
        <v>0</v>
      </c>
      <c r="AV230" s="407">
        <f t="shared" si="74"/>
        <v>100</v>
      </c>
      <c r="AW230" s="408">
        <f t="shared" si="85"/>
        <v>5</v>
      </c>
      <c r="AX230" s="406">
        <v>0</v>
      </c>
      <c r="AY230" s="406">
        <v>0</v>
      </c>
      <c r="AZ230" s="406">
        <v>0</v>
      </c>
      <c r="BA230" s="406">
        <v>0</v>
      </c>
      <c r="BB230" s="430">
        <f t="shared" si="75"/>
        <v>0</v>
      </c>
      <c r="BC230" s="407">
        <f t="shared" si="76"/>
        <v>25</v>
      </c>
      <c r="BD230" s="408">
        <f t="shared" si="86"/>
        <v>0.75</v>
      </c>
      <c r="BE230" s="340">
        <f t="shared" si="77"/>
        <v>11.25</v>
      </c>
    </row>
    <row r="231" spans="1:57" x14ac:dyDescent="0.6">
      <c r="A231" s="214" t="s">
        <v>843</v>
      </c>
      <c r="B231" s="13" t="s">
        <v>2211</v>
      </c>
      <c r="C231" s="219" t="s">
        <v>537</v>
      </c>
      <c r="D231" s="216" t="s">
        <v>191</v>
      </c>
      <c r="E231" s="217" t="s">
        <v>34</v>
      </c>
      <c r="F231" s="217" t="s">
        <v>282</v>
      </c>
      <c r="G231" s="218">
        <v>41614</v>
      </c>
      <c r="H231" s="217" t="s">
        <v>830</v>
      </c>
      <c r="I231" s="217" t="s">
        <v>819</v>
      </c>
      <c r="J231" s="217" t="s">
        <v>1112</v>
      </c>
      <c r="K231" s="217" t="s">
        <v>91</v>
      </c>
      <c r="L231" s="220">
        <v>1097011146</v>
      </c>
      <c r="M231" s="206">
        <v>479043111</v>
      </c>
      <c r="N231" s="206">
        <v>617968035</v>
      </c>
      <c r="O231" s="206">
        <v>1472343921</v>
      </c>
      <c r="P231" s="206">
        <v>107106911</v>
      </c>
      <c r="Q231" s="206">
        <v>100951688</v>
      </c>
      <c r="R231" s="206">
        <v>82941336</v>
      </c>
      <c r="S231" s="406">
        <v>0</v>
      </c>
      <c r="T231" s="428">
        <f t="shared" si="66"/>
        <v>50</v>
      </c>
      <c r="U231" s="415">
        <f t="shared" si="67"/>
        <v>0.5</v>
      </c>
      <c r="V231" s="405">
        <v>1</v>
      </c>
      <c r="W231" s="428">
        <f t="shared" si="68"/>
        <v>100</v>
      </c>
      <c r="X231" s="415">
        <f t="shared" si="69"/>
        <v>1</v>
      </c>
      <c r="Y231" s="406">
        <v>0</v>
      </c>
      <c r="Z231" s="429">
        <v>0</v>
      </c>
      <c r="AA231" s="430">
        <f t="shared" si="70"/>
        <v>50</v>
      </c>
      <c r="AB231" s="415">
        <f t="shared" si="71"/>
        <v>0.5</v>
      </c>
      <c r="AC231" s="431">
        <v>1</v>
      </c>
      <c r="AD231" s="432">
        <f t="shared" si="72"/>
        <v>80</v>
      </c>
      <c r="AE231" s="433">
        <f t="shared" si="84"/>
        <v>3.2</v>
      </c>
      <c r="AF231" s="434" t="s">
        <v>2326</v>
      </c>
      <c r="AG231" s="434" t="s">
        <v>2326</v>
      </c>
      <c r="AH231" s="434" t="s">
        <v>2326</v>
      </c>
      <c r="AI231" s="362"/>
      <c r="AJ231" s="434" t="s">
        <v>2326</v>
      </c>
      <c r="AK231" s="434" t="s">
        <v>2326</v>
      </c>
      <c r="AL231" s="363"/>
      <c r="AM231" s="406">
        <v>0</v>
      </c>
      <c r="AN231" s="406">
        <v>0</v>
      </c>
      <c r="AO231" s="406">
        <v>0</v>
      </c>
      <c r="AP231" s="406">
        <v>0</v>
      </c>
      <c r="AQ231" s="406">
        <v>0</v>
      </c>
      <c r="AR231" s="406">
        <v>0</v>
      </c>
      <c r="AS231" s="406">
        <v>0</v>
      </c>
      <c r="AT231" s="406">
        <v>0</v>
      </c>
      <c r="AU231" s="407">
        <f t="shared" si="73"/>
        <v>0</v>
      </c>
      <c r="AV231" s="407">
        <f t="shared" si="74"/>
        <v>100</v>
      </c>
      <c r="AW231" s="408">
        <f t="shared" si="85"/>
        <v>5</v>
      </c>
      <c r="AX231" s="406">
        <v>0</v>
      </c>
      <c r="AY231" s="406">
        <v>0</v>
      </c>
      <c r="AZ231" s="406">
        <v>0</v>
      </c>
      <c r="BA231" s="406">
        <v>0</v>
      </c>
      <c r="BB231" s="430">
        <f t="shared" si="75"/>
        <v>0</v>
      </c>
      <c r="BC231" s="407">
        <f t="shared" si="76"/>
        <v>25</v>
      </c>
      <c r="BD231" s="408">
        <f t="shared" si="86"/>
        <v>0.75</v>
      </c>
      <c r="BE231" s="340">
        <f t="shared" si="77"/>
        <v>10.95</v>
      </c>
    </row>
    <row r="232" spans="1:57" x14ac:dyDescent="0.6">
      <c r="A232" s="214" t="s">
        <v>799</v>
      </c>
      <c r="B232" s="13" t="s">
        <v>2212</v>
      </c>
      <c r="C232" s="219" t="s">
        <v>546</v>
      </c>
      <c r="D232" s="216" t="s">
        <v>191</v>
      </c>
      <c r="E232" s="217" t="s">
        <v>554</v>
      </c>
      <c r="F232" s="217" t="s">
        <v>218</v>
      </c>
      <c r="G232" s="218">
        <v>43768</v>
      </c>
      <c r="H232" s="217" t="s">
        <v>830</v>
      </c>
      <c r="I232" s="217" t="s">
        <v>842</v>
      </c>
      <c r="J232" s="217" t="s">
        <v>1131</v>
      </c>
      <c r="K232" s="217" t="s">
        <v>690</v>
      </c>
      <c r="L232" s="220">
        <v>740602270</v>
      </c>
      <c r="M232" s="206">
        <v>262924064</v>
      </c>
      <c r="N232" s="206">
        <v>477678206</v>
      </c>
      <c r="O232" s="206">
        <v>269751716</v>
      </c>
      <c r="P232" s="206">
        <v>21819621</v>
      </c>
      <c r="Q232" s="206">
        <v>9990377</v>
      </c>
      <c r="R232" s="206">
        <v>2417491</v>
      </c>
      <c r="S232" s="406">
        <v>0</v>
      </c>
      <c r="T232" s="428">
        <f t="shared" si="66"/>
        <v>50</v>
      </c>
      <c r="U232" s="415">
        <f t="shared" si="67"/>
        <v>0.5</v>
      </c>
      <c r="V232" s="405">
        <v>0</v>
      </c>
      <c r="W232" s="428">
        <f t="shared" si="68"/>
        <v>50</v>
      </c>
      <c r="X232" s="415">
        <f t="shared" si="69"/>
        <v>0.5</v>
      </c>
      <c r="Y232" s="406">
        <v>0</v>
      </c>
      <c r="Z232" s="429">
        <v>0</v>
      </c>
      <c r="AA232" s="430">
        <f t="shared" si="70"/>
        <v>50</v>
      </c>
      <c r="AB232" s="415">
        <f t="shared" si="71"/>
        <v>0.5</v>
      </c>
      <c r="AC232" s="431">
        <v>4</v>
      </c>
      <c r="AD232" s="432">
        <f t="shared" si="72"/>
        <v>20</v>
      </c>
      <c r="AE232" s="433">
        <f t="shared" si="84"/>
        <v>0.8</v>
      </c>
      <c r="AF232" s="434" t="s">
        <v>2326</v>
      </c>
      <c r="AG232" s="434" t="s">
        <v>2326</v>
      </c>
      <c r="AH232" s="434" t="s">
        <v>2326</v>
      </c>
      <c r="AI232" s="362"/>
      <c r="AJ232" s="434" t="s">
        <v>2326</v>
      </c>
      <c r="AK232" s="434" t="s">
        <v>2326</v>
      </c>
      <c r="AL232" s="363"/>
      <c r="AM232" s="406">
        <v>0</v>
      </c>
      <c r="AN232" s="406">
        <v>0</v>
      </c>
      <c r="AO232" s="406">
        <v>0</v>
      </c>
      <c r="AP232" s="406">
        <v>0</v>
      </c>
      <c r="AQ232" s="406">
        <v>0</v>
      </c>
      <c r="AR232" s="406">
        <v>0</v>
      </c>
      <c r="AS232" s="406">
        <v>0</v>
      </c>
      <c r="AT232" s="406">
        <v>0</v>
      </c>
      <c r="AU232" s="407">
        <f t="shared" si="73"/>
        <v>0</v>
      </c>
      <c r="AV232" s="407">
        <f t="shared" si="74"/>
        <v>100</v>
      </c>
      <c r="AW232" s="408">
        <f t="shared" si="85"/>
        <v>5</v>
      </c>
      <c r="AX232" s="406">
        <v>0</v>
      </c>
      <c r="AY232" s="406">
        <v>0</v>
      </c>
      <c r="AZ232" s="406">
        <v>0</v>
      </c>
      <c r="BA232" s="406">
        <v>0</v>
      </c>
      <c r="BB232" s="430">
        <f t="shared" si="75"/>
        <v>0</v>
      </c>
      <c r="BC232" s="407">
        <f t="shared" si="76"/>
        <v>25</v>
      </c>
      <c r="BD232" s="408">
        <f t="shared" si="86"/>
        <v>0.75</v>
      </c>
      <c r="BE232" s="340">
        <f t="shared" si="77"/>
        <v>8.0500000000000007</v>
      </c>
    </row>
    <row r="233" spans="1:57" x14ac:dyDescent="0.6">
      <c r="A233" s="214" t="s">
        <v>1822</v>
      </c>
      <c r="B233" s="13" t="s">
        <v>2213</v>
      </c>
      <c r="C233" s="219" t="s">
        <v>1823</v>
      </c>
      <c r="D233" s="14" t="s">
        <v>203</v>
      </c>
      <c r="E233" s="217" t="s">
        <v>246</v>
      </c>
      <c r="F233" s="217" t="s">
        <v>1824</v>
      </c>
      <c r="G233" s="218">
        <v>26841</v>
      </c>
      <c r="H233" s="217" t="s">
        <v>830</v>
      </c>
      <c r="I233" s="217" t="s">
        <v>1825</v>
      </c>
      <c r="J233" s="217" t="s">
        <v>1826</v>
      </c>
      <c r="K233" s="217" t="s">
        <v>50</v>
      </c>
      <c r="L233" s="220">
        <v>59360094</v>
      </c>
      <c r="M233" s="206">
        <v>18306208</v>
      </c>
      <c r="N233" s="206">
        <v>41053886</v>
      </c>
      <c r="O233" s="206">
        <v>58845136</v>
      </c>
      <c r="P233" s="206">
        <v>3368252</v>
      </c>
      <c r="Q233" s="206">
        <v>5181465</v>
      </c>
      <c r="R233" s="206">
        <v>4397506</v>
      </c>
      <c r="S233" s="406">
        <v>0</v>
      </c>
      <c r="T233" s="428">
        <f t="shared" si="66"/>
        <v>50</v>
      </c>
      <c r="U233" s="415">
        <f t="shared" si="67"/>
        <v>0.5</v>
      </c>
      <c r="V233" s="405">
        <v>0</v>
      </c>
      <c r="W233" s="428">
        <f t="shared" si="68"/>
        <v>50</v>
      </c>
      <c r="X233" s="415">
        <f t="shared" si="69"/>
        <v>0.5</v>
      </c>
      <c r="Y233" s="406">
        <v>0</v>
      </c>
      <c r="Z233" s="429">
        <v>0</v>
      </c>
      <c r="AA233" s="430">
        <f t="shared" si="70"/>
        <v>50</v>
      </c>
      <c r="AB233" s="415">
        <f t="shared" si="71"/>
        <v>0.5</v>
      </c>
      <c r="AC233" s="431">
        <v>0</v>
      </c>
      <c r="AD233" s="432">
        <f t="shared" si="72"/>
        <v>100</v>
      </c>
      <c r="AE233" s="433">
        <f t="shared" si="84"/>
        <v>4</v>
      </c>
      <c r="AF233" s="434" t="s">
        <v>2326</v>
      </c>
      <c r="AG233" s="434" t="s">
        <v>2326</v>
      </c>
      <c r="AH233" s="434" t="s">
        <v>2326</v>
      </c>
      <c r="AI233" s="362"/>
      <c r="AJ233" s="434" t="s">
        <v>2326</v>
      </c>
      <c r="AK233" s="434" t="s">
        <v>2326</v>
      </c>
      <c r="AL233" s="363"/>
      <c r="AM233" s="406">
        <v>0</v>
      </c>
      <c r="AN233" s="406">
        <v>0</v>
      </c>
      <c r="AO233" s="406">
        <v>0</v>
      </c>
      <c r="AP233" s="406">
        <v>0</v>
      </c>
      <c r="AQ233" s="406">
        <v>0</v>
      </c>
      <c r="AR233" s="406">
        <v>0</v>
      </c>
      <c r="AS233" s="406">
        <v>0</v>
      </c>
      <c r="AT233" s="406">
        <v>0</v>
      </c>
      <c r="AU233" s="407">
        <f t="shared" si="73"/>
        <v>0</v>
      </c>
      <c r="AV233" s="407">
        <f t="shared" si="74"/>
        <v>100</v>
      </c>
      <c r="AW233" s="408">
        <f t="shared" si="85"/>
        <v>5</v>
      </c>
      <c r="AX233" s="406">
        <v>0</v>
      </c>
      <c r="AY233" s="406">
        <v>0</v>
      </c>
      <c r="AZ233" s="406">
        <v>0</v>
      </c>
      <c r="BA233" s="406">
        <v>0</v>
      </c>
      <c r="BB233" s="430">
        <f t="shared" si="75"/>
        <v>0</v>
      </c>
      <c r="BC233" s="407">
        <f t="shared" si="76"/>
        <v>25</v>
      </c>
      <c r="BD233" s="408">
        <f t="shared" si="86"/>
        <v>0.75</v>
      </c>
      <c r="BE233" s="340">
        <f t="shared" si="77"/>
        <v>11.25</v>
      </c>
    </row>
    <row r="234" spans="1:57" x14ac:dyDescent="0.6">
      <c r="A234" s="214" t="s">
        <v>29</v>
      </c>
      <c r="B234" s="13" t="s">
        <v>2214</v>
      </c>
      <c r="C234" s="219" t="s">
        <v>8</v>
      </c>
      <c r="D234" s="216" t="s">
        <v>203</v>
      </c>
      <c r="E234" s="217" t="s">
        <v>246</v>
      </c>
      <c r="F234" s="217" t="s">
        <v>1105</v>
      </c>
      <c r="G234" s="218">
        <v>32781</v>
      </c>
      <c r="H234" s="217" t="s">
        <v>830</v>
      </c>
      <c r="I234" s="217" t="s">
        <v>1825</v>
      </c>
      <c r="J234" s="217" t="s">
        <v>1234</v>
      </c>
      <c r="K234" s="217" t="s">
        <v>690</v>
      </c>
      <c r="L234" s="220">
        <v>45482659</v>
      </c>
      <c r="M234" s="206">
        <v>14914195</v>
      </c>
      <c r="N234" s="206">
        <v>30568464</v>
      </c>
      <c r="O234" s="206">
        <v>50246842</v>
      </c>
      <c r="P234" s="206">
        <v>3199040</v>
      </c>
      <c r="Q234" s="206">
        <v>3233292</v>
      </c>
      <c r="R234" s="206">
        <v>3418425</v>
      </c>
      <c r="S234" s="406">
        <v>0</v>
      </c>
      <c r="T234" s="428">
        <f t="shared" si="66"/>
        <v>50</v>
      </c>
      <c r="U234" s="415">
        <f t="shared" si="67"/>
        <v>0.5</v>
      </c>
      <c r="V234" s="405">
        <v>0</v>
      </c>
      <c r="W234" s="428">
        <f t="shared" si="68"/>
        <v>50</v>
      </c>
      <c r="X234" s="415">
        <f t="shared" si="69"/>
        <v>0.5</v>
      </c>
      <c r="Y234" s="406">
        <v>0</v>
      </c>
      <c r="Z234" s="429">
        <v>0</v>
      </c>
      <c r="AA234" s="430">
        <f t="shared" si="70"/>
        <v>50</v>
      </c>
      <c r="AB234" s="415">
        <f t="shared" si="71"/>
        <v>0.5</v>
      </c>
      <c r="AC234" s="431">
        <v>0</v>
      </c>
      <c r="AD234" s="432">
        <f t="shared" si="72"/>
        <v>100</v>
      </c>
      <c r="AE234" s="433">
        <f t="shared" si="84"/>
        <v>4</v>
      </c>
      <c r="AF234" s="434" t="s">
        <v>2326</v>
      </c>
      <c r="AG234" s="434" t="s">
        <v>2326</v>
      </c>
      <c r="AH234" s="434" t="s">
        <v>2326</v>
      </c>
      <c r="AI234" s="362"/>
      <c r="AJ234" s="434" t="s">
        <v>2326</v>
      </c>
      <c r="AK234" s="434" t="s">
        <v>2326</v>
      </c>
      <c r="AL234" s="363"/>
      <c r="AM234" s="406">
        <v>0</v>
      </c>
      <c r="AN234" s="406">
        <v>0</v>
      </c>
      <c r="AO234" s="406">
        <v>0</v>
      </c>
      <c r="AP234" s="406">
        <v>0</v>
      </c>
      <c r="AQ234" s="406">
        <v>0</v>
      </c>
      <c r="AR234" s="406">
        <v>0</v>
      </c>
      <c r="AS234" s="406">
        <v>0</v>
      </c>
      <c r="AT234" s="406">
        <v>0</v>
      </c>
      <c r="AU234" s="407">
        <f t="shared" si="73"/>
        <v>0</v>
      </c>
      <c r="AV234" s="407">
        <f t="shared" si="74"/>
        <v>100</v>
      </c>
      <c r="AW234" s="408">
        <f t="shared" si="85"/>
        <v>5</v>
      </c>
      <c r="AX234" s="406">
        <v>0</v>
      </c>
      <c r="AY234" s="406">
        <v>0</v>
      </c>
      <c r="AZ234" s="406">
        <v>0</v>
      </c>
      <c r="BA234" s="406">
        <v>0</v>
      </c>
      <c r="BB234" s="430">
        <f t="shared" si="75"/>
        <v>0</v>
      </c>
      <c r="BC234" s="407">
        <f t="shared" si="76"/>
        <v>25</v>
      </c>
      <c r="BD234" s="408">
        <f t="shared" si="86"/>
        <v>0.75</v>
      </c>
      <c r="BE234" s="340">
        <f t="shared" si="77"/>
        <v>11.25</v>
      </c>
    </row>
    <row r="235" spans="1:57" x14ac:dyDescent="0.6">
      <c r="A235" s="214" t="s">
        <v>335</v>
      </c>
      <c r="B235" s="13" t="s">
        <v>2215</v>
      </c>
      <c r="C235" s="219" t="s">
        <v>107</v>
      </c>
      <c r="D235" s="216" t="s">
        <v>285</v>
      </c>
      <c r="E235" s="217" t="s">
        <v>867</v>
      </c>
      <c r="F235" s="217" t="s">
        <v>1098</v>
      </c>
      <c r="G235" s="218">
        <v>28301</v>
      </c>
      <c r="H235" s="217" t="s">
        <v>830</v>
      </c>
      <c r="I235" s="217" t="s">
        <v>766</v>
      </c>
      <c r="J235" s="217" t="s">
        <v>1195</v>
      </c>
      <c r="K235" s="217" t="s">
        <v>346</v>
      </c>
      <c r="L235" s="220">
        <v>451746879</v>
      </c>
      <c r="M235" s="206">
        <v>227013990</v>
      </c>
      <c r="N235" s="206">
        <v>224732889</v>
      </c>
      <c r="O235" s="206">
        <v>628936049</v>
      </c>
      <c r="P235" s="206">
        <v>50682533</v>
      </c>
      <c r="Q235" s="206">
        <v>53220599</v>
      </c>
      <c r="R235" s="206">
        <v>49560577</v>
      </c>
      <c r="S235" s="406">
        <v>0</v>
      </c>
      <c r="T235" s="428">
        <f t="shared" si="66"/>
        <v>50</v>
      </c>
      <c r="U235" s="415">
        <f t="shared" si="67"/>
        <v>0.5</v>
      </c>
      <c r="V235" s="405">
        <v>0</v>
      </c>
      <c r="W235" s="428">
        <f t="shared" si="68"/>
        <v>50</v>
      </c>
      <c r="X235" s="415">
        <f t="shared" si="69"/>
        <v>0.5</v>
      </c>
      <c r="Y235" s="406">
        <v>0</v>
      </c>
      <c r="Z235" s="429">
        <v>0</v>
      </c>
      <c r="AA235" s="430">
        <f t="shared" si="70"/>
        <v>50</v>
      </c>
      <c r="AB235" s="415">
        <f t="shared" si="71"/>
        <v>0.5</v>
      </c>
      <c r="AC235" s="431">
        <v>0</v>
      </c>
      <c r="AD235" s="432">
        <f t="shared" si="72"/>
        <v>100</v>
      </c>
      <c r="AE235" s="433">
        <f t="shared" si="84"/>
        <v>4</v>
      </c>
      <c r="AF235" s="434" t="s">
        <v>2326</v>
      </c>
      <c r="AG235" s="434" t="s">
        <v>2326</v>
      </c>
      <c r="AH235" s="434" t="s">
        <v>2326</v>
      </c>
      <c r="AI235" s="362"/>
      <c r="AJ235" s="434" t="s">
        <v>2326</v>
      </c>
      <c r="AK235" s="434" t="s">
        <v>2326</v>
      </c>
      <c r="AL235" s="363"/>
      <c r="AM235" s="406">
        <v>0</v>
      </c>
      <c r="AN235" s="406">
        <v>0</v>
      </c>
      <c r="AO235" s="406">
        <v>0</v>
      </c>
      <c r="AP235" s="406">
        <v>0</v>
      </c>
      <c r="AQ235" s="406">
        <v>0</v>
      </c>
      <c r="AR235" s="406">
        <v>0</v>
      </c>
      <c r="AS235" s="406">
        <v>0</v>
      </c>
      <c r="AT235" s="406">
        <v>0</v>
      </c>
      <c r="AU235" s="407">
        <f t="shared" si="73"/>
        <v>0</v>
      </c>
      <c r="AV235" s="407">
        <f t="shared" si="74"/>
        <v>100</v>
      </c>
      <c r="AW235" s="408">
        <f t="shared" si="85"/>
        <v>5</v>
      </c>
      <c r="AX235" s="406">
        <v>0</v>
      </c>
      <c r="AY235" s="406">
        <v>0</v>
      </c>
      <c r="AZ235" s="406">
        <v>0</v>
      </c>
      <c r="BA235" s="406">
        <v>0</v>
      </c>
      <c r="BB235" s="430">
        <f t="shared" si="75"/>
        <v>0</v>
      </c>
      <c r="BC235" s="407">
        <f t="shared" si="76"/>
        <v>25</v>
      </c>
      <c r="BD235" s="408">
        <f t="shared" si="86"/>
        <v>0.75</v>
      </c>
      <c r="BE235" s="340">
        <f t="shared" si="77"/>
        <v>11.25</v>
      </c>
    </row>
    <row r="236" spans="1:57" x14ac:dyDescent="0.6">
      <c r="A236" s="214" t="s">
        <v>1827</v>
      </c>
      <c r="B236" s="13" t="s">
        <v>2216</v>
      </c>
      <c r="C236" s="219" t="s">
        <v>1828</v>
      </c>
      <c r="D236" s="79" t="s">
        <v>88</v>
      </c>
      <c r="E236" s="217" t="s">
        <v>1585</v>
      </c>
      <c r="F236" s="217" t="s">
        <v>1829</v>
      </c>
      <c r="G236" s="218">
        <v>44414</v>
      </c>
      <c r="H236" s="217" t="s">
        <v>830</v>
      </c>
      <c r="I236" s="217" t="s">
        <v>1830</v>
      </c>
      <c r="J236" s="1" t="s">
        <v>2308</v>
      </c>
      <c r="K236" s="217" t="s">
        <v>690</v>
      </c>
      <c r="L236" s="220">
        <v>39516079000</v>
      </c>
      <c r="M236" s="206">
        <v>33800969000</v>
      </c>
      <c r="N236" s="206">
        <v>5715110000</v>
      </c>
      <c r="O236" s="206">
        <v>1605801000</v>
      </c>
      <c r="P236" s="206">
        <v>353186000</v>
      </c>
      <c r="Q236" s="206">
        <v>351733000</v>
      </c>
      <c r="R236" s="206">
        <v>263091000</v>
      </c>
      <c r="S236" s="406">
        <v>0</v>
      </c>
      <c r="T236" s="428">
        <f t="shared" si="66"/>
        <v>50</v>
      </c>
      <c r="U236" s="415">
        <f t="shared" si="67"/>
        <v>0.5</v>
      </c>
      <c r="V236" s="405">
        <v>0</v>
      </c>
      <c r="W236" s="428">
        <f t="shared" si="68"/>
        <v>50</v>
      </c>
      <c r="X236" s="415">
        <f t="shared" si="69"/>
        <v>0.5</v>
      </c>
      <c r="Y236" s="406">
        <v>0</v>
      </c>
      <c r="Z236" s="429">
        <v>0</v>
      </c>
      <c r="AA236" s="430">
        <f t="shared" si="70"/>
        <v>50</v>
      </c>
      <c r="AB236" s="415">
        <f t="shared" si="71"/>
        <v>0.5</v>
      </c>
      <c r="AC236" s="75">
        <v>0</v>
      </c>
      <c r="AD236" s="432">
        <f t="shared" si="72"/>
        <v>100</v>
      </c>
      <c r="AE236" s="435">
        <f>AD236*0.03</f>
        <v>3</v>
      </c>
      <c r="AF236" s="436">
        <v>1</v>
      </c>
      <c r="AG236" s="437">
        <f>(_xlfn.PERCENTRANK.INC(AF:AF,AF236, 2))*100</f>
        <v>46</v>
      </c>
      <c r="AH236" s="437">
        <f>IF(AF236=0, 100, IF(AG236&lt;10, 80, IF(AG236&lt;50, 60, IF(AG236&lt;90, 40, 20))))</f>
        <v>60</v>
      </c>
      <c r="AI236" s="263">
        <f>AH236*0.03</f>
        <v>1.7999999999999998</v>
      </c>
      <c r="AJ236" s="264" t="s">
        <v>3540</v>
      </c>
      <c r="AK236" s="265">
        <f>IF(AJ236="우수", 100, IF(AJ236="양호", 80, IF(AJ236="보통", 60, IF(AJ236= "평가미대상", 60, IF(AJ236="미흡", 40, IF(AJ236="취약", 20))))))</f>
        <v>60</v>
      </c>
      <c r="AL236" s="141">
        <f>AK236*0.03</f>
        <v>1.7999999999999998</v>
      </c>
      <c r="AM236" s="406">
        <v>0</v>
      </c>
      <c r="AN236" s="406">
        <v>0</v>
      </c>
      <c r="AO236" s="406">
        <v>0</v>
      </c>
      <c r="AP236" s="406">
        <v>0</v>
      </c>
      <c r="AQ236" s="406">
        <v>0</v>
      </c>
      <c r="AR236" s="406">
        <v>0</v>
      </c>
      <c r="AS236" s="406">
        <v>0</v>
      </c>
      <c r="AT236" s="406">
        <v>0</v>
      </c>
      <c r="AU236" s="407">
        <f t="shared" si="73"/>
        <v>0</v>
      </c>
      <c r="AV236" s="407">
        <f t="shared" si="74"/>
        <v>100</v>
      </c>
      <c r="AW236" s="438">
        <f>AV236*0.02</f>
        <v>2</v>
      </c>
      <c r="AX236" s="406">
        <v>0</v>
      </c>
      <c r="AY236" s="406">
        <v>0</v>
      </c>
      <c r="AZ236" s="406">
        <v>0</v>
      </c>
      <c r="BA236" s="406">
        <v>0</v>
      </c>
      <c r="BB236" s="430">
        <f t="shared" si="75"/>
        <v>0</v>
      </c>
      <c r="BC236" s="407">
        <f t="shared" si="76"/>
        <v>25</v>
      </c>
      <c r="BD236" s="418">
        <f>BC236*0.01</f>
        <v>0.25</v>
      </c>
      <c r="BE236" s="340">
        <f t="shared" si="77"/>
        <v>10.35</v>
      </c>
    </row>
    <row r="237" spans="1:57" x14ac:dyDescent="0.6">
      <c r="A237" s="214" t="s">
        <v>828</v>
      </c>
      <c r="B237" s="13" t="s">
        <v>2217</v>
      </c>
      <c r="C237" s="219" t="s">
        <v>541</v>
      </c>
      <c r="D237" s="216" t="s">
        <v>202</v>
      </c>
      <c r="E237" s="217" t="s">
        <v>161</v>
      </c>
      <c r="F237" s="217" t="s">
        <v>1202</v>
      </c>
      <c r="G237" s="218">
        <v>35759</v>
      </c>
      <c r="H237" s="217" t="s">
        <v>830</v>
      </c>
      <c r="I237" s="217" t="s">
        <v>1831</v>
      </c>
      <c r="J237" s="217" t="s">
        <v>1092</v>
      </c>
      <c r="K237" s="217" t="s">
        <v>690</v>
      </c>
      <c r="L237" s="220">
        <v>620348530</v>
      </c>
      <c r="M237" s="206">
        <v>68839722</v>
      </c>
      <c r="N237" s="206">
        <v>551508808</v>
      </c>
      <c r="O237" s="206">
        <v>211778911</v>
      </c>
      <c r="P237" s="206">
        <v>46883729</v>
      </c>
      <c r="Q237" s="206">
        <v>54068760</v>
      </c>
      <c r="R237" s="206">
        <v>46885493</v>
      </c>
      <c r="S237" s="406">
        <v>0</v>
      </c>
      <c r="T237" s="428">
        <f t="shared" si="66"/>
        <v>50</v>
      </c>
      <c r="U237" s="415">
        <f t="shared" si="67"/>
        <v>0.5</v>
      </c>
      <c r="V237" s="405">
        <v>0</v>
      </c>
      <c r="W237" s="428">
        <f t="shared" si="68"/>
        <v>50</v>
      </c>
      <c r="X237" s="415">
        <f t="shared" si="69"/>
        <v>0.5</v>
      </c>
      <c r="Y237" s="406">
        <v>0</v>
      </c>
      <c r="Z237" s="429">
        <v>0</v>
      </c>
      <c r="AA237" s="430">
        <f t="shared" si="70"/>
        <v>50</v>
      </c>
      <c r="AB237" s="415">
        <f t="shared" si="71"/>
        <v>0.5</v>
      </c>
      <c r="AC237" s="431">
        <v>0</v>
      </c>
      <c r="AD237" s="432">
        <f t="shared" si="72"/>
        <v>100</v>
      </c>
      <c r="AE237" s="433">
        <f t="shared" ref="AE237:AE245" si="87">AD237*0.04</f>
        <v>4</v>
      </c>
      <c r="AF237" s="434" t="s">
        <v>2326</v>
      </c>
      <c r="AG237" s="434" t="s">
        <v>2326</v>
      </c>
      <c r="AH237" s="434" t="s">
        <v>2326</v>
      </c>
      <c r="AI237" s="362"/>
      <c r="AJ237" s="434" t="s">
        <v>2326</v>
      </c>
      <c r="AK237" s="434" t="s">
        <v>2326</v>
      </c>
      <c r="AL237" s="363"/>
      <c r="AM237" s="406">
        <v>0</v>
      </c>
      <c r="AN237" s="406">
        <v>0</v>
      </c>
      <c r="AO237" s="406">
        <v>0</v>
      </c>
      <c r="AP237" s="406">
        <v>0</v>
      </c>
      <c r="AQ237" s="406">
        <v>0</v>
      </c>
      <c r="AR237" s="406">
        <v>0</v>
      </c>
      <c r="AS237" s="406">
        <v>0</v>
      </c>
      <c r="AT237" s="406">
        <v>0</v>
      </c>
      <c r="AU237" s="407">
        <f t="shared" si="73"/>
        <v>0</v>
      </c>
      <c r="AV237" s="407">
        <f t="shared" si="74"/>
        <v>100</v>
      </c>
      <c r="AW237" s="408">
        <f t="shared" ref="AW237:AW245" si="88">AV237*0.05</f>
        <v>5</v>
      </c>
      <c r="AX237" s="406">
        <v>0</v>
      </c>
      <c r="AY237" s="406">
        <v>0</v>
      </c>
      <c r="AZ237" s="406">
        <v>0</v>
      </c>
      <c r="BA237" s="406">
        <v>0</v>
      </c>
      <c r="BB237" s="430">
        <f t="shared" si="75"/>
        <v>0</v>
      </c>
      <c r="BC237" s="407">
        <f t="shared" si="76"/>
        <v>25</v>
      </c>
      <c r="BD237" s="408">
        <f t="shared" ref="BD237:BD245" si="89">BC237*0.03</f>
        <v>0.75</v>
      </c>
      <c r="BE237" s="340">
        <f t="shared" si="77"/>
        <v>11.25</v>
      </c>
    </row>
    <row r="238" spans="1:57" x14ac:dyDescent="0.6">
      <c r="A238" s="214" t="s">
        <v>1832</v>
      </c>
      <c r="B238" s="13" t="s">
        <v>2218</v>
      </c>
      <c r="C238" s="219" t="s">
        <v>1833</v>
      </c>
      <c r="D238" s="14" t="s">
        <v>203</v>
      </c>
      <c r="E238" s="217" t="s">
        <v>188</v>
      </c>
      <c r="F238" s="217" t="s">
        <v>1834</v>
      </c>
      <c r="G238" s="218">
        <v>26840</v>
      </c>
      <c r="H238" s="217" t="s">
        <v>830</v>
      </c>
      <c r="I238" s="217" t="s">
        <v>1835</v>
      </c>
      <c r="J238" s="217" t="s">
        <v>1836</v>
      </c>
      <c r="K238" s="217" t="s">
        <v>91</v>
      </c>
      <c r="L238" s="220">
        <v>8803079613</v>
      </c>
      <c r="M238" s="206">
        <v>3891106993</v>
      </c>
      <c r="N238" s="206">
        <v>4911972621</v>
      </c>
      <c r="O238" s="206">
        <v>2701705575</v>
      </c>
      <c r="P238" s="206">
        <v>177791342</v>
      </c>
      <c r="Q238" s="206">
        <v>7918913</v>
      </c>
      <c r="R238" s="206">
        <v>7342768</v>
      </c>
      <c r="S238" s="406">
        <v>0</v>
      </c>
      <c r="T238" s="428">
        <f t="shared" si="66"/>
        <v>50</v>
      </c>
      <c r="U238" s="415">
        <f t="shared" si="67"/>
        <v>0.5</v>
      </c>
      <c r="V238" s="405">
        <v>0</v>
      </c>
      <c r="W238" s="428">
        <f t="shared" si="68"/>
        <v>50</v>
      </c>
      <c r="X238" s="415">
        <f t="shared" si="69"/>
        <v>0.5</v>
      </c>
      <c r="Y238" s="406">
        <v>0</v>
      </c>
      <c r="Z238" s="429">
        <v>0</v>
      </c>
      <c r="AA238" s="430">
        <f t="shared" si="70"/>
        <v>50</v>
      </c>
      <c r="AB238" s="415">
        <f t="shared" si="71"/>
        <v>0.5</v>
      </c>
      <c r="AC238" s="431">
        <v>1</v>
      </c>
      <c r="AD238" s="432">
        <f t="shared" si="72"/>
        <v>80</v>
      </c>
      <c r="AE238" s="433">
        <f t="shared" si="87"/>
        <v>3.2</v>
      </c>
      <c r="AF238" s="434" t="s">
        <v>2326</v>
      </c>
      <c r="AG238" s="434" t="s">
        <v>2326</v>
      </c>
      <c r="AH238" s="434" t="s">
        <v>2326</v>
      </c>
      <c r="AI238" s="362"/>
      <c r="AJ238" s="434" t="s">
        <v>2326</v>
      </c>
      <c r="AK238" s="434" t="s">
        <v>2326</v>
      </c>
      <c r="AL238" s="363"/>
      <c r="AM238" s="406">
        <v>0</v>
      </c>
      <c r="AN238" s="406">
        <v>0</v>
      </c>
      <c r="AO238" s="406">
        <v>0</v>
      </c>
      <c r="AP238" s="406">
        <v>0</v>
      </c>
      <c r="AQ238" s="406">
        <v>0</v>
      </c>
      <c r="AR238" s="406">
        <v>0</v>
      </c>
      <c r="AS238" s="406">
        <v>0</v>
      </c>
      <c r="AT238" s="406">
        <v>0</v>
      </c>
      <c r="AU238" s="407">
        <f t="shared" si="73"/>
        <v>0</v>
      </c>
      <c r="AV238" s="407">
        <f t="shared" si="74"/>
        <v>100</v>
      </c>
      <c r="AW238" s="408">
        <f t="shared" si="88"/>
        <v>5</v>
      </c>
      <c r="AX238" s="406">
        <v>0</v>
      </c>
      <c r="AY238" s="406">
        <v>0</v>
      </c>
      <c r="AZ238" s="406">
        <v>0</v>
      </c>
      <c r="BA238" s="406">
        <v>0</v>
      </c>
      <c r="BB238" s="430">
        <f t="shared" si="75"/>
        <v>0</v>
      </c>
      <c r="BC238" s="407">
        <f t="shared" si="76"/>
        <v>25</v>
      </c>
      <c r="BD238" s="408">
        <f t="shared" si="89"/>
        <v>0.75</v>
      </c>
      <c r="BE238" s="340">
        <f t="shared" si="77"/>
        <v>10.45</v>
      </c>
    </row>
    <row r="239" spans="1:57" x14ac:dyDescent="0.6">
      <c r="A239" s="214" t="s">
        <v>26</v>
      </c>
      <c r="B239" s="13" t="s">
        <v>2219</v>
      </c>
      <c r="C239" s="219" t="s">
        <v>475</v>
      </c>
      <c r="D239" s="216" t="s">
        <v>202</v>
      </c>
      <c r="E239" s="217" t="s">
        <v>161</v>
      </c>
      <c r="F239" s="217" t="s">
        <v>985</v>
      </c>
      <c r="G239" s="218">
        <v>43074</v>
      </c>
      <c r="H239" s="217" t="s">
        <v>830</v>
      </c>
      <c r="I239" s="217" t="s">
        <v>1017</v>
      </c>
      <c r="J239" s="217" t="s">
        <v>1133</v>
      </c>
      <c r="K239" s="217" t="s">
        <v>690</v>
      </c>
      <c r="L239" s="220">
        <v>483313332</v>
      </c>
      <c r="M239" s="206">
        <v>57327965</v>
      </c>
      <c r="N239" s="206">
        <v>425985367</v>
      </c>
      <c r="O239" s="206">
        <v>378192950</v>
      </c>
      <c r="P239" s="206">
        <v>60336561</v>
      </c>
      <c r="Q239" s="206">
        <v>70491799</v>
      </c>
      <c r="R239" s="206">
        <v>55385939</v>
      </c>
      <c r="S239" s="406">
        <v>0</v>
      </c>
      <c r="T239" s="428">
        <f t="shared" si="66"/>
        <v>50</v>
      </c>
      <c r="U239" s="415">
        <f t="shared" si="67"/>
        <v>0.5</v>
      </c>
      <c r="V239" s="405">
        <v>0</v>
      </c>
      <c r="W239" s="428">
        <f t="shared" si="68"/>
        <v>50</v>
      </c>
      <c r="X239" s="415">
        <f t="shared" si="69"/>
        <v>0.5</v>
      </c>
      <c r="Y239" s="406">
        <v>0</v>
      </c>
      <c r="Z239" s="429">
        <v>0</v>
      </c>
      <c r="AA239" s="430">
        <f t="shared" si="70"/>
        <v>50</v>
      </c>
      <c r="AB239" s="415">
        <f t="shared" si="71"/>
        <v>0.5</v>
      </c>
      <c r="AC239" s="431">
        <v>0</v>
      </c>
      <c r="AD239" s="432">
        <f t="shared" si="72"/>
        <v>100</v>
      </c>
      <c r="AE239" s="433">
        <f t="shared" si="87"/>
        <v>4</v>
      </c>
      <c r="AF239" s="434" t="s">
        <v>2326</v>
      </c>
      <c r="AG239" s="434" t="s">
        <v>2326</v>
      </c>
      <c r="AH239" s="434" t="s">
        <v>2326</v>
      </c>
      <c r="AI239" s="362"/>
      <c r="AJ239" s="434" t="s">
        <v>2326</v>
      </c>
      <c r="AK239" s="434" t="s">
        <v>2326</v>
      </c>
      <c r="AL239" s="363"/>
      <c r="AM239" s="406">
        <v>0</v>
      </c>
      <c r="AN239" s="406">
        <v>0</v>
      </c>
      <c r="AO239" s="406">
        <v>0</v>
      </c>
      <c r="AP239" s="406">
        <v>0</v>
      </c>
      <c r="AQ239" s="406">
        <v>0</v>
      </c>
      <c r="AR239" s="406">
        <v>0</v>
      </c>
      <c r="AS239" s="406">
        <v>0</v>
      </c>
      <c r="AT239" s="406">
        <v>0</v>
      </c>
      <c r="AU239" s="407">
        <f t="shared" si="73"/>
        <v>0</v>
      </c>
      <c r="AV239" s="407">
        <f t="shared" si="74"/>
        <v>100</v>
      </c>
      <c r="AW239" s="408">
        <f t="shared" si="88"/>
        <v>5</v>
      </c>
      <c r="AX239" s="406">
        <v>0</v>
      </c>
      <c r="AY239" s="406">
        <v>0</v>
      </c>
      <c r="AZ239" s="406">
        <v>0</v>
      </c>
      <c r="BA239" s="406">
        <v>0</v>
      </c>
      <c r="BB239" s="430">
        <f t="shared" si="75"/>
        <v>0</v>
      </c>
      <c r="BC239" s="407">
        <f t="shared" si="76"/>
        <v>25</v>
      </c>
      <c r="BD239" s="408">
        <f t="shared" si="89"/>
        <v>0.75</v>
      </c>
      <c r="BE239" s="340">
        <f t="shared" si="77"/>
        <v>11.25</v>
      </c>
    </row>
    <row r="240" spans="1:57" x14ac:dyDescent="0.6">
      <c r="A240" s="214" t="s">
        <v>1837</v>
      </c>
      <c r="B240" s="13" t="s">
        <v>2220</v>
      </c>
      <c r="C240" s="219" t="s">
        <v>1838</v>
      </c>
      <c r="D240" s="14" t="s">
        <v>285</v>
      </c>
      <c r="E240" s="217" t="s">
        <v>1432</v>
      </c>
      <c r="F240" s="217" t="s">
        <v>1839</v>
      </c>
      <c r="G240" s="218">
        <v>28762</v>
      </c>
      <c r="H240" s="217" t="s">
        <v>830</v>
      </c>
      <c r="I240" s="217" t="s">
        <v>1840</v>
      </c>
      <c r="J240" s="217" t="s">
        <v>1841</v>
      </c>
      <c r="K240" s="217" t="s">
        <v>91</v>
      </c>
      <c r="L240" s="220">
        <v>501506960</v>
      </c>
      <c r="M240" s="206">
        <v>297824193</v>
      </c>
      <c r="N240" s="206">
        <v>203682767</v>
      </c>
      <c r="O240" s="206">
        <v>628065353</v>
      </c>
      <c r="P240" s="206">
        <v>22866089</v>
      </c>
      <c r="Q240" s="206">
        <v>14957802</v>
      </c>
      <c r="R240" s="206">
        <v>12222578</v>
      </c>
      <c r="S240" s="406">
        <v>0</v>
      </c>
      <c r="T240" s="428">
        <f t="shared" si="66"/>
        <v>50</v>
      </c>
      <c r="U240" s="415">
        <f t="shared" si="67"/>
        <v>0.5</v>
      </c>
      <c r="V240" s="405">
        <v>0</v>
      </c>
      <c r="W240" s="428">
        <f t="shared" si="68"/>
        <v>50</v>
      </c>
      <c r="X240" s="415">
        <f t="shared" si="69"/>
        <v>0.5</v>
      </c>
      <c r="Y240" s="406">
        <v>0</v>
      </c>
      <c r="Z240" s="429">
        <v>0</v>
      </c>
      <c r="AA240" s="430">
        <f t="shared" si="70"/>
        <v>50</v>
      </c>
      <c r="AB240" s="415">
        <f t="shared" si="71"/>
        <v>0.5</v>
      </c>
      <c r="AC240" s="431">
        <v>0</v>
      </c>
      <c r="AD240" s="432">
        <f t="shared" si="72"/>
        <v>100</v>
      </c>
      <c r="AE240" s="433">
        <f t="shared" si="87"/>
        <v>4</v>
      </c>
      <c r="AF240" s="434" t="s">
        <v>2326</v>
      </c>
      <c r="AG240" s="434" t="s">
        <v>2326</v>
      </c>
      <c r="AH240" s="434" t="s">
        <v>2326</v>
      </c>
      <c r="AI240" s="362"/>
      <c r="AJ240" s="434" t="s">
        <v>2326</v>
      </c>
      <c r="AK240" s="434" t="s">
        <v>2326</v>
      </c>
      <c r="AL240" s="363"/>
      <c r="AM240" s="406">
        <v>0</v>
      </c>
      <c r="AN240" s="406">
        <v>0</v>
      </c>
      <c r="AO240" s="406">
        <v>0</v>
      </c>
      <c r="AP240" s="406">
        <v>0</v>
      </c>
      <c r="AQ240" s="406">
        <v>0</v>
      </c>
      <c r="AR240" s="406">
        <v>0</v>
      </c>
      <c r="AS240" s="406">
        <v>0</v>
      </c>
      <c r="AT240" s="406">
        <v>0</v>
      </c>
      <c r="AU240" s="407">
        <f t="shared" si="73"/>
        <v>0</v>
      </c>
      <c r="AV240" s="407">
        <f t="shared" si="74"/>
        <v>100</v>
      </c>
      <c r="AW240" s="408">
        <f t="shared" si="88"/>
        <v>5</v>
      </c>
      <c r="AX240" s="406">
        <v>0</v>
      </c>
      <c r="AY240" s="406">
        <v>0</v>
      </c>
      <c r="AZ240" s="406">
        <v>0</v>
      </c>
      <c r="BA240" s="406">
        <v>0</v>
      </c>
      <c r="BB240" s="430">
        <f t="shared" si="75"/>
        <v>0</v>
      </c>
      <c r="BC240" s="407">
        <f t="shared" si="76"/>
        <v>25</v>
      </c>
      <c r="BD240" s="408">
        <f t="shared" si="89"/>
        <v>0.75</v>
      </c>
      <c r="BE240" s="340">
        <f t="shared" si="77"/>
        <v>11.25</v>
      </c>
    </row>
    <row r="241" spans="1:57" x14ac:dyDescent="0.6">
      <c r="A241" s="214" t="s">
        <v>1842</v>
      </c>
      <c r="B241" s="13" t="s">
        <v>2221</v>
      </c>
      <c r="C241" s="219" t="s">
        <v>1843</v>
      </c>
      <c r="D241" s="14" t="s">
        <v>285</v>
      </c>
      <c r="E241" s="217" t="s">
        <v>1756</v>
      </c>
      <c r="F241" s="217" t="s">
        <v>1844</v>
      </c>
      <c r="G241" s="218">
        <v>44482</v>
      </c>
      <c r="H241" s="217" t="s">
        <v>830</v>
      </c>
      <c r="I241" s="217" t="s">
        <v>1845</v>
      </c>
      <c r="J241" s="217" t="s">
        <v>1846</v>
      </c>
      <c r="K241" s="217" t="s">
        <v>91</v>
      </c>
      <c r="L241" s="220">
        <v>534356691</v>
      </c>
      <c r="M241" s="206">
        <v>288535624</v>
      </c>
      <c r="N241" s="206">
        <v>245821067</v>
      </c>
      <c r="O241" s="206">
        <v>2177261974</v>
      </c>
      <c r="P241" s="206">
        <v>50047663</v>
      </c>
      <c r="Q241" s="206">
        <v>39570210</v>
      </c>
      <c r="R241" s="206">
        <v>30363689</v>
      </c>
      <c r="S241" s="406">
        <v>0</v>
      </c>
      <c r="T241" s="428">
        <f t="shared" si="66"/>
        <v>50</v>
      </c>
      <c r="U241" s="415">
        <f t="shared" si="67"/>
        <v>0.5</v>
      </c>
      <c r="V241" s="405">
        <v>0</v>
      </c>
      <c r="W241" s="428">
        <f t="shared" si="68"/>
        <v>50</v>
      </c>
      <c r="X241" s="415">
        <f t="shared" si="69"/>
        <v>0.5</v>
      </c>
      <c r="Y241" s="406">
        <v>0</v>
      </c>
      <c r="Z241" s="429">
        <v>0</v>
      </c>
      <c r="AA241" s="430">
        <f t="shared" si="70"/>
        <v>50</v>
      </c>
      <c r="AB241" s="415">
        <f t="shared" si="71"/>
        <v>0.5</v>
      </c>
      <c r="AC241" s="431">
        <v>0</v>
      </c>
      <c r="AD241" s="432">
        <f t="shared" si="72"/>
        <v>100</v>
      </c>
      <c r="AE241" s="433">
        <f t="shared" si="87"/>
        <v>4</v>
      </c>
      <c r="AF241" s="434" t="s">
        <v>2326</v>
      </c>
      <c r="AG241" s="434" t="s">
        <v>2326</v>
      </c>
      <c r="AH241" s="434" t="s">
        <v>2326</v>
      </c>
      <c r="AI241" s="362"/>
      <c r="AJ241" s="434" t="s">
        <v>2326</v>
      </c>
      <c r="AK241" s="434" t="s">
        <v>2326</v>
      </c>
      <c r="AL241" s="363"/>
      <c r="AM241" s="406">
        <v>0</v>
      </c>
      <c r="AN241" s="406">
        <v>0</v>
      </c>
      <c r="AO241" s="406">
        <v>0</v>
      </c>
      <c r="AP241" s="406">
        <v>0</v>
      </c>
      <c r="AQ241" s="406">
        <v>0</v>
      </c>
      <c r="AR241" s="406">
        <v>0</v>
      </c>
      <c r="AS241" s="406">
        <v>0</v>
      </c>
      <c r="AT241" s="406">
        <v>0</v>
      </c>
      <c r="AU241" s="407">
        <f t="shared" si="73"/>
        <v>0</v>
      </c>
      <c r="AV241" s="407">
        <f t="shared" si="74"/>
        <v>100</v>
      </c>
      <c r="AW241" s="408">
        <f t="shared" si="88"/>
        <v>5</v>
      </c>
      <c r="AX241" s="406">
        <v>0</v>
      </c>
      <c r="AY241" s="406">
        <v>0</v>
      </c>
      <c r="AZ241" s="406">
        <v>0</v>
      </c>
      <c r="BA241" s="406">
        <v>0</v>
      </c>
      <c r="BB241" s="430">
        <f t="shared" si="75"/>
        <v>0</v>
      </c>
      <c r="BC241" s="407">
        <f t="shared" si="76"/>
        <v>25</v>
      </c>
      <c r="BD241" s="408">
        <f t="shared" si="89"/>
        <v>0.75</v>
      </c>
      <c r="BE241" s="340">
        <f t="shared" si="77"/>
        <v>11.25</v>
      </c>
    </row>
    <row r="242" spans="1:57" x14ac:dyDescent="0.6">
      <c r="A242" s="214" t="s">
        <v>1847</v>
      </c>
      <c r="B242" s="13" t="s">
        <v>2222</v>
      </c>
      <c r="C242" s="219" t="s">
        <v>1848</v>
      </c>
      <c r="D242" s="14" t="s">
        <v>202</v>
      </c>
      <c r="E242" s="217" t="s">
        <v>56</v>
      </c>
      <c r="F242" s="217" t="s">
        <v>1849</v>
      </c>
      <c r="G242" s="218">
        <v>36152</v>
      </c>
      <c r="H242" s="217" t="s">
        <v>830</v>
      </c>
      <c r="I242" s="217" t="s">
        <v>1850</v>
      </c>
      <c r="J242" s="217" t="s">
        <v>1851</v>
      </c>
      <c r="K242" s="217" t="s">
        <v>690</v>
      </c>
      <c r="L242" s="220">
        <v>30417774000</v>
      </c>
      <c r="M242" s="206">
        <v>15559694000</v>
      </c>
      <c r="N242" s="206">
        <v>14858080000</v>
      </c>
      <c r="O242" s="206">
        <v>18289243000</v>
      </c>
      <c r="P242" s="206">
        <v>1168103000</v>
      </c>
      <c r="Q242" s="206">
        <v>1270743000</v>
      </c>
      <c r="R242" s="206">
        <v>763750000</v>
      </c>
      <c r="S242" s="406">
        <v>0</v>
      </c>
      <c r="T242" s="428">
        <f t="shared" si="66"/>
        <v>50</v>
      </c>
      <c r="U242" s="415">
        <f t="shared" si="67"/>
        <v>0.5</v>
      </c>
      <c r="V242" s="405">
        <v>0</v>
      </c>
      <c r="W242" s="428">
        <f t="shared" si="68"/>
        <v>50</v>
      </c>
      <c r="X242" s="415">
        <f t="shared" si="69"/>
        <v>0.5</v>
      </c>
      <c r="Y242" s="406">
        <v>0</v>
      </c>
      <c r="Z242" s="429">
        <v>0</v>
      </c>
      <c r="AA242" s="430">
        <f t="shared" si="70"/>
        <v>50</v>
      </c>
      <c r="AB242" s="415">
        <f t="shared" si="71"/>
        <v>0.5</v>
      </c>
      <c r="AC242" s="431">
        <v>20</v>
      </c>
      <c r="AD242" s="432">
        <f t="shared" si="72"/>
        <v>20</v>
      </c>
      <c r="AE242" s="433">
        <f t="shared" si="87"/>
        <v>0.8</v>
      </c>
      <c r="AF242" s="434" t="s">
        <v>2326</v>
      </c>
      <c r="AG242" s="434" t="s">
        <v>2326</v>
      </c>
      <c r="AH242" s="434" t="s">
        <v>2326</v>
      </c>
      <c r="AI242" s="362"/>
      <c r="AJ242" s="434" t="s">
        <v>2326</v>
      </c>
      <c r="AK242" s="434" t="s">
        <v>2326</v>
      </c>
      <c r="AL242" s="363"/>
      <c r="AM242" s="406">
        <v>0</v>
      </c>
      <c r="AN242" s="406">
        <v>0</v>
      </c>
      <c r="AO242" s="406">
        <v>0</v>
      </c>
      <c r="AP242" s="406">
        <v>0</v>
      </c>
      <c r="AQ242" s="406">
        <v>1</v>
      </c>
      <c r="AR242" s="406">
        <v>0</v>
      </c>
      <c r="AS242" s="406">
        <v>0</v>
      </c>
      <c r="AT242" s="406">
        <v>0</v>
      </c>
      <c r="AU242" s="407">
        <f t="shared" si="73"/>
        <v>1</v>
      </c>
      <c r="AV242" s="407">
        <f t="shared" si="74"/>
        <v>80</v>
      </c>
      <c r="AW242" s="408">
        <f t="shared" si="88"/>
        <v>4</v>
      </c>
      <c r="AX242" s="406">
        <v>0</v>
      </c>
      <c r="AY242" s="406">
        <v>0</v>
      </c>
      <c r="AZ242" s="406">
        <v>0</v>
      </c>
      <c r="BA242" s="406">
        <v>0</v>
      </c>
      <c r="BB242" s="430">
        <f t="shared" si="75"/>
        <v>0</v>
      </c>
      <c r="BC242" s="407">
        <f t="shared" si="76"/>
        <v>25</v>
      </c>
      <c r="BD242" s="408">
        <f t="shared" si="89"/>
        <v>0.75</v>
      </c>
      <c r="BE242" s="340">
        <f t="shared" si="77"/>
        <v>7.05</v>
      </c>
    </row>
    <row r="243" spans="1:57" x14ac:dyDescent="0.6">
      <c r="A243" s="214" t="s">
        <v>1852</v>
      </c>
      <c r="B243" s="13" t="s">
        <v>2223</v>
      </c>
      <c r="C243" s="219" t="s">
        <v>1853</v>
      </c>
      <c r="D243" s="14" t="s">
        <v>285</v>
      </c>
      <c r="E243" s="217" t="s">
        <v>1854</v>
      </c>
      <c r="F243" s="217" t="s">
        <v>1855</v>
      </c>
      <c r="G243" s="218">
        <v>40697</v>
      </c>
      <c r="H243" s="217" t="s">
        <v>830</v>
      </c>
      <c r="I243" s="217" t="s">
        <v>1856</v>
      </c>
      <c r="J243" s="217" t="s">
        <v>1857</v>
      </c>
      <c r="K243" s="217" t="s">
        <v>91</v>
      </c>
      <c r="L243" s="220">
        <v>1160021099</v>
      </c>
      <c r="M243" s="206">
        <v>357640642</v>
      </c>
      <c r="N243" s="206">
        <v>802380457</v>
      </c>
      <c r="O243" s="206">
        <v>704927362</v>
      </c>
      <c r="P243" s="206">
        <v>50599970</v>
      </c>
      <c r="Q243" s="206">
        <v>45652874</v>
      </c>
      <c r="R243" s="206">
        <v>34327224</v>
      </c>
      <c r="S243" s="406">
        <v>0</v>
      </c>
      <c r="T243" s="428">
        <f t="shared" si="66"/>
        <v>50</v>
      </c>
      <c r="U243" s="415">
        <f t="shared" si="67"/>
        <v>0.5</v>
      </c>
      <c r="V243" s="405">
        <v>0</v>
      </c>
      <c r="W243" s="428">
        <f t="shared" si="68"/>
        <v>50</v>
      </c>
      <c r="X243" s="415">
        <f t="shared" si="69"/>
        <v>0.5</v>
      </c>
      <c r="Y243" s="406">
        <v>0</v>
      </c>
      <c r="Z243" s="429">
        <v>0</v>
      </c>
      <c r="AA243" s="430">
        <f t="shared" si="70"/>
        <v>50</v>
      </c>
      <c r="AB243" s="415">
        <f t="shared" si="71"/>
        <v>0.5</v>
      </c>
      <c r="AC243" s="431">
        <v>2</v>
      </c>
      <c r="AD243" s="432">
        <f t="shared" si="72"/>
        <v>60</v>
      </c>
      <c r="AE243" s="433">
        <f t="shared" si="87"/>
        <v>2.4</v>
      </c>
      <c r="AF243" s="434" t="s">
        <v>2326</v>
      </c>
      <c r="AG243" s="434" t="s">
        <v>2326</v>
      </c>
      <c r="AH243" s="434" t="s">
        <v>2326</v>
      </c>
      <c r="AI243" s="362"/>
      <c r="AJ243" s="434" t="s">
        <v>2326</v>
      </c>
      <c r="AK243" s="434" t="s">
        <v>2326</v>
      </c>
      <c r="AL243" s="363"/>
      <c r="AM243" s="406">
        <v>0</v>
      </c>
      <c r="AN243" s="406">
        <v>0</v>
      </c>
      <c r="AO243" s="406">
        <v>0</v>
      </c>
      <c r="AP243" s="406">
        <v>0</v>
      </c>
      <c r="AQ243" s="406">
        <v>0</v>
      </c>
      <c r="AR243" s="406">
        <v>0</v>
      </c>
      <c r="AS243" s="406">
        <v>0</v>
      </c>
      <c r="AT243" s="406">
        <v>0</v>
      </c>
      <c r="AU243" s="407">
        <f t="shared" si="73"/>
        <v>0</v>
      </c>
      <c r="AV243" s="407">
        <f t="shared" si="74"/>
        <v>100</v>
      </c>
      <c r="AW243" s="408">
        <f t="shared" si="88"/>
        <v>5</v>
      </c>
      <c r="AX243" s="406">
        <v>0</v>
      </c>
      <c r="AY243" s="406">
        <v>0</v>
      </c>
      <c r="AZ243" s="406">
        <v>0</v>
      </c>
      <c r="BA243" s="406">
        <v>0</v>
      </c>
      <c r="BB243" s="430">
        <f t="shared" si="75"/>
        <v>0</v>
      </c>
      <c r="BC243" s="407">
        <f t="shared" si="76"/>
        <v>25</v>
      </c>
      <c r="BD243" s="408">
        <f t="shared" si="89"/>
        <v>0.75</v>
      </c>
      <c r="BE243" s="340">
        <f t="shared" si="77"/>
        <v>9.65</v>
      </c>
    </row>
    <row r="244" spans="1:57" x14ac:dyDescent="0.6">
      <c r="A244" s="214" t="s">
        <v>349</v>
      </c>
      <c r="B244" s="13" t="s">
        <v>2224</v>
      </c>
      <c r="C244" s="219" t="s">
        <v>60</v>
      </c>
      <c r="D244" s="216" t="s">
        <v>191</v>
      </c>
      <c r="E244" s="217" t="s">
        <v>417</v>
      </c>
      <c r="F244" s="217" t="s">
        <v>1135</v>
      </c>
      <c r="G244" s="218">
        <v>36441</v>
      </c>
      <c r="H244" s="217" t="s">
        <v>830</v>
      </c>
      <c r="I244" s="217" t="s">
        <v>612</v>
      </c>
      <c r="J244" s="217" t="s">
        <v>1011</v>
      </c>
      <c r="K244" s="217" t="s">
        <v>934</v>
      </c>
      <c r="L244" s="220">
        <v>10156905259</v>
      </c>
      <c r="M244" s="206">
        <v>2103300926</v>
      </c>
      <c r="N244" s="206">
        <v>8053604333</v>
      </c>
      <c r="O244" s="206">
        <v>3694358039</v>
      </c>
      <c r="P244" s="206">
        <v>1120293986</v>
      </c>
      <c r="Q244" s="206">
        <v>1315961612</v>
      </c>
      <c r="R244" s="206">
        <v>958039985</v>
      </c>
      <c r="S244" s="406">
        <v>0</v>
      </c>
      <c r="T244" s="428">
        <f t="shared" si="66"/>
        <v>50</v>
      </c>
      <c r="U244" s="415">
        <f t="shared" si="67"/>
        <v>0.5</v>
      </c>
      <c r="V244" s="405">
        <v>0</v>
      </c>
      <c r="W244" s="428">
        <f t="shared" si="68"/>
        <v>50</v>
      </c>
      <c r="X244" s="415">
        <f t="shared" si="69"/>
        <v>0.5</v>
      </c>
      <c r="Y244" s="406">
        <v>1</v>
      </c>
      <c r="Z244" s="429">
        <v>0</v>
      </c>
      <c r="AA244" s="430">
        <f t="shared" si="70"/>
        <v>100</v>
      </c>
      <c r="AB244" s="415">
        <f t="shared" si="71"/>
        <v>1</v>
      </c>
      <c r="AC244" s="431">
        <v>0</v>
      </c>
      <c r="AD244" s="432">
        <f t="shared" si="72"/>
        <v>100</v>
      </c>
      <c r="AE244" s="433">
        <f t="shared" si="87"/>
        <v>4</v>
      </c>
      <c r="AF244" s="434" t="s">
        <v>2326</v>
      </c>
      <c r="AG244" s="434" t="s">
        <v>2326</v>
      </c>
      <c r="AH244" s="434" t="s">
        <v>2326</v>
      </c>
      <c r="AI244" s="362"/>
      <c r="AJ244" s="434" t="s">
        <v>2326</v>
      </c>
      <c r="AK244" s="434" t="s">
        <v>2326</v>
      </c>
      <c r="AL244" s="363"/>
      <c r="AM244" s="406">
        <v>0</v>
      </c>
      <c r="AN244" s="406">
        <v>0</v>
      </c>
      <c r="AO244" s="406">
        <v>0</v>
      </c>
      <c r="AP244" s="406">
        <v>0</v>
      </c>
      <c r="AQ244" s="406">
        <v>0</v>
      </c>
      <c r="AR244" s="406">
        <v>0</v>
      </c>
      <c r="AS244" s="406">
        <v>0</v>
      </c>
      <c r="AT244" s="406">
        <v>0</v>
      </c>
      <c r="AU244" s="407">
        <f t="shared" si="73"/>
        <v>0</v>
      </c>
      <c r="AV244" s="407">
        <f t="shared" si="74"/>
        <v>100</v>
      </c>
      <c r="AW244" s="408">
        <f t="shared" si="88"/>
        <v>5</v>
      </c>
      <c r="AX244" s="406">
        <v>0</v>
      </c>
      <c r="AY244" s="406">
        <v>0</v>
      </c>
      <c r="AZ244" s="406">
        <v>0</v>
      </c>
      <c r="BA244" s="406">
        <v>0</v>
      </c>
      <c r="BB244" s="430">
        <f t="shared" si="75"/>
        <v>0</v>
      </c>
      <c r="BC244" s="407">
        <f t="shared" si="76"/>
        <v>25</v>
      </c>
      <c r="BD244" s="408">
        <f t="shared" si="89"/>
        <v>0.75</v>
      </c>
      <c r="BE244" s="340">
        <f t="shared" si="77"/>
        <v>11.75</v>
      </c>
    </row>
    <row r="245" spans="1:57" x14ac:dyDescent="0.6">
      <c r="A245" s="214" t="s">
        <v>90</v>
      </c>
      <c r="B245" s="13" t="s">
        <v>2225</v>
      </c>
      <c r="C245" s="219" t="s">
        <v>109</v>
      </c>
      <c r="D245" s="216" t="s">
        <v>202</v>
      </c>
      <c r="E245" s="217" t="s">
        <v>205</v>
      </c>
      <c r="F245" s="217" t="s">
        <v>1152</v>
      </c>
      <c r="G245" s="218">
        <v>31299</v>
      </c>
      <c r="H245" s="217" t="s">
        <v>830</v>
      </c>
      <c r="I245" s="217" t="s">
        <v>847</v>
      </c>
      <c r="J245" s="217" t="s">
        <v>1096</v>
      </c>
      <c r="K245" s="217" t="s">
        <v>690</v>
      </c>
      <c r="L245" s="220">
        <v>862006786</v>
      </c>
      <c r="M245" s="206">
        <v>408796042</v>
      </c>
      <c r="N245" s="206">
        <v>453210744</v>
      </c>
      <c r="O245" s="206">
        <v>804572920</v>
      </c>
      <c r="P245" s="206">
        <v>60293639</v>
      </c>
      <c r="Q245" s="206">
        <v>64653383</v>
      </c>
      <c r="R245" s="206">
        <v>54734419</v>
      </c>
      <c r="S245" s="406">
        <v>0</v>
      </c>
      <c r="T245" s="428">
        <f t="shared" si="66"/>
        <v>50</v>
      </c>
      <c r="U245" s="415">
        <f t="shared" si="67"/>
        <v>0.5</v>
      </c>
      <c r="V245" s="405">
        <v>0</v>
      </c>
      <c r="W245" s="428">
        <f t="shared" si="68"/>
        <v>50</v>
      </c>
      <c r="X245" s="415">
        <f t="shared" si="69"/>
        <v>0.5</v>
      </c>
      <c r="Y245" s="406">
        <v>0</v>
      </c>
      <c r="Z245" s="429">
        <v>0</v>
      </c>
      <c r="AA245" s="430">
        <f t="shared" si="70"/>
        <v>50</v>
      </c>
      <c r="AB245" s="415">
        <f t="shared" si="71"/>
        <v>0.5</v>
      </c>
      <c r="AC245" s="431">
        <v>0</v>
      </c>
      <c r="AD245" s="432">
        <f t="shared" si="72"/>
        <v>100</v>
      </c>
      <c r="AE245" s="433">
        <f t="shared" si="87"/>
        <v>4</v>
      </c>
      <c r="AF245" s="434" t="s">
        <v>2326</v>
      </c>
      <c r="AG245" s="434" t="s">
        <v>2326</v>
      </c>
      <c r="AH245" s="434" t="s">
        <v>2326</v>
      </c>
      <c r="AI245" s="362"/>
      <c r="AJ245" s="434" t="s">
        <v>2326</v>
      </c>
      <c r="AK245" s="434" t="s">
        <v>2326</v>
      </c>
      <c r="AL245" s="363"/>
      <c r="AM245" s="406">
        <v>0</v>
      </c>
      <c r="AN245" s="406">
        <v>0</v>
      </c>
      <c r="AO245" s="406">
        <v>0</v>
      </c>
      <c r="AP245" s="406">
        <v>0</v>
      </c>
      <c r="AQ245" s="406">
        <v>0</v>
      </c>
      <c r="AR245" s="406">
        <v>0</v>
      </c>
      <c r="AS245" s="406">
        <v>0</v>
      </c>
      <c r="AT245" s="406">
        <v>0</v>
      </c>
      <c r="AU245" s="407">
        <f t="shared" si="73"/>
        <v>0</v>
      </c>
      <c r="AV245" s="407">
        <f t="shared" si="74"/>
        <v>100</v>
      </c>
      <c r="AW245" s="408">
        <f t="shared" si="88"/>
        <v>5</v>
      </c>
      <c r="AX245" s="406">
        <v>0</v>
      </c>
      <c r="AY245" s="406">
        <v>0</v>
      </c>
      <c r="AZ245" s="406">
        <v>0</v>
      </c>
      <c r="BA245" s="406">
        <v>0</v>
      </c>
      <c r="BB245" s="430">
        <f t="shared" si="75"/>
        <v>0</v>
      </c>
      <c r="BC245" s="407">
        <f t="shared" si="76"/>
        <v>25</v>
      </c>
      <c r="BD245" s="408">
        <f t="shared" si="89"/>
        <v>0.75</v>
      </c>
      <c r="BE245" s="340">
        <f t="shared" si="77"/>
        <v>11.25</v>
      </c>
    </row>
    <row r="246" spans="1:57" x14ac:dyDescent="0.6">
      <c r="A246" s="214" t="s">
        <v>1858</v>
      </c>
      <c r="B246" s="13" t="s">
        <v>2226</v>
      </c>
      <c r="C246" s="219" t="s">
        <v>340</v>
      </c>
      <c r="D246" s="221" t="s">
        <v>481</v>
      </c>
      <c r="E246" s="217" t="s">
        <v>434</v>
      </c>
      <c r="F246" s="217" t="s">
        <v>226</v>
      </c>
      <c r="G246" s="218">
        <v>25559</v>
      </c>
      <c r="H246" s="217" t="s">
        <v>830</v>
      </c>
      <c r="I246" s="217" t="s">
        <v>769</v>
      </c>
      <c r="J246" s="217" t="s">
        <v>1203</v>
      </c>
      <c r="K246" s="217" t="s">
        <v>91</v>
      </c>
      <c r="L246" s="220">
        <v>14636016261</v>
      </c>
      <c r="M246" s="206">
        <v>11750407058</v>
      </c>
      <c r="N246" s="206">
        <v>2885609203</v>
      </c>
      <c r="O246" s="206">
        <v>7176643744</v>
      </c>
      <c r="P246" s="206">
        <v>212022730</v>
      </c>
      <c r="Q246" s="206">
        <v>211256816</v>
      </c>
      <c r="R246" s="206">
        <v>175248934</v>
      </c>
      <c r="S246" s="406">
        <v>0</v>
      </c>
      <c r="T246" s="428">
        <f t="shared" si="66"/>
        <v>50</v>
      </c>
      <c r="U246" s="415">
        <f t="shared" si="67"/>
        <v>0.5</v>
      </c>
      <c r="V246" s="405">
        <v>0</v>
      </c>
      <c r="W246" s="428">
        <f t="shared" si="68"/>
        <v>50</v>
      </c>
      <c r="X246" s="415">
        <f t="shared" si="69"/>
        <v>0.5</v>
      </c>
      <c r="Y246" s="406">
        <v>0</v>
      </c>
      <c r="Z246" s="429">
        <v>0</v>
      </c>
      <c r="AA246" s="430">
        <f t="shared" si="70"/>
        <v>50</v>
      </c>
      <c r="AB246" s="415">
        <f t="shared" si="71"/>
        <v>0.5</v>
      </c>
      <c r="AC246" s="75">
        <v>0</v>
      </c>
      <c r="AD246" s="432">
        <f t="shared" si="72"/>
        <v>100</v>
      </c>
      <c r="AE246" s="435">
        <f>AD246*0.03</f>
        <v>3</v>
      </c>
      <c r="AF246" s="436">
        <v>0</v>
      </c>
      <c r="AG246" s="437">
        <f>(_xlfn.PERCENTRANK.INC(AF:AF,AF246, 2))*100</f>
        <v>0</v>
      </c>
      <c r="AH246" s="437">
        <f>IF(AF246=0, 100, IF(AG246&lt;10, 80, IF(AG246&lt;50, 60, IF(AG246&lt;90, 40, 20))))</f>
        <v>100</v>
      </c>
      <c r="AI246" s="263">
        <f>AH246*0.03</f>
        <v>3</v>
      </c>
      <c r="AJ246" s="264" t="s">
        <v>3540</v>
      </c>
      <c r="AK246" s="265">
        <f>IF(AJ246="우수", 100, IF(AJ246="양호", 80, IF(AJ246="보통", 60, IF(AJ246= "평가미대상", 60, IF(AJ246="미흡", 40, IF(AJ246="취약", 20))))))</f>
        <v>60</v>
      </c>
      <c r="AL246" s="141">
        <f>AK246*0.03</f>
        <v>1.7999999999999998</v>
      </c>
      <c r="AM246" s="406">
        <v>0</v>
      </c>
      <c r="AN246" s="406">
        <v>0</v>
      </c>
      <c r="AO246" s="406">
        <v>0</v>
      </c>
      <c r="AP246" s="406">
        <v>0</v>
      </c>
      <c r="AQ246" s="406">
        <v>0</v>
      </c>
      <c r="AR246" s="406">
        <v>0</v>
      </c>
      <c r="AS246" s="406">
        <v>0</v>
      </c>
      <c r="AT246" s="406">
        <v>0</v>
      </c>
      <c r="AU246" s="407">
        <f t="shared" si="73"/>
        <v>0</v>
      </c>
      <c r="AV246" s="407">
        <f t="shared" si="74"/>
        <v>100</v>
      </c>
      <c r="AW246" s="438">
        <f>AV246*0.02</f>
        <v>2</v>
      </c>
      <c r="AX246" s="406">
        <v>0</v>
      </c>
      <c r="AY246" s="406">
        <v>0</v>
      </c>
      <c r="AZ246" s="406">
        <v>0</v>
      </c>
      <c r="BA246" s="406">
        <v>0</v>
      </c>
      <c r="BB246" s="430">
        <f t="shared" si="75"/>
        <v>0</v>
      </c>
      <c r="BC246" s="407">
        <f t="shared" si="76"/>
        <v>25</v>
      </c>
      <c r="BD246" s="418">
        <f>BC246*0.01</f>
        <v>0.25</v>
      </c>
      <c r="BE246" s="340">
        <f t="shared" si="77"/>
        <v>11.55</v>
      </c>
    </row>
    <row r="247" spans="1:57" x14ac:dyDescent="0.6">
      <c r="A247" s="214" t="s">
        <v>1859</v>
      </c>
      <c r="B247" s="13" t="s">
        <v>2227</v>
      </c>
      <c r="C247" s="219" t="s">
        <v>1860</v>
      </c>
      <c r="D247" s="14" t="s">
        <v>203</v>
      </c>
      <c r="E247" s="217" t="s">
        <v>188</v>
      </c>
      <c r="F247" s="217" t="s">
        <v>1861</v>
      </c>
      <c r="G247" s="218">
        <v>32048</v>
      </c>
      <c r="H247" s="217" t="s">
        <v>830</v>
      </c>
      <c r="I247" s="217" t="s">
        <v>1862</v>
      </c>
      <c r="J247" s="217" t="s">
        <v>1863</v>
      </c>
      <c r="K247" s="217" t="s">
        <v>317</v>
      </c>
      <c r="L247" s="220">
        <v>451321117</v>
      </c>
      <c r="M247" s="206">
        <v>200117020</v>
      </c>
      <c r="N247" s="206">
        <v>251204097</v>
      </c>
      <c r="O247" s="206">
        <v>485605244</v>
      </c>
      <c r="P247" s="206">
        <v>32475176</v>
      </c>
      <c r="Q247" s="206">
        <v>35572342</v>
      </c>
      <c r="R247" s="206">
        <v>27697028</v>
      </c>
      <c r="S247" s="406">
        <v>0</v>
      </c>
      <c r="T247" s="428">
        <f t="shared" si="66"/>
        <v>50</v>
      </c>
      <c r="U247" s="415">
        <f t="shared" si="67"/>
        <v>0.5</v>
      </c>
      <c r="V247" s="405">
        <v>0</v>
      </c>
      <c r="W247" s="428">
        <f t="shared" si="68"/>
        <v>50</v>
      </c>
      <c r="X247" s="415">
        <f t="shared" si="69"/>
        <v>0.5</v>
      </c>
      <c r="Y247" s="406">
        <v>0</v>
      </c>
      <c r="Z247" s="429">
        <v>0</v>
      </c>
      <c r="AA247" s="430">
        <f t="shared" si="70"/>
        <v>50</v>
      </c>
      <c r="AB247" s="415">
        <f t="shared" si="71"/>
        <v>0.5</v>
      </c>
      <c r="AC247" s="431">
        <v>0</v>
      </c>
      <c r="AD247" s="432">
        <f t="shared" si="72"/>
        <v>100</v>
      </c>
      <c r="AE247" s="433">
        <f>AD247*0.04</f>
        <v>4</v>
      </c>
      <c r="AF247" s="434" t="s">
        <v>2326</v>
      </c>
      <c r="AG247" s="434" t="s">
        <v>2326</v>
      </c>
      <c r="AH247" s="434" t="s">
        <v>2326</v>
      </c>
      <c r="AI247" s="362"/>
      <c r="AJ247" s="434" t="s">
        <v>2326</v>
      </c>
      <c r="AK247" s="434" t="s">
        <v>2326</v>
      </c>
      <c r="AL247" s="363"/>
      <c r="AM247" s="406">
        <v>0</v>
      </c>
      <c r="AN247" s="406">
        <v>0</v>
      </c>
      <c r="AO247" s="406">
        <v>0</v>
      </c>
      <c r="AP247" s="406">
        <v>0</v>
      </c>
      <c r="AQ247" s="406">
        <v>0</v>
      </c>
      <c r="AR247" s="406">
        <v>0</v>
      </c>
      <c r="AS247" s="406">
        <v>0</v>
      </c>
      <c r="AT247" s="406">
        <v>0</v>
      </c>
      <c r="AU247" s="407">
        <f t="shared" si="73"/>
        <v>0</v>
      </c>
      <c r="AV247" s="407">
        <f t="shared" si="74"/>
        <v>100</v>
      </c>
      <c r="AW247" s="408">
        <f>AV247*0.05</f>
        <v>5</v>
      </c>
      <c r="AX247" s="406">
        <v>1</v>
      </c>
      <c r="AY247" s="406">
        <v>0</v>
      </c>
      <c r="AZ247" s="406">
        <v>0</v>
      </c>
      <c r="BA247" s="406">
        <v>0</v>
      </c>
      <c r="BB247" s="430">
        <f t="shared" si="75"/>
        <v>1</v>
      </c>
      <c r="BC247" s="407">
        <f t="shared" si="76"/>
        <v>50</v>
      </c>
      <c r="BD247" s="408">
        <f>BC247*0.03</f>
        <v>1.5</v>
      </c>
      <c r="BE247" s="340">
        <f t="shared" si="77"/>
        <v>12</v>
      </c>
    </row>
    <row r="248" spans="1:57" x14ac:dyDescent="0.6">
      <c r="A248" s="214" t="s">
        <v>685</v>
      </c>
      <c r="B248" s="13" t="s">
        <v>2228</v>
      </c>
      <c r="C248" s="219" t="s">
        <v>491</v>
      </c>
      <c r="D248" s="216" t="s">
        <v>285</v>
      </c>
      <c r="E248" s="217" t="s">
        <v>592</v>
      </c>
      <c r="F248" s="217" t="s">
        <v>637</v>
      </c>
      <c r="G248" s="218">
        <v>37110</v>
      </c>
      <c r="H248" s="217" t="s">
        <v>830</v>
      </c>
      <c r="I248" s="217" t="s">
        <v>1864</v>
      </c>
      <c r="J248" s="217" t="s">
        <v>1210</v>
      </c>
      <c r="K248" s="217" t="s">
        <v>425</v>
      </c>
      <c r="L248" s="220">
        <v>3441901071</v>
      </c>
      <c r="M248" s="206">
        <v>1466204520</v>
      </c>
      <c r="N248" s="206">
        <v>1975696551</v>
      </c>
      <c r="O248" s="206">
        <v>2813488928</v>
      </c>
      <c r="P248" s="206">
        <v>514746074</v>
      </c>
      <c r="Q248" s="206">
        <v>540938422</v>
      </c>
      <c r="R248" s="206">
        <v>371317773</v>
      </c>
      <c r="S248" s="406">
        <v>1</v>
      </c>
      <c r="T248" s="428">
        <f t="shared" si="66"/>
        <v>100</v>
      </c>
      <c r="U248" s="415">
        <f t="shared" si="67"/>
        <v>1</v>
      </c>
      <c r="V248" s="405">
        <v>1</v>
      </c>
      <c r="W248" s="428">
        <f t="shared" si="68"/>
        <v>100</v>
      </c>
      <c r="X248" s="415">
        <f t="shared" si="69"/>
        <v>1</v>
      </c>
      <c r="Y248" s="406">
        <v>1</v>
      </c>
      <c r="Z248" s="429">
        <v>0</v>
      </c>
      <c r="AA248" s="430">
        <f t="shared" si="70"/>
        <v>100</v>
      </c>
      <c r="AB248" s="415">
        <f t="shared" si="71"/>
        <v>1</v>
      </c>
      <c r="AC248" s="431">
        <v>48</v>
      </c>
      <c r="AD248" s="432">
        <f t="shared" si="72"/>
        <v>20</v>
      </c>
      <c r="AE248" s="433">
        <f>AD248*0.04</f>
        <v>0.8</v>
      </c>
      <c r="AF248" s="434" t="s">
        <v>2326</v>
      </c>
      <c r="AG248" s="434" t="s">
        <v>2326</v>
      </c>
      <c r="AH248" s="434" t="s">
        <v>2326</v>
      </c>
      <c r="AI248" s="362"/>
      <c r="AJ248" s="434" t="s">
        <v>2326</v>
      </c>
      <c r="AK248" s="434" t="s">
        <v>2326</v>
      </c>
      <c r="AL248" s="363"/>
      <c r="AM248" s="406">
        <v>0</v>
      </c>
      <c r="AN248" s="406">
        <v>0</v>
      </c>
      <c r="AO248" s="406">
        <v>1</v>
      </c>
      <c r="AP248" s="406">
        <v>0</v>
      </c>
      <c r="AQ248" s="406">
        <v>0</v>
      </c>
      <c r="AR248" s="406">
        <v>0</v>
      </c>
      <c r="AS248" s="406">
        <v>0</v>
      </c>
      <c r="AT248" s="406">
        <v>0</v>
      </c>
      <c r="AU248" s="407">
        <f t="shared" si="73"/>
        <v>1</v>
      </c>
      <c r="AV248" s="407">
        <f t="shared" si="74"/>
        <v>80</v>
      </c>
      <c r="AW248" s="408">
        <f>AV248*0.05</f>
        <v>4</v>
      </c>
      <c r="AX248" s="406">
        <v>0</v>
      </c>
      <c r="AY248" s="406">
        <v>0</v>
      </c>
      <c r="AZ248" s="406">
        <v>0</v>
      </c>
      <c r="BA248" s="406">
        <v>0</v>
      </c>
      <c r="BB248" s="430">
        <f t="shared" si="75"/>
        <v>0</v>
      </c>
      <c r="BC248" s="407">
        <f t="shared" si="76"/>
        <v>25</v>
      </c>
      <c r="BD248" s="408">
        <f>BC248*0.03</f>
        <v>0.75</v>
      </c>
      <c r="BE248" s="340">
        <f t="shared" si="77"/>
        <v>8.5500000000000007</v>
      </c>
    </row>
    <row r="249" spans="1:57" x14ac:dyDescent="0.6">
      <c r="A249" s="214" t="s">
        <v>37</v>
      </c>
      <c r="B249" s="13" t="s">
        <v>2229</v>
      </c>
      <c r="C249" s="219" t="s">
        <v>69</v>
      </c>
      <c r="D249" s="216" t="s">
        <v>285</v>
      </c>
      <c r="E249" s="217" t="s">
        <v>629</v>
      </c>
      <c r="F249" s="217" t="s">
        <v>577</v>
      </c>
      <c r="G249" s="218">
        <v>43111</v>
      </c>
      <c r="H249" s="217" t="s">
        <v>830</v>
      </c>
      <c r="I249" s="217" t="s">
        <v>846</v>
      </c>
      <c r="J249" s="217" t="s">
        <v>1138</v>
      </c>
      <c r="K249" s="217" t="s">
        <v>690</v>
      </c>
      <c r="L249" s="220">
        <v>761133055</v>
      </c>
      <c r="M249" s="206">
        <v>116041955</v>
      </c>
      <c r="N249" s="206">
        <v>645091100</v>
      </c>
      <c r="O249" s="206">
        <v>691580207</v>
      </c>
      <c r="P249" s="206">
        <v>99955621</v>
      </c>
      <c r="Q249" s="206">
        <v>124537136</v>
      </c>
      <c r="R249" s="206">
        <v>116344338</v>
      </c>
      <c r="S249" s="406">
        <v>1</v>
      </c>
      <c r="T249" s="428">
        <f t="shared" si="66"/>
        <v>100</v>
      </c>
      <c r="U249" s="415">
        <f t="shared" si="67"/>
        <v>1</v>
      </c>
      <c r="V249" s="405">
        <v>0</v>
      </c>
      <c r="W249" s="428">
        <f t="shared" si="68"/>
        <v>50</v>
      </c>
      <c r="X249" s="415">
        <f t="shared" si="69"/>
        <v>0.5</v>
      </c>
      <c r="Y249" s="406">
        <v>0</v>
      </c>
      <c r="Z249" s="429">
        <v>0</v>
      </c>
      <c r="AA249" s="430">
        <f t="shared" si="70"/>
        <v>50</v>
      </c>
      <c r="AB249" s="415">
        <f t="shared" si="71"/>
        <v>0.5</v>
      </c>
      <c r="AC249" s="431">
        <v>4</v>
      </c>
      <c r="AD249" s="432">
        <f t="shared" si="72"/>
        <v>20</v>
      </c>
      <c r="AE249" s="433">
        <f>AD249*0.04</f>
        <v>0.8</v>
      </c>
      <c r="AF249" s="434" t="s">
        <v>2326</v>
      </c>
      <c r="AG249" s="434" t="s">
        <v>2326</v>
      </c>
      <c r="AH249" s="434" t="s">
        <v>2326</v>
      </c>
      <c r="AI249" s="362"/>
      <c r="AJ249" s="434" t="s">
        <v>2326</v>
      </c>
      <c r="AK249" s="434" t="s">
        <v>2326</v>
      </c>
      <c r="AL249" s="363"/>
      <c r="AM249" s="406">
        <v>0</v>
      </c>
      <c r="AN249" s="406">
        <v>0</v>
      </c>
      <c r="AO249" s="406">
        <v>0</v>
      </c>
      <c r="AP249" s="406">
        <v>0</v>
      </c>
      <c r="AQ249" s="406">
        <v>0</v>
      </c>
      <c r="AR249" s="406">
        <v>0</v>
      </c>
      <c r="AS249" s="406">
        <v>0</v>
      </c>
      <c r="AT249" s="406">
        <v>0</v>
      </c>
      <c r="AU249" s="407">
        <f t="shared" si="73"/>
        <v>0</v>
      </c>
      <c r="AV249" s="407">
        <f t="shared" si="74"/>
        <v>100</v>
      </c>
      <c r="AW249" s="408">
        <f>AV249*0.05</f>
        <v>5</v>
      </c>
      <c r="AX249" s="406">
        <v>0</v>
      </c>
      <c r="AY249" s="406">
        <v>0</v>
      </c>
      <c r="AZ249" s="406">
        <v>0</v>
      </c>
      <c r="BA249" s="406">
        <v>0</v>
      </c>
      <c r="BB249" s="430">
        <f t="shared" si="75"/>
        <v>0</v>
      </c>
      <c r="BC249" s="407">
        <f t="shared" si="76"/>
        <v>25</v>
      </c>
      <c r="BD249" s="408">
        <f>BC249*0.03</f>
        <v>0.75</v>
      </c>
      <c r="BE249" s="340">
        <f t="shared" si="77"/>
        <v>8.5500000000000007</v>
      </c>
    </row>
    <row r="250" spans="1:57" x14ac:dyDescent="0.6">
      <c r="A250" s="214" t="s">
        <v>352</v>
      </c>
      <c r="B250" s="13" t="s">
        <v>2230</v>
      </c>
      <c r="C250" s="219" t="s">
        <v>304</v>
      </c>
      <c r="D250" s="216" t="s">
        <v>191</v>
      </c>
      <c r="E250" s="217" t="s">
        <v>178</v>
      </c>
      <c r="F250" s="217" t="s">
        <v>273</v>
      </c>
      <c r="G250" s="218">
        <v>42836</v>
      </c>
      <c r="H250" s="217" t="s">
        <v>830</v>
      </c>
      <c r="I250" s="217" t="s">
        <v>811</v>
      </c>
      <c r="J250" s="217" t="s">
        <v>1132</v>
      </c>
      <c r="K250" s="217" t="s">
        <v>91</v>
      </c>
      <c r="L250" s="220">
        <v>330163311</v>
      </c>
      <c r="M250" s="206">
        <v>137897080</v>
      </c>
      <c r="N250" s="206">
        <v>192266231</v>
      </c>
      <c r="O250" s="206">
        <v>413638465</v>
      </c>
      <c r="P250" s="206">
        <v>17588318</v>
      </c>
      <c r="Q250" s="206">
        <v>36589302</v>
      </c>
      <c r="R250" s="206">
        <v>27057204</v>
      </c>
      <c r="S250" s="406">
        <v>0</v>
      </c>
      <c r="T250" s="428">
        <f t="shared" si="66"/>
        <v>50</v>
      </c>
      <c r="U250" s="415">
        <f t="shared" si="67"/>
        <v>0.5</v>
      </c>
      <c r="V250" s="405">
        <v>0</v>
      </c>
      <c r="W250" s="428">
        <f t="shared" si="68"/>
        <v>50</v>
      </c>
      <c r="X250" s="415">
        <f t="shared" si="69"/>
        <v>0.5</v>
      </c>
      <c r="Y250" s="406">
        <v>0</v>
      </c>
      <c r="Z250" s="429">
        <v>0</v>
      </c>
      <c r="AA250" s="430">
        <f t="shared" si="70"/>
        <v>50</v>
      </c>
      <c r="AB250" s="415">
        <f t="shared" si="71"/>
        <v>0.5</v>
      </c>
      <c r="AC250" s="431">
        <v>0</v>
      </c>
      <c r="AD250" s="432">
        <f t="shared" si="72"/>
        <v>100</v>
      </c>
      <c r="AE250" s="433">
        <f>AD250*0.04</f>
        <v>4</v>
      </c>
      <c r="AF250" s="434" t="s">
        <v>2326</v>
      </c>
      <c r="AG250" s="434" t="s">
        <v>2326</v>
      </c>
      <c r="AH250" s="434" t="s">
        <v>2326</v>
      </c>
      <c r="AI250" s="362"/>
      <c r="AJ250" s="434" t="s">
        <v>2326</v>
      </c>
      <c r="AK250" s="434" t="s">
        <v>2326</v>
      </c>
      <c r="AL250" s="363"/>
      <c r="AM250" s="406">
        <v>0</v>
      </c>
      <c r="AN250" s="406">
        <v>0</v>
      </c>
      <c r="AO250" s="406">
        <v>0</v>
      </c>
      <c r="AP250" s="406">
        <v>0</v>
      </c>
      <c r="AQ250" s="406">
        <v>0</v>
      </c>
      <c r="AR250" s="406">
        <v>0</v>
      </c>
      <c r="AS250" s="406">
        <v>0</v>
      </c>
      <c r="AT250" s="406">
        <v>0</v>
      </c>
      <c r="AU250" s="407">
        <f t="shared" si="73"/>
        <v>0</v>
      </c>
      <c r="AV250" s="407">
        <f t="shared" si="74"/>
        <v>100</v>
      </c>
      <c r="AW250" s="408">
        <f>AV250*0.05</f>
        <v>5</v>
      </c>
      <c r="AX250" s="406">
        <v>0</v>
      </c>
      <c r="AY250" s="406">
        <v>0</v>
      </c>
      <c r="AZ250" s="406">
        <v>0</v>
      </c>
      <c r="BA250" s="406">
        <v>0</v>
      </c>
      <c r="BB250" s="430">
        <f t="shared" si="75"/>
        <v>0</v>
      </c>
      <c r="BC250" s="407">
        <f t="shared" si="76"/>
        <v>25</v>
      </c>
      <c r="BD250" s="408">
        <f>BC250*0.03</f>
        <v>0.75</v>
      </c>
      <c r="BE250" s="340">
        <f t="shared" si="77"/>
        <v>11.25</v>
      </c>
    </row>
    <row r="251" spans="1:57" x14ac:dyDescent="0.6">
      <c r="A251" s="214" t="s">
        <v>1865</v>
      </c>
      <c r="B251" s="13" t="s">
        <v>2231</v>
      </c>
      <c r="C251" s="219" t="s">
        <v>1866</v>
      </c>
      <c r="D251" s="14" t="s">
        <v>202</v>
      </c>
      <c r="E251" s="217" t="s">
        <v>605</v>
      </c>
      <c r="F251" s="217" t="s">
        <v>1867</v>
      </c>
      <c r="G251" s="218">
        <v>44418</v>
      </c>
      <c r="H251" s="217" t="s">
        <v>830</v>
      </c>
      <c r="I251" s="217" t="s">
        <v>1868</v>
      </c>
      <c r="J251" s="217" t="s">
        <v>1869</v>
      </c>
      <c r="K251" s="217" t="s">
        <v>91</v>
      </c>
      <c r="L251" s="220">
        <v>5774465580</v>
      </c>
      <c r="M251" s="206">
        <v>732161313</v>
      </c>
      <c r="N251" s="206">
        <v>5042304267</v>
      </c>
      <c r="O251" s="206">
        <v>1767775811</v>
      </c>
      <c r="P251" s="206">
        <v>737821913</v>
      </c>
      <c r="Q251" s="206">
        <v>666253605</v>
      </c>
      <c r="R251" s="206">
        <v>487142608</v>
      </c>
      <c r="S251" s="406">
        <v>0</v>
      </c>
      <c r="T251" s="428">
        <f t="shared" si="66"/>
        <v>50</v>
      </c>
      <c r="U251" s="415">
        <f t="shared" si="67"/>
        <v>0.5</v>
      </c>
      <c r="V251" s="405">
        <v>0</v>
      </c>
      <c r="W251" s="428">
        <f t="shared" si="68"/>
        <v>50</v>
      </c>
      <c r="X251" s="415">
        <f t="shared" si="69"/>
        <v>0.5</v>
      </c>
      <c r="Y251" s="406">
        <v>0</v>
      </c>
      <c r="Z251" s="429">
        <v>0</v>
      </c>
      <c r="AA251" s="430">
        <f t="shared" si="70"/>
        <v>50</v>
      </c>
      <c r="AB251" s="415">
        <f t="shared" si="71"/>
        <v>0.5</v>
      </c>
      <c r="AC251" s="431">
        <v>0</v>
      </c>
      <c r="AD251" s="432">
        <f t="shared" si="72"/>
        <v>100</v>
      </c>
      <c r="AE251" s="433">
        <f>AD251*0.04</f>
        <v>4</v>
      </c>
      <c r="AF251" s="434" t="s">
        <v>2326</v>
      </c>
      <c r="AG251" s="434" t="s">
        <v>2326</v>
      </c>
      <c r="AH251" s="434" t="s">
        <v>2326</v>
      </c>
      <c r="AI251" s="362"/>
      <c r="AJ251" s="434" t="s">
        <v>2326</v>
      </c>
      <c r="AK251" s="434" t="s">
        <v>2326</v>
      </c>
      <c r="AL251" s="363"/>
      <c r="AM251" s="406">
        <v>0</v>
      </c>
      <c r="AN251" s="406">
        <v>0</v>
      </c>
      <c r="AO251" s="406">
        <v>0</v>
      </c>
      <c r="AP251" s="406">
        <v>0</v>
      </c>
      <c r="AQ251" s="406">
        <v>0</v>
      </c>
      <c r="AR251" s="406">
        <v>0</v>
      </c>
      <c r="AS251" s="406">
        <v>0</v>
      </c>
      <c r="AT251" s="406">
        <v>0</v>
      </c>
      <c r="AU251" s="407">
        <f t="shared" si="73"/>
        <v>0</v>
      </c>
      <c r="AV251" s="407">
        <f t="shared" si="74"/>
        <v>100</v>
      </c>
      <c r="AW251" s="408">
        <f>AV251*0.05</f>
        <v>5</v>
      </c>
      <c r="AX251" s="406">
        <v>0</v>
      </c>
      <c r="AY251" s="406">
        <v>0</v>
      </c>
      <c r="AZ251" s="406">
        <v>0</v>
      </c>
      <c r="BA251" s="406">
        <v>0</v>
      </c>
      <c r="BB251" s="430">
        <f t="shared" si="75"/>
        <v>0</v>
      </c>
      <c r="BC251" s="407">
        <f t="shared" si="76"/>
        <v>25</v>
      </c>
      <c r="BD251" s="408">
        <f>BC251*0.03</f>
        <v>0.75</v>
      </c>
      <c r="BE251" s="340">
        <f t="shared" si="77"/>
        <v>11.25</v>
      </c>
    </row>
    <row r="252" spans="1:57" x14ac:dyDescent="0.6">
      <c r="A252" s="214" t="s">
        <v>438</v>
      </c>
      <c r="B252" s="13" t="s">
        <v>2232</v>
      </c>
      <c r="C252" s="219" t="s">
        <v>36</v>
      </c>
      <c r="D252" s="221" t="s">
        <v>350</v>
      </c>
      <c r="E252" s="217" t="s">
        <v>179</v>
      </c>
      <c r="F252" s="217" t="s">
        <v>1111</v>
      </c>
      <c r="G252" s="218">
        <v>40028</v>
      </c>
      <c r="H252" s="217" t="s">
        <v>830</v>
      </c>
      <c r="I252" s="217" t="s">
        <v>810</v>
      </c>
      <c r="J252" s="217" t="s">
        <v>1139</v>
      </c>
      <c r="K252" s="217" t="s">
        <v>91</v>
      </c>
      <c r="L252" s="220">
        <v>39369287420</v>
      </c>
      <c r="M252" s="206">
        <v>35300144133</v>
      </c>
      <c r="N252" s="206">
        <v>4069143286</v>
      </c>
      <c r="O252" s="206">
        <v>8031651241</v>
      </c>
      <c r="P252" s="206">
        <v>645745222</v>
      </c>
      <c r="Q252" s="206">
        <v>663311108</v>
      </c>
      <c r="R252" s="206">
        <v>493104212</v>
      </c>
      <c r="S252" s="406">
        <v>0</v>
      </c>
      <c r="T252" s="428">
        <f t="shared" si="66"/>
        <v>50</v>
      </c>
      <c r="U252" s="415">
        <f t="shared" si="67"/>
        <v>0.5</v>
      </c>
      <c r="V252" s="405">
        <v>0</v>
      </c>
      <c r="W252" s="428">
        <f t="shared" si="68"/>
        <v>50</v>
      </c>
      <c r="X252" s="415">
        <f t="shared" si="69"/>
        <v>0.5</v>
      </c>
      <c r="Y252" s="406">
        <v>1</v>
      </c>
      <c r="Z252" s="429">
        <v>0</v>
      </c>
      <c r="AA252" s="430">
        <f t="shared" si="70"/>
        <v>100</v>
      </c>
      <c r="AB252" s="415">
        <f t="shared" si="71"/>
        <v>1</v>
      </c>
      <c r="AC252" s="75">
        <v>0</v>
      </c>
      <c r="AD252" s="432">
        <f t="shared" si="72"/>
        <v>100</v>
      </c>
      <c r="AE252" s="435">
        <f>AD252*0.03</f>
        <v>3</v>
      </c>
      <c r="AF252" s="436">
        <v>1</v>
      </c>
      <c r="AG252" s="437">
        <f>(_xlfn.PERCENTRANK.INC(AF:AF,AF252, 2))*100</f>
        <v>46</v>
      </c>
      <c r="AH252" s="437">
        <f>IF(AF252=0, 100, IF(AG252&lt;10, 80, IF(AG252&lt;50, 60, IF(AG252&lt;90, 40, 20))))</f>
        <v>60</v>
      </c>
      <c r="AI252" s="263">
        <f>AH252*0.03</f>
        <v>1.7999999999999998</v>
      </c>
      <c r="AJ252" s="264" t="s">
        <v>3540</v>
      </c>
      <c r="AK252" s="265">
        <f>IF(AJ252="우수", 100, IF(AJ252="양호", 80, IF(AJ252="보통", 60, IF(AJ252= "평가미대상", 60, IF(AJ252="미흡", 40, IF(AJ252="취약", 20))))))</f>
        <v>60</v>
      </c>
      <c r="AL252" s="141">
        <f>AK252*0.03</f>
        <v>1.7999999999999998</v>
      </c>
      <c r="AM252" s="406">
        <v>0</v>
      </c>
      <c r="AN252" s="406">
        <v>0</v>
      </c>
      <c r="AO252" s="406">
        <v>0</v>
      </c>
      <c r="AP252" s="406">
        <v>0</v>
      </c>
      <c r="AQ252" s="406">
        <v>0</v>
      </c>
      <c r="AR252" s="406">
        <v>0</v>
      </c>
      <c r="AS252" s="406">
        <v>0</v>
      </c>
      <c r="AT252" s="406">
        <v>0</v>
      </c>
      <c r="AU252" s="407">
        <f t="shared" si="73"/>
        <v>0</v>
      </c>
      <c r="AV252" s="407">
        <f t="shared" si="74"/>
        <v>100</v>
      </c>
      <c r="AW252" s="438">
        <f>AV252*0.02</f>
        <v>2</v>
      </c>
      <c r="AX252" s="406">
        <v>0</v>
      </c>
      <c r="AY252" s="406">
        <v>0</v>
      </c>
      <c r="AZ252" s="406">
        <v>0</v>
      </c>
      <c r="BA252" s="406">
        <v>0</v>
      </c>
      <c r="BB252" s="430">
        <f t="shared" si="75"/>
        <v>0</v>
      </c>
      <c r="BC252" s="407">
        <f t="shared" si="76"/>
        <v>25</v>
      </c>
      <c r="BD252" s="418">
        <f>BC252*0.01</f>
        <v>0.25</v>
      </c>
      <c r="BE252" s="340">
        <f t="shared" si="77"/>
        <v>10.85</v>
      </c>
    </row>
    <row r="253" spans="1:57" x14ac:dyDescent="0.6">
      <c r="A253" s="214" t="s">
        <v>535</v>
      </c>
      <c r="B253" s="13" t="s">
        <v>2233</v>
      </c>
      <c r="C253" s="219" t="s">
        <v>890</v>
      </c>
      <c r="D253" s="216" t="s">
        <v>203</v>
      </c>
      <c r="E253" s="217" t="s">
        <v>1179</v>
      </c>
      <c r="F253" s="217" t="s">
        <v>132</v>
      </c>
      <c r="G253" s="218">
        <v>33304</v>
      </c>
      <c r="H253" s="217" t="s">
        <v>830</v>
      </c>
      <c r="I253" s="217" t="s">
        <v>984</v>
      </c>
      <c r="J253" s="217" t="s">
        <v>1110</v>
      </c>
      <c r="K253" s="217" t="s">
        <v>91</v>
      </c>
      <c r="L253" s="220">
        <v>231015509</v>
      </c>
      <c r="M253" s="206">
        <v>75905969</v>
      </c>
      <c r="N253" s="206">
        <v>155109540</v>
      </c>
      <c r="O253" s="206">
        <v>285439614</v>
      </c>
      <c r="P253" s="206">
        <v>21520066</v>
      </c>
      <c r="Q253" s="206">
        <v>18501491</v>
      </c>
      <c r="R253" s="206">
        <v>19107420</v>
      </c>
      <c r="S253" s="406">
        <v>0</v>
      </c>
      <c r="T253" s="428">
        <f t="shared" si="66"/>
        <v>50</v>
      </c>
      <c r="U253" s="415">
        <f t="shared" si="67"/>
        <v>0.5</v>
      </c>
      <c r="V253" s="405">
        <v>0</v>
      </c>
      <c r="W253" s="428">
        <f t="shared" si="68"/>
        <v>50</v>
      </c>
      <c r="X253" s="415">
        <f t="shared" si="69"/>
        <v>0.5</v>
      </c>
      <c r="Y253" s="406">
        <v>0</v>
      </c>
      <c r="Z253" s="429">
        <v>0</v>
      </c>
      <c r="AA253" s="430">
        <f t="shared" si="70"/>
        <v>50</v>
      </c>
      <c r="AB253" s="415">
        <f t="shared" si="71"/>
        <v>0.5</v>
      </c>
      <c r="AC253" s="431">
        <v>0</v>
      </c>
      <c r="AD253" s="432">
        <f t="shared" si="72"/>
        <v>100</v>
      </c>
      <c r="AE253" s="433">
        <f t="shared" ref="AE253:AE289" si="90">AD253*0.04</f>
        <v>4</v>
      </c>
      <c r="AF253" s="434" t="s">
        <v>2326</v>
      </c>
      <c r="AG253" s="434" t="s">
        <v>2326</v>
      </c>
      <c r="AH253" s="434" t="s">
        <v>2326</v>
      </c>
      <c r="AI253" s="362"/>
      <c r="AJ253" s="434" t="s">
        <v>2326</v>
      </c>
      <c r="AK253" s="434" t="s">
        <v>2326</v>
      </c>
      <c r="AL253" s="363"/>
      <c r="AM253" s="406">
        <v>0</v>
      </c>
      <c r="AN253" s="406">
        <v>0</v>
      </c>
      <c r="AO253" s="406">
        <v>0</v>
      </c>
      <c r="AP253" s="406">
        <v>0</v>
      </c>
      <c r="AQ253" s="406">
        <v>0</v>
      </c>
      <c r="AR253" s="406">
        <v>0</v>
      </c>
      <c r="AS253" s="406">
        <v>0</v>
      </c>
      <c r="AT253" s="406">
        <v>0</v>
      </c>
      <c r="AU253" s="407">
        <f t="shared" si="73"/>
        <v>0</v>
      </c>
      <c r="AV253" s="407">
        <f t="shared" si="74"/>
        <v>100</v>
      </c>
      <c r="AW253" s="408">
        <f t="shared" ref="AW253:AW289" si="91">AV253*0.05</f>
        <v>5</v>
      </c>
      <c r="AX253" s="406">
        <v>0</v>
      </c>
      <c r="AY253" s="406">
        <v>0</v>
      </c>
      <c r="AZ253" s="406">
        <v>0</v>
      </c>
      <c r="BA253" s="406">
        <v>0</v>
      </c>
      <c r="BB253" s="430">
        <f t="shared" si="75"/>
        <v>0</v>
      </c>
      <c r="BC253" s="407">
        <f t="shared" si="76"/>
        <v>25</v>
      </c>
      <c r="BD253" s="408">
        <f t="shared" ref="BD253:BD289" si="92">BC253*0.03</f>
        <v>0.75</v>
      </c>
      <c r="BE253" s="340">
        <f t="shared" si="77"/>
        <v>11.25</v>
      </c>
    </row>
    <row r="254" spans="1:57" x14ac:dyDescent="0.6">
      <c r="A254" s="214" t="s">
        <v>1870</v>
      </c>
      <c r="B254" s="13" t="s">
        <v>2234</v>
      </c>
      <c r="C254" s="219" t="s">
        <v>529</v>
      </c>
      <c r="D254" s="216" t="s">
        <v>203</v>
      </c>
      <c r="E254" s="217" t="s">
        <v>180</v>
      </c>
      <c r="F254" s="217" t="s">
        <v>561</v>
      </c>
      <c r="G254" s="218">
        <v>35094</v>
      </c>
      <c r="H254" s="217" t="s">
        <v>830</v>
      </c>
      <c r="I254" s="217" t="s">
        <v>1871</v>
      </c>
      <c r="J254" s="217" t="s">
        <v>1230</v>
      </c>
      <c r="K254" s="217" t="s">
        <v>91</v>
      </c>
      <c r="L254" s="220">
        <v>221214840</v>
      </c>
      <c r="M254" s="206">
        <v>49139610</v>
      </c>
      <c r="N254" s="206">
        <v>172075230</v>
      </c>
      <c r="O254" s="206">
        <v>157798814</v>
      </c>
      <c r="P254" s="206">
        <v>10746927</v>
      </c>
      <c r="Q254" s="206">
        <v>5946963</v>
      </c>
      <c r="R254" s="206">
        <v>5654728</v>
      </c>
      <c r="S254" s="406">
        <v>0</v>
      </c>
      <c r="T254" s="428">
        <f t="shared" si="66"/>
        <v>50</v>
      </c>
      <c r="U254" s="415">
        <f t="shared" si="67"/>
        <v>0.5</v>
      </c>
      <c r="V254" s="405">
        <v>0</v>
      </c>
      <c r="W254" s="428">
        <f t="shared" si="68"/>
        <v>50</v>
      </c>
      <c r="X254" s="415">
        <f t="shared" si="69"/>
        <v>0.5</v>
      </c>
      <c r="Y254" s="406">
        <v>0</v>
      </c>
      <c r="Z254" s="429">
        <v>0</v>
      </c>
      <c r="AA254" s="430">
        <f t="shared" si="70"/>
        <v>50</v>
      </c>
      <c r="AB254" s="415">
        <f t="shared" si="71"/>
        <v>0.5</v>
      </c>
      <c r="AC254" s="431">
        <v>0</v>
      </c>
      <c r="AD254" s="432">
        <f t="shared" si="72"/>
        <v>100</v>
      </c>
      <c r="AE254" s="433">
        <f t="shared" si="90"/>
        <v>4</v>
      </c>
      <c r="AF254" s="434" t="s">
        <v>2326</v>
      </c>
      <c r="AG254" s="434" t="s">
        <v>2326</v>
      </c>
      <c r="AH254" s="434" t="s">
        <v>2326</v>
      </c>
      <c r="AI254" s="362"/>
      <c r="AJ254" s="434" t="s">
        <v>2326</v>
      </c>
      <c r="AK254" s="434" t="s">
        <v>2326</v>
      </c>
      <c r="AL254" s="363"/>
      <c r="AM254" s="406">
        <v>0</v>
      </c>
      <c r="AN254" s="406">
        <v>0</v>
      </c>
      <c r="AO254" s="406">
        <v>0</v>
      </c>
      <c r="AP254" s="406">
        <v>0</v>
      </c>
      <c r="AQ254" s="406">
        <v>0</v>
      </c>
      <c r="AR254" s="406">
        <v>0</v>
      </c>
      <c r="AS254" s="406">
        <v>0</v>
      </c>
      <c r="AT254" s="406">
        <v>0</v>
      </c>
      <c r="AU254" s="407">
        <f t="shared" si="73"/>
        <v>0</v>
      </c>
      <c r="AV254" s="407">
        <f t="shared" si="74"/>
        <v>100</v>
      </c>
      <c r="AW254" s="408">
        <f t="shared" si="91"/>
        <v>5</v>
      </c>
      <c r="AX254" s="406">
        <v>0</v>
      </c>
      <c r="AY254" s="406">
        <v>0</v>
      </c>
      <c r="AZ254" s="406">
        <v>0</v>
      </c>
      <c r="BA254" s="406">
        <v>0</v>
      </c>
      <c r="BB254" s="430">
        <f t="shared" si="75"/>
        <v>0</v>
      </c>
      <c r="BC254" s="407">
        <f t="shared" si="76"/>
        <v>25</v>
      </c>
      <c r="BD254" s="408">
        <f t="shared" si="92"/>
        <v>0.75</v>
      </c>
      <c r="BE254" s="340">
        <f t="shared" si="77"/>
        <v>11.25</v>
      </c>
    </row>
    <row r="255" spans="1:57" x14ac:dyDescent="0.6">
      <c r="A255" s="214" t="s">
        <v>366</v>
      </c>
      <c r="B255" s="13" t="s">
        <v>2235</v>
      </c>
      <c r="C255" s="219" t="s">
        <v>447</v>
      </c>
      <c r="D255" s="216" t="s">
        <v>203</v>
      </c>
      <c r="E255" s="217" t="s">
        <v>180</v>
      </c>
      <c r="F255" s="217" t="s">
        <v>990</v>
      </c>
      <c r="G255" s="218">
        <v>37649</v>
      </c>
      <c r="H255" s="217" t="s">
        <v>830</v>
      </c>
      <c r="I255" s="217" t="s">
        <v>814</v>
      </c>
      <c r="J255" s="217" t="s">
        <v>663</v>
      </c>
      <c r="K255" s="217" t="s">
        <v>91</v>
      </c>
      <c r="L255" s="220">
        <v>162863274</v>
      </c>
      <c r="M255" s="206">
        <v>17371202</v>
      </c>
      <c r="N255" s="206">
        <v>145492071</v>
      </c>
      <c r="O255" s="206">
        <v>56651970</v>
      </c>
      <c r="P255" s="206">
        <v>10708324</v>
      </c>
      <c r="Q255" s="206">
        <v>12207215</v>
      </c>
      <c r="R255" s="206">
        <v>9200816</v>
      </c>
      <c r="S255" s="406">
        <v>0</v>
      </c>
      <c r="T255" s="428">
        <f t="shared" si="66"/>
        <v>50</v>
      </c>
      <c r="U255" s="415">
        <f t="shared" si="67"/>
        <v>0.5</v>
      </c>
      <c r="V255" s="405">
        <v>0</v>
      </c>
      <c r="W255" s="428">
        <f t="shared" si="68"/>
        <v>50</v>
      </c>
      <c r="X255" s="415">
        <f t="shared" si="69"/>
        <v>0.5</v>
      </c>
      <c r="Y255" s="406">
        <v>0</v>
      </c>
      <c r="Z255" s="429">
        <v>0</v>
      </c>
      <c r="AA255" s="430">
        <f t="shared" si="70"/>
        <v>50</v>
      </c>
      <c r="AB255" s="415">
        <f t="shared" si="71"/>
        <v>0.5</v>
      </c>
      <c r="AC255" s="431">
        <v>0</v>
      </c>
      <c r="AD255" s="432">
        <f t="shared" si="72"/>
        <v>100</v>
      </c>
      <c r="AE255" s="433">
        <f t="shared" si="90"/>
        <v>4</v>
      </c>
      <c r="AF255" s="434" t="s">
        <v>2326</v>
      </c>
      <c r="AG255" s="434" t="s">
        <v>2326</v>
      </c>
      <c r="AH255" s="434" t="s">
        <v>2326</v>
      </c>
      <c r="AI255" s="362"/>
      <c r="AJ255" s="434" t="s">
        <v>2326</v>
      </c>
      <c r="AK255" s="434" t="s">
        <v>2326</v>
      </c>
      <c r="AL255" s="363"/>
      <c r="AM255" s="406">
        <v>0</v>
      </c>
      <c r="AN255" s="406">
        <v>0</v>
      </c>
      <c r="AO255" s="406">
        <v>0</v>
      </c>
      <c r="AP255" s="406">
        <v>0</v>
      </c>
      <c r="AQ255" s="406">
        <v>0</v>
      </c>
      <c r="AR255" s="406">
        <v>0</v>
      </c>
      <c r="AS255" s="406">
        <v>0</v>
      </c>
      <c r="AT255" s="406">
        <v>0</v>
      </c>
      <c r="AU255" s="407">
        <f t="shared" si="73"/>
        <v>0</v>
      </c>
      <c r="AV255" s="407">
        <f t="shared" si="74"/>
        <v>100</v>
      </c>
      <c r="AW255" s="408">
        <f t="shared" si="91"/>
        <v>5</v>
      </c>
      <c r="AX255" s="406">
        <v>0</v>
      </c>
      <c r="AY255" s="406">
        <v>0</v>
      </c>
      <c r="AZ255" s="406">
        <v>0</v>
      </c>
      <c r="BA255" s="406">
        <v>0</v>
      </c>
      <c r="BB255" s="430">
        <f t="shared" si="75"/>
        <v>0</v>
      </c>
      <c r="BC255" s="407">
        <f t="shared" si="76"/>
        <v>25</v>
      </c>
      <c r="BD255" s="408">
        <f t="shared" si="92"/>
        <v>0.75</v>
      </c>
      <c r="BE255" s="340">
        <f t="shared" si="77"/>
        <v>11.25</v>
      </c>
    </row>
    <row r="256" spans="1:57" x14ac:dyDescent="0.6">
      <c r="A256" s="214" t="s">
        <v>1872</v>
      </c>
      <c r="B256" s="13" t="s">
        <v>2236</v>
      </c>
      <c r="C256" s="219" t="s">
        <v>38</v>
      </c>
      <c r="D256" s="216" t="s">
        <v>285</v>
      </c>
      <c r="E256" s="217" t="s">
        <v>867</v>
      </c>
      <c r="F256" s="217" t="s">
        <v>589</v>
      </c>
      <c r="G256" s="218">
        <v>32825</v>
      </c>
      <c r="H256" s="217" t="s">
        <v>830</v>
      </c>
      <c r="I256" s="217" t="s">
        <v>744</v>
      </c>
      <c r="J256" s="217" t="s">
        <v>1100</v>
      </c>
      <c r="K256" s="217" t="s">
        <v>690</v>
      </c>
      <c r="L256" s="220">
        <v>2966326502</v>
      </c>
      <c r="M256" s="206">
        <v>2073747455</v>
      </c>
      <c r="N256" s="206">
        <v>892579047</v>
      </c>
      <c r="O256" s="206">
        <v>2518358924</v>
      </c>
      <c r="P256" s="206">
        <v>126264508</v>
      </c>
      <c r="Q256" s="206">
        <v>98571424</v>
      </c>
      <c r="R256" s="206">
        <v>79048061</v>
      </c>
      <c r="S256" s="406">
        <v>0</v>
      </c>
      <c r="T256" s="428">
        <f t="shared" si="66"/>
        <v>50</v>
      </c>
      <c r="U256" s="415">
        <f t="shared" si="67"/>
        <v>0.5</v>
      </c>
      <c r="V256" s="405">
        <v>0</v>
      </c>
      <c r="W256" s="428">
        <f t="shared" si="68"/>
        <v>50</v>
      </c>
      <c r="X256" s="415">
        <f t="shared" si="69"/>
        <v>0.5</v>
      </c>
      <c r="Y256" s="406">
        <v>0</v>
      </c>
      <c r="Z256" s="429">
        <v>0</v>
      </c>
      <c r="AA256" s="430">
        <f t="shared" si="70"/>
        <v>50</v>
      </c>
      <c r="AB256" s="415">
        <f t="shared" si="71"/>
        <v>0.5</v>
      </c>
      <c r="AC256" s="431">
        <v>0</v>
      </c>
      <c r="AD256" s="432">
        <f t="shared" si="72"/>
        <v>100</v>
      </c>
      <c r="AE256" s="433">
        <f t="shared" si="90"/>
        <v>4</v>
      </c>
      <c r="AF256" s="434" t="s">
        <v>2326</v>
      </c>
      <c r="AG256" s="434" t="s">
        <v>2326</v>
      </c>
      <c r="AH256" s="434" t="s">
        <v>2326</v>
      </c>
      <c r="AI256" s="362"/>
      <c r="AJ256" s="434" t="s">
        <v>2326</v>
      </c>
      <c r="AK256" s="434" t="s">
        <v>2326</v>
      </c>
      <c r="AL256" s="363"/>
      <c r="AM256" s="406">
        <v>0</v>
      </c>
      <c r="AN256" s="406">
        <v>0</v>
      </c>
      <c r="AO256" s="406">
        <v>0</v>
      </c>
      <c r="AP256" s="406">
        <v>0</v>
      </c>
      <c r="AQ256" s="406">
        <v>0</v>
      </c>
      <c r="AR256" s="406">
        <v>0</v>
      </c>
      <c r="AS256" s="406">
        <v>0</v>
      </c>
      <c r="AT256" s="406">
        <v>0</v>
      </c>
      <c r="AU256" s="407">
        <f t="shared" si="73"/>
        <v>0</v>
      </c>
      <c r="AV256" s="407">
        <f t="shared" si="74"/>
        <v>100</v>
      </c>
      <c r="AW256" s="408">
        <f t="shared" si="91"/>
        <v>5</v>
      </c>
      <c r="AX256" s="406">
        <v>0</v>
      </c>
      <c r="AY256" s="406">
        <v>0</v>
      </c>
      <c r="AZ256" s="406">
        <v>0</v>
      </c>
      <c r="BA256" s="406">
        <v>0</v>
      </c>
      <c r="BB256" s="430">
        <f t="shared" si="75"/>
        <v>0</v>
      </c>
      <c r="BC256" s="407">
        <f t="shared" si="76"/>
        <v>25</v>
      </c>
      <c r="BD256" s="408">
        <f t="shared" si="92"/>
        <v>0.75</v>
      </c>
      <c r="BE256" s="340">
        <f t="shared" si="77"/>
        <v>11.25</v>
      </c>
    </row>
    <row r="257" spans="1:57" x14ac:dyDescent="0.6">
      <c r="A257" s="214" t="s">
        <v>1873</v>
      </c>
      <c r="B257" s="13" t="s">
        <v>2237</v>
      </c>
      <c r="C257" s="219" t="s">
        <v>1874</v>
      </c>
      <c r="D257" s="14" t="s">
        <v>191</v>
      </c>
      <c r="E257" s="217" t="s">
        <v>190</v>
      </c>
      <c r="F257" s="217" t="s">
        <v>1875</v>
      </c>
      <c r="G257" s="218">
        <v>34695</v>
      </c>
      <c r="H257" s="217" t="s">
        <v>830</v>
      </c>
      <c r="I257" s="217" t="s">
        <v>1876</v>
      </c>
      <c r="J257" s="217" t="s">
        <v>1877</v>
      </c>
      <c r="K257" s="217" t="s">
        <v>91</v>
      </c>
      <c r="L257" s="220">
        <v>638916718</v>
      </c>
      <c r="M257" s="206">
        <v>398803947</v>
      </c>
      <c r="N257" s="206">
        <v>240112771</v>
      </c>
      <c r="O257" s="206">
        <v>765025412</v>
      </c>
      <c r="P257" s="206">
        <v>47784093</v>
      </c>
      <c r="Q257" s="206">
        <v>26595933</v>
      </c>
      <c r="R257" s="206">
        <v>20153900</v>
      </c>
      <c r="S257" s="406">
        <v>0</v>
      </c>
      <c r="T257" s="428">
        <f t="shared" si="66"/>
        <v>50</v>
      </c>
      <c r="U257" s="415">
        <f t="shared" si="67"/>
        <v>0.5</v>
      </c>
      <c r="V257" s="405">
        <v>0</v>
      </c>
      <c r="W257" s="428">
        <f t="shared" si="68"/>
        <v>50</v>
      </c>
      <c r="X257" s="415">
        <f t="shared" si="69"/>
        <v>0.5</v>
      </c>
      <c r="Y257" s="406">
        <v>0</v>
      </c>
      <c r="Z257" s="429">
        <v>0</v>
      </c>
      <c r="AA257" s="430">
        <f t="shared" si="70"/>
        <v>50</v>
      </c>
      <c r="AB257" s="415">
        <f t="shared" si="71"/>
        <v>0.5</v>
      </c>
      <c r="AC257" s="431">
        <v>0</v>
      </c>
      <c r="AD257" s="432">
        <f t="shared" si="72"/>
        <v>100</v>
      </c>
      <c r="AE257" s="433">
        <f t="shared" si="90"/>
        <v>4</v>
      </c>
      <c r="AF257" s="434" t="s">
        <v>2326</v>
      </c>
      <c r="AG257" s="434" t="s">
        <v>2326</v>
      </c>
      <c r="AH257" s="434" t="s">
        <v>2326</v>
      </c>
      <c r="AI257" s="362"/>
      <c r="AJ257" s="434" t="s">
        <v>2326</v>
      </c>
      <c r="AK257" s="434" t="s">
        <v>2326</v>
      </c>
      <c r="AL257" s="363"/>
      <c r="AM257" s="406">
        <v>0</v>
      </c>
      <c r="AN257" s="406">
        <v>0</v>
      </c>
      <c r="AO257" s="406">
        <v>0</v>
      </c>
      <c r="AP257" s="406">
        <v>0</v>
      </c>
      <c r="AQ257" s="406">
        <v>0</v>
      </c>
      <c r="AR257" s="406">
        <v>0</v>
      </c>
      <c r="AS257" s="406">
        <v>0</v>
      </c>
      <c r="AT257" s="406">
        <v>0</v>
      </c>
      <c r="AU257" s="407">
        <f t="shared" si="73"/>
        <v>0</v>
      </c>
      <c r="AV257" s="407">
        <f t="shared" si="74"/>
        <v>100</v>
      </c>
      <c r="AW257" s="408">
        <f t="shared" si="91"/>
        <v>5</v>
      </c>
      <c r="AX257" s="406">
        <v>0</v>
      </c>
      <c r="AY257" s="406">
        <v>0</v>
      </c>
      <c r="AZ257" s="406">
        <v>0</v>
      </c>
      <c r="BA257" s="406">
        <v>0</v>
      </c>
      <c r="BB257" s="430">
        <f t="shared" si="75"/>
        <v>0</v>
      </c>
      <c r="BC257" s="407">
        <f t="shared" si="76"/>
        <v>25</v>
      </c>
      <c r="BD257" s="408">
        <f t="shared" si="92"/>
        <v>0.75</v>
      </c>
      <c r="BE257" s="340">
        <f t="shared" si="77"/>
        <v>11.25</v>
      </c>
    </row>
    <row r="258" spans="1:57" x14ac:dyDescent="0.6">
      <c r="A258" s="214" t="s">
        <v>1878</v>
      </c>
      <c r="B258" s="13" t="s">
        <v>2238</v>
      </c>
      <c r="C258" s="219" t="s">
        <v>1879</v>
      </c>
      <c r="D258" s="14" t="s">
        <v>203</v>
      </c>
      <c r="E258" s="217" t="s">
        <v>246</v>
      </c>
      <c r="F258" s="217" t="s">
        <v>1880</v>
      </c>
      <c r="G258" s="218">
        <v>43039</v>
      </c>
      <c r="H258" s="217" t="s">
        <v>830</v>
      </c>
      <c r="I258" s="217" t="s">
        <v>1881</v>
      </c>
      <c r="J258" s="217" t="s">
        <v>1882</v>
      </c>
      <c r="K258" s="217" t="s">
        <v>690</v>
      </c>
      <c r="L258" s="220">
        <v>136133552</v>
      </c>
      <c r="M258" s="206">
        <v>44833578</v>
      </c>
      <c r="N258" s="206">
        <v>91299975</v>
      </c>
      <c r="O258" s="206">
        <v>179753809</v>
      </c>
      <c r="P258" s="206">
        <v>24450342</v>
      </c>
      <c r="Q258" s="206">
        <v>25307795</v>
      </c>
      <c r="R258" s="206">
        <v>20467189</v>
      </c>
      <c r="S258" s="406">
        <v>0</v>
      </c>
      <c r="T258" s="428">
        <f t="shared" ref="T258:T321" si="93">IF(S258=1, 100, 50)</f>
        <v>50</v>
      </c>
      <c r="U258" s="415">
        <f t="shared" ref="U258:U321" si="94">T258*0.01</f>
        <v>0.5</v>
      </c>
      <c r="V258" s="405">
        <v>0</v>
      </c>
      <c r="W258" s="428">
        <f t="shared" ref="W258:W321" si="95">IF(V258=1, 100, 50)</f>
        <v>50</v>
      </c>
      <c r="X258" s="415">
        <f t="shared" ref="X258:X321" si="96">W258*0.01</f>
        <v>0.5</v>
      </c>
      <c r="Y258" s="406">
        <v>0</v>
      </c>
      <c r="Z258" s="429">
        <v>0</v>
      </c>
      <c r="AA258" s="430">
        <f t="shared" ref="AA258:AA321" si="97">IF(Y258=1, 50, 0)+IF(Z258=0, 50, 0)</f>
        <v>50</v>
      </c>
      <c r="AB258" s="415">
        <f t="shared" ref="AB258:AB321" si="98">AA258*0.01</f>
        <v>0.5</v>
      </c>
      <c r="AC258" s="431">
        <v>0</v>
      </c>
      <c r="AD258" s="432">
        <f t="shared" ref="AD258:AD308" si="99">IF(AC258=0, 100, IF(AC258=1, 80, IF(AC258=2, 60, IF(AC258=3, 40, IF(AC258&gt;=4, 20)))))</f>
        <v>100</v>
      </c>
      <c r="AE258" s="433">
        <f t="shared" si="90"/>
        <v>4</v>
      </c>
      <c r="AF258" s="434" t="s">
        <v>2326</v>
      </c>
      <c r="AG258" s="434" t="s">
        <v>2326</v>
      </c>
      <c r="AH258" s="434" t="s">
        <v>2326</v>
      </c>
      <c r="AI258" s="362"/>
      <c r="AJ258" s="434" t="s">
        <v>2326</v>
      </c>
      <c r="AK258" s="434" t="s">
        <v>2326</v>
      </c>
      <c r="AL258" s="363"/>
      <c r="AM258" s="406">
        <v>0</v>
      </c>
      <c r="AN258" s="406">
        <v>0</v>
      </c>
      <c r="AO258" s="406">
        <v>0</v>
      </c>
      <c r="AP258" s="406">
        <v>0</v>
      </c>
      <c r="AQ258" s="406">
        <v>0</v>
      </c>
      <c r="AR258" s="406">
        <v>0</v>
      </c>
      <c r="AS258" s="406">
        <v>0</v>
      </c>
      <c r="AT258" s="406">
        <v>0</v>
      </c>
      <c r="AU258" s="407">
        <f t="shared" ref="AU258:AU321" si="100">SUM(AM258:AT258)</f>
        <v>0</v>
      </c>
      <c r="AV258" s="407">
        <f t="shared" ref="AV258:AV321" si="101">IF(AU258=0, 100, IF(AU258=1, 80, IF(AU258=2, 60, IF(AU258=3, 40, 20))))</f>
        <v>100</v>
      </c>
      <c r="AW258" s="408">
        <f t="shared" si="91"/>
        <v>5</v>
      </c>
      <c r="AX258" s="406">
        <v>0</v>
      </c>
      <c r="AY258" s="406">
        <v>0</v>
      </c>
      <c r="AZ258" s="406">
        <v>0</v>
      </c>
      <c r="BA258" s="406">
        <v>0</v>
      </c>
      <c r="BB258" s="430">
        <f t="shared" ref="BB258:BB321" si="102">SUM(AX258:BA258)</f>
        <v>0</v>
      </c>
      <c r="BC258" s="407">
        <f t="shared" ref="BC258:BC321" si="103">IF(BB258=0, 25, IF(BB258=1, 50, IF(BB258=2, 75, IF(BB258&gt;=3, 100))))</f>
        <v>25</v>
      </c>
      <c r="BD258" s="408">
        <f t="shared" si="92"/>
        <v>0.75</v>
      </c>
      <c r="BE258" s="340">
        <f t="shared" ref="BE258:BE321" si="104">U258+X258+AB258+AE258+AI258+AL258+AW258+BD258</f>
        <v>11.25</v>
      </c>
    </row>
    <row r="259" spans="1:57" x14ac:dyDescent="0.6">
      <c r="A259" s="214" t="s">
        <v>469</v>
      </c>
      <c r="B259" s="13" t="s">
        <v>2239</v>
      </c>
      <c r="C259" s="219" t="s">
        <v>889</v>
      </c>
      <c r="D259" s="216" t="s">
        <v>285</v>
      </c>
      <c r="E259" s="217" t="s">
        <v>112</v>
      </c>
      <c r="F259" s="217" t="s">
        <v>167</v>
      </c>
      <c r="G259" s="218">
        <v>38188</v>
      </c>
      <c r="H259" s="217" t="s">
        <v>830</v>
      </c>
      <c r="I259" s="217" t="s">
        <v>747</v>
      </c>
      <c r="J259" s="217" t="s">
        <v>1221</v>
      </c>
      <c r="K259" s="217" t="s">
        <v>91</v>
      </c>
      <c r="L259" s="220">
        <v>132073637</v>
      </c>
      <c r="M259" s="206">
        <v>20552807</v>
      </c>
      <c r="N259" s="206">
        <v>111520830</v>
      </c>
      <c r="O259" s="206">
        <v>42568935</v>
      </c>
      <c r="P259" s="206">
        <v>2855339</v>
      </c>
      <c r="Q259" s="206">
        <v>4551046</v>
      </c>
      <c r="R259" s="206">
        <v>3850592</v>
      </c>
      <c r="S259" s="406">
        <v>0</v>
      </c>
      <c r="T259" s="428">
        <f t="shared" si="93"/>
        <v>50</v>
      </c>
      <c r="U259" s="415">
        <f t="shared" si="94"/>
        <v>0.5</v>
      </c>
      <c r="V259" s="405">
        <v>0</v>
      </c>
      <c r="W259" s="428">
        <f t="shared" si="95"/>
        <v>50</v>
      </c>
      <c r="X259" s="415">
        <f t="shared" si="96"/>
        <v>0.5</v>
      </c>
      <c r="Y259" s="406">
        <v>0</v>
      </c>
      <c r="Z259" s="429">
        <v>0</v>
      </c>
      <c r="AA259" s="430">
        <f t="shared" si="97"/>
        <v>50</v>
      </c>
      <c r="AB259" s="415">
        <f t="shared" si="98"/>
        <v>0.5</v>
      </c>
      <c r="AC259" s="431">
        <v>0</v>
      </c>
      <c r="AD259" s="432">
        <f t="shared" si="99"/>
        <v>100</v>
      </c>
      <c r="AE259" s="433">
        <f t="shared" si="90"/>
        <v>4</v>
      </c>
      <c r="AF259" s="434" t="s">
        <v>2326</v>
      </c>
      <c r="AG259" s="434" t="s">
        <v>2326</v>
      </c>
      <c r="AH259" s="434" t="s">
        <v>2326</v>
      </c>
      <c r="AI259" s="362"/>
      <c r="AJ259" s="434" t="s">
        <v>2326</v>
      </c>
      <c r="AK259" s="434" t="s">
        <v>2326</v>
      </c>
      <c r="AL259" s="363"/>
      <c r="AM259" s="406">
        <v>0</v>
      </c>
      <c r="AN259" s="406">
        <v>0</v>
      </c>
      <c r="AO259" s="406">
        <v>0</v>
      </c>
      <c r="AP259" s="406">
        <v>0</v>
      </c>
      <c r="AQ259" s="406">
        <v>0</v>
      </c>
      <c r="AR259" s="406">
        <v>0</v>
      </c>
      <c r="AS259" s="406">
        <v>0</v>
      </c>
      <c r="AT259" s="406">
        <v>0</v>
      </c>
      <c r="AU259" s="407">
        <f t="shared" si="100"/>
        <v>0</v>
      </c>
      <c r="AV259" s="407">
        <f t="shared" si="101"/>
        <v>100</v>
      </c>
      <c r="AW259" s="408">
        <f t="shared" si="91"/>
        <v>5</v>
      </c>
      <c r="AX259" s="406">
        <v>0</v>
      </c>
      <c r="AY259" s="406">
        <v>0</v>
      </c>
      <c r="AZ259" s="406">
        <v>0</v>
      </c>
      <c r="BA259" s="406">
        <v>0</v>
      </c>
      <c r="BB259" s="430">
        <f t="shared" si="102"/>
        <v>0</v>
      </c>
      <c r="BC259" s="407">
        <f t="shared" si="103"/>
        <v>25</v>
      </c>
      <c r="BD259" s="408">
        <f t="shared" si="92"/>
        <v>0.75</v>
      </c>
      <c r="BE259" s="340">
        <f t="shared" si="104"/>
        <v>11.25</v>
      </c>
    </row>
    <row r="260" spans="1:57" x14ac:dyDescent="0.6">
      <c r="A260" s="214" t="s">
        <v>85</v>
      </c>
      <c r="B260" s="13" t="s">
        <v>2240</v>
      </c>
      <c r="C260" s="219" t="s">
        <v>901</v>
      </c>
      <c r="D260" s="216" t="s">
        <v>203</v>
      </c>
      <c r="E260" s="217" t="s">
        <v>188</v>
      </c>
      <c r="F260" s="217" t="s">
        <v>243</v>
      </c>
      <c r="G260" s="218">
        <v>37536</v>
      </c>
      <c r="H260" s="217" t="s">
        <v>830</v>
      </c>
      <c r="I260" s="217" t="s">
        <v>1883</v>
      </c>
      <c r="J260" s="217" t="s">
        <v>1136</v>
      </c>
      <c r="K260" s="217" t="s">
        <v>91</v>
      </c>
      <c r="L260" s="220">
        <v>941352875</v>
      </c>
      <c r="M260" s="206">
        <v>201162049</v>
      </c>
      <c r="N260" s="206">
        <v>740190827</v>
      </c>
      <c r="O260" s="206">
        <v>1235837871</v>
      </c>
      <c r="P260" s="206">
        <v>117135007</v>
      </c>
      <c r="Q260" s="206">
        <v>105510103</v>
      </c>
      <c r="R260" s="206">
        <v>81809433</v>
      </c>
      <c r="S260" s="406">
        <v>0</v>
      </c>
      <c r="T260" s="428">
        <f t="shared" si="93"/>
        <v>50</v>
      </c>
      <c r="U260" s="415">
        <f t="shared" si="94"/>
        <v>0.5</v>
      </c>
      <c r="V260" s="405">
        <v>0</v>
      </c>
      <c r="W260" s="428">
        <f t="shared" si="95"/>
        <v>50</v>
      </c>
      <c r="X260" s="415">
        <f t="shared" si="96"/>
        <v>0.5</v>
      </c>
      <c r="Y260" s="406">
        <v>0</v>
      </c>
      <c r="Z260" s="429">
        <v>0</v>
      </c>
      <c r="AA260" s="430">
        <f t="shared" si="97"/>
        <v>50</v>
      </c>
      <c r="AB260" s="415">
        <f t="shared" si="98"/>
        <v>0.5</v>
      </c>
      <c r="AC260" s="431">
        <v>0</v>
      </c>
      <c r="AD260" s="432">
        <f t="shared" si="99"/>
        <v>100</v>
      </c>
      <c r="AE260" s="433">
        <f t="shared" si="90"/>
        <v>4</v>
      </c>
      <c r="AF260" s="434" t="s">
        <v>2326</v>
      </c>
      <c r="AG260" s="434" t="s">
        <v>2326</v>
      </c>
      <c r="AH260" s="434" t="s">
        <v>2326</v>
      </c>
      <c r="AI260" s="362"/>
      <c r="AJ260" s="434" t="s">
        <v>2326</v>
      </c>
      <c r="AK260" s="434" t="s">
        <v>2326</v>
      </c>
      <c r="AL260" s="363"/>
      <c r="AM260" s="406">
        <v>0</v>
      </c>
      <c r="AN260" s="406">
        <v>0</v>
      </c>
      <c r="AO260" s="406">
        <v>0</v>
      </c>
      <c r="AP260" s="406">
        <v>0</v>
      </c>
      <c r="AQ260" s="406">
        <v>0</v>
      </c>
      <c r="AR260" s="406">
        <v>0</v>
      </c>
      <c r="AS260" s="406">
        <v>0</v>
      </c>
      <c r="AT260" s="406">
        <v>0</v>
      </c>
      <c r="AU260" s="407">
        <f t="shared" si="100"/>
        <v>0</v>
      </c>
      <c r="AV260" s="407">
        <f t="shared" si="101"/>
        <v>100</v>
      </c>
      <c r="AW260" s="408">
        <f t="shared" si="91"/>
        <v>5</v>
      </c>
      <c r="AX260" s="406">
        <v>0</v>
      </c>
      <c r="AY260" s="406">
        <v>0</v>
      </c>
      <c r="AZ260" s="406">
        <v>0</v>
      </c>
      <c r="BA260" s="406">
        <v>0</v>
      </c>
      <c r="BB260" s="430">
        <f t="shared" si="102"/>
        <v>0</v>
      </c>
      <c r="BC260" s="407">
        <f t="shared" si="103"/>
        <v>25</v>
      </c>
      <c r="BD260" s="408">
        <f t="shared" si="92"/>
        <v>0.75</v>
      </c>
      <c r="BE260" s="340">
        <f t="shared" si="104"/>
        <v>11.25</v>
      </c>
    </row>
    <row r="261" spans="1:57" x14ac:dyDescent="0.6">
      <c r="A261" s="214" t="s">
        <v>797</v>
      </c>
      <c r="B261" s="13" t="s">
        <v>2241</v>
      </c>
      <c r="C261" s="219" t="s">
        <v>939</v>
      </c>
      <c r="D261" s="216" t="s">
        <v>191</v>
      </c>
      <c r="E261" s="217" t="s">
        <v>1091</v>
      </c>
      <c r="F261" s="217" t="s">
        <v>216</v>
      </c>
      <c r="G261" s="218">
        <v>32283</v>
      </c>
      <c r="H261" s="217" t="s">
        <v>830</v>
      </c>
      <c r="I261" s="217" t="s">
        <v>722</v>
      </c>
      <c r="J261" s="217" t="s">
        <v>1219</v>
      </c>
      <c r="K261" s="217" t="s">
        <v>91</v>
      </c>
      <c r="L261" s="220">
        <v>112694189</v>
      </c>
      <c r="M261" s="206">
        <v>32982274</v>
      </c>
      <c r="N261" s="206">
        <v>79711915</v>
      </c>
      <c r="O261" s="206">
        <v>60181807</v>
      </c>
      <c r="P261" s="206">
        <v>8873367</v>
      </c>
      <c r="Q261" s="206">
        <v>5968958</v>
      </c>
      <c r="R261" s="206">
        <v>10884761</v>
      </c>
      <c r="S261" s="406">
        <v>0</v>
      </c>
      <c r="T261" s="428">
        <f t="shared" si="93"/>
        <v>50</v>
      </c>
      <c r="U261" s="415">
        <f t="shared" si="94"/>
        <v>0.5</v>
      </c>
      <c r="V261" s="405">
        <v>0</v>
      </c>
      <c r="W261" s="428">
        <f t="shared" si="95"/>
        <v>50</v>
      </c>
      <c r="X261" s="415">
        <f t="shared" si="96"/>
        <v>0.5</v>
      </c>
      <c r="Y261" s="406">
        <v>0</v>
      </c>
      <c r="Z261" s="429">
        <v>0</v>
      </c>
      <c r="AA261" s="430">
        <f t="shared" si="97"/>
        <v>50</v>
      </c>
      <c r="AB261" s="415">
        <f t="shared" si="98"/>
        <v>0.5</v>
      </c>
      <c r="AC261" s="431">
        <v>0</v>
      </c>
      <c r="AD261" s="432">
        <f t="shared" si="99"/>
        <v>100</v>
      </c>
      <c r="AE261" s="433">
        <f t="shared" si="90"/>
        <v>4</v>
      </c>
      <c r="AF261" s="434" t="s">
        <v>2326</v>
      </c>
      <c r="AG261" s="434" t="s">
        <v>2326</v>
      </c>
      <c r="AH261" s="434" t="s">
        <v>2326</v>
      </c>
      <c r="AI261" s="362"/>
      <c r="AJ261" s="434" t="s">
        <v>2326</v>
      </c>
      <c r="AK261" s="434" t="s">
        <v>2326</v>
      </c>
      <c r="AL261" s="363"/>
      <c r="AM261" s="406">
        <v>0</v>
      </c>
      <c r="AN261" s="406">
        <v>0</v>
      </c>
      <c r="AO261" s="406">
        <v>0</v>
      </c>
      <c r="AP261" s="406">
        <v>0</v>
      </c>
      <c r="AQ261" s="406">
        <v>0</v>
      </c>
      <c r="AR261" s="406">
        <v>0</v>
      </c>
      <c r="AS261" s="406">
        <v>0</v>
      </c>
      <c r="AT261" s="406">
        <v>0</v>
      </c>
      <c r="AU261" s="407">
        <f t="shared" si="100"/>
        <v>0</v>
      </c>
      <c r="AV261" s="407">
        <f t="shared" si="101"/>
        <v>100</v>
      </c>
      <c r="AW261" s="408">
        <f t="shared" si="91"/>
        <v>5</v>
      </c>
      <c r="AX261" s="406">
        <v>1</v>
      </c>
      <c r="AY261" s="406">
        <v>0</v>
      </c>
      <c r="AZ261" s="406">
        <v>0</v>
      </c>
      <c r="BA261" s="406">
        <v>0</v>
      </c>
      <c r="BB261" s="430">
        <f t="shared" si="102"/>
        <v>1</v>
      </c>
      <c r="BC261" s="407">
        <f t="shared" si="103"/>
        <v>50</v>
      </c>
      <c r="BD261" s="408">
        <f t="shared" si="92"/>
        <v>1.5</v>
      </c>
      <c r="BE261" s="340">
        <f t="shared" si="104"/>
        <v>12</v>
      </c>
    </row>
    <row r="262" spans="1:57" x14ac:dyDescent="0.6">
      <c r="A262" s="214" t="s">
        <v>1884</v>
      </c>
      <c r="B262" s="13" t="s">
        <v>2242</v>
      </c>
      <c r="C262" s="219" t="s">
        <v>1885</v>
      </c>
      <c r="D262" s="14" t="s">
        <v>285</v>
      </c>
      <c r="E262" s="217" t="s">
        <v>534</v>
      </c>
      <c r="F262" s="217" t="s">
        <v>1886</v>
      </c>
      <c r="G262" s="218">
        <v>39346</v>
      </c>
      <c r="H262" s="217" t="s">
        <v>830</v>
      </c>
      <c r="I262" s="217" t="s">
        <v>1887</v>
      </c>
      <c r="J262" s="217" t="s">
        <v>1888</v>
      </c>
      <c r="K262" s="217" t="s">
        <v>91</v>
      </c>
      <c r="L262" s="220">
        <v>7391490000</v>
      </c>
      <c r="M262" s="206">
        <v>2951621000</v>
      </c>
      <c r="N262" s="206">
        <v>4439869000</v>
      </c>
      <c r="O262" s="206">
        <v>5700446000</v>
      </c>
      <c r="P262" s="206">
        <v>784634000</v>
      </c>
      <c r="Q262" s="206">
        <v>676532000</v>
      </c>
      <c r="R262" s="206">
        <v>676532000</v>
      </c>
      <c r="S262" s="406">
        <v>0</v>
      </c>
      <c r="T262" s="428">
        <f t="shared" si="93"/>
        <v>50</v>
      </c>
      <c r="U262" s="415">
        <f t="shared" si="94"/>
        <v>0.5</v>
      </c>
      <c r="V262" s="405">
        <v>0</v>
      </c>
      <c r="W262" s="428">
        <f t="shared" si="95"/>
        <v>50</v>
      </c>
      <c r="X262" s="415">
        <f t="shared" si="96"/>
        <v>0.5</v>
      </c>
      <c r="Y262" s="406">
        <v>0</v>
      </c>
      <c r="Z262" s="429">
        <v>0</v>
      </c>
      <c r="AA262" s="430">
        <f t="shared" si="97"/>
        <v>50</v>
      </c>
      <c r="AB262" s="415">
        <f t="shared" si="98"/>
        <v>0.5</v>
      </c>
      <c r="AC262" s="431">
        <v>0</v>
      </c>
      <c r="AD262" s="432">
        <f t="shared" si="99"/>
        <v>100</v>
      </c>
      <c r="AE262" s="433">
        <f t="shared" si="90"/>
        <v>4</v>
      </c>
      <c r="AF262" s="434" t="s">
        <v>2326</v>
      </c>
      <c r="AG262" s="434" t="s">
        <v>2326</v>
      </c>
      <c r="AH262" s="434" t="s">
        <v>2326</v>
      </c>
      <c r="AI262" s="362"/>
      <c r="AJ262" s="434" t="s">
        <v>2326</v>
      </c>
      <c r="AK262" s="434" t="s">
        <v>2326</v>
      </c>
      <c r="AL262" s="363"/>
      <c r="AM262" s="406">
        <v>0</v>
      </c>
      <c r="AN262" s="406">
        <v>0</v>
      </c>
      <c r="AO262" s="406">
        <v>0</v>
      </c>
      <c r="AP262" s="406">
        <v>0</v>
      </c>
      <c r="AQ262" s="406">
        <v>0</v>
      </c>
      <c r="AR262" s="406">
        <v>0</v>
      </c>
      <c r="AS262" s="406">
        <v>0</v>
      </c>
      <c r="AT262" s="406">
        <v>0</v>
      </c>
      <c r="AU262" s="407">
        <f t="shared" si="100"/>
        <v>0</v>
      </c>
      <c r="AV262" s="407">
        <f t="shared" si="101"/>
        <v>100</v>
      </c>
      <c r="AW262" s="408">
        <f t="shared" si="91"/>
        <v>5</v>
      </c>
      <c r="AX262" s="406">
        <v>0</v>
      </c>
      <c r="AY262" s="406">
        <v>0</v>
      </c>
      <c r="AZ262" s="406">
        <v>0</v>
      </c>
      <c r="BA262" s="406">
        <v>0</v>
      </c>
      <c r="BB262" s="430">
        <f t="shared" si="102"/>
        <v>0</v>
      </c>
      <c r="BC262" s="407">
        <f t="shared" si="103"/>
        <v>25</v>
      </c>
      <c r="BD262" s="408">
        <f t="shared" si="92"/>
        <v>0.75</v>
      </c>
      <c r="BE262" s="340">
        <f t="shared" si="104"/>
        <v>11.25</v>
      </c>
    </row>
    <row r="263" spans="1:57" x14ac:dyDescent="0.6">
      <c r="A263" s="214" t="s">
        <v>1889</v>
      </c>
      <c r="B263" s="13" t="s">
        <v>2243</v>
      </c>
      <c r="C263" s="219" t="s">
        <v>1890</v>
      </c>
      <c r="D263" s="14" t="s">
        <v>202</v>
      </c>
      <c r="E263" s="217" t="s">
        <v>606</v>
      </c>
      <c r="F263" s="217" t="s">
        <v>1891</v>
      </c>
      <c r="G263" s="218">
        <v>32638</v>
      </c>
      <c r="H263" s="217" t="s">
        <v>830</v>
      </c>
      <c r="I263" s="217" t="s">
        <v>1892</v>
      </c>
      <c r="J263" s="217" t="s">
        <v>1893</v>
      </c>
      <c r="K263" s="217" t="s">
        <v>50</v>
      </c>
      <c r="L263" s="220">
        <v>211309948</v>
      </c>
      <c r="M263" s="206">
        <v>154647755</v>
      </c>
      <c r="N263" s="206">
        <v>56662193</v>
      </c>
      <c r="O263" s="206">
        <v>160154490</v>
      </c>
      <c r="P263" s="206">
        <v>3112928</v>
      </c>
      <c r="Q263" s="206">
        <v>4592986</v>
      </c>
      <c r="R263" s="206">
        <v>1794177</v>
      </c>
      <c r="S263" s="406">
        <v>0</v>
      </c>
      <c r="T263" s="428">
        <f t="shared" si="93"/>
        <v>50</v>
      </c>
      <c r="U263" s="415">
        <f t="shared" si="94"/>
        <v>0.5</v>
      </c>
      <c r="V263" s="405">
        <v>0</v>
      </c>
      <c r="W263" s="428">
        <f t="shared" si="95"/>
        <v>50</v>
      </c>
      <c r="X263" s="415">
        <f t="shared" si="96"/>
        <v>0.5</v>
      </c>
      <c r="Y263" s="406">
        <v>0</v>
      </c>
      <c r="Z263" s="429">
        <v>0</v>
      </c>
      <c r="AA263" s="430">
        <f t="shared" si="97"/>
        <v>50</v>
      </c>
      <c r="AB263" s="415">
        <f t="shared" si="98"/>
        <v>0.5</v>
      </c>
      <c r="AC263" s="431">
        <v>0</v>
      </c>
      <c r="AD263" s="432">
        <f t="shared" si="99"/>
        <v>100</v>
      </c>
      <c r="AE263" s="433">
        <f t="shared" si="90"/>
        <v>4</v>
      </c>
      <c r="AF263" s="434" t="s">
        <v>2326</v>
      </c>
      <c r="AG263" s="434" t="s">
        <v>2326</v>
      </c>
      <c r="AH263" s="434" t="s">
        <v>2326</v>
      </c>
      <c r="AI263" s="362"/>
      <c r="AJ263" s="434" t="s">
        <v>2326</v>
      </c>
      <c r="AK263" s="434" t="s">
        <v>2326</v>
      </c>
      <c r="AL263" s="363"/>
      <c r="AM263" s="406">
        <v>0</v>
      </c>
      <c r="AN263" s="406">
        <v>0</v>
      </c>
      <c r="AO263" s="406">
        <v>0</v>
      </c>
      <c r="AP263" s="406">
        <v>0</v>
      </c>
      <c r="AQ263" s="406">
        <v>0</v>
      </c>
      <c r="AR263" s="406">
        <v>0</v>
      </c>
      <c r="AS263" s="406">
        <v>0</v>
      </c>
      <c r="AT263" s="406">
        <v>0</v>
      </c>
      <c r="AU263" s="407">
        <f t="shared" si="100"/>
        <v>0</v>
      </c>
      <c r="AV263" s="407">
        <f t="shared" si="101"/>
        <v>100</v>
      </c>
      <c r="AW263" s="408">
        <f t="shared" si="91"/>
        <v>5</v>
      </c>
      <c r="AX263" s="406">
        <v>0</v>
      </c>
      <c r="AY263" s="406">
        <v>0</v>
      </c>
      <c r="AZ263" s="406">
        <v>0</v>
      </c>
      <c r="BA263" s="406">
        <v>0</v>
      </c>
      <c r="BB263" s="430">
        <f t="shared" si="102"/>
        <v>0</v>
      </c>
      <c r="BC263" s="407">
        <f t="shared" si="103"/>
        <v>25</v>
      </c>
      <c r="BD263" s="408">
        <f t="shared" si="92"/>
        <v>0.75</v>
      </c>
      <c r="BE263" s="340">
        <f t="shared" si="104"/>
        <v>11.25</v>
      </c>
    </row>
    <row r="264" spans="1:57" x14ac:dyDescent="0.6">
      <c r="A264" s="214" t="s">
        <v>740</v>
      </c>
      <c r="B264" s="13" t="s">
        <v>2244</v>
      </c>
      <c r="C264" s="219" t="s">
        <v>455</v>
      </c>
      <c r="D264" s="216" t="s">
        <v>191</v>
      </c>
      <c r="E264" s="217" t="s">
        <v>554</v>
      </c>
      <c r="F264" s="217" t="s">
        <v>1010</v>
      </c>
      <c r="G264" s="218">
        <v>35423</v>
      </c>
      <c r="H264" s="217" t="s">
        <v>830</v>
      </c>
      <c r="I264" s="217" t="s">
        <v>399</v>
      </c>
      <c r="J264" s="217" t="s">
        <v>1126</v>
      </c>
      <c r="K264" s="217" t="s">
        <v>91</v>
      </c>
      <c r="L264" s="220">
        <v>557374543</v>
      </c>
      <c r="M264" s="206">
        <v>67942165</v>
      </c>
      <c r="N264" s="206">
        <v>489432378</v>
      </c>
      <c r="O264" s="206">
        <v>373267542</v>
      </c>
      <c r="P264" s="206">
        <v>36440646</v>
      </c>
      <c r="Q264" s="206">
        <v>14928841</v>
      </c>
      <c r="R264" s="206">
        <v>9950190</v>
      </c>
      <c r="S264" s="406">
        <v>0</v>
      </c>
      <c r="T264" s="428">
        <f t="shared" si="93"/>
        <v>50</v>
      </c>
      <c r="U264" s="415">
        <f t="shared" si="94"/>
        <v>0.5</v>
      </c>
      <c r="V264" s="405">
        <v>0</v>
      </c>
      <c r="W264" s="428">
        <f t="shared" si="95"/>
        <v>50</v>
      </c>
      <c r="X264" s="415">
        <f t="shared" si="96"/>
        <v>0.5</v>
      </c>
      <c r="Y264" s="406">
        <v>0</v>
      </c>
      <c r="Z264" s="429">
        <v>0</v>
      </c>
      <c r="AA264" s="430">
        <f t="shared" si="97"/>
        <v>50</v>
      </c>
      <c r="AB264" s="415">
        <f t="shared" si="98"/>
        <v>0.5</v>
      </c>
      <c r="AC264" s="431">
        <v>0</v>
      </c>
      <c r="AD264" s="432">
        <f t="shared" si="99"/>
        <v>100</v>
      </c>
      <c r="AE264" s="433">
        <f t="shared" si="90"/>
        <v>4</v>
      </c>
      <c r="AF264" s="434" t="s">
        <v>2326</v>
      </c>
      <c r="AG264" s="434" t="s">
        <v>2326</v>
      </c>
      <c r="AH264" s="434" t="s">
        <v>2326</v>
      </c>
      <c r="AI264" s="362"/>
      <c r="AJ264" s="434" t="s">
        <v>2326</v>
      </c>
      <c r="AK264" s="434" t="s">
        <v>2326</v>
      </c>
      <c r="AL264" s="363"/>
      <c r="AM264" s="406">
        <v>0</v>
      </c>
      <c r="AN264" s="406">
        <v>0</v>
      </c>
      <c r="AO264" s="406">
        <v>0</v>
      </c>
      <c r="AP264" s="406">
        <v>0</v>
      </c>
      <c r="AQ264" s="406">
        <v>0</v>
      </c>
      <c r="AR264" s="406">
        <v>0</v>
      </c>
      <c r="AS264" s="406">
        <v>0</v>
      </c>
      <c r="AT264" s="406">
        <v>0</v>
      </c>
      <c r="AU264" s="407">
        <f t="shared" si="100"/>
        <v>0</v>
      </c>
      <c r="AV264" s="407">
        <f t="shared" si="101"/>
        <v>100</v>
      </c>
      <c r="AW264" s="408">
        <f t="shared" si="91"/>
        <v>5</v>
      </c>
      <c r="AX264" s="406">
        <v>0</v>
      </c>
      <c r="AY264" s="406">
        <v>0</v>
      </c>
      <c r="AZ264" s="406">
        <v>0</v>
      </c>
      <c r="BA264" s="406">
        <v>0</v>
      </c>
      <c r="BB264" s="430">
        <f t="shared" si="102"/>
        <v>0</v>
      </c>
      <c r="BC264" s="407">
        <f t="shared" si="103"/>
        <v>25</v>
      </c>
      <c r="BD264" s="408">
        <f t="shared" si="92"/>
        <v>0.75</v>
      </c>
      <c r="BE264" s="340">
        <f t="shared" si="104"/>
        <v>11.25</v>
      </c>
    </row>
    <row r="265" spans="1:57" x14ac:dyDescent="0.6">
      <c r="A265" s="214" t="s">
        <v>16</v>
      </c>
      <c r="B265" s="13" t="s">
        <v>2245</v>
      </c>
      <c r="C265" s="219" t="s">
        <v>334</v>
      </c>
      <c r="D265" s="216" t="s">
        <v>203</v>
      </c>
      <c r="E265" s="217" t="s">
        <v>195</v>
      </c>
      <c r="F265" s="217" t="s">
        <v>562</v>
      </c>
      <c r="G265" s="218">
        <v>37484</v>
      </c>
      <c r="H265" s="217" t="s">
        <v>830</v>
      </c>
      <c r="I265" s="217" t="s">
        <v>827</v>
      </c>
      <c r="J265" s="217" t="s">
        <v>1102</v>
      </c>
      <c r="K265" s="217" t="s">
        <v>31</v>
      </c>
      <c r="L265" s="220">
        <v>531890343</v>
      </c>
      <c r="M265" s="206">
        <v>201052570</v>
      </c>
      <c r="N265" s="206">
        <v>330837773</v>
      </c>
      <c r="O265" s="206">
        <v>1181624867</v>
      </c>
      <c r="P265" s="206">
        <v>33106219</v>
      </c>
      <c r="Q265" s="206">
        <v>25624309</v>
      </c>
      <c r="R265" s="206">
        <v>17479918</v>
      </c>
      <c r="S265" s="406">
        <v>0</v>
      </c>
      <c r="T265" s="428">
        <f t="shared" si="93"/>
        <v>50</v>
      </c>
      <c r="U265" s="415">
        <f t="shared" si="94"/>
        <v>0.5</v>
      </c>
      <c r="V265" s="405">
        <v>0</v>
      </c>
      <c r="W265" s="428">
        <f t="shared" si="95"/>
        <v>50</v>
      </c>
      <c r="X265" s="415">
        <f t="shared" si="96"/>
        <v>0.5</v>
      </c>
      <c r="Y265" s="406">
        <v>0</v>
      </c>
      <c r="Z265" s="429">
        <v>0</v>
      </c>
      <c r="AA265" s="430">
        <f t="shared" si="97"/>
        <v>50</v>
      </c>
      <c r="AB265" s="415">
        <f t="shared" si="98"/>
        <v>0.5</v>
      </c>
      <c r="AC265" s="431">
        <v>0</v>
      </c>
      <c r="AD265" s="432">
        <f t="shared" si="99"/>
        <v>100</v>
      </c>
      <c r="AE265" s="433">
        <f t="shared" si="90"/>
        <v>4</v>
      </c>
      <c r="AF265" s="434" t="s">
        <v>2326</v>
      </c>
      <c r="AG265" s="434" t="s">
        <v>2326</v>
      </c>
      <c r="AH265" s="434" t="s">
        <v>2326</v>
      </c>
      <c r="AI265" s="362"/>
      <c r="AJ265" s="434" t="s">
        <v>2326</v>
      </c>
      <c r="AK265" s="434" t="s">
        <v>2326</v>
      </c>
      <c r="AL265" s="363"/>
      <c r="AM265" s="406">
        <v>0</v>
      </c>
      <c r="AN265" s="406">
        <v>0</v>
      </c>
      <c r="AO265" s="406">
        <v>0</v>
      </c>
      <c r="AP265" s="406">
        <v>0</v>
      </c>
      <c r="AQ265" s="406">
        <v>0</v>
      </c>
      <c r="AR265" s="406">
        <v>0</v>
      </c>
      <c r="AS265" s="406">
        <v>0</v>
      </c>
      <c r="AT265" s="406">
        <v>0</v>
      </c>
      <c r="AU265" s="407">
        <f t="shared" si="100"/>
        <v>0</v>
      </c>
      <c r="AV265" s="407">
        <f t="shared" si="101"/>
        <v>100</v>
      </c>
      <c r="AW265" s="408">
        <f t="shared" si="91"/>
        <v>5</v>
      </c>
      <c r="AX265" s="406">
        <v>0</v>
      </c>
      <c r="AY265" s="406">
        <v>0</v>
      </c>
      <c r="AZ265" s="406">
        <v>0</v>
      </c>
      <c r="BA265" s="406">
        <v>0</v>
      </c>
      <c r="BB265" s="430">
        <f t="shared" si="102"/>
        <v>0</v>
      </c>
      <c r="BC265" s="407">
        <f t="shared" si="103"/>
        <v>25</v>
      </c>
      <c r="BD265" s="408">
        <f t="shared" si="92"/>
        <v>0.75</v>
      </c>
      <c r="BE265" s="340">
        <f t="shared" si="104"/>
        <v>11.25</v>
      </c>
    </row>
    <row r="266" spans="1:57" x14ac:dyDescent="0.6">
      <c r="A266" s="214" t="s">
        <v>1894</v>
      </c>
      <c r="B266" s="13" t="s">
        <v>2246</v>
      </c>
      <c r="C266" s="219" t="s">
        <v>63</v>
      </c>
      <c r="D266" s="216" t="s">
        <v>203</v>
      </c>
      <c r="E266" s="217" t="s">
        <v>617</v>
      </c>
      <c r="F266" s="217" t="s">
        <v>983</v>
      </c>
      <c r="G266" s="218">
        <v>43614</v>
      </c>
      <c r="H266" s="217" t="s">
        <v>830</v>
      </c>
      <c r="I266" s="217" t="s">
        <v>1895</v>
      </c>
      <c r="J266" s="217" t="s">
        <v>1896</v>
      </c>
      <c r="K266" s="217" t="s">
        <v>31</v>
      </c>
      <c r="L266" s="220">
        <v>4276625735</v>
      </c>
      <c r="M266" s="206">
        <v>1849501419</v>
      </c>
      <c r="N266" s="206">
        <v>2427124316</v>
      </c>
      <c r="O266" s="206">
        <v>3041287029</v>
      </c>
      <c r="P266" s="206">
        <v>153190221</v>
      </c>
      <c r="Q266" s="206">
        <v>125561645</v>
      </c>
      <c r="R266" s="206">
        <v>114853461</v>
      </c>
      <c r="S266" s="406">
        <v>0</v>
      </c>
      <c r="T266" s="428">
        <f t="shared" si="93"/>
        <v>50</v>
      </c>
      <c r="U266" s="415">
        <f t="shared" si="94"/>
        <v>0.5</v>
      </c>
      <c r="V266" s="405">
        <v>0</v>
      </c>
      <c r="W266" s="428">
        <f t="shared" si="95"/>
        <v>50</v>
      </c>
      <c r="X266" s="415">
        <f t="shared" si="96"/>
        <v>0.5</v>
      </c>
      <c r="Y266" s="406">
        <v>0</v>
      </c>
      <c r="Z266" s="429">
        <v>0</v>
      </c>
      <c r="AA266" s="430">
        <f t="shared" si="97"/>
        <v>50</v>
      </c>
      <c r="AB266" s="415">
        <f t="shared" si="98"/>
        <v>0.5</v>
      </c>
      <c r="AC266" s="431">
        <v>0</v>
      </c>
      <c r="AD266" s="432">
        <f t="shared" si="99"/>
        <v>100</v>
      </c>
      <c r="AE266" s="433">
        <f t="shared" si="90"/>
        <v>4</v>
      </c>
      <c r="AF266" s="434" t="s">
        <v>2326</v>
      </c>
      <c r="AG266" s="434" t="s">
        <v>2326</v>
      </c>
      <c r="AH266" s="434" t="s">
        <v>2326</v>
      </c>
      <c r="AI266" s="362"/>
      <c r="AJ266" s="434" t="s">
        <v>2326</v>
      </c>
      <c r="AK266" s="434" t="s">
        <v>2326</v>
      </c>
      <c r="AL266" s="363"/>
      <c r="AM266" s="406">
        <v>0</v>
      </c>
      <c r="AN266" s="406">
        <v>0</v>
      </c>
      <c r="AO266" s="406">
        <v>0</v>
      </c>
      <c r="AP266" s="406">
        <v>0</v>
      </c>
      <c r="AQ266" s="406">
        <v>0</v>
      </c>
      <c r="AR266" s="406">
        <v>0</v>
      </c>
      <c r="AS266" s="406">
        <v>0</v>
      </c>
      <c r="AT266" s="406">
        <v>0</v>
      </c>
      <c r="AU266" s="407">
        <f t="shared" si="100"/>
        <v>0</v>
      </c>
      <c r="AV266" s="407">
        <f t="shared" si="101"/>
        <v>100</v>
      </c>
      <c r="AW266" s="408">
        <f t="shared" si="91"/>
        <v>5</v>
      </c>
      <c r="AX266" s="406">
        <v>0</v>
      </c>
      <c r="AY266" s="406">
        <v>0</v>
      </c>
      <c r="AZ266" s="406">
        <v>0</v>
      </c>
      <c r="BA266" s="406">
        <v>0</v>
      </c>
      <c r="BB266" s="430">
        <f t="shared" si="102"/>
        <v>0</v>
      </c>
      <c r="BC266" s="407">
        <f t="shared" si="103"/>
        <v>25</v>
      </c>
      <c r="BD266" s="408">
        <f t="shared" si="92"/>
        <v>0.75</v>
      </c>
      <c r="BE266" s="340">
        <f t="shared" si="104"/>
        <v>11.25</v>
      </c>
    </row>
    <row r="267" spans="1:57" x14ac:dyDescent="0.6">
      <c r="A267" s="214" t="s">
        <v>770</v>
      </c>
      <c r="B267" s="13" t="s">
        <v>2247</v>
      </c>
      <c r="C267" s="219" t="s">
        <v>54</v>
      </c>
      <c r="D267" s="216" t="s">
        <v>191</v>
      </c>
      <c r="E267" s="217" t="s">
        <v>178</v>
      </c>
      <c r="F267" s="217" t="s">
        <v>138</v>
      </c>
      <c r="G267" s="218">
        <v>34977</v>
      </c>
      <c r="H267" s="217" t="s">
        <v>830</v>
      </c>
      <c r="I267" s="217" t="s">
        <v>823</v>
      </c>
      <c r="J267" s="217" t="s">
        <v>1204</v>
      </c>
      <c r="K267" s="217" t="s">
        <v>317</v>
      </c>
      <c r="L267" s="220">
        <v>661278860</v>
      </c>
      <c r="M267" s="206">
        <v>160390048</v>
      </c>
      <c r="N267" s="206">
        <v>500888812</v>
      </c>
      <c r="O267" s="206">
        <v>123375352</v>
      </c>
      <c r="P267" s="206">
        <v>27450398</v>
      </c>
      <c r="Q267" s="206">
        <v>12038623</v>
      </c>
      <c r="R267" s="206">
        <v>8192124</v>
      </c>
      <c r="S267" s="406">
        <v>0</v>
      </c>
      <c r="T267" s="428">
        <f t="shared" si="93"/>
        <v>50</v>
      </c>
      <c r="U267" s="415">
        <f t="shared" si="94"/>
        <v>0.5</v>
      </c>
      <c r="V267" s="405">
        <v>0</v>
      </c>
      <c r="W267" s="428">
        <f t="shared" si="95"/>
        <v>50</v>
      </c>
      <c r="X267" s="415">
        <f t="shared" si="96"/>
        <v>0.5</v>
      </c>
      <c r="Y267" s="406">
        <v>0</v>
      </c>
      <c r="Z267" s="429">
        <v>0</v>
      </c>
      <c r="AA267" s="430">
        <f t="shared" si="97"/>
        <v>50</v>
      </c>
      <c r="AB267" s="415">
        <f t="shared" si="98"/>
        <v>0.5</v>
      </c>
      <c r="AC267" s="431">
        <v>0</v>
      </c>
      <c r="AD267" s="432">
        <f t="shared" si="99"/>
        <v>100</v>
      </c>
      <c r="AE267" s="433">
        <f t="shared" si="90"/>
        <v>4</v>
      </c>
      <c r="AF267" s="434" t="s">
        <v>2326</v>
      </c>
      <c r="AG267" s="434" t="s">
        <v>2326</v>
      </c>
      <c r="AH267" s="434" t="s">
        <v>2326</v>
      </c>
      <c r="AI267" s="362"/>
      <c r="AJ267" s="434" t="s">
        <v>2326</v>
      </c>
      <c r="AK267" s="434" t="s">
        <v>2326</v>
      </c>
      <c r="AL267" s="363"/>
      <c r="AM267" s="406">
        <v>0</v>
      </c>
      <c r="AN267" s="406">
        <v>0</v>
      </c>
      <c r="AO267" s="406">
        <v>0</v>
      </c>
      <c r="AP267" s="406">
        <v>0</v>
      </c>
      <c r="AQ267" s="406">
        <v>0</v>
      </c>
      <c r="AR267" s="406">
        <v>0</v>
      </c>
      <c r="AS267" s="406">
        <v>0</v>
      </c>
      <c r="AT267" s="406">
        <v>0</v>
      </c>
      <c r="AU267" s="407">
        <f t="shared" si="100"/>
        <v>0</v>
      </c>
      <c r="AV267" s="407">
        <f t="shared" si="101"/>
        <v>100</v>
      </c>
      <c r="AW267" s="408">
        <f t="shared" si="91"/>
        <v>5</v>
      </c>
      <c r="AX267" s="406">
        <v>0</v>
      </c>
      <c r="AY267" s="406">
        <v>0</v>
      </c>
      <c r="AZ267" s="406">
        <v>0</v>
      </c>
      <c r="BA267" s="406">
        <v>0</v>
      </c>
      <c r="BB267" s="430">
        <f t="shared" si="102"/>
        <v>0</v>
      </c>
      <c r="BC267" s="407">
        <f t="shared" si="103"/>
        <v>25</v>
      </c>
      <c r="BD267" s="408">
        <f t="shared" si="92"/>
        <v>0.75</v>
      </c>
      <c r="BE267" s="340">
        <f t="shared" si="104"/>
        <v>11.25</v>
      </c>
    </row>
    <row r="268" spans="1:57" x14ac:dyDescent="0.6">
      <c r="A268" s="214" t="s">
        <v>805</v>
      </c>
      <c r="B268" s="13" t="s">
        <v>2248</v>
      </c>
      <c r="C268" s="219" t="s">
        <v>315</v>
      </c>
      <c r="D268" s="216" t="s">
        <v>203</v>
      </c>
      <c r="E268" s="217" t="s">
        <v>200</v>
      </c>
      <c r="F268" s="217">
        <v>0</v>
      </c>
      <c r="G268" s="218">
        <v>39659</v>
      </c>
      <c r="H268" s="217" t="s">
        <v>830</v>
      </c>
      <c r="I268" s="217" t="s">
        <v>337</v>
      </c>
      <c r="J268" s="217" t="s">
        <v>1217</v>
      </c>
      <c r="K268" s="217" t="s">
        <v>690</v>
      </c>
      <c r="L268" s="220">
        <v>3060678472</v>
      </c>
      <c r="M268" s="206">
        <v>1220679297</v>
      </c>
      <c r="N268" s="206">
        <v>1839999175</v>
      </c>
      <c r="O268" s="206">
        <v>3257164379</v>
      </c>
      <c r="P268" s="206">
        <v>203168169</v>
      </c>
      <c r="Q268" s="206">
        <v>220419231</v>
      </c>
      <c r="R268" s="206">
        <v>175385732</v>
      </c>
      <c r="S268" s="406">
        <v>0</v>
      </c>
      <c r="T268" s="428">
        <f t="shared" si="93"/>
        <v>50</v>
      </c>
      <c r="U268" s="415">
        <f t="shared" si="94"/>
        <v>0.5</v>
      </c>
      <c r="V268" s="405">
        <v>0</v>
      </c>
      <c r="W268" s="428">
        <f t="shared" si="95"/>
        <v>50</v>
      </c>
      <c r="X268" s="415">
        <f t="shared" si="96"/>
        <v>0.5</v>
      </c>
      <c r="Y268" s="406">
        <v>0</v>
      </c>
      <c r="Z268" s="429">
        <v>0</v>
      </c>
      <c r="AA268" s="430">
        <f t="shared" si="97"/>
        <v>50</v>
      </c>
      <c r="AB268" s="415">
        <f t="shared" si="98"/>
        <v>0.5</v>
      </c>
      <c r="AC268" s="431">
        <v>0</v>
      </c>
      <c r="AD268" s="432">
        <f t="shared" si="99"/>
        <v>100</v>
      </c>
      <c r="AE268" s="433">
        <f t="shared" si="90"/>
        <v>4</v>
      </c>
      <c r="AF268" s="434" t="s">
        <v>2326</v>
      </c>
      <c r="AG268" s="434" t="s">
        <v>2326</v>
      </c>
      <c r="AH268" s="434" t="s">
        <v>2326</v>
      </c>
      <c r="AI268" s="362"/>
      <c r="AJ268" s="434" t="s">
        <v>2326</v>
      </c>
      <c r="AK268" s="434" t="s">
        <v>2326</v>
      </c>
      <c r="AL268" s="363"/>
      <c r="AM268" s="406">
        <v>0</v>
      </c>
      <c r="AN268" s="406">
        <v>0</v>
      </c>
      <c r="AO268" s="406">
        <v>0</v>
      </c>
      <c r="AP268" s="406">
        <v>0</v>
      </c>
      <c r="AQ268" s="406">
        <v>0</v>
      </c>
      <c r="AR268" s="406">
        <v>0</v>
      </c>
      <c r="AS268" s="406">
        <v>0</v>
      </c>
      <c r="AT268" s="406">
        <v>0</v>
      </c>
      <c r="AU268" s="407">
        <f t="shared" si="100"/>
        <v>0</v>
      </c>
      <c r="AV268" s="407">
        <f t="shared" si="101"/>
        <v>100</v>
      </c>
      <c r="AW268" s="408">
        <f t="shared" si="91"/>
        <v>5</v>
      </c>
      <c r="AX268" s="406">
        <v>0</v>
      </c>
      <c r="AY268" s="406">
        <v>0</v>
      </c>
      <c r="AZ268" s="406">
        <v>0</v>
      </c>
      <c r="BA268" s="406">
        <v>0</v>
      </c>
      <c r="BB268" s="430">
        <f t="shared" si="102"/>
        <v>0</v>
      </c>
      <c r="BC268" s="407">
        <f t="shared" si="103"/>
        <v>25</v>
      </c>
      <c r="BD268" s="408">
        <f t="shared" si="92"/>
        <v>0.75</v>
      </c>
      <c r="BE268" s="340">
        <f t="shared" si="104"/>
        <v>11.25</v>
      </c>
    </row>
    <row r="269" spans="1:57" x14ac:dyDescent="0.6">
      <c r="A269" s="214" t="s">
        <v>30</v>
      </c>
      <c r="B269" s="13" t="s">
        <v>2249</v>
      </c>
      <c r="C269" s="219" t="s">
        <v>861</v>
      </c>
      <c r="D269" s="216" t="s">
        <v>191</v>
      </c>
      <c r="E269" s="217" t="s">
        <v>34</v>
      </c>
      <c r="F269" s="217" t="s">
        <v>433</v>
      </c>
      <c r="G269" s="218">
        <v>43375</v>
      </c>
      <c r="H269" s="217" t="s">
        <v>830</v>
      </c>
      <c r="I269" s="217" t="s">
        <v>1897</v>
      </c>
      <c r="J269" s="217" t="s">
        <v>1142</v>
      </c>
      <c r="K269" s="217" t="s">
        <v>690</v>
      </c>
      <c r="L269" s="220">
        <v>345964556</v>
      </c>
      <c r="M269" s="206">
        <v>77567636</v>
      </c>
      <c r="N269" s="206">
        <v>268396921</v>
      </c>
      <c r="O269" s="206">
        <v>210844992</v>
      </c>
      <c r="P269" s="206">
        <v>31170755</v>
      </c>
      <c r="Q269" s="206">
        <v>30718351</v>
      </c>
      <c r="R269" s="206">
        <v>24307179</v>
      </c>
      <c r="S269" s="406">
        <v>0</v>
      </c>
      <c r="T269" s="428">
        <f t="shared" si="93"/>
        <v>50</v>
      </c>
      <c r="U269" s="415">
        <f t="shared" si="94"/>
        <v>0.5</v>
      </c>
      <c r="V269" s="405">
        <v>0</v>
      </c>
      <c r="W269" s="428">
        <f t="shared" si="95"/>
        <v>50</v>
      </c>
      <c r="X269" s="415">
        <f t="shared" si="96"/>
        <v>0.5</v>
      </c>
      <c r="Y269" s="406">
        <v>0</v>
      </c>
      <c r="Z269" s="429">
        <v>0</v>
      </c>
      <c r="AA269" s="430">
        <f t="shared" si="97"/>
        <v>50</v>
      </c>
      <c r="AB269" s="415">
        <f t="shared" si="98"/>
        <v>0.5</v>
      </c>
      <c r="AC269" s="431">
        <v>0</v>
      </c>
      <c r="AD269" s="432">
        <f t="shared" si="99"/>
        <v>100</v>
      </c>
      <c r="AE269" s="433">
        <f t="shared" si="90"/>
        <v>4</v>
      </c>
      <c r="AF269" s="434" t="s">
        <v>2326</v>
      </c>
      <c r="AG269" s="434" t="s">
        <v>2326</v>
      </c>
      <c r="AH269" s="434" t="s">
        <v>2326</v>
      </c>
      <c r="AI269" s="362"/>
      <c r="AJ269" s="434" t="s">
        <v>2326</v>
      </c>
      <c r="AK269" s="434" t="s">
        <v>2326</v>
      </c>
      <c r="AL269" s="363"/>
      <c r="AM269" s="406">
        <v>0</v>
      </c>
      <c r="AN269" s="406">
        <v>0</v>
      </c>
      <c r="AO269" s="406">
        <v>0</v>
      </c>
      <c r="AP269" s="406">
        <v>0</v>
      </c>
      <c r="AQ269" s="406">
        <v>0</v>
      </c>
      <c r="AR269" s="406">
        <v>0</v>
      </c>
      <c r="AS269" s="406">
        <v>0</v>
      </c>
      <c r="AT269" s="406">
        <v>0</v>
      </c>
      <c r="AU269" s="407">
        <f t="shared" si="100"/>
        <v>0</v>
      </c>
      <c r="AV269" s="407">
        <f t="shared" si="101"/>
        <v>100</v>
      </c>
      <c r="AW269" s="408">
        <f t="shared" si="91"/>
        <v>5</v>
      </c>
      <c r="AX269" s="406">
        <v>0</v>
      </c>
      <c r="AY269" s="406">
        <v>0</v>
      </c>
      <c r="AZ269" s="406">
        <v>0</v>
      </c>
      <c r="BA269" s="406">
        <v>0</v>
      </c>
      <c r="BB269" s="430">
        <f t="shared" si="102"/>
        <v>0</v>
      </c>
      <c r="BC269" s="407">
        <f t="shared" si="103"/>
        <v>25</v>
      </c>
      <c r="BD269" s="408">
        <f t="shared" si="92"/>
        <v>0.75</v>
      </c>
      <c r="BE269" s="340">
        <f t="shared" si="104"/>
        <v>11.25</v>
      </c>
    </row>
    <row r="270" spans="1:57" x14ac:dyDescent="0.6">
      <c r="A270" s="214" t="s">
        <v>1898</v>
      </c>
      <c r="B270" s="13" t="s">
        <v>2250</v>
      </c>
      <c r="C270" s="219" t="s">
        <v>1899</v>
      </c>
      <c r="D270" s="14" t="s">
        <v>191</v>
      </c>
      <c r="E270" s="217" t="s">
        <v>1900</v>
      </c>
      <c r="F270" s="217" t="s">
        <v>1901</v>
      </c>
      <c r="G270" s="218">
        <v>40105</v>
      </c>
      <c r="H270" s="217" t="s">
        <v>830</v>
      </c>
      <c r="I270" s="217" t="s">
        <v>1902</v>
      </c>
      <c r="J270" s="217" t="s">
        <v>1903</v>
      </c>
      <c r="K270" s="217" t="s">
        <v>91</v>
      </c>
      <c r="L270" s="220">
        <v>3107792300</v>
      </c>
      <c r="M270" s="206">
        <v>1945483554</v>
      </c>
      <c r="N270" s="206">
        <v>1162308746</v>
      </c>
      <c r="O270" s="206">
        <v>2222161984</v>
      </c>
      <c r="P270" s="206">
        <v>165474689</v>
      </c>
      <c r="Q270" s="206">
        <v>92802035</v>
      </c>
      <c r="R270" s="206">
        <v>66847561</v>
      </c>
      <c r="S270" s="406">
        <v>0</v>
      </c>
      <c r="T270" s="428">
        <f t="shared" si="93"/>
        <v>50</v>
      </c>
      <c r="U270" s="415">
        <f t="shared" si="94"/>
        <v>0.5</v>
      </c>
      <c r="V270" s="405">
        <v>0</v>
      </c>
      <c r="W270" s="428">
        <f t="shared" si="95"/>
        <v>50</v>
      </c>
      <c r="X270" s="415">
        <f t="shared" si="96"/>
        <v>0.5</v>
      </c>
      <c r="Y270" s="406">
        <v>0</v>
      </c>
      <c r="Z270" s="429">
        <v>0</v>
      </c>
      <c r="AA270" s="430">
        <f t="shared" si="97"/>
        <v>50</v>
      </c>
      <c r="AB270" s="415">
        <f t="shared" si="98"/>
        <v>0.5</v>
      </c>
      <c r="AC270" s="431">
        <v>0</v>
      </c>
      <c r="AD270" s="432">
        <f t="shared" si="99"/>
        <v>100</v>
      </c>
      <c r="AE270" s="433">
        <f t="shared" si="90"/>
        <v>4</v>
      </c>
      <c r="AF270" s="434" t="s">
        <v>2326</v>
      </c>
      <c r="AG270" s="434" t="s">
        <v>2326</v>
      </c>
      <c r="AH270" s="434" t="s">
        <v>2326</v>
      </c>
      <c r="AI270" s="362"/>
      <c r="AJ270" s="434" t="s">
        <v>2326</v>
      </c>
      <c r="AK270" s="434" t="s">
        <v>2326</v>
      </c>
      <c r="AL270" s="363"/>
      <c r="AM270" s="406">
        <v>0</v>
      </c>
      <c r="AN270" s="406">
        <v>0</v>
      </c>
      <c r="AO270" s="406">
        <v>0</v>
      </c>
      <c r="AP270" s="406">
        <v>1</v>
      </c>
      <c r="AQ270" s="406">
        <v>0</v>
      </c>
      <c r="AR270" s="406">
        <v>0</v>
      </c>
      <c r="AS270" s="406">
        <v>0</v>
      </c>
      <c r="AT270" s="406">
        <v>0</v>
      </c>
      <c r="AU270" s="407">
        <f t="shared" si="100"/>
        <v>1</v>
      </c>
      <c r="AV270" s="407">
        <f t="shared" si="101"/>
        <v>80</v>
      </c>
      <c r="AW270" s="408">
        <f t="shared" si="91"/>
        <v>4</v>
      </c>
      <c r="AX270" s="406">
        <v>0</v>
      </c>
      <c r="AY270" s="406">
        <v>0</v>
      </c>
      <c r="AZ270" s="406">
        <v>0</v>
      </c>
      <c r="BA270" s="406">
        <v>0</v>
      </c>
      <c r="BB270" s="430">
        <f t="shared" si="102"/>
        <v>0</v>
      </c>
      <c r="BC270" s="407">
        <f t="shared" si="103"/>
        <v>25</v>
      </c>
      <c r="BD270" s="408">
        <f t="shared" si="92"/>
        <v>0.75</v>
      </c>
      <c r="BE270" s="340">
        <f t="shared" si="104"/>
        <v>10.25</v>
      </c>
    </row>
    <row r="271" spans="1:57" x14ac:dyDescent="0.6">
      <c r="A271" s="214" t="s">
        <v>1904</v>
      </c>
      <c r="B271" s="13" t="s">
        <v>2251</v>
      </c>
      <c r="C271" s="219" t="s">
        <v>1905</v>
      </c>
      <c r="D271" s="14" t="s">
        <v>203</v>
      </c>
      <c r="E271" s="217" t="s">
        <v>998</v>
      </c>
      <c r="F271" s="217" t="s">
        <v>1906</v>
      </c>
      <c r="G271" s="218">
        <v>36815</v>
      </c>
      <c r="H271" s="217" t="s">
        <v>830</v>
      </c>
      <c r="I271" s="217" t="s">
        <v>1907</v>
      </c>
      <c r="J271" s="13" t="s">
        <v>2252</v>
      </c>
      <c r="K271" s="217" t="s">
        <v>425</v>
      </c>
      <c r="L271" s="220">
        <v>291713102</v>
      </c>
      <c r="M271" s="206">
        <v>71415596</v>
      </c>
      <c r="N271" s="206">
        <v>220297507</v>
      </c>
      <c r="O271" s="206">
        <v>256067814</v>
      </c>
      <c r="P271" s="206">
        <v>8760193</v>
      </c>
      <c r="Q271" s="206">
        <v>3858993</v>
      </c>
      <c r="R271" s="206">
        <v>3132350</v>
      </c>
      <c r="S271" s="406">
        <v>0</v>
      </c>
      <c r="T271" s="428">
        <f t="shared" si="93"/>
        <v>50</v>
      </c>
      <c r="U271" s="415">
        <f t="shared" si="94"/>
        <v>0.5</v>
      </c>
      <c r="V271" s="405">
        <v>0</v>
      </c>
      <c r="W271" s="428">
        <f t="shared" si="95"/>
        <v>50</v>
      </c>
      <c r="X271" s="415">
        <f t="shared" si="96"/>
        <v>0.5</v>
      </c>
      <c r="Y271" s="406">
        <v>0</v>
      </c>
      <c r="Z271" s="429">
        <v>0</v>
      </c>
      <c r="AA271" s="430">
        <f t="shared" si="97"/>
        <v>50</v>
      </c>
      <c r="AB271" s="415">
        <f t="shared" si="98"/>
        <v>0.5</v>
      </c>
      <c r="AC271" s="431">
        <v>0</v>
      </c>
      <c r="AD271" s="432">
        <f t="shared" si="99"/>
        <v>100</v>
      </c>
      <c r="AE271" s="433">
        <f t="shared" si="90"/>
        <v>4</v>
      </c>
      <c r="AF271" s="434" t="s">
        <v>2326</v>
      </c>
      <c r="AG271" s="434" t="s">
        <v>2326</v>
      </c>
      <c r="AH271" s="434" t="s">
        <v>2326</v>
      </c>
      <c r="AI271" s="362"/>
      <c r="AJ271" s="434" t="s">
        <v>2326</v>
      </c>
      <c r="AK271" s="434" t="s">
        <v>2326</v>
      </c>
      <c r="AL271" s="363"/>
      <c r="AM271" s="406">
        <v>0</v>
      </c>
      <c r="AN271" s="406">
        <v>0</v>
      </c>
      <c r="AO271" s="406">
        <v>0</v>
      </c>
      <c r="AP271" s="406">
        <v>0</v>
      </c>
      <c r="AQ271" s="406">
        <v>0</v>
      </c>
      <c r="AR271" s="406">
        <v>0</v>
      </c>
      <c r="AS271" s="406">
        <v>0</v>
      </c>
      <c r="AT271" s="406">
        <v>0</v>
      </c>
      <c r="AU271" s="407">
        <f t="shared" si="100"/>
        <v>0</v>
      </c>
      <c r="AV271" s="407">
        <f t="shared" si="101"/>
        <v>100</v>
      </c>
      <c r="AW271" s="408">
        <f t="shared" si="91"/>
        <v>5</v>
      </c>
      <c r="AX271" s="406">
        <v>0</v>
      </c>
      <c r="AY271" s="406">
        <v>0</v>
      </c>
      <c r="AZ271" s="406">
        <v>0</v>
      </c>
      <c r="BA271" s="406">
        <v>0</v>
      </c>
      <c r="BB271" s="430">
        <f t="shared" si="102"/>
        <v>0</v>
      </c>
      <c r="BC271" s="407">
        <f t="shared" si="103"/>
        <v>25</v>
      </c>
      <c r="BD271" s="408">
        <f t="shared" si="92"/>
        <v>0.75</v>
      </c>
      <c r="BE271" s="340">
        <f t="shared" si="104"/>
        <v>11.25</v>
      </c>
    </row>
    <row r="272" spans="1:57" x14ac:dyDescent="0.6">
      <c r="A272" s="214" t="s">
        <v>483</v>
      </c>
      <c r="B272" s="13" t="s">
        <v>2253</v>
      </c>
      <c r="C272" s="219" t="s">
        <v>897</v>
      </c>
      <c r="D272" s="216" t="s">
        <v>202</v>
      </c>
      <c r="E272" s="217" t="s">
        <v>382</v>
      </c>
      <c r="F272" s="217" t="s">
        <v>163</v>
      </c>
      <c r="G272" s="218">
        <v>35354</v>
      </c>
      <c r="H272" s="217" t="s">
        <v>830</v>
      </c>
      <c r="I272" s="217" t="s">
        <v>528</v>
      </c>
      <c r="J272" s="217" t="s">
        <v>1018</v>
      </c>
      <c r="K272" s="217" t="s">
        <v>346</v>
      </c>
      <c r="L272" s="220">
        <v>1115216321</v>
      </c>
      <c r="M272" s="206">
        <v>343407952</v>
      </c>
      <c r="N272" s="206">
        <v>771808369</v>
      </c>
      <c r="O272" s="206">
        <v>1105239370</v>
      </c>
      <c r="P272" s="206">
        <v>45133384</v>
      </c>
      <c r="Q272" s="206">
        <v>54914570</v>
      </c>
      <c r="R272" s="206">
        <v>41039812</v>
      </c>
      <c r="S272" s="406">
        <v>0</v>
      </c>
      <c r="T272" s="428">
        <f t="shared" si="93"/>
        <v>50</v>
      </c>
      <c r="U272" s="415">
        <f t="shared" si="94"/>
        <v>0.5</v>
      </c>
      <c r="V272" s="405">
        <v>0</v>
      </c>
      <c r="W272" s="428">
        <f t="shared" si="95"/>
        <v>50</v>
      </c>
      <c r="X272" s="415">
        <f t="shared" si="96"/>
        <v>0.5</v>
      </c>
      <c r="Y272" s="406">
        <v>0</v>
      </c>
      <c r="Z272" s="429">
        <v>0</v>
      </c>
      <c r="AA272" s="430">
        <f t="shared" si="97"/>
        <v>50</v>
      </c>
      <c r="AB272" s="415">
        <f t="shared" si="98"/>
        <v>0.5</v>
      </c>
      <c r="AC272" s="431">
        <v>0</v>
      </c>
      <c r="AD272" s="432">
        <f t="shared" si="99"/>
        <v>100</v>
      </c>
      <c r="AE272" s="433">
        <f t="shared" si="90"/>
        <v>4</v>
      </c>
      <c r="AF272" s="434" t="s">
        <v>2326</v>
      </c>
      <c r="AG272" s="434" t="s">
        <v>2326</v>
      </c>
      <c r="AH272" s="434" t="s">
        <v>2326</v>
      </c>
      <c r="AI272" s="362"/>
      <c r="AJ272" s="434" t="s">
        <v>2326</v>
      </c>
      <c r="AK272" s="434" t="s">
        <v>2326</v>
      </c>
      <c r="AL272" s="363"/>
      <c r="AM272" s="406">
        <v>0</v>
      </c>
      <c r="AN272" s="406">
        <v>0</v>
      </c>
      <c r="AO272" s="406">
        <v>0</v>
      </c>
      <c r="AP272" s="406">
        <v>0</v>
      </c>
      <c r="AQ272" s="406">
        <v>0</v>
      </c>
      <c r="AR272" s="406">
        <v>0</v>
      </c>
      <c r="AS272" s="406">
        <v>0</v>
      </c>
      <c r="AT272" s="406">
        <v>0</v>
      </c>
      <c r="AU272" s="407">
        <f t="shared" si="100"/>
        <v>0</v>
      </c>
      <c r="AV272" s="407">
        <f t="shared" si="101"/>
        <v>100</v>
      </c>
      <c r="AW272" s="408">
        <f t="shared" si="91"/>
        <v>5</v>
      </c>
      <c r="AX272" s="406">
        <v>0</v>
      </c>
      <c r="AY272" s="406">
        <v>0</v>
      </c>
      <c r="AZ272" s="406">
        <v>0</v>
      </c>
      <c r="BA272" s="406">
        <v>0</v>
      </c>
      <c r="BB272" s="430">
        <f t="shared" si="102"/>
        <v>0</v>
      </c>
      <c r="BC272" s="407">
        <f t="shared" si="103"/>
        <v>25</v>
      </c>
      <c r="BD272" s="408">
        <f t="shared" si="92"/>
        <v>0.75</v>
      </c>
      <c r="BE272" s="340">
        <f t="shared" si="104"/>
        <v>11.25</v>
      </c>
    </row>
    <row r="273" spans="1:57" x14ac:dyDescent="0.6">
      <c r="A273" s="214" t="s">
        <v>1908</v>
      </c>
      <c r="B273" s="13" t="s">
        <v>2254</v>
      </c>
      <c r="C273" s="219" t="s">
        <v>542</v>
      </c>
      <c r="D273" s="216" t="s">
        <v>202</v>
      </c>
      <c r="E273" s="217" t="s">
        <v>954</v>
      </c>
      <c r="F273" s="217" t="s">
        <v>155</v>
      </c>
      <c r="G273" s="218">
        <v>32052</v>
      </c>
      <c r="H273" s="217" t="s">
        <v>830</v>
      </c>
      <c r="I273" s="217" t="s">
        <v>844</v>
      </c>
      <c r="J273" s="217" t="s">
        <v>1909</v>
      </c>
      <c r="K273" s="217" t="s">
        <v>407</v>
      </c>
      <c r="L273" s="220">
        <v>486136593</v>
      </c>
      <c r="M273" s="206">
        <v>256604490</v>
      </c>
      <c r="N273" s="206">
        <v>229532103</v>
      </c>
      <c r="O273" s="206">
        <v>766770906</v>
      </c>
      <c r="P273" s="206">
        <v>14724318</v>
      </c>
      <c r="Q273" s="206">
        <v>26927489</v>
      </c>
      <c r="R273" s="206">
        <v>22719488</v>
      </c>
      <c r="S273" s="406">
        <v>0</v>
      </c>
      <c r="T273" s="428">
        <f t="shared" si="93"/>
        <v>50</v>
      </c>
      <c r="U273" s="415">
        <f t="shared" si="94"/>
        <v>0.5</v>
      </c>
      <c r="V273" s="405">
        <v>0</v>
      </c>
      <c r="W273" s="428">
        <f t="shared" si="95"/>
        <v>50</v>
      </c>
      <c r="X273" s="415">
        <f t="shared" si="96"/>
        <v>0.5</v>
      </c>
      <c r="Y273" s="406">
        <v>0</v>
      </c>
      <c r="Z273" s="429">
        <v>0</v>
      </c>
      <c r="AA273" s="430">
        <f t="shared" si="97"/>
        <v>50</v>
      </c>
      <c r="AB273" s="415">
        <f t="shared" si="98"/>
        <v>0.5</v>
      </c>
      <c r="AC273" s="431">
        <v>0</v>
      </c>
      <c r="AD273" s="432">
        <f t="shared" si="99"/>
        <v>100</v>
      </c>
      <c r="AE273" s="433">
        <f t="shared" si="90"/>
        <v>4</v>
      </c>
      <c r="AF273" s="434" t="s">
        <v>2326</v>
      </c>
      <c r="AG273" s="434" t="s">
        <v>2326</v>
      </c>
      <c r="AH273" s="434" t="s">
        <v>2326</v>
      </c>
      <c r="AI273" s="362"/>
      <c r="AJ273" s="434" t="s">
        <v>2326</v>
      </c>
      <c r="AK273" s="434" t="s">
        <v>2326</v>
      </c>
      <c r="AL273" s="363"/>
      <c r="AM273" s="406">
        <v>0</v>
      </c>
      <c r="AN273" s="406">
        <v>0</v>
      </c>
      <c r="AO273" s="406">
        <v>0</v>
      </c>
      <c r="AP273" s="406">
        <v>0</v>
      </c>
      <c r="AQ273" s="406">
        <v>0</v>
      </c>
      <c r="AR273" s="406">
        <v>0</v>
      </c>
      <c r="AS273" s="406">
        <v>0</v>
      </c>
      <c r="AT273" s="406">
        <v>0</v>
      </c>
      <c r="AU273" s="407">
        <f t="shared" si="100"/>
        <v>0</v>
      </c>
      <c r="AV273" s="407">
        <f t="shared" si="101"/>
        <v>100</v>
      </c>
      <c r="AW273" s="408">
        <f t="shared" si="91"/>
        <v>5</v>
      </c>
      <c r="AX273" s="406">
        <v>0</v>
      </c>
      <c r="AY273" s="406">
        <v>0</v>
      </c>
      <c r="AZ273" s="406">
        <v>0</v>
      </c>
      <c r="BA273" s="406">
        <v>0</v>
      </c>
      <c r="BB273" s="430">
        <f t="shared" si="102"/>
        <v>0</v>
      </c>
      <c r="BC273" s="407">
        <f t="shared" si="103"/>
        <v>25</v>
      </c>
      <c r="BD273" s="408">
        <f t="shared" si="92"/>
        <v>0.75</v>
      </c>
      <c r="BE273" s="340">
        <f t="shared" si="104"/>
        <v>11.25</v>
      </c>
    </row>
    <row r="274" spans="1:57" x14ac:dyDescent="0.6">
      <c r="A274" s="214" t="s">
        <v>182</v>
      </c>
      <c r="B274" s="13" t="s">
        <v>2255</v>
      </c>
      <c r="C274" s="219" t="s">
        <v>345</v>
      </c>
      <c r="D274" s="216" t="s">
        <v>191</v>
      </c>
      <c r="E274" s="217" t="s">
        <v>1029</v>
      </c>
      <c r="F274" s="217" t="s">
        <v>1000</v>
      </c>
      <c r="G274" s="218">
        <v>27208</v>
      </c>
      <c r="H274" s="217" t="s">
        <v>830</v>
      </c>
      <c r="I274" s="217" t="s">
        <v>662</v>
      </c>
      <c r="J274" s="217" t="s">
        <v>1207</v>
      </c>
      <c r="K274" s="217" t="s">
        <v>91</v>
      </c>
      <c r="L274" s="220">
        <v>339571178</v>
      </c>
      <c r="M274" s="206">
        <v>63823811</v>
      </c>
      <c r="N274" s="206">
        <v>275747368</v>
      </c>
      <c r="O274" s="206">
        <v>336657527</v>
      </c>
      <c r="P274" s="206">
        <v>25257329</v>
      </c>
      <c r="Q274" s="206">
        <v>26498807</v>
      </c>
      <c r="R274" s="206">
        <v>20001837</v>
      </c>
      <c r="S274" s="406">
        <v>0</v>
      </c>
      <c r="T274" s="428">
        <f t="shared" si="93"/>
        <v>50</v>
      </c>
      <c r="U274" s="415">
        <f t="shared" si="94"/>
        <v>0.5</v>
      </c>
      <c r="V274" s="405">
        <v>0</v>
      </c>
      <c r="W274" s="428">
        <f t="shared" si="95"/>
        <v>50</v>
      </c>
      <c r="X274" s="415">
        <f t="shared" si="96"/>
        <v>0.5</v>
      </c>
      <c r="Y274" s="406">
        <v>0</v>
      </c>
      <c r="Z274" s="429">
        <v>0</v>
      </c>
      <c r="AA274" s="430">
        <f t="shared" si="97"/>
        <v>50</v>
      </c>
      <c r="AB274" s="415">
        <f t="shared" si="98"/>
        <v>0.5</v>
      </c>
      <c r="AC274" s="431">
        <v>0</v>
      </c>
      <c r="AD274" s="432">
        <f t="shared" si="99"/>
        <v>100</v>
      </c>
      <c r="AE274" s="433">
        <f t="shared" si="90"/>
        <v>4</v>
      </c>
      <c r="AF274" s="434" t="s">
        <v>2326</v>
      </c>
      <c r="AG274" s="434" t="s">
        <v>2326</v>
      </c>
      <c r="AH274" s="434" t="s">
        <v>2326</v>
      </c>
      <c r="AI274" s="362"/>
      <c r="AJ274" s="434" t="s">
        <v>2326</v>
      </c>
      <c r="AK274" s="434" t="s">
        <v>2326</v>
      </c>
      <c r="AL274" s="363"/>
      <c r="AM274" s="406">
        <v>0</v>
      </c>
      <c r="AN274" s="406">
        <v>0</v>
      </c>
      <c r="AO274" s="406">
        <v>0</v>
      </c>
      <c r="AP274" s="406">
        <v>0</v>
      </c>
      <c r="AQ274" s="406">
        <v>0</v>
      </c>
      <c r="AR274" s="406">
        <v>0</v>
      </c>
      <c r="AS274" s="406">
        <v>0</v>
      </c>
      <c r="AT274" s="406">
        <v>0</v>
      </c>
      <c r="AU274" s="407">
        <f t="shared" si="100"/>
        <v>0</v>
      </c>
      <c r="AV274" s="407">
        <f t="shared" si="101"/>
        <v>100</v>
      </c>
      <c r="AW274" s="408">
        <f t="shared" si="91"/>
        <v>5</v>
      </c>
      <c r="AX274" s="406">
        <v>0</v>
      </c>
      <c r="AY274" s="406">
        <v>0</v>
      </c>
      <c r="AZ274" s="406">
        <v>0</v>
      </c>
      <c r="BA274" s="406">
        <v>0</v>
      </c>
      <c r="BB274" s="430">
        <f t="shared" si="102"/>
        <v>0</v>
      </c>
      <c r="BC274" s="407">
        <f t="shared" si="103"/>
        <v>25</v>
      </c>
      <c r="BD274" s="408">
        <f t="shared" si="92"/>
        <v>0.75</v>
      </c>
      <c r="BE274" s="340">
        <f t="shared" si="104"/>
        <v>11.25</v>
      </c>
    </row>
    <row r="275" spans="1:57" x14ac:dyDescent="0.6">
      <c r="A275" s="214" t="s">
        <v>948</v>
      </c>
      <c r="B275" s="13" t="s">
        <v>2256</v>
      </c>
      <c r="C275" s="219" t="s">
        <v>915</v>
      </c>
      <c r="D275" s="216" t="s">
        <v>203</v>
      </c>
      <c r="E275" s="217" t="s">
        <v>187</v>
      </c>
      <c r="F275" s="217" t="s">
        <v>603</v>
      </c>
      <c r="G275" s="218">
        <v>32365</v>
      </c>
      <c r="H275" s="217" t="s">
        <v>830</v>
      </c>
      <c r="I275" s="217" t="s">
        <v>233</v>
      </c>
      <c r="J275" s="217" t="s">
        <v>1113</v>
      </c>
      <c r="K275" s="217" t="s">
        <v>484</v>
      </c>
      <c r="L275" s="220">
        <v>172340454</v>
      </c>
      <c r="M275" s="206">
        <v>59384706</v>
      </c>
      <c r="N275" s="206">
        <v>112955748</v>
      </c>
      <c r="O275" s="206">
        <v>301642199</v>
      </c>
      <c r="P275" s="206">
        <v>35071601</v>
      </c>
      <c r="Q275" s="206">
        <v>36329377</v>
      </c>
      <c r="R275" s="206">
        <v>26721327</v>
      </c>
      <c r="S275" s="406">
        <v>0</v>
      </c>
      <c r="T275" s="428">
        <f t="shared" si="93"/>
        <v>50</v>
      </c>
      <c r="U275" s="415">
        <f t="shared" si="94"/>
        <v>0.5</v>
      </c>
      <c r="V275" s="405">
        <v>0</v>
      </c>
      <c r="W275" s="428">
        <f t="shared" si="95"/>
        <v>50</v>
      </c>
      <c r="X275" s="415">
        <f t="shared" si="96"/>
        <v>0.5</v>
      </c>
      <c r="Y275" s="406">
        <v>0</v>
      </c>
      <c r="Z275" s="429">
        <v>0</v>
      </c>
      <c r="AA275" s="430">
        <f t="shared" si="97"/>
        <v>50</v>
      </c>
      <c r="AB275" s="415">
        <f t="shared" si="98"/>
        <v>0.5</v>
      </c>
      <c r="AC275" s="431">
        <v>0</v>
      </c>
      <c r="AD275" s="432">
        <f t="shared" si="99"/>
        <v>100</v>
      </c>
      <c r="AE275" s="433">
        <f t="shared" si="90"/>
        <v>4</v>
      </c>
      <c r="AF275" s="434" t="s">
        <v>2326</v>
      </c>
      <c r="AG275" s="434" t="s">
        <v>2326</v>
      </c>
      <c r="AH275" s="434" t="s">
        <v>2326</v>
      </c>
      <c r="AI275" s="362"/>
      <c r="AJ275" s="434" t="s">
        <v>2326</v>
      </c>
      <c r="AK275" s="434" t="s">
        <v>2326</v>
      </c>
      <c r="AL275" s="363"/>
      <c r="AM275" s="406">
        <v>0</v>
      </c>
      <c r="AN275" s="406">
        <v>0</v>
      </c>
      <c r="AO275" s="406">
        <v>0</v>
      </c>
      <c r="AP275" s="406">
        <v>0</v>
      </c>
      <c r="AQ275" s="406">
        <v>0</v>
      </c>
      <c r="AR275" s="406">
        <v>0</v>
      </c>
      <c r="AS275" s="406">
        <v>0</v>
      </c>
      <c r="AT275" s="406">
        <v>0</v>
      </c>
      <c r="AU275" s="407">
        <f t="shared" si="100"/>
        <v>0</v>
      </c>
      <c r="AV275" s="407">
        <f t="shared" si="101"/>
        <v>100</v>
      </c>
      <c r="AW275" s="408">
        <f t="shared" si="91"/>
        <v>5</v>
      </c>
      <c r="AX275" s="406">
        <v>0</v>
      </c>
      <c r="AY275" s="406">
        <v>0</v>
      </c>
      <c r="AZ275" s="406">
        <v>0</v>
      </c>
      <c r="BA275" s="406">
        <v>0</v>
      </c>
      <c r="BB275" s="430">
        <f t="shared" si="102"/>
        <v>0</v>
      </c>
      <c r="BC275" s="407">
        <f t="shared" si="103"/>
        <v>25</v>
      </c>
      <c r="BD275" s="408">
        <f t="shared" si="92"/>
        <v>0.75</v>
      </c>
      <c r="BE275" s="340">
        <f t="shared" si="104"/>
        <v>11.25</v>
      </c>
    </row>
    <row r="276" spans="1:57" x14ac:dyDescent="0.6">
      <c r="A276" s="214" t="s">
        <v>853</v>
      </c>
      <c r="B276" s="13" t="s">
        <v>2257</v>
      </c>
      <c r="C276" s="219" t="s">
        <v>886</v>
      </c>
      <c r="D276" s="216" t="s">
        <v>285</v>
      </c>
      <c r="E276" s="217" t="s">
        <v>1167</v>
      </c>
      <c r="F276" s="217" t="s">
        <v>1125</v>
      </c>
      <c r="G276" s="218">
        <v>40661</v>
      </c>
      <c r="H276" s="217" t="s">
        <v>830</v>
      </c>
      <c r="I276" s="217" t="s">
        <v>715</v>
      </c>
      <c r="J276" s="217" t="s">
        <v>1129</v>
      </c>
      <c r="K276" s="217" t="s">
        <v>690</v>
      </c>
      <c r="L276" s="220">
        <v>332695360</v>
      </c>
      <c r="M276" s="206">
        <v>183900048</v>
      </c>
      <c r="N276" s="206">
        <v>148795312</v>
      </c>
      <c r="O276" s="206">
        <v>283702516</v>
      </c>
      <c r="P276" s="206">
        <v>5425717</v>
      </c>
      <c r="Q276" s="206">
        <v>6710645</v>
      </c>
      <c r="R276" s="206">
        <v>3799292</v>
      </c>
      <c r="S276" s="406">
        <v>0</v>
      </c>
      <c r="T276" s="428">
        <f t="shared" si="93"/>
        <v>50</v>
      </c>
      <c r="U276" s="415">
        <f t="shared" si="94"/>
        <v>0.5</v>
      </c>
      <c r="V276" s="405">
        <v>0</v>
      </c>
      <c r="W276" s="428">
        <f t="shared" si="95"/>
        <v>50</v>
      </c>
      <c r="X276" s="415">
        <f t="shared" si="96"/>
        <v>0.5</v>
      </c>
      <c r="Y276" s="406">
        <v>0</v>
      </c>
      <c r="Z276" s="429">
        <v>0</v>
      </c>
      <c r="AA276" s="430">
        <f t="shared" si="97"/>
        <v>50</v>
      </c>
      <c r="AB276" s="415">
        <f t="shared" si="98"/>
        <v>0.5</v>
      </c>
      <c r="AC276" s="431">
        <v>0</v>
      </c>
      <c r="AD276" s="432">
        <f t="shared" si="99"/>
        <v>100</v>
      </c>
      <c r="AE276" s="433">
        <f t="shared" si="90"/>
        <v>4</v>
      </c>
      <c r="AF276" s="434" t="s">
        <v>2326</v>
      </c>
      <c r="AG276" s="434" t="s">
        <v>2326</v>
      </c>
      <c r="AH276" s="434" t="s">
        <v>2326</v>
      </c>
      <c r="AI276" s="362"/>
      <c r="AJ276" s="434" t="s">
        <v>2326</v>
      </c>
      <c r="AK276" s="434" t="s">
        <v>2326</v>
      </c>
      <c r="AL276" s="363"/>
      <c r="AM276" s="406">
        <v>0</v>
      </c>
      <c r="AN276" s="406">
        <v>0</v>
      </c>
      <c r="AO276" s="406">
        <v>0</v>
      </c>
      <c r="AP276" s="406">
        <v>0</v>
      </c>
      <c r="AQ276" s="406">
        <v>0</v>
      </c>
      <c r="AR276" s="406">
        <v>0</v>
      </c>
      <c r="AS276" s="406">
        <v>0</v>
      </c>
      <c r="AT276" s="406">
        <v>0</v>
      </c>
      <c r="AU276" s="407">
        <f t="shared" si="100"/>
        <v>0</v>
      </c>
      <c r="AV276" s="407">
        <f t="shared" si="101"/>
        <v>100</v>
      </c>
      <c r="AW276" s="408">
        <f t="shared" si="91"/>
        <v>5</v>
      </c>
      <c r="AX276" s="406">
        <v>0</v>
      </c>
      <c r="AY276" s="406">
        <v>0</v>
      </c>
      <c r="AZ276" s="406">
        <v>0</v>
      </c>
      <c r="BA276" s="406">
        <v>0</v>
      </c>
      <c r="BB276" s="430">
        <f t="shared" si="102"/>
        <v>0</v>
      </c>
      <c r="BC276" s="407">
        <f t="shared" si="103"/>
        <v>25</v>
      </c>
      <c r="BD276" s="408">
        <f t="shared" si="92"/>
        <v>0.75</v>
      </c>
      <c r="BE276" s="340">
        <f t="shared" si="104"/>
        <v>11.25</v>
      </c>
    </row>
    <row r="277" spans="1:57" x14ac:dyDescent="0.6">
      <c r="A277" s="214" t="s">
        <v>1910</v>
      </c>
      <c r="B277" s="13" t="s">
        <v>2258</v>
      </c>
      <c r="C277" s="219" t="s">
        <v>1911</v>
      </c>
      <c r="D277" s="14" t="s">
        <v>203</v>
      </c>
      <c r="E277" s="217" t="s">
        <v>195</v>
      </c>
      <c r="F277" s="217" t="s">
        <v>1912</v>
      </c>
      <c r="G277" s="218">
        <v>25549</v>
      </c>
      <c r="H277" s="217" t="s">
        <v>830</v>
      </c>
      <c r="I277" s="217" t="s">
        <v>1913</v>
      </c>
      <c r="J277" s="217" t="s">
        <v>1914</v>
      </c>
      <c r="K277" s="217" t="s">
        <v>484</v>
      </c>
      <c r="L277" s="220">
        <v>319037628</v>
      </c>
      <c r="M277" s="206">
        <v>46527487</v>
      </c>
      <c r="N277" s="206">
        <v>272510141</v>
      </c>
      <c r="O277" s="206">
        <v>118960265</v>
      </c>
      <c r="P277" s="206">
        <v>9521305</v>
      </c>
      <c r="Q277" s="206">
        <v>26092874</v>
      </c>
      <c r="R277" s="206">
        <v>23518478</v>
      </c>
      <c r="S277" s="406">
        <v>0</v>
      </c>
      <c r="T277" s="428">
        <f t="shared" si="93"/>
        <v>50</v>
      </c>
      <c r="U277" s="415">
        <f t="shared" si="94"/>
        <v>0.5</v>
      </c>
      <c r="V277" s="405">
        <v>0</v>
      </c>
      <c r="W277" s="428">
        <f t="shared" si="95"/>
        <v>50</v>
      </c>
      <c r="X277" s="415">
        <f t="shared" si="96"/>
        <v>0.5</v>
      </c>
      <c r="Y277" s="406">
        <v>0</v>
      </c>
      <c r="Z277" s="429">
        <v>0</v>
      </c>
      <c r="AA277" s="430">
        <f t="shared" si="97"/>
        <v>50</v>
      </c>
      <c r="AB277" s="415">
        <f t="shared" si="98"/>
        <v>0.5</v>
      </c>
      <c r="AC277" s="431">
        <v>0</v>
      </c>
      <c r="AD277" s="432">
        <f t="shared" si="99"/>
        <v>100</v>
      </c>
      <c r="AE277" s="433">
        <f t="shared" si="90"/>
        <v>4</v>
      </c>
      <c r="AF277" s="434" t="s">
        <v>2326</v>
      </c>
      <c r="AG277" s="434" t="s">
        <v>2326</v>
      </c>
      <c r="AH277" s="434" t="s">
        <v>2326</v>
      </c>
      <c r="AI277" s="362"/>
      <c r="AJ277" s="434" t="s">
        <v>2326</v>
      </c>
      <c r="AK277" s="434" t="s">
        <v>2326</v>
      </c>
      <c r="AL277" s="363"/>
      <c r="AM277" s="406">
        <v>0</v>
      </c>
      <c r="AN277" s="406">
        <v>0</v>
      </c>
      <c r="AO277" s="406">
        <v>0</v>
      </c>
      <c r="AP277" s="406">
        <v>0</v>
      </c>
      <c r="AQ277" s="406">
        <v>0</v>
      </c>
      <c r="AR277" s="406">
        <v>0</v>
      </c>
      <c r="AS277" s="406">
        <v>0</v>
      </c>
      <c r="AT277" s="406">
        <v>0</v>
      </c>
      <c r="AU277" s="407">
        <f t="shared" si="100"/>
        <v>0</v>
      </c>
      <c r="AV277" s="407">
        <f t="shared" si="101"/>
        <v>100</v>
      </c>
      <c r="AW277" s="408">
        <f t="shared" si="91"/>
        <v>5</v>
      </c>
      <c r="AX277" s="406">
        <v>0</v>
      </c>
      <c r="AY277" s="406">
        <v>0</v>
      </c>
      <c r="AZ277" s="406">
        <v>0</v>
      </c>
      <c r="BA277" s="406">
        <v>0</v>
      </c>
      <c r="BB277" s="430">
        <f t="shared" si="102"/>
        <v>0</v>
      </c>
      <c r="BC277" s="407">
        <f t="shared" si="103"/>
        <v>25</v>
      </c>
      <c r="BD277" s="408">
        <f t="shared" si="92"/>
        <v>0.75</v>
      </c>
      <c r="BE277" s="340">
        <f t="shared" si="104"/>
        <v>11.25</v>
      </c>
    </row>
    <row r="278" spans="1:57" x14ac:dyDescent="0.6">
      <c r="A278" s="214" t="s">
        <v>1915</v>
      </c>
      <c r="B278" s="13" t="s">
        <v>2259</v>
      </c>
      <c r="C278" s="219" t="s">
        <v>887</v>
      </c>
      <c r="D278" s="216" t="s">
        <v>203</v>
      </c>
      <c r="E278" s="217" t="s">
        <v>1209</v>
      </c>
      <c r="F278" s="217" t="s">
        <v>151</v>
      </c>
      <c r="G278" s="218">
        <v>34888</v>
      </c>
      <c r="H278" s="217" t="s">
        <v>830</v>
      </c>
      <c r="I278" s="217" t="s">
        <v>615</v>
      </c>
      <c r="J278" s="217" t="s">
        <v>1094</v>
      </c>
      <c r="K278" s="217" t="s">
        <v>50</v>
      </c>
      <c r="L278" s="220">
        <v>573791494</v>
      </c>
      <c r="M278" s="206">
        <v>172708851</v>
      </c>
      <c r="N278" s="206">
        <v>401082642</v>
      </c>
      <c r="O278" s="206">
        <v>340208179</v>
      </c>
      <c r="P278" s="206">
        <v>28719054</v>
      </c>
      <c r="Q278" s="206">
        <v>9790753</v>
      </c>
      <c r="R278" s="206">
        <v>2174394</v>
      </c>
      <c r="S278" s="406">
        <v>0</v>
      </c>
      <c r="T278" s="428">
        <f t="shared" si="93"/>
        <v>50</v>
      </c>
      <c r="U278" s="415">
        <f t="shared" si="94"/>
        <v>0.5</v>
      </c>
      <c r="V278" s="405">
        <v>0</v>
      </c>
      <c r="W278" s="428">
        <f t="shared" si="95"/>
        <v>50</v>
      </c>
      <c r="X278" s="415">
        <f t="shared" si="96"/>
        <v>0.5</v>
      </c>
      <c r="Y278" s="406">
        <v>0</v>
      </c>
      <c r="Z278" s="429">
        <v>0</v>
      </c>
      <c r="AA278" s="430">
        <f t="shared" si="97"/>
        <v>50</v>
      </c>
      <c r="AB278" s="415">
        <f t="shared" si="98"/>
        <v>0.5</v>
      </c>
      <c r="AC278" s="431">
        <v>0</v>
      </c>
      <c r="AD278" s="432">
        <f t="shared" si="99"/>
        <v>100</v>
      </c>
      <c r="AE278" s="433">
        <f t="shared" si="90"/>
        <v>4</v>
      </c>
      <c r="AF278" s="434" t="s">
        <v>2326</v>
      </c>
      <c r="AG278" s="434" t="s">
        <v>2326</v>
      </c>
      <c r="AH278" s="434" t="s">
        <v>2326</v>
      </c>
      <c r="AI278" s="362"/>
      <c r="AJ278" s="434" t="s">
        <v>2326</v>
      </c>
      <c r="AK278" s="434" t="s">
        <v>2326</v>
      </c>
      <c r="AL278" s="363"/>
      <c r="AM278" s="406">
        <v>0</v>
      </c>
      <c r="AN278" s="406">
        <v>0</v>
      </c>
      <c r="AO278" s="406">
        <v>0</v>
      </c>
      <c r="AP278" s="406">
        <v>0</v>
      </c>
      <c r="AQ278" s="406">
        <v>0</v>
      </c>
      <c r="AR278" s="406">
        <v>0</v>
      </c>
      <c r="AS278" s="406">
        <v>0</v>
      </c>
      <c r="AT278" s="406">
        <v>0</v>
      </c>
      <c r="AU278" s="407">
        <f t="shared" si="100"/>
        <v>0</v>
      </c>
      <c r="AV278" s="407">
        <f t="shared" si="101"/>
        <v>100</v>
      </c>
      <c r="AW278" s="408">
        <f t="shared" si="91"/>
        <v>5</v>
      </c>
      <c r="AX278" s="406">
        <v>0</v>
      </c>
      <c r="AY278" s="406">
        <v>0</v>
      </c>
      <c r="AZ278" s="406">
        <v>0</v>
      </c>
      <c r="BA278" s="406">
        <v>0</v>
      </c>
      <c r="BB278" s="430">
        <f t="shared" si="102"/>
        <v>0</v>
      </c>
      <c r="BC278" s="407">
        <f t="shared" si="103"/>
        <v>25</v>
      </c>
      <c r="BD278" s="408">
        <f t="shared" si="92"/>
        <v>0.75</v>
      </c>
      <c r="BE278" s="340">
        <f t="shared" si="104"/>
        <v>11.25</v>
      </c>
    </row>
    <row r="279" spans="1:57" x14ac:dyDescent="0.6">
      <c r="A279" s="214" t="s">
        <v>1916</v>
      </c>
      <c r="B279" s="13" t="s">
        <v>2260</v>
      </c>
      <c r="C279" s="219" t="s">
        <v>1917</v>
      </c>
      <c r="D279" s="14" t="s">
        <v>203</v>
      </c>
      <c r="E279" s="217" t="s">
        <v>195</v>
      </c>
      <c r="F279" s="217" t="s">
        <v>1918</v>
      </c>
      <c r="G279" s="218">
        <v>32825</v>
      </c>
      <c r="H279" s="217" t="s">
        <v>830</v>
      </c>
      <c r="I279" s="217" t="s">
        <v>1919</v>
      </c>
      <c r="J279" s="217" t="s">
        <v>1920</v>
      </c>
      <c r="K279" s="217" t="s">
        <v>50</v>
      </c>
      <c r="L279" s="220">
        <v>549828404</v>
      </c>
      <c r="M279" s="206">
        <v>348575829</v>
      </c>
      <c r="N279" s="206">
        <v>201252575</v>
      </c>
      <c r="O279" s="206">
        <v>795939631</v>
      </c>
      <c r="P279" s="206">
        <v>30699585</v>
      </c>
      <c r="Q279" s="206">
        <v>32334911</v>
      </c>
      <c r="R279" s="206">
        <v>40221401</v>
      </c>
      <c r="S279" s="406">
        <v>0</v>
      </c>
      <c r="T279" s="428">
        <f t="shared" si="93"/>
        <v>50</v>
      </c>
      <c r="U279" s="415">
        <f t="shared" si="94"/>
        <v>0.5</v>
      </c>
      <c r="V279" s="405">
        <v>0</v>
      </c>
      <c r="W279" s="428">
        <f t="shared" si="95"/>
        <v>50</v>
      </c>
      <c r="X279" s="415">
        <f t="shared" si="96"/>
        <v>0.5</v>
      </c>
      <c r="Y279" s="406">
        <v>0</v>
      </c>
      <c r="Z279" s="429">
        <v>0</v>
      </c>
      <c r="AA279" s="430">
        <f t="shared" si="97"/>
        <v>50</v>
      </c>
      <c r="AB279" s="415">
        <f t="shared" si="98"/>
        <v>0.5</v>
      </c>
      <c r="AC279" s="431">
        <v>0</v>
      </c>
      <c r="AD279" s="432">
        <f t="shared" si="99"/>
        <v>100</v>
      </c>
      <c r="AE279" s="433">
        <f t="shared" si="90"/>
        <v>4</v>
      </c>
      <c r="AF279" s="434" t="s">
        <v>2326</v>
      </c>
      <c r="AG279" s="434" t="s">
        <v>2326</v>
      </c>
      <c r="AH279" s="434" t="s">
        <v>2326</v>
      </c>
      <c r="AI279" s="362"/>
      <c r="AJ279" s="434" t="s">
        <v>2326</v>
      </c>
      <c r="AK279" s="434" t="s">
        <v>2326</v>
      </c>
      <c r="AL279" s="363"/>
      <c r="AM279" s="406">
        <v>0</v>
      </c>
      <c r="AN279" s="406">
        <v>0</v>
      </c>
      <c r="AO279" s="406">
        <v>0</v>
      </c>
      <c r="AP279" s="406">
        <v>0</v>
      </c>
      <c r="AQ279" s="406">
        <v>0</v>
      </c>
      <c r="AR279" s="406">
        <v>0</v>
      </c>
      <c r="AS279" s="406">
        <v>0</v>
      </c>
      <c r="AT279" s="406">
        <v>0</v>
      </c>
      <c r="AU279" s="407">
        <f t="shared" si="100"/>
        <v>0</v>
      </c>
      <c r="AV279" s="407">
        <f t="shared" si="101"/>
        <v>100</v>
      </c>
      <c r="AW279" s="408">
        <f t="shared" si="91"/>
        <v>5</v>
      </c>
      <c r="AX279" s="406">
        <v>0</v>
      </c>
      <c r="AY279" s="406">
        <v>0</v>
      </c>
      <c r="AZ279" s="406">
        <v>0</v>
      </c>
      <c r="BA279" s="406">
        <v>0</v>
      </c>
      <c r="BB279" s="430">
        <f t="shared" si="102"/>
        <v>0</v>
      </c>
      <c r="BC279" s="407">
        <f t="shared" si="103"/>
        <v>25</v>
      </c>
      <c r="BD279" s="408">
        <f t="shared" si="92"/>
        <v>0.75</v>
      </c>
      <c r="BE279" s="340">
        <f t="shared" si="104"/>
        <v>11.25</v>
      </c>
    </row>
    <row r="280" spans="1:57" x14ac:dyDescent="0.6">
      <c r="A280" s="214" t="s">
        <v>794</v>
      </c>
      <c r="B280" s="13" t="s">
        <v>2261</v>
      </c>
      <c r="C280" s="219" t="s">
        <v>516</v>
      </c>
      <c r="D280" s="216" t="s">
        <v>191</v>
      </c>
      <c r="E280" s="217" t="s">
        <v>34</v>
      </c>
      <c r="F280" s="217" t="s">
        <v>642</v>
      </c>
      <c r="G280" s="218">
        <v>27941</v>
      </c>
      <c r="H280" s="217" t="s">
        <v>830</v>
      </c>
      <c r="I280" s="217" t="s">
        <v>284</v>
      </c>
      <c r="J280" s="217" t="s">
        <v>1146</v>
      </c>
      <c r="K280" s="217" t="s">
        <v>91</v>
      </c>
      <c r="L280" s="220">
        <v>888665301</v>
      </c>
      <c r="M280" s="206">
        <v>485651737</v>
      </c>
      <c r="N280" s="206">
        <v>403013565</v>
      </c>
      <c r="O280" s="206">
        <v>536574431</v>
      </c>
      <c r="P280" s="206">
        <v>29103159</v>
      </c>
      <c r="Q280" s="206">
        <v>20616127</v>
      </c>
      <c r="R280" s="206">
        <v>17834953</v>
      </c>
      <c r="S280" s="406">
        <v>0</v>
      </c>
      <c r="T280" s="428">
        <f t="shared" si="93"/>
        <v>50</v>
      </c>
      <c r="U280" s="415">
        <f t="shared" si="94"/>
        <v>0.5</v>
      </c>
      <c r="V280" s="405">
        <v>0</v>
      </c>
      <c r="W280" s="428">
        <f t="shared" si="95"/>
        <v>50</v>
      </c>
      <c r="X280" s="415">
        <f t="shared" si="96"/>
        <v>0.5</v>
      </c>
      <c r="Y280" s="406">
        <v>0</v>
      </c>
      <c r="Z280" s="429">
        <v>0</v>
      </c>
      <c r="AA280" s="430">
        <f t="shared" si="97"/>
        <v>50</v>
      </c>
      <c r="AB280" s="415">
        <f t="shared" si="98"/>
        <v>0.5</v>
      </c>
      <c r="AC280" s="431">
        <v>0</v>
      </c>
      <c r="AD280" s="432">
        <f t="shared" si="99"/>
        <v>100</v>
      </c>
      <c r="AE280" s="433">
        <f t="shared" si="90"/>
        <v>4</v>
      </c>
      <c r="AF280" s="434" t="s">
        <v>2326</v>
      </c>
      <c r="AG280" s="434" t="s">
        <v>2326</v>
      </c>
      <c r="AH280" s="434" t="s">
        <v>2326</v>
      </c>
      <c r="AI280" s="362"/>
      <c r="AJ280" s="434" t="s">
        <v>2326</v>
      </c>
      <c r="AK280" s="434" t="s">
        <v>2326</v>
      </c>
      <c r="AL280" s="363"/>
      <c r="AM280" s="406">
        <v>0</v>
      </c>
      <c r="AN280" s="406">
        <v>0</v>
      </c>
      <c r="AO280" s="406">
        <v>0</v>
      </c>
      <c r="AP280" s="406">
        <v>0</v>
      </c>
      <c r="AQ280" s="406">
        <v>0</v>
      </c>
      <c r="AR280" s="406">
        <v>0</v>
      </c>
      <c r="AS280" s="406">
        <v>0</v>
      </c>
      <c r="AT280" s="406">
        <v>0</v>
      </c>
      <c r="AU280" s="407">
        <f t="shared" si="100"/>
        <v>0</v>
      </c>
      <c r="AV280" s="407">
        <f t="shared" si="101"/>
        <v>100</v>
      </c>
      <c r="AW280" s="408">
        <f t="shared" si="91"/>
        <v>5</v>
      </c>
      <c r="AX280" s="406">
        <v>0</v>
      </c>
      <c r="AY280" s="406">
        <v>0</v>
      </c>
      <c r="AZ280" s="406">
        <v>0</v>
      </c>
      <c r="BA280" s="406">
        <v>0</v>
      </c>
      <c r="BB280" s="430">
        <f t="shared" si="102"/>
        <v>0</v>
      </c>
      <c r="BC280" s="407">
        <f t="shared" si="103"/>
        <v>25</v>
      </c>
      <c r="BD280" s="408">
        <f t="shared" si="92"/>
        <v>0.75</v>
      </c>
      <c r="BE280" s="340">
        <f t="shared" si="104"/>
        <v>11.25</v>
      </c>
    </row>
    <row r="281" spans="1:57" x14ac:dyDescent="0.6">
      <c r="A281" s="214" t="s">
        <v>43</v>
      </c>
      <c r="B281" s="13" t="s">
        <v>2262</v>
      </c>
      <c r="C281" s="219" t="s">
        <v>298</v>
      </c>
      <c r="D281" s="216" t="s">
        <v>285</v>
      </c>
      <c r="E281" s="217" t="s">
        <v>1167</v>
      </c>
      <c r="F281" s="217" t="s">
        <v>385</v>
      </c>
      <c r="G281" s="218">
        <v>39987</v>
      </c>
      <c r="H281" s="217" t="s">
        <v>830</v>
      </c>
      <c r="I281" s="217" t="s">
        <v>274</v>
      </c>
      <c r="J281" s="217" t="s">
        <v>1244</v>
      </c>
      <c r="K281" s="217" t="s">
        <v>91</v>
      </c>
      <c r="L281" s="220">
        <v>217613616</v>
      </c>
      <c r="M281" s="206">
        <v>69409850</v>
      </c>
      <c r="N281" s="206">
        <v>148203766</v>
      </c>
      <c r="O281" s="206">
        <v>174397667</v>
      </c>
      <c r="P281" s="206">
        <v>12289879</v>
      </c>
      <c r="Q281" s="206">
        <v>16933913</v>
      </c>
      <c r="R281" s="206">
        <v>14379092</v>
      </c>
      <c r="S281" s="406">
        <v>0</v>
      </c>
      <c r="T281" s="428">
        <f t="shared" si="93"/>
        <v>50</v>
      </c>
      <c r="U281" s="415">
        <f t="shared" si="94"/>
        <v>0.5</v>
      </c>
      <c r="V281" s="405">
        <v>0</v>
      </c>
      <c r="W281" s="428">
        <f t="shared" si="95"/>
        <v>50</v>
      </c>
      <c r="X281" s="415">
        <f t="shared" si="96"/>
        <v>0.5</v>
      </c>
      <c r="Y281" s="406">
        <v>0</v>
      </c>
      <c r="Z281" s="429">
        <v>0</v>
      </c>
      <c r="AA281" s="430">
        <f t="shared" si="97"/>
        <v>50</v>
      </c>
      <c r="AB281" s="415">
        <f t="shared" si="98"/>
        <v>0.5</v>
      </c>
      <c r="AC281" s="431">
        <v>0</v>
      </c>
      <c r="AD281" s="432">
        <f t="shared" si="99"/>
        <v>100</v>
      </c>
      <c r="AE281" s="433">
        <f t="shared" si="90"/>
        <v>4</v>
      </c>
      <c r="AF281" s="434" t="s">
        <v>2326</v>
      </c>
      <c r="AG281" s="434" t="s">
        <v>2326</v>
      </c>
      <c r="AH281" s="434" t="s">
        <v>2326</v>
      </c>
      <c r="AI281" s="362"/>
      <c r="AJ281" s="434" t="s">
        <v>2326</v>
      </c>
      <c r="AK281" s="434" t="s">
        <v>2326</v>
      </c>
      <c r="AL281" s="363"/>
      <c r="AM281" s="406">
        <v>0</v>
      </c>
      <c r="AN281" s="406">
        <v>0</v>
      </c>
      <c r="AO281" s="406">
        <v>0</v>
      </c>
      <c r="AP281" s="406">
        <v>0</v>
      </c>
      <c r="AQ281" s="406">
        <v>0</v>
      </c>
      <c r="AR281" s="406">
        <v>0</v>
      </c>
      <c r="AS281" s="406">
        <v>0</v>
      </c>
      <c r="AT281" s="406">
        <v>0</v>
      </c>
      <c r="AU281" s="407">
        <f t="shared" si="100"/>
        <v>0</v>
      </c>
      <c r="AV281" s="407">
        <f t="shared" si="101"/>
        <v>100</v>
      </c>
      <c r="AW281" s="408">
        <f t="shared" si="91"/>
        <v>5</v>
      </c>
      <c r="AX281" s="406">
        <v>0</v>
      </c>
      <c r="AY281" s="406">
        <v>0</v>
      </c>
      <c r="AZ281" s="406">
        <v>0</v>
      </c>
      <c r="BA281" s="406">
        <v>0</v>
      </c>
      <c r="BB281" s="430">
        <f t="shared" si="102"/>
        <v>0</v>
      </c>
      <c r="BC281" s="407">
        <f t="shared" si="103"/>
        <v>25</v>
      </c>
      <c r="BD281" s="408">
        <f t="shared" si="92"/>
        <v>0.75</v>
      </c>
      <c r="BE281" s="340">
        <f t="shared" si="104"/>
        <v>11.25</v>
      </c>
    </row>
    <row r="282" spans="1:57" x14ac:dyDescent="0.6">
      <c r="A282" s="214" t="s">
        <v>935</v>
      </c>
      <c r="B282" s="13" t="s">
        <v>2263</v>
      </c>
      <c r="C282" s="219" t="s">
        <v>463</v>
      </c>
      <c r="D282" s="216" t="s">
        <v>202</v>
      </c>
      <c r="E282" s="217" t="s">
        <v>572</v>
      </c>
      <c r="F282" s="217" t="s">
        <v>660</v>
      </c>
      <c r="G282" s="218">
        <v>38555</v>
      </c>
      <c r="H282" s="217" t="s">
        <v>830</v>
      </c>
      <c r="I282" s="217" t="s">
        <v>764</v>
      </c>
      <c r="J282" s="217" t="s">
        <v>1224</v>
      </c>
      <c r="K282" s="217" t="s">
        <v>346</v>
      </c>
      <c r="L282" s="220">
        <v>441490503</v>
      </c>
      <c r="M282" s="206">
        <v>66273961</v>
      </c>
      <c r="N282" s="206">
        <v>375216542</v>
      </c>
      <c r="O282" s="206">
        <v>323948862</v>
      </c>
      <c r="P282" s="206">
        <v>109531252</v>
      </c>
      <c r="Q282" s="206">
        <v>126178452</v>
      </c>
      <c r="R282" s="206">
        <v>91469843</v>
      </c>
      <c r="S282" s="406">
        <v>0</v>
      </c>
      <c r="T282" s="428">
        <f t="shared" si="93"/>
        <v>50</v>
      </c>
      <c r="U282" s="415">
        <f t="shared" si="94"/>
        <v>0.5</v>
      </c>
      <c r="V282" s="405">
        <v>0</v>
      </c>
      <c r="W282" s="428">
        <f t="shared" si="95"/>
        <v>50</v>
      </c>
      <c r="X282" s="415">
        <f t="shared" si="96"/>
        <v>0.5</v>
      </c>
      <c r="Y282" s="406">
        <v>0</v>
      </c>
      <c r="Z282" s="429">
        <v>0</v>
      </c>
      <c r="AA282" s="430">
        <f t="shared" si="97"/>
        <v>50</v>
      </c>
      <c r="AB282" s="415">
        <f t="shared" si="98"/>
        <v>0.5</v>
      </c>
      <c r="AC282" s="431">
        <v>0</v>
      </c>
      <c r="AD282" s="432">
        <f t="shared" si="99"/>
        <v>100</v>
      </c>
      <c r="AE282" s="433">
        <f t="shared" si="90"/>
        <v>4</v>
      </c>
      <c r="AF282" s="434" t="s">
        <v>2326</v>
      </c>
      <c r="AG282" s="434" t="s">
        <v>2326</v>
      </c>
      <c r="AH282" s="434" t="s">
        <v>2326</v>
      </c>
      <c r="AI282" s="362"/>
      <c r="AJ282" s="434" t="s">
        <v>2326</v>
      </c>
      <c r="AK282" s="434" t="s">
        <v>2326</v>
      </c>
      <c r="AL282" s="363"/>
      <c r="AM282" s="406">
        <v>0</v>
      </c>
      <c r="AN282" s="406">
        <v>0</v>
      </c>
      <c r="AO282" s="406">
        <v>0</v>
      </c>
      <c r="AP282" s="406">
        <v>0</v>
      </c>
      <c r="AQ282" s="406">
        <v>0</v>
      </c>
      <c r="AR282" s="406">
        <v>0</v>
      </c>
      <c r="AS282" s="406">
        <v>0</v>
      </c>
      <c r="AT282" s="406">
        <v>0</v>
      </c>
      <c r="AU282" s="407">
        <f t="shared" si="100"/>
        <v>0</v>
      </c>
      <c r="AV282" s="407">
        <f t="shared" si="101"/>
        <v>100</v>
      </c>
      <c r="AW282" s="408">
        <f t="shared" si="91"/>
        <v>5</v>
      </c>
      <c r="AX282" s="406">
        <v>0</v>
      </c>
      <c r="AY282" s="406">
        <v>0</v>
      </c>
      <c r="AZ282" s="406">
        <v>0</v>
      </c>
      <c r="BA282" s="406">
        <v>0</v>
      </c>
      <c r="BB282" s="430">
        <f t="shared" si="102"/>
        <v>0</v>
      </c>
      <c r="BC282" s="407">
        <f t="shared" si="103"/>
        <v>25</v>
      </c>
      <c r="BD282" s="408">
        <f t="shared" si="92"/>
        <v>0.75</v>
      </c>
      <c r="BE282" s="340">
        <f t="shared" si="104"/>
        <v>11.25</v>
      </c>
    </row>
    <row r="283" spans="1:57" x14ac:dyDescent="0.6">
      <c r="A283" s="214" t="s">
        <v>462</v>
      </c>
      <c r="B283" s="13" t="s">
        <v>2264</v>
      </c>
      <c r="C283" s="219" t="s">
        <v>893</v>
      </c>
      <c r="D283" s="216" t="s">
        <v>191</v>
      </c>
      <c r="E283" s="217" t="s">
        <v>34</v>
      </c>
      <c r="F283" s="217" t="s">
        <v>818</v>
      </c>
      <c r="G283" s="218">
        <v>40389</v>
      </c>
      <c r="H283" s="217" t="s">
        <v>830</v>
      </c>
      <c r="I283" s="217" t="s">
        <v>1921</v>
      </c>
      <c r="J283" s="1" t="s">
        <v>2309</v>
      </c>
      <c r="K283" s="217" t="s">
        <v>690</v>
      </c>
      <c r="L283" s="220">
        <v>1399293783</v>
      </c>
      <c r="M283" s="206">
        <v>813470761</v>
      </c>
      <c r="N283" s="206">
        <v>585823022</v>
      </c>
      <c r="O283" s="206">
        <v>982048866</v>
      </c>
      <c r="P283" s="206">
        <v>79110747</v>
      </c>
      <c r="Q283" s="206">
        <v>59432696</v>
      </c>
      <c r="R283" s="206">
        <v>50327230</v>
      </c>
      <c r="S283" s="406">
        <v>0</v>
      </c>
      <c r="T283" s="428">
        <f t="shared" si="93"/>
        <v>50</v>
      </c>
      <c r="U283" s="415">
        <f t="shared" si="94"/>
        <v>0.5</v>
      </c>
      <c r="V283" s="405">
        <v>0</v>
      </c>
      <c r="W283" s="428">
        <f t="shared" si="95"/>
        <v>50</v>
      </c>
      <c r="X283" s="415">
        <f t="shared" si="96"/>
        <v>0.5</v>
      </c>
      <c r="Y283" s="406">
        <v>0</v>
      </c>
      <c r="Z283" s="429">
        <v>0</v>
      </c>
      <c r="AA283" s="430">
        <f t="shared" si="97"/>
        <v>50</v>
      </c>
      <c r="AB283" s="415">
        <f t="shared" si="98"/>
        <v>0.5</v>
      </c>
      <c r="AC283" s="431">
        <v>0</v>
      </c>
      <c r="AD283" s="432">
        <f t="shared" si="99"/>
        <v>100</v>
      </c>
      <c r="AE283" s="433">
        <f t="shared" si="90"/>
        <v>4</v>
      </c>
      <c r="AF283" s="434" t="s">
        <v>2326</v>
      </c>
      <c r="AG283" s="434" t="s">
        <v>2326</v>
      </c>
      <c r="AH283" s="434" t="s">
        <v>2326</v>
      </c>
      <c r="AI283" s="362"/>
      <c r="AJ283" s="434" t="s">
        <v>2326</v>
      </c>
      <c r="AK283" s="434" t="s">
        <v>2326</v>
      </c>
      <c r="AL283" s="363"/>
      <c r="AM283" s="406">
        <v>0</v>
      </c>
      <c r="AN283" s="406">
        <v>0</v>
      </c>
      <c r="AO283" s="406">
        <v>0</v>
      </c>
      <c r="AP283" s="406">
        <v>0</v>
      </c>
      <c r="AQ283" s="406">
        <v>0</v>
      </c>
      <c r="AR283" s="406">
        <v>0</v>
      </c>
      <c r="AS283" s="406">
        <v>0</v>
      </c>
      <c r="AT283" s="406">
        <v>0</v>
      </c>
      <c r="AU283" s="407">
        <f t="shared" si="100"/>
        <v>0</v>
      </c>
      <c r="AV283" s="407">
        <f t="shared" si="101"/>
        <v>100</v>
      </c>
      <c r="AW283" s="408">
        <f t="shared" si="91"/>
        <v>5</v>
      </c>
      <c r="AX283" s="406">
        <v>0</v>
      </c>
      <c r="AY283" s="406">
        <v>0</v>
      </c>
      <c r="AZ283" s="406">
        <v>0</v>
      </c>
      <c r="BA283" s="406">
        <v>0</v>
      </c>
      <c r="BB283" s="430">
        <f t="shared" si="102"/>
        <v>0</v>
      </c>
      <c r="BC283" s="407">
        <f t="shared" si="103"/>
        <v>25</v>
      </c>
      <c r="BD283" s="408">
        <f t="shared" si="92"/>
        <v>0.75</v>
      </c>
      <c r="BE283" s="340">
        <f t="shared" si="104"/>
        <v>11.25</v>
      </c>
    </row>
    <row r="284" spans="1:57" x14ac:dyDescent="0.6">
      <c r="A284" s="214" t="s">
        <v>1922</v>
      </c>
      <c r="B284" s="13" t="s">
        <v>2265</v>
      </c>
      <c r="C284" s="219" t="s">
        <v>882</v>
      </c>
      <c r="D284" s="216" t="s">
        <v>191</v>
      </c>
      <c r="E284" s="217" t="s">
        <v>190</v>
      </c>
      <c r="F284" s="217" t="s">
        <v>677</v>
      </c>
      <c r="G284" s="218">
        <v>35249</v>
      </c>
      <c r="H284" s="217" t="s">
        <v>830</v>
      </c>
      <c r="I284" s="217" t="s">
        <v>835</v>
      </c>
      <c r="J284" s="217" t="s">
        <v>1208</v>
      </c>
      <c r="K284" s="217" t="s">
        <v>91</v>
      </c>
      <c r="L284" s="220">
        <v>1687627808</v>
      </c>
      <c r="M284" s="206">
        <v>342539051</v>
      </c>
      <c r="N284" s="206">
        <v>1345088757</v>
      </c>
      <c r="O284" s="206">
        <v>1537082442</v>
      </c>
      <c r="P284" s="206">
        <v>174260144</v>
      </c>
      <c r="Q284" s="206">
        <v>166140393</v>
      </c>
      <c r="R284" s="206">
        <v>125065962</v>
      </c>
      <c r="S284" s="406">
        <v>0</v>
      </c>
      <c r="T284" s="428">
        <f t="shared" si="93"/>
        <v>50</v>
      </c>
      <c r="U284" s="415">
        <f t="shared" si="94"/>
        <v>0.5</v>
      </c>
      <c r="V284" s="405">
        <v>0</v>
      </c>
      <c r="W284" s="428">
        <f t="shared" si="95"/>
        <v>50</v>
      </c>
      <c r="X284" s="415">
        <f t="shared" si="96"/>
        <v>0.5</v>
      </c>
      <c r="Y284" s="406">
        <v>1</v>
      </c>
      <c r="Z284" s="429">
        <v>0</v>
      </c>
      <c r="AA284" s="430">
        <f t="shared" si="97"/>
        <v>100</v>
      </c>
      <c r="AB284" s="415">
        <f t="shared" si="98"/>
        <v>1</v>
      </c>
      <c r="AC284" s="431">
        <v>0</v>
      </c>
      <c r="AD284" s="432">
        <f t="shared" si="99"/>
        <v>100</v>
      </c>
      <c r="AE284" s="433">
        <f t="shared" si="90"/>
        <v>4</v>
      </c>
      <c r="AF284" s="434" t="s">
        <v>2326</v>
      </c>
      <c r="AG284" s="434" t="s">
        <v>2326</v>
      </c>
      <c r="AH284" s="434" t="s">
        <v>2326</v>
      </c>
      <c r="AI284" s="362"/>
      <c r="AJ284" s="434" t="s">
        <v>2326</v>
      </c>
      <c r="AK284" s="434" t="s">
        <v>2326</v>
      </c>
      <c r="AL284" s="363"/>
      <c r="AM284" s="406">
        <v>0</v>
      </c>
      <c r="AN284" s="406">
        <v>0</v>
      </c>
      <c r="AO284" s="406">
        <v>0</v>
      </c>
      <c r="AP284" s="406">
        <v>0</v>
      </c>
      <c r="AQ284" s="406">
        <v>0</v>
      </c>
      <c r="AR284" s="406">
        <v>0</v>
      </c>
      <c r="AS284" s="406">
        <v>0</v>
      </c>
      <c r="AT284" s="406">
        <v>0</v>
      </c>
      <c r="AU284" s="407">
        <f t="shared" si="100"/>
        <v>0</v>
      </c>
      <c r="AV284" s="407">
        <f t="shared" si="101"/>
        <v>100</v>
      </c>
      <c r="AW284" s="408">
        <f t="shared" si="91"/>
        <v>5</v>
      </c>
      <c r="AX284" s="406">
        <v>0</v>
      </c>
      <c r="AY284" s="406">
        <v>0</v>
      </c>
      <c r="AZ284" s="406">
        <v>0</v>
      </c>
      <c r="BA284" s="406">
        <v>0</v>
      </c>
      <c r="BB284" s="430">
        <f t="shared" si="102"/>
        <v>0</v>
      </c>
      <c r="BC284" s="407">
        <f t="shared" si="103"/>
        <v>25</v>
      </c>
      <c r="BD284" s="408">
        <f t="shared" si="92"/>
        <v>0.75</v>
      </c>
      <c r="BE284" s="340">
        <f t="shared" si="104"/>
        <v>11.75</v>
      </c>
    </row>
    <row r="285" spans="1:57" x14ac:dyDescent="0.6">
      <c r="A285" s="214" t="s">
        <v>904</v>
      </c>
      <c r="B285" s="13" t="s">
        <v>2266</v>
      </c>
      <c r="C285" s="219" t="s">
        <v>494</v>
      </c>
      <c r="D285" s="216" t="s">
        <v>191</v>
      </c>
      <c r="E285" s="217" t="s">
        <v>190</v>
      </c>
      <c r="F285" s="217" t="s">
        <v>920</v>
      </c>
      <c r="G285" s="218">
        <v>39892</v>
      </c>
      <c r="H285" s="217" t="s">
        <v>830</v>
      </c>
      <c r="I285" s="217" t="s">
        <v>1923</v>
      </c>
      <c r="J285" s="217" t="s">
        <v>1130</v>
      </c>
      <c r="K285" s="217" t="s">
        <v>91</v>
      </c>
      <c r="L285" s="220">
        <v>1063253032</v>
      </c>
      <c r="M285" s="206">
        <v>502967240</v>
      </c>
      <c r="N285" s="206">
        <v>560285793</v>
      </c>
      <c r="O285" s="206">
        <v>2146018022</v>
      </c>
      <c r="P285" s="206">
        <v>175483550</v>
      </c>
      <c r="Q285" s="206">
        <v>145218477</v>
      </c>
      <c r="R285" s="206">
        <v>104290709</v>
      </c>
      <c r="S285" s="406">
        <v>0</v>
      </c>
      <c r="T285" s="428">
        <f t="shared" si="93"/>
        <v>50</v>
      </c>
      <c r="U285" s="415">
        <f t="shared" si="94"/>
        <v>0.5</v>
      </c>
      <c r="V285" s="405">
        <v>0</v>
      </c>
      <c r="W285" s="428">
        <f t="shared" si="95"/>
        <v>50</v>
      </c>
      <c r="X285" s="415">
        <f t="shared" si="96"/>
        <v>0.5</v>
      </c>
      <c r="Y285" s="406">
        <v>0</v>
      </c>
      <c r="Z285" s="429">
        <v>0</v>
      </c>
      <c r="AA285" s="430">
        <f t="shared" si="97"/>
        <v>50</v>
      </c>
      <c r="AB285" s="415">
        <f t="shared" si="98"/>
        <v>0.5</v>
      </c>
      <c r="AC285" s="431">
        <v>0</v>
      </c>
      <c r="AD285" s="432">
        <f t="shared" si="99"/>
        <v>100</v>
      </c>
      <c r="AE285" s="433">
        <f t="shared" si="90"/>
        <v>4</v>
      </c>
      <c r="AF285" s="434" t="s">
        <v>2326</v>
      </c>
      <c r="AG285" s="434" t="s">
        <v>2326</v>
      </c>
      <c r="AH285" s="434" t="s">
        <v>2326</v>
      </c>
      <c r="AI285" s="362"/>
      <c r="AJ285" s="434" t="s">
        <v>2326</v>
      </c>
      <c r="AK285" s="434" t="s">
        <v>2326</v>
      </c>
      <c r="AL285" s="363"/>
      <c r="AM285" s="406">
        <v>0</v>
      </c>
      <c r="AN285" s="406">
        <v>0</v>
      </c>
      <c r="AO285" s="406">
        <v>0</v>
      </c>
      <c r="AP285" s="406">
        <v>0</v>
      </c>
      <c r="AQ285" s="406">
        <v>0</v>
      </c>
      <c r="AR285" s="406">
        <v>0</v>
      </c>
      <c r="AS285" s="406">
        <v>0</v>
      </c>
      <c r="AT285" s="406">
        <v>0</v>
      </c>
      <c r="AU285" s="407">
        <f t="shared" si="100"/>
        <v>0</v>
      </c>
      <c r="AV285" s="407">
        <f t="shared" si="101"/>
        <v>100</v>
      </c>
      <c r="AW285" s="408">
        <f t="shared" si="91"/>
        <v>5</v>
      </c>
      <c r="AX285" s="406">
        <v>0</v>
      </c>
      <c r="AY285" s="406">
        <v>0</v>
      </c>
      <c r="AZ285" s="406">
        <v>0</v>
      </c>
      <c r="BA285" s="406">
        <v>0</v>
      </c>
      <c r="BB285" s="430">
        <f t="shared" si="102"/>
        <v>0</v>
      </c>
      <c r="BC285" s="407">
        <f t="shared" si="103"/>
        <v>25</v>
      </c>
      <c r="BD285" s="408">
        <f t="shared" si="92"/>
        <v>0.75</v>
      </c>
      <c r="BE285" s="340">
        <f t="shared" si="104"/>
        <v>11.25</v>
      </c>
    </row>
    <row r="286" spans="1:57" x14ac:dyDescent="0.6">
      <c r="A286" s="214" t="s">
        <v>929</v>
      </c>
      <c r="B286" s="13" t="s">
        <v>2267</v>
      </c>
      <c r="C286" s="219" t="s">
        <v>925</v>
      </c>
      <c r="D286" s="216" t="s">
        <v>285</v>
      </c>
      <c r="E286" s="217" t="s">
        <v>622</v>
      </c>
      <c r="F286" s="217" t="s">
        <v>142</v>
      </c>
      <c r="G286" s="218">
        <v>32825</v>
      </c>
      <c r="H286" s="217" t="s">
        <v>830</v>
      </c>
      <c r="I286" s="217" t="s">
        <v>825</v>
      </c>
      <c r="J286" s="217" t="s">
        <v>645</v>
      </c>
      <c r="K286" s="217" t="s">
        <v>91</v>
      </c>
      <c r="L286" s="220">
        <v>155630578</v>
      </c>
      <c r="M286" s="206">
        <v>90528054</v>
      </c>
      <c r="N286" s="206">
        <v>65102524</v>
      </c>
      <c r="O286" s="206">
        <v>645266960</v>
      </c>
      <c r="P286" s="206">
        <v>10863969</v>
      </c>
      <c r="Q286" s="206">
        <v>8506214</v>
      </c>
      <c r="R286" s="206">
        <v>6849115</v>
      </c>
      <c r="S286" s="406">
        <v>0</v>
      </c>
      <c r="T286" s="428">
        <f t="shared" si="93"/>
        <v>50</v>
      </c>
      <c r="U286" s="415">
        <f t="shared" si="94"/>
        <v>0.5</v>
      </c>
      <c r="V286" s="405">
        <v>0</v>
      </c>
      <c r="W286" s="428">
        <f t="shared" si="95"/>
        <v>50</v>
      </c>
      <c r="X286" s="415">
        <f t="shared" si="96"/>
        <v>0.5</v>
      </c>
      <c r="Y286" s="406">
        <v>0</v>
      </c>
      <c r="Z286" s="429">
        <v>0</v>
      </c>
      <c r="AA286" s="430">
        <f t="shared" si="97"/>
        <v>50</v>
      </c>
      <c r="AB286" s="415">
        <f t="shared" si="98"/>
        <v>0.5</v>
      </c>
      <c r="AC286" s="431">
        <v>0</v>
      </c>
      <c r="AD286" s="432">
        <f t="shared" si="99"/>
        <v>100</v>
      </c>
      <c r="AE286" s="433">
        <f t="shared" si="90"/>
        <v>4</v>
      </c>
      <c r="AF286" s="434" t="s">
        <v>2326</v>
      </c>
      <c r="AG286" s="434" t="s">
        <v>2326</v>
      </c>
      <c r="AH286" s="434" t="s">
        <v>2326</v>
      </c>
      <c r="AI286" s="362"/>
      <c r="AJ286" s="434" t="s">
        <v>2326</v>
      </c>
      <c r="AK286" s="434" t="s">
        <v>2326</v>
      </c>
      <c r="AL286" s="363"/>
      <c r="AM286" s="406">
        <v>0</v>
      </c>
      <c r="AN286" s="406">
        <v>0</v>
      </c>
      <c r="AO286" s="406">
        <v>0</v>
      </c>
      <c r="AP286" s="406">
        <v>0</v>
      </c>
      <c r="AQ286" s="406">
        <v>0</v>
      </c>
      <c r="AR286" s="406">
        <v>0</v>
      </c>
      <c r="AS286" s="406">
        <v>0</v>
      </c>
      <c r="AT286" s="406">
        <v>0</v>
      </c>
      <c r="AU286" s="407">
        <f t="shared" si="100"/>
        <v>0</v>
      </c>
      <c r="AV286" s="407">
        <f t="shared" si="101"/>
        <v>100</v>
      </c>
      <c r="AW286" s="408">
        <f t="shared" si="91"/>
        <v>5</v>
      </c>
      <c r="AX286" s="406">
        <v>0</v>
      </c>
      <c r="AY286" s="406">
        <v>0</v>
      </c>
      <c r="AZ286" s="406">
        <v>0</v>
      </c>
      <c r="BA286" s="406">
        <v>0</v>
      </c>
      <c r="BB286" s="430">
        <f t="shared" si="102"/>
        <v>0</v>
      </c>
      <c r="BC286" s="407">
        <f t="shared" si="103"/>
        <v>25</v>
      </c>
      <c r="BD286" s="408">
        <f t="shared" si="92"/>
        <v>0.75</v>
      </c>
      <c r="BE286" s="340">
        <f t="shared" si="104"/>
        <v>11.25</v>
      </c>
    </row>
    <row r="287" spans="1:57" x14ac:dyDescent="0.6">
      <c r="A287" s="214" t="s">
        <v>467</v>
      </c>
      <c r="B287" s="13" t="s">
        <v>2268</v>
      </c>
      <c r="C287" s="219" t="s">
        <v>41</v>
      </c>
      <c r="D287" s="216" t="s">
        <v>203</v>
      </c>
      <c r="E287" s="217" t="s">
        <v>180</v>
      </c>
      <c r="F287" s="217" t="s">
        <v>135</v>
      </c>
      <c r="G287" s="218">
        <v>32648</v>
      </c>
      <c r="H287" s="217" t="s">
        <v>830</v>
      </c>
      <c r="I287" s="217" t="s">
        <v>788</v>
      </c>
      <c r="J287" s="217" t="s">
        <v>649</v>
      </c>
      <c r="K287" s="217" t="s">
        <v>91</v>
      </c>
      <c r="L287" s="220">
        <v>969016968</v>
      </c>
      <c r="M287" s="206">
        <v>318689082</v>
      </c>
      <c r="N287" s="206">
        <v>650327885</v>
      </c>
      <c r="O287" s="206">
        <v>637646664</v>
      </c>
      <c r="P287" s="206">
        <v>145266257</v>
      </c>
      <c r="Q287" s="206">
        <v>152220142</v>
      </c>
      <c r="R287" s="206">
        <v>120839991</v>
      </c>
      <c r="S287" s="406">
        <v>0</v>
      </c>
      <c r="T287" s="428">
        <f t="shared" si="93"/>
        <v>50</v>
      </c>
      <c r="U287" s="415">
        <f t="shared" si="94"/>
        <v>0.5</v>
      </c>
      <c r="V287" s="405">
        <v>0</v>
      </c>
      <c r="W287" s="428">
        <f t="shared" si="95"/>
        <v>50</v>
      </c>
      <c r="X287" s="415">
        <f t="shared" si="96"/>
        <v>0.5</v>
      </c>
      <c r="Y287" s="406">
        <v>0</v>
      </c>
      <c r="Z287" s="429">
        <v>0</v>
      </c>
      <c r="AA287" s="430">
        <f t="shared" si="97"/>
        <v>50</v>
      </c>
      <c r="AB287" s="415">
        <f t="shared" si="98"/>
        <v>0.5</v>
      </c>
      <c r="AC287" s="431">
        <v>0</v>
      </c>
      <c r="AD287" s="432">
        <f t="shared" si="99"/>
        <v>100</v>
      </c>
      <c r="AE287" s="433">
        <f t="shared" si="90"/>
        <v>4</v>
      </c>
      <c r="AF287" s="434" t="s">
        <v>2326</v>
      </c>
      <c r="AG287" s="434" t="s">
        <v>2326</v>
      </c>
      <c r="AH287" s="434" t="s">
        <v>2326</v>
      </c>
      <c r="AI287" s="362"/>
      <c r="AJ287" s="434" t="s">
        <v>2326</v>
      </c>
      <c r="AK287" s="434" t="s">
        <v>2326</v>
      </c>
      <c r="AL287" s="363"/>
      <c r="AM287" s="406">
        <v>0</v>
      </c>
      <c r="AN287" s="406">
        <v>0</v>
      </c>
      <c r="AO287" s="406">
        <v>0</v>
      </c>
      <c r="AP287" s="406">
        <v>0</v>
      </c>
      <c r="AQ287" s="406">
        <v>0</v>
      </c>
      <c r="AR287" s="406">
        <v>0</v>
      </c>
      <c r="AS287" s="406">
        <v>0</v>
      </c>
      <c r="AT287" s="406">
        <v>0</v>
      </c>
      <c r="AU287" s="407">
        <f t="shared" si="100"/>
        <v>0</v>
      </c>
      <c r="AV287" s="407">
        <f t="shared" si="101"/>
        <v>100</v>
      </c>
      <c r="AW287" s="408">
        <f t="shared" si="91"/>
        <v>5</v>
      </c>
      <c r="AX287" s="406">
        <v>0</v>
      </c>
      <c r="AY287" s="406">
        <v>0</v>
      </c>
      <c r="AZ287" s="406">
        <v>0</v>
      </c>
      <c r="BA287" s="406">
        <v>0</v>
      </c>
      <c r="BB287" s="430">
        <f t="shared" si="102"/>
        <v>0</v>
      </c>
      <c r="BC287" s="407">
        <f t="shared" si="103"/>
        <v>25</v>
      </c>
      <c r="BD287" s="408">
        <f t="shared" si="92"/>
        <v>0.75</v>
      </c>
      <c r="BE287" s="340">
        <f t="shared" si="104"/>
        <v>11.25</v>
      </c>
    </row>
    <row r="288" spans="1:57" x14ac:dyDescent="0.6">
      <c r="A288" s="214" t="s">
        <v>296</v>
      </c>
      <c r="B288" s="13" t="s">
        <v>2269</v>
      </c>
      <c r="C288" s="219" t="s">
        <v>459</v>
      </c>
      <c r="D288" s="216" t="s">
        <v>285</v>
      </c>
      <c r="E288" s="217" t="s">
        <v>171</v>
      </c>
      <c r="F288" s="217" t="s">
        <v>168</v>
      </c>
      <c r="G288" s="218">
        <v>32659</v>
      </c>
      <c r="H288" s="217" t="s">
        <v>830</v>
      </c>
      <c r="I288" s="217" t="s">
        <v>630</v>
      </c>
      <c r="J288" s="217" t="s">
        <v>1223</v>
      </c>
      <c r="K288" s="217" t="s">
        <v>91</v>
      </c>
      <c r="L288" s="220">
        <v>121534902</v>
      </c>
      <c r="M288" s="206">
        <v>73176603</v>
      </c>
      <c r="N288" s="206">
        <v>48358299</v>
      </c>
      <c r="O288" s="206">
        <v>290909595</v>
      </c>
      <c r="P288" s="206">
        <v>4928985</v>
      </c>
      <c r="Q288" s="206">
        <v>3719511</v>
      </c>
      <c r="R288" s="206">
        <v>2563552</v>
      </c>
      <c r="S288" s="406">
        <v>0</v>
      </c>
      <c r="T288" s="428">
        <f t="shared" si="93"/>
        <v>50</v>
      </c>
      <c r="U288" s="415">
        <f t="shared" si="94"/>
        <v>0.5</v>
      </c>
      <c r="V288" s="405">
        <v>0</v>
      </c>
      <c r="W288" s="428">
        <f t="shared" si="95"/>
        <v>50</v>
      </c>
      <c r="X288" s="415">
        <f t="shared" si="96"/>
        <v>0.5</v>
      </c>
      <c r="Y288" s="406">
        <v>1</v>
      </c>
      <c r="Z288" s="429">
        <v>0</v>
      </c>
      <c r="AA288" s="430">
        <f t="shared" si="97"/>
        <v>100</v>
      </c>
      <c r="AB288" s="415">
        <f t="shared" si="98"/>
        <v>1</v>
      </c>
      <c r="AC288" s="431">
        <v>0</v>
      </c>
      <c r="AD288" s="432">
        <f t="shared" si="99"/>
        <v>100</v>
      </c>
      <c r="AE288" s="433">
        <f t="shared" si="90"/>
        <v>4</v>
      </c>
      <c r="AF288" s="434" t="s">
        <v>2326</v>
      </c>
      <c r="AG288" s="434" t="s">
        <v>2326</v>
      </c>
      <c r="AH288" s="434" t="s">
        <v>2326</v>
      </c>
      <c r="AI288" s="362"/>
      <c r="AJ288" s="434" t="s">
        <v>2326</v>
      </c>
      <c r="AK288" s="434" t="s">
        <v>2326</v>
      </c>
      <c r="AL288" s="363"/>
      <c r="AM288" s="406">
        <v>0</v>
      </c>
      <c r="AN288" s="406">
        <v>0</v>
      </c>
      <c r="AO288" s="406">
        <v>0</v>
      </c>
      <c r="AP288" s="406">
        <v>0</v>
      </c>
      <c r="AQ288" s="406">
        <v>0</v>
      </c>
      <c r="AR288" s="406">
        <v>0</v>
      </c>
      <c r="AS288" s="406">
        <v>0</v>
      </c>
      <c r="AT288" s="406">
        <v>0</v>
      </c>
      <c r="AU288" s="407">
        <f t="shared" si="100"/>
        <v>0</v>
      </c>
      <c r="AV288" s="407">
        <f t="shared" si="101"/>
        <v>100</v>
      </c>
      <c r="AW288" s="408">
        <f t="shared" si="91"/>
        <v>5</v>
      </c>
      <c r="AX288" s="406">
        <v>0</v>
      </c>
      <c r="AY288" s="406">
        <v>0</v>
      </c>
      <c r="AZ288" s="406">
        <v>0</v>
      </c>
      <c r="BA288" s="406">
        <v>0</v>
      </c>
      <c r="BB288" s="430">
        <f t="shared" si="102"/>
        <v>0</v>
      </c>
      <c r="BC288" s="407">
        <f t="shared" si="103"/>
        <v>25</v>
      </c>
      <c r="BD288" s="408">
        <f t="shared" si="92"/>
        <v>0.75</v>
      </c>
      <c r="BE288" s="340">
        <f t="shared" si="104"/>
        <v>11.75</v>
      </c>
    </row>
    <row r="289" spans="1:57" x14ac:dyDescent="0.6">
      <c r="A289" s="214" t="s">
        <v>1924</v>
      </c>
      <c r="B289" s="13" t="s">
        <v>2270</v>
      </c>
      <c r="C289" s="219" t="s">
        <v>1925</v>
      </c>
      <c r="D289" s="14" t="s">
        <v>285</v>
      </c>
      <c r="E289" s="217" t="s">
        <v>872</v>
      </c>
      <c r="F289" s="217" t="s">
        <v>1926</v>
      </c>
      <c r="G289" s="218">
        <v>27948</v>
      </c>
      <c r="H289" s="217" t="s">
        <v>830</v>
      </c>
      <c r="I289" s="217" t="s">
        <v>1927</v>
      </c>
      <c r="J289" s="217" t="s">
        <v>1928</v>
      </c>
      <c r="K289" s="217" t="s">
        <v>690</v>
      </c>
      <c r="L289" s="220">
        <v>1997213424</v>
      </c>
      <c r="M289" s="206">
        <v>1274120644</v>
      </c>
      <c r="N289" s="206">
        <v>723092780</v>
      </c>
      <c r="O289" s="206">
        <v>1190595681</v>
      </c>
      <c r="P289" s="206">
        <v>36051365</v>
      </c>
      <c r="Q289" s="206">
        <v>66290683</v>
      </c>
      <c r="R289" s="206">
        <v>50369228</v>
      </c>
      <c r="S289" s="406">
        <v>0</v>
      </c>
      <c r="T289" s="428">
        <f t="shared" si="93"/>
        <v>50</v>
      </c>
      <c r="U289" s="415">
        <f t="shared" si="94"/>
        <v>0.5</v>
      </c>
      <c r="V289" s="405">
        <v>0</v>
      </c>
      <c r="W289" s="428">
        <f t="shared" si="95"/>
        <v>50</v>
      </c>
      <c r="X289" s="415">
        <f t="shared" si="96"/>
        <v>0.5</v>
      </c>
      <c r="Y289" s="406">
        <v>0</v>
      </c>
      <c r="Z289" s="429">
        <v>0</v>
      </c>
      <c r="AA289" s="430">
        <f t="shared" si="97"/>
        <v>50</v>
      </c>
      <c r="AB289" s="415">
        <f t="shared" si="98"/>
        <v>0.5</v>
      </c>
      <c r="AC289" s="431">
        <v>0</v>
      </c>
      <c r="AD289" s="432">
        <f t="shared" si="99"/>
        <v>100</v>
      </c>
      <c r="AE289" s="433">
        <f t="shared" si="90"/>
        <v>4</v>
      </c>
      <c r="AF289" s="434" t="s">
        <v>2326</v>
      </c>
      <c r="AG289" s="434" t="s">
        <v>2326</v>
      </c>
      <c r="AH289" s="434" t="s">
        <v>2326</v>
      </c>
      <c r="AI289" s="362"/>
      <c r="AJ289" s="434" t="s">
        <v>2326</v>
      </c>
      <c r="AK289" s="434" t="s">
        <v>2326</v>
      </c>
      <c r="AL289" s="363"/>
      <c r="AM289" s="406">
        <v>0</v>
      </c>
      <c r="AN289" s="406">
        <v>0</v>
      </c>
      <c r="AO289" s="406">
        <v>0</v>
      </c>
      <c r="AP289" s="406">
        <v>0</v>
      </c>
      <c r="AQ289" s="406">
        <v>0</v>
      </c>
      <c r="AR289" s="406">
        <v>0</v>
      </c>
      <c r="AS289" s="406">
        <v>0</v>
      </c>
      <c r="AT289" s="406">
        <v>0</v>
      </c>
      <c r="AU289" s="407">
        <f t="shared" si="100"/>
        <v>0</v>
      </c>
      <c r="AV289" s="407">
        <f t="shared" si="101"/>
        <v>100</v>
      </c>
      <c r="AW289" s="408">
        <f t="shared" si="91"/>
        <v>5</v>
      </c>
      <c r="AX289" s="406">
        <v>0</v>
      </c>
      <c r="AY289" s="406">
        <v>0</v>
      </c>
      <c r="AZ289" s="406">
        <v>0</v>
      </c>
      <c r="BA289" s="406">
        <v>0</v>
      </c>
      <c r="BB289" s="430">
        <f t="shared" si="102"/>
        <v>0</v>
      </c>
      <c r="BC289" s="407">
        <f t="shared" si="103"/>
        <v>25</v>
      </c>
      <c r="BD289" s="408">
        <f t="shared" si="92"/>
        <v>0.75</v>
      </c>
      <c r="BE289" s="340">
        <f t="shared" si="104"/>
        <v>11.25</v>
      </c>
    </row>
    <row r="290" spans="1:57" x14ac:dyDescent="0.6">
      <c r="A290" s="214" t="s">
        <v>1929</v>
      </c>
      <c r="B290" s="13" t="s">
        <v>2271</v>
      </c>
      <c r="C290" s="219" t="s">
        <v>928</v>
      </c>
      <c r="D290" s="221" t="s">
        <v>350</v>
      </c>
      <c r="E290" s="217" t="s">
        <v>179</v>
      </c>
      <c r="F290" s="217" t="s">
        <v>808</v>
      </c>
      <c r="G290" s="218">
        <v>32206</v>
      </c>
      <c r="H290" s="217" t="s">
        <v>830</v>
      </c>
      <c r="I290" s="217" t="s">
        <v>817</v>
      </c>
      <c r="J290" s="217" t="s">
        <v>1121</v>
      </c>
      <c r="K290" s="217" t="s">
        <v>91</v>
      </c>
      <c r="L290" s="220">
        <v>1502891064</v>
      </c>
      <c r="M290" s="206">
        <v>1043504163</v>
      </c>
      <c r="N290" s="206">
        <v>459386901</v>
      </c>
      <c r="O290" s="206">
        <v>1117144964</v>
      </c>
      <c r="P290" s="206">
        <v>37196835</v>
      </c>
      <c r="Q290" s="206">
        <v>35531502</v>
      </c>
      <c r="R290" s="206">
        <v>24033308</v>
      </c>
      <c r="S290" s="406">
        <v>0</v>
      </c>
      <c r="T290" s="428">
        <f t="shared" si="93"/>
        <v>50</v>
      </c>
      <c r="U290" s="415">
        <f t="shared" si="94"/>
        <v>0.5</v>
      </c>
      <c r="V290" s="405">
        <v>0</v>
      </c>
      <c r="W290" s="428">
        <f t="shared" si="95"/>
        <v>50</v>
      </c>
      <c r="X290" s="415">
        <f t="shared" si="96"/>
        <v>0.5</v>
      </c>
      <c r="Y290" s="406">
        <v>0</v>
      </c>
      <c r="Z290" s="429">
        <v>0</v>
      </c>
      <c r="AA290" s="430">
        <f t="shared" si="97"/>
        <v>50</v>
      </c>
      <c r="AB290" s="415">
        <f t="shared" si="98"/>
        <v>0.5</v>
      </c>
      <c r="AC290" s="75">
        <v>0</v>
      </c>
      <c r="AD290" s="432">
        <f t="shared" si="99"/>
        <v>100</v>
      </c>
      <c r="AE290" s="435">
        <f>AD290*0.03</f>
        <v>3</v>
      </c>
      <c r="AF290" s="436">
        <v>0</v>
      </c>
      <c r="AG290" s="437">
        <f>(_xlfn.PERCENTRANK.INC(AF:AF,AF290, 2))*100</f>
        <v>0</v>
      </c>
      <c r="AH290" s="437">
        <f>IF(AF290=0, 100, IF(AG290&lt;10, 80, IF(AG290&lt;50, 60, IF(AG290&lt;90, 40, 20))))</f>
        <v>100</v>
      </c>
      <c r="AI290" s="263">
        <f>AH290*0.03</f>
        <v>3</v>
      </c>
      <c r="AJ290" s="264" t="s">
        <v>3540</v>
      </c>
      <c r="AK290" s="265">
        <f>IF(AJ290="우수", 100, IF(AJ290="양호", 80, IF(AJ290="보통", 60, IF(AJ290= "평가미대상", 60, IF(AJ290="미흡", 40, IF(AJ290="취약", 20))))))</f>
        <v>60</v>
      </c>
      <c r="AL290" s="141">
        <f>AK290*0.03</f>
        <v>1.7999999999999998</v>
      </c>
      <c r="AM290" s="406">
        <v>0</v>
      </c>
      <c r="AN290" s="406">
        <v>0</v>
      </c>
      <c r="AO290" s="406">
        <v>0</v>
      </c>
      <c r="AP290" s="406">
        <v>0</v>
      </c>
      <c r="AQ290" s="406">
        <v>0</v>
      </c>
      <c r="AR290" s="406">
        <v>0</v>
      </c>
      <c r="AS290" s="406">
        <v>0</v>
      </c>
      <c r="AT290" s="406">
        <v>0</v>
      </c>
      <c r="AU290" s="407">
        <f t="shared" si="100"/>
        <v>0</v>
      </c>
      <c r="AV290" s="407">
        <f t="shared" si="101"/>
        <v>100</v>
      </c>
      <c r="AW290" s="438">
        <f>AV290*0.02</f>
        <v>2</v>
      </c>
      <c r="AX290" s="406">
        <v>0</v>
      </c>
      <c r="AY290" s="406">
        <v>0</v>
      </c>
      <c r="AZ290" s="406">
        <v>0</v>
      </c>
      <c r="BA290" s="406">
        <v>0</v>
      </c>
      <c r="BB290" s="430">
        <f t="shared" si="102"/>
        <v>0</v>
      </c>
      <c r="BC290" s="407">
        <f t="shared" si="103"/>
        <v>25</v>
      </c>
      <c r="BD290" s="418">
        <f>BC290*0.01</f>
        <v>0.25</v>
      </c>
      <c r="BE290" s="340">
        <f t="shared" si="104"/>
        <v>11.55</v>
      </c>
    </row>
    <row r="291" spans="1:57" x14ac:dyDescent="0.6">
      <c r="A291" s="214" t="s">
        <v>540</v>
      </c>
      <c r="B291" s="13" t="s">
        <v>2272</v>
      </c>
      <c r="C291" s="219" t="s">
        <v>902</v>
      </c>
      <c r="D291" s="216" t="s">
        <v>191</v>
      </c>
      <c r="E291" s="217" t="s">
        <v>34</v>
      </c>
      <c r="F291" s="217" t="s">
        <v>995</v>
      </c>
      <c r="G291" s="218">
        <v>32860</v>
      </c>
      <c r="H291" s="217" t="s">
        <v>830</v>
      </c>
      <c r="I291" s="217" t="s">
        <v>1930</v>
      </c>
      <c r="J291" s="217" t="s">
        <v>1134</v>
      </c>
      <c r="K291" s="217" t="s">
        <v>934</v>
      </c>
      <c r="L291" s="220">
        <v>213430249</v>
      </c>
      <c r="M291" s="206">
        <v>44956203</v>
      </c>
      <c r="N291" s="206">
        <v>168474046</v>
      </c>
      <c r="O291" s="206">
        <v>109995419</v>
      </c>
      <c r="P291" s="206">
        <v>1769754</v>
      </c>
      <c r="Q291" s="206">
        <v>2224437</v>
      </c>
      <c r="R291" s="206">
        <v>546481</v>
      </c>
      <c r="S291" s="406">
        <v>0</v>
      </c>
      <c r="T291" s="428">
        <f t="shared" si="93"/>
        <v>50</v>
      </c>
      <c r="U291" s="415">
        <f t="shared" si="94"/>
        <v>0.5</v>
      </c>
      <c r="V291" s="405">
        <v>0</v>
      </c>
      <c r="W291" s="428">
        <f t="shared" si="95"/>
        <v>50</v>
      </c>
      <c r="X291" s="415">
        <f t="shared" si="96"/>
        <v>0.5</v>
      </c>
      <c r="Y291" s="406">
        <v>0</v>
      </c>
      <c r="Z291" s="429">
        <v>0</v>
      </c>
      <c r="AA291" s="430">
        <f t="shared" si="97"/>
        <v>50</v>
      </c>
      <c r="AB291" s="415">
        <f t="shared" si="98"/>
        <v>0.5</v>
      </c>
      <c r="AC291" s="431">
        <v>0</v>
      </c>
      <c r="AD291" s="432">
        <f t="shared" si="99"/>
        <v>100</v>
      </c>
      <c r="AE291" s="433">
        <f t="shared" ref="AE291:AE296" si="105">AD291*0.04</f>
        <v>4</v>
      </c>
      <c r="AF291" s="434" t="s">
        <v>2326</v>
      </c>
      <c r="AG291" s="434" t="s">
        <v>2326</v>
      </c>
      <c r="AH291" s="434" t="s">
        <v>2326</v>
      </c>
      <c r="AI291" s="362"/>
      <c r="AJ291" s="434" t="s">
        <v>2326</v>
      </c>
      <c r="AK291" s="434" t="s">
        <v>2326</v>
      </c>
      <c r="AL291" s="363"/>
      <c r="AM291" s="406">
        <v>0</v>
      </c>
      <c r="AN291" s="406">
        <v>0</v>
      </c>
      <c r="AO291" s="406">
        <v>0</v>
      </c>
      <c r="AP291" s="406">
        <v>0</v>
      </c>
      <c r="AQ291" s="406">
        <v>0</v>
      </c>
      <c r="AR291" s="406">
        <v>0</v>
      </c>
      <c r="AS291" s="406">
        <v>0</v>
      </c>
      <c r="AT291" s="406">
        <v>0</v>
      </c>
      <c r="AU291" s="407">
        <f t="shared" si="100"/>
        <v>0</v>
      </c>
      <c r="AV291" s="407">
        <f t="shared" si="101"/>
        <v>100</v>
      </c>
      <c r="AW291" s="408">
        <f t="shared" ref="AW291:AW296" si="106">AV291*0.05</f>
        <v>5</v>
      </c>
      <c r="AX291" s="406">
        <v>0</v>
      </c>
      <c r="AY291" s="406">
        <v>0</v>
      </c>
      <c r="AZ291" s="406">
        <v>0</v>
      </c>
      <c r="BA291" s="406">
        <v>0</v>
      </c>
      <c r="BB291" s="430">
        <f t="shared" si="102"/>
        <v>0</v>
      </c>
      <c r="BC291" s="407">
        <f t="shared" si="103"/>
        <v>25</v>
      </c>
      <c r="BD291" s="408">
        <f t="shared" ref="BD291:BD296" si="107">BC291*0.03</f>
        <v>0.75</v>
      </c>
      <c r="BE291" s="340">
        <f t="shared" si="104"/>
        <v>11.25</v>
      </c>
    </row>
    <row r="292" spans="1:57" x14ac:dyDescent="0.6">
      <c r="A292" s="214" t="s">
        <v>291</v>
      </c>
      <c r="B292" s="13" t="s">
        <v>2273</v>
      </c>
      <c r="C292" s="219" t="s">
        <v>894</v>
      </c>
      <c r="D292" s="216" t="s">
        <v>203</v>
      </c>
      <c r="E292" s="217" t="s">
        <v>1179</v>
      </c>
      <c r="F292" s="217" t="s">
        <v>379</v>
      </c>
      <c r="G292" s="218">
        <v>43318</v>
      </c>
      <c r="H292" s="217" t="s">
        <v>830</v>
      </c>
      <c r="I292" s="217" t="s">
        <v>801</v>
      </c>
      <c r="J292" s="217" t="s">
        <v>1240</v>
      </c>
      <c r="K292" s="217" t="s">
        <v>91</v>
      </c>
      <c r="L292" s="220">
        <v>1920187832</v>
      </c>
      <c r="M292" s="206">
        <v>578102236</v>
      </c>
      <c r="N292" s="206">
        <v>1342085595</v>
      </c>
      <c r="O292" s="206">
        <v>1059617234</v>
      </c>
      <c r="P292" s="206">
        <v>81393435</v>
      </c>
      <c r="Q292" s="206">
        <v>87194859</v>
      </c>
      <c r="R292" s="206">
        <v>65472999</v>
      </c>
      <c r="S292" s="406">
        <v>0</v>
      </c>
      <c r="T292" s="428">
        <f t="shared" si="93"/>
        <v>50</v>
      </c>
      <c r="U292" s="415">
        <f t="shared" si="94"/>
        <v>0.5</v>
      </c>
      <c r="V292" s="405">
        <v>0</v>
      </c>
      <c r="W292" s="428">
        <f t="shared" si="95"/>
        <v>50</v>
      </c>
      <c r="X292" s="415">
        <f t="shared" si="96"/>
        <v>0.5</v>
      </c>
      <c r="Y292" s="406">
        <v>0</v>
      </c>
      <c r="Z292" s="429">
        <v>0</v>
      </c>
      <c r="AA292" s="430">
        <f t="shared" si="97"/>
        <v>50</v>
      </c>
      <c r="AB292" s="415">
        <f t="shared" si="98"/>
        <v>0.5</v>
      </c>
      <c r="AC292" s="431">
        <v>0</v>
      </c>
      <c r="AD292" s="432">
        <f t="shared" si="99"/>
        <v>100</v>
      </c>
      <c r="AE292" s="433">
        <f t="shared" si="105"/>
        <v>4</v>
      </c>
      <c r="AF292" s="434" t="s">
        <v>2326</v>
      </c>
      <c r="AG292" s="434" t="s">
        <v>2326</v>
      </c>
      <c r="AH292" s="434" t="s">
        <v>2326</v>
      </c>
      <c r="AI292" s="362"/>
      <c r="AJ292" s="434" t="s">
        <v>2326</v>
      </c>
      <c r="AK292" s="434" t="s">
        <v>2326</v>
      </c>
      <c r="AL292" s="363"/>
      <c r="AM292" s="406">
        <v>0</v>
      </c>
      <c r="AN292" s="406">
        <v>0</v>
      </c>
      <c r="AO292" s="406">
        <v>0</v>
      </c>
      <c r="AP292" s="406">
        <v>0</v>
      </c>
      <c r="AQ292" s="406">
        <v>0</v>
      </c>
      <c r="AR292" s="406">
        <v>0</v>
      </c>
      <c r="AS292" s="406">
        <v>0</v>
      </c>
      <c r="AT292" s="406">
        <v>0</v>
      </c>
      <c r="AU292" s="407">
        <f t="shared" si="100"/>
        <v>0</v>
      </c>
      <c r="AV292" s="407">
        <f t="shared" si="101"/>
        <v>100</v>
      </c>
      <c r="AW292" s="408">
        <f t="shared" si="106"/>
        <v>5</v>
      </c>
      <c r="AX292" s="406">
        <v>0</v>
      </c>
      <c r="AY292" s="406">
        <v>0</v>
      </c>
      <c r="AZ292" s="406">
        <v>0</v>
      </c>
      <c r="BA292" s="406">
        <v>0</v>
      </c>
      <c r="BB292" s="430">
        <f t="shared" si="102"/>
        <v>0</v>
      </c>
      <c r="BC292" s="407">
        <f t="shared" si="103"/>
        <v>25</v>
      </c>
      <c r="BD292" s="408">
        <f t="shared" si="107"/>
        <v>0.75</v>
      </c>
      <c r="BE292" s="340">
        <f t="shared" si="104"/>
        <v>11.25</v>
      </c>
    </row>
    <row r="293" spans="1:57" x14ac:dyDescent="0.6">
      <c r="A293" s="214" t="s">
        <v>354</v>
      </c>
      <c r="B293" s="13" t="s">
        <v>2274</v>
      </c>
      <c r="C293" s="219" t="s">
        <v>368</v>
      </c>
      <c r="D293" s="216" t="s">
        <v>203</v>
      </c>
      <c r="E293" s="217" t="s">
        <v>1179</v>
      </c>
      <c r="F293" s="217" t="s">
        <v>145</v>
      </c>
      <c r="G293" s="218">
        <v>27754</v>
      </c>
      <c r="H293" s="217" t="s">
        <v>830</v>
      </c>
      <c r="I293" s="217" t="s">
        <v>801</v>
      </c>
      <c r="J293" s="217" t="s">
        <v>651</v>
      </c>
      <c r="K293" s="217" t="s">
        <v>91</v>
      </c>
      <c r="L293" s="220">
        <v>649126014</v>
      </c>
      <c r="M293" s="206">
        <v>285245442</v>
      </c>
      <c r="N293" s="206">
        <v>363880572</v>
      </c>
      <c r="O293" s="206">
        <v>471150174</v>
      </c>
      <c r="P293" s="206">
        <v>35168294</v>
      </c>
      <c r="Q293" s="206">
        <v>44443695</v>
      </c>
      <c r="R293" s="206">
        <v>35704071</v>
      </c>
      <c r="S293" s="406">
        <v>0</v>
      </c>
      <c r="T293" s="428">
        <f t="shared" si="93"/>
        <v>50</v>
      </c>
      <c r="U293" s="415">
        <f t="shared" si="94"/>
        <v>0.5</v>
      </c>
      <c r="V293" s="405">
        <v>0</v>
      </c>
      <c r="W293" s="428">
        <f t="shared" si="95"/>
        <v>50</v>
      </c>
      <c r="X293" s="415">
        <f t="shared" si="96"/>
        <v>0.5</v>
      </c>
      <c r="Y293" s="406">
        <v>0</v>
      </c>
      <c r="Z293" s="429">
        <v>0</v>
      </c>
      <c r="AA293" s="430">
        <f t="shared" si="97"/>
        <v>50</v>
      </c>
      <c r="AB293" s="415">
        <f t="shared" si="98"/>
        <v>0.5</v>
      </c>
      <c r="AC293" s="431">
        <v>0</v>
      </c>
      <c r="AD293" s="432">
        <f t="shared" si="99"/>
        <v>100</v>
      </c>
      <c r="AE293" s="433">
        <f t="shared" si="105"/>
        <v>4</v>
      </c>
      <c r="AF293" s="434" t="s">
        <v>2326</v>
      </c>
      <c r="AG293" s="434" t="s">
        <v>2326</v>
      </c>
      <c r="AH293" s="434" t="s">
        <v>2326</v>
      </c>
      <c r="AI293" s="362"/>
      <c r="AJ293" s="434" t="s">
        <v>2326</v>
      </c>
      <c r="AK293" s="434" t="s">
        <v>2326</v>
      </c>
      <c r="AL293" s="363"/>
      <c r="AM293" s="406">
        <v>0</v>
      </c>
      <c r="AN293" s="406">
        <v>0</v>
      </c>
      <c r="AO293" s="406">
        <v>0</v>
      </c>
      <c r="AP293" s="406">
        <v>0</v>
      </c>
      <c r="AQ293" s="406">
        <v>0</v>
      </c>
      <c r="AR293" s="406">
        <v>0</v>
      </c>
      <c r="AS293" s="406">
        <v>0</v>
      </c>
      <c r="AT293" s="406">
        <v>0</v>
      </c>
      <c r="AU293" s="407">
        <f t="shared" si="100"/>
        <v>0</v>
      </c>
      <c r="AV293" s="407">
        <f t="shared" si="101"/>
        <v>100</v>
      </c>
      <c r="AW293" s="408">
        <f t="shared" si="106"/>
        <v>5</v>
      </c>
      <c r="AX293" s="406">
        <v>0</v>
      </c>
      <c r="AY293" s="406">
        <v>0</v>
      </c>
      <c r="AZ293" s="406">
        <v>0</v>
      </c>
      <c r="BA293" s="406">
        <v>0</v>
      </c>
      <c r="BB293" s="430">
        <f t="shared" si="102"/>
        <v>0</v>
      </c>
      <c r="BC293" s="407">
        <f t="shared" si="103"/>
        <v>25</v>
      </c>
      <c r="BD293" s="408">
        <f t="shared" si="107"/>
        <v>0.75</v>
      </c>
      <c r="BE293" s="340">
        <f t="shared" si="104"/>
        <v>11.25</v>
      </c>
    </row>
    <row r="294" spans="1:57" x14ac:dyDescent="0.6">
      <c r="A294" s="214" t="s">
        <v>1931</v>
      </c>
      <c r="B294" s="13" t="s">
        <v>2275</v>
      </c>
      <c r="C294" s="219" t="s">
        <v>1932</v>
      </c>
      <c r="D294" s="14" t="s">
        <v>285</v>
      </c>
      <c r="E294" s="217" t="s">
        <v>1167</v>
      </c>
      <c r="F294" s="217" t="s">
        <v>1933</v>
      </c>
      <c r="G294" s="218">
        <v>40528</v>
      </c>
      <c r="H294" s="217" t="s">
        <v>830</v>
      </c>
      <c r="I294" s="217" t="s">
        <v>1934</v>
      </c>
      <c r="J294" s="217" t="s">
        <v>1935</v>
      </c>
      <c r="K294" s="217" t="s">
        <v>91</v>
      </c>
      <c r="L294" s="220">
        <v>152002052</v>
      </c>
      <c r="M294" s="206">
        <v>59834292</v>
      </c>
      <c r="N294" s="206">
        <v>92167760</v>
      </c>
      <c r="O294" s="206">
        <v>337599455</v>
      </c>
      <c r="P294" s="206">
        <v>14950788</v>
      </c>
      <c r="Q294" s="206">
        <v>19578310</v>
      </c>
      <c r="R294" s="206">
        <v>14881619</v>
      </c>
      <c r="S294" s="406">
        <v>0</v>
      </c>
      <c r="T294" s="428">
        <f t="shared" si="93"/>
        <v>50</v>
      </c>
      <c r="U294" s="415">
        <f t="shared" si="94"/>
        <v>0.5</v>
      </c>
      <c r="V294" s="405">
        <v>0</v>
      </c>
      <c r="W294" s="428">
        <f t="shared" si="95"/>
        <v>50</v>
      </c>
      <c r="X294" s="415">
        <f t="shared" si="96"/>
        <v>0.5</v>
      </c>
      <c r="Y294" s="406">
        <v>0</v>
      </c>
      <c r="Z294" s="429">
        <v>0</v>
      </c>
      <c r="AA294" s="430">
        <f t="shared" si="97"/>
        <v>50</v>
      </c>
      <c r="AB294" s="415">
        <f t="shared" si="98"/>
        <v>0.5</v>
      </c>
      <c r="AC294" s="431">
        <v>0</v>
      </c>
      <c r="AD294" s="432">
        <f t="shared" si="99"/>
        <v>100</v>
      </c>
      <c r="AE294" s="433">
        <f t="shared" si="105"/>
        <v>4</v>
      </c>
      <c r="AF294" s="434" t="s">
        <v>2326</v>
      </c>
      <c r="AG294" s="434" t="s">
        <v>2326</v>
      </c>
      <c r="AH294" s="434" t="s">
        <v>2326</v>
      </c>
      <c r="AI294" s="362"/>
      <c r="AJ294" s="434" t="s">
        <v>2326</v>
      </c>
      <c r="AK294" s="434" t="s">
        <v>2326</v>
      </c>
      <c r="AL294" s="363"/>
      <c r="AM294" s="406">
        <v>0</v>
      </c>
      <c r="AN294" s="406">
        <v>0</v>
      </c>
      <c r="AO294" s="406">
        <v>0</v>
      </c>
      <c r="AP294" s="406">
        <v>0</v>
      </c>
      <c r="AQ294" s="406">
        <v>0</v>
      </c>
      <c r="AR294" s="406">
        <v>0</v>
      </c>
      <c r="AS294" s="406">
        <v>0</v>
      </c>
      <c r="AT294" s="406">
        <v>0</v>
      </c>
      <c r="AU294" s="407">
        <f t="shared" si="100"/>
        <v>0</v>
      </c>
      <c r="AV294" s="407">
        <f t="shared" si="101"/>
        <v>100</v>
      </c>
      <c r="AW294" s="408">
        <f t="shared" si="106"/>
        <v>5</v>
      </c>
      <c r="AX294" s="406">
        <v>0</v>
      </c>
      <c r="AY294" s="406">
        <v>0</v>
      </c>
      <c r="AZ294" s="406">
        <v>0</v>
      </c>
      <c r="BA294" s="406">
        <v>0</v>
      </c>
      <c r="BB294" s="430">
        <f t="shared" si="102"/>
        <v>0</v>
      </c>
      <c r="BC294" s="407">
        <f t="shared" si="103"/>
        <v>25</v>
      </c>
      <c r="BD294" s="408">
        <f t="shared" si="107"/>
        <v>0.75</v>
      </c>
      <c r="BE294" s="340">
        <f t="shared" si="104"/>
        <v>11.25</v>
      </c>
    </row>
    <row r="295" spans="1:57" x14ac:dyDescent="0.6">
      <c r="A295" s="214" t="s">
        <v>1936</v>
      </c>
      <c r="B295" s="13" t="s">
        <v>2276</v>
      </c>
      <c r="C295" s="219" t="s">
        <v>1937</v>
      </c>
      <c r="D295" s="14" t="s">
        <v>285</v>
      </c>
      <c r="E295" s="217" t="s">
        <v>1432</v>
      </c>
      <c r="F295" s="217" t="s">
        <v>1938</v>
      </c>
      <c r="G295" s="218">
        <v>27253</v>
      </c>
      <c r="H295" s="217" t="s">
        <v>830</v>
      </c>
      <c r="I295" s="217" t="s">
        <v>1939</v>
      </c>
      <c r="J295" s="217" t="s">
        <v>1940</v>
      </c>
      <c r="K295" s="217" t="s">
        <v>91</v>
      </c>
      <c r="L295" s="220">
        <v>3024613663</v>
      </c>
      <c r="M295" s="206">
        <v>1557554254</v>
      </c>
      <c r="N295" s="206">
        <v>1467059409</v>
      </c>
      <c r="O295" s="206">
        <v>2424482980</v>
      </c>
      <c r="P295" s="206">
        <v>27380412</v>
      </c>
      <c r="Q295" s="206">
        <v>6360460</v>
      </c>
      <c r="R295" s="206">
        <v>12168775</v>
      </c>
      <c r="S295" s="406">
        <v>0</v>
      </c>
      <c r="T295" s="428">
        <f t="shared" si="93"/>
        <v>50</v>
      </c>
      <c r="U295" s="415">
        <f t="shared" si="94"/>
        <v>0.5</v>
      </c>
      <c r="V295" s="405">
        <v>0</v>
      </c>
      <c r="W295" s="428">
        <f t="shared" si="95"/>
        <v>50</v>
      </c>
      <c r="X295" s="415">
        <f t="shared" si="96"/>
        <v>0.5</v>
      </c>
      <c r="Y295" s="406">
        <v>0</v>
      </c>
      <c r="Z295" s="429">
        <v>0</v>
      </c>
      <c r="AA295" s="430">
        <f t="shared" si="97"/>
        <v>50</v>
      </c>
      <c r="AB295" s="415">
        <f t="shared" si="98"/>
        <v>0.5</v>
      </c>
      <c r="AC295" s="431">
        <v>0</v>
      </c>
      <c r="AD295" s="432">
        <f t="shared" si="99"/>
        <v>100</v>
      </c>
      <c r="AE295" s="433">
        <f t="shared" si="105"/>
        <v>4</v>
      </c>
      <c r="AF295" s="434" t="s">
        <v>2326</v>
      </c>
      <c r="AG295" s="434" t="s">
        <v>2326</v>
      </c>
      <c r="AH295" s="434" t="s">
        <v>2326</v>
      </c>
      <c r="AI295" s="362"/>
      <c r="AJ295" s="434" t="s">
        <v>2326</v>
      </c>
      <c r="AK295" s="434" t="s">
        <v>2326</v>
      </c>
      <c r="AL295" s="363"/>
      <c r="AM295" s="406">
        <v>0</v>
      </c>
      <c r="AN295" s="406">
        <v>0</v>
      </c>
      <c r="AO295" s="406">
        <v>0</v>
      </c>
      <c r="AP295" s="406">
        <v>0</v>
      </c>
      <c r="AQ295" s="406">
        <v>0</v>
      </c>
      <c r="AR295" s="406">
        <v>0</v>
      </c>
      <c r="AS295" s="406">
        <v>0</v>
      </c>
      <c r="AT295" s="406">
        <v>0</v>
      </c>
      <c r="AU295" s="407">
        <f t="shared" si="100"/>
        <v>0</v>
      </c>
      <c r="AV295" s="407">
        <f t="shared" si="101"/>
        <v>100</v>
      </c>
      <c r="AW295" s="408">
        <f t="shared" si="106"/>
        <v>5</v>
      </c>
      <c r="AX295" s="406">
        <v>1</v>
      </c>
      <c r="AY295" s="406">
        <v>0</v>
      </c>
      <c r="AZ295" s="406">
        <v>0</v>
      </c>
      <c r="BA295" s="406">
        <v>0</v>
      </c>
      <c r="BB295" s="430">
        <f t="shared" si="102"/>
        <v>1</v>
      </c>
      <c r="BC295" s="407">
        <f t="shared" si="103"/>
        <v>50</v>
      </c>
      <c r="BD295" s="408">
        <f t="shared" si="107"/>
        <v>1.5</v>
      </c>
      <c r="BE295" s="340">
        <f t="shared" si="104"/>
        <v>12</v>
      </c>
    </row>
    <row r="296" spans="1:57" x14ac:dyDescent="0.6">
      <c r="A296" s="214" t="s">
        <v>1941</v>
      </c>
      <c r="B296" s="13" t="s">
        <v>2277</v>
      </c>
      <c r="C296" s="219" t="s">
        <v>1942</v>
      </c>
      <c r="D296" s="14" t="s">
        <v>202</v>
      </c>
      <c r="E296" s="217" t="s">
        <v>189</v>
      </c>
      <c r="F296" s="217" t="s">
        <v>1943</v>
      </c>
      <c r="G296" s="218">
        <v>44425</v>
      </c>
      <c r="H296" s="217" t="s">
        <v>830</v>
      </c>
      <c r="I296" s="217" t="s">
        <v>1944</v>
      </c>
      <c r="J296" s="217" t="s">
        <v>1945</v>
      </c>
      <c r="K296" s="217" t="s">
        <v>690</v>
      </c>
      <c r="L296" s="220">
        <v>201249262</v>
      </c>
      <c r="M296" s="206">
        <v>74147423</v>
      </c>
      <c r="N296" s="206">
        <v>127101839</v>
      </c>
      <c r="O296" s="206">
        <v>92809851</v>
      </c>
      <c r="P296" s="206">
        <v>557375</v>
      </c>
      <c r="Q296" s="206">
        <v>21284021</v>
      </c>
      <c r="R296" s="206">
        <v>16494864</v>
      </c>
      <c r="S296" s="406">
        <v>0</v>
      </c>
      <c r="T296" s="428">
        <f t="shared" si="93"/>
        <v>50</v>
      </c>
      <c r="U296" s="415">
        <f t="shared" si="94"/>
        <v>0.5</v>
      </c>
      <c r="V296" s="405">
        <v>0</v>
      </c>
      <c r="W296" s="428">
        <f t="shared" si="95"/>
        <v>50</v>
      </c>
      <c r="X296" s="415">
        <f t="shared" si="96"/>
        <v>0.5</v>
      </c>
      <c r="Y296" s="406">
        <v>0</v>
      </c>
      <c r="Z296" s="429">
        <v>0</v>
      </c>
      <c r="AA296" s="430">
        <f t="shared" si="97"/>
        <v>50</v>
      </c>
      <c r="AB296" s="415">
        <f t="shared" si="98"/>
        <v>0.5</v>
      </c>
      <c r="AC296" s="431">
        <v>0</v>
      </c>
      <c r="AD296" s="432">
        <f t="shared" si="99"/>
        <v>100</v>
      </c>
      <c r="AE296" s="433">
        <f t="shared" si="105"/>
        <v>4</v>
      </c>
      <c r="AF296" s="434" t="s">
        <v>2326</v>
      </c>
      <c r="AG296" s="434" t="s">
        <v>2326</v>
      </c>
      <c r="AH296" s="434" t="s">
        <v>2326</v>
      </c>
      <c r="AI296" s="362"/>
      <c r="AJ296" s="434" t="s">
        <v>2326</v>
      </c>
      <c r="AK296" s="434" t="s">
        <v>2326</v>
      </c>
      <c r="AL296" s="363"/>
      <c r="AM296" s="406">
        <v>0</v>
      </c>
      <c r="AN296" s="406">
        <v>0</v>
      </c>
      <c r="AO296" s="406">
        <v>0</v>
      </c>
      <c r="AP296" s="406">
        <v>0</v>
      </c>
      <c r="AQ296" s="406">
        <v>0</v>
      </c>
      <c r="AR296" s="406">
        <v>0</v>
      </c>
      <c r="AS296" s="406">
        <v>0</v>
      </c>
      <c r="AT296" s="406">
        <v>0</v>
      </c>
      <c r="AU296" s="407">
        <f t="shared" si="100"/>
        <v>0</v>
      </c>
      <c r="AV296" s="407">
        <f t="shared" si="101"/>
        <v>100</v>
      </c>
      <c r="AW296" s="408">
        <f t="shared" si="106"/>
        <v>5</v>
      </c>
      <c r="AX296" s="406">
        <v>0</v>
      </c>
      <c r="AY296" s="406">
        <v>0</v>
      </c>
      <c r="AZ296" s="406">
        <v>0</v>
      </c>
      <c r="BA296" s="406">
        <v>0</v>
      </c>
      <c r="BB296" s="430">
        <f t="shared" si="102"/>
        <v>0</v>
      </c>
      <c r="BC296" s="407">
        <f t="shared" si="103"/>
        <v>25</v>
      </c>
      <c r="BD296" s="408">
        <f t="shared" si="107"/>
        <v>0.75</v>
      </c>
      <c r="BE296" s="340">
        <f t="shared" si="104"/>
        <v>11.25</v>
      </c>
    </row>
    <row r="297" spans="1:57" x14ac:dyDescent="0.6">
      <c r="A297" s="214" t="s">
        <v>1946</v>
      </c>
      <c r="B297" s="13" t="s">
        <v>2278</v>
      </c>
      <c r="C297" s="219" t="s">
        <v>1947</v>
      </c>
      <c r="D297" s="79" t="s">
        <v>481</v>
      </c>
      <c r="E297" s="217" t="s">
        <v>704</v>
      </c>
      <c r="F297" s="217" t="s">
        <v>360</v>
      </c>
      <c r="G297" s="218">
        <v>40254</v>
      </c>
      <c r="H297" s="217" t="s">
        <v>830</v>
      </c>
      <c r="I297" s="217" t="s">
        <v>1948</v>
      </c>
      <c r="J297" s="217" t="s">
        <v>1949</v>
      </c>
      <c r="K297" s="217" t="s">
        <v>91</v>
      </c>
      <c r="L297" s="220">
        <v>126780143235</v>
      </c>
      <c r="M297" s="206">
        <v>120464648467</v>
      </c>
      <c r="N297" s="206">
        <v>6315494768</v>
      </c>
      <c r="O297" s="206">
        <v>21180061711</v>
      </c>
      <c r="P297" s="206">
        <v>31900539</v>
      </c>
      <c r="Q297" s="206">
        <v>432611603</v>
      </c>
      <c r="R297" s="206">
        <v>354341909</v>
      </c>
      <c r="S297" s="406">
        <v>0</v>
      </c>
      <c r="T297" s="428">
        <f t="shared" si="93"/>
        <v>50</v>
      </c>
      <c r="U297" s="415">
        <f t="shared" si="94"/>
        <v>0.5</v>
      </c>
      <c r="V297" s="405">
        <v>1</v>
      </c>
      <c r="W297" s="428">
        <f t="shared" si="95"/>
        <v>100</v>
      </c>
      <c r="X297" s="415">
        <f t="shared" si="96"/>
        <v>1</v>
      </c>
      <c r="Y297" s="406">
        <v>0</v>
      </c>
      <c r="Z297" s="429">
        <v>0</v>
      </c>
      <c r="AA297" s="430">
        <f t="shared" si="97"/>
        <v>50</v>
      </c>
      <c r="AB297" s="415">
        <f t="shared" si="98"/>
        <v>0.5</v>
      </c>
      <c r="AC297" s="75">
        <v>1</v>
      </c>
      <c r="AD297" s="432">
        <f t="shared" si="99"/>
        <v>80</v>
      </c>
      <c r="AE297" s="435">
        <f>AD297*0.03</f>
        <v>2.4</v>
      </c>
      <c r="AF297" s="436">
        <v>5.45</v>
      </c>
      <c r="AG297" s="437">
        <f>(_xlfn.PERCENTRANK.INC(AF:AF,AF297, 2))*100</f>
        <v>73</v>
      </c>
      <c r="AH297" s="437">
        <f>IF(AF297=0, 100, IF(AG297&lt;10, 80, IF(AG297&lt;50, 60, IF(AG297&lt;90, 40, 20))))</f>
        <v>40</v>
      </c>
      <c r="AI297" s="263">
        <f>AH297*0.03</f>
        <v>1.2</v>
      </c>
      <c r="AJ297" s="264" t="s">
        <v>3540</v>
      </c>
      <c r="AK297" s="265">
        <f>IF(AJ297="우수", 100, IF(AJ297="양호", 80, IF(AJ297="보통", 60, IF(AJ297= "평가미대상", 60, IF(AJ297="미흡", 40, IF(AJ297="취약", 20))))))</f>
        <v>60</v>
      </c>
      <c r="AL297" s="141">
        <f>AK297*0.03</f>
        <v>1.7999999999999998</v>
      </c>
      <c r="AM297" s="406">
        <v>0</v>
      </c>
      <c r="AN297" s="406">
        <v>0</v>
      </c>
      <c r="AO297" s="406">
        <v>0</v>
      </c>
      <c r="AP297" s="406">
        <v>0</v>
      </c>
      <c r="AQ297" s="406">
        <v>0</v>
      </c>
      <c r="AR297" s="406">
        <v>0</v>
      </c>
      <c r="AS297" s="406">
        <v>0</v>
      </c>
      <c r="AT297" s="406">
        <v>0</v>
      </c>
      <c r="AU297" s="407">
        <f t="shared" si="100"/>
        <v>0</v>
      </c>
      <c r="AV297" s="407">
        <f t="shared" si="101"/>
        <v>100</v>
      </c>
      <c r="AW297" s="438">
        <f>AV297*0.02</f>
        <v>2</v>
      </c>
      <c r="AX297" s="406">
        <v>0</v>
      </c>
      <c r="AY297" s="406">
        <v>0</v>
      </c>
      <c r="AZ297" s="406">
        <v>0</v>
      </c>
      <c r="BA297" s="406">
        <v>0</v>
      </c>
      <c r="BB297" s="430">
        <f t="shared" si="102"/>
        <v>0</v>
      </c>
      <c r="BC297" s="407">
        <f t="shared" si="103"/>
        <v>25</v>
      </c>
      <c r="BD297" s="418">
        <f>BC297*0.01</f>
        <v>0.25</v>
      </c>
      <c r="BE297" s="340">
        <f t="shared" si="104"/>
        <v>9.65</v>
      </c>
    </row>
    <row r="298" spans="1:57" x14ac:dyDescent="0.6">
      <c r="A298" s="214" t="s">
        <v>1950</v>
      </c>
      <c r="B298" s="13" t="s">
        <v>2279</v>
      </c>
      <c r="C298" s="219" t="s">
        <v>1951</v>
      </c>
      <c r="D298" s="79" t="s">
        <v>481</v>
      </c>
      <c r="E298" s="217" t="s">
        <v>704</v>
      </c>
      <c r="F298" s="217" t="s">
        <v>551</v>
      </c>
      <c r="G298" s="218">
        <v>27575</v>
      </c>
      <c r="H298" s="217" t="s">
        <v>830</v>
      </c>
      <c r="I298" s="217" t="s">
        <v>1952</v>
      </c>
      <c r="J298" s="217" t="s">
        <v>1953</v>
      </c>
      <c r="K298" s="217" t="s">
        <v>91</v>
      </c>
      <c r="L298" s="220">
        <v>20186911158</v>
      </c>
      <c r="M298" s="206">
        <v>19938637638</v>
      </c>
      <c r="N298" s="206">
        <v>248273521</v>
      </c>
      <c r="O298" s="206">
        <v>5105380445</v>
      </c>
      <c r="P298" s="206">
        <v>326922757</v>
      </c>
      <c r="Q298" s="206">
        <v>400409213</v>
      </c>
      <c r="R298" s="206">
        <v>302102769</v>
      </c>
      <c r="S298" s="406">
        <v>0</v>
      </c>
      <c r="T298" s="428">
        <f t="shared" si="93"/>
        <v>50</v>
      </c>
      <c r="U298" s="415">
        <f t="shared" si="94"/>
        <v>0.5</v>
      </c>
      <c r="V298" s="405">
        <v>0</v>
      </c>
      <c r="W298" s="428">
        <f t="shared" si="95"/>
        <v>50</v>
      </c>
      <c r="X298" s="415">
        <f t="shared" si="96"/>
        <v>0.5</v>
      </c>
      <c r="Y298" s="406">
        <v>0</v>
      </c>
      <c r="Z298" s="429">
        <v>0</v>
      </c>
      <c r="AA298" s="430">
        <f t="shared" si="97"/>
        <v>50</v>
      </c>
      <c r="AB298" s="415">
        <f t="shared" si="98"/>
        <v>0.5</v>
      </c>
      <c r="AC298" s="75">
        <v>0</v>
      </c>
      <c r="AD298" s="432">
        <f t="shared" si="99"/>
        <v>100</v>
      </c>
      <c r="AE298" s="435">
        <f>AD298*0.03</f>
        <v>3</v>
      </c>
      <c r="AF298" s="436">
        <v>13</v>
      </c>
      <c r="AG298" s="437">
        <f>(_xlfn.PERCENTRANK.INC(AF:AF,AF298, 2))*100</f>
        <v>84</v>
      </c>
      <c r="AH298" s="437">
        <f>IF(AF298=0, 100, IF(AG298&lt;10, 80, IF(AG298&lt;50, 60, IF(AG298&lt;90, 40, 20))))</f>
        <v>40</v>
      </c>
      <c r="AI298" s="263">
        <f>AH298*0.03</f>
        <v>1.2</v>
      </c>
      <c r="AJ298" s="264" t="s">
        <v>3540</v>
      </c>
      <c r="AK298" s="265">
        <f>IF(AJ298="우수", 100, IF(AJ298="양호", 80, IF(AJ298="보통", 60, IF(AJ298= "평가미대상", 60, IF(AJ298="미흡", 40, IF(AJ298="취약", 20))))))</f>
        <v>60</v>
      </c>
      <c r="AL298" s="141">
        <f>AK298*0.03</f>
        <v>1.7999999999999998</v>
      </c>
      <c r="AM298" s="406">
        <v>0</v>
      </c>
      <c r="AN298" s="406">
        <v>0</v>
      </c>
      <c r="AO298" s="406">
        <v>0</v>
      </c>
      <c r="AP298" s="406">
        <v>0</v>
      </c>
      <c r="AQ298" s="406">
        <v>0</v>
      </c>
      <c r="AR298" s="406">
        <v>0</v>
      </c>
      <c r="AS298" s="406">
        <v>0</v>
      </c>
      <c r="AT298" s="406">
        <v>0</v>
      </c>
      <c r="AU298" s="407">
        <f t="shared" si="100"/>
        <v>0</v>
      </c>
      <c r="AV298" s="407">
        <f t="shared" si="101"/>
        <v>100</v>
      </c>
      <c r="AW298" s="438">
        <f>AV298*0.02</f>
        <v>2</v>
      </c>
      <c r="AX298" s="406">
        <v>0</v>
      </c>
      <c r="AY298" s="406">
        <v>0</v>
      </c>
      <c r="AZ298" s="406">
        <v>0</v>
      </c>
      <c r="BA298" s="406">
        <v>0</v>
      </c>
      <c r="BB298" s="430">
        <f t="shared" si="102"/>
        <v>0</v>
      </c>
      <c r="BC298" s="407">
        <f t="shared" si="103"/>
        <v>25</v>
      </c>
      <c r="BD298" s="418">
        <f>BC298*0.01</f>
        <v>0.25</v>
      </c>
      <c r="BE298" s="340">
        <f t="shared" si="104"/>
        <v>9.75</v>
      </c>
    </row>
    <row r="299" spans="1:57" x14ac:dyDescent="0.6">
      <c r="A299" s="214" t="s">
        <v>472</v>
      </c>
      <c r="B299" s="13" t="s">
        <v>2280</v>
      </c>
      <c r="C299" s="219" t="s">
        <v>877</v>
      </c>
      <c r="D299" s="216" t="s">
        <v>202</v>
      </c>
      <c r="E299" s="217" t="s">
        <v>205</v>
      </c>
      <c r="F299" s="217" t="s">
        <v>133</v>
      </c>
      <c r="G299" s="218">
        <v>43782</v>
      </c>
      <c r="H299" s="217" t="s">
        <v>830</v>
      </c>
      <c r="I299" s="217" t="s">
        <v>836</v>
      </c>
      <c r="J299" s="217" t="s">
        <v>1218</v>
      </c>
      <c r="K299" s="217" t="s">
        <v>31</v>
      </c>
      <c r="L299" s="220">
        <v>4152100072</v>
      </c>
      <c r="M299" s="206">
        <v>1905070749</v>
      </c>
      <c r="N299" s="206">
        <v>2247029323</v>
      </c>
      <c r="O299" s="206">
        <v>2187405670</v>
      </c>
      <c r="P299" s="206">
        <v>93679890</v>
      </c>
      <c r="Q299" s="206">
        <v>53049827</v>
      </c>
      <c r="R299" s="206">
        <v>28545981</v>
      </c>
      <c r="S299" s="406">
        <v>0</v>
      </c>
      <c r="T299" s="428">
        <f t="shared" si="93"/>
        <v>50</v>
      </c>
      <c r="U299" s="415">
        <f t="shared" si="94"/>
        <v>0.5</v>
      </c>
      <c r="V299" s="405">
        <v>0</v>
      </c>
      <c r="W299" s="428">
        <f t="shared" si="95"/>
        <v>50</v>
      </c>
      <c r="X299" s="415">
        <f t="shared" si="96"/>
        <v>0.5</v>
      </c>
      <c r="Y299" s="406">
        <v>1</v>
      </c>
      <c r="Z299" s="429">
        <v>0</v>
      </c>
      <c r="AA299" s="430">
        <f t="shared" si="97"/>
        <v>100</v>
      </c>
      <c r="AB299" s="415">
        <f t="shared" si="98"/>
        <v>1</v>
      </c>
      <c r="AC299" s="431">
        <v>0</v>
      </c>
      <c r="AD299" s="432">
        <f t="shared" si="99"/>
        <v>100</v>
      </c>
      <c r="AE299" s="433">
        <f t="shared" ref="AE299:AE307" si="108">AD299*0.04</f>
        <v>4</v>
      </c>
      <c r="AF299" s="434" t="s">
        <v>2326</v>
      </c>
      <c r="AG299" s="434" t="s">
        <v>2326</v>
      </c>
      <c r="AH299" s="434" t="s">
        <v>2326</v>
      </c>
      <c r="AI299" s="362"/>
      <c r="AJ299" s="434" t="s">
        <v>2326</v>
      </c>
      <c r="AK299" s="434" t="s">
        <v>2326</v>
      </c>
      <c r="AL299" s="363"/>
      <c r="AM299" s="406">
        <v>0</v>
      </c>
      <c r="AN299" s="406">
        <v>0</v>
      </c>
      <c r="AO299" s="406">
        <v>0</v>
      </c>
      <c r="AP299" s="406">
        <v>0</v>
      </c>
      <c r="AQ299" s="406">
        <v>0</v>
      </c>
      <c r="AR299" s="406">
        <v>0</v>
      </c>
      <c r="AS299" s="406">
        <v>0</v>
      </c>
      <c r="AT299" s="406">
        <v>0</v>
      </c>
      <c r="AU299" s="407">
        <f t="shared" si="100"/>
        <v>0</v>
      </c>
      <c r="AV299" s="407">
        <f t="shared" si="101"/>
        <v>100</v>
      </c>
      <c r="AW299" s="408">
        <f t="shared" ref="AW299:AW307" si="109">AV299*0.05</f>
        <v>5</v>
      </c>
      <c r="AX299" s="406">
        <v>0</v>
      </c>
      <c r="AY299" s="406">
        <v>0</v>
      </c>
      <c r="AZ299" s="406">
        <v>0</v>
      </c>
      <c r="BA299" s="406">
        <v>0</v>
      </c>
      <c r="BB299" s="430">
        <f t="shared" si="102"/>
        <v>0</v>
      </c>
      <c r="BC299" s="407">
        <f t="shared" si="103"/>
        <v>25</v>
      </c>
      <c r="BD299" s="408">
        <f t="shared" ref="BD299:BD307" si="110">BC299*0.03</f>
        <v>0.75</v>
      </c>
      <c r="BE299" s="340">
        <f t="shared" si="104"/>
        <v>11.75</v>
      </c>
    </row>
    <row r="300" spans="1:57" x14ac:dyDescent="0.6">
      <c r="A300" s="214" t="s">
        <v>916</v>
      </c>
      <c r="B300" s="13" t="s">
        <v>2281</v>
      </c>
      <c r="C300" s="219" t="s">
        <v>327</v>
      </c>
      <c r="D300" s="216" t="s">
        <v>285</v>
      </c>
      <c r="E300" s="217" t="s">
        <v>867</v>
      </c>
      <c r="F300" s="217" t="s">
        <v>114</v>
      </c>
      <c r="G300" s="218">
        <v>31038</v>
      </c>
      <c r="H300" s="217" t="s">
        <v>830</v>
      </c>
      <c r="I300" s="217" t="s">
        <v>694</v>
      </c>
      <c r="J300" s="217" t="s">
        <v>1012</v>
      </c>
      <c r="K300" s="217" t="s">
        <v>91</v>
      </c>
      <c r="L300" s="220">
        <v>13738416000</v>
      </c>
      <c r="M300" s="206">
        <v>7344179000</v>
      </c>
      <c r="N300" s="206">
        <v>6394237000</v>
      </c>
      <c r="O300" s="206">
        <v>11978479000</v>
      </c>
      <c r="P300" s="206">
        <v>346342000</v>
      </c>
      <c r="Q300" s="206">
        <v>503694000</v>
      </c>
      <c r="R300" s="206">
        <v>346572000</v>
      </c>
      <c r="S300" s="406">
        <v>0</v>
      </c>
      <c r="T300" s="428">
        <f t="shared" si="93"/>
        <v>50</v>
      </c>
      <c r="U300" s="415">
        <f t="shared" si="94"/>
        <v>0.5</v>
      </c>
      <c r="V300" s="405">
        <v>0</v>
      </c>
      <c r="W300" s="428">
        <f t="shared" si="95"/>
        <v>50</v>
      </c>
      <c r="X300" s="415">
        <f t="shared" si="96"/>
        <v>0.5</v>
      </c>
      <c r="Y300" s="406">
        <v>0</v>
      </c>
      <c r="Z300" s="429">
        <v>0</v>
      </c>
      <c r="AA300" s="430">
        <f t="shared" si="97"/>
        <v>50</v>
      </c>
      <c r="AB300" s="415">
        <f t="shared" si="98"/>
        <v>0.5</v>
      </c>
      <c r="AC300" s="431">
        <v>0</v>
      </c>
      <c r="AD300" s="432">
        <f t="shared" si="99"/>
        <v>100</v>
      </c>
      <c r="AE300" s="433">
        <f t="shared" si="108"/>
        <v>4</v>
      </c>
      <c r="AF300" s="434" t="s">
        <v>2326</v>
      </c>
      <c r="AG300" s="434" t="s">
        <v>2326</v>
      </c>
      <c r="AH300" s="434" t="s">
        <v>2326</v>
      </c>
      <c r="AI300" s="362"/>
      <c r="AJ300" s="434" t="s">
        <v>2326</v>
      </c>
      <c r="AK300" s="434" t="s">
        <v>2326</v>
      </c>
      <c r="AL300" s="363"/>
      <c r="AM300" s="406">
        <v>0</v>
      </c>
      <c r="AN300" s="406">
        <v>0</v>
      </c>
      <c r="AO300" s="406">
        <v>0</v>
      </c>
      <c r="AP300" s="406">
        <v>0</v>
      </c>
      <c r="AQ300" s="406">
        <v>0</v>
      </c>
      <c r="AR300" s="406">
        <v>0</v>
      </c>
      <c r="AS300" s="406">
        <v>0</v>
      </c>
      <c r="AT300" s="406">
        <v>0</v>
      </c>
      <c r="AU300" s="407">
        <f t="shared" si="100"/>
        <v>0</v>
      </c>
      <c r="AV300" s="407">
        <f t="shared" si="101"/>
        <v>100</v>
      </c>
      <c r="AW300" s="408">
        <f t="shared" si="109"/>
        <v>5</v>
      </c>
      <c r="AX300" s="406">
        <v>0</v>
      </c>
      <c r="AY300" s="406">
        <v>0</v>
      </c>
      <c r="AZ300" s="406">
        <v>0</v>
      </c>
      <c r="BA300" s="406">
        <v>0</v>
      </c>
      <c r="BB300" s="430">
        <f t="shared" si="102"/>
        <v>0</v>
      </c>
      <c r="BC300" s="407">
        <f t="shared" si="103"/>
        <v>25</v>
      </c>
      <c r="BD300" s="408">
        <f t="shared" si="110"/>
        <v>0.75</v>
      </c>
      <c r="BE300" s="340">
        <f t="shared" si="104"/>
        <v>11.25</v>
      </c>
    </row>
    <row r="301" spans="1:57" x14ac:dyDescent="0.6">
      <c r="A301" s="214" t="s">
        <v>454</v>
      </c>
      <c r="B301" s="13" t="s">
        <v>2282</v>
      </c>
      <c r="C301" s="219" t="s">
        <v>84</v>
      </c>
      <c r="D301" s="216" t="s">
        <v>285</v>
      </c>
      <c r="E301" s="217" t="s">
        <v>622</v>
      </c>
      <c r="F301" s="217" t="s">
        <v>653</v>
      </c>
      <c r="G301" s="218">
        <v>38712</v>
      </c>
      <c r="H301" s="217" t="s">
        <v>830</v>
      </c>
      <c r="I301" s="217" t="s">
        <v>1954</v>
      </c>
      <c r="J301" s="217" t="s">
        <v>1124</v>
      </c>
      <c r="K301" s="217" t="s">
        <v>91</v>
      </c>
      <c r="L301" s="220">
        <v>11586104724</v>
      </c>
      <c r="M301" s="206">
        <v>5729632009</v>
      </c>
      <c r="N301" s="206">
        <v>5856472715</v>
      </c>
      <c r="O301" s="206">
        <v>21528979386</v>
      </c>
      <c r="P301" s="206">
        <v>1595700562</v>
      </c>
      <c r="Q301" s="206">
        <v>1527487113</v>
      </c>
      <c r="R301" s="206">
        <v>1209437646</v>
      </c>
      <c r="S301" s="406">
        <v>0</v>
      </c>
      <c r="T301" s="428">
        <f t="shared" si="93"/>
        <v>50</v>
      </c>
      <c r="U301" s="415">
        <f t="shared" si="94"/>
        <v>0.5</v>
      </c>
      <c r="V301" s="405">
        <v>0</v>
      </c>
      <c r="W301" s="428">
        <f t="shared" si="95"/>
        <v>50</v>
      </c>
      <c r="X301" s="415">
        <f t="shared" si="96"/>
        <v>0.5</v>
      </c>
      <c r="Y301" s="406">
        <v>0</v>
      </c>
      <c r="Z301" s="429">
        <v>0</v>
      </c>
      <c r="AA301" s="430">
        <f t="shared" si="97"/>
        <v>50</v>
      </c>
      <c r="AB301" s="415">
        <f t="shared" si="98"/>
        <v>0.5</v>
      </c>
      <c r="AC301" s="431">
        <v>0</v>
      </c>
      <c r="AD301" s="432">
        <f t="shared" si="99"/>
        <v>100</v>
      </c>
      <c r="AE301" s="433">
        <f t="shared" si="108"/>
        <v>4</v>
      </c>
      <c r="AF301" s="434" t="s">
        <v>2326</v>
      </c>
      <c r="AG301" s="434" t="s">
        <v>2326</v>
      </c>
      <c r="AH301" s="434" t="s">
        <v>2326</v>
      </c>
      <c r="AI301" s="362"/>
      <c r="AJ301" s="434" t="s">
        <v>2326</v>
      </c>
      <c r="AK301" s="434" t="s">
        <v>2326</v>
      </c>
      <c r="AL301" s="363"/>
      <c r="AM301" s="406">
        <v>0</v>
      </c>
      <c r="AN301" s="406">
        <v>0</v>
      </c>
      <c r="AO301" s="406">
        <v>0</v>
      </c>
      <c r="AP301" s="406">
        <v>0</v>
      </c>
      <c r="AQ301" s="406">
        <v>0</v>
      </c>
      <c r="AR301" s="406">
        <v>0</v>
      </c>
      <c r="AS301" s="406">
        <v>0</v>
      </c>
      <c r="AT301" s="406">
        <v>0</v>
      </c>
      <c r="AU301" s="407">
        <f t="shared" si="100"/>
        <v>0</v>
      </c>
      <c r="AV301" s="407">
        <f t="shared" si="101"/>
        <v>100</v>
      </c>
      <c r="AW301" s="408">
        <f t="shared" si="109"/>
        <v>5</v>
      </c>
      <c r="AX301" s="406">
        <v>0</v>
      </c>
      <c r="AY301" s="406">
        <v>0</v>
      </c>
      <c r="AZ301" s="406">
        <v>0</v>
      </c>
      <c r="BA301" s="406">
        <v>0</v>
      </c>
      <c r="BB301" s="430">
        <f t="shared" si="102"/>
        <v>0</v>
      </c>
      <c r="BC301" s="407">
        <f t="shared" si="103"/>
        <v>25</v>
      </c>
      <c r="BD301" s="408">
        <f t="shared" si="110"/>
        <v>0.75</v>
      </c>
      <c r="BE301" s="340">
        <f t="shared" si="104"/>
        <v>11.25</v>
      </c>
    </row>
    <row r="302" spans="1:57" x14ac:dyDescent="0.6">
      <c r="A302" s="214" t="s">
        <v>1955</v>
      </c>
      <c r="B302" s="13" t="s">
        <v>2283</v>
      </c>
      <c r="C302" s="219" t="s">
        <v>1956</v>
      </c>
      <c r="D302" s="14" t="s">
        <v>202</v>
      </c>
      <c r="E302" s="217" t="s">
        <v>1957</v>
      </c>
      <c r="F302" s="217" t="s">
        <v>1958</v>
      </c>
      <c r="G302" s="218">
        <v>41577</v>
      </c>
      <c r="H302" s="217" t="s">
        <v>830</v>
      </c>
      <c r="I302" s="217" t="s">
        <v>1959</v>
      </c>
      <c r="J302" s="217" t="s">
        <v>1960</v>
      </c>
      <c r="K302" s="217" t="s">
        <v>50</v>
      </c>
      <c r="L302" s="220">
        <v>4676787304</v>
      </c>
      <c r="M302" s="206">
        <v>3212555016</v>
      </c>
      <c r="N302" s="206">
        <v>1464232288</v>
      </c>
      <c r="O302" s="206">
        <v>3106010725</v>
      </c>
      <c r="P302" s="206">
        <v>177983235</v>
      </c>
      <c r="Q302" s="206">
        <v>122548827</v>
      </c>
      <c r="R302" s="206">
        <v>213700726</v>
      </c>
      <c r="S302" s="406">
        <v>0</v>
      </c>
      <c r="T302" s="428">
        <f t="shared" si="93"/>
        <v>50</v>
      </c>
      <c r="U302" s="415">
        <f t="shared" si="94"/>
        <v>0.5</v>
      </c>
      <c r="V302" s="405">
        <v>0</v>
      </c>
      <c r="W302" s="428">
        <f t="shared" si="95"/>
        <v>50</v>
      </c>
      <c r="X302" s="415">
        <f t="shared" si="96"/>
        <v>0.5</v>
      </c>
      <c r="Y302" s="406">
        <v>0</v>
      </c>
      <c r="Z302" s="429">
        <v>0</v>
      </c>
      <c r="AA302" s="430">
        <f t="shared" si="97"/>
        <v>50</v>
      </c>
      <c r="AB302" s="415">
        <f t="shared" si="98"/>
        <v>0.5</v>
      </c>
      <c r="AC302" s="431">
        <v>0</v>
      </c>
      <c r="AD302" s="432">
        <f t="shared" si="99"/>
        <v>100</v>
      </c>
      <c r="AE302" s="433">
        <f t="shared" si="108"/>
        <v>4</v>
      </c>
      <c r="AF302" s="434" t="s">
        <v>2326</v>
      </c>
      <c r="AG302" s="434" t="s">
        <v>2326</v>
      </c>
      <c r="AH302" s="434" t="s">
        <v>2326</v>
      </c>
      <c r="AI302" s="362"/>
      <c r="AJ302" s="434" t="s">
        <v>2326</v>
      </c>
      <c r="AK302" s="434" t="s">
        <v>2326</v>
      </c>
      <c r="AL302" s="363"/>
      <c r="AM302" s="406">
        <v>0</v>
      </c>
      <c r="AN302" s="406">
        <v>0</v>
      </c>
      <c r="AO302" s="406">
        <v>0</v>
      </c>
      <c r="AP302" s="406">
        <v>0</v>
      </c>
      <c r="AQ302" s="406">
        <v>0</v>
      </c>
      <c r="AR302" s="406">
        <v>0</v>
      </c>
      <c r="AS302" s="406">
        <v>0</v>
      </c>
      <c r="AT302" s="406">
        <v>0</v>
      </c>
      <c r="AU302" s="407">
        <f t="shared" si="100"/>
        <v>0</v>
      </c>
      <c r="AV302" s="407">
        <f t="shared" si="101"/>
        <v>100</v>
      </c>
      <c r="AW302" s="408">
        <f t="shared" si="109"/>
        <v>5</v>
      </c>
      <c r="AX302" s="406">
        <v>0</v>
      </c>
      <c r="AY302" s="406">
        <v>0</v>
      </c>
      <c r="AZ302" s="406">
        <v>0</v>
      </c>
      <c r="BA302" s="406">
        <v>0</v>
      </c>
      <c r="BB302" s="430">
        <f t="shared" si="102"/>
        <v>0</v>
      </c>
      <c r="BC302" s="407">
        <f t="shared" si="103"/>
        <v>25</v>
      </c>
      <c r="BD302" s="408">
        <f t="shared" si="110"/>
        <v>0.75</v>
      </c>
      <c r="BE302" s="340">
        <f t="shared" si="104"/>
        <v>11.25</v>
      </c>
    </row>
    <row r="303" spans="1:57" x14ac:dyDescent="0.6">
      <c r="A303" s="214" t="s">
        <v>910</v>
      </c>
      <c r="B303" s="13" t="s">
        <v>2284</v>
      </c>
      <c r="C303" s="219" t="s">
        <v>480</v>
      </c>
      <c r="D303" s="216" t="s">
        <v>202</v>
      </c>
      <c r="E303" s="217" t="s">
        <v>954</v>
      </c>
      <c r="F303" s="217" t="s">
        <v>150</v>
      </c>
      <c r="G303" s="218">
        <v>32756</v>
      </c>
      <c r="H303" s="217" t="s">
        <v>830</v>
      </c>
      <c r="I303" s="217" t="s">
        <v>269</v>
      </c>
      <c r="J303" s="217" t="s">
        <v>1140</v>
      </c>
      <c r="K303" s="217" t="s">
        <v>91</v>
      </c>
      <c r="L303" s="220">
        <v>34782050000</v>
      </c>
      <c r="M303" s="206">
        <v>8693623000</v>
      </c>
      <c r="N303" s="206">
        <v>26088427000</v>
      </c>
      <c r="O303" s="206">
        <v>34052113000</v>
      </c>
      <c r="P303" s="206">
        <v>1405333000</v>
      </c>
      <c r="Q303" s="206">
        <v>2049859000</v>
      </c>
      <c r="R303" s="206">
        <v>1576460000</v>
      </c>
      <c r="S303" s="406">
        <v>0</v>
      </c>
      <c r="T303" s="428">
        <f t="shared" si="93"/>
        <v>50</v>
      </c>
      <c r="U303" s="415">
        <f t="shared" si="94"/>
        <v>0.5</v>
      </c>
      <c r="V303" s="405">
        <v>0</v>
      </c>
      <c r="W303" s="428">
        <f t="shared" si="95"/>
        <v>50</v>
      </c>
      <c r="X303" s="415">
        <f t="shared" si="96"/>
        <v>0.5</v>
      </c>
      <c r="Y303" s="406">
        <v>0</v>
      </c>
      <c r="Z303" s="429">
        <v>0</v>
      </c>
      <c r="AA303" s="430">
        <f t="shared" si="97"/>
        <v>50</v>
      </c>
      <c r="AB303" s="415">
        <f t="shared" si="98"/>
        <v>0.5</v>
      </c>
      <c r="AC303" s="431">
        <v>0</v>
      </c>
      <c r="AD303" s="432">
        <f t="shared" si="99"/>
        <v>100</v>
      </c>
      <c r="AE303" s="433">
        <f t="shared" si="108"/>
        <v>4</v>
      </c>
      <c r="AF303" s="434" t="s">
        <v>2326</v>
      </c>
      <c r="AG303" s="434" t="s">
        <v>2326</v>
      </c>
      <c r="AH303" s="434" t="s">
        <v>2326</v>
      </c>
      <c r="AI303" s="362"/>
      <c r="AJ303" s="434" t="s">
        <v>2326</v>
      </c>
      <c r="AK303" s="434" t="s">
        <v>2326</v>
      </c>
      <c r="AL303" s="363"/>
      <c r="AM303" s="406">
        <v>0</v>
      </c>
      <c r="AN303" s="406">
        <v>0</v>
      </c>
      <c r="AO303" s="406">
        <v>0</v>
      </c>
      <c r="AP303" s="406">
        <v>0</v>
      </c>
      <c r="AQ303" s="406">
        <v>0</v>
      </c>
      <c r="AR303" s="406">
        <v>0</v>
      </c>
      <c r="AS303" s="406">
        <v>0</v>
      </c>
      <c r="AT303" s="406">
        <v>0</v>
      </c>
      <c r="AU303" s="407">
        <f t="shared" si="100"/>
        <v>0</v>
      </c>
      <c r="AV303" s="407">
        <f t="shared" si="101"/>
        <v>100</v>
      </c>
      <c r="AW303" s="408">
        <f t="shared" si="109"/>
        <v>5</v>
      </c>
      <c r="AX303" s="406">
        <v>0</v>
      </c>
      <c r="AY303" s="406">
        <v>0</v>
      </c>
      <c r="AZ303" s="406">
        <v>0</v>
      </c>
      <c r="BA303" s="406">
        <v>0</v>
      </c>
      <c r="BB303" s="430">
        <f t="shared" si="102"/>
        <v>0</v>
      </c>
      <c r="BC303" s="407">
        <f t="shared" si="103"/>
        <v>25</v>
      </c>
      <c r="BD303" s="408">
        <f t="shared" si="110"/>
        <v>0.75</v>
      </c>
      <c r="BE303" s="340">
        <f t="shared" si="104"/>
        <v>11.25</v>
      </c>
    </row>
    <row r="304" spans="1:57" x14ac:dyDescent="0.6">
      <c r="A304" s="214" t="s">
        <v>923</v>
      </c>
      <c r="B304" s="13" t="s">
        <v>2285</v>
      </c>
      <c r="C304" s="219" t="s">
        <v>367</v>
      </c>
      <c r="D304" s="216" t="s">
        <v>285</v>
      </c>
      <c r="E304" s="217" t="s">
        <v>504</v>
      </c>
      <c r="F304" s="217" t="s">
        <v>713</v>
      </c>
      <c r="G304" s="218">
        <v>37585</v>
      </c>
      <c r="H304" s="217" t="s">
        <v>830</v>
      </c>
      <c r="I304" s="217" t="s">
        <v>1101</v>
      </c>
      <c r="J304" s="217" t="s">
        <v>1168</v>
      </c>
      <c r="K304" s="217" t="s">
        <v>91</v>
      </c>
      <c r="L304" s="220">
        <v>7747981793</v>
      </c>
      <c r="M304" s="206">
        <v>3561063599</v>
      </c>
      <c r="N304" s="206">
        <v>4186918194</v>
      </c>
      <c r="O304" s="206">
        <v>1655713149</v>
      </c>
      <c r="P304" s="206">
        <v>252210667</v>
      </c>
      <c r="Q304" s="206">
        <v>205090876</v>
      </c>
      <c r="R304" s="206">
        <v>160877945</v>
      </c>
      <c r="S304" s="406">
        <v>0</v>
      </c>
      <c r="T304" s="428">
        <f t="shared" si="93"/>
        <v>50</v>
      </c>
      <c r="U304" s="415">
        <f t="shared" si="94"/>
        <v>0.5</v>
      </c>
      <c r="V304" s="405">
        <v>1</v>
      </c>
      <c r="W304" s="428">
        <f t="shared" si="95"/>
        <v>100</v>
      </c>
      <c r="X304" s="415">
        <f t="shared" si="96"/>
        <v>1</v>
      </c>
      <c r="Y304" s="406">
        <v>1</v>
      </c>
      <c r="Z304" s="429">
        <v>0</v>
      </c>
      <c r="AA304" s="430">
        <f t="shared" si="97"/>
        <v>100</v>
      </c>
      <c r="AB304" s="415">
        <f t="shared" si="98"/>
        <v>1</v>
      </c>
      <c r="AC304" s="431">
        <v>0</v>
      </c>
      <c r="AD304" s="432">
        <f t="shared" si="99"/>
        <v>100</v>
      </c>
      <c r="AE304" s="433">
        <f t="shared" si="108"/>
        <v>4</v>
      </c>
      <c r="AF304" s="434" t="s">
        <v>2326</v>
      </c>
      <c r="AG304" s="434" t="s">
        <v>2326</v>
      </c>
      <c r="AH304" s="434" t="s">
        <v>2326</v>
      </c>
      <c r="AI304" s="362"/>
      <c r="AJ304" s="434" t="s">
        <v>2326</v>
      </c>
      <c r="AK304" s="434" t="s">
        <v>2326</v>
      </c>
      <c r="AL304" s="363"/>
      <c r="AM304" s="406">
        <v>0</v>
      </c>
      <c r="AN304" s="406">
        <v>0</v>
      </c>
      <c r="AO304" s="406">
        <v>0</v>
      </c>
      <c r="AP304" s="406">
        <v>0</v>
      </c>
      <c r="AQ304" s="406">
        <v>0</v>
      </c>
      <c r="AR304" s="406">
        <v>0</v>
      </c>
      <c r="AS304" s="406">
        <v>0</v>
      </c>
      <c r="AT304" s="406">
        <v>1</v>
      </c>
      <c r="AU304" s="407">
        <f t="shared" si="100"/>
        <v>1</v>
      </c>
      <c r="AV304" s="407">
        <f t="shared" si="101"/>
        <v>80</v>
      </c>
      <c r="AW304" s="408">
        <f t="shared" si="109"/>
        <v>4</v>
      </c>
      <c r="AX304" s="406">
        <v>0</v>
      </c>
      <c r="AY304" s="406">
        <v>0</v>
      </c>
      <c r="AZ304" s="406">
        <v>0</v>
      </c>
      <c r="BA304" s="406">
        <v>0</v>
      </c>
      <c r="BB304" s="430">
        <f t="shared" si="102"/>
        <v>0</v>
      </c>
      <c r="BC304" s="407">
        <f t="shared" si="103"/>
        <v>25</v>
      </c>
      <c r="BD304" s="408">
        <f t="shared" si="110"/>
        <v>0.75</v>
      </c>
      <c r="BE304" s="340">
        <f t="shared" si="104"/>
        <v>11.25</v>
      </c>
    </row>
    <row r="305" spans="1:57" x14ac:dyDescent="0.6">
      <c r="A305" s="214" t="s">
        <v>918</v>
      </c>
      <c r="B305" s="13" t="s">
        <v>2286</v>
      </c>
      <c r="C305" s="219" t="s">
        <v>848</v>
      </c>
      <c r="D305" s="216" t="s">
        <v>202</v>
      </c>
      <c r="E305" s="217" t="s">
        <v>575</v>
      </c>
      <c r="F305" s="217" t="s">
        <v>0</v>
      </c>
      <c r="G305" s="218">
        <v>35249</v>
      </c>
      <c r="H305" s="217" t="s">
        <v>830</v>
      </c>
      <c r="I305" s="217" t="s">
        <v>678</v>
      </c>
      <c r="J305" s="217" t="s">
        <v>383</v>
      </c>
      <c r="K305" s="217" t="s">
        <v>317</v>
      </c>
      <c r="L305" s="220">
        <v>2341218033</v>
      </c>
      <c r="M305" s="206">
        <v>1123345096</v>
      </c>
      <c r="N305" s="206">
        <v>1217872936</v>
      </c>
      <c r="O305" s="206">
        <v>1657192106</v>
      </c>
      <c r="P305" s="206">
        <v>70857294</v>
      </c>
      <c r="Q305" s="206">
        <v>155414095</v>
      </c>
      <c r="R305" s="206">
        <v>119214196</v>
      </c>
      <c r="S305" s="406">
        <v>1</v>
      </c>
      <c r="T305" s="428">
        <f t="shared" si="93"/>
        <v>100</v>
      </c>
      <c r="U305" s="415">
        <f t="shared" si="94"/>
        <v>1</v>
      </c>
      <c r="V305" s="405">
        <v>0</v>
      </c>
      <c r="W305" s="428">
        <f t="shared" si="95"/>
        <v>50</v>
      </c>
      <c r="X305" s="415">
        <f t="shared" si="96"/>
        <v>0.5</v>
      </c>
      <c r="Y305" s="406">
        <v>0</v>
      </c>
      <c r="Z305" s="429">
        <v>0</v>
      </c>
      <c r="AA305" s="430">
        <f t="shared" si="97"/>
        <v>50</v>
      </c>
      <c r="AB305" s="415">
        <f t="shared" si="98"/>
        <v>0.5</v>
      </c>
      <c r="AC305" s="431">
        <v>0</v>
      </c>
      <c r="AD305" s="432">
        <f t="shared" si="99"/>
        <v>100</v>
      </c>
      <c r="AE305" s="433">
        <f t="shared" si="108"/>
        <v>4</v>
      </c>
      <c r="AF305" s="434" t="s">
        <v>2326</v>
      </c>
      <c r="AG305" s="434" t="s">
        <v>2326</v>
      </c>
      <c r="AH305" s="434" t="s">
        <v>2326</v>
      </c>
      <c r="AI305" s="362"/>
      <c r="AJ305" s="434" t="s">
        <v>2326</v>
      </c>
      <c r="AK305" s="434" t="s">
        <v>2326</v>
      </c>
      <c r="AL305" s="363"/>
      <c r="AM305" s="406">
        <v>0</v>
      </c>
      <c r="AN305" s="406">
        <v>0</v>
      </c>
      <c r="AO305" s="406">
        <v>0</v>
      </c>
      <c r="AP305" s="406">
        <v>0</v>
      </c>
      <c r="AQ305" s="406">
        <v>1</v>
      </c>
      <c r="AR305" s="406">
        <v>0</v>
      </c>
      <c r="AS305" s="406">
        <v>0</v>
      </c>
      <c r="AT305" s="406">
        <v>0</v>
      </c>
      <c r="AU305" s="407">
        <f t="shared" si="100"/>
        <v>1</v>
      </c>
      <c r="AV305" s="407">
        <f t="shared" si="101"/>
        <v>80</v>
      </c>
      <c r="AW305" s="408">
        <f t="shared" si="109"/>
        <v>4</v>
      </c>
      <c r="AX305" s="406">
        <v>0</v>
      </c>
      <c r="AY305" s="406">
        <v>0</v>
      </c>
      <c r="AZ305" s="406">
        <v>0</v>
      </c>
      <c r="BA305" s="406">
        <v>0</v>
      </c>
      <c r="BB305" s="430">
        <f t="shared" si="102"/>
        <v>0</v>
      </c>
      <c r="BC305" s="407">
        <f t="shared" si="103"/>
        <v>25</v>
      </c>
      <c r="BD305" s="408">
        <f t="shared" si="110"/>
        <v>0.75</v>
      </c>
      <c r="BE305" s="340">
        <f t="shared" si="104"/>
        <v>10.75</v>
      </c>
    </row>
    <row r="306" spans="1:57" x14ac:dyDescent="0.6">
      <c r="A306" s="214" t="s">
        <v>502</v>
      </c>
      <c r="B306" s="13" t="s">
        <v>2287</v>
      </c>
      <c r="C306" s="219" t="s">
        <v>465</v>
      </c>
      <c r="D306" s="216" t="s">
        <v>285</v>
      </c>
      <c r="E306" s="217" t="s">
        <v>605</v>
      </c>
      <c r="F306" s="217" t="s">
        <v>386</v>
      </c>
      <c r="G306" s="218">
        <v>43552</v>
      </c>
      <c r="H306" s="217" t="s">
        <v>830</v>
      </c>
      <c r="I306" s="217" t="s">
        <v>822</v>
      </c>
      <c r="J306" s="217" t="s">
        <v>655</v>
      </c>
      <c r="K306" s="217" t="s">
        <v>91</v>
      </c>
      <c r="L306" s="220">
        <v>2408631121</v>
      </c>
      <c r="M306" s="206">
        <v>987330400</v>
      </c>
      <c r="N306" s="206">
        <v>1421300721</v>
      </c>
      <c r="O306" s="206">
        <v>2240816395</v>
      </c>
      <c r="P306" s="206">
        <v>124351998</v>
      </c>
      <c r="Q306" s="206">
        <v>138563322</v>
      </c>
      <c r="R306" s="206">
        <v>106628632</v>
      </c>
      <c r="S306" s="406">
        <v>0</v>
      </c>
      <c r="T306" s="428">
        <f t="shared" si="93"/>
        <v>50</v>
      </c>
      <c r="U306" s="415">
        <f t="shared" si="94"/>
        <v>0.5</v>
      </c>
      <c r="V306" s="405">
        <v>0</v>
      </c>
      <c r="W306" s="428">
        <f t="shared" si="95"/>
        <v>50</v>
      </c>
      <c r="X306" s="415">
        <f t="shared" si="96"/>
        <v>0.5</v>
      </c>
      <c r="Y306" s="406">
        <v>1</v>
      </c>
      <c r="Z306" s="429">
        <v>0</v>
      </c>
      <c r="AA306" s="430">
        <f t="shared" si="97"/>
        <v>100</v>
      </c>
      <c r="AB306" s="415">
        <f t="shared" si="98"/>
        <v>1</v>
      </c>
      <c r="AC306" s="431">
        <v>0</v>
      </c>
      <c r="AD306" s="432">
        <f t="shared" si="99"/>
        <v>100</v>
      </c>
      <c r="AE306" s="433">
        <f t="shared" si="108"/>
        <v>4</v>
      </c>
      <c r="AF306" s="434" t="s">
        <v>2326</v>
      </c>
      <c r="AG306" s="434" t="s">
        <v>2326</v>
      </c>
      <c r="AH306" s="434" t="s">
        <v>2326</v>
      </c>
      <c r="AI306" s="362"/>
      <c r="AJ306" s="434" t="s">
        <v>2326</v>
      </c>
      <c r="AK306" s="434" t="s">
        <v>2326</v>
      </c>
      <c r="AL306" s="363"/>
      <c r="AM306" s="406">
        <v>0</v>
      </c>
      <c r="AN306" s="406">
        <v>0</v>
      </c>
      <c r="AO306" s="406">
        <v>0</v>
      </c>
      <c r="AP306" s="406">
        <v>0</v>
      </c>
      <c r="AQ306" s="406">
        <v>0</v>
      </c>
      <c r="AR306" s="406">
        <v>0</v>
      </c>
      <c r="AS306" s="406">
        <v>0</v>
      </c>
      <c r="AT306" s="406">
        <v>0</v>
      </c>
      <c r="AU306" s="407">
        <f t="shared" si="100"/>
        <v>0</v>
      </c>
      <c r="AV306" s="407">
        <f t="shared" si="101"/>
        <v>100</v>
      </c>
      <c r="AW306" s="408">
        <f t="shared" si="109"/>
        <v>5</v>
      </c>
      <c r="AX306" s="406">
        <v>0</v>
      </c>
      <c r="AY306" s="406">
        <v>0</v>
      </c>
      <c r="AZ306" s="406">
        <v>0</v>
      </c>
      <c r="BA306" s="406">
        <v>0</v>
      </c>
      <c r="BB306" s="430">
        <f t="shared" si="102"/>
        <v>0</v>
      </c>
      <c r="BC306" s="407">
        <f t="shared" si="103"/>
        <v>25</v>
      </c>
      <c r="BD306" s="408">
        <f t="shared" si="110"/>
        <v>0.75</v>
      </c>
      <c r="BE306" s="340">
        <f t="shared" si="104"/>
        <v>11.75</v>
      </c>
    </row>
    <row r="307" spans="1:57" x14ac:dyDescent="0.6">
      <c r="A307" s="214" t="s">
        <v>931</v>
      </c>
      <c r="B307" s="13" t="s">
        <v>2288</v>
      </c>
      <c r="C307" s="219" t="s">
        <v>466</v>
      </c>
      <c r="D307" s="216" t="s">
        <v>202</v>
      </c>
      <c r="E307" s="217" t="s">
        <v>996</v>
      </c>
      <c r="F307" s="217" t="s">
        <v>2</v>
      </c>
      <c r="G307" s="218">
        <v>27208</v>
      </c>
      <c r="H307" s="217" t="s">
        <v>830</v>
      </c>
      <c r="I307" s="217" t="s">
        <v>1148</v>
      </c>
      <c r="J307" s="217" t="s">
        <v>1143</v>
      </c>
      <c r="K307" s="217" t="s">
        <v>91</v>
      </c>
      <c r="L307" s="220">
        <v>83412349000</v>
      </c>
      <c r="M307" s="206">
        <v>27656534000</v>
      </c>
      <c r="N307" s="206">
        <v>55755815000</v>
      </c>
      <c r="O307" s="206">
        <v>65308350000</v>
      </c>
      <c r="P307" s="206">
        <v>2828569000</v>
      </c>
      <c r="Q307" s="206">
        <v>4175475000</v>
      </c>
      <c r="R307" s="206">
        <v>3701958000</v>
      </c>
      <c r="S307" s="406">
        <v>0</v>
      </c>
      <c r="T307" s="428">
        <f t="shared" si="93"/>
        <v>50</v>
      </c>
      <c r="U307" s="415">
        <f t="shared" si="94"/>
        <v>0.5</v>
      </c>
      <c r="V307" s="405">
        <v>0</v>
      </c>
      <c r="W307" s="428">
        <f t="shared" si="95"/>
        <v>50</v>
      </c>
      <c r="X307" s="415">
        <f t="shared" si="96"/>
        <v>0.5</v>
      </c>
      <c r="Y307" s="406">
        <v>1</v>
      </c>
      <c r="Z307" s="429">
        <v>0</v>
      </c>
      <c r="AA307" s="430">
        <f t="shared" si="97"/>
        <v>100</v>
      </c>
      <c r="AB307" s="415">
        <f t="shared" si="98"/>
        <v>1</v>
      </c>
      <c r="AC307" s="431">
        <v>12</v>
      </c>
      <c r="AD307" s="432">
        <f t="shared" si="99"/>
        <v>20</v>
      </c>
      <c r="AE307" s="433">
        <f t="shared" si="108"/>
        <v>0.8</v>
      </c>
      <c r="AF307" s="434" t="s">
        <v>2326</v>
      </c>
      <c r="AG307" s="434" t="s">
        <v>2326</v>
      </c>
      <c r="AH307" s="434" t="s">
        <v>2326</v>
      </c>
      <c r="AI307" s="362"/>
      <c r="AJ307" s="434" t="s">
        <v>2326</v>
      </c>
      <c r="AK307" s="434" t="s">
        <v>2326</v>
      </c>
      <c r="AL307" s="363"/>
      <c r="AM307" s="406">
        <v>0</v>
      </c>
      <c r="AN307" s="406">
        <v>0</v>
      </c>
      <c r="AO307" s="406">
        <v>0</v>
      </c>
      <c r="AP307" s="406">
        <v>0</v>
      </c>
      <c r="AQ307" s="406">
        <v>0</v>
      </c>
      <c r="AR307" s="406">
        <v>0</v>
      </c>
      <c r="AS307" s="406">
        <v>0</v>
      </c>
      <c r="AT307" s="406">
        <v>0</v>
      </c>
      <c r="AU307" s="407">
        <f t="shared" si="100"/>
        <v>0</v>
      </c>
      <c r="AV307" s="407">
        <f t="shared" si="101"/>
        <v>100</v>
      </c>
      <c r="AW307" s="408">
        <f t="shared" si="109"/>
        <v>5</v>
      </c>
      <c r="AX307" s="406">
        <v>0</v>
      </c>
      <c r="AY307" s="406">
        <v>0</v>
      </c>
      <c r="AZ307" s="406">
        <v>0</v>
      </c>
      <c r="BA307" s="406">
        <v>0</v>
      </c>
      <c r="BB307" s="430">
        <f t="shared" si="102"/>
        <v>0</v>
      </c>
      <c r="BC307" s="407">
        <f t="shared" si="103"/>
        <v>25</v>
      </c>
      <c r="BD307" s="408">
        <f t="shared" si="110"/>
        <v>0.75</v>
      </c>
      <c r="BE307" s="340">
        <f t="shared" si="104"/>
        <v>8.5500000000000007</v>
      </c>
    </row>
    <row r="308" spans="1:57" x14ac:dyDescent="0.6">
      <c r="A308" s="214" t="s">
        <v>373</v>
      </c>
      <c r="B308" s="13" t="s">
        <v>2289</v>
      </c>
      <c r="C308" s="219" t="s">
        <v>473</v>
      </c>
      <c r="D308" s="221" t="s">
        <v>350</v>
      </c>
      <c r="E308" s="217" t="s">
        <v>179</v>
      </c>
      <c r="F308" s="217" t="s">
        <v>648</v>
      </c>
      <c r="G308" s="218">
        <v>33033</v>
      </c>
      <c r="H308" s="217" t="s">
        <v>830</v>
      </c>
      <c r="I308" s="217" t="s">
        <v>826</v>
      </c>
      <c r="J308" s="217" t="s">
        <v>979</v>
      </c>
      <c r="K308" s="217" t="s">
        <v>91</v>
      </c>
      <c r="L308" s="220">
        <v>9431771000</v>
      </c>
      <c r="M308" s="206">
        <v>8215533000</v>
      </c>
      <c r="N308" s="206">
        <v>1216238000</v>
      </c>
      <c r="O308" s="206">
        <v>1147815000</v>
      </c>
      <c r="P308" s="206">
        <v>107043000</v>
      </c>
      <c r="Q308" s="206">
        <v>107816000</v>
      </c>
      <c r="R308" s="206">
        <v>80172000</v>
      </c>
      <c r="S308" s="406">
        <v>0</v>
      </c>
      <c r="T308" s="428">
        <f t="shared" si="93"/>
        <v>50</v>
      </c>
      <c r="U308" s="415">
        <f t="shared" si="94"/>
        <v>0.5</v>
      </c>
      <c r="V308" s="405">
        <v>0</v>
      </c>
      <c r="W308" s="428">
        <f t="shared" si="95"/>
        <v>50</v>
      </c>
      <c r="X308" s="415">
        <f t="shared" si="96"/>
        <v>0.5</v>
      </c>
      <c r="Y308" s="406">
        <v>0</v>
      </c>
      <c r="Z308" s="429">
        <v>0</v>
      </c>
      <c r="AA308" s="430">
        <f t="shared" si="97"/>
        <v>50</v>
      </c>
      <c r="AB308" s="415">
        <f t="shared" si="98"/>
        <v>0.5</v>
      </c>
      <c r="AC308" s="75">
        <v>0</v>
      </c>
      <c r="AD308" s="432">
        <f t="shared" si="99"/>
        <v>100</v>
      </c>
      <c r="AE308" s="435">
        <f>AD308*0.03</f>
        <v>3</v>
      </c>
      <c r="AF308" s="436">
        <v>0</v>
      </c>
      <c r="AG308" s="437">
        <f>(_xlfn.PERCENTRANK.INC(AF:AF,AF308, 2))*100</f>
        <v>0</v>
      </c>
      <c r="AH308" s="437">
        <f>IF(AF308=0, 100, IF(AG308&lt;10, 80, IF(AG308&lt;50, 60, IF(AG308&lt;90, 40, 20))))</f>
        <v>100</v>
      </c>
      <c r="AI308" s="263">
        <f>AH308*0.03</f>
        <v>3</v>
      </c>
      <c r="AJ308" s="264" t="s">
        <v>3540</v>
      </c>
      <c r="AK308" s="265">
        <f>IF(AJ308="우수", 100, IF(AJ308="양호", 80, IF(AJ308="보통", 60, IF(AJ308= "평가미대상", 60, IF(AJ308="미흡", 40, IF(AJ308="취약", 20))))))</f>
        <v>60</v>
      </c>
      <c r="AL308" s="141">
        <f>AK308*0.03</f>
        <v>1.7999999999999998</v>
      </c>
      <c r="AM308" s="406">
        <v>0</v>
      </c>
      <c r="AN308" s="406">
        <v>0</v>
      </c>
      <c r="AO308" s="406">
        <v>0</v>
      </c>
      <c r="AP308" s="406">
        <v>0</v>
      </c>
      <c r="AQ308" s="406">
        <v>0</v>
      </c>
      <c r="AR308" s="406">
        <v>0</v>
      </c>
      <c r="AS308" s="406">
        <v>0</v>
      </c>
      <c r="AT308" s="406">
        <v>0</v>
      </c>
      <c r="AU308" s="407">
        <f t="shared" si="100"/>
        <v>0</v>
      </c>
      <c r="AV308" s="407">
        <f t="shared" si="101"/>
        <v>100</v>
      </c>
      <c r="AW308" s="438">
        <f>AV308*0.02</f>
        <v>2</v>
      </c>
      <c r="AX308" s="406">
        <v>0</v>
      </c>
      <c r="AY308" s="406">
        <v>0</v>
      </c>
      <c r="AZ308" s="406">
        <v>0</v>
      </c>
      <c r="BA308" s="406">
        <v>0</v>
      </c>
      <c r="BB308" s="430">
        <f t="shared" si="102"/>
        <v>0</v>
      </c>
      <c r="BC308" s="407">
        <f t="shared" si="103"/>
        <v>25</v>
      </c>
      <c r="BD308" s="418">
        <f>BC308*0.01</f>
        <v>0.25</v>
      </c>
      <c r="BE308" s="340">
        <f t="shared" si="104"/>
        <v>11.55</v>
      </c>
    </row>
    <row r="309" spans="1:57" x14ac:dyDescent="0.6">
      <c r="A309" s="214" t="s">
        <v>914</v>
      </c>
      <c r="B309" s="13" t="s">
        <v>2290</v>
      </c>
      <c r="C309" s="219" t="s">
        <v>859</v>
      </c>
      <c r="D309" s="216" t="s">
        <v>285</v>
      </c>
      <c r="E309" s="217" t="s">
        <v>245</v>
      </c>
      <c r="F309" s="217" t="s">
        <v>130</v>
      </c>
      <c r="G309" s="218">
        <v>28460</v>
      </c>
      <c r="H309" s="217" t="s">
        <v>830</v>
      </c>
      <c r="I309" s="217" t="s">
        <v>1149</v>
      </c>
      <c r="J309" s="217" t="s">
        <v>641</v>
      </c>
      <c r="K309" s="217" t="s">
        <v>91</v>
      </c>
      <c r="L309" s="220">
        <v>1308741234</v>
      </c>
      <c r="M309" s="206">
        <v>878633042</v>
      </c>
      <c r="N309" s="206">
        <v>430108191</v>
      </c>
      <c r="O309" s="206">
        <v>4311279621</v>
      </c>
      <c r="P309" s="206">
        <v>29265563</v>
      </c>
      <c r="Q309" s="206">
        <v>78592213</v>
      </c>
      <c r="R309" s="206">
        <v>78671213</v>
      </c>
      <c r="S309" s="406">
        <v>0</v>
      </c>
      <c r="T309" s="428">
        <f t="shared" si="93"/>
        <v>50</v>
      </c>
      <c r="U309" s="415">
        <f t="shared" si="94"/>
        <v>0.5</v>
      </c>
      <c r="V309" s="405">
        <v>0</v>
      </c>
      <c r="W309" s="428">
        <f t="shared" si="95"/>
        <v>50</v>
      </c>
      <c r="X309" s="415">
        <f t="shared" si="96"/>
        <v>0.5</v>
      </c>
      <c r="Y309" s="406">
        <v>0</v>
      </c>
      <c r="Z309" s="429">
        <v>0</v>
      </c>
      <c r="AA309" s="430">
        <f t="shared" si="97"/>
        <v>50</v>
      </c>
      <c r="AB309" s="415">
        <f t="shared" si="98"/>
        <v>0.5</v>
      </c>
      <c r="AC309" s="431">
        <v>0</v>
      </c>
      <c r="AD309" s="432">
        <f>IF(AC309=0, 100, IF(AC309=1, 80, IF(AC309=2, 60, IF(AC309=3, 40, IF(AC309&gt;=4, 20)))))</f>
        <v>100</v>
      </c>
      <c r="AE309" s="433">
        <f>AD309*0.04</f>
        <v>4</v>
      </c>
      <c r="AF309" s="434" t="s">
        <v>2326</v>
      </c>
      <c r="AG309" s="434" t="s">
        <v>2326</v>
      </c>
      <c r="AH309" s="434" t="s">
        <v>2326</v>
      </c>
      <c r="AI309" s="362"/>
      <c r="AJ309" s="434" t="s">
        <v>2326</v>
      </c>
      <c r="AK309" s="434" t="s">
        <v>2326</v>
      </c>
      <c r="AL309" s="363"/>
      <c r="AM309" s="406">
        <v>0</v>
      </c>
      <c r="AN309" s="406">
        <v>0</v>
      </c>
      <c r="AO309" s="406">
        <v>0</v>
      </c>
      <c r="AP309" s="406">
        <v>0</v>
      </c>
      <c r="AQ309" s="406">
        <v>0</v>
      </c>
      <c r="AR309" s="406">
        <v>0</v>
      </c>
      <c r="AS309" s="406">
        <v>0</v>
      </c>
      <c r="AT309" s="406">
        <v>0</v>
      </c>
      <c r="AU309" s="407">
        <f t="shared" si="100"/>
        <v>0</v>
      </c>
      <c r="AV309" s="407">
        <f t="shared" si="101"/>
        <v>100</v>
      </c>
      <c r="AW309" s="408">
        <f>AV309*0.05</f>
        <v>5</v>
      </c>
      <c r="AX309" s="406">
        <v>0</v>
      </c>
      <c r="AY309" s="406">
        <v>0</v>
      </c>
      <c r="AZ309" s="406">
        <v>0</v>
      </c>
      <c r="BA309" s="406">
        <v>0</v>
      </c>
      <c r="BB309" s="430">
        <f t="shared" si="102"/>
        <v>0</v>
      </c>
      <c r="BC309" s="407">
        <f t="shared" si="103"/>
        <v>25</v>
      </c>
      <c r="BD309" s="408">
        <f>BC309*0.03</f>
        <v>0.75</v>
      </c>
      <c r="BE309" s="340">
        <f t="shared" si="104"/>
        <v>11.25</v>
      </c>
    </row>
    <row r="310" spans="1:57" x14ac:dyDescent="0.6">
      <c r="A310" s="214" t="s">
        <v>299</v>
      </c>
      <c r="B310" s="13" t="s">
        <v>2291</v>
      </c>
      <c r="C310" s="219" t="s">
        <v>530</v>
      </c>
      <c r="D310" s="221" t="s">
        <v>481</v>
      </c>
      <c r="E310" s="217" t="s">
        <v>704</v>
      </c>
      <c r="F310" s="217" t="s">
        <v>275</v>
      </c>
      <c r="G310" s="218">
        <v>32745</v>
      </c>
      <c r="H310" s="217" t="s">
        <v>830</v>
      </c>
      <c r="I310" s="217" t="s">
        <v>219</v>
      </c>
      <c r="J310" s="217" t="s">
        <v>957</v>
      </c>
      <c r="K310" s="217" t="s">
        <v>91</v>
      </c>
      <c r="L310" s="220">
        <v>51608012236</v>
      </c>
      <c r="M310" s="206">
        <v>47532258211</v>
      </c>
      <c r="N310" s="206">
        <v>4075754025</v>
      </c>
      <c r="O310" s="206">
        <v>14222654630</v>
      </c>
      <c r="P310" s="206">
        <v>798504080</v>
      </c>
      <c r="Q310" s="206">
        <v>768353165</v>
      </c>
      <c r="R310" s="206">
        <v>560901654</v>
      </c>
      <c r="S310" s="406">
        <v>0</v>
      </c>
      <c r="T310" s="428">
        <f t="shared" si="93"/>
        <v>50</v>
      </c>
      <c r="U310" s="415">
        <f t="shared" si="94"/>
        <v>0.5</v>
      </c>
      <c r="V310" s="405">
        <v>0</v>
      </c>
      <c r="W310" s="428">
        <f t="shared" si="95"/>
        <v>50</v>
      </c>
      <c r="X310" s="415">
        <f t="shared" si="96"/>
        <v>0.5</v>
      </c>
      <c r="Y310" s="406">
        <v>1</v>
      </c>
      <c r="Z310" s="429">
        <v>0</v>
      </c>
      <c r="AA310" s="430">
        <f t="shared" si="97"/>
        <v>100</v>
      </c>
      <c r="AB310" s="415">
        <f t="shared" si="98"/>
        <v>1</v>
      </c>
      <c r="AC310" s="75">
        <v>0</v>
      </c>
      <c r="AD310" s="432">
        <f>IF(AC310=0, 100, IF(AC310=1, 80, IF(AC310=2, 60, IF(AC310=3, 40, IF(AC310&gt;=4, 20)))))</f>
        <v>100</v>
      </c>
      <c r="AE310" s="435">
        <f>AD310*0.03</f>
        <v>3</v>
      </c>
      <c r="AF310" s="436">
        <v>14</v>
      </c>
      <c r="AG310" s="437">
        <f>(_xlfn.PERCENTRANK.INC(AF:AF,AF310, 2))*100</f>
        <v>88</v>
      </c>
      <c r="AH310" s="437">
        <f>IF(AF310=0, 100, IF(AG310&lt;10, 80, IF(AG310&lt;50, 60, IF(AG310&lt;90, 40, 20))))</f>
        <v>40</v>
      </c>
      <c r="AI310" s="263">
        <f>AH310*0.03</f>
        <v>1.2</v>
      </c>
      <c r="AJ310" s="264" t="s">
        <v>3540</v>
      </c>
      <c r="AK310" s="265">
        <f>IF(AJ310="우수", 100, IF(AJ310="양호", 80, IF(AJ310="보통", 60, IF(AJ310= "평가미대상", 60, IF(AJ310="미흡", 40, IF(AJ310="취약", 20))))))</f>
        <v>60</v>
      </c>
      <c r="AL310" s="141">
        <f>AK310*0.03</f>
        <v>1.7999999999999998</v>
      </c>
      <c r="AM310" s="406">
        <v>0</v>
      </c>
      <c r="AN310" s="406">
        <v>0</v>
      </c>
      <c r="AO310" s="406">
        <v>0</v>
      </c>
      <c r="AP310" s="406">
        <v>0</v>
      </c>
      <c r="AQ310" s="406">
        <v>0</v>
      </c>
      <c r="AR310" s="406">
        <v>0</v>
      </c>
      <c r="AS310" s="406">
        <v>0</v>
      </c>
      <c r="AT310" s="406">
        <v>0</v>
      </c>
      <c r="AU310" s="407">
        <f t="shared" si="100"/>
        <v>0</v>
      </c>
      <c r="AV310" s="407">
        <f t="shared" si="101"/>
        <v>100</v>
      </c>
      <c r="AW310" s="438">
        <f>AV310*0.02</f>
        <v>2</v>
      </c>
      <c r="AX310" s="406">
        <v>0</v>
      </c>
      <c r="AY310" s="406">
        <v>0</v>
      </c>
      <c r="AZ310" s="406">
        <v>0</v>
      </c>
      <c r="BA310" s="406">
        <v>0</v>
      </c>
      <c r="BB310" s="430">
        <f t="shared" si="102"/>
        <v>0</v>
      </c>
      <c r="BC310" s="407">
        <f t="shared" si="103"/>
        <v>25</v>
      </c>
      <c r="BD310" s="418">
        <f>BC310*0.01</f>
        <v>0.25</v>
      </c>
      <c r="BE310" s="340">
        <f t="shared" si="104"/>
        <v>10.25</v>
      </c>
    </row>
    <row r="311" spans="1:57" x14ac:dyDescent="0.6">
      <c r="A311" s="214" t="s">
        <v>936</v>
      </c>
      <c r="B311" s="13" t="s">
        <v>2292</v>
      </c>
      <c r="C311" s="219" t="s">
        <v>17</v>
      </c>
      <c r="D311" s="216" t="s">
        <v>285</v>
      </c>
      <c r="E311" s="217" t="s">
        <v>851</v>
      </c>
      <c r="F311" s="217" t="s">
        <v>1141</v>
      </c>
      <c r="G311" s="218">
        <v>40434</v>
      </c>
      <c r="H311" s="217" t="s">
        <v>830</v>
      </c>
      <c r="I311" s="217" t="s">
        <v>1013</v>
      </c>
      <c r="J311" s="217" t="s">
        <v>1147</v>
      </c>
      <c r="K311" s="217" t="s">
        <v>91</v>
      </c>
      <c r="L311" s="220">
        <v>1865948929</v>
      </c>
      <c r="M311" s="206">
        <v>318378114</v>
      </c>
      <c r="N311" s="206">
        <v>1547570816</v>
      </c>
      <c r="O311" s="206">
        <v>1101635299</v>
      </c>
      <c r="P311" s="206">
        <v>112712450</v>
      </c>
      <c r="Q311" s="206">
        <v>74367602</v>
      </c>
      <c r="R311" s="206">
        <v>67521538</v>
      </c>
      <c r="S311" s="406">
        <v>0</v>
      </c>
      <c r="T311" s="428">
        <f t="shared" si="93"/>
        <v>50</v>
      </c>
      <c r="U311" s="415">
        <f t="shared" si="94"/>
        <v>0.5</v>
      </c>
      <c r="V311" s="405">
        <v>1</v>
      </c>
      <c r="W311" s="428">
        <f t="shared" si="95"/>
        <v>100</v>
      </c>
      <c r="X311" s="415">
        <f t="shared" si="96"/>
        <v>1</v>
      </c>
      <c r="Y311" s="406">
        <v>1</v>
      </c>
      <c r="Z311" s="429">
        <v>0</v>
      </c>
      <c r="AA311" s="430">
        <f t="shared" si="97"/>
        <v>100</v>
      </c>
      <c r="AB311" s="415">
        <f t="shared" si="98"/>
        <v>1</v>
      </c>
      <c r="AC311" s="431">
        <v>0</v>
      </c>
      <c r="AD311" s="432">
        <f t="shared" ref="AD311:AD322" si="111">IF(AC311=0, 100, IF(AC311=1, 80, IF(AC311=2, 60, IF(AC311=3, 40, IF(AC311&gt;=4, 20)))))</f>
        <v>100</v>
      </c>
      <c r="AE311" s="433">
        <f t="shared" ref="AE311:AE321" si="112">AD311*0.04</f>
        <v>4</v>
      </c>
      <c r="AF311" s="434" t="s">
        <v>2326</v>
      </c>
      <c r="AG311" s="434" t="s">
        <v>2326</v>
      </c>
      <c r="AH311" s="434" t="s">
        <v>2326</v>
      </c>
      <c r="AI311" s="362"/>
      <c r="AJ311" s="434" t="s">
        <v>2326</v>
      </c>
      <c r="AK311" s="434" t="s">
        <v>2326</v>
      </c>
      <c r="AL311" s="363"/>
      <c r="AM311" s="406">
        <v>0</v>
      </c>
      <c r="AN311" s="406">
        <v>0</v>
      </c>
      <c r="AO311" s="406">
        <v>0</v>
      </c>
      <c r="AP311" s="406">
        <v>0</v>
      </c>
      <c r="AQ311" s="406">
        <v>0</v>
      </c>
      <c r="AR311" s="406">
        <v>0</v>
      </c>
      <c r="AS311" s="406">
        <v>0</v>
      </c>
      <c r="AT311" s="406">
        <v>0</v>
      </c>
      <c r="AU311" s="407">
        <f t="shared" si="100"/>
        <v>0</v>
      </c>
      <c r="AV311" s="407">
        <f t="shared" si="101"/>
        <v>100</v>
      </c>
      <c r="AW311" s="408">
        <f t="shared" ref="AW311:AW321" si="113">AV311*0.05</f>
        <v>5</v>
      </c>
      <c r="AX311" s="406">
        <v>0</v>
      </c>
      <c r="AY311" s="406">
        <v>0</v>
      </c>
      <c r="AZ311" s="406">
        <v>0</v>
      </c>
      <c r="BA311" s="406">
        <v>0</v>
      </c>
      <c r="BB311" s="430">
        <f t="shared" si="102"/>
        <v>0</v>
      </c>
      <c r="BC311" s="407">
        <f t="shared" si="103"/>
        <v>25</v>
      </c>
      <c r="BD311" s="408">
        <f t="shared" ref="BD311:BD321" si="114">BC311*0.03</f>
        <v>0.75</v>
      </c>
      <c r="BE311" s="340">
        <f t="shared" si="104"/>
        <v>12.25</v>
      </c>
    </row>
    <row r="312" spans="1:57" x14ac:dyDescent="0.6">
      <c r="A312" s="214" t="s">
        <v>318</v>
      </c>
      <c r="B312" s="13" t="s">
        <v>2293</v>
      </c>
      <c r="C312" s="219" t="s">
        <v>539</v>
      </c>
      <c r="D312" s="216" t="s">
        <v>285</v>
      </c>
      <c r="E312" s="217" t="s">
        <v>872</v>
      </c>
      <c r="F312" s="217" t="s">
        <v>44</v>
      </c>
      <c r="G312" s="218">
        <v>32415</v>
      </c>
      <c r="H312" s="217" t="s">
        <v>830</v>
      </c>
      <c r="I312" s="217" t="s">
        <v>435</v>
      </c>
      <c r="J312" s="217" t="s">
        <v>1145</v>
      </c>
      <c r="K312" s="217" t="s">
        <v>308</v>
      </c>
      <c r="L312" s="220">
        <v>564413385</v>
      </c>
      <c r="M312" s="206">
        <v>200073929</v>
      </c>
      <c r="N312" s="206">
        <v>364339456</v>
      </c>
      <c r="O312" s="206">
        <v>645826449</v>
      </c>
      <c r="P312" s="206">
        <v>23890019</v>
      </c>
      <c r="Q312" s="206">
        <v>40898213</v>
      </c>
      <c r="R312" s="206">
        <v>31433619</v>
      </c>
      <c r="S312" s="406">
        <v>0</v>
      </c>
      <c r="T312" s="428">
        <f t="shared" si="93"/>
        <v>50</v>
      </c>
      <c r="U312" s="415">
        <f t="shared" si="94"/>
        <v>0.5</v>
      </c>
      <c r="V312" s="405">
        <v>0</v>
      </c>
      <c r="W312" s="428">
        <f t="shared" si="95"/>
        <v>50</v>
      </c>
      <c r="X312" s="415">
        <f t="shared" si="96"/>
        <v>0.5</v>
      </c>
      <c r="Y312" s="406">
        <v>0</v>
      </c>
      <c r="Z312" s="429">
        <v>0</v>
      </c>
      <c r="AA312" s="430">
        <f t="shared" si="97"/>
        <v>50</v>
      </c>
      <c r="AB312" s="415">
        <f t="shared" si="98"/>
        <v>0.5</v>
      </c>
      <c r="AC312" s="431">
        <v>0</v>
      </c>
      <c r="AD312" s="432">
        <f t="shared" si="111"/>
        <v>100</v>
      </c>
      <c r="AE312" s="433">
        <f t="shared" si="112"/>
        <v>4</v>
      </c>
      <c r="AF312" s="434" t="s">
        <v>2326</v>
      </c>
      <c r="AG312" s="434" t="s">
        <v>2326</v>
      </c>
      <c r="AH312" s="434" t="s">
        <v>2326</v>
      </c>
      <c r="AI312" s="362"/>
      <c r="AJ312" s="434" t="s">
        <v>2326</v>
      </c>
      <c r="AK312" s="434" t="s">
        <v>2326</v>
      </c>
      <c r="AL312" s="363"/>
      <c r="AM312" s="406">
        <v>0</v>
      </c>
      <c r="AN312" s="406">
        <v>0</v>
      </c>
      <c r="AO312" s="406">
        <v>0</v>
      </c>
      <c r="AP312" s="406">
        <v>0</v>
      </c>
      <c r="AQ312" s="406">
        <v>0</v>
      </c>
      <c r="AR312" s="406">
        <v>0</v>
      </c>
      <c r="AS312" s="406">
        <v>0</v>
      </c>
      <c r="AT312" s="406">
        <v>0</v>
      </c>
      <c r="AU312" s="407">
        <f t="shared" si="100"/>
        <v>0</v>
      </c>
      <c r="AV312" s="407">
        <f t="shared" si="101"/>
        <v>100</v>
      </c>
      <c r="AW312" s="408">
        <f t="shared" si="113"/>
        <v>5</v>
      </c>
      <c r="AX312" s="406">
        <v>1</v>
      </c>
      <c r="AY312" s="406">
        <v>0</v>
      </c>
      <c r="AZ312" s="406">
        <v>0</v>
      </c>
      <c r="BA312" s="406">
        <v>0</v>
      </c>
      <c r="BB312" s="430">
        <f t="shared" si="102"/>
        <v>1</v>
      </c>
      <c r="BC312" s="407">
        <f t="shared" si="103"/>
        <v>50</v>
      </c>
      <c r="BD312" s="408">
        <f t="shared" si="114"/>
        <v>1.5</v>
      </c>
      <c r="BE312" s="340">
        <f t="shared" si="104"/>
        <v>12</v>
      </c>
    </row>
    <row r="313" spans="1:57" x14ac:dyDescent="0.6">
      <c r="A313" s="214" t="s">
        <v>1961</v>
      </c>
      <c r="B313" s="13" t="s">
        <v>2294</v>
      </c>
      <c r="C313" s="219" t="s">
        <v>1962</v>
      </c>
      <c r="D313" s="14" t="s">
        <v>202</v>
      </c>
      <c r="E313" s="217" t="s">
        <v>954</v>
      </c>
      <c r="F313" s="217" t="s">
        <v>1963</v>
      </c>
      <c r="G313" s="218">
        <v>44270</v>
      </c>
      <c r="H313" s="217" t="s">
        <v>830</v>
      </c>
      <c r="I313" s="217" t="s">
        <v>1964</v>
      </c>
      <c r="J313" s="217" t="s">
        <v>1965</v>
      </c>
      <c r="K313" s="217" t="s">
        <v>50</v>
      </c>
      <c r="L313" s="220">
        <v>395294330</v>
      </c>
      <c r="M313" s="206">
        <v>302633820</v>
      </c>
      <c r="N313" s="206">
        <v>92660510</v>
      </c>
      <c r="O313" s="206">
        <v>657241500</v>
      </c>
      <c r="P313" s="206">
        <v>12719529</v>
      </c>
      <c r="Q313" s="206">
        <v>15411762</v>
      </c>
      <c r="R313" s="206">
        <v>12684598</v>
      </c>
      <c r="S313" s="406">
        <v>0</v>
      </c>
      <c r="T313" s="428">
        <f t="shared" si="93"/>
        <v>50</v>
      </c>
      <c r="U313" s="415">
        <f t="shared" si="94"/>
        <v>0.5</v>
      </c>
      <c r="V313" s="405">
        <v>0</v>
      </c>
      <c r="W313" s="428">
        <f t="shared" si="95"/>
        <v>50</v>
      </c>
      <c r="X313" s="415">
        <f t="shared" si="96"/>
        <v>0.5</v>
      </c>
      <c r="Y313" s="406">
        <v>0</v>
      </c>
      <c r="Z313" s="429">
        <v>0</v>
      </c>
      <c r="AA313" s="430">
        <f t="shared" si="97"/>
        <v>50</v>
      </c>
      <c r="AB313" s="415">
        <f t="shared" si="98"/>
        <v>0.5</v>
      </c>
      <c r="AC313" s="431">
        <v>0</v>
      </c>
      <c r="AD313" s="432">
        <f t="shared" si="111"/>
        <v>100</v>
      </c>
      <c r="AE313" s="433">
        <f t="shared" si="112"/>
        <v>4</v>
      </c>
      <c r="AF313" s="434" t="s">
        <v>2326</v>
      </c>
      <c r="AG313" s="434" t="s">
        <v>2326</v>
      </c>
      <c r="AH313" s="434" t="s">
        <v>2326</v>
      </c>
      <c r="AI313" s="362"/>
      <c r="AJ313" s="434" t="s">
        <v>2326</v>
      </c>
      <c r="AK313" s="434" t="s">
        <v>2326</v>
      </c>
      <c r="AL313" s="363"/>
      <c r="AM313" s="406">
        <v>0</v>
      </c>
      <c r="AN313" s="406">
        <v>0</v>
      </c>
      <c r="AO313" s="406">
        <v>0</v>
      </c>
      <c r="AP313" s="406">
        <v>0</v>
      </c>
      <c r="AQ313" s="406">
        <v>0</v>
      </c>
      <c r="AR313" s="406">
        <v>0</v>
      </c>
      <c r="AS313" s="406">
        <v>0</v>
      </c>
      <c r="AT313" s="406">
        <v>0</v>
      </c>
      <c r="AU313" s="407">
        <f t="shared" si="100"/>
        <v>0</v>
      </c>
      <c r="AV313" s="407">
        <f t="shared" si="101"/>
        <v>100</v>
      </c>
      <c r="AW313" s="408">
        <f t="shared" si="113"/>
        <v>5</v>
      </c>
      <c r="AX313" s="406">
        <v>0</v>
      </c>
      <c r="AY313" s="406">
        <v>0</v>
      </c>
      <c r="AZ313" s="406">
        <v>0</v>
      </c>
      <c r="BA313" s="406">
        <v>0</v>
      </c>
      <c r="BB313" s="430">
        <f t="shared" si="102"/>
        <v>0</v>
      </c>
      <c r="BC313" s="407">
        <f t="shared" si="103"/>
        <v>25</v>
      </c>
      <c r="BD313" s="408">
        <f t="shared" si="114"/>
        <v>0.75</v>
      </c>
      <c r="BE313" s="340">
        <f t="shared" si="104"/>
        <v>11.25</v>
      </c>
    </row>
    <row r="314" spans="1:57" x14ac:dyDescent="0.6">
      <c r="A314" s="214" t="s">
        <v>1966</v>
      </c>
      <c r="B314" s="13" t="s">
        <v>2295</v>
      </c>
      <c r="C314" s="219" t="s">
        <v>456</v>
      </c>
      <c r="D314" s="216" t="s">
        <v>191</v>
      </c>
      <c r="E314" s="217" t="s">
        <v>359</v>
      </c>
      <c r="F314" s="217">
        <v>0</v>
      </c>
      <c r="G314" s="218">
        <v>42647</v>
      </c>
      <c r="H314" s="217" t="s">
        <v>830</v>
      </c>
      <c r="I314" s="217" t="s">
        <v>838</v>
      </c>
      <c r="J314" s="217" t="s">
        <v>674</v>
      </c>
      <c r="K314" s="217" t="s">
        <v>484</v>
      </c>
      <c r="L314" s="220">
        <v>385322070</v>
      </c>
      <c r="M314" s="206">
        <v>21439724</v>
      </c>
      <c r="N314" s="206">
        <v>363882347</v>
      </c>
      <c r="O314" s="206">
        <v>6697506</v>
      </c>
      <c r="P314" s="206">
        <v>3662683</v>
      </c>
      <c r="Q314" s="206">
        <v>13457274</v>
      </c>
      <c r="R314" s="206">
        <v>10765577</v>
      </c>
      <c r="S314" s="406">
        <v>0</v>
      </c>
      <c r="T314" s="428">
        <f t="shared" si="93"/>
        <v>50</v>
      </c>
      <c r="U314" s="415">
        <f t="shared" si="94"/>
        <v>0.5</v>
      </c>
      <c r="V314" s="405">
        <v>0</v>
      </c>
      <c r="W314" s="428">
        <f t="shared" si="95"/>
        <v>50</v>
      </c>
      <c r="X314" s="415">
        <f t="shared" si="96"/>
        <v>0.5</v>
      </c>
      <c r="Y314" s="406">
        <v>0</v>
      </c>
      <c r="Z314" s="429">
        <v>0</v>
      </c>
      <c r="AA314" s="430">
        <f t="shared" si="97"/>
        <v>50</v>
      </c>
      <c r="AB314" s="415">
        <f t="shared" si="98"/>
        <v>0.5</v>
      </c>
      <c r="AC314" s="431">
        <v>0</v>
      </c>
      <c r="AD314" s="432">
        <f t="shared" si="111"/>
        <v>100</v>
      </c>
      <c r="AE314" s="433">
        <f t="shared" si="112"/>
        <v>4</v>
      </c>
      <c r="AF314" s="434" t="s">
        <v>2326</v>
      </c>
      <c r="AG314" s="434" t="s">
        <v>2326</v>
      </c>
      <c r="AH314" s="434" t="s">
        <v>2326</v>
      </c>
      <c r="AI314" s="362"/>
      <c r="AJ314" s="434" t="s">
        <v>2326</v>
      </c>
      <c r="AK314" s="434" t="s">
        <v>2326</v>
      </c>
      <c r="AL314" s="363"/>
      <c r="AM314" s="406">
        <v>0</v>
      </c>
      <c r="AN314" s="406">
        <v>0</v>
      </c>
      <c r="AO314" s="406">
        <v>0</v>
      </c>
      <c r="AP314" s="406">
        <v>0</v>
      </c>
      <c r="AQ314" s="406">
        <v>0</v>
      </c>
      <c r="AR314" s="406">
        <v>0</v>
      </c>
      <c r="AS314" s="406">
        <v>0</v>
      </c>
      <c r="AT314" s="406">
        <v>0</v>
      </c>
      <c r="AU314" s="407">
        <f t="shared" si="100"/>
        <v>0</v>
      </c>
      <c r="AV314" s="407">
        <f t="shared" si="101"/>
        <v>100</v>
      </c>
      <c r="AW314" s="408">
        <f t="shared" si="113"/>
        <v>5</v>
      </c>
      <c r="AX314" s="406">
        <v>0</v>
      </c>
      <c r="AY314" s="406">
        <v>0</v>
      </c>
      <c r="AZ314" s="406">
        <v>0</v>
      </c>
      <c r="BA314" s="406">
        <v>0</v>
      </c>
      <c r="BB314" s="430">
        <f t="shared" si="102"/>
        <v>0</v>
      </c>
      <c r="BC314" s="407">
        <f t="shared" si="103"/>
        <v>25</v>
      </c>
      <c r="BD314" s="408">
        <f t="shared" si="114"/>
        <v>0.75</v>
      </c>
      <c r="BE314" s="340">
        <f t="shared" si="104"/>
        <v>11.25</v>
      </c>
    </row>
    <row r="315" spans="1:57" x14ac:dyDescent="0.6">
      <c r="A315" s="214" t="s">
        <v>110</v>
      </c>
      <c r="B315" s="13" t="s">
        <v>2296</v>
      </c>
      <c r="C315" s="219" t="s">
        <v>415</v>
      </c>
      <c r="D315" s="216" t="s">
        <v>202</v>
      </c>
      <c r="E315" s="217" t="s">
        <v>572</v>
      </c>
      <c r="F315" s="217" t="s">
        <v>140</v>
      </c>
      <c r="G315" s="218">
        <v>36482</v>
      </c>
      <c r="H315" s="217" t="s">
        <v>830</v>
      </c>
      <c r="I315" s="217" t="s">
        <v>574</v>
      </c>
      <c r="J315" s="217" t="s">
        <v>1128</v>
      </c>
      <c r="K315" s="217" t="s">
        <v>487</v>
      </c>
      <c r="L315" s="220">
        <v>431960683</v>
      </c>
      <c r="M315" s="206">
        <v>113198118</v>
      </c>
      <c r="N315" s="206">
        <v>318762565</v>
      </c>
      <c r="O315" s="206">
        <v>214284471</v>
      </c>
      <c r="P315" s="206">
        <v>4478641</v>
      </c>
      <c r="Q315" s="206">
        <v>40192166</v>
      </c>
      <c r="R315" s="206">
        <v>33648333</v>
      </c>
      <c r="S315" s="406">
        <v>0</v>
      </c>
      <c r="T315" s="428">
        <f t="shared" si="93"/>
        <v>50</v>
      </c>
      <c r="U315" s="415">
        <f t="shared" si="94"/>
        <v>0.5</v>
      </c>
      <c r="V315" s="405">
        <v>0</v>
      </c>
      <c r="W315" s="428">
        <f t="shared" si="95"/>
        <v>50</v>
      </c>
      <c r="X315" s="415">
        <f t="shared" si="96"/>
        <v>0.5</v>
      </c>
      <c r="Y315" s="406">
        <v>0</v>
      </c>
      <c r="Z315" s="429">
        <v>0</v>
      </c>
      <c r="AA315" s="430">
        <f t="shared" si="97"/>
        <v>50</v>
      </c>
      <c r="AB315" s="415">
        <f t="shared" si="98"/>
        <v>0.5</v>
      </c>
      <c r="AC315" s="431">
        <v>0</v>
      </c>
      <c r="AD315" s="432">
        <f t="shared" si="111"/>
        <v>100</v>
      </c>
      <c r="AE315" s="433">
        <f t="shared" si="112"/>
        <v>4</v>
      </c>
      <c r="AF315" s="434" t="s">
        <v>2326</v>
      </c>
      <c r="AG315" s="434" t="s">
        <v>2326</v>
      </c>
      <c r="AH315" s="434" t="s">
        <v>2326</v>
      </c>
      <c r="AI315" s="362"/>
      <c r="AJ315" s="434" t="s">
        <v>2326</v>
      </c>
      <c r="AK315" s="434" t="s">
        <v>2326</v>
      </c>
      <c r="AL315" s="363"/>
      <c r="AM315" s="406">
        <v>0</v>
      </c>
      <c r="AN315" s="406">
        <v>0</v>
      </c>
      <c r="AO315" s="406">
        <v>0</v>
      </c>
      <c r="AP315" s="406">
        <v>0</v>
      </c>
      <c r="AQ315" s="406">
        <v>0</v>
      </c>
      <c r="AR315" s="406">
        <v>0</v>
      </c>
      <c r="AS315" s="406">
        <v>0</v>
      </c>
      <c r="AT315" s="406">
        <v>0</v>
      </c>
      <c r="AU315" s="407">
        <f t="shared" si="100"/>
        <v>0</v>
      </c>
      <c r="AV315" s="407">
        <f t="shared" si="101"/>
        <v>100</v>
      </c>
      <c r="AW315" s="408">
        <f t="shared" si="113"/>
        <v>5</v>
      </c>
      <c r="AX315" s="406">
        <v>0</v>
      </c>
      <c r="AY315" s="406">
        <v>0</v>
      </c>
      <c r="AZ315" s="406">
        <v>0</v>
      </c>
      <c r="BA315" s="406">
        <v>0</v>
      </c>
      <c r="BB315" s="430">
        <f t="shared" si="102"/>
        <v>0</v>
      </c>
      <c r="BC315" s="407">
        <f t="shared" si="103"/>
        <v>25</v>
      </c>
      <c r="BD315" s="408">
        <f t="shared" si="114"/>
        <v>0.75</v>
      </c>
      <c r="BE315" s="340">
        <f t="shared" si="104"/>
        <v>11.25</v>
      </c>
    </row>
    <row r="316" spans="1:57" x14ac:dyDescent="0.6">
      <c r="A316" s="214" t="s">
        <v>526</v>
      </c>
      <c r="B316" s="13" t="s">
        <v>2297</v>
      </c>
      <c r="C316" s="219" t="s">
        <v>294</v>
      </c>
      <c r="D316" s="216" t="s">
        <v>203</v>
      </c>
      <c r="E316" s="217" t="s">
        <v>200</v>
      </c>
      <c r="F316" s="217" t="s">
        <v>614</v>
      </c>
      <c r="G316" s="218">
        <v>40115</v>
      </c>
      <c r="H316" s="217" t="s">
        <v>830</v>
      </c>
      <c r="I316" s="217" t="s">
        <v>841</v>
      </c>
      <c r="J316" s="217" t="s">
        <v>1127</v>
      </c>
      <c r="K316" s="217" t="s">
        <v>690</v>
      </c>
      <c r="L316" s="220">
        <v>292166785</v>
      </c>
      <c r="M316" s="206">
        <v>44275143</v>
      </c>
      <c r="N316" s="206">
        <v>247891642</v>
      </c>
      <c r="O316" s="206">
        <v>161284519</v>
      </c>
      <c r="P316" s="206">
        <v>27840640</v>
      </c>
      <c r="Q316" s="206">
        <v>28718534</v>
      </c>
      <c r="R316" s="206">
        <v>22454629</v>
      </c>
      <c r="S316" s="406">
        <v>0</v>
      </c>
      <c r="T316" s="428">
        <f t="shared" si="93"/>
        <v>50</v>
      </c>
      <c r="U316" s="415">
        <f t="shared" si="94"/>
        <v>0.5</v>
      </c>
      <c r="V316" s="405">
        <v>0</v>
      </c>
      <c r="W316" s="428">
        <f t="shared" si="95"/>
        <v>50</v>
      </c>
      <c r="X316" s="415">
        <f t="shared" si="96"/>
        <v>0.5</v>
      </c>
      <c r="Y316" s="406">
        <v>0</v>
      </c>
      <c r="Z316" s="429">
        <v>0</v>
      </c>
      <c r="AA316" s="430">
        <f t="shared" si="97"/>
        <v>50</v>
      </c>
      <c r="AB316" s="415">
        <f t="shared" si="98"/>
        <v>0.5</v>
      </c>
      <c r="AC316" s="431">
        <v>0</v>
      </c>
      <c r="AD316" s="432">
        <f t="shared" si="111"/>
        <v>100</v>
      </c>
      <c r="AE316" s="433">
        <f t="shared" si="112"/>
        <v>4</v>
      </c>
      <c r="AF316" s="434" t="s">
        <v>2326</v>
      </c>
      <c r="AG316" s="434" t="s">
        <v>2326</v>
      </c>
      <c r="AH316" s="434" t="s">
        <v>2326</v>
      </c>
      <c r="AI316" s="362"/>
      <c r="AJ316" s="434" t="s">
        <v>2326</v>
      </c>
      <c r="AK316" s="434" t="s">
        <v>2326</v>
      </c>
      <c r="AL316" s="363"/>
      <c r="AM316" s="406">
        <v>0</v>
      </c>
      <c r="AN316" s="406">
        <v>0</v>
      </c>
      <c r="AO316" s="406">
        <v>0</v>
      </c>
      <c r="AP316" s="406">
        <v>0</v>
      </c>
      <c r="AQ316" s="406">
        <v>0</v>
      </c>
      <c r="AR316" s="406">
        <v>0</v>
      </c>
      <c r="AS316" s="406">
        <v>0</v>
      </c>
      <c r="AT316" s="406">
        <v>0</v>
      </c>
      <c r="AU316" s="407">
        <f t="shared" si="100"/>
        <v>0</v>
      </c>
      <c r="AV316" s="407">
        <f t="shared" si="101"/>
        <v>100</v>
      </c>
      <c r="AW316" s="408">
        <f t="shared" si="113"/>
        <v>5</v>
      </c>
      <c r="AX316" s="406">
        <v>0</v>
      </c>
      <c r="AY316" s="406">
        <v>0</v>
      </c>
      <c r="AZ316" s="406">
        <v>0</v>
      </c>
      <c r="BA316" s="406">
        <v>0</v>
      </c>
      <c r="BB316" s="430">
        <f t="shared" si="102"/>
        <v>0</v>
      </c>
      <c r="BC316" s="407">
        <f t="shared" si="103"/>
        <v>25</v>
      </c>
      <c r="BD316" s="408">
        <f t="shared" si="114"/>
        <v>0.75</v>
      </c>
      <c r="BE316" s="340">
        <f t="shared" si="104"/>
        <v>11.25</v>
      </c>
    </row>
    <row r="317" spans="1:57" x14ac:dyDescent="0.6">
      <c r="A317" s="214" t="s">
        <v>926</v>
      </c>
      <c r="B317" s="13" t="s">
        <v>2298</v>
      </c>
      <c r="C317" s="219" t="s">
        <v>10</v>
      </c>
      <c r="D317" s="216" t="s">
        <v>285</v>
      </c>
      <c r="E317" s="217" t="s">
        <v>619</v>
      </c>
      <c r="F317" s="217" t="s">
        <v>667</v>
      </c>
      <c r="G317" s="218">
        <v>39380</v>
      </c>
      <c r="H317" s="217" t="s">
        <v>830</v>
      </c>
      <c r="I317" s="217" t="s">
        <v>705</v>
      </c>
      <c r="J317" s="217" t="s">
        <v>1214</v>
      </c>
      <c r="K317" s="217" t="s">
        <v>91</v>
      </c>
      <c r="L317" s="220">
        <v>176403782</v>
      </c>
      <c r="M317" s="206">
        <v>111131085</v>
      </c>
      <c r="N317" s="206">
        <v>65272696</v>
      </c>
      <c r="O317" s="206">
        <v>510498450</v>
      </c>
      <c r="P317" s="206">
        <v>22273886</v>
      </c>
      <c r="Q317" s="206">
        <v>19802511</v>
      </c>
      <c r="R317" s="206">
        <v>15083749</v>
      </c>
      <c r="S317" s="406">
        <v>0</v>
      </c>
      <c r="T317" s="428">
        <f t="shared" si="93"/>
        <v>50</v>
      </c>
      <c r="U317" s="415">
        <f t="shared" si="94"/>
        <v>0.5</v>
      </c>
      <c r="V317" s="405">
        <v>0</v>
      </c>
      <c r="W317" s="428">
        <f t="shared" si="95"/>
        <v>50</v>
      </c>
      <c r="X317" s="415">
        <f t="shared" si="96"/>
        <v>0.5</v>
      </c>
      <c r="Y317" s="406">
        <v>1</v>
      </c>
      <c r="Z317" s="429">
        <v>0</v>
      </c>
      <c r="AA317" s="430">
        <f t="shared" si="97"/>
        <v>100</v>
      </c>
      <c r="AB317" s="415">
        <f t="shared" si="98"/>
        <v>1</v>
      </c>
      <c r="AC317" s="431">
        <v>0</v>
      </c>
      <c r="AD317" s="432">
        <f t="shared" si="111"/>
        <v>100</v>
      </c>
      <c r="AE317" s="433">
        <f t="shared" si="112"/>
        <v>4</v>
      </c>
      <c r="AF317" s="434" t="s">
        <v>2326</v>
      </c>
      <c r="AG317" s="434" t="s">
        <v>2326</v>
      </c>
      <c r="AH317" s="434" t="s">
        <v>2326</v>
      </c>
      <c r="AI317" s="362"/>
      <c r="AJ317" s="434" t="s">
        <v>2326</v>
      </c>
      <c r="AK317" s="434" t="s">
        <v>2326</v>
      </c>
      <c r="AL317" s="363"/>
      <c r="AM317" s="406">
        <v>0</v>
      </c>
      <c r="AN317" s="406">
        <v>0</v>
      </c>
      <c r="AO317" s="406">
        <v>0</v>
      </c>
      <c r="AP317" s="406">
        <v>0</v>
      </c>
      <c r="AQ317" s="406">
        <v>0</v>
      </c>
      <c r="AR317" s="406">
        <v>0</v>
      </c>
      <c r="AS317" s="406">
        <v>0</v>
      </c>
      <c r="AT317" s="406">
        <v>0</v>
      </c>
      <c r="AU317" s="407">
        <f t="shared" si="100"/>
        <v>0</v>
      </c>
      <c r="AV317" s="407">
        <f t="shared" si="101"/>
        <v>100</v>
      </c>
      <c r="AW317" s="408">
        <f t="shared" si="113"/>
        <v>5</v>
      </c>
      <c r="AX317" s="406">
        <v>0</v>
      </c>
      <c r="AY317" s="406">
        <v>0</v>
      </c>
      <c r="AZ317" s="406">
        <v>0</v>
      </c>
      <c r="BA317" s="406">
        <v>0</v>
      </c>
      <c r="BB317" s="430">
        <f t="shared" si="102"/>
        <v>0</v>
      </c>
      <c r="BC317" s="407">
        <f t="shared" si="103"/>
        <v>25</v>
      </c>
      <c r="BD317" s="408">
        <f t="shared" si="114"/>
        <v>0.75</v>
      </c>
      <c r="BE317" s="340">
        <f t="shared" si="104"/>
        <v>11.75</v>
      </c>
    </row>
    <row r="318" spans="1:57" x14ac:dyDescent="0.6">
      <c r="A318" s="214" t="s">
        <v>1967</v>
      </c>
      <c r="B318" s="13" t="s">
        <v>2299</v>
      </c>
      <c r="C318" s="219" t="s">
        <v>1968</v>
      </c>
      <c r="D318" s="14" t="s">
        <v>203</v>
      </c>
      <c r="E318" s="217" t="s">
        <v>240</v>
      </c>
      <c r="F318" s="217" t="s">
        <v>1969</v>
      </c>
      <c r="G318" s="218">
        <v>43294</v>
      </c>
      <c r="H318" s="217" t="s">
        <v>830</v>
      </c>
      <c r="I318" s="217" t="s">
        <v>1970</v>
      </c>
      <c r="J318" s="217" t="s">
        <v>1971</v>
      </c>
      <c r="K318" s="217" t="s">
        <v>91</v>
      </c>
      <c r="L318" s="220">
        <v>1354651786</v>
      </c>
      <c r="M318" s="206">
        <v>616821573</v>
      </c>
      <c r="N318" s="206">
        <v>737830213</v>
      </c>
      <c r="O318" s="206">
        <v>858081181</v>
      </c>
      <c r="P318" s="206">
        <v>96465703</v>
      </c>
      <c r="Q318" s="206">
        <v>259022901</v>
      </c>
      <c r="R318" s="206">
        <v>212549126</v>
      </c>
      <c r="S318" s="406">
        <v>0</v>
      </c>
      <c r="T318" s="428">
        <f t="shared" si="93"/>
        <v>50</v>
      </c>
      <c r="U318" s="415">
        <f t="shared" si="94"/>
        <v>0.5</v>
      </c>
      <c r="V318" s="405">
        <v>0</v>
      </c>
      <c r="W318" s="428">
        <f t="shared" si="95"/>
        <v>50</v>
      </c>
      <c r="X318" s="415">
        <f t="shared" si="96"/>
        <v>0.5</v>
      </c>
      <c r="Y318" s="406">
        <v>0</v>
      </c>
      <c r="Z318" s="429">
        <v>0</v>
      </c>
      <c r="AA318" s="430">
        <f t="shared" si="97"/>
        <v>50</v>
      </c>
      <c r="AB318" s="415">
        <f t="shared" si="98"/>
        <v>0.5</v>
      </c>
      <c r="AC318" s="431">
        <v>0</v>
      </c>
      <c r="AD318" s="432">
        <f t="shared" si="111"/>
        <v>100</v>
      </c>
      <c r="AE318" s="433">
        <f t="shared" si="112"/>
        <v>4</v>
      </c>
      <c r="AF318" s="434" t="s">
        <v>2326</v>
      </c>
      <c r="AG318" s="434" t="s">
        <v>2326</v>
      </c>
      <c r="AH318" s="434" t="s">
        <v>2326</v>
      </c>
      <c r="AI318" s="362"/>
      <c r="AJ318" s="434" t="s">
        <v>2326</v>
      </c>
      <c r="AK318" s="434" t="s">
        <v>2326</v>
      </c>
      <c r="AL318" s="363"/>
      <c r="AM318" s="406">
        <v>0</v>
      </c>
      <c r="AN318" s="406">
        <v>0</v>
      </c>
      <c r="AO318" s="406">
        <v>0</v>
      </c>
      <c r="AP318" s="406">
        <v>0</v>
      </c>
      <c r="AQ318" s="406">
        <v>0</v>
      </c>
      <c r="AR318" s="406">
        <v>0</v>
      </c>
      <c r="AS318" s="406">
        <v>0</v>
      </c>
      <c r="AT318" s="406">
        <v>0</v>
      </c>
      <c r="AU318" s="407">
        <f t="shared" si="100"/>
        <v>0</v>
      </c>
      <c r="AV318" s="407">
        <f t="shared" si="101"/>
        <v>100</v>
      </c>
      <c r="AW318" s="408">
        <f t="shared" si="113"/>
        <v>5</v>
      </c>
      <c r="AX318" s="406">
        <v>0</v>
      </c>
      <c r="AY318" s="406">
        <v>0</v>
      </c>
      <c r="AZ318" s="406">
        <v>0</v>
      </c>
      <c r="BA318" s="406">
        <v>0</v>
      </c>
      <c r="BB318" s="430">
        <f t="shared" si="102"/>
        <v>0</v>
      </c>
      <c r="BC318" s="407">
        <f t="shared" si="103"/>
        <v>25</v>
      </c>
      <c r="BD318" s="408">
        <f t="shared" si="114"/>
        <v>0.75</v>
      </c>
      <c r="BE318" s="340">
        <f t="shared" si="104"/>
        <v>11.25</v>
      </c>
    </row>
    <row r="319" spans="1:57" x14ac:dyDescent="0.6">
      <c r="A319" s="214" t="s">
        <v>72</v>
      </c>
      <c r="B319" s="13" t="s">
        <v>2300</v>
      </c>
      <c r="C319" s="219" t="s">
        <v>424</v>
      </c>
      <c r="D319" s="216" t="s">
        <v>203</v>
      </c>
      <c r="E319" s="217" t="s">
        <v>240</v>
      </c>
      <c r="F319" s="217" t="s">
        <v>669</v>
      </c>
      <c r="G319" s="218">
        <v>43294</v>
      </c>
      <c r="H319" s="217" t="s">
        <v>830</v>
      </c>
      <c r="I319" s="217" t="s">
        <v>815</v>
      </c>
      <c r="J319" s="217" t="s">
        <v>1220</v>
      </c>
      <c r="K319" s="217" t="s">
        <v>91</v>
      </c>
      <c r="L319" s="220">
        <v>1677616350</v>
      </c>
      <c r="M319" s="206">
        <v>845718444</v>
      </c>
      <c r="N319" s="206">
        <v>831897906</v>
      </c>
      <c r="O319" s="206">
        <v>5364505670</v>
      </c>
      <c r="P319" s="206">
        <v>178825560</v>
      </c>
      <c r="Q319" s="206">
        <v>303615954</v>
      </c>
      <c r="R319" s="206">
        <v>289706110</v>
      </c>
      <c r="S319" s="406">
        <v>0</v>
      </c>
      <c r="T319" s="428">
        <f t="shared" si="93"/>
        <v>50</v>
      </c>
      <c r="U319" s="415">
        <f t="shared" si="94"/>
        <v>0.5</v>
      </c>
      <c r="V319" s="405">
        <v>0</v>
      </c>
      <c r="W319" s="428">
        <f t="shared" si="95"/>
        <v>50</v>
      </c>
      <c r="X319" s="415">
        <f t="shared" si="96"/>
        <v>0.5</v>
      </c>
      <c r="Y319" s="406">
        <v>0</v>
      </c>
      <c r="Z319" s="429">
        <v>0</v>
      </c>
      <c r="AA319" s="430">
        <f t="shared" si="97"/>
        <v>50</v>
      </c>
      <c r="AB319" s="415">
        <f t="shared" si="98"/>
        <v>0.5</v>
      </c>
      <c r="AC319" s="431">
        <v>0</v>
      </c>
      <c r="AD319" s="432">
        <f t="shared" si="111"/>
        <v>100</v>
      </c>
      <c r="AE319" s="433">
        <f t="shared" si="112"/>
        <v>4</v>
      </c>
      <c r="AF319" s="434" t="s">
        <v>2326</v>
      </c>
      <c r="AG319" s="434" t="s">
        <v>2326</v>
      </c>
      <c r="AH319" s="434" t="s">
        <v>2326</v>
      </c>
      <c r="AI319" s="362"/>
      <c r="AJ319" s="434" t="s">
        <v>2326</v>
      </c>
      <c r="AK319" s="434" t="s">
        <v>2326</v>
      </c>
      <c r="AL319" s="363"/>
      <c r="AM319" s="406">
        <v>0</v>
      </c>
      <c r="AN319" s="406">
        <v>0</v>
      </c>
      <c r="AO319" s="406">
        <v>0</v>
      </c>
      <c r="AP319" s="406">
        <v>0</v>
      </c>
      <c r="AQ319" s="406">
        <v>0</v>
      </c>
      <c r="AR319" s="406">
        <v>0</v>
      </c>
      <c r="AS319" s="406">
        <v>0</v>
      </c>
      <c r="AT319" s="406">
        <v>0</v>
      </c>
      <c r="AU319" s="407">
        <f t="shared" si="100"/>
        <v>0</v>
      </c>
      <c r="AV319" s="407">
        <f t="shared" si="101"/>
        <v>100</v>
      </c>
      <c r="AW319" s="408">
        <f t="shared" si="113"/>
        <v>5</v>
      </c>
      <c r="AX319" s="406">
        <v>0</v>
      </c>
      <c r="AY319" s="406">
        <v>0</v>
      </c>
      <c r="AZ319" s="406">
        <v>0</v>
      </c>
      <c r="BA319" s="406">
        <v>0</v>
      </c>
      <c r="BB319" s="430">
        <f t="shared" si="102"/>
        <v>0</v>
      </c>
      <c r="BC319" s="407">
        <f t="shared" si="103"/>
        <v>25</v>
      </c>
      <c r="BD319" s="408">
        <f t="shared" si="114"/>
        <v>0.75</v>
      </c>
      <c r="BE319" s="340">
        <f t="shared" si="104"/>
        <v>11.25</v>
      </c>
    </row>
    <row r="320" spans="1:57" x14ac:dyDescent="0.6">
      <c r="A320" s="214" t="s">
        <v>1972</v>
      </c>
      <c r="B320" s="13" t="s">
        <v>2301</v>
      </c>
      <c r="C320" s="219" t="s">
        <v>1973</v>
      </c>
      <c r="D320" s="14" t="s">
        <v>203</v>
      </c>
      <c r="E320" s="217" t="s">
        <v>180</v>
      </c>
      <c r="F320" s="217" t="s">
        <v>1974</v>
      </c>
      <c r="G320" s="218">
        <v>39073</v>
      </c>
      <c r="H320" s="217" t="s">
        <v>830</v>
      </c>
      <c r="I320" s="217" t="s">
        <v>1975</v>
      </c>
      <c r="J320" s="217" t="s">
        <v>1976</v>
      </c>
      <c r="K320" s="217" t="s">
        <v>690</v>
      </c>
      <c r="L320" s="220">
        <v>554634238</v>
      </c>
      <c r="M320" s="206">
        <v>196390631</v>
      </c>
      <c r="N320" s="206">
        <v>358243607</v>
      </c>
      <c r="O320" s="206">
        <v>413339538</v>
      </c>
      <c r="P320" s="206">
        <v>76175846</v>
      </c>
      <c r="Q320" s="206">
        <v>71041699</v>
      </c>
      <c r="R320" s="206">
        <v>55937358</v>
      </c>
      <c r="S320" s="406">
        <v>0</v>
      </c>
      <c r="T320" s="428">
        <f t="shared" si="93"/>
        <v>50</v>
      </c>
      <c r="U320" s="415">
        <f t="shared" si="94"/>
        <v>0.5</v>
      </c>
      <c r="V320" s="405">
        <v>0</v>
      </c>
      <c r="W320" s="428">
        <f t="shared" si="95"/>
        <v>50</v>
      </c>
      <c r="X320" s="415">
        <f t="shared" si="96"/>
        <v>0.5</v>
      </c>
      <c r="Y320" s="406">
        <v>0</v>
      </c>
      <c r="Z320" s="429">
        <v>0</v>
      </c>
      <c r="AA320" s="430">
        <f t="shared" si="97"/>
        <v>50</v>
      </c>
      <c r="AB320" s="415">
        <f t="shared" si="98"/>
        <v>0.5</v>
      </c>
      <c r="AC320" s="431">
        <v>0</v>
      </c>
      <c r="AD320" s="432">
        <f t="shared" si="111"/>
        <v>100</v>
      </c>
      <c r="AE320" s="433">
        <f t="shared" si="112"/>
        <v>4</v>
      </c>
      <c r="AF320" s="434" t="s">
        <v>2326</v>
      </c>
      <c r="AG320" s="434" t="s">
        <v>2326</v>
      </c>
      <c r="AH320" s="434" t="s">
        <v>2326</v>
      </c>
      <c r="AI320" s="362"/>
      <c r="AJ320" s="434" t="s">
        <v>2326</v>
      </c>
      <c r="AK320" s="434" t="s">
        <v>2326</v>
      </c>
      <c r="AL320" s="363"/>
      <c r="AM320" s="406">
        <v>0</v>
      </c>
      <c r="AN320" s="406">
        <v>0</v>
      </c>
      <c r="AO320" s="406">
        <v>0</v>
      </c>
      <c r="AP320" s="406">
        <v>0</v>
      </c>
      <c r="AQ320" s="406">
        <v>0</v>
      </c>
      <c r="AR320" s="406">
        <v>0</v>
      </c>
      <c r="AS320" s="406">
        <v>0</v>
      </c>
      <c r="AT320" s="406">
        <v>0</v>
      </c>
      <c r="AU320" s="407">
        <f t="shared" si="100"/>
        <v>0</v>
      </c>
      <c r="AV320" s="407">
        <f t="shared" si="101"/>
        <v>100</v>
      </c>
      <c r="AW320" s="408">
        <f t="shared" si="113"/>
        <v>5</v>
      </c>
      <c r="AX320" s="406">
        <v>0</v>
      </c>
      <c r="AY320" s="406">
        <v>0</v>
      </c>
      <c r="AZ320" s="406">
        <v>0</v>
      </c>
      <c r="BA320" s="406">
        <v>0</v>
      </c>
      <c r="BB320" s="430">
        <f t="shared" si="102"/>
        <v>0</v>
      </c>
      <c r="BC320" s="407">
        <f t="shared" si="103"/>
        <v>25</v>
      </c>
      <c r="BD320" s="408">
        <f t="shared" si="114"/>
        <v>0.75</v>
      </c>
      <c r="BE320" s="340">
        <f t="shared" si="104"/>
        <v>11.25</v>
      </c>
    </row>
    <row r="321" spans="1:57" x14ac:dyDescent="0.6">
      <c r="A321" s="214" t="s">
        <v>272</v>
      </c>
      <c r="B321" s="13" t="s">
        <v>2302</v>
      </c>
      <c r="C321" s="219" t="s">
        <v>58</v>
      </c>
      <c r="D321" s="216" t="s">
        <v>202</v>
      </c>
      <c r="E321" s="217" t="s">
        <v>623</v>
      </c>
      <c r="F321" s="217" t="s">
        <v>1201</v>
      </c>
      <c r="G321" s="218">
        <v>33484</v>
      </c>
      <c r="H321" s="217" t="s">
        <v>830</v>
      </c>
      <c r="I321" s="217" t="s">
        <v>839</v>
      </c>
      <c r="J321" s="217" t="s">
        <v>1144</v>
      </c>
      <c r="K321" s="217" t="s">
        <v>346</v>
      </c>
      <c r="L321" s="220">
        <v>304125357</v>
      </c>
      <c r="M321" s="206">
        <v>159788539</v>
      </c>
      <c r="N321" s="206">
        <v>144336819</v>
      </c>
      <c r="O321" s="206">
        <v>222470898</v>
      </c>
      <c r="P321" s="206">
        <v>12661325</v>
      </c>
      <c r="Q321" s="206">
        <v>13022728</v>
      </c>
      <c r="R321" s="206">
        <v>9259054</v>
      </c>
      <c r="S321" s="406">
        <v>0</v>
      </c>
      <c r="T321" s="428">
        <f t="shared" si="93"/>
        <v>50</v>
      </c>
      <c r="U321" s="415">
        <f t="shared" si="94"/>
        <v>0.5</v>
      </c>
      <c r="V321" s="405">
        <v>0</v>
      </c>
      <c r="W321" s="428">
        <f t="shared" si="95"/>
        <v>50</v>
      </c>
      <c r="X321" s="415">
        <f t="shared" si="96"/>
        <v>0.5</v>
      </c>
      <c r="Y321" s="406">
        <v>0</v>
      </c>
      <c r="Z321" s="429">
        <v>0</v>
      </c>
      <c r="AA321" s="430">
        <f t="shared" si="97"/>
        <v>50</v>
      </c>
      <c r="AB321" s="415">
        <f t="shared" si="98"/>
        <v>0.5</v>
      </c>
      <c r="AC321" s="431">
        <v>0</v>
      </c>
      <c r="AD321" s="432">
        <f t="shared" si="111"/>
        <v>100</v>
      </c>
      <c r="AE321" s="433">
        <f t="shared" si="112"/>
        <v>4</v>
      </c>
      <c r="AF321" s="434" t="s">
        <v>2326</v>
      </c>
      <c r="AG321" s="434" t="s">
        <v>2326</v>
      </c>
      <c r="AH321" s="434" t="s">
        <v>2326</v>
      </c>
      <c r="AI321" s="362"/>
      <c r="AJ321" s="434" t="s">
        <v>2326</v>
      </c>
      <c r="AK321" s="434" t="s">
        <v>2326</v>
      </c>
      <c r="AL321" s="363"/>
      <c r="AM321" s="406">
        <v>0</v>
      </c>
      <c r="AN321" s="406">
        <v>0</v>
      </c>
      <c r="AO321" s="406">
        <v>0</v>
      </c>
      <c r="AP321" s="406">
        <v>0</v>
      </c>
      <c r="AQ321" s="406">
        <v>0</v>
      </c>
      <c r="AR321" s="406">
        <v>0</v>
      </c>
      <c r="AS321" s="406">
        <v>0</v>
      </c>
      <c r="AT321" s="406">
        <v>0</v>
      </c>
      <c r="AU321" s="407">
        <f t="shared" si="100"/>
        <v>0</v>
      </c>
      <c r="AV321" s="407">
        <f t="shared" si="101"/>
        <v>100</v>
      </c>
      <c r="AW321" s="408">
        <f t="shared" si="113"/>
        <v>5</v>
      </c>
      <c r="AX321" s="406">
        <v>0</v>
      </c>
      <c r="AY321" s="406">
        <v>0</v>
      </c>
      <c r="AZ321" s="406">
        <v>0</v>
      </c>
      <c r="BA321" s="406">
        <v>0</v>
      </c>
      <c r="BB321" s="430">
        <f t="shared" si="102"/>
        <v>0</v>
      </c>
      <c r="BC321" s="407">
        <f t="shared" si="103"/>
        <v>25</v>
      </c>
      <c r="BD321" s="408">
        <f t="shared" si="114"/>
        <v>0.75</v>
      </c>
      <c r="BE321" s="340">
        <f t="shared" si="104"/>
        <v>11.25</v>
      </c>
    </row>
    <row r="322" spans="1:57" x14ac:dyDescent="0.6">
      <c r="A322" s="214" t="s">
        <v>1977</v>
      </c>
      <c r="B322" s="13" t="s">
        <v>2303</v>
      </c>
      <c r="C322" s="219" t="s">
        <v>348</v>
      </c>
      <c r="D322" s="221" t="s">
        <v>481</v>
      </c>
      <c r="E322" s="217" t="s">
        <v>704</v>
      </c>
      <c r="F322" s="217" t="s">
        <v>551</v>
      </c>
      <c r="G322" s="218">
        <v>27368</v>
      </c>
      <c r="H322" s="217" t="s">
        <v>830</v>
      </c>
      <c r="I322" s="217" t="s">
        <v>802</v>
      </c>
      <c r="J322" s="217" t="s">
        <v>1222</v>
      </c>
      <c r="K322" s="217" t="s">
        <v>91</v>
      </c>
      <c r="L322" s="220">
        <v>13966098000</v>
      </c>
      <c r="M322" s="206">
        <v>13246051000</v>
      </c>
      <c r="N322" s="206">
        <v>720047000</v>
      </c>
      <c r="O322" s="206">
        <v>2423214000</v>
      </c>
      <c r="P322" s="206">
        <v>185978000</v>
      </c>
      <c r="Q322" s="206">
        <v>186768000</v>
      </c>
      <c r="R322" s="206">
        <v>147508000</v>
      </c>
      <c r="S322" s="406">
        <v>0</v>
      </c>
      <c r="T322" s="428">
        <f>IF(S322=1, 100, 50)</f>
        <v>50</v>
      </c>
      <c r="U322" s="415">
        <f>T322*0.01</f>
        <v>0.5</v>
      </c>
      <c r="V322" s="405">
        <v>1</v>
      </c>
      <c r="W322" s="428">
        <f>IF(V322=1, 100, 50)</f>
        <v>100</v>
      </c>
      <c r="X322" s="415">
        <f>W322*0.01</f>
        <v>1</v>
      </c>
      <c r="Y322" s="406">
        <v>0</v>
      </c>
      <c r="Z322" s="429">
        <v>0</v>
      </c>
      <c r="AA322" s="430">
        <f>IF(Y322=1, 50, 0)+IF(Z322=0, 50, 0)</f>
        <v>50</v>
      </c>
      <c r="AB322" s="415">
        <f>AA322*0.01</f>
        <v>0.5</v>
      </c>
      <c r="AC322" s="75">
        <v>2</v>
      </c>
      <c r="AD322" s="432">
        <f t="shared" si="111"/>
        <v>60</v>
      </c>
      <c r="AE322" s="435">
        <f>AD322*0.03</f>
        <v>1.7999999999999998</v>
      </c>
      <c r="AF322" s="436">
        <v>19</v>
      </c>
      <c r="AG322" s="437">
        <f>(_xlfn.PERCENTRANK.INC(AF:AF,AF322, 2))*100</f>
        <v>96</v>
      </c>
      <c r="AH322" s="437">
        <f>IF(AF322=0, 100, IF(AG322&lt;10, 80, IF(AG322&lt;50, 60, IF(AG322&lt;90, 40, 20))))</f>
        <v>20</v>
      </c>
      <c r="AI322" s="263">
        <f>AH322*0.03</f>
        <v>0.6</v>
      </c>
      <c r="AJ322" s="264" t="s">
        <v>3540</v>
      </c>
      <c r="AK322" s="265">
        <f>IF(AJ322="우수", 100, IF(AJ322="양호", 80, IF(AJ322="보통", 60, IF(AJ322= "평가미대상", 60, IF(AJ322="미흡", 40, IF(AJ322="취약", 20))))))</f>
        <v>60</v>
      </c>
      <c r="AL322" s="141">
        <f>AK322*0.03</f>
        <v>1.7999999999999998</v>
      </c>
      <c r="AM322" s="406">
        <v>0</v>
      </c>
      <c r="AN322" s="406">
        <v>0</v>
      </c>
      <c r="AO322" s="406">
        <v>0</v>
      </c>
      <c r="AP322" s="406">
        <v>0</v>
      </c>
      <c r="AQ322" s="406">
        <v>0</v>
      </c>
      <c r="AR322" s="406">
        <v>0</v>
      </c>
      <c r="AS322" s="406">
        <v>0</v>
      </c>
      <c r="AT322" s="406">
        <v>0</v>
      </c>
      <c r="AU322" s="407">
        <f>SUM(AM322:AT322)</f>
        <v>0</v>
      </c>
      <c r="AV322" s="407">
        <f>IF(AU322=0, 100, IF(AU322=1, 80, IF(AU322=2, 60, IF(AU322=3, 40, 20))))</f>
        <v>100</v>
      </c>
      <c r="AW322" s="438">
        <f>AV322*0.02</f>
        <v>2</v>
      </c>
      <c r="AX322" s="406">
        <v>0</v>
      </c>
      <c r="AY322" s="406">
        <v>0</v>
      </c>
      <c r="AZ322" s="406">
        <v>0</v>
      </c>
      <c r="BA322" s="406">
        <v>0</v>
      </c>
      <c r="BB322" s="430">
        <f>SUM(AX322:BA322)</f>
        <v>0</v>
      </c>
      <c r="BC322" s="407">
        <f>IF(BB322=0, 25, IF(BB322=1, 50, IF(BB322=2, 75, IF(BB322&gt;=3, 100))))</f>
        <v>25</v>
      </c>
      <c r="BD322" s="418">
        <f>BC322*0.01</f>
        <v>0.25</v>
      </c>
      <c r="BE322" s="340">
        <f t="shared" ref="BE322" si="115">U322+X322+AB322+AE322+AI322+AL322+AW322+BD322</f>
        <v>8.4499999999999993</v>
      </c>
    </row>
  </sheetData>
  <autoFilter ref="A1:BE322"/>
  <phoneticPr fontId="16" type="noConversion"/>
  <dataValidations count="2">
    <dataValidation type="list" allowBlank="1" showInputMessage="1" showErrorMessage="1" sqref="AX2:BA322 V2:V322 Y2:Z322 S2:S322">
      <formula1>"1, 0"</formula1>
    </dataValidation>
    <dataValidation type="list" allowBlank="1" showInputMessage="1" showErrorMessage="1" sqref="AJ8:AJ322">
      <formula1>"우수, 양호, 보통, 미흡, 취약, 평가미대상"</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J79" r:id="rId79"/>
    <hyperlink ref="B80" r:id="rId80"/>
    <hyperlink ref="B81" r:id="rId81"/>
    <hyperlink ref="B82" r:id="rId82"/>
    <hyperlink ref="B83" r:id="rId83"/>
    <hyperlink ref="B84" r:id="rId84"/>
    <hyperlink ref="B85" r:id="rId85"/>
    <hyperlink ref="B86" r:id="rId86"/>
    <hyperlink ref="J74" r:id="rId87"/>
    <hyperlink ref="J11"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6" r:id="rId137"/>
    <hyperlink ref="B137" r:id="rId138"/>
    <hyperlink ref="B138" r:id="rId139"/>
    <hyperlink ref="B139" r:id="rId140"/>
    <hyperlink ref="B140" r:id="rId141"/>
    <hyperlink ref="B141" r:id="rId142"/>
    <hyperlink ref="B142" r:id="rId143"/>
    <hyperlink ref="B143" r:id="rId144"/>
    <hyperlink ref="B144" r:id="rId145"/>
    <hyperlink ref="B145" r:id="rId146"/>
    <hyperlink ref="B146" r:id="rId147"/>
    <hyperlink ref="B147" r:id="rId148"/>
    <hyperlink ref="B148" r:id="rId149"/>
    <hyperlink ref="B149" r:id="rId150"/>
    <hyperlink ref="B150" r:id="rId151"/>
    <hyperlink ref="B151" r:id="rId152"/>
    <hyperlink ref="B152" r:id="rId153"/>
    <hyperlink ref="B153" r:id="rId154"/>
    <hyperlink ref="B154" r:id="rId155"/>
    <hyperlink ref="B155" r:id="rId156"/>
    <hyperlink ref="B156" r:id="rId157"/>
    <hyperlink ref="B157" r:id="rId158"/>
    <hyperlink ref="B158" r:id="rId159"/>
    <hyperlink ref="B159" r:id="rId160"/>
    <hyperlink ref="B160" r:id="rId161"/>
    <hyperlink ref="B161" r:id="rId162"/>
    <hyperlink ref="B162" r:id="rId163"/>
    <hyperlink ref="B163" r:id="rId164"/>
    <hyperlink ref="B164" r:id="rId165"/>
    <hyperlink ref="B165" r:id="rId166"/>
    <hyperlink ref="B166" r:id="rId167"/>
    <hyperlink ref="B167" r:id="rId168"/>
    <hyperlink ref="B168" r:id="rId169"/>
    <hyperlink ref="B169" r:id="rId170"/>
    <hyperlink ref="B170" r:id="rId171"/>
    <hyperlink ref="B171" r:id="rId172"/>
    <hyperlink ref="B172" r:id="rId173"/>
    <hyperlink ref="B173" r:id="rId174"/>
    <hyperlink ref="B174" r:id="rId175"/>
    <hyperlink ref="B175" r:id="rId176"/>
    <hyperlink ref="B176" r:id="rId177"/>
    <hyperlink ref="B177" r:id="rId178"/>
    <hyperlink ref="B178" r:id="rId179"/>
    <hyperlink ref="B179" r:id="rId180"/>
    <hyperlink ref="B180" r:id="rId181"/>
    <hyperlink ref="B181" r:id="rId182"/>
    <hyperlink ref="B182" r:id="rId183"/>
    <hyperlink ref="B183" r:id="rId184"/>
    <hyperlink ref="B184" r:id="rId185"/>
    <hyperlink ref="B185" r:id="rId186"/>
    <hyperlink ref="B186" r:id="rId187"/>
    <hyperlink ref="B187" r:id="rId188"/>
    <hyperlink ref="B188" r:id="rId189"/>
    <hyperlink ref="B189" r:id="rId190"/>
    <hyperlink ref="B190" r:id="rId191"/>
    <hyperlink ref="B191" r:id="rId192"/>
    <hyperlink ref="B192" r:id="rId193"/>
    <hyperlink ref="B193" r:id="rId194"/>
    <hyperlink ref="B194" r:id="rId195"/>
    <hyperlink ref="B195" r:id="rId196"/>
    <hyperlink ref="B196" r:id="rId197"/>
    <hyperlink ref="B197" r:id="rId198"/>
    <hyperlink ref="B198" r:id="rId199"/>
    <hyperlink ref="B199" r:id="rId200"/>
    <hyperlink ref="B200" r:id="rId201"/>
    <hyperlink ref="B201" r:id="rId202"/>
    <hyperlink ref="B202" r:id="rId203"/>
    <hyperlink ref="B203" r:id="rId204"/>
    <hyperlink ref="B204" r:id="rId205"/>
    <hyperlink ref="B205" r:id="rId206"/>
    <hyperlink ref="B206" r:id="rId207"/>
    <hyperlink ref="B207" r:id="rId208"/>
    <hyperlink ref="B208" r:id="rId209"/>
    <hyperlink ref="B209" r:id="rId210"/>
    <hyperlink ref="B210" r:id="rId211"/>
    <hyperlink ref="B211" r:id="rId212"/>
    <hyperlink ref="B212" r:id="rId213"/>
    <hyperlink ref="B214" r:id="rId214"/>
    <hyperlink ref="B215" r:id="rId215"/>
    <hyperlink ref="B213" r:id="rId216"/>
    <hyperlink ref="B216" r:id="rId217"/>
    <hyperlink ref="B217" r:id="rId218"/>
    <hyperlink ref="B218" r:id="rId219"/>
    <hyperlink ref="B219" r:id="rId220"/>
    <hyperlink ref="B220" r:id="rId221"/>
    <hyperlink ref="B221" r:id="rId222"/>
    <hyperlink ref="B222" r:id="rId223"/>
    <hyperlink ref="B223" r:id="rId224"/>
    <hyperlink ref="B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J271" r:id="rId273"/>
    <hyperlink ref="B272" r:id="rId274"/>
    <hyperlink ref="B273" r:id="rId275"/>
    <hyperlink ref="B274" r:id="rId276"/>
    <hyperlink ref="B275" r:id="rId277"/>
    <hyperlink ref="B276" r:id="rId278"/>
    <hyperlink ref="B277" r:id="rId279"/>
    <hyperlink ref="B278" r:id="rId280"/>
    <hyperlink ref="B279" r:id="rId281"/>
    <hyperlink ref="B280" r:id="rId282"/>
    <hyperlink ref="B281" r:id="rId283"/>
    <hyperlink ref="B282" r:id="rId284"/>
    <hyperlink ref="B283" r:id="rId285"/>
    <hyperlink ref="B284" r:id="rId286"/>
    <hyperlink ref="B285" r:id="rId287"/>
    <hyperlink ref="B286" r:id="rId288"/>
    <hyperlink ref="B287" r:id="rId289"/>
    <hyperlink ref="B288" r:id="rId290"/>
    <hyperlink ref="B289" r:id="rId291"/>
    <hyperlink ref="B290" r:id="rId292"/>
    <hyperlink ref="B291" r:id="rId293"/>
    <hyperlink ref="B292" r:id="rId294"/>
    <hyperlink ref="B293" r:id="rId295"/>
    <hyperlink ref="B294" r:id="rId296"/>
    <hyperlink ref="B295" r:id="rId297"/>
    <hyperlink ref="B296" r:id="rId298"/>
    <hyperlink ref="B297" r:id="rId299"/>
    <hyperlink ref="B298" r:id="rId300"/>
    <hyperlink ref="B299" r:id="rId301"/>
    <hyperlink ref="B300" r:id="rId302"/>
    <hyperlink ref="B301" r:id="rId303"/>
    <hyperlink ref="B302" r:id="rId304"/>
    <hyperlink ref="B303" r:id="rId305"/>
    <hyperlink ref="B304" r:id="rId306"/>
    <hyperlink ref="B305" r:id="rId307"/>
    <hyperlink ref="B306" r:id="rId308"/>
    <hyperlink ref="B307" r:id="rId309"/>
    <hyperlink ref="B308" r:id="rId310"/>
    <hyperlink ref="B309" r:id="rId311"/>
    <hyperlink ref="B310" r:id="rId312"/>
    <hyperlink ref="B311" r:id="rId313"/>
    <hyperlink ref="B312" r:id="rId314"/>
    <hyperlink ref="B313" r:id="rId315"/>
    <hyperlink ref="B314" r:id="rId316"/>
    <hyperlink ref="B315" r:id="rId317"/>
    <hyperlink ref="B316" r:id="rId318"/>
    <hyperlink ref="B317" r:id="rId319"/>
    <hyperlink ref="B318" r:id="rId320"/>
    <hyperlink ref="B319" r:id="rId321"/>
    <hyperlink ref="B320" r:id="rId322"/>
    <hyperlink ref="B321" r:id="rId323"/>
    <hyperlink ref="B322" r:id="rId324"/>
    <hyperlink ref="B135" r:id="rId325"/>
    <hyperlink ref="J161" r:id="rId326"/>
    <hyperlink ref="J194" r:id="rId327"/>
    <hyperlink ref="J198" r:id="rId328"/>
    <hyperlink ref="J221" r:id="rId329"/>
    <hyperlink ref="J236" r:id="rId330"/>
    <hyperlink ref="J283" r:id="rId331"/>
    <hyperlink ref="S1" r:id="rId332"/>
    <hyperlink ref="V1" r:id="rId333"/>
    <hyperlink ref="Y1" r:id="rId334" display="ISMS-P 인증 유=1,무=0"/>
    <hyperlink ref="AC1" r:id="rId335" display="소비자불만상담건수"/>
    <hyperlink ref="AF1" r:id="rId336" display="금융분쟁조정신청건수"/>
  </hyperlinks>
  <pageMargins left="0.69972223043441772" right="0.69972223043441772"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F0"/>
  </sheetPr>
  <dimension ref="A1:AX322"/>
  <sheetViews>
    <sheetView zoomScale="90" zoomScaleNormal="90" zoomScaleSheetLayoutView="75" workbookViewId="0">
      <pane xSplit="4" ySplit="1" topLeftCell="W2" activePane="bottomRight" state="frozen"/>
      <selection pane="topRight"/>
      <selection pane="bottomLeft"/>
      <selection pane="bottomRight" activeCell="AB7" sqref="AB7"/>
    </sheetView>
  </sheetViews>
  <sheetFormatPr defaultColWidth="9" defaultRowHeight="16.899999999999999" x14ac:dyDescent="0.6"/>
  <cols>
    <col min="1" max="1" width="20.5625" style="8" customWidth="1"/>
    <col min="2" max="3" width="9" customWidth="1"/>
    <col min="4" max="4" width="18.8125" bestFit="1" customWidth="1"/>
    <col min="5" max="11" width="9" hidden="1" customWidth="1"/>
    <col min="12" max="18" width="15.5625" hidden="1" customWidth="1"/>
    <col min="19" max="22" width="10.5625" style="66" hidden="1" customWidth="1"/>
    <col min="23" max="23" width="10.5625" style="145" customWidth="1"/>
    <col min="24" max="27" width="10.5625" style="66" hidden="1" customWidth="1"/>
    <col min="28" max="28" width="10.5625" style="66" customWidth="1"/>
    <col min="29" max="29" width="15.5625" style="66" hidden="1" customWidth="1"/>
    <col min="30" max="31" width="10.5625" style="66" hidden="1" customWidth="1"/>
    <col min="32" max="32" width="10.5625" style="66" customWidth="1"/>
    <col min="33" max="34" width="10.5625" style="66" hidden="1" customWidth="1"/>
    <col min="35" max="35" width="10.5625" style="66" customWidth="1"/>
    <col min="36" max="42" width="10.5625" style="66" hidden="1" customWidth="1"/>
    <col min="43" max="43" width="10.5625" style="66" customWidth="1"/>
    <col min="44" max="46" width="10.5625" style="270" hidden="1" customWidth="1"/>
    <col min="47" max="47" width="10.5625" style="271" hidden="1" customWidth="1"/>
    <col min="48" max="48" width="10.5625" style="66" hidden="1" customWidth="1"/>
    <col min="49" max="49" width="10.5625" style="67" customWidth="1"/>
    <col min="50" max="50" width="10.5625" customWidth="1"/>
  </cols>
  <sheetData>
    <row r="1" spans="1:50" ht="100.05" customHeight="1" x14ac:dyDescent="0.6">
      <c r="A1" s="7" t="s">
        <v>695</v>
      </c>
      <c r="B1" s="5" t="s">
        <v>265</v>
      </c>
      <c r="C1" s="2" t="s">
        <v>510</v>
      </c>
      <c r="D1" s="3" t="s">
        <v>860</v>
      </c>
      <c r="E1" s="7" t="s">
        <v>807</v>
      </c>
      <c r="F1" s="7" t="s">
        <v>295</v>
      </c>
      <c r="G1" s="7" t="s">
        <v>680</v>
      </c>
      <c r="H1" s="7" t="s">
        <v>691</v>
      </c>
      <c r="I1" s="7" t="s">
        <v>364</v>
      </c>
      <c r="J1" s="7" t="s">
        <v>946</v>
      </c>
      <c r="K1" s="7" t="s">
        <v>696</v>
      </c>
      <c r="L1" s="4" t="s">
        <v>201</v>
      </c>
      <c r="M1" s="4" t="s">
        <v>263</v>
      </c>
      <c r="N1" s="4" t="s">
        <v>212</v>
      </c>
      <c r="O1" s="4" t="s">
        <v>198</v>
      </c>
      <c r="P1" s="4" t="s">
        <v>229</v>
      </c>
      <c r="Q1" s="10" t="s">
        <v>960</v>
      </c>
      <c r="R1" s="4" t="s">
        <v>277</v>
      </c>
      <c r="S1" s="146" t="s">
        <v>1372</v>
      </c>
      <c r="T1" s="142" t="s">
        <v>1371</v>
      </c>
      <c r="U1" s="142" t="s">
        <v>1370</v>
      </c>
      <c r="V1" s="143" t="s">
        <v>632</v>
      </c>
      <c r="W1" s="144" t="s">
        <v>1391</v>
      </c>
      <c r="X1" s="146" t="s">
        <v>1373</v>
      </c>
      <c r="Y1" s="147" t="s">
        <v>1374</v>
      </c>
      <c r="Z1" s="148" t="s">
        <v>1375</v>
      </c>
      <c r="AA1" s="148" t="s">
        <v>564</v>
      </c>
      <c r="AB1" s="149" t="s">
        <v>597</v>
      </c>
      <c r="AC1" s="147" t="s">
        <v>1376</v>
      </c>
      <c r="AD1" s="147" t="s">
        <v>1377</v>
      </c>
      <c r="AE1" s="150" t="s">
        <v>1378</v>
      </c>
      <c r="AF1" s="149" t="s">
        <v>1392</v>
      </c>
      <c r="AG1" s="147" t="s">
        <v>2358</v>
      </c>
      <c r="AH1" s="148" t="s">
        <v>1379</v>
      </c>
      <c r="AI1" s="151" t="s">
        <v>1393</v>
      </c>
      <c r="AJ1" s="142" t="s">
        <v>1384</v>
      </c>
      <c r="AK1" s="142" t="s">
        <v>1385</v>
      </c>
      <c r="AL1" s="142" t="s">
        <v>1386</v>
      </c>
      <c r="AM1" s="142" t="s">
        <v>1387</v>
      </c>
      <c r="AN1" s="146" t="s">
        <v>1388</v>
      </c>
      <c r="AO1" s="148" t="s">
        <v>1389</v>
      </c>
      <c r="AP1" s="148" t="s">
        <v>989</v>
      </c>
      <c r="AQ1" s="149" t="s">
        <v>1390</v>
      </c>
      <c r="AR1" s="269" t="s">
        <v>2359</v>
      </c>
      <c r="AS1" s="269" t="s">
        <v>2360</v>
      </c>
      <c r="AT1" s="269" t="s">
        <v>2361</v>
      </c>
      <c r="AU1" s="273" t="s">
        <v>963</v>
      </c>
      <c r="AV1" s="148" t="s">
        <v>598</v>
      </c>
      <c r="AW1" s="161" t="s">
        <v>599</v>
      </c>
      <c r="AX1" s="152" t="s">
        <v>1425</v>
      </c>
    </row>
    <row r="2" spans="1:50" x14ac:dyDescent="0.6">
      <c r="A2" s="214" t="s">
        <v>1253</v>
      </c>
      <c r="B2" s="13" t="s">
        <v>1978</v>
      </c>
      <c r="C2" s="215" t="s">
        <v>35</v>
      </c>
      <c r="D2" s="216" t="s">
        <v>285</v>
      </c>
      <c r="E2" s="217" t="s">
        <v>504</v>
      </c>
      <c r="F2" s="217" t="s">
        <v>293</v>
      </c>
      <c r="G2" s="218">
        <v>43077</v>
      </c>
      <c r="H2" s="217" t="s">
        <v>830</v>
      </c>
      <c r="I2" s="217" t="s">
        <v>834</v>
      </c>
      <c r="J2" s="217" t="s">
        <v>1242</v>
      </c>
      <c r="K2" s="217" t="s">
        <v>91</v>
      </c>
      <c r="L2" s="205">
        <v>2857090834</v>
      </c>
      <c r="M2" s="205">
        <v>1925834121</v>
      </c>
      <c r="N2" s="205">
        <v>931256713</v>
      </c>
      <c r="O2" s="205">
        <v>7577772993</v>
      </c>
      <c r="P2" s="205">
        <v>249222456</v>
      </c>
      <c r="Q2" s="205">
        <v>250446471</v>
      </c>
      <c r="R2" s="206">
        <v>190700183</v>
      </c>
      <c r="S2" s="32">
        <v>0</v>
      </c>
      <c r="T2" s="32">
        <v>1</v>
      </c>
      <c r="U2" s="32">
        <v>0</v>
      </c>
      <c r="V2" s="266">
        <f>IF(SUM(S2:U2)=0, 50, 100)</f>
        <v>100</v>
      </c>
      <c r="W2" s="90">
        <f>V2*0.01</f>
        <v>1</v>
      </c>
      <c r="X2" s="32">
        <v>0</v>
      </c>
      <c r="Y2" s="32">
        <v>0</v>
      </c>
      <c r="Z2" s="267">
        <f>SUM(X2:Y2)</f>
        <v>0</v>
      </c>
      <c r="AA2" s="268">
        <f>IF(Z2=0, 100/3, IF(Z2=1, 200/3, IF(Z2=2, 100)))</f>
        <v>33.333333333333336</v>
      </c>
      <c r="AB2" s="90">
        <f>AA2*0.01</f>
        <v>0.33333333333333337</v>
      </c>
      <c r="AC2" s="32">
        <v>0</v>
      </c>
      <c r="AD2" s="32">
        <v>0</v>
      </c>
      <c r="AE2" s="252">
        <f>IF(AND(AD2=1, AC2&gt;0), 100, IF(AD2=1, 75, IF(AC2&gt;0, 50, 25)))</f>
        <v>25</v>
      </c>
      <c r="AF2" s="90">
        <f>AE2*0.02</f>
        <v>0.5</v>
      </c>
      <c r="AG2" s="32">
        <v>0</v>
      </c>
      <c r="AH2" s="247">
        <f>IF(AG2=0, 25, IF(AG2=1, 50, IF(AG2=2, 75, IF(AG2&gt;=3, 100))))</f>
        <v>25</v>
      </c>
      <c r="AI2" s="91">
        <f>AH2*0.01</f>
        <v>0.25</v>
      </c>
      <c r="AJ2" s="32"/>
      <c r="AK2" s="32">
        <v>0</v>
      </c>
      <c r="AL2" s="32">
        <v>1</v>
      </c>
      <c r="AM2" s="32">
        <v>0</v>
      </c>
      <c r="AN2" s="32">
        <v>0</v>
      </c>
      <c r="AO2" s="247">
        <f t="shared" ref="AO2:AO65" si="0">SUM(AJ2:AN2)</f>
        <v>1</v>
      </c>
      <c r="AP2" s="247">
        <f>IF(AO2=0, 25, IF(AO2=1, 50, IF(AO2=2, 75, IF(AO2&gt;=3, 100))))</f>
        <v>50</v>
      </c>
      <c r="AQ2" s="90">
        <f>AP2*0.02</f>
        <v>1</v>
      </c>
      <c r="AR2" s="32">
        <v>0</v>
      </c>
      <c r="AS2" s="32">
        <v>0</v>
      </c>
      <c r="AT2" s="32">
        <v>0</v>
      </c>
      <c r="AU2" s="272" t="str">
        <f>IF(AT2=1, "D", IF(AS2=1, "C", IF(AR2=1, "B", "A")))</f>
        <v>A</v>
      </c>
      <c r="AV2" s="247">
        <f>IF(AU2="A", 100, IF(AU2="B", 75, IF(AU2="C", 50, IF(AU2="D", 25))))</f>
        <v>100</v>
      </c>
      <c r="AW2" s="90">
        <f>AV2*0.03</f>
        <v>3</v>
      </c>
      <c r="AX2" s="163">
        <f>W2+AB2+AF2+AI2+AQ2+AW2</f>
        <v>6.0833333333333339</v>
      </c>
    </row>
    <row r="3" spans="1:50" x14ac:dyDescent="0.6">
      <c r="A3" s="214" t="s">
        <v>1428</v>
      </c>
      <c r="B3" s="13" t="s">
        <v>1979</v>
      </c>
      <c r="C3" s="215" t="s">
        <v>555</v>
      </c>
      <c r="D3" s="216" t="s">
        <v>191</v>
      </c>
      <c r="E3" s="217" t="s">
        <v>190</v>
      </c>
      <c r="F3" s="217" t="s">
        <v>396</v>
      </c>
      <c r="G3" s="218">
        <v>27547</v>
      </c>
      <c r="H3" s="217" t="s">
        <v>830</v>
      </c>
      <c r="I3" s="217" t="s">
        <v>544</v>
      </c>
      <c r="J3" s="217" t="s">
        <v>1037</v>
      </c>
      <c r="K3" s="217" t="s">
        <v>91</v>
      </c>
      <c r="L3" s="205">
        <v>657344581</v>
      </c>
      <c r="M3" s="205">
        <v>145796846</v>
      </c>
      <c r="N3" s="205">
        <v>511547734</v>
      </c>
      <c r="O3" s="205">
        <v>168169259</v>
      </c>
      <c r="P3" s="205">
        <v>24457946</v>
      </c>
      <c r="Q3" s="205">
        <v>48325988</v>
      </c>
      <c r="R3" s="206">
        <v>35650140</v>
      </c>
      <c r="S3" s="32">
        <v>0</v>
      </c>
      <c r="T3" s="32">
        <v>0</v>
      </c>
      <c r="U3" s="32">
        <v>0</v>
      </c>
      <c r="V3" s="266">
        <f t="shared" ref="V3:V66" si="1">IF(SUM(S3:U3)=0, 50, 100)</f>
        <v>50</v>
      </c>
      <c r="W3" s="90">
        <f t="shared" ref="W3:W66" si="2">V3*0.01</f>
        <v>0.5</v>
      </c>
      <c r="X3" s="32">
        <v>0</v>
      </c>
      <c r="Y3" s="32">
        <v>0</v>
      </c>
      <c r="Z3" s="267">
        <f t="shared" ref="Z3:Z66" si="3">SUM(X3:Y3)</f>
        <v>0</v>
      </c>
      <c r="AA3" s="268">
        <f t="shared" ref="AA3:AA66" si="4">IF(Z3=0, 100/3, IF(Z3=1, 200/3, IF(Z3=2, 100)))</f>
        <v>33.333333333333336</v>
      </c>
      <c r="AB3" s="90">
        <f t="shared" ref="AB3:AB66" si="5">AA3*0.01</f>
        <v>0.33333333333333337</v>
      </c>
      <c r="AC3" s="32">
        <v>0</v>
      </c>
      <c r="AD3" s="32">
        <v>0</v>
      </c>
      <c r="AE3" s="252">
        <f t="shared" ref="AE3:AE66" si="6">IF(AND(AD3=1, AC3&gt;0), 100, IF(AD3=1, 75, IF(AC3&gt;0, 50, 25)))</f>
        <v>25</v>
      </c>
      <c r="AF3" s="90">
        <f t="shared" ref="AF3:AF66" si="7">AE3*0.02</f>
        <v>0.5</v>
      </c>
      <c r="AG3" s="32">
        <v>0</v>
      </c>
      <c r="AH3" s="247">
        <f t="shared" ref="AH3:AH66" si="8">IF(AG3=0, 25, IF(AG3=1, 50, IF(AG3=2, 75, IF(AG3&gt;=3, 100))))</f>
        <v>25</v>
      </c>
      <c r="AI3" s="91">
        <f t="shared" ref="AI3:AI66" si="9">AH3*0.01</f>
        <v>0.25</v>
      </c>
      <c r="AJ3" s="32"/>
      <c r="AK3" s="32">
        <v>0</v>
      </c>
      <c r="AL3" s="32">
        <v>0</v>
      </c>
      <c r="AM3" s="32">
        <v>0</v>
      </c>
      <c r="AN3" s="32">
        <v>0</v>
      </c>
      <c r="AO3" s="247">
        <f t="shared" si="0"/>
        <v>0</v>
      </c>
      <c r="AP3" s="247">
        <f t="shared" ref="AP3:AP66" si="10">IF(AO3=0, 25, IF(AO3=1, 50, IF(AO3=2, 75, IF(AO3&gt;=3, 100))))</f>
        <v>25</v>
      </c>
      <c r="AQ3" s="90">
        <f t="shared" ref="AQ3:AQ66" si="11">AP3*0.02</f>
        <v>0.5</v>
      </c>
      <c r="AR3" s="32">
        <v>0</v>
      </c>
      <c r="AS3" s="32">
        <v>0</v>
      </c>
      <c r="AT3" s="32">
        <v>0</v>
      </c>
      <c r="AU3" s="272" t="str">
        <f t="shared" ref="AU3:AU66" si="12">IF(AT3=1, "D", IF(AS3=1, "C", IF(AR3=1, "B", "A")))</f>
        <v>A</v>
      </c>
      <c r="AV3" s="247">
        <f t="shared" ref="AV3:AV66" si="13">IF(AU3="A", 100, IF(AU3="B", 75, IF(AU3="C", 50, IF(AU3="D", 25))))</f>
        <v>100</v>
      </c>
      <c r="AW3" s="90">
        <f t="shared" ref="AW3:AW66" si="14">AV3*0.03</f>
        <v>3</v>
      </c>
      <c r="AX3" s="163">
        <f t="shared" ref="AX3:AX66" si="15">W3+AB3+AF3+AI3+AQ3+AW3</f>
        <v>5.0833333333333339</v>
      </c>
    </row>
    <row r="4" spans="1:50" x14ac:dyDescent="0.6">
      <c r="A4" s="214" t="s">
        <v>1430</v>
      </c>
      <c r="B4" s="13" t="s">
        <v>1980</v>
      </c>
      <c r="C4" s="219" t="s">
        <v>1431</v>
      </c>
      <c r="D4" s="14" t="s">
        <v>285</v>
      </c>
      <c r="E4" s="217" t="s">
        <v>1432</v>
      </c>
      <c r="F4" s="217" t="s">
        <v>1433</v>
      </c>
      <c r="G4" s="218">
        <v>20638</v>
      </c>
      <c r="H4" s="217" t="s">
        <v>830</v>
      </c>
      <c r="I4" s="217" t="s">
        <v>1434</v>
      </c>
      <c r="J4" s="217" t="s">
        <v>1435</v>
      </c>
      <c r="K4" s="217" t="s">
        <v>91</v>
      </c>
      <c r="L4" s="220">
        <v>7825113458</v>
      </c>
      <c r="M4" s="206">
        <v>4398363795</v>
      </c>
      <c r="N4" s="206">
        <v>3426749663</v>
      </c>
      <c r="O4" s="206">
        <v>8214653866</v>
      </c>
      <c r="P4" s="206">
        <v>262723385</v>
      </c>
      <c r="Q4" s="206">
        <v>247777952</v>
      </c>
      <c r="R4" s="206">
        <v>200576209</v>
      </c>
      <c r="S4" s="32">
        <v>0</v>
      </c>
      <c r="T4" s="32">
        <v>0</v>
      </c>
      <c r="U4" s="32">
        <v>0</v>
      </c>
      <c r="V4" s="266">
        <f t="shared" si="1"/>
        <v>50</v>
      </c>
      <c r="W4" s="90">
        <f t="shared" si="2"/>
        <v>0.5</v>
      </c>
      <c r="X4" s="32">
        <v>0</v>
      </c>
      <c r="Y4" s="32">
        <v>0</v>
      </c>
      <c r="Z4" s="267">
        <f t="shared" si="3"/>
        <v>0</v>
      </c>
      <c r="AA4" s="268">
        <f t="shared" si="4"/>
        <v>33.333333333333336</v>
      </c>
      <c r="AB4" s="90">
        <f t="shared" si="5"/>
        <v>0.33333333333333337</v>
      </c>
      <c r="AC4" s="32">
        <v>0</v>
      </c>
      <c r="AD4" s="32">
        <v>0</v>
      </c>
      <c r="AE4" s="252">
        <f t="shared" si="6"/>
        <v>25</v>
      </c>
      <c r="AF4" s="90">
        <f t="shared" si="7"/>
        <v>0.5</v>
      </c>
      <c r="AG4" s="32">
        <v>3</v>
      </c>
      <c r="AH4" s="247">
        <f t="shared" si="8"/>
        <v>100</v>
      </c>
      <c r="AI4" s="91">
        <f t="shared" si="9"/>
        <v>1</v>
      </c>
      <c r="AJ4" s="32"/>
      <c r="AK4" s="32">
        <v>0</v>
      </c>
      <c r="AL4" s="32">
        <v>0</v>
      </c>
      <c r="AM4" s="32">
        <v>0</v>
      </c>
      <c r="AN4" s="32">
        <v>0</v>
      </c>
      <c r="AO4" s="247">
        <f t="shared" si="0"/>
        <v>0</v>
      </c>
      <c r="AP4" s="247">
        <f t="shared" si="10"/>
        <v>25</v>
      </c>
      <c r="AQ4" s="90">
        <f t="shared" si="11"/>
        <v>0.5</v>
      </c>
      <c r="AR4" s="32">
        <v>0</v>
      </c>
      <c r="AS4" s="32">
        <v>0</v>
      </c>
      <c r="AT4" s="32">
        <v>0</v>
      </c>
      <c r="AU4" s="272" t="str">
        <f t="shared" si="12"/>
        <v>A</v>
      </c>
      <c r="AV4" s="247">
        <f t="shared" si="13"/>
        <v>100</v>
      </c>
      <c r="AW4" s="90">
        <f t="shared" si="14"/>
        <v>3</v>
      </c>
      <c r="AX4" s="163">
        <f t="shared" si="15"/>
        <v>5.8333333333333339</v>
      </c>
    </row>
    <row r="5" spans="1:50" x14ac:dyDescent="0.6">
      <c r="A5" s="214" t="s">
        <v>104</v>
      </c>
      <c r="B5" s="13" t="s">
        <v>1981</v>
      </c>
      <c r="C5" s="219" t="s">
        <v>449</v>
      </c>
      <c r="D5" s="216" t="s">
        <v>191</v>
      </c>
      <c r="E5" s="217" t="s">
        <v>178</v>
      </c>
      <c r="F5" s="217" t="s">
        <v>1248</v>
      </c>
      <c r="G5" s="218">
        <v>32473</v>
      </c>
      <c r="H5" s="217" t="s">
        <v>830</v>
      </c>
      <c r="I5" s="217" t="s">
        <v>1436</v>
      </c>
      <c r="J5" s="217" t="s">
        <v>1236</v>
      </c>
      <c r="K5" s="217" t="s">
        <v>690</v>
      </c>
      <c r="L5" s="220">
        <v>143409087</v>
      </c>
      <c r="M5" s="206">
        <v>67719807</v>
      </c>
      <c r="N5" s="206">
        <v>75689279</v>
      </c>
      <c r="O5" s="206">
        <v>152701472</v>
      </c>
      <c r="P5" s="206">
        <v>4135028</v>
      </c>
      <c r="Q5" s="206">
        <v>6675009</v>
      </c>
      <c r="R5" s="206">
        <v>7419861</v>
      </c>
      <c r="S5" s="32">
        <v>0</v>
      </c>
      <c r="T5" s="32">
        <v>1</v>
      </c>
      <c r="U5" s="32">
        <v>0</v>
      </c>
      <c r="V5" s="266">
        <f t="shared" si="1"/>
        <v>100</v>
      </c>
      <c r="W5" s="90">
        <f t="shared" si="2"/>
        <v>1</v>
      </c>
      <c r="X5" s="32">
        <v>0</v>
      </c>
      <c r="Y5" s="32">
        <v>0</v>
      </c>
      <c r="Z5" s="267">
        <f t="shared" si="3"/>
        <v>0</v>
      </c>
      <c r="AA5" s="268">
        <f t="shared" si="4"/>
        <v>33.333333333333336</v>
      </c>
      <c r="AB5" s="90">
        <f t="shared" si="5"/>
        <v>0.33333333333333337</v>
      </c>
      <c r="AC5" s="32">
        <v>0</v>
      </c>
      <c r="AD5" s="32">
        <v>1</v>
      </c>
      <c r="AE5" s="252">
        <f t="shared" si="6"/>
        <v>75</v>
      </c>
      <c r="AF5" s="90">
        <f t="shared" si="7"/>
        <v>1.5</v>
      </c>
      <c r="AG5" s="32">
        <v>1</v>
      </c>
      <c r="AH5" s="247">
        <f t="shared" si="8"/>
        <v>50</v>
      </c>
      <c r="AI5" s="91">
        <f t="shared" si="9"/>
        <v>0.5</v>
      </c>
      <c r="AJ5" s="32"/>
      <c r="AK5" s="32">
        <v>0</v>
      </c>
      <c r="AL5" s="32">
        <v>1</v>
      </c>
      <c r="AM5" s="32">
        <v>0</v>
      </c>
      <c r="AN5" s="32">
        <v>0</v>
      </c>
      <c r="AO5" s="247">
        <f t="shared" si="0"/>
        <v>1</v>
      </c>
      <c r="AP5" s="247">
        <f t="shared" si="10"/>
        <v>50</v>
      </c>
      <c r="AQ5" s="90">
        <f t="shared" si="11"/>
        <v>1</v>
      </c>
      <c r="AR5" s="32">
        <v>0</v>
      </c>
      <c r="AS5" s="32">
        <v>0</v>
      </c>
      <c r="AT5" s="32">
        <v>0</v>
      </c>
      <c r="AU5" s="272" t="str">
        <f t="shared" si="12"/>
        <v>A</v>
      </c>
      <c r="AV5" s="247">
        <f t="shared" si="13"/>
        <v>100</v>
      </c>
      <c r="AW5" s="90">
        <f t="shared" si="14"/>
        <v>3</v>
      </c>
      <c r="AX5" s="163">
        <f t="shared" si="15"/>
        <v>7.3333333333333339</v>
      </c>
    </row>
    <row r="6" spans="1:50" x14ac:dyDescent="0.6">
      <c r="A6" s="214" t="s">
        <v>1437</v>
      </c>
      <c r="B6" s="13" t="s">
        <v>1982</v>
      </c>
      <c r="C6" s="219" t="s">
        <v>1438</v>
      </c>
      <c r="D6" s="14" t="s">
        <v>191</v>
      </c>
      <c r="E6" s="217" t="s">
        <v>178</v>
      </c>
      <c r="F6" s="217" t="s">
        <v>1439</v>
      </c>
      <c r="G6" s="218">
        <v>39353</v>
      </c>
      <c r="H6" s="217" t="s">
        <v>830</v>
      </c>
      <c r="I6" s="217" t="s">
        <v>1440</v>
      </c>
      <c r="J6" s="217" t="s">
        <v>1441</v>
      </c>
      <c r="K6" s="217" t="s">
        <v>91</v>
      </c>
      <c r="L6" s="220">
        <v>11450867716</v>
      </c>
      <c r="M6" s="206">
        <v>6158689194</v>
      </c>
      <c r="N6" s="206">
        <v>5292178522</v>
      </c>
      <c r="O6" s="206">
        <v>7842662871</v>
      </c>
      <c r="P6" s="206">
        <v>405033974</v>
      </c>
      <c r="Q6" s="206">
        <v>333649782</v>
      </c>
      <c r="R6" s="206">
        <v>265820089</v>
      </c>
      <c r="S6" s="32">
        <v>1</v>
      </c>
      <c r="T6" s="32">
        <v>0</v>
      </c>
      <c r="U6" s="32">
        <v>0</v>
      </c>
      <c r="V6" s="266">
        <f t="shared" si="1"/>
        <v>100</v>
      </c>
      <c r="W6" s="90">
        <f t="shared" si="2"/>
        <v>1</v>
      </c>
      <c r="X6" s="32">
        <v>0</v>
      </c>
      <c r="Y6" s="32">
        <v>0</v>
      </c>
      <c r="Z6" s="267">
        <f t="shared" si="3"/>
        <v>0</v>
      </c>
      <c r="AA6" s="268">
        <f t="shared" si="4"/>
        <v>33.333333333333336</v>
      </c>
      <c r="AB6" s="90">
        <f t="shared" si="5"/>
        <v>0.33333333333333337</v>
      </c>
      <c r="AC6" s="32">
        <v>0</v>
      </c>
      <c r="AD6" s="32">
        <v>1</v>
      </c>
      <c r="AE6" s="252">
        <f t="shared" si="6"/>
        <v>75</v>
      </c>
      <c r="AF6" s="90">
        <f t="shared" si="7"/>
        <v>1.5</v>
      </c>
      <c r="AG6" s="32">
        <v>0</v>
      </c>
      <c r="AH6" s="247">
        <f t="shared" si="8"/>
        <v>25</v>
      </c>
      <c r="AI6" s="91">
        <f t="shared" si="9"/>
        <v>0.25</v>
      </c>
      <c r="AJ6" s="32"/>
      <c r="AK6" s="32">
        <v>1</v>
      </c>
      <c r="AL6" s="32">
        <v>0</v>
      </c>
      <c r="AM6" s="32">
        <v>0</v>
      </c>
      <c r="AN6" s="32">
        <v>0</v>
      </c>
      <c r="AO6" s="247">
        <f t="shared" si="0"/>
        <v>1</v>
      </c>
      <c r="AP6" s="247">
        <f t="shared" si="10"/>
        <v>50</v>
      </c>
      <c r="AQ6" s="90">
        <f t="shared" si="11"/>
        <v>1</v>
      </c>
      <c r="AR6" s="32">
        <v>0</v>
      </c>
      <c r="AS6" s="32">
        <v>0</v>
      </c>
      <c r="AT6" s="32">
        <v>0</v>
      </c>
      <c r="AU6" s="272" t="str">
        <f t="shared" si="12"/>
        <v>A</v>
      </c>
      <c r="AV6" s="247">
        <f t="shared" si="13"/>
        <v>100</v>
      </c>
      <c r="AW6" s="90">
        <f t="shared" si="14"/>
        <v>3</v>
      </c>
      <c r="AX6" s="163">
        <f t="shared" si="15"/>
        <v>7.0833333333333339</v>
      </c>
    </row>
    <row r="7" spans="1:50" x14ac:dyDescent="0.6">
      <c r="A7" s="214" t="s">
        <v>750</v>
      </c>
      <c r="B7" s="13" t="s">
        <v>1983</v>
      </c>
      <c r="C7" s="219" t="s">
        <v>409</v>
      </c>
      <c r="D7" s="216" t="s">
        <v>285</v>
      </c>
      <c r="E7" s="217" t="s">
        <v>1034</v>
      </c>
      <c r="F7" s="217" t="s">
        <v>1019</v>
      </c>
      <c r="G7" s="218">
        <v>33975</v>
      </c>
      <c r="H7" s="217" t="s">
        <v>830</v>
      </c>
      <c r="I7" s="217" t="s">
        <v>969</v>
      </c>
      <c r="J7" s="217" t="s">
        <v>1040</v>
      </c>
      <c r="K7" s="217" t="s">
        <v>91</v>
      </c>
      <c r="L7" s="220">
        <v>428747549</v>
      </c>
      <c r="M7" s="206">
        <v>121241747</v>
      </c>
      <c r="N7" s="206">
        <v>307505802</v>
      </c>
      <c r="O7" s="206">
        <v>347588559</v>
      </c>
      <c r="P7" s="206">
        <v>12401397</v>
      </c>
      <c r="Q7" s="206">
        <v>14089238</v>
      </c>
      <c r="R7" s="206">
        <v>10922265</v>
      </c>
      <c r="S7" s="32">
        <v>0</v>
      </c>
      <c r="T7" s="32">
        <v>0</v>
      </c>
      <c r="U7" s="32">
        <v>0</v>
      </c>
      <c r="V7" s="266">
        <f t="shared" si="1"/>
        <v>50</v>
      </c>
      <c r="W7" s="90">
        <f t="shared" si="2"/>
        <v>0.5</v>
      </c>
      <c r="X7" s="32">
        <v>0</v>
      </c>
      <c r="Y7" s="32">
        <v>0</v>
      </c>
      <c r="Z7" s="267">
        <f t="shared" si="3"/>
        <v>0</v>
      </c>
      <c r="AA7" s="268">
        <f t="shared" si="4"/>
        <v>33.333333333333336</v>
      </c>
      <c r="AB7" s="90">
        <f t="shared" si="5"/>
        <v>0.33333333333333337</v>
      </c>
      <c r="AC7" s="32">
        <v>0</v>
      </c>
      <c r="AD7" s="32">
        <v>1</v>
      </c>
      <c r="AE7" s="252">
        <f t="shared" si="6"/>
        <v>75</v>
      </c>
      <c r="AF7" s="90">
        <f t="shared" si="7"/>
        <v>1.5</v>
      </c>
      <c r="AG7" s="32">
        <v>0</v>
      </c>
      <c r="AH7" s="247">
        <f t="shared" si="8"/>
        <v>25</v>
      </c>
      <c r="AI7" s="91">
        <f t="shared" si="9"/>
        <v>0.25</v>
      </c>
      <c r="AJ7" s="32"/>
      <c r="AK7" s="32">
        <v>0</v>
      </c>
      <c r="AL7" s="32">
        <v>0</v>
      </c>
      <c r="AM7" s="32">
        <v>0</v>
      </c>
      <c r="AN7" s="32">
        <v>0</v>
      </c>
      <c r="AO7" s="247">
        <f t="shared" si="0"/>
        <v>0</v>
      </c>
      <c r="AP7" s="247">
        <f t="shared" si="10"/>
        <v>25</v>
      </c>
      <c r="AQ7" s="90">
        <f t="shared" si="11"/>
        <v>0.5</v>
      </c>
      <c r="AR7" s="32">
        <v>0</v>
      </c>
      <c r="AS7" s="32">
        <v>0</v>
      </c>
      <c r="AT7" s="32">
        <v>0</v>
      </c>
      <c r="AU7" s="272" t="str">
        <f t="shared" si="12"/>
        <v>A</v>
      </c>
      <c r="AV7" s="247">
        <f t="shared" si="13"/>
        <v>100</v>
      </c>
      <c r="AW7" s="90">
        <f t="shared" si="14"/>
        <v>3</v>
      </c>
      <c r="AX7" s="163">
        <f t="shared" si="15"/>
        <v>6.0833333333333339</v>
      </c>
    </row>
    <row r="8" spans="1:50" x14ac:dyDescent="0.6">
      <c r="A8" s="214" t="s">
        <v>499</v>
      </c>
      <c r="B8" s="13" t="s">
        <v>1984</v>
      </c>
      <c r="C8" s="219" t="s">
        <v>525</v>
      </c>
      <c r="D8" s="221" t="s">
        <v>481</v>
      </c>
      <c r="E8" s="217" t="s">
        <v>704</v>
      </c>
      <c r="F8" s="217" t="s">
        <v>1243</v>
      </c>
      <c r="G8" s="218">
        <v>26843</v>
      </c>
      <c r="H8" s="217" t="s">
        <v>830</v>
      </c>
      <c r="I8" s="217" t="s">
        <v>1442</v>
      </c>
      <c r="J8" s="217" t="s">
        <v>1068</v>
      </c>
      <c r="K8" s="217" t="s">
        <v>91</v>
      </c>
      <c r="L8" s="220">
        <v>50491197385</v>
      </c>
      <c r="M8" s="206">
        <v>45440998151</v>
      </c>
      <c r="N8" s="206">
        <v>5050199234</v>
      </c>
      <c r="O8" s="206">
        <v>14569718977</v>
      </c>
      <c r="P8" s="206">
        <v>1292467004</v>
      </c>
      <c r="Q8" s="206">
        <v>1295672581</v>
      </c>
      <c r="R8" s="206">
        <v>980567336</v>
      </c>
      <c r="S8" s="32">
        <v>0</v>
      </c>
      <c r="T8" s="32">
        <v>0</v>
      </c>
      <c r="U8" s="32">
        <v>0</v>
      </c>
      <c r="V8" s="266">
        <f t="shared" si="1"/>
        <v>50</v>
      </c>
      <c r="W8" s="90">
        <f t="shared" si="2"/>
        <v>0.5</v>
      </c>
      <c r="X8" s="32">
        <v>0</v>
      </c>
      <c r="Y8" s="32">
        <v>0</v>
      </c>
      <c r="Z8" s="267">
        <f t="shared" si="3"/>
        <v>0</v>
      </c>
      <c r="AA8" s="268">
        <f t="shared" si="4"/>
        <v>33.333333333333336</v>
      </c>
      <c r="AB8" s="90">
        <f t="shared" si="5"/>
        <v>0.33333333333333337</v>
      </c>
      <c r="AC8" s="32">
        <v>0</v>
      </c>
      <c r="AD8" s="32">
        <v>0</v>
      </c>
      <c r="AE8" s="252">
        <f t="shared" si="6"/>
        <v>25</v>
      </c>
      <c r="AF8" s="90">
        <f t="shared" si="7"/>
        <v>0.5</v>
      </c>
      <c r="AG8" s="32">
        <v>0</v>
      </c>
      <c r="AH8" s="247">
        <f t="shared" si="8"/>
        <v>25</v>
      </c>
      <c r="AI8" s="91">
        <f t="shared" si="9"/>
        <v>0.25</v>
      </c>
      <c r="AJ8" s="32"/>
      <c r="AK8" s="32">
        <v>0</v>
      </c>
      <c r="AL8" s="32">
        <v>0</v>
      </c>
      <c r="AM8" s="32">
        <v>0</v>
      </c>
      <c r="AN8" s="32">
        <v>0</v>
      </c>
      <c r="AO8" s="247">
        <f t="shared" si="0"/>
        <v>0</v>
      </c>
      <c r="AP8" s="247">
        <f t="shared" si="10"/>
        <v>25</v>
      </c>
      <c r="AQ8" s="90">
        <f t="shared" si="11"/>
        <v>0.5</v>
      </c>
      <c r="AR8" s="32">
        <v>0</v>
      </c>
      <c r="AS8" s="32">
        <v>0</v>
      </c>
      <c r="AT8" s="32">
        <v>0</v>
      </c>
      <c r="AU8" s="272" t="str">
        <f t="shared" si="12"/>
        <v>A</v>
      </c>
      <c r="AV8" s="247">
        <f t="shared" si="13"/>
        <v>100</v>
      </c>
      <c r="AW8" s="90">
        <f t="shared" si="14"/>
        <v>3</v>
      </c>
      <c r="AX8" s="163">
        <v>0</v>
      </c>
    </row>
    <row r="9" spans="1:50" x14ac:dyDescent="0.6">
      <c r="A9" s="214" t="s">
        <v>1443</v>
      </c>
      <c r="B9" s="13" t="s">
        <v>1985</v>
      </c>
      <c r="C9" s="219" t="s">
        <v>1444</v>
      </c>
      <c r="D9" s="14" t="s">
        <v>203</v>
      </c>
      <c r="E9" s="217" t="s">
        <v>180</v>
      </c>
      <c r="F9" s="217" t="s">
        <v>1429</v>
      </c>
      <c r="G9" s="218">
        <v>27792</v>
      </c>
      <c r="H9" s="217" t="s">
        <v>830</v>
      </c>
      <c r="I9" s="217" t="s">
        <v>841</v>
      </c>
      <c r="J9" s="217" t="s">
        <v>1445</v>
      </c>
      <c r="K9" s="217" t="s">
        <v>91</v>
      </c>
      <c r="L9" s="220">
        <v>3649116385</v>
      </c>
      <c r="M9" s="206">
        <v>587165440</v>
      </c>
      <c r="N9" s="206">
        <v>3061950944</v>
      </c>
      <c r="O9" s="206">
        <v>223739892</v>
      </c>
      <c r="P9" s="206">
        <v>195878366</v>
      </c>
      <c r="Q9" s="206">
        <v>167506991</v>
      </c>
      <c r="R9" s="206">
        <v>146629624</v>
      </c>
      <c r="S9" s="32">
        <v>0</v>
      </c>
      <c r="T9" s="32">
        <v>0</v>
      </c>
      <c r="U9" s="32">
        <v>0</v>
      </c>
      <c r="V9" s="266">
        <f t="shared" si="1"/>
        <v>50</v>
      </c>
      <c r="W9" s="90">
        <f t="shared" si="2"/>
        <v>0.5</v>
      </c>
      <c r="X9" s="32">
        <v>0</v>
      </c>
      <c r="Y9" s="32">
        <v>0</v>
      </c>
      <c r="Z9" s="267">
        <f t="shared" si="3"/>
        <v>0</v>
      </c>
      <c r="AA9" s="268">
        <f t="shared" si="4"/>
        <v>33.333333333333336</v>
      </c>
      <c r="AB9" s="90">
        <f t="shared" si="5"/>
        <v>0.33333333333333337</v>
      </c>
      <c r="AC9" s="32">
        <v>0</v>
      </c>
      <c r="AD9" s="32">
        <v>1</v>
      </c>
      <c r="AE9" s="252">
        <f t="shared" si="6"/>
        <v>75</v>
      </c>
      <c r="AF9" s="90">
        <f t="shared" si="7"/>
        <v>1.5</v>
      </c>
      <c r="AG9" s="32">
        <v>0</v>
      </c>
      <c r="AH9" s="247">
        <f t="shared" si="8"/>
        <v>25</v>
      </c>
      <c r="AI9" s="91">
        <f t="shared" si="9"/>
        <v>0.25</v>
      </c>
      <c r="AJ9" s="32"/>
      <c r="AK9" s="32">
        <v>0</v>
      </c>
      <c r="AL9" s="32">
        <v>0</v>
      </c>
      <c r="AM9" s="32">
        <v>0</v>
      </c>
      <c r="AN9" s="32">
        <v>0</v>
      </c>
      <c r="AO9" s="247">
        <f t="shared" si="0"/>
        <v>0</v>
      </c>
      <c r="AP9" s="247">
        <f t="shared" si="10"/>
        <v>25</v>
      </c>
      <c r="AQ9" s="90">
        <f t="shared" si="11"/>
        <v>0.5</v>
      </c>
      <c r="AR9" s="32">
        <v>1</v>
      </c>
      <c r="AS9" s="32">
        <v>0</v>
      </c>
      <c r="AT9" s="32">
        <v>0</v>
      </c>
      <c r="AU9" s="272" t="str">
        <f t="shared" si="12"/>
        <v>B</v>
      </c>
      <c r="AV9" s="247">
        <f t="shared" si="13"/>
        <v>75</v>
      </c>
      <c r="AW9" s="90">
        <f t="shared" si="14"/>
        <v>2.25</v>
      </c>
      <c r="AX9" s="163">
        <f t="shared" si="15"/>
        <v>5.3333333333333339</v>
      </c>
    </row>
    <row r="10" spans="1:50" x14ac:dyDescent="0.6">
      <c r="A10" s="214" t="s">
        <v>305</v>
      </c>
      <c r="B10" s="13" t="s">
        <v>1986</v>
      </c>
      <c r="C10" s="219" t="s">
        <v>497</v>
      </c>
      <c r="D10" s="216" t="s">
        <v>285</v>
      </c>
      <c r="E10" s="217" t="s">
        <v>872</v>
      </c>
      <c r="F10" s="217" t="s">
        <v>657</v>
      </c>
      <c r="G10" s="218">
        <v>28481</v>
      </c>
      <c r="H10" s="217" t="s">
        <v>830</v>
      </c>
      <c r="I10" s="217" t="s">
        <v>1446</v>
      </c>
      <c r="J10" s="217" t="s">
        <v>659</v>
      </c>
      <c r="K10" s="217" t="s">
        <v>346</v>
      </c>
      <c r="L10" s="220">
        <v>1746816808</v>
      </c>
      <c r="M10" s="206">
        <v>748120989</v>
      </c>
      <c r="N10" s="206">
        <v>998695819</v>
      </c>
      <c r="O10" s="206">
        <v>1962419335</v>
      </c>
      <c r="P10" s="206">
        <v>81072832</v>
      </c>
      <c r="Q10" s="206">
        <v>84339672</v>
      </c>
      <c r="R10" s="206">
        <v>55421181</v>
      </c>
      <c r="S10" s="32">
        <v>0</v>
      </c>
      <c r="T10" s="32">
        <v>0</v>
      </c>
      <c r="U10" s="32">
        <v>0</v>
      </c>
      <c r="V10" s="266">
        <f t="shared" si="1"/>
        <v>50</v>
      </c>
      <c r="W10" s="90">
        <f t="shared" si="2"/>
        <v>0.5</v>
      </c>
      <c r="X10" s="32">
        <v>0</v>
      </c>
      <c r="Y10" s="32">
        <v>0</v>
      </c>
      <c r="Z10" s="267">
        <f t="shared" si="3"/>
        <v>0</v>
      </c>
      <c r="AA10" s="268">
        <f t="shared" si="4"/>
        <v>33.333333333333336</v>
      </c>
      <c r="AB10" s="90">
        <f t="shared" si="5"/>
        <v>0.33333333333333337</v>
      </c>
      <c r="AC10" s="32">
        <v>0</v>
      </c>
      <c r="AD10" s="32">
        <v>1</v>
      </c>
      <c r="AE10" s="252">
        <f t="shared" si="6"/>
        <v>75</v>
      </c>
      <c r="AF10" s="90">
        <f t="shared" si="7"/>
        <v>1.5</v>
      </c>
      <c r="AG10" s="32">
        <v>0</v>
      </c>
      <c r="AH10" s="247">
        <f t="shared" si="8"/>
        <v>25</v>
      </c>
      <c r="AI10" s="91">
        <f t="shared" si="9"/>
        <v>0.25</v>
      </c>
      <c r="AJ10" s="32"/>
      <c r="AK10" s="32">
        <v>0</v>
      </c>
      <c r="AL10" s="32">
        <v>0</v>
      </c>
      <c r="AM10" s="32">
        <v>0</v>
      </c>
      <c r="AN10" s="32">
        <v>0</v>
      </c>
      <c r="AO10" s="247">
        <f t="shared" si="0"/>
        <v>0</v>
      </c>
      <c r="AP10" s="247">
        <f t="shared" si="10"/>
        <v>25</v>
      </c>
      <c r="AQ10" s="90">
        <f t="shared" si="11"/>
        <v>0.5</v>
      </c>
      <c r="AR10" s="32">
        <v>0</v>
      </c>
      <c r="AS10" s="32">
        <v>0</v>
      </c>
      <c r="AT10" s="32">
        <v>0</v>
      </c>
      <c r="AU10" s="272" t="str">
        <f t="shared" si="12"/>
        <v>A</v>
      </c>
      <c r="AV10" s="247">
        <f t="shared" si="13"/>
        <v>100</v>
      </c>
      <c r="AW10" s="90">
        <f t="shared" si="14"/>
        <v>3</v>
      </c>
      <c r="AX10" s="163">
        <f t="shared" si="15"/>
        <v>6.0833333333333339</v>
      </c>
    </row>
    <row r="11" spans="1:50" x14ac:dyDescent="0.6">
      <c r="A11" s="214" t="s">
        <v>1447</v>
      </c>
      <c r="B11" s="13" t="s">
        <v>1987</v>
      </c>
      <c r="C11" s="219" t="s">
        <v>1448</v>
      </c>
      <c r="D11" s="14" t="s">
        <v>285</v>
      </c>
      <c r="E11" s="217" t="s">
        <v>867</v>
      </c>
      <c r="F11" s="217" t="s">
        <v>1449</v>
      </c>
      <c r="G11" s="218">
        <v>44221</v>
      </c>
      <c r="H11" s="217" t="s">
        <v>830</v>
      </c>
      <c r="I11" s="217" t="s">
        <v>1450</v>
      </c>
      <c r="J11" s="13" t="s">
        <v>1988</v>
      </c>
      <c r="K11" s="217" t="s">
        <v>91</v>
      </c>
      <c r="L11" s="220">
        <v>6952036110</v>
      </c>
      <c r="M11" s="206">
        <v>3038424778</v>
      </c>
      <c r="N11" s="206">
        <v>3913611332</v>
      </c>
      <c r="O11" s="206">
        <v>5275660012</v>
      </c>
      <c r="P11" s="206">
        <v>402580787</v>
      </c>
      <c r="Q11" s="206">
        <v>469747452</v>
      </c>
      <c r="R11" s="206">
        <v>310207542</v>
      </c>
      <c r="S11" s="32">
        <v>0</v>
      </c>
      <c r="T11" s="32">
        <v>0</v>
      </c>
      <c r="U11" s="32">
        <v>0</v>
      </c>
      <c r="V11" s="266">
        <f t="shared" si="1"/>
        <v>50</v>
      </c>
      <c r="W11" s="90">
        <f t="shared" si="2"/>
        <v>0.5</v>
      </c>
      <c r="X11" s="32">
        <v>0</v>
      </c>
      <c r="Y11" s="32">
        <v>0</v>
      </c>
      <c r="Z11" s="267">
        <f t="shared" si="3"/>
        <v>0</v>
      </c>
      <c r="AA11" s="268">
        <f t="shared" si="4"/>
        <v>33.333333333333336</v>
      </c>
      <c r="AB11" s="90">
        <f t="shared" si="5"/>
        <v>0.33333333333333337</v>
      </c>
      <c r="AC11" s="32">
        <v>0</v>
      </c>
      <c r="AD11" s="32">
        <v>1</v>
      </c>
      <c r="AE11" s="252">
        <f t="shared" si="6"/>
        <v>75</v>
      </c>
      <c r="AF11" s="90">
        <f t="shared" si="7"/>
        <v>1.5</v>
      </c>
      <c r="AG11" s="32">
        <v>0</v>
      </c>
      <c r="AH11" s="247">
        <f t="shared" si="8"/>
        <v>25</v>
      </c>
      <c r="AI11" s="91">
        <f t="shared" si="9"/>
        <v>0.25</v>
      </c>
      <c r="AJ11" s="32"/>
      <c r="AK11" s="32">
        <v>0</v>
      </c>
      <c r="AL11" s="32">
        <v>0</v>
      </c>
      <c r="AM11" s="32">
        <v>0</v>
      </c>
      <c r="AN11" s="32">
        <v>1</v>
      </c>
      <c r="AO11" s="247">
        <f t="shared" si="0"/>
        <v>1</v>
      </c>
      <c r="AP11" s="247">
        <f t="shared" si="10"/>
        <v>50</v>
      </c>
      <c r="AQ11" s="90">
        <f t="shared" si="11"/>
        <v>1</v>
      </c>
      <c r="AR11" s="32">
        <v>0</v>
      </c>
      <c r="AS11" s="32">
        <v>0</v>
      </c>
      <c r="AT11" s="32">
        <v>0</v>
      </c>
      <c r="AU11" s="272" t="str">
        <f t="shared" si="12"/>
        <v>A</v>
      </c>
      <c r="AV11" s="247">
        <f t="shared" si="13"/>
        <v>100</v>
      </c>
      <c r="AW11" s="90">
        <f t="shared" si="14"/>
        <v>3</v>
      </c>
      <c r="AX11" s="163">
        <f t="shared" si="15"/>
        <v>6.5833333333333339</v>
      </c>
    </row>
    <row r="12" spans="1:50" x14ac:dyDescent="0.6">
      <c r="A12" s="214" t="s">
        <v>1451</v>
      </c>
      <c r="B12" s="13" t="s">
        <v>1989</v>
      </c>
      <c r="C12" s="219" t="s">
        <v>1452</v>
      </c>
      <c r="D12" s="14" t="s">
        <v>203</v>
      </c>
      <c r="E12" s="217" t="s">
        <v>617</v>
      </c>
      <c r="F12" s="217" t="s">
        <v>1453</v>
      </c>
      <c r="G12" s="218">
        <v>32410</v>
      </c>
      <c r="H12" s="217" t="s">
        <v>830</v>
      </c>
      <c r="I12" s="217" t="s">
        <v>1454</v>
      </c>
      <c r="J12" s="217" t="s">
        <v>1455</v>
      </c>
      <c r="K12" s="217" t="s">
        <v>50</v>
      </c>
      <c r="L12" s="220">
        <v>1632577263</v>
      </c>
      <c r="M12" s="206">
        <v>965677546</v>
      </c>
      <c r="N12" s="206">
        <v>666899717</v>
      </c>
      <c r="O12" s="206">
        <v>772331699</v>
      </c>
      <c r="P12" s="206">
        <v>96511673</v>
      </c>
      <c r="Q12" s="206">
        <v>50588116</v>
      </c>
      <c r="R12" s="206">
        <v>37870319</v>
      </c>
      <c r="S12" s="32">
        <v>0</v>
      </c>
      <c r="T12" s="32">
        <v>0</v>
      </c>
      <c r="U12" s="32">
        <v>0</v>
      </c>
      <c r="V12" s="266">
        <f t="shared" si="1"/>
        <v>50</v>
      </c>
      <c r="W12" s="90">
        <f t="shared" si="2"/>
        <v>0.5</v>
      </c>
      <c r="X12" s="32">
        <v>0</v>
      </c>
      <c r="Y12" s="32">
        <v>0</v>
      </c>
      <c r="Z12" s="267">
        <f t="shared" si="3"/>
        <v>0</v>
      </c>
      <c r="AA12" s="268">
        <f t="shared" si="4"/>
        <v>33.333333333333336</v>
      </c>
      <c r="AB12" s="90">
        <f t="shared" si="5"/>
        <v>0.33333333333333337</v>
      </c>
      <c r="AC12" s="32">
        <v>0</v>
      </c>
      <c r="AD12" s="32">
        <v>1</v>
      </c>
      <c r="AE12" s="252">
        <f t="shared" si="6"/>
        <v>75</v>
      </c>
      <c r="AF12" s="90">
        <f t="shared" si="7"/>
        <v>1.5</v>
      </c>
      <c r="AG12" s="32">
        <v>0</v>
      </c>
      <c r="AH12" s="247">
        <f t="shared" si="8"/>
        <v>25</v>
      </c>
      <c r="AI12" s="91">
        <f t="shared" si="9"/>
        <v>0.25</v>
      </c>
      <c r="AJ12" s="32"/>
      <c r="AK12" s="32">
        <v>0</v>
      </c>
      <c r="AL12" s="32">
        <v>0</v>
      </c>
      <c r="AM12" s="32">
        <v>0</v>
      </c>
      <c r="AN12" s="32">
        <v>0</v>
      </c>
      <c r="AO12" s="247">
        <f t="shared" si="0"/>
        <v>0</v>
      </c>
      <c r="AP12" s="247">
        <f t="shared" si="10"/>
        <v>25</v>
      </c>
      <c r="AQ12" s="90">
        <f t="shared" si="11"/>
        <v>0.5</v>
      </c>
      <c r="AR12" s="32">
        <v>0</v>
      </c>
      <c r="AS12" s="32">
        <v>0</v>
      </c>
      <c r="AT12" s="32">
        <v>0</v>
      </c>
      <c r="AU12" s="272" t="str">
        <f t="shared" si="12"/>
        <v>A</v>
      </c>
      <c r="AV12" s="247">
        <f t="shared" si="13"/>
        <v>100</v>
      </c>
      <c r="AW12" s="90">
        <f t="shared" si="14"/>
        <v>3</v>
      </c>
      <c r="AX12" s="163">
        <f t="shared" si="15"/>
        <v>6.0833333333333339</v>
      </c>
    </row>
    <row r="13" spans="1:50" x14ac:dyDescent="0.6">
      <c r="A13" s="214" t="s">
        <v>1456</v>
      </c>
      <c r="B13" s="13" t="s">
        <v>1990</v>
      </c>
      <c r="C13" s="219" t="s">
        <v>496</v>
      </c>
      <c r="D13" s="216" t="s">
        <v>203</v>
      </c>
      <c r="E13" s="217" t="s">
        <v>200</v>
      </c>
      <c r="F13" s="217" t="s">
        <v>83</v>
      </c>
      <c r="G13" s="218">
        <v>41409</v>
      </c>
      <c r="H13" s="217" t="s">
        <v>830</v>
      </c>
      <c r="I13" s="217" t="s">
        <v>697</v>
      </c>
      <c r="J13" s="217" t="s">
        <v>1003</v>
      </c>
      <c r="K13" s="217" t="s">
        <v>484</v>
      </c>
      <c r="L13" s="220">
        <v>279626168</v>
      </c>
      <c r="M13" s="206">
        <v>94093073</v>
      </c>
      <c r="N13" s="206">
        <v>185533095</v>
      </c>
      <c r="O13" s="206">
        <v>246405810</v>
      </c>
      <c r="P13" s="206">
        <v>31078773</v>
      </c>
      <c r="Q13" s="206">
        <v>26528544</v>
      </c>
      <c r="R13" s="206">
        <v>19234317</v>
      </c>
      <c r="S13" s="32">
        <v>0</v>
      </c>
      <c r="T13" s="32">
        <v>0</v>
      </c>
      <c r="U13" s="32">
        <v>0</v>
      </c>
      <c r="V13" s="266">
        <f t="shared" si="1"/>
        <v>50</v>
      </c>
      <c r="W13" s="90">
        <f t="shared" si="2"/>
        <v>0.5</v>
      </c>
      <c r="X13" s="32">
        <v>0</v>
      </c>
      <c r="Y13" s="32">
        <v>0</v>
      </c>
      <c r="Z13" s="267">
        <f t="shared" si="3"/>
        <v>0</v>
      </c>
      <c r="AA13" s="268">
        <f t="shared" si="4"/>
        <v>33.333333333333336</v>
      </c>
      <c r="AB13" s="90">
        <f t="shared" si="5"/>
        <v>0.33333333333333337</v>
      </c>
      <c r="AC13" s="32">
        <v>0</v>
      </c>
      <c r="AD13" s="32">
        <v>1</v>
      </c>
      <c r="AE13" s="252">
        <f t="shared" si="6"/>
        <v>75</v>
      </c>
      <c r="AF13" s="90">
        <f t="shared" si="7"/>
        <v>1.5</v>
      </c>
      <c r="AG13" s="32">
        <v>0</v>
      </c>
      <c r="AH13" s="247">
        <f t="shared" si="8"/>
        <v>25</v>
      </c>
      <c r="AI13" s="91">
        <f t="shared" si="9"/>
        <v>0.25</v>
      </c>
      <c r="AJ13" s="32"/>
      <c r="AK13" s="32">
        <v>1</v>
      </c>
      <c r="AL13" s="32">
        <v>0</v>
      </c>
      <c r="AM13" s="32">
        <v>0</v>
      </c>
      <c r="AN13" s="32">
        <v>0</v>
      </c>
      <c r="AO13" s="247">
        <f t="shared" si="0"/>
        <v>1</v>
      </c>
      <c r="AP13" s="247">
        <f t="shared" si="10"/>
        <v>50</v>
      </c>
      <c r="AQ13" s="90">
        <f t="shared" si="11"/>
        <v>1</v>
      </c>
      <c r="AR13" s="32">
        <v>0</v>
      </c>
      <c r="AS13" s="32">
        <v>0</v>
      </c>
      <c r="AT13" s="32">
        <v>0</v>
      </c>
      <c r="AU13" s="272" t="str">
        <f t="shared" si="12"/>
        <v>A</v>
      </c>
      <c r="AV13" s="247">
        <f t="shared" si="13"/>
        <v>100</v>
      </c>
      <c r="AW13" s="90">
        <f t="shared" si="14"/>
        <v>3</v>
      </c>
      <c r="AX13" s="163">
        <f t="shared" si="15"/>
        <v>6.5833333333333339</v>
      </c>
    </row>
    <row r="14" spans="1:50" x14ac:dyDescent="0.6">
      <c r="A14" s="214" t="s">
        <v>96</v>
      </c>
      <c r="B14" s="13" t="s">
        <v>1991</v>
      </c>
      <c r="C14" s="219" t="s">
        <v>66</v>
      </c>
      <c r="D14" s="216" t="s">
        <v>203</v>
      </c>
      <c r="E14" s="217" t="s">
        <v>195</v>
      </c>
      <c r="F14" s="217" t="s">
        <v>288</v>
      </c>
      <c r="G14" s="218">
        <v>37649</v>
      </c>
      <c r="H14" s="217" t="s">
        <v>830</v>
      </c>
      <c r="I14" s="217" t="s">
        <v>980</v>
      </c>
      <c r="J14" s="217" t="s">
        <v>1033</v>
      </c>
      <c r="K14" s="217" t="s">
        <v>341</v>
      </c>
      <c r="L14" s="220">
        <v>259398157</v>
      </c>
      <c r="M14" s="206">
        <v>76302600</v>
      </c>
      <c r="N14" s="206">
        <v>183095557</v>
      </c>
      <c r="O14" s="206">
        <v>261687162</v>
      </c>
      <c r="P14" s="206">
        <v>26367414</v>
      </c>
      <c r="Q14" s="206">
        <v>33010683</v>
      </c>
      <c r="R14" s="206">
        <v>28926448</v>
      </c>
      <c r="S14" s="32">
        <v>0</v>
      </c>
      <c r="T14" s="32">
        <v>0</v>
      </c>
      <c r="U14" s="32">
        <v>0</v>
      </c>
      <c r="V14" s="266">
        <f t="shared" si="1"/>
        <v>50</v>
      </c>
      <c r="W14" s="90">
        <f t="shared" si="2"/>
        <v>0.5</v>
      </c>
      <c r="X14" s="32">
        <v>0</v>
      </c>
      <c r="Y14" s="32">
        <v>0</v>
      </c>
      <c r="Z14" s="267">
        <f t="shared" si="3"/>
        <v>0</v>
      </c>
      <c r="AA14" s="268">
        <f t="shared" si="4"/>
        <v>33.333333333333336</v>
      </c>
      <c r="AB14" s="90">
        <f t="shared" si="5"/>
        <v>0.33333333333333337</v>
      </c>
      <c r="AC14" s="32">
        <v>0</v>
      </c>
      <c r="AD14" s="32">
        <v>0</v>
      </c>
      <c r="AE14" s="252">
        <f t="shared" si="6"/>
        <v>25</v>
      </c>
      <c r="AF14" s="90">
        <f t="shared" si="7"/>
        <v>0.5</v>
      </c>
      <c r="AG14" s="32">
        <v>0</v>
      </c>
      <c r="AH14" s="247">
        <f t="shared" si="8"/>
        <v>25</v>
      </c>
      <c r="AI14" s="91">
        <f t="shared" si="9"/>
        <v>0.25</v>
      </c>
      <c r="AJ14" s="32"/>
      <c r="AK14" s="32">
        <v>1</v>
      </c>
      <c r="AL14" s="32">
        <v>0</v>
      </c>
      <c r="AM14" s="32">
        <v>0</v>
      </c>
      <c r="AN14" s="32">
        <v>0</v>
      </c>
      <c r="AO14" s="247">
        <f t="shared" si="0"/>
        <v>1</v>
      </c>
      <c r="AP14" s="247">
        <f t="shared" si="10"/>
        <v>50</v>
      </c>
      <c r="AQ14" s="90">
        <f t="shared" si="11"/>
        <v>1</v>
      </c>
      <c r="AR14" s="32">
        <v>0</v>
      </c>
      <c r="AS14" s="32">
        <v>0</v>
      </c>
      <c r="AT14" s="32">
        <v>0</v>
      </c>
      <c r="AU14" s="272" t="str">
        <f t="shared" si="12"/>
        <v>A</v>
      </c>
      <c r="AV14" s="247">
        <f t="shared" si="13"/>
        <v>100</v>
      </c>
      <c r="AW14" s="90">
        <f t="shared" si="14"/>
        <v>3</v>
      </c>
      <c r="AX14" s="163">
        <f t="shared" si="15"/>
        <v>5.5833333333333339</v>
      </c>
    </row>
    <row r="15" spans="1:50" x14ac:dyDescent="0.6">
      <c r="A15" s="214" t="s">
        <v>1457</v>
      </c>
      <c r="B15" s="13" t="s">
        <v>1992</v>
      </c>
      <c r="C15" s="219" t="s">
        <v>1458</v>
      </c>
      <c r="D15" s="14" t="s">
        <v>191</v>
      </c>
      <c r="E15" s="217" t="s">
        <v>190</v>
      </c>
      <c r="F15" s="217" t="s">
        <v>1459</v>
      </c>
      <c r="G15" s="218">
        <v>44337</v>
      </c>
      <c r="H15" s="217" t="s">
        <v>830</v>
      </c>
      <c r="I15" s="217" t="s">
        <v>1460</v>
      </c>
      <c r="J15" s="217" t="s">
        <v>1461</v>
      </c>
      <c r="K15" s="217" t="s">
        <v>91</v>
      </c>
      <c r="L15" s="220">
        <v>1329134616</v>
      </c>
      <c r="M15" s="206">
        <v>413421862</v>
      </c>
      <c r="N15" s="206">
        <v>915712754</v>
      </c>
      <c r="O15" s="206">
        <v>1615587865</v>
      </c>
      <c r="P15" s="206">
        <v>523701828</v>
      </c>
      <c r="Q15" s="206">
        <v>528169893</v>
      </c>
      <c r="R15" s="206">
        <v>385627456</v>
      </c>
      <c r="S15" s="32">
        <v>0</v>
      </c>
      <c r="T15" s="32">
        <v>0</v>
      </c>
      <c r="U15" s="32">
        <v>0</v>
      </c>
      <c r="V15" s="266">
        <f t="shared" si="1"/>
        <v>50</v>
      </c>
      <c r="W15" s="90">
        <f t="shared" si="2"/>
        <v>0.5</v>
      </c>
      <c r="X15" s="32">
        <v>0</v>
      </c>
      <c r="Y15" s="32">
        <v>0</v>
      </c>
      <c r="Z15" s="267">
        <f t="shared" si="3"/>
        <v>0</v>
      </c>
      <c r="AA15" s="268">
        <f t="shared" si="4"/>
        <v>33.333333333333336</v>
      </c>
      <c r="AB15" s="90">
        <f t="shared" si="5"/>
        <v>0.33333333333333337</v>
      </c>
      <c r="AC15" s="32">
        <v>0</v>
      </c>
      <c r="AD15" s="32">
        <v>1</v>
      </c>
      <c r="AE15" s="252">
        <f t="shared" si="6"/>
        <v>75</v>
      </c>
      <c r="AF15" s="90">
        <f t="shared" si="7"/>
        <v>1.5</v>
      </c>
      <c r="AG15" s="32">
        <v>0</v>
      </c>
      <c r="AH15" s="247">
        <f t="shared" si="8"/>
        <v>25</v>
      </c>
      <c r="AI15" s="91">
        <f t="shared" si="9"/>
        <v>0.25</v>
      </c>
      <c r="AJ15" s="32"/>
      <c r="AK15" s="32">
        <v>0</v>
      </c>
      <c r="AL15" s="32">
        <v>0</v>
      </c>
      <c r="AM15" s="32">
        <v>0</v>
      </c>
      <c r="AN15" s="32">
        <v>0</v>
      </c>
      <c r="AO15" s="247">
        <f t="shared" si="0"/>
        <v>0</v>
      </c>
      <c r="AP15" s="247">
        <f t="shared" si="10"/>
        <v>25</v>
      </c>
      <c r="AQ15" s="90">
        <f t="shared" si="11"/>
        <v>0.5</v>
      </c>
      <c r="AR15" s="32">
        <v>0</v>
      </c>
      <c r="AS15" s="32">
        <v>0</v>
      </c>
      <c r="AT15" s="32">
        <v>0</v>
      </c>
      <c r="AU15" s="272" t="str">
        <f t="shared" si="12"/>
        <v>A</v>
      </c>
      <c r="AV15" s="247">
        <f t="shared" si="13"/>
        <v>100</v>
      </c>
      <c r="AW15" s="90">
        <f t="shared" si="14"/>
        <v>3</v>
      </c>
      <c r="AX15" s="163">
        <f t="shared" si="15"/>
        <v>6.0833333333333339</v>
      </c>
    </row>
    <row r="16" spans="1:50" x14ac:dyDescent="0.6">
      <c r="A16" s="214" t="s">
        <v>1462</v>
      </c>
      <c r="B16" s="13" t="s">
        <v>1993</v>
      </c>
      <c r="C16" s="219" t="s">
        <v>1463</v>
      </c>
      <c r="D16" s="14" t="s">
        <v>285</v>
      </c>
      <c r="E16" s="217" t="s">
        <v>872</v>
      </c>
      <c r="F16" s="217" t="s">
        <v>1464</v>
      </c>
      <c r="G16" s="218">
        <v>29801</v>
      </c>
      <c r="H16" s="217" t="s">
        <v>830</v>
      </c>
      <c r="I16" s="217" t="s">
        <v>1465</v>
      </c>
      <c r="J16" s="217" t="s">
        <v>1466</v>
      </c>
      <c r="K16" s="217" t="s">
        <v>91</v>
      </c>
      <c r="L16" s="220">
        <v>12739404443</v>
      </c>
      <c r="M16" s="206">
        <v>7806315499</v>
      </c>
      <c r="N16" s="206">
        <v>4933088944</v>
      </c>
      <c r="O16" s="206">
        <v>8613702892</v>
      </c>
      <c r="P16" s="206">
        <v>281011393</v>
      </c>
      <c r="Q16" s="206">
        <v>360875361</v>
      </c>
      <c r="R16" s="206">
        <v>240672686</v>
      </c>
      <c r="S16" s="32">
        <v>0</v>
      </c>
      <c r="T16" s="32">
        <v>0</v>
      </c>
      <c r="U16" s="32">
        <v>0</v>
      </c>
      <c r="V16" s="266">
        <f t="shared" si="1"/>
        <v>50</v>
      </c>
      <c r="W16" s="90">
        <f t="shared" si="2"/>
        <v>0.5</v>
      </c>
      <c r="X16" s="32">
        <v>0</v>
      </c>
      <c r="Y16" s="32">
        <v>0</v>
      </c>
      <c r="Z16" s="267">
        <f t="shared" si="3"/>
        <v>0</v>
      </c>
      <c r="AA16" s="268">
        <f t="shared" si="4"/>
        <v>33.333333333333336</v>
      </c>
      <c r="AB16" s="90">
        <f t="shared" si="5"/>
        <v>0.33333333333333337</v>
      </c>
      <c r="AC16" s="32">
        <v>0</v>
      </c>
      <c r="AD16" s="32">
        <v>1</v>
      </c>
      <c r="AE16" s="252">
        <f t="shared" si="6"/>
        <v>75</v>
      </c>
      <c r="AF16" s="90">
        <f t="shared" si="7"/>
        <v>1.5</v>
      </c>
      <c r="AG16" s="32">
        <v>1</v>
      </c>
      <c r="AH16" s="247">
        <f t="shared" si="8"/>
        <v>50</v>
      </c>
      <c r="AI16" s="91">
        <f t="shared" si="9"/>
        <v>0.5</v>
      </c>
      <c r="AJ16" s="32"/>
      <c r="AK16" s="32">
        <v>0</v>
      </c>
      <c r="AL16" s="32">
        <v>0</v>
      </c>
      <c r="AM16" s="32">
        <v>0</v>
      </c>
      <c r="AN16" s="32">
        <v>0</v>
      </c>
      <c r="AO16" s="247">
        <f t="shared" si="0"/>
        <v>0</v>
      </c>
      <c r="AP16" s="247">
        <f t="shared" si="10"/>
        <v>25</v>
      </c>
      <c r="AQ16" s="90">
        <f t="shared" si="11"/>
        <v>0.5</v>
      </c>
      <c r="AR16" s="32">
        <v>0</v>
      </c>
      <c r="AS16" s="32">
        <v>0</v>
      </c>
      <c r="AT16" s="32">
        <v>0</v>
      </c>
      <c r="AU16" s="272" t="str">
        <f t="shared" si="12"/>
        <v>A</v>
      </c>
      <c r="AV16" s="247">
        <f t="shared" si="13"/>
        <v>100</v>
      </c>
      <c r="AW16" s="90">
        <f t="shared" si="14"/>
        <v>3</v>
      </c>
      <c r="AX16" s="163">
        <f t="shared" si="15"/>
        <v>6.3333333333333339</v>
      </c>
    </row>
    <row r="17" spans="1:50" x14ac:dyDescent="0.6">
      <c r="A17" s="214" t="s">
        <v>1467</v>
      </c>
      <c r="B17" s="13" t="s">
        <v>1994</v>
      </c>
      <c r="C17" s="219" t="s">
        <v>1468</v>
      </c>
      <c r="D17" s="222" t="s">
        <v>285</v>
      </c>
      <c r="E17" s="217" t="s">
        <v>245</v>
      </c>
      <c r="F17" s="217" t="s">
        <v>1469</v>
      </c>
      <c r="G17" s="218">
        <v>27937</v>
      </c>
      <c r="H17" s="217" t="s">
        <v>830</v>
      </c>
      <c r="I17" s="217" t="s">
        <v>1470</v>
      </c>
      <c r="J17" s="217" t="s">
        <v>1471</v>
      </c>
      <c r="K17" s="217" t="s">
        <v>91</v>
      </c>
      <c r="L17" s="220">
        <v>997899096</v>
      </c>
      <c r="M17" s="206">
        <v>681241305</v>
      </c>
      <c r="N17" s="206">
        <v>316657791</v>
      </c>
      <c r="O17" s="206">
        <v>4351245277</v>
      </c>
      <c r="P17" s="206">
        <v>72635691</v>
      </c>
      <c r="Q17" s="206">
        <v>36029872</v>
      </c>
      <c r="R17" s="206">
        <v>42401579</v>
      </c>
      <c r="S17" s="32">
        <v>0</v>
      </c>
      <c r="T17" s="32">
        <v>1</v>
      </c>
      <c r="U17" s="32">
        <v>0</v>
      </c>
      <c r="V17" s="266">
        <f t="shared" si="1"/>
        <v>100</v>
      </c>
      <c r="W17" s="90">
        <f t="shared" si="2"/>
        <v>1</v>
      </c>
      <c r="X17" s="32">
        <v>0</v>
      </c>
      <c r="Y17" s="32">
        <v>0</v>
      </c>
      <c r="Z17" s="267">
        <f t="shared" si="3"/>
        <v>0</v>
      </c>
      <c r="AA17" s="268">
        <f t="shared" si="4"/>
        <v>33.333333333333336</v>
      </c>
      <c r="AB17" s="90">
        <f t="shared" si="5"/>
        <v>0.33333333333333337</v>
      </c>
      <c r="AC17" s="32">
        <v>0</v>
      </c>
      <c r="AD17" s="32">
        <v>0</v>
      </c>
      <c r="AE17" s="252">
        <f t="shared" si="6"/>
        <v>25</v>
      </c>
      <c r="AF17" s="90">
        <f t="shared" si="7"/>
        <v>0.5</v>
      </c>
      <c r="AG17" s="32">
        <v>2</v>
      </c>
      <c r="AH17" s="247">
        <f t="shared" si="8"/>
        <v>75</v>
      </c>
      <c r="AI17" s="91">
        <f t="shared" si="9"/>
        <v>0.75</v>
      </c>
      <c r="AJ17" s="32"/>
      <c r="AK17" s="32">
        <v>0</v>
      </c>
      <c r="AL17" s="32">
        <v>0</v>
      </c>
      <c r="AM17" s="32">
        <v>0</v>
      </c>
      <c r="AN17" s="32">
        <v>0</v>
      </c>
      <c r="AO17" s="247">
        <f t="shared" si="0"/>
        <v>0</v>
      </c>
      <c r="AP17" s="247">
        <f t="shared" si="10"/>
        <v>25</v>
      </c>
      <c r="AQ17" s="90">
        <f t="shared" si="11"/>
        <v>0.5</v>
      </c>
      <c r="AR17" s="32">
        <v>0</v>
      </c>
      <c r="AS17" s="32">
        <v>0</v>
      </c>
      <c r="AT17" s="32">
        <v>0</v>
      </c>
      <c r="AU17" s="272" t="str">
        <f t="shared" si="12"/>
        <v>A</v>
      </c>
      <c r="AV17" s="247">
        <f t="shared" si="13"/>
        <v>100</v>
      </c>
      <c r="AW17" s="90">
        <f t="shared" si="14"/>
        <v>3</v>
      </c>
      <c r="AX17" s="163">
        <f t="shared" si="15"/>
        <v>6.0833333333333339</v>
      </c>
    </row>
    <row r="18" spans="1:50" x14ac:dyDescent="0.6">
      <c r="A18" s="214" t="s">
        <v>402</v>
      </c>
      <c r="B18" s="13" t="s">
        <v>1995</v>
      </c>
      <c r="C18" s="219" t="s">
        <v>49</v>
      </c>
      <c r="D18" s="216" t="s">
        <v>202</v>
      </c>
      <c r="E18" s="217" t="s">
        <v>196</v>
      </c>
      <c r="F18" s="217" t="s">
        <v>120</v>
      </c>
      <c r="G18" s="218">
        <v>42271</v>
      </c>
      <c r="H18" s="217" t="s">
        <v>830</v>
      </c>
      <c r="I18" s="217" t="s">
        <v>679</v>
      </c>
      <c r="J18" s="217" t="s">
        <v>1472</v>
      </c>
      <c r="K18" s="217" t="s">
        <v>91</v>
      </c>
      <c r="L18" s="220">
        <v>384013805</v>
      </c>
      <c r="M18" s="206">
        <v>122371399</v>
      </c>
      <c r="N18" s="206">
        <v>261642406</v>
      </c>
      <c r="O18" s="206">
        <v>610731077</v>
      </c>
      <c r="P18" s="206">
        <v>12353544</v>
      </c>
      <c r="Q18" s="206">
        <v>16868521</v>
      </c>
      <c r="R18" s="206">
        <v>12791557</v>
      </c>
      <c r="S18" s="32">
        <v>0</v>
      </c>
      <c r="T18" s="32">
        <v>0</v>
      </c>
      <c r="U18" s="32">
        <v>0</v>
      </c>
      <c r="V18" s="266">
        <f t="shared" si="1"/>
        <v>50</v>
      </c>
      <c r="W18" s="90">
        <f t="shared" si="2"/>
        <v>0.5</v>
      </c>
      <c r="X18" s="32">
        <v>0</v>
      </c>
      <c r="Y18" s="32">
        <v>0</v>
      </c>
      <c r="Z18" s="267">
        <f t="shared" si="3"/>
        <v>0</v>
      </c>
      <c r="AA18" s="268">
        <f t="shared" si="4"/>
        <v>33.333333333333336</v>
      </c>
      <c r="AB18" s="90">
        <f t="shared" si="5"/>
        <v>0.33333333333333337</v>
      </c>
      <c r="AC18" s="32">
        <v>0</v>
      </c>
      <c r="AD18" s="32">
        <v>0</v>
      </c>
      <c r="AE18" s="252">
        <f t="shared" si="6"/>
        <v>25</v>
      </c>
      <c r="AF18" s="90">
        <f t="shared" si="7"/>
        <v>0.5</v>
      </c>
      <c r="AG18" s="32">
        <v>0</v>
      </c>
      <c r="AH18" s="247">
        <f t="shared" si="8"/>
        <v>25</v>
      </c>
      <c r="AI18" s="91">
        <f t="shared" si="9"/>
        <v>0.25</v>
      </c>
      <c r="AJ18" s="32"/>
      <c r="AK18" s="32">
        <v>0</v>
      </c>
      <c r="AL18" s="32">
        <v>0</v>
      </c>
      <c r="AM18" s="32">
        <v>0</v>
      </c>
      <c r="AN18" s="32">
        <v>0</v>
      </c>
      <c r="AO18" s="247">
        <f t="shared" si="0"/>
        <v>0</v>
      </c>
      <c r="AP18" s="247">
        <f t="shared" si="10"/>
        <v>25</v>
      </c>
      <c r="AQ18" s="90">
        <f t="shared" si="11"/>
        <v>0.5</v>
      </c>
      <c r="AR18" s="32">
        <v>0</v>
      </c>
      <c r="AS18" s="32">
        <v>0</v>
      </c>
      <c r="AT18" s="32">
        <v>0</v>
      </c>
      <c r="AU18" s="272" t="str">
        <f t="shared" si="12"/>
        <v>A</v>
      </c>
      <c r="AV18" s="247">
        <f t="shared" si="13"/>
        <v>100</v>
      </c>
      <c r="AW18" s="90">
        <f t="shared" si="14"/>
        <v>3</v>
      </c>
      <c r="AX18" s="163">
        <f t="shared" si="15"/>
        <v>5.0833333333333339</v>
      </c>
    </row>
    <row r="19" spans="1:50" x14ac:dyDescent="0.6">
      <c r="A19" s="214" t="s">
        <v>1473</v>
      </c>
      <c r="B19" s="13" t="s">
        <v>1996</v>
      </c>
      <c r="C19" s="219" t="s">
        <v>532</v>
      </c>
      <c r="D19" s="216" t="s">
        <v>203</v>
      </c>
      <c r="E19" s="217" t="s">
        <v>188</v>
      </c>
      <c r="F19" s="217" t="s">
        <v>643</v>
      </c>
      <c r="G19" s="218">
        <v>38985</v>
      </c>
      <c r="H19" s="217" t="s">
        <v>830</v>
      </c>
      <c r="I19" s="217" t="s">
        <v>302</v>
      </c>
      <c r="J19" s="217" t="s">
        <v>668</v>
      </c>
      <c r="K19" s="217" t="s">
        <v>425</v>
      </c>
      <c r="L19" s="220">
        <v>496666959</v>
      </c>
      <c r="M19" s="206">
        <v>232970639</v>
      </c>
      <c r="N19" s="206">
        <v>263696320</v>
      </c>
      <c r="O19" s="206">
        <v>847333959</v>
      </c>
      <c r="P19" s="206">
        <v>12420452</v>
      </c>
      <c r="Q19" s="206">
        <v>21136596</v>
      </c>
      <c r="R19" s="206">
        <v>15436443</v>
      </c>
      <c r="S19" s="32">
        <v>0</v>
      </c>
      <c r="T19" s="32">
        <v>0</v>
      </c>
      <c r="U19" s="32">
        <v>0</v>
      </c>
      <c r="V19" s="266">
        <f t="shared" si="1"/>
        <v>50</v>
      </c>
      <c r="W19" s="90">
        <f t="shared" si="2"/>
        <v>0.5</v>
      </c>
      <c r="X19" s="32">
        <v>0</v>
      </c>
      <c r="Y19" s="32">
        <v>0</v>
      </c>
      <c r="Z19" s="267">
        <f t="shared" si="3"/>
        <v>0</v>
      </c>
      <c r="AA19" s="268">
        <f t="shared" si="4"/>
        <v>33.333333333333336</v>
      </c>
      <c r="AB19" s="90">
        <f t="shared" si="5"/>
        <v>0.33333333333333337</v>
      </c>
      <c r="AC19" s="32">
        <v>20000</v>
      </c>
      <c r="AD19" s="32">
        <v>1</v>
      </c>
      <c r="AE19" s="252">
        <f t="shared" si="6"/>
        <v>100</v>
      </c>
      <c r="AF19" s="90">
        <f t="shared" si="7"/>
        <v>2</v>
      </c>
      <c r="AG19" s="32">
        <v>0</v>
      </c>
      <c r="AH19" s="247">
        <f t="shared" si="8"/>
        <v>25</v>
      </c>
      <c r="AI19" s="91">
        <f t="shared" si="9"/>
        <v>0.25</v>
      </c>
      <c r="AJ19" s="32"/>
      <c r="AK19" s="32">
        <v>0</v>
      </c>
      <c r="AL19" s="32">
        <v>0</v>
      </c>
      <c r="AM19" s="32">
        <v>0</v>
      </c>
      <c r="AN19" s="32">
        <v>0</v>
      </c>
      <c r="AO19" s="247">
        <f t="shared" si="0"/>
        <v>0</v>
      </c>
      <c r="AP19" s="247">
        <f t="shared" si="10"/>
        <v>25</v>
      </c>
      <c r="AQ19" s="90">
        <f t="shared" si="11"/>
        <v>0.5</v>
      </c>
      <c r="AR19" s="32">
        <v>0</v>
      </c>
      <c r="AS19" s="32">
        <v>0</v>
      </c>
      <c r="AT19" s="32">
        <v>0</v>
      </c>
      <c r="AU19" s="272" t="str">
        <f t="shared" si="12"/>
        <v>A</v>
      </c>
      <c r="AV19" s="247">
        <f t="shared" si="13"/>
        <v>100</v>
      </c>
      <c r="AW19" s="90">
        <f t="shared" si="14"/>
        <v>3</v>
      </c>
      <c r="AX19" s="163">
        <f t="shared" si="15"/>
        <v>6.5833333333333339</v>
      </c>
    </row>
    <row r="20" spans="1:50" x14ac:dyDescent="0.6">
      <c r="A20" s="214" t="s">
        <v>1474</v>
      </c>
      <c r="B20" s="13" t="s">
        <v>1997</v>
      </c>
      <c r="C20" s="219" t="s">
        <v>1475</v>
      </c>
      <c r="D20" s="222" t="s">
        <v>285</v>
      </c>
      <c r="E20" s="217" t="s">
        <v>872</v>
      </c>
      <c r="F20" s="217" t="s">
        <v>1476</v>
      </c>
      <c r="G20" s="218">
        <v>43263</v>
      </c>
      <c r="H20" s="217" t="s">
        <v>830</v>
      </c>
      <c r="I20" s="217" t="s">
        <v>1477</v>
      </c>
      <c r="J20" s="217" t="s">
        <v>1478</v>
      </c>
      <c r="K20" s="217" t="s">
        <v>91</v>
      </c>
      <c r="L20" s="220">
        <v>7073844464</v>
      </c>
      <c r="M20" s="206">
        <v>4098482728</v>
      </c>
      <c r="N20" s="206">
        <v>2975361736</v>
      </c>
      <c r="O20" s="206">
        <v>3283542070</v>
      </c>
      <c r="P20" s="206">
        <v>110039015</v>
      </c>
      <c r="Q20" s="206">
        <v>105468581</v>
      </c>
      <c r="R20" s="206">
        <v>36587869</v>
      </c>
      <c r="S20" s="32">
        <v>0</v>
      </c>
      <c r="T20" s="32">
        <v>0</v>
      </c>
      <c r="U20" s="32">
        <v>0</v>
      </c>
      <c r="V20" s="266">
        <f t="shared" si="1"/>
        <v>50</v>
      </c>
      <c r="W20" s="90">
        <f t="shared" si="2"/>
        <v>0.5</v>
      </c>
      <c r="X20" s="32">
        <v>0</v>
      </c>
      <c r="Y20" s="32">
        <v>0</v>
      </c>
      <c r="Z20" s="267">
        <f t="shared" si="3"/>
        <v>0</v>
      </c>
      <c r="AA20" s="268">
        <f t="shared" si="4"/>
        <v>33.333333333333336</v>
      </c>
      <c r="AB20" s="90">
        <f t="shared" si="5"/>
        <v>0.33333333333333337</v>
      </c>
      <c r="AC20" s="32">
        <v>0</v>
      </c>
      <c r="AD20" s="32">
        <v>1</v>
      </c>
      <c r="AE20" s="252">
        <f t="shared" si="6"/>
        <v>75</v>
      </c>
      <c r="AF20" s="90">
        <f t="shared" si="7"/>
        <v>1.5</v>
      </c>
      <c r="AG20" s="32">
        <v>0</v>
      </c>
      <c r="AH20" s="247">
        <f t="shared" si="8"/>
        <v>25</v>
      </c>
      <c r="AI20" s="91">
        <f t="shared" si="9"/>
        <v>0.25</v>
      </c>
      <c r="AJ20" s="32"/>
      <c r="AK20" s="32">
        <v>0</v>
      </c>
      <c r="AL20" s="32">
        <v>0</v>
      </c>
      <c r="AM20" s="32">
        <v>0</v>
      </c>
      <c r="AN20" s="32">
        <v>0</v>
      </c>
      <c r="AO20" s="247">
        <f t="shared" si="0"/>
        <v>0</v>
      </c>
      <c r="AP20" s="247">
        <f t="shared" si="10"/>
        <v>25</v>
      </c>
      <c r="AQ20" s="90">
        <f t="shared" si="11"/>
        <v>0.5</v>
      </c>
      <c r="AR20" s="32">
        <v>0</v>
      </c>
      <c r="AS20" s="32">
        <v>0</v>
      </c>
      <c r="AT20" s="32">
        <v>0</v>
      </c>
      <c r="AU20" s="272" t="str">
        <f t="shared" si="12"/>
        <v>A</v>
      </c>
      <c r="AV20" s="247">
        <f t="shared" si="13"/>
        <v>100</v>
      </c>
      <c r="AW20" s="90">
        <f t="shared" si="14"/>
        <v>3</v>
      </c>
      <c r="AX20" s="163">
        <f t="shared" si="15"/>
        <v>6.0833333333333339</v>
      </c>
    </row>
    <row r="21" spans="1:50" x14ac:dyDescent="0.6">
      <c r="A21" s="214" t="s">
        <v>1479</v>
      </c>
      <c r="B21" s="13" t="s">
        <v>1998</v>
      </c>
      <c r="C21" s="219" t="s">
        <v>1480</v>
      </c>
      <c r="D21" s="14" t="s">
        <v>202</v>
      </c>
      <c r="E21" s="217" t="s">
        <v>950</v>
      </c>
      <c r="F21" s="217" t="s">
        <v>1481</v>
      </c>
      <c r="G21" s="218">
        <v>43788</v>
      </c>
      <c r="H21" s="217" t="s">
        <v>830</v>
      </c>
      <c r="I21" s="217" t="s">
        <v>1482</v>
      </c>
      <c r="J21" s="217" t="s">
        <v>1483</v>
      </c>
      <c r="K21" s="217" t="s">
        <v>690</v>
      </c>
      <c r="L21" s="220">
        <v>654805747</v>
      </c>
      <c r="M21" s="206">
        <v>269730556</v>
      </c>
      <c r="N21" s="206">
        <v>385075191</v>
      </c>
      <c r="O21" s="206">
        <v>1022975319</v>
      </c>
      <c r="P21" s="206">
        <v>95989545</v>
      </c>
      <c r="Q21" s="206">
        <v>80403526</v>
      </c>
      <c r="R21" s="206">
        <v>64390770</v>
      </c>
      <c r="S21" s="32">
        <v>0</v>
      </c>
      <c r="T21" s="32">
        <v>0</v>
      </c>
      <c r="U21" s="32">
        <v>0</v>
      </c>
      <c r="V21" s="266">
        <f t="shared" si="1"/>
        <v>50</v>
      </c>
      <c r="W21" s="90">
        <f t="shared" si="2"/>
        <v>0.5</v>
      </c>
      <c r="X21" s="32">
        <v>0</v>
      </c>
      <c r="Y21" s="32">
        <v>0</v>
      </c>
      <c r="Z21" s="267">
        <f t="shared" si="3"/>
        <v>0</v>
      </c>
      <c r="AA21" s="268">
        <f t="shared" si="4"/>
        <v>33.333333333333336</v>
      </c>
      <c r="AB21" s="90">
        <f t="shared" si="5"/>
        <v>0.33333333333333337</v>
      </c>
      <c r="AC21" s="32">
        <v>0</v>
      </c>
      <c r="AD21" s="32">
        <v>1</v>
      </c>
      <c r="AE21" s="252">
        <f t="shared" si="6"/>
        <v>75</v>
      </c>
      <c r="AF21" s="90">
        <f t="shared" si="7"/>
        <v>1.5</v>
      </c>
      <c r="AG21" s="32">
        <v>0</v>
      </c>
      <c r="AH21" s="247">
        <f t="shared" si="8"/>
        <v>25</v>
      </c>
      <c r="AI21" s="91">
        <f t="shared" si="9"/>
        <v>0.25</v>
      </c>
      <c r="AJ21" s="32"/>
      <c r="AK21" s="32">
        <v>0</v>
      </c>
      <c r="AL21" s="32">
        <v>0</v>
      </c>
      <c r="AM21" s="32">
        <v>0</v>
      </c>
      <c r="AN21" s="32">
        <v>0</v>
      </c>
      <c r="AO21" s="247">
        <f t="shared" si="0"/>
        <v>0</v>
      </c>
      <c r="AP21" s="247">
        <f t="shared" si="10"/>
        <v>25</v>
      </c>
      <c r="AQ21" s="90">
        <f t="shared" si="11"/>
        <v>0.5</v>
      </c>
      <c r="AR21" s="32">
        <v>0</v>
      </c>
      <c r="AS21" s="32">
        <v>0</v>
      </c>
      <c r="AT21" s="32">
        <v>0</v>
      </c>
      <c r="AU21" s="272" t="str">
        <f t="shared" si="12"/>
        <v>A</v>
      </c>
      <c r="AV21" s="247">
        <f t="shared" si="13"/>
        <v>100</v>
      </c>
      <c r="AW21" s="90">
        <f t="shared" si="14"/>
        <v>3</v>
      </c>
      <c r="AX21" s="163">
        <f t="shared" si="15"/>
        <v>6.0833333333333339</v>
      </c>
    </row>
    <row r="22" spans="1:50" x14ac:dyDescent="0.6">
      <c r="A22" s="214" t="s">
        <v>1484</v>
      </c>
      <c r="B22" s="13" t="s">
        <v>1999</v>
      </c>
      <c r="C22" s="219" t="s">
        <v>1485</v>
      </c>
      <c r="D22" s="222" t="s">
        <v>285</v>
      </c>
      <c r="E22" s="217" t="s">
        <v>867</v>
      </c>
      <c r="F22" s="217" t="s">
        <v>1486</v>
      </c>
      <c r="G22" s="218">
        <v>34558</v>
      </c>
      <c r="H22" s="217" t="s">
        <v>830</v>
      </c>
      <c r="I22" s="217" t="s">
        <v>1487</v>
      </c>
      <c r="J22" s="217" t="s">
        <v>1488</v>
      </c>
      <c r="K22" s="217" t="s">
        <v>91</v>
      </c>
      <c r="L22" s="220">
        <v>1405053368</v>
      </c>
      <c r="M22" s="206">
        <v>1006454557</v>
      </c>
      <c r="N22" s="206">
        <v>398598812</v>
      </c>
      <c r="O22" s="206">
        <v>1379461788</v>
      </c>
      <c r="P22" s="206">
        <v>37587942</v>
      </c>
      <c r="Q22" s="206">
        <v>27839730</v>
      </c>
      <c r="R22" s="206">
        <v>18200083</v>
      </c>
      <c r="S22" s="32">
        <v>0</v>
      </c>
      <c r="T22" s="32">
        <v>0</v>
      </c>
      <c r="U22" s="32">
        <v>0</v>
      </c>
      <c r="V22" s="266">
        <f t="shared" si="1"/>
        <v>50</v>
      </c>
      <c r="W22" s="90">
        <f t="shared" si="2"/>
        <v>0.5</v>
      </c>
      <c r="X22" s="32">
        <v>0</v>
      </c>
      <c r="Y22" s="32">
        <v>0</v>
      </c>
      <c r="Z22" s="267">
        <f t="shared" si="3"/>
        <v>0</v>
      </c>
      <c r="AA22" s="268">
        <f t="shared" si="4"/>
        <v>33.333333333333336</v>
      </c>
      <c r="AB22" s="90">
        <f t="shared" si="5"/>
        <v>0.33333333333333337</v>
      </c>
      <c r="AC22" s="32">
        <v>0</v>
      </c>
      <c r="AD22" s="32">
        <v>1</v>
      </c>
      <c r="AE22" s="252">
        <f t="shared" si="6"/>
        <v>75</v>
      </c>
      <c r="AF22" s="90">
        <f t="shared" si="7"/>
        <v>1.5</v>
      </c>
      <c r="AG22" s="32">
        <v>0</v>
      </c>
      <c r="AH22" s="247">
        <f t="shared" si="8"/>
        <v>25</v>
      </c>
      <c r="AI22" s="91">
        <f t="shared" si="9"/>
        <v>0.25</v>
      </c>
      <c r="AJ22" s="32"/>
      <c r="AK22" s="32">
        <v>0</v>
      </c>
      <c r="AL22" s="32">
        <v>0</v>
      </c>
      <c r="AM22" s="32">
        <v>0</v>
      </c>
      <c r="AN22" s="32">
        <v>0</v>
      </c>
      <c r="AO22" s="247">
        <f t="shared" si="0"/>
        <v>0</v>
      </c>
      <c r="AP22" s="247">
        <f t="shared" si="10"/>
        <v>25</v>
      </c>
      <c r="AQ22" s="90">
        <f t="shared" si="11"/>
        <v>0.5</v>
      </c>
      <c r="AR22" s="32">
        <v>0</v>
      </c>
      <c r="AS22" s="32">
        <v>0</v>
      </c>
      <c r="AT22" s="32">
        <v>0</v>
      </c>
      <c r="AU22" s="272" t="str">
        <f t="shared" si="12"/>
        <v>A</v>
      </c>
      <c r="AV22" s="247">
        <f t="shared" si="13"/>
        <v>100</v>
      </c>
      <c r="AW22" s="90">
        <f t="shared" si="14"/>
        <v>3</v>
      </c>
      <c r="AX22" s="163">
        <f t="shared" si="15"/>
        <v>6.0833333333333339</v>
      </c>
    </row>
    <row r="23" spans="1:50" x14ac:dyDescent="0.6">
      <c r="A23" s="214" t="s">
        <v>1489</v>
      </c>
      <c r="B23" s="13" t="s">
        <v>2000</v>
      </c>
      <c r="C23" s="219" t="s">
        <v>1490</v>
      </c>
      <c r="D23" s="14" t="s">
        <v>285</v>
      </c>
      <c r="E23" s="217" t="s">
        <v>534</v>
      </c>
      <c r="F23" s="217" t="s">
        <v>1491</v>
      </c>
      <c r="G23" s="218">
        <v>34977</v>
      </c>
      <c r="H23" s="217" t="s">
        <v>830</v>
      </c>
      <c r="I23" s="217" t="s">
        <v>1492</v>
      </c>
      <c r="J23" s="217" t="s">
        <v>1493</v>
      </c>
      <c r="K23" s="217" t="s">
        <v>91</v>
      </c>
      <c r="L23" s="220">
        <v>25684209000</v>
      </c>
      <c r="M23" s="206">
        <v>5067672000</v>
      </c>
      <c r="N23" s="206">
        <v>20616537000</v>
      </c>
      <c r="O23" s="206">
        <v>18429889000</v>
      </c>
      <c r="P23" s="206">
        <v>9919892000</v>
      </c>
      <c r="Q23" s="206">
        <v>10124753000</v>
      </c>
      <c r="R23" s="206">
        <v>10047898000</v>
      </c>
      <c r="S23" s="32">
        <v>0</v>
      </c>
      <c r="T23" s="32">
        <v>1</v>
      </c>
      <c r="U23" s="32">
        <v>0</v>
      </c>
      <c r="V23" s="266">
        <f t="shared" si="1"/>
        <v>100</v>
      </c>
      <c r="W23" s="90">
        <f t="shared" si="2"/>
        <v>1</v>
      </c>
      <c r="X23" s="32">
        <v>0</v>
      </c>
      <c r="Y23" s="32">
        <v>0</v>
      </c>
      <c r="Z23" s="267">
        <f t="shared" si="3"/>
        <v>0</v>
      </c>
      <c r="AA23" s="268">
        <f t="shared" si="4"/>
        <v>33.333333333333336</v>
      </c>
      <c r="AB23" s="90">
        <f t="shared" si="5"/>
        <v>0.33333333333333337</v>
      </c>
      <c r="AC23" s="32">
        <v>4231500</v>
      </c>
      <c r="AD23" s="32">
        <v>1</v>
      </c>
      <c r="AE23" s="252">
        <f t="shared" si="6"/>
        <v>100</v>
      </c>
      <c r="AF23" s="90">
        <f t="shared" si="7"/>
        <v>2</v>
      </c>
      <c r="AG23" s="32">
        <v>0</v>
      </c>
      <c r="AH23" s="247">
        <f t="shared" si="8"/>
        <v>25</v>
      </c>
      <c r="AI23" s="91">
        <f t="shared" si="9"/>
        <v>0.25</v>
      </c>
      <c r="AJ23" s="32"/>
      <c r="AK23" s="32">
        <v>0</v>
      </c>
      <c r="AL23" s="32">
        <v>0</v>
      </c>
      <c r="AM23" s="32">
        <v>0</v>
      </c>
      <c r="AN23" s="32">
        <v>1</v>
      </c>
      <c r="AO23" s="247">
        <f t="shared" si="0"/>
        <v>1</v>
      </c>
      <c r="AP23" s="247">
        <f t="shared" si="10"/>
        <v>50</v>
      </c>
      <c r="AQ23" s="90">
        <f t="shared" si="11"/>
        <v>1</v>
      </c>
      <c r="AR23" s="32">
        <v>0</v>
      </c>
      <c r="AS23" s="32">
        <v>0</v>
      </c>
      <c r="AT23" s="32">
        <v>0</v>
      </c>
      <c r="AU23" s="272" t="str">
        <f t="shared" si="12"/>
        <v>A</v>
      </c>
      <c r="AV23" s="247">
        <f t="shared" si="13"/>
        <v>100</v>
      </c>
      <c r="AW23" s="90">
        <f t="shared" si="14"/>
        <v>3</v>
      </c>
      <c r="AX23" s="163">
        <f t="shared" si="15"/>
        <v>7.5833333333333339</v>
      </c>
    </row>
    <row r="24" spans="1:50" x14ac:dyDescent="0.6">
      <c r="A24" s="214" t="s">
        <v>1494</v>
      </c>
      <c r="B24" s="13" t="s">
        <v>2001</v>
      </c>
      <c r="C24" s="219" t="s">
        <v>306</v>
      </c>
      <c r="D24" s="216" t="s">
        <v>191</v>
      </c>
      <c r="E24" s="217" t="s">
        <v>34</v>
      </c>
      <c r="F24" s="217" t="s">
        <v>670</v>
      </c>
      <c r="G24" s="218">
        <v>42670</v>
      </c>
      <c r="H24" s="217" t="s">
        <v>830</v>
      </c>
      <c r="I24" s="217" t="s">
        <v>692</v>
      </c>
      <c r="J24" s="217" t="s">
        <v>639</v>
      </c>
      <c r="K24" s="217" t="s">
        <v>425</v>
      </c>
      <c r="L24" s="220">
        <v>254329814</v>
      </c>
      <c r="M24" s="206">
        <v>113155622</v>
      </c>
      <c r="N24" s="206">
        <v>141174193</v>
      </c>
      <c r="O24" s="206">
        <v>184874804</v>
      </c>
      <c r="P24" s="206">
        <v>26315611</v>
      </c>
      <c r="Q24" s="206">
        <v>24849352</v>
      </c>
      <c r="R24" s="206">
        <v>19163516</v>
      </c>
      <c r="S24" s="32">
        <v>0</v>
      </c>
      <c r="T24" s="32">
        <v>1</v>
      </c>
      <c r="U24" s="32">
        <v>0</v>
      </c>
      <c r="V24" s="266">
        <f t="shared" si="1"/>
        <v>100</v>
      </c>
      <c r="W24" s="90">
        <f t="shared" si="2"/>
        <v>1</v>
      </c>
      <c r="X24" s="32">
        <v>0</v>
      </c>
      <c r="Y24" s="32">
        <v>0</v>
      </c>
      <c r="Z24" s="267">
        <f t="shared" si="3"/>
        <v>0</v>
      </c>
      <c r="AA24" s="268">
        <f t="shared" si="4"/>
        <v>33.333333333333336</v>
      </c>
      <c r="AB24" s="90">
        <f t="shared" si="5"/>
        <v>0.33333333333333337</v>
      </c>
      <c r="AC24" s="32">
        <v>0</v>
      </c>
      <c r="AD24" s="32">
        <v>0</v>
      </c>
      <c r="AE24" s="252">
        <f t="shared" si="6"/>
        <v>25</v>
      </c>
      <c r="AF24" s="90">
        <f t="shared" si="7"/>
        <v>0.5</v>
      </c>
      <c r="AG24" s="32">
        <v>1</v>
      </c>
      <c r="AH24" s="247">
        <f t="shared" si="8"/>
        <v>50</v>
      </c>
      <c r="AI24" s="91">
        <f t="shared" si="9"/>
        <v>0.5</v>
      </c>
      <c r="AJ24" s="32"/>
      <c r="AK24" s="32">
        <v>0</v>
      </c>
      <c r="AL24" s="32">
        <v>0</v>
      </c>
      <c r="AM24" s="32">
        <v>0</v>
      </c>
      <c r="AN24" s="32">
        <v>0</v>
      </c>
      <c r="AO24" s="247">
        <f t="shared" si="0"/>
        <v>0</v>
      </c>
      <c r="AP24" s="247">
        <f t="shared" si="10"/>
        <v>25</v>
      </c>
      <c r="AQ24" s="90">
        <f t="shared" si="11"/>
        <v>0.5</v>
      </c>
      <c r="AR24" s="32">
        <v>0</v>
      </c>
      <c r="AS24" s="32">
        <v>0</v>
      </c>
      <c r="AT24" s="32">
        <v>0</v>
      </c>
      <c r="AU24" s="272" t="str">
        <f t="shared" si="12"/>
        <v>A</v>
      </c>
      <c r="AV24" s="247">
        <f t="shared" si="13"/>
        <v>100</v>
      </c>
      <c r="AW24" s="90">
        <f t="shared" si="14"/>
        <v>3</v>
      </c>
      <c r="AX24" s="163">
        <f t="shared" si="15"/>
        <v>5.8333333333333339</v>
      </c>
    </row>
    <row r="25" spans="1:50" x14ac:dyDescent="0.6">
      <c r="A25" s="214" t="s">
        <v>1495</v>
      </c>
      <c r="B25" s="13" t="s">
        <v>2002</v>
      </c>
      <c r="C25" s="219" t="s">
        <v>1496</v>
      </c>
      <c r="D25" s="14" t="s">
        <v>203</v>
      </c>
      <c r="E25" s="217" t="s">
        <v>195</v>
      </c>
      <c r="F25" s="217" t="s">
        <v>1497</v>
      </c>
      <c r="G25" s="218">
        <v>31446</v>
      </c>
      <c r="H25" s="217" t="s">
        <v>830</v>
      </c>
      <c r="I25" s="217" t="s">
        <v>1498</v>
      </c>
      <c r="J25" s="217" t="s">
        <v>1499</v>
      </c>
      <c r="K25" s="217" t="s">
        <v>91</v>
      </c>
      <c r="L25" s="220">
        <v>2935263009</v>
      </c>
      <c r="M25" s="206">
        <v>1282845349</v>
      </c>
      <c r="N25" s="206">
        <v>1652417660</v>
      </c>
      <c r="O25" s="206">
        <v>3676462979</v>
      </c>
      <c r="P25" s="206">
        <v>325853385</v>
      </c>
      <c r="Q25" s="206">
        <v>376778870</v>
      </c>
      <c r="R25" s="206">
        <v>526787734</v>
      </c>
      <c r="S25" s="32">
        <v>0</v>
      </c>
      <c r="T25" s="32">
        <v>0</v>
      </c>
      <c r="U25" s="32">
        <v>0</v>
      </c>
      <c r="V25" s="266">
        <f t="shared" si="1"/>
        <v>50</v>
      </c>
      <c r="W25" s="90">
        <f t="shared" si="2"/>
        <v>0.5</v>
      </c>
      <c r="X25" s="32">
        <v>0</v>
      </c>
      <c r="Y25" s="32">
        <v>0</v>
      </c>
      <c r="Z25" s="267">
        <f t="shared" si="3"/>
        <v>0</v>
      </c>
      <c r="AA25" s="268">
        <f t="shared" si="4"/>
        <v>33.333333333333336</v>
      </c>
      <c r="AB25" s="90">
        <f t="shared" si="5"/>
        <v>0.33333333333333337</v>
      </c>
      <c r="AC25" s="32">
        <v>0</v>
      </c>
      <c r="AD25" s="32">
        <v>1</v>
      </c>
      <c r="AE25" s="252">
        <f t="shared" si="6"/>
        <v>75</v>
      </c>
      <c r="AF25" s="90">
        <f t="shared" si="7"/>
        <v>1.5</v>
      </c>
      <c r="AG25" s="32">
        <v>0</v>
      </c>
      <c r="AH25" s="247">
        <f t="shared" si="8"/>
        <v>25</v>
      </c>
      <c r="AI25" s="91">
        <f t="shared" si="9"/>
        <v>0.25</v>
      </c>
      <c r="AJ25" s="32"/>
      <c r="AK25" s="32">
        <v>0</v>
      </c>
      <c r="AL25" s="32">
        <v>0</v>
      </c>
      <c r="AM25" s="32">
        <v>0</v>
      </c>
      <c r="AN25" s="32">
        <v>0</v>
      </c>
      <c r="AO25" s="247">
        <f t="shared" si="0"/>
        <v>0</v>
      </c>
      <c r="AP25" s="247">
        <f t="shared" si="10"/>
        <v>25</v>
      </c>
      <c r="AQ25" s="90">
        <f t="shared" si="11"/>
        <v>0.5</v>
      </c>
      <c r="AR25" s="32">
        <v>0</v>
      </c>
      <c r="AS25" s="32">
        <v>0</v>
      </c>
      <c r="AT25" s="32">
        <v>0</v>
      </c>
      <c r="AU25" s="272" t="str">
        <f t="shared" si="12"/>
        <v>A</v>
      </c>
      <c r="AV25" s="247">
        <f t="shared" si="13"/>
        <v>100</v>
      </c>
      <c r="AW25" s="90">
        <f t="shared" si="14"/>
        <v>3</v>
      </c>
      <c r="AX25" s="163">
        <f t="shared" si="15"/>
        <v>6.0833333333333339</v>
      </c>
    </row>
    <row r="26" spans="1:50" x14ac:dyDescent="0.6">
      <c r="A26" s="214" t="s">
        <v>313</v>
      </c>
      <c r="B26" s="13" t="s">
        <v>2003</v>
      </c>
      <c r="C26" s="219" t="s">
        <v>400</v>
      </c>
      <c r="D26" s="216" t="s">
        <v>203</v>
      </c>
      <c r="E26" s="217" t="s">
        <v>180</v>
      </c>
      <c r="F26" s="217" t="s">
        <v>115</v>
      </c>
      <c r="G26" s="218">
        <v>34695</v>
      </c>
      <c r="H26" s="217" t="s">
        <v>830</v>
      </c>
      <c r="I26" s="217" t="s">
        <v>1027</v>
      </c>
      <c r="J26" s="217" t="s">
        <v>1233</v>
      </c>
      <c r="K26" s="217" t="s">
        <v>91</v>
      </c>
      <c r="L26" s="220">
        <v>700649653</v>
      </c>
      <c r="M26" s="206">
        <v>158687185</v>
      </c>
      <c r="N26" s="206">
        <v>541962468</v>
      </c>
      <c r="O26" s="206">
        <v>797448219</v>
      </c>
      <c r="P26" s="206">
        <v>35898934</v>
      </c>
      <c r="Q26" s="206">
        <v>35959716</v>
      </c>
      <c r="R26" s="206">
        <v>29458044</v>
      </c>
      <c r="S26" s="32">
        <v>0</v>
      </c>
      <c r="T26" s="32">
        <v>0</v>
      </c>
      <c r="U26" s="32">
        <v>0</v>
      </c>
      <c r="V26" s="266">
        <f t="shared" si="1"/>
        <v>50</v>
      </c>
      <c r="W26" s="90">
        <f t="shared" si="2"/>
        <v>0.5</v>
      </c>
      <c r="X26" s="32">
        <v>0</v>
      </c>
      <c r="Y26" s="32">
        <v>0</v>
      </c>
      <c r="Z26" s="267">
        <f t="shared" si="3"/>
        <v>0</v>
      </c>
      <c r="AA26" s="268">
        <f t="shared" si="4"/>
        <v>33.333333333333336</v>
      </c>
      <c r="AB26" s="90">
        <f t="shared" si="5"/>
        <v>0.33333333333333337</v>
      </c>
      <c r="AC26" s="32">
        <v>0</v>
      </c>
      <c r="AD26" s="32">
        <v>1</v>
      </c>
      <c r="AE26" s="252">
        <f t="shared" si="6"/>
        <v>75</v>
      </c>
      <c r="AF26" s="90">
        <f t="shared" si="7"/>
        <v>1.5</v>
      </c>
      <c r="AG26" s="32">
        <v>0</v>
      </c>
      <c r="AH26" s="247">
        <f t="shared" si="8"/>
        <v>25</v>
      </c>
      <c r="AI26" s="91">
        <f t="shared" si="9"/>
        <v>0.25</v>
      </c>
      <c r="AJ26" s="32"/>
      <c r="AK26" s="32">
        <v>1</v>
      </c>
      <c r="AL26" s="32">
        <v>0</v>
      </c>
      <c r="AM26" s="32">
        <v>0</v>
      </c>
      <c r="AN26" s="32">
        <v>0</v>
      </c>
      <c r="AO26" s="247">
        <f t="shared" si="0"/>
        <v>1</v>
      </c>
      <c r="AP26" s="247">
        <f t="shared" si="10"/>
        <v>50</v>
      </c>
      <c r="AQ26" s="90">
        <f t="shared" si="11"/>
        <v>1</v>
      </c>
      <c r="AR26" s="32">
        <v>0</v>
      </c>
      <c r="AS26" s="32">
        <v>0</v>
      </c>
      <c r="AT26" s="32">
        <v>0</v>
      </c>
      <c r="AU26" s="272" t="str">
        <f t="shared" si="12"/>
        <v>A</v>
      </c>
      <c r="AV26" s="247">
        <f t="shared" si="13"/>
        <v>100</v>
      </c>
      <c r="AW26" s="90">
        <f t="shared" si="14"/>
        <v>3</v>
      </c>
      <c r="AX26" s="163">
        <f t="shared" si="15"/>
        <v>6.5833333333333339</v>
      </c>
    </row>
    <row r="27" spans="1:50" x14ac:dyDescent="0.6">
      <c r="A27" s="214" t="s">
        <v>1500</v>
      </c>
      <c r="B27" s="13" t="s">
        <v>2004</v>
      </c>
      <c r="C27" s="219" t="s">
        <v>74</v>
      </c>
      <c r="D27" s="216" t="s">
        <v>285</v>
      </c>
      <c r="E27" s="217" t="s">
        <v>534</v>
      </c>
      <c r="F27" s="217" t="s">
        <v>1501</v>
      </c>
      <c r="G27" s="218">
        <v>39381</v>
      </c>
      <c r="H27" s="217" t="s">
        <v>830</v>
      </c>
      <c r="I27" s="217" t="s">
        <v>1502</v>
      </c>
      <c r="J27" s="217" t="s">
        <v>1503</v>
      </c>
      <c r="K27" s="217" t="s">
        <v>91</v>
      </c>
      <c r="L27" s="220">
        <v>1612037798</v>
      </c>
      <c r="M27" s="206">
        <v>1209670390</v>
      </c>
      <c r="N27" s="206">
        <v>402367409</v>
      </c>
      <c r="O27" s="206">
        <v>403836166</v>
      </c>
      <c r="P27" s="206">
        <v>64029204</v>
      </c>
      <c r="Q27" s="206">
        <v>42678216</v>
      </c>
      <c r="R27" s="206">
        <v>42137473</v>
      </c>
      <c r="S27" s="32">
        <v>0</v>
      </c>
      <c r="T27" s="32">
        <v>1</v>
      </c>
      <c r="U27" s="32">
        <v>0</v>
      </c>
      <c r="V27" s="266">
        <f t="shared" si="1"/>
        <v>100</v>
      </c>
      <c r="W27" s="90">
        <f t="shared" si="2"/>
        <v>1</v>
      </c>
      <c r="X27" s="32">
        <v>0</v>
      </c>
      <c r="Y27" s="32">
        <v>0</v>
      </c>
      <c r="Z27" s="267">
        <f t="shared" si="3"/>
        <v>0</v>
      </c>
      <c r="AA27" s="268">
        <f t="shared" si="4"/>
        <v>33.333333333333336</v>
      </c>
      <c r="AB27" s="90">
        <f t="shared" si="5"/>
        <v>0.33333333333333337</v>
      </c>
      <c r="AC27" s="32">
        <v>0</v>
      </c>
      <c r="AD27" s="32">
        <v>1</v>
      </c>
      <c r="AE27" s="252">
        <f t="shared" si="6"/>
        <v>75</v>
      </c>
      <c r="AF27" s="90">
        <f t="shared" si="7"/>
        <v>1.5</v>
      </c>
      <c r="AG27" s="32">
        <v>0</v>
      </c>
      <c r="AH27" s="247">
        <f t="shared" si="8"/>
        <v>25</v>
      </c>
      <c r="AI27" s="91">
        <f t="shared" si="9"/>
        <v>0.25</v>
      </c>
      <c r="AJ27" s="32"/>
      <c r="AK27" s="32">
        <v>0</v>
      </c>
      <c r="AL27" s="32">
        <v>0</v>
      </c>
      <c r="AM27" s="32">
        <v>0</v>
      </c>
      <c r="AN27" s="32">
        <v>0</v>
      </c>
      <c r="AO27" s="247">
        <f t="shared" si="0"/>
        <v>0</v>
      </c>
      <c r="AP27" s="247">
        <f t="shared" si="10"/>
        <v>25</v>
      </c>
      <c r="AQ27" s="90">
        <f t="shared" si="11"/>
        <v>0.5</v>
      </c>
      <c r="AR27" s="32">
        <v>0</v>
      </c>
      <c r="AS27" s="32">
        <v>0</v>
      </c>
      <c r="AT27" s="32">
        <v>0</v>
      </c>
      <c r="AU27" s="272" t="str">
        <f t="shared" si="12"/>
        <v>A</v>
      </c>
      <c r="AV27" s="247">
        <f t="shared" si="13"/>
        <v>100</v>
      </c>
      <c r="AW27" s="90">
        <f t="shared" si="14"/>
        <v>3</v>
      </c>
      <c r="AX27" s="163">
        <f t="shared" si="15"/>
        <v>6.5833333333333339</v>
      </c>
    </row>
    <row r="28" spans="1:50" x14ac:dyDescent="0.6">
      <c r="A28" s="214" t="s">
        <v>292</v>
      </c>
      <c r="B28" s="13" t="s">
        <v>2005</v>
      </c>
      <c r="C28" s="219" t="s">
        <v>398</v>
      </c>
      <c r="D28" s="216" t="s">
        <v>285</v>
      </c>
      <c r="E28" s="217" t="s">
        <v>283</v>
      </c>
      <c r="F28" s="217" t="s">
        <v>1008</v>
      </c>
      <c r="G28" s="218">
        <v>40437</v>
      </c>
      <c r="H28" s="217" t="s">
        <v>830</v>
      </c>
      <c r="I28" s="217" t="s">
        <v>686</v>
      </c>
      <c r="J28" s="217" t="s">
        <v>1025</v>
      </c>
      <c r="K28" s="217" t="s">
        <v>934</v>
      </c>
      <c r="L28" s="220">
        <v>302046228</v>
      </c>
      <c r="M28" s="206">
        <v>136864055</v>
      </c>
      <c r="N28" s="206">
        <v>165182173</v>
      </c>
      <c r="O28" s="206">
        <v>591580546</v>
      </c>
      <c r="P28" s="206">
        <v>16184660</v>
      </c>
      <c r="Q28" s="206">
        <v>17205979</v>
      </c>
      <c r="R28" s="206">
        <v>13158812</v>
      </c>
      <c r="S28" s="32">
        <v>0</v>
      </c>
      <c r="T28" s="32">
        <v>0</v>
      </c>
      <c r="U28" s="32">
        <v>0</v>
      </c>
      <c r="V28" s="266">
        <f t="shared" si="1"/>
        <v>50</v>
      </c>
      <c r="W28" s="90">
        <f t="shared" si="2"/>
        <v>0.5</v>
      </c>
      <c r="X28" s="32">
        <v>0</v>
      </c>
      <c r="Y28" s="32">
        <v>0</v>
      </c>
      <c r="Z28" s="267">
        <f t="shared" si="3"/>
        <v>0</v>
      </c>
      <c r="AA28" s="268">
        <f t="shared" si="4"/>
        <v>33.333333333333336</v>
      </c>
      <c r="AB28" s="90">
        <f t="shared" si="5"/>
        <v>0.33333333333333337</v>
      </c>
      <c r="AC28" s="32">
        <v>0</v>
      </c>
      <c r="AD28" s="32">
        <v>1</v>
      </c>
      <c r="AE28" s="252">
        <f t="shared" si="6"/>
        <v>75</v>
      </c>
      <c r="AF28" s="90">
        <f t="shared" si="7"/>
        <v>1.5</v>
      </c>
      <c r="AG28" s="32">
        <v>0</v>
      </c>
      <c r="AH28" s="247">
        <f t="shared" si="8"/>
        <v>25</v>
      </c>
      <c r="AI28" s="91">
        <f t="shared" si="9"/>
        <v>0.25</v>
      </c>
      <c r="AJ28" s="32"/>
      <c r="AK28" s="32">
        <v>0</v>
      </c>
      <c r="AL28" s="32">
        <v>0</v>
      </c>
      <c r="AM28" s="32">
        <v>0</v>
      </c>
      <c r="AN28" s="32">
        <v>0</v>
      </c>
      <c r="AO28" s="247">
        <f t="shared" si="0"/>
        <v>0</v>
      </c>
      <c r="AP28" s="247">
        <f t="shared" si="10"/>
        <v>25</v>
      </c>
      <c r="AQ28" s="90">
        <f t="shared" si="11"/>
        <v>0.5</v>
      </c>
      <c r="AR28" s="32">
        <v>0</v>
      </c>
      <c r="AS28" s="32">
        <v>0</v>
      </c>
      <c r="AT28" s="32">
        <v>0</v>
      </c>
      <c r="AU28" s="272" t="str">
        <f t="shared" si="12"/>
        <v>A</v>
      </c>
      <c r="AV28" s="247">
        <f t="shared" si="13"/>
        <v>100</v>
      </c>
      <c r="AW28" s="90">
        <f t="shared" si="14"/>
        <v>3</v>
      </c>
      <c r="AX28" s="163">
        <f t="shared" si="15"/>
        <v>6.0833333333333339</v>
      </c>
    </row>
    <row r="29" spans="1:50" x14ac:dyDescent="0.6">
      <c r="A29" s="214" t="s">
        <v>1504</v>
      </c>
      <c r="B29" s="13" t="s">
        <v>2006</v>
      </c>
      <c r="C29" s="219" t="s">
        <v>1505</v>
      </c>
      <c r="D29" s="222" t="s">
        <v>285</v>
      </c>
      <c r="E29" s="217" t="s">
        <v>283</v>
      </c>
      <c r="F29" s="217" t="s">
        <v>1506</v>
      </c>
      <c r="G29" s="218">
        <v>40529</v>
      </c>
      <c r="H29" s="217" t="s">
        <v>830</v>
      </c>
      <c r="I29" s="217" t="s">
        <v>1507</v>
      </c>
      <c r="J29" s="217" t="s">
        <v>1508</v>
      </c>
      <c r="K29" s="217" t="s">
        <v>91</v>
      </c>
      <c r="L29" s="220">
        <v>396208069</v>
      </c>
      <c r="M29" s="206">
        <v>199203706</v>
      </c>
      <c r="N29" s="206">
        <v>197004363</v>
      </c>
      <c r="O29" s="206">
        <v>535783306</v>
      </c>
      <c r="P29" s="206">
        <v>19544619</v>
      </c>
      <c r="Q29" s="206">
        <v>19862607</v>
      </c>
      <c r="R29" s="206">
        <v>15916624</v>
      </c>
      <c r="S29" s="32">
        <v>0</v>
      </c>
      <c r="T29" s="32">
        <v>0</v>
      </c>
      <c r="U29" s="32">
        <v>0</v>
      </c>
      <c r="V29" s="266">
        <f t="shared" si="1"/>
        <v>50</v>
      </c>
      <c r="W29" s="90">
        <f t="shared" si="2"/>
        <v>0.5</v>
      </c>
      <c r="X29" s="32">
        <v>0</v>
      </c>
      <c r="Y29" s="32">
        <v>0</v>
      </c>
      <c r="Z29" s="267">
        <f t="shared" si="3"/>
        <v>0</v>
      </c>
      <c r="AA29" s="268">
        <f t="shared" si="4"/>
        <v>33.333333333333336</v>
      </c>
      <c r="AB29" s="90">
        <f t="shared" si="5"/>
        <v>0.33333333333333337</v>
      </c>
      <c r="AC29" s="32">
        <v>0</v>
      </c>
      <c r="AD29" s="32">
        <v>0</v>
      </c>
      <c r="AE29" s="252">
        <f t="shared" si="6"/>
        <v>25</v>
      </c>
      <c r="AF29" s="90">
        <f t="shared" si="7"/>
        <v>0.5</v>
      </c>
      <c r="AG29" s="32">
        <v>0</v>
      </c>
      <c r="AH29" s="247">
        <f t="shared" si="8"/>
        <v>25</v>
      </c>
      <c r="AI29" s="91">
        <f t="shared" si="9"/>
        <v>0.25</v>
      </c>
      <c r="AJ29" s="32"/>
      <c r="AK29" s="32">
        <v>0</v>
      </c>
      <c r="AL29" s="32">
        <v>0</v>
      </c>
      <c r="AM29" s="32">
        <v>0</v>
      </c>
      <c r="AN29" s="32">
        <v>0</v>
      </c>
      <c r="AO29" s="247">
        <f t="shared" si="0"/>
        <v>0</v>
      </c>
      <c r="AP29" s="247">
        <f t="shared" si="10"/>
        <v>25</v>
      </c>
      <c r="AQ29" s="90">
        <f t="shared" si="11"/>
        <v>0.5</v>
      </c>
      <c r="AR29" s="32">
        <v>0</v>
      </c>
      <c r="AS29" s="32">
        <v>0</v>
      </c>
      <c r="AT29" s="32">
        <v>0</v>
      </c>
      <c r="AU29" s="272" t="str">
        <f t="shared" si="12"/>
        <v>A</v>
      </c>
      <c r="AV29" s="247">
        <f t="shared" si="13"/>
        <v>100</v>
      </c>
      <c r="AW29" s="90">
        <f t="shared" si="14"/>
        <v>3</v>
      </c>
      <c r="AX29" s="163">
        <f t="shared" si="15"/>
        <v>5.0833333333333339</v>
      </c>
    </row>
    <row r="30" spans="1:50" x14ac:dyDescent="0.6">
      <c r="A30" s="214" t="s">
        <v>709</v>
      </c>
      <c r="B30" s="13" t="s">
        <v>2007</v>
      </c>
      <c r="C30" s="219" t="s">
        <v>513</v>
      </c>
      <c r="D30" s="216" t="s">
        <v>191</v>
      </c>
      <c r="E30" s="217" t="s">
        <v>190</v>
      </c>
      <c r="F30" s="217" t="s">
        <v>618</v>
      </c>
      <c r="G30" s="218">
        <v>39052</v>
      </c>
      <c r="H30" s="217" t="s">
        <v>830</v>
      </c>
      <c r="I30" s="217" t="s">
        <v>970</v>
      </c>
      <c r="J30" s="217" t="s">
        <v>1047</v>
      </c>
      <c r="K30" s="217" t="s">
        <v>91</v>
      </c>
      <c r="L30" s="220">
        <v>1973686923</v>
      </c>
      <c r="M30" s="206">
        <v>455919080</v>
      </c>
      <c r="N30" s="206">
        <v>1517767844</v>
      </c>
      <c r="O30" s="206">
        <v>1271908968</v>
      </c>
      <c r="P30" s="206">
        <v>75779686</v>
      </c>
      <c r="Q30" s="206">
        <v>170929776</v>
      </c>
      <c r="R30" s="206">
        <v>155782948</v>
      </c>
      <c r="S30" s="32">
        <v>0</v>
      </c>
      <c r="T30" s="32">
        <v>0</v>
      </c>
      <c r="U30" s="32">
        <v>0</v>
      </c>
      <c r="V30" s="266">
        <f t="shared" si="1"/>
        <v>50</v>
      </c>
      <c r="W30" s="90">
        <f t="shared" si="2"/>
        <v>0.5</v>
      </c>
      <c r="X30" s="32">
        <v>0</v>
      </c>
      <c r="Y30" s="32">
        <v>0</v>
      </c>
      <c r="Z30" s="267">
        <f t="shared" si="3"/>
        <v>0</v>
      </c>
      <c r="AA30" s="268">
        <f t="shared" si="4"/>
        <v>33.333333333333336</v>
      </c>
      <c r="AB30" s="90">
        <f t="shared" si="5"/>
        <v>0.33333333333333337</v>
      </c>
      <c r="AC30" s="32">
        <v>0</v>
      </c>
      <c r="AD30" s="32">
        <v>1</v>
      </c>
      <c r="AE30" s="252">
        <f t="shared" si="6"/>
        <v>75</v>
      </c>
      <c r="AF30" s="90">
        <f t="shared" si="7"/>
        <v>1.5</v>
      </c>
      <c r="AG30" s="32">
        <v>0</v>
      </c>
      <c r="AH30" s="247">
        <f t="shared" si="8"/>
        <v>25</v>
      </c>
      <c r="AI30" s="91">
        <f t="shared" si="9"/>
        <v>0.25</v>
      </c>
      <c r="AJ30" s="32"/>
      <c r="AK30" s="32">
        <v>0</v>
      </c>
      <c r="AL30" s="32">
        <v>0</v>
      </c>
      <c r="AM30" s="32">
        <v>0</v>
      </c>
      <c r="AN30" s="32">
        <v>0</v>
      </c>
      <c r="AO30" s="247">
        <f t="shared" si="0"/>
        <v>0</v>
      </c>
      <c r="AP30" s="247">
        <f t="shared" si="10"/>
        <v>25</v>
      </c>
      <c r="AQ30" s="90">
        <f t="shared" si="11"/>
        <v>0.5</v>
      </c>
      <c r="AR30" s="32">
        <v>0</v>
      </c>
      <c r="AS30" s="32">
        <v>0</v>
      </c>
      <c r="AT30" s="32">
        <v>0</v>
      </c>
      <c r="AU30" s="272" t="str">
        <f t="shared" si="12"/>
        <v>A</v>
      </c>
      <c r="AV30" s="247">
        <f t="shared" si="13"/>
        <v>100</v>
      </c>
      <c r="AW30" s="90">
        <f t="shared" si="14"/>
        <v>3</v>
      </c>
      <c r="AX30" s="163">
        <f t="shared" si="15"/>
        <v>6.0833333333333339</v>
      </c>
    </row>
    <row r="31" spans="1:50" x14ac:dyDescent="0.6">
      <c r="A31" s="214" t="s">
        <v>1509</v>
      </c>
      <c r="B31" s="13" t="s">
        <v>2008</v>
      </c>
      <c r="C31" s="219" t="s">
        <v>1510</v>
      </c>
      <c r="D31" s="14" t="s">
        <v>191</v>
      </c>
      <c r="E31" s="217" t="s">
        <v>188</v>
      </c>
      <c r="F31" s="217" t="s">
        <v>1511</v>
      </c>
      <c r="G31" s="218">
        <v>37006</v>
      </c>
      <c r="H31" s="217" t="s">
        <v>830</v>
      </c>
      <c r="I31" s="217" t="s">
        <v>1512</v>
      </c>
      <c r="J31" s="217" t="s">
        <v>1513</v>
      </c>
      <c r="K31" s="217" t="s">
        <v>91</v>
      </c>
      <c r="L31" s="220">
        <v>4707323720</v>
      </c>
      <c r="M31" s="206">
        <v>579230693</v>
      </c>
      <c r="N31" s="206">
        <v>4128093027</v>
      </c>
      <c r="O31" s="206">
        <v>3783321412</v>
      </c>
      <c r="P31" s="206">
        <v>428276866</v>
      </c>
      <c r="Q31" s="206">
        <v>165920076</v>
      </c>
      <c r="R31" s="206">
        <v>76950845</v>
      </c>
      <c r="S31" s="32">
        <v>0</v>
      </c>
      <c r="T31" s="32">
        <v>1</v>
      </c>
      <c r="U31" s="32">
        <v>0</v>
      </c>
      <c r="V31" s="266">
        <f t="shared" si="1"/>
        <v>100</v>
      </c>
      <c r="W31" s="90">
        <f t="shared" si="2"/>
        <v>1</v>
      </c>
      <c r="X31" s="32">
        <v>0</v>
      </c>
      <c r="Y31" s="32">
        <v>0</v>
      </c>
      <c r="Z31" s="267">
        <f t="shared" si="3"/>
        <v>0</v>
      </c>
      <c r="AA31" s="268">
        <f t="shared" si="4"/>
        <v>33.333333333333336</v>
      </c>
      <c r="AB31" s="90">
        <f t="shared" si="5"/>
        <v>0.33333333333333337</v>
      </c>
      <c r="AC31" s="32">
        <v>0</v>
      </c>
      <c r="AD31" s="32">
        <v>1</v>
      </c>
      <c r="AE31" s="252">
        <f t="shared" si="6"/>
        <v>75</v>
      </c>
      <c r="AF31" s="90">
        <f t="shared" si="7"/>
        <v>1.5</v>
      </c>
      <c r="AG31" s="32">
        <v>0</v>
      </c>
      <c r="AH31" s="247">
        <f t="shared" si="8"/>
        <v>25</v>
      </c>
      <c r="AI31" s="91">
        <f t="shared" si="9"/>
        <v>0.25</v>
      </c>
      <c r="AJ31" s="32"/>
      <c r="AK31" s="32">
        <v>1</v>
      </c>
      <c r="AL31" s="32">
        <v>0</v>
      </c>
      <c r="AM31" s="32">
        <v>0</v>
      </c>
      <c r="AN31" s="32">
        <v>0</v>
      </c>
      <c r="AO31" s="247">
        <f t="shared" si="0"/>
        <v>1</v>
      </c>
      <c r="AP31" s="247">
        <f t="shared" si="10"/>
        <v>50</v>
      </c>
      <c r="AQ31" s="90">
        <f t="shared" si="11"/>
        <v>1</v>
      </c>
      <c r="AR31" s="32">
        <v>0</v>
      </c>
      <c r="AS31" s="32">
        <v>1</v>
      </c>
      <c r="AT31" s="32">
        <v>0</v>
      </c>
      <c r="AU31" s="272" t="str">
        <f t="shared" si="12"/>
        <v>C</v>
      </c>
      <c r="AV31" s="247">
        <f t="shared" si="13"/>
        <v>50</v>
      </c>
      <c r="AW31" s="90">
        <f t="shared" si="14"/>
        <v>1.5</v>
      </c>
      <c r="AX31" s="163">
        <f t="shared" si="15"/>
        <v>5.5833333333333339</v>
      </c>
    </row>
    <row r="32" spans="1:50" x14ac:dyDescent="0.6">
      <c r="A32" s="214" t="s">
        <v>67</v>
      </c>
      <c r="B32" s="13" t="s">
        <v>2009</v>
      </c>
      <c r="C32" s="219" t="s">
        <v>471</v>
      </c>
      <c r="D32" s="216" t="s">
        <v>285</v>
      </c>
      <c r="E32" s="217" t="s">
        <v>56</v>
      </c>
      <c r="F32" s="217" t="s">
        <v>148</v>
      </c>
      <c r="G32" s="218">
        <v>39559</v>
      </c>
      <c r="H32" s="217" t="s">
        <v>830</v>
      </c>
      <c r="I32" s="217" t="s">
        <v>806</v>
      </c>
      <c r="J32" s="217" t="s">
        <v>1042</v>
      </c>
      <c r="K32" s="217" t="s">
        <v>91</v>
      </c>
      <c r="L32" s="220">
        <v>18621116000</v>
      </c>
      <c r="M32" s="206">
        <v>10475153000</v>
      </c>
      <c r="N32" s="206">
        <v>8145963000</v>
      </c>
      <c r="O32" s="206">
        <v>12781569000</v>
      </c>
      <c r="P32" s="206">
        <v>1049830000</v>
      </c>
      <c r="Q32" s="206">
        <v>859263000</v>
      </c>
      <c r="R32" s="206">
        <v>661692000</v>
      </c>
      <c r="S32" s="32">
        <v>0</v>
      </c>
      <c r="T32" s="32">
        <v>0</v>
      </c>
      <c r="U32" s="32">
        <v>0</v>
      </c>
      <c r="V32" s="266">
        <f t="shared" si="1"/>
        <v>50</v>
      </c>
      <c r="W32" s="90">
        <f t="shared" si="2"/>
        <v>0.5</v>
      </c>
      <c r="X32" s="32">
        <v>1</v>
      </c>
      <c r="Y32" s="32">
        <v>0</v>
      </c>
      <c r="Z32" s="267">
        <f t="shared" si="3"/>
        <v>1</v>
      </c>
      <c r="AA32" s="268">
        <f t="shared" si="4"/>
        <v>66.666666666666671</v>
      </c>
      <c r="AB32" s="90">
        <f t="shared" si="5"/>
        <v>0.66666666666666674</v>
      </c>
      <c r="AC32" s="32">
        <v>0</v>
      </c>
      <c r="AD32" s="32">
        <v>1</v>
      </c>
      <c r="AE32" s="252">
        <f t="shared" si="6"/>
        <v>75</v>
      </c>
      <c r="AF32" s="90">
        <f t="shared" si="7"/>
        <v>1.5</v>
      </c>
      <c r="AG32" s="32">
        <v>0</v>
      </c>
      <c r="AH32" s="247">
        <f t="shared" si="8"/>
        <v>25</v>
      </c>
      <c r="AI32" s="91">
        <f t="shared" si="9"/>
        <v>0.25</v>
      </c>
      <c r="AJ32" s="32"/>
      <c r="AK32" s="32">
        <v>0</v>
      </c>
      <c r="AL32" s="32">
        <v>0</v>
      </c>
      <c r="AM32" s="32">
        <v>0</v>
      </c>
      <c r="AN32" s="32">
        <v>0</v>
      </c>
      <c r="AO32" s="247">
        <f t="shared" si="0"/>
        <v>0</v>
      </c>
      <c r="AP32" s="247">
        <f t="shared" si="10"/>
        <v>25</v>
      </c>
      <c r="AQ32" s="90">
        <f t="shared" si="11"/>
        <v>0.5</v>
      </c>
      <c r="AR32" s="32">
        <v>0</v>
      </c>
      <c r="AS32" s="32">
        <v>0</v>
      </c>
      <c r="AT32" s="32">
        <v>0</v>
      </c>
      <c r="AU32" s="272" t="str">
        <f t="shared" si="12"/>
        <v>A</v>
      </c>
      <c r="AV32" s="247">
        <f t="shared" si="13"/>
        <v>100</v>
      </c>
      <c r="AW32" s="90">
        <f t="shared" si="14"/>
        <v>3</v>
      </c>
      <c r="AX32" s="163">
        <f t="shared" si="15"/>
        <v>6.416666666666667</v>
      </c>
    </row>
    <row r="33" spans="1:50" x14ac:dyDescent="0.6">
      <c r="A33" s="214" t="s">
        <v>850</v>
      </c>
      <c r="B33" s="13" t="s">
        <v>2010</v>
      </c>
      <c r="C33" s="219" t="s">
        <v>498</v>
      </c>
      <c r="D33" s="216" t="s">
        <v>202</v>
      </c>
      <c r="E33" s="217" t="s">
        <v>205</v>
      </c>
      <c r="F33" s="217" t="s">
        <v>183</v>
      </c>
      <c r="G33" s="218">
        <v>39653</v>
      </c>
      <c r="H33" s="217" t="s">
        <v>830</v>
      </c>
      <c r="I33" s="217" t="s">
        <v>737</v>
      </c>
      <c r="J33" s="217" t="s">
        <v>1229</v>
      </c>
      <c r="K33" s="217" t="s">
        <v>91</v>
      </c>
      <c r="L33" s="220">
        <v>8668015355</v>
      </c>
      <c r="M33" s="206">
        <v>5103993834</v>
      </c>
      <c r="N33" s="206">
        <v>3564021521</v>
      </c>
      <c r="O33" s="206">
        <v>19092897004</v>
      </c>
      <c r="P33" s="206">
        <v>1016233433</v>
      </c>
      <c r="Q33" s="206">
        <v>955882532</v>
      </c>
      <c r="R33" s="206">
        <v>720393793</v>
      </c>
      <c r="S33" s="32">
        <v>1</v>
      </c>
      <c r="T33" s="32">
        <v>0</v>
      </c>
      <c r="U33" s="32">
        <v>0</v>
      </c>
      <c r="V33" s="266">
        <f t="shared" si="1"/>
        <v>100</v>
      </c>
      <c r="W33" s="90">
        <f t="shared" si="2"/>
        <v>1</v>
      </c>
      <c r="X33" s="32">
        <v>0</v>
      </c>
      <c r="Y33" s="32">
        <v>0</v>
      </c>
      <c r="Z33" s="267">
        <f t="shared" si="3"/>
        <v>0</v>
      </c>
      <c r="AA33" s="268">
        <f t="shared" si="4"/>
        <v>33.333333333333336</v>
      </c>
      <c r="AB33" s="90">
        <f t="shared" si="5"/>
        <v>0.33333333333333337</v>
      </c>
      <c r="AC33" s="32">
        <v>0</v>
      </c>
      <c r="AD33" s="32">
        <v>1</v>
      </c>
      <c r="AE33" s="252">
        <f t="shared" si="6"/>
        <v>75</v>
      </c>
      <c r="AF33" s="90">
        <f t="shared" si="7"/>
        <v>1.5</v>
      </c>
      <c r="AG33" s="32">
        <v>0</v>
      </c>
      <c r="AH33" s="247">
        <f t="shared" si="8"/>
        <v>25</v>
      </c>
      <c r="AI33" s="91">
        <f t="shared" si="9"/>
        <v>0.25</v>
      </c>
      <c r="AJ33" s="32"/>
      <c r="AK33" s="32">
        <v>1</v>
      </c>
      <c r="AL33" s="32">
        <v>0</v>
      </c>
      <c r="AM33" s="32">
        <v>0</v>
      </c>
      <c r="AN33" s="32">
        <v>0</v>
      </c>
      <c r="AO33" s="247">
        <f t="shared" si="0"/>
        <v>1</v>
      </c>
      <c r="AP33" s="247">
        <f t="shared" si="10"/>
        <v>50</v>
      </c>
      <c r="AQ33" s="90">
        <f t="shared" si="11"/>
        <v>1</v>
      </c>
      <c r="AR33" s="32">
        <v>0</v>
      </c>
      <c r="AS33" s="32">
        <v>1</v>
      </c>
      <c r="AT33" s="32">
        <v>0</v>
      </c>
      <c r="AU33" s="272" t="str">
        <f t="shared" si="12"/>
        <v>C</v>
      </c>
      <c r="AV33" s="247">
        <f t="shared" si="13"/>
        <v>50</v>
      </c>
      <c r="AW33" s="90">
        <f t="shared" si="14"/>
        <v>1.5</v>
      </c>
      <c r="AX33" s="163">
        <f t="shared" si="15"/>
        <v>5.5833333333333339</v>
      </c>
    </row>
    <row r="34" spans="1:50" x14ac:dyDescent="0.6">
      <c r="A34" s="214" t="s">
        <v>947</v>
      </c>
      <c r="B34" s="13" t="s">
        <v>2011</v>
      </c>
      <c r="C34" s="219" t="s">
        <v>895</v>
      </c>
      <c r="D34" s="216" t="s">
        <v>202</v>
      </c>
      <c r="E34" s="217" t="s">
        <v>606</v>
      </c>
      <c r="F34" s="217" t="s">
        <v>207</v>
      </c>
      <c r="G34" s="218">
        <v>42279</v>
      </c>
      <c r="H34" s="217" t="s">
        <v>830</v>
      </c>
      <c r="I34" s="217" t="s">
        <v>687</v>
      </c>
      <c r="J34" s="217" t="s">
        <v>1046</v>
      </c>
      <c r="K34" s="217" t="s">
        <v>690</v>
      </c>
      <c r="L34" s="220">
        <v>3007428048</v>
      </c>
      <c r="M34" s="206">
        <v>2072248980</v>
      </c>
      <c r="N34" s="206">
        <v>935179068</v>
      </c>
      <c r="O34" s="206">
        <v>2216162119</v>
      </c>
      <c r="P34" s="206">
        <v>178794933</v>
      </c>
      <c r="Q34" s="206">
        <v>157788508</v>
      </c>
      <c r="R34" s="206">
        <v>122939587</v>
      </c>
      <c r="S34" s="32">
        <v>0</v>
      </c>
      <c r="T34" s="32">
        <v>0</v>
      </c>
      <c r="U34" s="32">
        <v>1</v>
      </c>
      <c r="V34" s="266">
        <f t="shared" si="1"/>
        <v>100</v>
      </c>
      <c r="W34" s="90">
        <f t="shared" si="2"/>
        <v>1</v>
      </c>
      <c r="X34" s="32">
        <v>0</v>
      </c>
      <c r="Y34" s="32">
        <v>0</v>
      </c>
      <c r="Z34" s="267">
        <f t="shared" si="3"/>
        <v>0</v>
      </c>
      <c r="AA34" s="268">
        <f t="shared" si="4"/>
        <v>33.333333333333336</v>
      </c>
      <c r="AB34" s="90">
        <f t="shared" si="5"/>
        <v>0.33333333333333337</v>
      </c>
      <c r="AC34" s="32">
        <v>0</v>
      </c>
      <c r="AD34" s="32">
        <v>1</v>
      </c>
      <c r="AE34" s="252">
        <f t="shared" si="6"/>
        <v>75</v>
      </c>
      <c r="AF34" s="90">
        <f t="shared" si="7"/>
        <v>1.5</v>
      </c>
      <c r="AG34" s="32">
        <v>1</v>
      </c>
      <c r="AH34" s="247">
        <f t="shared" si="8"/>
        <v>50</v>
      </c>
      <c r="AI34" s="91">
        <f t="shared" si="9"/>
        <v>0.5</v>
      </c>
      <c r="AJ34" s="32"/>
      <c r="AK34" s="32">
        <v>0</v>
      </c>
      <c r="AL34" s="32">
        <v>0</v>
      </c>
      <c r="AM34" s="32">
        <v>0</v>
      </c>
      <c r="AN34" s="32">
        <v>0</v>
      </c>
      <c r="AO34" s="247">
        <f t="shared" si="0"/>
        <v>0</v>
      </c>
      <c r="AP34" s="247">
        <f t="shared" si="10"/>
        <v>25</v>
      </c>
      <c r="AQ34" s="90">
        <f t="shared" si="11"/>
        <v>0.5</v>
      </c>
      <c r="AR34" s="32">
        <v>0</v>
      </c>
      <c r="AS34" s="32">
        <v>0</v>
      </c>
      <c r="AT34" s="32">
        <v>0</v>
      </c>
      <c r="AU34" s="272" t="str">
        <f t="shared" si="12"/>
        <v>A</v>
      </c>
      <c r="AV34" s="247">
        <f t="shared" si="13"/>
        <v>100</v>
      </c>
      <c r="AW34" s="90">
        <f t="shared" si="14"/>
        <v>3</v>
      </c>
      <c r="AX34" s="163">
        <f t="shared" si="15"/>
        <v>6.8333333333333339</v>
      </c>
    </row>
    <row r="35" spans="1:50" x14ac:dyDescent="0.6">
      <c r="A35" s="214" t="s">
        <v>1514</v>
      </c>
      <c r="B35" s="13" t="s">
        <v>2012</v>
      </c>
      <c r="C35" s="219" t="s">
        <v>436</v>
      </c>
      <c r="D35" s="216" t="s">
        <v>285</v>
      </c>
      <c r="E35" s="217" t="s">
        <v>444</v>
      </c>
      <c r="F35" s="217" t="s">
        <v>1158</v>
      </c>
      <c r="G35" s="218">
        <v>27789</v>
      </c>
      <c r="H35" s="217" t="s">
        <v>830</v>
      </c>
      <c r="I35" s="217" t="s">
        <v>720</v>
      </c>
      <c r="J35" s="217" t="s">
        <v>388</v>
      </c>
      <c r="K35" s="217" t="s">
        <v>91</v>
      </c>
      <c r="L35" s="220">
        <v>3782850589</v>
      </c>
      <c r="M35" s="206">
        <v>1473354089</v>
      </c>
      <c r="N35" s="206">
        <v>2309496500</v>
      </c>
      <c r="O35" s="206">
        <v>4108362284</v>
      </c>
      <c r="P35" s="206">
        <v>101552809</v>
      </c>
      <c r="Q35" s="206">
        <v>640421674</v>
      </c>
      <c r="R35" s="206">
        <v>528557910</v>
      </c>
      <c r="S35" s="32">
        <v>0</v>
      </c>
      <c r="T35" s="32">
        <v>0</v>
      </c>
      <c r="U35" s="32">
        <v>0</v>
      </c>
      <c r="V35" s="266">
        <f t="shared" si="1"/>
        <v>50</v>
      </c>
      <c r="W35" s="90">
        <f t="shared" si="2"/>
        <v>0.5</v>
      </c>
      <c r="X35" s="32">
        <v>0</v>
      </c>
      <c r="Y35" s="32">
        <v>0</v>
      </c>
      <c r="Z35" s="267">
        <f t="shared" si="3"/>
        <v>0</v>
      </c>
      <c r="AA35" s="268">
        <f t="shared" si="4"/>
        <v>33.333333333333336</v>
      </c>
      <c r="AB35" s="90">
        <f t="shared" si="5"/>
        <v>0.33333333333333337</v>
      </c>
      <c r="AC35" s="32">
        <v>0</v>
      </c>
      <c r="AD35" s="32">
        <v>1</v>
      </c>
      <c r="AE35" s="252">
        <f t="shared" si="6"/>
        <v>75</v>
      </c>
      <c r="AF35" s="90">
        <f t="shared" si="7"/>
        <v>1.5</v>
      </c>
      <c r="AG35" s="32">
        <v>0</v>
      </c>
      <c r="AH35" s="247">
        <f t="shared" si="8"/>
        <v>25</v>
      </c>
      <c r="AI35" s="91">
        <f t="shared" si="9"/>
        <v>0.25</v>
      </c>
      <c r="AJ35" s="32"/>
      <c r="AK35" s="32">
        <v>0</v>
      </c>
      <c r="AL35" s="32">
        <v>0</v>
      </c>
      <c r="AM35" s="32">
        <v>0</v>
      </c>
      <c r="AN35" s="32">
        <v>0</v>
      </c>
      <c r="AO35" s="247">
        <f t="shared" si="0"/>
        <v>0</v>
      </c>
      <c r="AP35" s="247">
        <f t="shared" si="10"/>
        <v>25</v>
      </c>
      <c r="AQ35" s="90">
        <f t="shared" si="11"/>
        <v>0.5</v>
      </c>
      <c r="AR35" s="32">
        <v>0</v>
      </c>
      <c r="AS35" s="32">
        <v>0</v>
      </c>
      <c r="AT35" s="32">
        <v>0</v>
      </c>
      <c r="AU35" s="272" t="str">
        <f t="shared" si="12"/>
        <v>A</v>
      </c>
      <c r="AV35" s="247">
        <f t="shared" si="13"/>
        <v>100</v>
      </c>
      <c r="AW35" s="90">
        <f t="shared" si="14"/>
        <v>3</v>
      </c>
      <c r="AX35" s="163">
        <f t="shared" si="15"/>
        <v>6.0833333333333339</v>
      </c>
    </row>
    <row r="36" spans="1:50" x14ac:dyDescent="0.6">
      <c r="A36" s="214" t="s">
        <v>458</v>
      </c>
      <c r="B36" s="13" t="s">
        <v>2013</v>
      </c>
      <c r="C36" s="219" t="s">
        <v>410</v>
      </c>
      <c r="D36" s="221" t="s">
        <v>350</v>
      </c>
      <c r="E36" s="217" t="s">
        <v>179</v>
      </c>
      <c r="F36" s="217" t="s">
        <v>186</v>
      </c>
      <c r="G36" s="218">
        <v>27667</v>
      </c>
      <c r="H36" s="217" t="s">
        <v>830</v>
      </c>
      <c r="I36" s="217" t="s">
        <v>723</v>
      </c>
      <c r="J36" s="217" t="s">
        <v>1005</v>
      </c>
      <c r="K36" s="217" t="s">
        <v>91</v>
      </c>
      <c r="L36" s="220">
        <v>50402862000</v>
      </c>
      <c r="M36" s="206">
        <v>43550273000</v>
      </c>
      <c r="N36" s="206">
        <v>6852589000</v>
      </c>
      <c r="O36" s="206">
        <v>10731117000</v>
      </c>
      <c r="P36" s="206">
        <v>550151000</v>
      </c>
      <c r="Q36" s="206">
        <v>480268000</v>
      </c>
      <c r="R36" s="206">
        <v>338500000</v>
      </c>
      <c r="S36" s="32">
        <v>0</v>
      </c>
      <c r="T36" s="32">
        <v>0</v>
      </c>
      <c r="U36" s="32">
        <v>0</v>
      </c>
      <c r="V36" s="266">
        <f t="shared" si="1"/>
        <v>50</v>
      </c>
      <c r="W36" s="90">
        <f t="shared" si="2"/>
        <v>0.5</v>
      </c>
      <c r="X36" s="32">
        <v>0</v>
      </c>
      <c r="Y36" s="32">
        <v>0</v>
      </c>
      <c r="Z36" s="267">
        <f t="shared" si="3"/>
        <v>0</v>
      </c>
      <c r="AA36" s="268">
        <f t="shared" si="4"/>
        <v>33.333333333333336</v>
      </c>
      <c r="AB36" s="90">
        <f t="shared" si="5"/>
        <v>0.33333333333333337</v>
      </c>
      <c r="AC36" s="32">
        <v>0</v>
      </c>
      <c r="AD36" s="32">
        <v>0</v>
      </c>
      <c r="AE36" s="252">
        <f t="shared" si="6"/>
        <v>25</v>
      </c>
      <c r="AF36" s="90">
        <f t="shared" si="7"/>
        <v>0.5</v>
      </c>
      <c r="AG36" s="32">
        <v>0</v>
      </c>
      <c r="AH36" s="247">
        <f t="shared" si="8"/>
        <v>25</v>
      </c>
      <c r="AI36" s="91">
        <f t="shared" si="9"/>
        <v>0.25</v>
      </c>
      <c r="AJ36" s="32"/>
      <c r="AK36" s="32">
        <v>0</v>
      </c>
      <c r="AL36" s="32">
        <v>0</v>
      </c>
      <c r="AM36" s="32">
        <v>0</v>
      </c>
      <c r="AN36" s="32">
        <v>0</v>
      </c>
      <c r="AO36" s="247">
        <f t="shared" si="0"/>
        <v>0</v>
      </c>
      <c r="AP36" s="247">
        <f t="shared" si="10"/>
        <v>25</v>
      </c>
      <c r="AQ36" s="90">
        <f t="shared" si="11"/>
        <v>0.5</v>
      </c>
      <c r="AR36" s="32">
        <v>0</v>
      </c>
      <c r="AS36" s="32">
        <v>0</v>
      </c>
      <c r="AT36" s="32">
        <v>0</v>
      </c>
      <c r="AU36" s="272" t="str">
        <f t="shared" si="12"/>
        <v>A</v>
      </c>
      <c r="AV36" s="247">
        <f t="shared" si="13"/>
        <v>100</v>
      </c>
      <c r="AW36" s="90">
        <f t="shared" si="14"/>
        <v>3</v>
      </c>
      <c r="AX36" s="163">
        <v>0</v>
      </c>
    </row>
    <row r="37" spans="1:50" x14ac:dyDescent="0.6">
      <c r="A37" s="214" t="s">
        <v>307</v>
      </c>
      <c r="B37" s="13" t="s">
        <v>2014</v>
      </c>
      <c r="C37" s="219" t="s">
        <v>68</v>
      </c>
      <c r="D37" s="216" t="s">
        <v>203</v>
      </c>
      <c r="E37" s="217" t="s">
        <v>195</v>
      </c>
      <c r="F37" s="217" t="s">
        <v>967</v>
      </c>
      <c r="G37" s="218">
        <v>27573</v>
      </c>
      <c r="H37" s="217" t="s">
        <v>830</v>
      </c>
      <c r="I37" s="217" t="s">
        <v>1515</v>
      </c>
      <c r="J37" s="217" t="s">
        <v>1085</v>
      </c>
      <c r="K37" s="217" t="s">
        <v>91</v>
      </c>
      <c r="L37" s="220">
        <v>397444643</v>
      </c>
      <c r="M37" s="206">
        <v>209249323</v>
      </c>
      <c r="N37" s="206">
        <v>188195320</v>
      </c>
      <c r="O37" s="206">
        <v>355390202</v>
      </c>
      <c r="P37" s="206">
        <v>67734933</v>
      </c>
      <c r="Q37" s="206">
        <v>63871175</v>
      </c>
      <c r="R37" s="206">
        <v>48789612</v>
      </c>
      <c r="S37" s="32">
        <v>0</v>
      </c>
      <c r="T37" s="32">
        <v>0</v>
      </c>
      <c r="U37" s="32">
        <v>0</v>
      </c>
      <c r="V37" s="266">
        <f t="shared" si="1"/>
        <v>50</v>
      </c>
      <c r="W37" s="90">
        <f t="shared" si="2"/>
        <v>0.5</v>
      </c>
      <c r="X37" s="32">
        <v>0</v>
      </c>
      <c r="Y37" s="32">
        <v>0</v>
      </c>
      <c r="Z37" s="267">
        <f t="shared" si="3"/>
        <v>0</v>
      </c>
      <c r="AA37" s="268">
        <f t="shared" si="4"/>
        <v>33.333333333333336</v>
      </c>
      <c r="AB37" s="90">
        <f t="shared" si="5"/>
        <v>0.33333333333333337</v>
      </c>
      <c r="AC37" s="32">
        <v>0</v>
      </c>
      <c r="AD37" s="32">
        <v>0</v>
      </c>
      <c r="AE37" s="252">
        <f t="shared" si="6"/>
        <v>25</v>
      </c>
      <c r="AF37" s="90">
        <f t="shared" si="7"/>
        <v>0.5</v>
      </c>
      <c r="AG37" s="32">
        <v>0</v>
      </c>
      <c r="AH37" s="247">
        <f t="shared" si="8"/>
        <v>25</v>
      </c>
      <c r="AI37" s="91">
        <f t="shared" si="9"/>
        <v>0.25</v>
      </c>
      <c r="AJ37" s="32"/>
      <c r="AK37" s="32">
        <v>0</v>
      </c>
      <c r="AL37" s="32">
        <v>0</v>
      </c>
      <c r="AM37" s="32">
        <v>0</v>
      </c>
      <c r="AN37" s="32">
        <v>0</v>
      </c>
      <c r="AO37" s="247">
        <f t="shared" si="0"/>
        <v>0</v>
      </c>
      <c r="AP37" s="247">
        <f t="shared" si="10"/>
        <v>25</v>
      </c>
      <c r="AQ37" s="90">
        <f t="shared" si="11"/>
        <v>0.5</v>
      </c>
      <c r="AR37" s="32">
        <v>0</v>
      </c>
      <c r="AS37" s="32">
        <v>0</v>
      </c>
      <c r="AT37" s="32">
        <v>0</v>
      </c>
      <c r="AU37" s="272" t="str">
        <f t="shared" si="12"/>
        <v>A</v>
      </c>
      <c r="AV37" s="247">
        <f t="shared" si="13"/>
        <v>100</v>
      </c>
      <c r="AW37" s="90">
        <f t="shared" si="14"/>
        <v>3</v>
      </c>
      <c r="AX37" s="163">
        <f t="shared" si="15"/>
        <v>5.0833333333333339</v>
      </c>
    </row>
    <row r="38" spans="1:50" x14ac:dyDescent="0.6">
      <c r="A38" s="214" t="s">
        <v>1516</v>
      </c>
      <c r="B38" s="13" t="s">
        <v>2015</v>
      </c>
      <c r="C38" s="219" t="s">
        <v>1517</v>
      </c>
      <c r="D38" s="14" t="s">
        <v>203</v>
      </c>
      <c r="E38" s="217" t="s">
        <v>246</v>
      </c>
      <c r="F38" s="217" t="s">
        <v>1518</v>
      </c>
      <c r="G38" s="218">
        <v>44417</v>
      </c>
      <c r="H38" s="217" t="s">
        <v>830</v>
      </c>
      <c r="I38" s="217" t="s">
        <v>1519</v>
      </c>
      <c r="J38" s="217" t="s">
        <v>1520</v>
      </c>
      <c r="K38" s="217" t="s">
        <v>317</v>
      </c>
      <c r="L38" s="220">
        <v>498996616</v>
      </c>
      <c r="M38" s="206">
        <v>157543399</v>
      </c>
      <c r="N38" s="206">
        <v>341453217</v>
      </c>
      <c r="O38" s="206">
        <v>276440430</v>
      </c>
      <c r="P38" s="206">
        <v>52135090</v>
      </c>
      <c r="Q38" s="206">
        <v>53978399</v>
      </c>
      <c r="R38" s="206">
        <v>45710486</v>
      </c>
      <c r="S38" s="32">
        <v>0</v>
      </c>
      <c r="T38" s="32">
        <v>0</v>
      </c>
      <c r="U38" s="32">
        <v>0</v>
      </c>
      <c r="V38" s="266">
        <f t="shared" si="1"/>
        <v>50</v>
      </c>
      <c r="W38" s="90">
        <f t="shared" si="2"/>
        <v>0.5</v>
      </c>
      <c r="X38" s="32">
        <v>0</v>
      </c>
      <c r="Y38" s="32">
        <v>0</v>
      </c>
      <c r="Z38" s="267">
        <f t="shared" si="3"/>
        <v>0</v>
      </c>
      <c r="AA38" s="268">
        <f t="shared" si="4"/>
        <v>33.333333333333336</v>
      </c>
      <c r="AB38" s="90">
        <f t="shared" si="5"/>
        <v>0.33333333333333337</v>
      </c>
      <c r="AC38" s="32">
        <v>0</v>
      </c>
      <c r="AD38" s="32">
        <v>1</v>
      </c>
      <c r="AE38" s="252">
        <f t="shared" si="6"/>
        <v>75</v>
      </c>
      <c r="AF38" s="90">
        <f t="shared" si="7"/>
        <v>1.5</v>
      </c>
      <c r="AG38" s="32">
        <v>0</v>
      </c>
      <c r="AH38" s="247">
        <f t="shared" si="8"/>
        <v>25</v>
      </c>
      <c r="AI38" s="91">
        <f t="shared" si="9"/>
        <v>0.25</v>
      </c>
      <c r="AJ38" s="32"/>
      <c r="AK38" s="32">
        <v>0</v>
      </c>
      <c r="AL38" s="32">
        <v>0</v>
      </c>
      <c r="AM38" s="32">
        <v>0</v>
      </c>
      <c r="AN38" s="32">
        <v>0</v>
      </c>
      <c r="AO38" s="247">
        <f t="shared" si="0"/>
        <v>0</v>
      </c>
      <c r="AP38" s="247">
        <f t="shared" si="10"/>
        <v>25</v>
      </c>
      <c r="AQ38" s="90">
        <f t="shared" si="11"/>
        <v>0.5</v>
      </c>
      <c r="AR38" s="32">
        <v>0</v>
      </c>
      <c r="AS38" s="32">
        <v>0</v>
      </c>
      <c r="AT38" s="32">
        <v>0</v>
      </c>
      <c r="AU38" s="272" t="str">
        <f t="shared" si="12"/>
        <v>A</v>
      </c>
      <c r="AV38" s="247">
        <f t="shared" si="13"/>
        <v>100</v>
      </c>
      <c r="AW38" s="90">
        <f t="shared" si="14"/>
        <v>3</v>
      </c>
      <c r="AX38" s="163">
        <f t="shared" si="15"/>
        <v>6.0833333333333339</v>
      </c>
    </row>
    <row r="39" spans="1:50" x14ac:dyDescent="0.6">
      <c r="A39" s="214" t="s">
        <v>1521</v>
      </c>
      <c r="B39" s="13" t="s">
        <v>2016</v>
      </c>
      <c r="C39" s="219" t="s">
        <v>1522</v>
      </c>
      <c r="D39" s="14" t="s">
        <v>202</v>
      </c>
      <c r="E39" s="217" t="s">
        <v>1523</v>
      </c>
      <c r="F39" s="217" t="s">
        <v>1524</v>
      </c>
      <c r="G39" s="218">
        <v>33975</v>
      </c>
      <c r="H39" s="217" t="s">
        <v>830</v>
      </c>
      <c r="I39" s="217" t="s">
        <v>1525</v>
      </c>
      <c r="J39" s="217" t="s">
        <v>1526</v>
      </c>
      <c r="K39" s="217" t="s">
        <v>91</v>
      </c>
      <c r="L39" s="220">
        <v>1689083868</v>
      </c>
      <c r="M39" s="206">
        <v>1058363402</v>
      </c>
      <c r="N39" s="206">
        <v>630720466</v>
      </c>
      <c r="O39" s="206">
        <v>903462137</v>
      </c>
      <c r="P39" s="206">
        <v>135794969</v>
      </c>
      <c r="Q39" s="206">
        <v>110455021</v>
      </c>
      <c r="R39" s="206">
        <v>82620907</v>
      </c>
      <c r="S39" s="32">
        <v>0</v>
      </c>
      <c r="T39" s="32">
        <v>1</v>
      </c>
      <c r="U39" s="32">
        <v>0</v>
      </c>
      <c r="V39" s="266">
        <f t="shared" si="1"/>
        <v>100</v>
      </c>
      <c r="W39" s="90">
        <f t="shared" si="2"/>
        <v>1</v>
      </c>
      <c r="X39" s="32">
        <v>0</v>
      </c>
      <c r="Y39" s="32">
        <v>0</v>
      </c>
      <c r="Z39" s="267">
        <f t="shared" si="3"/>
        <v>0</v>
      </c>
      <c r="AA39" s="268">
        <f t="shared" si="4"/>
        <v>33.333333333333336</v>
      </c>
      <c r="AB39" s="90">
        <f t="shared" si="5"/>
        <v>0.33333333333333337</v>
      </c>
      <c r="AC39" s="32">
        <v>0</v>
      </c>
      <c r="AD39" s="32">
        <v>1</v>
      </c>
      <c r="AE39" s="252">
        <f t="shared" si="6"/>
        <v>75</v>
      </c>
      <c r="AF39" s="90">
        <f t="shared" si="7"/>
        <v>1.5</v>
      </c>
      <c r="AG39" s="32">
        <v>0</v>
      </c>
      <c r="AH39" s="247">
        <f t="shared" si="8"/>
        <v>25</v>
      </c>
      <c r="AI39" s="91">
        <f t="shared" si="9"/>
        <v>0.25</v>
      </c>
      <c r="AJ39" s="32"/>
      <c r="AK39" s="32">
        <v>0</v>
      </c>
      <c r="AL39" s="32">
        <v>0</v>
      </c>
      <c r="AM39" s="32">
        <v>0</v>
      </c>
      <c r="AN39" s="32">
        <v>0</v>
      </c>
      <c r="AO39" s="247">
        <f t="shared" si="0"/>
        <v>0</v>
      </c>
      <c r="AP39" s="247">
        <f t="shared" si="10"/>
        <v>25</v>
      </c>
      <c r="AQ39" s="90">
        <f t="shared" si="11"/>
        <v>0.5</v>
      </c>
      <c r="AR39" s="32">
        <v>0</v>
      </c>
      <c r="AS39" s="32">
        <v>0</v>
      </c>
      <c r="AT39" s="32">
        <v>0</v>
      </c>
      <c r="AU39" s="272" t="str">
        <f t="shared" si="12"/>
        <v>A</v>
      </c>
      <c r="AV39" s="247">
        <f t="shared" si="13"/>
        <v>100</v>
      </c>
      <c r="AW39" s="90">
        <f t="shared" si="14"/>
        <v>3</v>
      </c>
      <c r="AX39" s="163">
        <f t="shared" si="15"/>
        <v>6.5833333333333339</v>
      </c>
    </row>
    <row r="40" spans="1:50" x14ac:dyDescent="0.6">
      <c r="A40" s="214" t="s">
        <v>1527</v>
      </c>
      <c r="B40" s="13" t="s">
        <v>2017</v>
      </c>
      <c r="C40" s="219" t="s">
        <v>1528</v>
      </c>
      <c r="D40" s="14" t="s">
        <v>203</v>
      </c>
      <c r="E40" s="217" t="s">
        <v>195</v>
      </c>
      <c r="F40" s="217" t="s">
        <v>1529</v>
      </c>
      <c r="G40" s="218">
        <v>32470</v>
      </c>
      <c r="H40" s="217" t="s">
        <v>830</v>
      </c>
      <c r="I40" s="217" t="s">
        <v>1530</v>
      </c>
      <c r="J40" s="217" t="s">
        <v>1531</v>
      </c>
      <c r="K40" s="217" t="s">
        <v>690</v>
      </c>
      <c r="L40" s="220">
        <v>88291972</v>
      </c>
      <c r="M40" s="206">
        <v>36836002</v>
      </c>
      <c r="N40" s="206">
        <v>51455970</v>
      </c>
      <c r="O40" s="206">
        <v>125263993</v>
      </c>
      <c r="P40" s="206">
        <v>14179053</v>
      </c>
      <c r="Q40" s="206">
        <v>13787797</v>
      </c>
      <c r="R40" s="206">
        <v>10819014</v>
      </c>
      <c r="S40" s="32">
        <v>0</v>
      </c>
      <c r="T40" s="32">
        <v>0</v>
      </c>
      <c r="U40" s="32">
        <v>0</v>
      </c>
      <c r="V40" s="266">
        <f t="shared" si="1"/>
        <v>50</v>
      </c>
      <c r="W40" s="90">
        <f t="shared" si="2"/>
        <v>0.5</v>
      </c>
      <c r="X40" s="32">
        <v>0</v>
      </c>
      <c r="Y40" s="32">
        <v>0</v>
      </c>
      <c r="Z40" s="267">
        <f t="shared" si="3"/>
        <v>0</v>
      </c>
      <c r="AA40" s="268">
        <f t="shared" si="4"/>
        <v>33.333333333333336</v>
      </c>
      <c r="AB40" s="90">
        <f t="shared" si="5"/>
        <v>0.33333333333333337</v>
      </c>
      <c r="AC40" s="32">
        <v>0</v>
      </c>
      <c r="AD40" s="32">
        <v>0</v>
      </c>
      <c r="AE40" s="252">
        <f t="shared" si="6"/>
        <v>25</v>
      </c>
      <c r="AF40" s="90">
        <f t="shared" si="7"/>
        <v>0.5</v>
      </c>
      <c r="AG40" s="32">
        <v>0</v>
      </c>
      <c r="AH40" s="247">
        <f t="shared" si="8"/>
        <v>25</v>
      </c>
      <c r="AI40" s="91">
        <f t="shared" si="9"/>
        <v>0.25</v>
      </c>
      <c r="AJ40" s="32"/>
      <c r="AK40" s="32">
        <v>0</v>
      </c>
      <c r="AL40" s="32">
        <v>0</v>
      </c>
      <c r="AM40" s="32">
        <v>0</v>
      </c>
      <c r="AN40" s="32">
        <v>0</v>
      </c>
      <c r="AO40" s="247">
        <f t="shared" si="0"/>
        <v>0</v>
      </c>
      <c r="AP40" s="247">
        <f t="shared" si="10"/>
        <v>25</v>
      </c>
      <c r="AQ40" s="90">
        <f t="shared" si="11"/>
        <v>0.5</v>
      </c>
      <c r="AR40" s="32">
        <v>0</v>
      </c>
      <c r="AS40" s="32">
        <v>0</v>
      </c>
      <c r="AT40" s="32">
        <v>0</v>
      </c>
      <c r="AU40" s="272" t="str">
        <f t="shared" si="12"/>
        <v>A</v>
      </c>
      <c r="AV40" s="247">
        <f t="shared" si="13"/>
        <v>100</v>
      </c>
      <c r="AW40" s="90">
        <f t="shared" si="14"/>
        <v>3</v>
      </c>
      <c r="AX40" s="163">
        <f t="shared" si="15"/>
        <v>5.0833333333333339</v>
      </c>
    </row>
    <row r="41" spans="1:50" x14ac:dyDescent="0.6">
      <c r="A41" s="214" t="s">
        <v>550</v>
      </c>
      <c r="B41" s="13" t="s">
        <v>2018</v>
      </c>
      <c r="C41" s="219" t="s">
        <v>892</v>
      </c>
      <c r="D41" s="216" t="s">
        <v>203</v>
      </c>
      <c r="E41" s="217" t="s">
        <v>195</v>
      </c>
      <c r="F41" s="217" t="s">
        <v>174</v>
      </c>
      <c r="G41" s="218">
        <v>32718</v>
      </c>
      <c r="H41" s="217" t="s">
        <v>830</v>
      </c>
      <c r="I41" s="217" t="s">
        <v>780</v>
      </c>
      <c r="J41" s="217" t="s">
        <v>1024</v>
      </c>
      <c r="K41" s="217" t="s">
        <v>346</v>
      </c>
      <c r="L41" s="220">
        <v>784010055</v>
      </c>
      <c r="M41" s="206">
        <v>266944685</v>
      </c>
      <c r="N41" s="206">
        <v>517065370</v>
      </c>
      <c r="O41" s="206">
        <v>504474738</v>
      </c>
      <c r="P41" s="206">
        <v>87061651</v>
      </c>
      <c r="Q41" s="206">
        <v>64111344</v>
      </c>
      <c r="R41" s="206">
        <v>47519888</v>
      </c>
      <c r="S41" s="32">
        <v>0</v>
      </c>
      <c r="T41" s="32">
        <v>0</v>
      </c>
      <c r="U41" s="32">
        <v>0</v>
      </c>
      <c r="V41" s="266">
        <f t="shared" si="1"/>
        <v>50</v>
      </c>
      <c r="W41" s="90">
        <f t="shared" si="2"/>
        <v>0.5</v>
      </c>
      <c r="X41" s="32">
        <v>0</v>
      </c>
      <c r="Y41" s="32">
        <v>0</v>
      </c>
      <c r="Z41" s="267">
        <f t="shared" si="3"/>
        <v>0</v>
      </c>
      <c r="AA41" s="268">
        <f t="shared" si="4"/>
        <v>33.333333333333336</v>
      </c>
      <c r="AB41" s="90">
        <f t="shared" si="5"/>
        <v>0.33333333333333337</v>
      </c>
      <c r="AC41" s="32">
        <v>13750</v>
      </c>
      <c r="AD41" s="32">
        <v>0</v>
      </c>
      <c r="AE41" s="252">
        <f t="shared" si="6"/>
        <v>50</v>
      </c>
      <c r="AF41" s="90">
        <f t="shared" si="7"/>
        <v>1</v>
      </c>
      <c r="AG41" s="32">
        <v>0</v>
      </c>
      <c r="AH41" s="247">
        <f t="shared" si="8"/>
        <v>25</v>
      </c>
      <c r="AI41" s="91">
        <f t="shared" si="9"/>
        <v>0.25</v>
      </c>
      <c r="AJ41" s="32"/>
      <c r="AK41" s="32">
        <v>1</v>
      </c>
      <c r="AL41" s="32">
        <v>0</v>
      </c>
      <c r="AM41" s="32">
        <v>0</v>
      </c>
      <c r="AN41" s="32">
        <v>0</v>
      </c>
      <c r="AO41" s="247">
        <f t="shared" si="0"/>
        <v>1</v>
      </c>
      <c r="AP41" s="247">
        <f t="shared" si="10"/>
        <v>50</v>
      </c>
      <c r="AQ41" s="90">
        <f t="shared" si="11"/>
        <v>1</v>
      </c>
      <c r="AR41" s="32">
        <v>0</v>
      </c>
      <c r="AS41" s="32">
        <v>0</v>
      </c>
      <c r="AT41" s="32">
        <v>0</v>
      </c>
      <c r="AU41" s="272" t="str">
        <f t="shared" si="12"/>
        <v>A</v>
      </c>
      <c r="AV41" s="247">
        <f t="shared" si="13"/>
        <v>100</v>
      </c>
      <c r="AW41" s="90">
        <f t="shared" si="14"/>
        <v>3</v>
      </c>
      <c r="AX41" s="163">
        <f t="shared" si="15"/>
        <v>6.0833333333333339</v>
      </c>
    </row>
    <row r="42" spans="1:50" x14ac:dyDescent="0.6">
      <c r="A42" s="214" t="s">
        <v>1532</v>
      </c>
      <c r="B42" s="13" t="s">
        <v>2019</v>
      </c>
      <c r="C42" s="219" t="s">
        <v>457</v>
      </c>
      <c r="D42" s="216" t="s">
        <v>285</v>
      </c>
      <c r="E42" s="217" t="s">
        <v>171</v>
      </c>
      <c r="F42" s="217" t="s">
        <v>1031</v>
      </c>
      <c r="G42" s="218">
        <v>35669</v>
      </c>
      <c r="H42" s="217" t="s">
        <v>830</v>
      </c>
      <c r="I42" s="217" t="s">
        <v>728</v>
      </c>
      <c r="J42" s="217" t="s">
        <v>1043</v>
      </c>
      <c r="K42" s="217" t="s">
        <v>690</v>
      </c>
      <c r="L42" s="220">
        <v>4987103374</v>
      </c>
      <c r="M42" s="206">
        <v>2920774145</v>
      </c>
      <c r="N42" s="206">
        <v>2066329229</v>
      </c>
      <c r="O42" s="206">
        <v>6978937449</v>
      </c>
      <c r="P42" s="206">
        <v>427890389</v>
      </c>
      <c r="Q42" s="206">
        <v>355031852</v>
      </c>
      <c r="R42" s="206">
        <v>268904384</v>
      </c>
      <c r="S42" s="32">
        <v>0</v>
      </c>
      <c r="T42" s="32">
        <v>1</v>
      </c>
      <c r="U42" s="32">
        <v>0</v>
      </c>
      <c r="V42" s="266">
        <f t="shared" si="1"/>
        <v>100</v>
      </c>
      <c r="W42" s="90">
        <f t="shared" si="2"/>
        <v>1</v>
      </c>
      <c r="X42" s="32">
        <v>0</v>
      </c>
      <c r="Y42" s="32">
        <v>0</v>
      </c>
      <c r="Z42" s="267">
        <f t="shared" si="3"/>
        <v>0</v>
      </c>
      <c r="AA42" s="268">
        <f t="shared" si="4"/>
        <v>33.333333333333336</v>
      </c>
      <c r="AB42" s="90">
        <f t="shared" si="5"/>
        <v>0.33333333333333337</v>
      </c>
      <c r="AC42" s="32">
        <v>0</v>
      </c>
      <c r="AD42" s="32">
        <v>1</v>
      </c>
      <c r="AE42" s="252">
        <f t="shared" si="6"/>
        <v>75</v>
      </c>
      <c r="AF42" s="90">
        <f t="shared" si="7"/>
        <v>1.5</v>
      </c>
      <c r="AG42" s="32">
        <v>0</v>
      </c>
      <c r="AH42" s="247">
        <f t="shared" si="8"/>
        <v>25</v>
      </c>
      <c r="AI42" s="91">
        <f t="shared" si="9"/>
        <v>0.25</v>
      </c>
      <c r="AJ42" s="32"/>
      <c r="AK42" s="32">
        <v>0</v>
      </c>
      <c r="AL42" s="32">
        <v>0</v>
      </c>
      <c r="AM42" s="32">
        <v>0</v>
      </c>
      <c r="AN42" s="32">
        <v>0</v>
      </c>
      <c r="AO42" s="247">
        <f t="shared" si="0"/>
        <v>0</v>
      </c>
      <c r="AP42" s="247">
        <f t="shared" si="10"/>
        <v>25</v>
      </c>
      <c r="AQ42" s="90">
        <f t="shared" si="11"/>
        <v>0.5</v>
      </c>
      <c r="AR42" s="32">
        <v>0</v>
      </c>
      <c r="AS42" s="32">
        <v>0</v>
      </c>
      <c r="AT42" s="32">
        <v>0</v>
      </c>
      <c r="AU42" s="272" t="str">
        <f t="shared" si="12"/>
        <v>A</v>
      </c>
      <c r="AV42" s="247">
        <f t="shared" si="13"/>
        <v>100</v>
      </c>
      <c r="AW42" s="90">
        <f t="shared" si="14"/>
        <v>3</v>
      </c>
      <c r="AX42" s="163">
        <f t="shared" si="15"/>
        <v>6.5833333333333339</v>
      </c>
    </row>
    <row r="43" spans="1:50" x14ac:dyDescent="0.6">
      <c r="A43" s="214" t="s">
        <v>1533</v>
      </c>
      <c r="B43" s="13" t="s">
        <v>2020</v>
      </c>
      <c r="C43" s="219" t="s">
        <v>450</v>
      </c>
      <c r="D43" s="216" t="s">
        <v>285</v>
      </c>
      <c r="E43" s="217" t="s">
        <v>185</v>
      </c>
      <c r="F43" s="217" t="s">
        <v>175</v>
      </c>
      <c r="G43" s="218">
        <v>41117</v>
      </c>
      <c r="H43" s="217" t="s">
        <v>830</v>
      </c>
      <c r="I43" s="217" t="s">
        <v>732</v>
      </c>
      <c r="J43" s="217" t="s">
        <v>157</v>
      </c>
      <c r="K43" s="217" t="s">
        <v>91</v>
      </c>
      <c r="L43" s="220">
        <v>3341658508</v>
      </c>
      <c r="M43" s="206">
        <v>2823131632</v>
      </c>
      <c r="N43" s="206">
        <v>518526876</v>
      </c>
      <c r="O43" s="206">
        <v>1247543929</v>
      </c>
      <c r="P43" s="206">
        <v>94379336</v>
      </c>
      <c r="Q43" s="206">
        <v>30714021</v>
      </c>
      <c r="R43" s="206">
        <v>21213587</v>
      </c>
      <c r="S43" s="32">
        <v>0</v>
      </c>
      <c r="T43" s="32">
        <v>0</v>
      </c>
      <c r="U43" s="32">
        <v>0</v>
      </c>
      <c r="V43" s="266">
        <f t="shared" si="1"/>
        <v>50</v>
      </c>
      <c r="W43" s="90">
        <f t="shared" si="2"/>
        <v>0.5</v>
      </c>
      <c r="X43" s="32">
        <v>0</v>
      </c>
      <c r="Y43" s="32">
        <v>0</v>
      </c>
      <c r="Z43" s="267">
        <f t="shared" si="3"/>
        <v>0</v>
      </c>
      <c r="AA43" s="268">
        <f t="shared" si="4"/>
        <v>33.333333333333336</v>
      </c>
      <c r="AB43" s="90">
        <f t="shared" si="5"/>
        <v>0.33333333333333337</v>
      </c>
      <c r="AC43" s="32">
        <v>0</v>
      </c>
      <c r="AD43" s="32">
        <v>1</v>
      </c>
      <c r="AE43" s="252">
        <f t="shared" si="6"/>
        <v>75</v>
      </c>
      <c r="AF43" s="90">
        <f t="shared" si="7"/>
        <v>1.5</v>
      </c>
      <c r="AG43" s="32">
        <v>0</v>
      </c>
      <c r="AH43" s="247">
        <f t="shared" si="8"/>
        <v>25</v>
      </c>
      <c r="AI43" s="91">
        <f t="shared" si="9"/>
        <v>0.25</v>
      </c>
      <c r="AJ43" s="32"/>
      <c r="AK43" s="32">
        <v>0</v>
      </c>
      <c r="AL43" s="32">
        <v>0</v>
      </c>
      <c r="AM43" s="32">
        <v>0</v>
      </c>
      <c r="AN43" s="32">
        <v>0</v>
      </c>
      <c r="AO43" s="247">
        <f t="shared" si="0"/>
        <v>0</v>
      </c>
      <c r="AP43" s="247">
        <f t="shared" si="10"/>
        <v>25</v>
      </c>
      <c r="AQ43" s="90">
        <f t="shared" si="11"/>
        <v>0.5</v>
      </c>
      <c r="AR43" s="32">
        <v>0</v>
      </c>
      <c r="AS43" s="32">
        <v>0</v>
      </c>
      <c r="AT43" s="32">
        <v>0</v>
      </c>
      <c r="AU43" s="272" t="str">
        <f t="shared" si="12"/>
        <v>A</v>
      </c>
      <c r="AV43" s="247">
        <f t="shared" si="13"/>
        <v>100</v>
      </c>
      <c r="AW43" s="90">
        <f t="shared" si="14"/>
        <v>3</v>
      </c>
      <c r="AX43" s="163">
        <f t="shared" si="15"/>
        <v>6.0833333333333339</v>
      </c>
    </row>
    <row r="44" spans="1:50" x14ac:dyDescent="0.6">
      <c r="A44" s="214" t="s">
        <v>1534</v>
      </c>
      <c r="B44" s="13" t="s">
        <v>2021</v>
      </c>
      <c r="C44" s="219" t="s">
        <v>1535</v>
      </c>
      <c r="D44" s="14" t="s">
        <v>191</v>
      </c>
      <c r="E44" s="217" t="s">
        <v>1091</v>
      </c>
      <c r="F44" s="217" t="s">
        <v>1536</v>
      </c>
      <c r="G44" s="218">
        <v>44273</v>
      </c>
      <c r="H44" s="217" t="s">
        <v>830</v>
      </c>
      <c r="I44" s="217" t="s">
        <v>1537</v>
      </c>
      <c r="J44" s="217" t="s">
        <v>1538</v>
      </c>
      <c r="K44" s="217" t="s">
        <v>690</v>
      </c>
      <c r="L44" s="220">
        <v>2142189396</v>
      </c>
      <c r="M44" s="206">
        <v>399934106</v>
      </c>
      <c r="N44" s="206">
        <v>1742255291</v>
      </c>
      <c r="O44" s="206">
        <v>456725871</v>
      </c>
      <c r="P44" s="206">
        <v>115378989</v>
      </c>
      <c r="Q44" s="206">
        <v>142097807</v>
      </c>
      <c r="R44" s="206">
        <v>122816574</v>
      </c>
      <c r="S44" s="32">
        <v>0</v>
      </c>
      <c r="T44" s="32">
        <v>0</v>
      </c>
      <c r="U44" s="32">
        <v>0</v>
      </c>
      <c r="V44" s="266">
        <f t="shared" si="1"/>
        <v>50</v>
      </c>
      <c r="W44" s="90">
        <f t="shared" si="2"/>
        <v>0.5</v>
      </c>
      <c r="X44" s="32">
        <v>0</v>
      </c>
      <c r="Y44" s="32">
        <v>0</v>
      </c>
      <c r="Z44" s="267">
        <f t="shared" si="3"/>
        <v>0</v>
      </c>
      <c r="AA44" s="268">
        <f t="shared" si="4"/>
        <v>33.333333333333336</v>
      </c>
      <c r="AB44" s="90">
        <f t="shared" si="5"/>
        <v>0.33333333333333337</v>
      </c>
      <c r="AC44" s="32">
        <v>0</v>
      </c>
      <c r="AD44" s="32">
        <v>1</v>
      </c>
      <c r="AE44" s="252">
        <f t="shared" si="6"/>
        <v>75</v>
      </c>
      <c r="AF44" s="90">
        <f t="shared" si="7"/>
        <v>1.5</v>
      </c>
      <c r="AG44" s="32">
        <v>0</v>
      </c>
      <c r="AH44" s="247">
        <f t="shared" si="8"/>
        <v>25</v>
      </c>
      <c r="AI44" s="91">
        <f t="shared" si="9"/>
        <v>0.25</v>
      </c>
      <c r="AJ44" s="32"/>
      <c r="AK44" s="32">
        <v>0</v>
      </c>
      <c r="AL44" s="32">
        <v>0</v>
      </c>
      <c r="AM44" s="32">
        <v>0</v>
      </c>
      <c r="AN44" s="32">
        <v>0</v>
      </c>
      <c r="AO44" s="247">
        <f t="shared" si="0"/>
        <v>0</v>
      </c>
      <c r="AP44" s="247">
        <f t="shared" si="10"/>
        <v>25</v>
      </c>
      <c r="AQ44" s="90">
        <f t="shared" si="11"/>
        <v>0.5</v>
      </c>
      <c r="AR44" s="32">
        <v>0</v>
      </c>
      <c r="AS44" s="32">
        <v>0</v>
      </c>
      <c r="AT44" s="32">
        <v>0</v>
      </c>
      <c r="AU44" s="272" t="str">
        <f t="shared" si="12"/>
        <v>A</v>
      </c>
      <c r="AV44" s="247">
        <f t="shared" si="13"/>
        <v>100</v>
      </c>
      <c r="AW44" s="90">
        <f t="shared" si="14"/>
        <v>3</v>
      </c>
      <c r="AX44" s="163">
        <f t="shared" si="15"/>
        <v>6.0833333333333339</v>
      </c>
    </row>
    <row r="45" spans="1:50" x14ac:dyDescent="0.6">
      <c r="A45" s="214" t="s">
        <v>1539</v>
      </c>
      <c r="B45" s="13" t="s">
        <v>2022</v>
      </c>
      <c r="C45" s="219" t="s">
        <v>1540</v>
      </c>
      <c r="D45" s="14" t="s">
        <v>203</v>
      </c>
      <c r="E45" s="217" t="s">
        <v>187</v>
      </c>
      <c r="F45" s="217" t="s">
        <v>1541</v>
      </c>
      <c r="G45" s="218">
        <v>39288</v>
      </c>
      <c r="H45" s="217" t="s">
        <v>830</v>
      </c>
      <c r="I45" s="217" t="s">
        <v>1542</v>
      </c>
      <c r="J45" s="217" t="s">
        <v>1543</v>
      </c>
      <c r="K45" s="217" t="s">
        <v>91</v>
      </c>
      <c r="L45" s="220">
        <v>19550742827</v>
      </c>
      <c r="M45" s="206">
        <v>3581307796</v>
      </c>
      <c r="N45" s="206">
        <v>15969435031</v>
      </c>
      <c r="O45" s="206">
        <v>1983533544</v>
      </c>
      <c r="P45" s="206">
        <v>611371885</v>
      </c>
      <c r="Q45" s="206">
        <v>602096059</v>
      </c>
      <c r="R45" s="206">
        <v>453183233</v>
      </c>
      <c r="S45" s="32">
        <v>0</v>
      </c>
      <c r="T45" s="32">
        <v>1</v>
      </c>
      <c r="U45" s="32">
        <v>0</v>
      </c>
      <c r="V45" s="266">
        <f t="shared" si="1"/>
        <v>100</v>
      </c>
      <c r="W45" s="90">
        <f t="shared" si="2"/>
        <v>1</v>
      </c>
      <c r="X45" s="32">
        <v>0</v>
      </c>
      <c r="Y45" s="32">
        <v>0</v>
      </c>
      <c r="Z45" s="267">
        <f t="shared" si="3"/>
        <v>0</v>
      </c>
      <c r="AA45" s="268">
        <f t="shared" si="4"/>
        <v>33.333333333333336</v>
      </c>
      <c r="AB45" s="90">
        <f t="shared" si="5"/>
        <v>0.33333333333333337</v>
      </c>
      <c r="AC45" s="32">
        <v>0</v>
      </c>
      <c r="AD45" s="32">
        <v>1</v>
      </c>
      <c r="AE45" s="252">
        <f t="shared" si="6"/>
        <v>75</v>
      </c>
      <c r="AF45" s="90">
        <f t="shared" si="7"/>
        <v>1.5</v>
      </c>
      <c r="AG45" s="32">
        <v>0</v>
      </c>
      <c r="AH45" s="247">
        <f t="shared" si="8"/>
        <v>25</v>
      </c>
      <c r="AI45" s="91">
        <f t="shared" si="9"/>
        <v>0.25</v>
      </c>
      <c r="AJ45" s="32"/>
      <c r="AK45" s="32">
        <v>0</v>
      </c>
      <c r="AL45" s="32">
        <v>0</v>
      </c>
      <c r="AM45" s="32">
        <v>0</v>
      </c>
      <c r="AN45" s="32">
        <v>0</v>
      </c>
      <c r="AO45" s="247">
        <f t="shared" si="0"/>
        <v>0</v>
      </c>
      <c r="AP45" s="247">
        <f t="shared" si="10"/>
        <v>25</v>
      </c>
      <c r="AQ45" s="90">
        <f t="shared" si="11"/>
        <v>0.5</v>
      </c>
      <c r="AR45" s="32">
        <v>1</v>
      </c>
      <c r="AS45" s="32">
        <v>0</v>
      </c>
      <c r="AT45" s="32">
        <v>0</v>
      </c>
      <c r="AU45" s="272" t="str">
        <f t="shared" si="12"/>
        <v>B</v>
      </c>
      <c r="AV45" s="247">
        <f t="shared" si="13"/>
        <v>75</v>
      </c>
      <c r="AW45" s="90">
        <f t="shared" si="14"/>
        <v>2.25</v>
      </c>
      <c r="AX45" s="163">
        <f t="shared" si="15"/>
        <v>5.8333333333333339</v>
      </c>
    </row>
    <row r="46" spans="1:50" x14ac:dyDescent="0.6">
      <c r="A46" s="214" t="s">
        <v>1544</v>
      </c>
      <c r="B46" s="13" t="s">
        <v>2023</v>
      </c>
      <c r="C46" s="219" t="s">
        <v>543</v>
      </c>
      <c r="D46" s="221" t="s">
        <v>350</v>
      </c>
      <c r="E46" s="217" t="s">
        <v>179</v>
      </c>
      <c r="F46" s="217" t="s">
        <v>199</v>
      </c>
      <c r="G46" s="218">
        <v>31675</v>
      </c>
      <c r="H46" s="217" t="s">
        <v>830</v>
      </c>
      <c r="I46" s="217" t="s">
        <v>1545</v>
      </c>
      <c r="J46" s="217" t="s">
        <v>1035</v>
      </c>
      <c r="K46" s="217" t="s">
        <v>91</v>
      </c>
      <c r="L46" s="220">
        <v>5612706908</v>
      </c>
      <c r="M46" s="206">
        <v>5005166436</v>
      </c>
      <c r="N46" s="206">
        <v>607540471</v>
      </c>
      <c r="O46" s="206">
        <v>1137658845</v>
      </c>
      <c r="P46" s="206">
        <v>12048913</v>
      </c>
      <c r="Q46" s="206">
        <v>5565314</v>
      </c>
      <c r="R46" s="206">
        <v>4440548</v>
      </c>
      <c r="S46" s="32">
        <v>0</v>
      </c>
      <c r="T46" s="32">
        <v>0</v>
      </c>
      <c r="U46" s="32">
        <v>0</v>
      </c>
      <c r="V46" s="266">
        <f t="shared" si="1"/>
        <v>50</v>
      </c>
      <c r="W46" s="90">
        <f t="shared" si="2"/>
        <v>0.5</v>
      </c>
      <c r="X46" s="32">
        <v>0</v>
      </c>
      <c r="Y46" s="32">
        <v>0</v>
      </c>
      <c r="Z46" s="267">
        <f t="shared" si="3"/>
        <v>0</v>
      </c>
      <c r="AA46" s="268">
        <f t="shared" si="4"/>
        <v>33.333333333333336</v>
      </c>
      <c r="AB46" s="90">
        <f t="shared" si="5"/>
        <v>0.33333333333333337</v>
      </c>
      <c r="AC46" s="32">
        <v>0</v>
      </c>
      <c r="AD46" s="32">
        <v>0</v>
      </c>
      <c r="AE46" s="252">
        <f t="shared" si="6"/>
        <v>25</v>
      </c>
      <c r="AF46" s="90">
        <f t="shared" si="7"/>
        <v>0.5</v>
      </c>
      <c r="AG46" s="32">
        <v>0</v>
      </c>
      <c r="AH46" s="247">
        <f t="shared" si="8"/>
        <v>25</v>
      </c>
      <c r="AI46" s="91">
        <f t="shared" si="9"/>
        <v>0.25</v>
      </c>
      <c r="AJ46" s="32"/>
      <c r="AK46" s="32">
        <v>0</v>
      </c>
      <c r="AL46" s="32">
        <v>0</v>
      </c>
      <c r="AM46" s="32">
        <v>0</v>
      </c>
      <c r="AN46" s="32">
        <v>0</v>
      </c>
      <c r="AO46" s="247">
        <f t="shared" si="0"/>
        <v>0</v>
      </c>
      <c r="AP46" s="247">
        <f t="shared" si="10"/>
        <v>25</v>
      </c>
      <c r="AQ46" s="90">
        <f t="shared" si="11"/>
        <v>0.5</v>
      </c>
      <c r="AR46" s="32">
        <v>0</v>
      </c>
      <c r="AS46" s="32">
        <v>0</v>
      </c>
      <c r="AT46" s="32">
        <v>0</v>
      </c>
      <c r="AU46" s="272" t="str">
        <f t="shared" si="12"/>
        <v>A</v>
      </c>
      <c r="AV46" s="247">
        <f t="shared" si="13"/>
        <v>100</v>
      </c>
      <c r="AW46" s="90">
        <f t="shared" si="14"/>
        <v>3</v>
      </c>
      <c r="AX46" s="163">
        <v>0</v>
      </c>
    </row>
    <row r="47" spans="1:50" x14ac:dyDescent="0.6">
      <c r="A47" s="214" t="s">
        <v>1546</v>
      </c>
      <c r="B47" s="13" t="s">
        <v>2024</v>
      </c>
      <c r="C47" s="219" t="s">
        <v>1547</v>
      </c>
      <c r="D47" s="14" t="s">
        <v>203</v>
      </c>
      <c r="E47" s="217" t="s">
        <v>1548</v>
      </c>
      <c r="F47" s="217" t="s">
        <v>1549</v>
      </c>
      <c r="G47" s="218">
        <v>43105</v>
      </c>
      <c r="H47" s="217" t="s">
        <v>830</v>
      </c>
      <c r="I47" s="217" t="s">
        <v>1550</v>
      </c>
      <c r="J47" s="217" t="s">
        <v>1551</v>
      </c>
      <c r="K47" s="217" t="s">
        <v>690</v>
      </c>
      <c r="L47" s="220">
        <v>1810477193</v>
      </c>
      <c r="M47" s="206">
        <v>690879147</v>
      </c>
      <c r="N47" s="206">
        <v>1119598046</v>
      </c>
      <c r="O47" s="206">
        <v>1256030179</v>
      </c>
      <c r="P47" s="206">
        <v>107526937</v>
      </c>
      <c r="Q47" s="206">
        <v>88400704</v>
      </c>
      <c r="R47" s="206">
        <v>69270430</v>
      </c>
      <c r="S47" s="32">
        <v>0</v>
      </c>
      <c r="T47" s="32">
        <v>1</v>
      </c>
      <c r="U47" s="32">
        <v>0</v>
      </c>
      <c r="V47" s="266">
        <f t="shared" si="1"/>
        <v>100</v>
      </c>
      <c r="W47" s="90">
        <f t="shared" si="2"/>
        <v>1</v>
      </c>
      <c r="X47" s="32">
        <v>0</v>
      </c>
      <c r="Y47" s="32">
        <v>0</v>
      </c>
      <c r="Z47" s="267">
        <f t="shared" si="3"/>
        <v>0</v>
      </c>
      <c r="AA47" s="268">
        <f t="shared" si="4"/>
        <v>33.333333333333336</v>
      </c>
      <c r="AB47" s="90">
        <f t="shared" si="5"/>
        <v>0.33333333333333337</v>
      </c>
      <c r="AC47" s="32">
        <v>0</v>
      </c>
      <c r="AD47" s="32">
        <v>1</v>
      </c>
      <c r="AE47" s="252">
        <f t="shared" si="6"/>
        <v>75</v>
      </c>
      <c r="AF47" s="90">
        <f t="shared" si="7"/>
        <v>1.5</v>
      </c>
      <c r="AG47" s="32">
        <v>3</v>
      </c>
      <c r="AH47" s="247">
        <f t="shared" si="8"/>
        <v>100</v>
      </c>
      <c r="AI47" s="91">
        <f t="shared" si="9"/>
        <v>1</v>
      </c>
      <c r="AJ47" s="32"/>
      <c r="AK47" s="32">
        <v>1</v>
      </c>
      <c r="AL47" s="32">
        <v>0</v>
      </c>
      <c r="AM47" s="32">
        <v>0</v>
      </c>
      <c r="AN47" s="32">
        <v>0</v>
      </c>
      <c r="AO47" s="247">
        <f t="shared" si="0"/>
        <v>1</v>
      </c>
      <c r="AP47" s="247">
        <f t="shared" si="10"/>
        <v>50</v>
      </c>
      <c r="AQ47" s="90">
        <f t="shared" si="11"/>
        <v>1</v>
      </c>
      <c r="AR47" s="32">
        <v>0</v>
      </c>
      <c r="AS47" s="32">
        <v>0</v>
      </c>
      <c r="AT47" s="32">
        <v>0</v>
      </c>
      <c r="AU47" s="272" t="str">
        <f t="shared" si="12"/>
        <v>A</v>
      </c>
      <c r="AV47" s="247">
        <f t="shared" si="13"/>
        <v>100</v>
      </c>
      <c r="AW47" s="90">
        <f t="shared" si="14"/>
        <v>3</v>
      </c>
      <c r="AX47" s="163">
        <f t="shared" si="15"/>
        <v>7.8333333333333339</v>
      </c>
    </row>
    <row r="48" spans="1:50" x14ac:dyDescent="0.6">
      <c r="A48" s="214" t="s">
        <v>1552</v>
      </c>
      <c r="B48" s="13" t="s">
        <v>2025</v>
      </c>
      <c r="C48" s="219" t="s">
        <v>1553</v>
      </c>
      <c r="D48" s="14" t="s">
        <v>285</v>
      </c>
      <c r="E48" s="217" t="s">
        <v>56</v>
      </c>
      <c r="F48" s="217" t="s">
        <v>1554</v>
      </c>
      <c r="G48" s="218">
        <v>32819</v>
      </c>
      <c r="H48" s="217" t="s">
        <v>830</v>
      </c>
      <c r="I48" s="217" t="s">
        <v>1555</v>
      </c>
      <c r="J48" s="217" t="s">
        <v>1556</v>
      </c>
      <c r="K48" s="217" t="s">
        <v>91</v>
      </c>
      <c r="L48" s="220">
        <v>26432121000</v>
      </c>
      <c r="M48" s="206">
        <v>16048739000</v>
      </c>
      <c r="N48" s="206">
        <v>10383382000</v>
      </c>
      <c r="O48" s="206">
        <v>12414588000</v>
      </c>
      <c r="P48" s="206">
        <v>1321131000</v>
      </c>
      <c r="Q48" s="206">
        <v>1146250000</v>
      </c>
      <c r="R48" s="206">
        <v>869490000</v>
      </c>
      <c r="S48" s="32">
        <v>0</v>
      </c>
      <c r="T48" s="32">
        <v>1</v>
      </c>
      <c r="U48" s="32">
        <v>0</v>
      </c>
      <c r="V48" s="266">
        <f t="shared" si="1"/>
        <v>100</v>
      </c>
      <c r="W48" s="90">
        <f t="shared" si="2"/>
        <v>1</v>
      </c>
      <c r="X48" s="32">
        <v>0</v>
      </c>
      <c r="Y48" s="32">
        <v>0</v>
      </c>
      <c r="Z48" s="267">
        <f t="shared" si="3"/>
        <v>0</v>
      </c>
      <c r="AA48" s="268">
        <f t="shared" si="4"/>
        <v>33.333333333333336</v>
      </c>
      <c r="AB48" s="90">
        <f t="shared" si="5"/>
        <v>0.33333333333333337</v>
      </c>
      <c r="AC48" s="32">
        <v>0</v>
      </c>
      <c r="AD48" s="32">
        <v>1</v>
      </c>
      <c r="AE48" s="252">
        <f t="shared" si="6"/>
        <v>75</v>
      </c>
      <c r="AF48" s="90">
        <f t="shared" si="7"/>
        <v>1.5</v>
      </c>
      <c r="AG48" s="32">
        <v>0</v>
      </c>
      <c r="AH48" s="247">
        <f t="shared" si="8"/>
        <v>25</v>
      </c>
      <c r="AI48" s="91">
        <f t="shared" si="9"/>
        <v>0.25</v>
      </c>
      <c r="AJ48" s="32"/>
      <c r="AK48" s="32">
        <v>0</v>
      </c>
      <c r="AL48" s="32">
        <v>0</v>
      </c>
      <c r="AM48" s="32">
        <v>0</v>
      </c>
      <c r="AN48" s="32">
        <v>0</v>
      </c>
      <c r="AO48" s="247">
        <f t="shared" si="0"/>
        <v>0</v>
      </c>
      <c r="AP48" s="247">
        <f t="shared" si="10"/>
        <v>25</v>
      </c>
      <c r="AQ48" s="90">
        <f t="shared" si="11"/>
        <v>0.5</v>
      </c>
      <c r="AR48" s="32">
        <v>0</v>
      </c>
      <c r="AS48" s="32">
        <v>0</v>
      </c>
      <c r="AT48" s="32">
        <v>0</v>
      </c>
      <c r="AU48" s="272" t="str">
        <f t="shared" si="12"/>
        <v>A</v>
      </c>
      <c r="AV48" s="247">
        <f t="shared" si="13"/>
        <v>100</v>
      </c>
      <c r="AW48" s="90">
        <f t="shared" si="14"/>
        <v>3</v>
      </c>
      <c r="AX48" s="163">
        <f t="shared" si="15"/>
        <v>6.5833333333333339</v>
      </c>
    </row>
    <row r="49" spans="1:50" x14ac:dyDescent="0.6">
      <c r="A49" s="214" t="s">
        <v>479</v>
      </c>
      <c r="B49" s="13" t="s">
        <v>2026</v>
      </c>
      <c r="C49" s="219" t="s">
        <v>907</v>
      </c>
      <c r="D49" s="216" t="s">
        <v>202</v>
      </c>
      <c r="E49" s="217" t="s">
        <v>950</v>
      </c>
      <c r="F49" s="217" t="s">
        <v>961</v>
      </c>
      <c r="G49" s="218">
        <v>35425</v>
      </c>
      <c r="H49" s="217" t="s">
        <v>830</v>
      </c>
      <c r="I49" s="217" t="s">
        <v>616</v>
      </c>
      <c r="J49" s="217" t="s">
        <v>1041</v>
      </c>
      <c r="K49" s="217" t="s">
        <v>690</v>
      </c>
      <c r="L49" s="220">
        <v>91800233000</v>
      </c>
      <c r="M49" s="206">
        <v>31637411000</v>
      </c>
      <c r="N49" s="206">
        <v>60162822000</v>
      </c>
      <c r="O49" s="206">
        <v>37878699000</v>
      </c>
      <c r="P49" s="206">
        <v>7660947000</v>
      </c>
      <c r="Q49" s="206">
        <v>4467040000</v>
      </c>
      <c r="R49" s="206">
        <v>2790457000</v>
      </c>
      <c r="S49" s="32">
        <v>0</v>
      </c>
      <c r="T49" s="32">
        <v>1</v>
      </c>
      <c r="U49" s="32">
        <v>0</v>
      </c>
      <c r="V49" s="266">
        <f t="shared" si="1"/>
        <v>100</v>
      </c>
      <c r="W49" s="90">
        <f t="shared" si="2"/>
        <v>1</v>
      </c>
      <c r="X49" s="32">
        <v>0</v>
      </c>
      <c r="Y49" s="32">
        <v>0</v>
      </c>
      <c r="Z49" s="267">
        <f t="shared" si="3"/>
        <v>0</v>
      </c>
      <c r="AA49" s="268">
        <f t="shared" si="4"/>
        <v>33.333333333333336</v>
      </c>
      <c r="AB49" s="90">
        <f t="shared" si="5"/>
        <v>0.33333333333333337</v>
      </c>
      <c r="AC49" s="32">
        <v>0</v>
      </c>
      <c r="AD49" s="32">
        <v>1</v>
      </c>
      <c r="AE49" s="252">
        <f t="shared" si="6"/>
        <v>75</v>
      </c>
      <c r="AF49" s="90">
        <f t="shared" si="7"/>
        <v>1.5</v>
      </c>
      <c r="AG49" s="32">
        <v>0</v>
      </c>
      <c r="AH49" s="247">
        <f t="shared" si="8"/>
        <v>25</v>
      </c>
      <c r="AI49" s="91">
        <f t="shared" si="9"/>
        <v>0.25</v>
      </c>
      <c r="AJ49" s="32"/>
      <c r="AK49" s="32">
        <v>1</v>
      </c>
      <c r="AL49" s="32">
        <v>0</v>
      </c>
      <c r="AM49" s="32">
        <v>0</v>
      </c>
      <c r="AN49" s="32">
        <v>0</v>
      </c>
      <c r="AO49" s="247">
        <f t="shared" si="0"/>
        <v>1</v>
      </c>
      <c r="AP49" s="247">
        <f t="shared" si="10"/>
        <v>50</v>
      </c>
      <c r="AQ49" s="90">
        <f t="shared" si="11"/>
        <v>1</v>
      </c>
      <c r="AR49" s="32">
        <v>0</v>
      </c>
      <c r="AS49" s="32">
        <v>1</v>
      </c>
      <c r="AT49" s="32">
        <v>0</v>
      </c>
      <c r="AU49" s="272" t="str">
        <f t="shared" si="12"/>
        <v>C</v>
      </c>
      <c r="AV49" s="247">
        <f t="shared" si="13"/>
        <v>50</v>
      </c>
      <c r="AW49" s="90">
        <f t="shared" si="14"/>
        <v>1.5</v>
      </c>
      <c r="AX49" s="163">
        <f t="shared" si="15"/>
        <v>5.5833333333333339</v>
      </c>
    </row>
    <row r="50" spans="1:50" x14ac:dyDescent="0.6">
      <c r="A50" s="214" t="s">
        <v>1557</v>
      </c>
      <c r="B50" s="13" t="s">
        <v>2027</v>
      </c>
      <c r="C50" s="219" t="s">
        <v>1558</v>
      </c>
      <c r="D50" s="14" t="s">
        <v>202</v>
      </c>
      <c r="E50" s="217" t="s">
        <v>954</v>
      </c>
      <c r="F50" s="217" t="s">
        <v>1559</v>
      </c>
      <c r="G50" s="218">
        <v>27949</v>
      </c>
      <c r="H50" s="217" t="s">
        <v>830</v>
      </c>
      <c r="I50" s="217" t="s">
        <v>1560</v>
      </c>
      <c r="J50" s="217" t="s">
        <v>1561</v>
      </c>
      <c r="K50" s="217" t="s">
        <v>50</v>
      </c>
      <c r="L50" s="220">
        <v>913694578</v>
      </c>
      <c r="M50" s="206">
        <v>256815975</v>
      </c>
      <c r="N50" s="206">
        <v>656878603</v>
      </c>
      <c r="O50" s="206">
        <v>320369756</v>
      </c>
      <c r="P50" s="206">
        <v>25070424</v>
      </c>
      <c r="Q50" s="206">
        <v>28857902</v>
      </c>
      <c r="R50" s="206">
        <v>22824949</v>
      </c>
      <c r="S50" s="32">
        <v>0</v>
      </c>
      <c r="T50" s="32">
        <v>0</v>
      </c>
      <c r="U50" s="32">
        <v>0</v>
      </c>
      <c r="V50" s="266">
        <f t="shared" si="1"/>
        <v>50</v>
      </c>
      <c r="W50" s="90">
        <f t="shared" si="2"/>
        <v>0.5</v>
      </c>
      <c r="X50" s="32">
        <v>0</v>
      </c>
      <c r="Y50" s="32">
        <v>0</v>
      </c>
      <c r="Z50" s="267">
        <f t="shared" si="3"/>
        <v>0</v>
      </c>
      <c r="AA50" s="268">
        <f t="shared" si="4"/>
        <v>33.333333333333336</v>
      </c>
      <c r="AB50" s="90">
        <f t="shared" si="5"/>
        <v>0.33333333333333337</v>
      </c>
      <c r="AC50" s="32">
        <v>0</v>
      </c>
      <c r="AD50" s="32">
        <v>1</v>
      </c>
      <c r="AE50" s="252">
        <f t="shared" si="6"/>
        <v>75</v>
      </c>
      <c r="AF50" s="90">
        <f t="shared" si="7"/>
        <v>1.5</v>
      </c>
      <c r="AG50" s="32">
        <v>0</v>
      </c>
      <c r="AH50" s="247">
        <f t="shared" si="8"/>
        <v>25</v>
      </c>
      <c r="AI50" s="91">
        <f t="shared" si="9"/>
        <v>0.25</v>
      </c>
      <c r="AJ50" s="32"/>
      <c r="AK50" s="32">
        <v>0</v>
      </c>
      <c r="AL50" s="32">
        <v>0</v>
      </c>
      <c r="AM50" s="32">
        <v>0</v>
      </c>
      <c r="AN50" s="32">
        <v>0</v>
      </c>
      <c r="AO50" s="247">
        <f t="shared" si="0"/>
        <v>0</v>
      </c>
      <c r="AP50" s="247">
        <f t="shared" si="10"/>
        <v>25</v>
      </c>
      <c r="AQ50" s="90">
        <f t="shared" si="11"/>
        <v>0.5</v>
      </c>
      <c r="AR50" s="32">
        <v>0</v>
      </c>
      <c r="AS50" s="32">
        <v>0</v>
      </c>
      <c r="AT50" s="32">
        <v>0</v>
      </c>
      <c r="AU50" s="272" t="str">
        <f t="shared" si="12"/>
        <v>A</v>
      </c>
      <c r="AV50" s="247">
        <f t="shared" si="13"/>
        <v>100</v>
      </c>
      <c r="AW50" s="90">
        <f t="shared" si="14"/>
        <v>3</v>
      </c>
      <c r="AX50" s="163">
        <f t="shared" si="15"/>
        <v>6.0833333333333339</v>
      </c>
    </row>
    <row r="51" spans="1:50" x14ac:dyDescent="0.6">
      <c r="A51" s="214" t="s">
        <v>338</v>
      </c>
      <c r="B51" s="13" t="s">
        <v>2028</v>
      </c>
      <c r="C51" s="219" t="s">
        <v>80</v>
      </c>
      <c r="D51" s="216" t="s">
        <v>202</v>
      </c>
      <c r="E51" s="217" t="s">
        <v>954</v>
      </c>
      <c r="F51" s="217" t="s">
        <v>146</v>
      </c>
      <c r="G51" s="218">
        <v>37326</v>
      </c>
      <c r="H51" s="217" t="s">
        <v>830</v>
      </c>
      <c r="I51" s="217" t="s">
        <v>1562</v>
      </c>
      <c r="J51" s="217" t="s">
        <v>1239</v>
      </c>
      <c r="K51" s="217" t="s">
        <v>484</v>
      </c>
      <c r="L51" s="220">
        <v>1219422735</v>
      </c>
      <c r="M51" s="206">
        <v>343607691</v>
      </c>
      <c r="N51" s="206">
        <v>875815044</v>
      </c>
      <c r="O51" s="206">
        <v>1004821817</v>
      </c>
      <c r="P51" s="206">
        <v>113170594</v>
      </c>
      <c r="Q51" s="206">
        <v>122466158</v>
      </c>
      <c r="R51" s="206">
        <v>91032057</v>
      </c>
      <c r="S51" s="32">
        <v>0</v>
      </c>
      <c r="T51" s="32">
        <v>0</v>
      </c>
      <c r="U51" s="32">
        <v>0</v>
      </c>
      <c r="V51" s="266">
        <f t="shared" si="1"/>
        <v>50</v>
      </c>
      <c r="W51" s="90">
        <f t="shared" si="2"/>
        <v>0.5</v>
      </c>
      <c r="X51" s="32">
        <v>0</v>
      </c>
      <c r="Y51" s="32">
        <v>0</v>
      </c>
      <c r="Z51" s="267">
        <f t="shared" si="3"/>
        <v>0</v>
      </c>
      <c r="AA51" s="268">
        <f t="shared" si="4"/>
        <v>33.333333333333336</v>
      </c>
      <c r="AB51" s="90">
        <f t="shared" si="5"/>
        <v>0.33333333333333337</v>
      </c>
      <c r="AC51" s="32">
        <v>0</v>
      </c>
      <c r="AD51" s="32">
        <v>1</v>
      </c>
      <c r="AE51" s="252">
        <f t="shared" si="6"/>
        <v>75</v>
      </c>
      <c r="AF51" s="90">
        <f t="shared" si="7"/>
        <v>1.5</v>
      </c>
      <c r="AG51" s="32">
        <v>0</v>
      </c>
      <c r="AH51" s="247">
        <f t="shared" si="8"/>
        <v>25</v>
      </c>
      <c r="AI51" s="91">
        <f t="shared" si="9"/>
        <v>0.25</v>
      </c>
      <c r="AJ51" s="32"/>
      <c r="AK51" s="32">
        <v>0</v>
      </c>
      <c r="AL51" s="32">
        <v>0</v>
      </c>
      <c r="AM51" s="32">
        <v>0</v>
      </c>
      <c r="AN51" s="32">
        <v>0</v>
      </c>
      <c r="AO51" s="247">
        <f t="shared" si="0"/>
        <v>0</v>
      </c>
      <c r="AP51" s="247">
        <f t="shared" si="10"/>
        <v>25</v>
      </c>
      <c r="AQ51" s="90">
        <f t="shared" si="11"/>
        <v>0.5</v>
      </c>
      <c r="AR51" s="32">
        <v>0</v>
      </c>
      <c r="AS51" s="32">
        <v>0</v>
      </c>
      <c r="AT51" s="32">
        <v>0</v>
      </c>
      <c r="AU51" s="272" t="str">
        <f t="shared" si="12"/>
        <v>A</v>
      </c>
      <c r="AV51" s="247">
        <f t="shared" si="13"/>
        <v>100</v>
      </c>
      <c r="AW51" s="90">
        <f t="shared" si="14"/>
        <v>3</v>
      </c>
      <c r="AX51" s="163">
        <f t="shared" si="15"/>
        <v>6.0833333333333339</v>
      </c>
    </row>
    <row r="52" spans="1:50" x14ac:dyDescent="0.6">
      <c r="A52" s="214" t="s">
        <v>519</v>
      </c>
      <c r="B52" s="13" t="s">
        <v>2029</v>
      </c>
      <c r="C52" s="219" t="s">
        <v>33</v>
      </c>
      <c r="D52" s="216" t="s">
        <v>202</v>
      </c>
      <c r="E52" s="217" t="s">
        <v>613</v>
      </c>
      <c r="F52" s="217" t="s">
        <v>956</v>
      </c>
      <c r="G52" s="218">
        <v>31936</v>
      </c>
      <c r="H52" s="217" t="s">
        <v>830</v>
      </c>
      <c r="I52" s="217" t="s">
        <v>1563</v>
      </c>
      <c r="J52" s="217" t="s">
        <v>1165</v>
      </c>
      <c r="K52" s="217" t="s">
        <v>690</v>
      </c>
      <c r="L52" s="220">
        <v>692740658</v>
      </c>
      <c r="M52" s="206">
        <v>395155324</v>
      </c>
      <c r="N52" s="206">
        <v>297585335</v>
      </c>
      <c r="O52" s="206">
        <v>1186678750</v>
      </c>
      <c r="P52" s="206">
        <v>24052569</v>
      </c>
      <c r="Q52" s="206">
        <v>10186256</v>
      </c>
      <c r="R52" s="206">
        <v>7026979</v>
      </c>
      <c r="S52" s="32">
        <v>0</v>
      </c>
      <c r="T52" s="32">
        <v>0</v>
      </c>
      <c r="U52" s="32">
        <v>0</v>
      </c>
      <c r="V52" s="266">
        <f t="shared" si="1"/>
        <v>50</v>
      </c>
      <c r="W52" s="90">
        <f t="shared" si="2"/>
        <v>0.5</v>
      </c>
      <c r="X52" s="32">
        <v>0</v>
      </c>
      <c r="Y52" s="32">
        <v>0</v>
      </c>
      <c r="Z52" s="267">
        <f t="shared" si="3"/>
        <v>0</v>
      </c>
      <c r="AA52" s="268">
        <f t="shared" si="4"/>
        <v>33.333333333333336</v>
      </c>
      <c r="AB52" s="90">
        <f t="shared" si="5"/>
        <v>0.33333333333333337</v>
      </c>
      <c r="AC52" s="32">
        <v>0</v>
      </c>
      <c r="AD52" s="32">
        <v>1</v>
      </c>
      <c r="AE52" s="252">
        <f t="shared" si="6"/>
        <v>75</v>
      </c>
      <c r="AF52" s="90">
        <f t="shared" si="7"/>
        <v>1.5</v>
      </c>
      <c r="AG52" s="32">
        <v>0</v>
      </c>
      <c r="AH52" s="247">
        <f t="shared" si="8"/>
        <v>25</v>
      </c>
      <c r="AI52" s="91">
        <f t="shared" si="9"/>
        <v>0.25</v>
      </c>
      <c r="AJ52" s="32"/>
      <c r="AK52" s="32">
        <v>1</v>
      </c>
      <c r="AL52" s="32">
        <v>0</v>
      </c>
      <c r="AM52" s="32">
        <v>0</v>
      </c>
      <c r="AN52" s="32">
        <v>0</v>
      </c>
      <c r="AO52" s="247">
        <f t="shared" si="0"/>
        <v>1</v>
      </c>
      <c r="AP52" s="247">
        <f t="shared" si="10"/>
        <v>50</v>
      </c>
      <c r="AQ52" s="90">
        <f t="shared" si="11"/>
        <v>1</v>
      </c>
      <c r="AR52" s="32">
        <v>0</v>
      </c>
      <c r="AS52" s="32">
        <v>0</v>
      </c>
      <c r="AT52" s="32">
        <v>0</v>
      </c>
      <c r="AU52" s="272" t="str">
        <f t="shared" si="12"/>
        <v>A</v>
      </c>
      <c r="AV52" s="247">
        <f t="shared" si="13"/>
        <v>100</v>
      </c>
      <c r="AW52" s="90">
        <f t="shared" si="14"/>
        <v>3</v>
      </c>
      <c r="AX52" s="163">
        <f t="shared" si="15"/>
        <v>6.5833333333333339</v>
      </c>
    </row>
    <row r="53" spans="1:50" x14ac:dyDescent="0.6">
      <c r="A53" s="214" t="s">
        <v>1564</v>
      </c>
      <c r="B53" s="13" t="s">
        <v>2030</v>
      </c>
      <c r="C53" s="219" t="s">
        <v>1565</v>
      </c>
      <c r="D53" s="14" t="s">
        <v>285</v>
      </c>
      <c r="E53" s="217" t="s">
        <v>1566</v>
      </c>
      <c r="F53" s="217" t="s">
        <v>1567</v>
      </c>
      <c r="G53" s="218">
        <v>32826</v>
      </c>
      <c r="H53" s="217" t="s">
        <v>830</v>
      </c>
      <c r="I53" s="217" t="s">
        <v>1568</v>
      </c>
      <c r="J53" s="217" t="s">
        <v>1569</v>
      </c>
      <c r="K53" s="217" t="s">
        <v>91</v>
      </c>
      <c r="L53" s="220">
        <v>57863012</v>
      </c>
      <c r="M53" s="206">
        <v>24529480</v>
      </c>
      <c r="N53" s="206">
        <v>33333532</v>
      </c>
      <c r="O53" s="206">
        <v>30093883</v>
      </c>
      <c r="P53" s="206">
        <v>4174665</v>
      </c>
      <c r="Q53" s="206">
        <v>4390397</v>
      </c>
      <c r="R53" s="206">
        <v>4613111</v>
      </c>
      <c r="S53" s="32">
        <v>0</v>
      </c>
      <c r="T53" s="32">
        <v>0</v>
      </c>
      <c r="U53" s="32">
        <v>0</v>
      </c>
      <c r="V53" s="266">
        <f t="shared" si="1"/>
        <v>50</v>
      </c>
      <c r="W53" s="90">
        <f t="shared" si="2"/>
        <v>0.5</v>
      </c>
      <c r="X53" s="32">
        <v>0</v>
      </c>
      <c r="Y53" s="32">
        <v>0</v>
      </c>
      <c r="Z53" s="267">
        <f t="shared" si="3"/>
        <v>0</v>
      </c>
      <c r="AA53" s="268">
        <f t="shared" si="4"/>
        <v>33.333333333333336</v>
      </c>
      <c r="AB53" s="90">
        <f t="shared" si="5"/>
        <v>0.33333333333333337</v>
      </c>
      <c r="AC53" s="32">
        <v>0</v>
      </c>
      <c r="AD53" s="32">
        <v>0</v>
      </c>
      <c r="AE53" s="252">
        <f t="shared" si="6"/>
        <v>25</v>
      </c>
      <c r="AF53" s="90">
        <f t="shared" si="7"/>
        <v>0.5</v>
      </c>
      <c r="AG53" s="32">
        <v>0</v>
      </c>
      <c r="AH53" s="247">
        <f t="shared" si="8"/>
        <v>25</v>
      </c>
      <c r="AI53" s="91">
        <f t="shared" si="9"/>
        <v>0.25</v>
      </c>
      <c r="AJ53" s="32"/>
      <c r="AK53" s="32">
        <v>0</v>
      </c>
      <c r="AL53" s="32">
        <v>0</v>
      </c>
      <c r="AM53" s="32">
        <v>0</v>
      </c>
      <c r="AN53" s="32">
        <v>0</v>
      </c>
      <c r="AO53" s="247">
        <f t="shared" si="0"/>
        <v>0</v>
      </c>
      <c r="AP53" s="247">
        <f t="shared" si="10"/>
        <v>25</v>
      </c>
      <c r="AQ53" s="90">
        <f t="shared" si="11"/>
        <v>0.5</v>
      </c>
      <c r="AR53" s="32">
        <v>0</v>
      </c>
      <c r="AS53" s="32">
        <v>0</v>
      </c>
      <c r="AT53" s="32">
        <v>0</v>
      </c>
      <c r="AU53" s="272" t="str">
        <f t="shared" si="12"/>
        <v>A</v>
      </c>
      <c r="AV53" s="247">
        <f t="shared" si="13"/>
        <v>100</v>
      </c>
      <c r="AW53" s="90">
        <f t="shared" si="14"/>
        <v>3</v>
      </c>
      <c r="AX53" s="163">
        <f t="shared" si="15"/>
        <v>5.0833333333333339</v>
      </c>
    </row>
    <row r="54" spans="1:50" x14ac:dyDescent="0.6">
      <c r="A54" s="214" t="s">
        <v>1570</v>
      </c>
      <c r="B54" s="13" t="s">
        <v>2031</v>
      </c>
      <c r="C54" s="219" t="s">
        <v>1571</v>
      </c>
      <c r="D54" s="14" t="s">
        <v>203</v>
      </c>
      <c r="E54" s="217" t="s">
        <v>1067</v>
      </c>
      <c r="F54" s="217" t="s">
        <v>1572</v>
      </c>
      <c r="G54" s="218">
        <v>28306</v>
      </c>
      <c r="H54" s="217" t="s">
        <v>830</v>
      </c>
      <c r="I54" s="217" t="s">
        <v>1573</v>
      </c>
      <c r="J54" s="217" t="s">
        <v>1574</v>
      </c>
      <c r="K54" s="217" t="s">
        <v>91</v>
      </c>
      <c r="L54" s="220">
        <v>342108581</v>
      </c>
      <c r="M54" s="206">
        <v>116198537</v>
      </c>
      <c r="N54" s="206">
        <v>225910045</v>
      </c>
      <c r="O54" s="206">
        <v>202589425</v>
      </c>
      <c r="P54" s="206">
        <v>26820420</v>
      </c>
      <c r="Q54" s="206">
        <v>25169767</v>
      </c>
      <c r="R54" s="206">
        <v>18699263</v>
      </c>
      <c r="S54" s="32">
        <v>0</v>
      </c>
      <c r="T54" s="32">
        <v>0</v>
      </c>
      <c r="U54" s="32">
        <v>0</v>
      </c>
      <c r="V54" s="266">
        <f t="shared" si="1"/>
        <v>50</v>
      </c>
      <c r="W54" s="90">
        <f t="shared" si="2"/>
        <v>0.5</v>
      </c>
      <c r="X54" s="32">
        <v>0</v>
      </c>
      <c r="Y54" s="32">
        <v>0</v>
      </c>
      <c r="Z54" s="267">
        <f t="shared" si="3"/>
        <v>0</v>
      </c>
      <c r="AA54" s="268">
        <f t="shared" si="4"/>
        <v>33.333333333333336</v>
      </c>
      <c r="AB54" s="90">
        <f t="shared" si="5"/>
        <v>0.33333333333333337</v>
      </c>
      <c r="AC54" s="32">
        <v>0</v>
      </c>
      <c r="AD54" s="32">
        <v>0</v>
      </c>
      <c r="AE54" s="252">
        <f t="shared" si="6"/>
        <v>25</v>
      </c>
      <c r="AF54" s="90">
        <f t="shared" si="7"/>
        <v>0.5</v>
      </c>
      <c r="AG54" s="32">
        <v>0</v>
      </c>
      <c r="AH54" s="247">
        <f t="shared" si="8"/>
        <v>25</v>
      </c>
      <c r="AI54" s="91">
        <f t="shared" si="9"/>
        <v>0.25</v>
      </c>
      <c r="AJ54" s="32"/>
      <c r="AK54" s="32">
        <v>1</v>
      </c>
      <c r="AL54" s="32">
        <v>0</v>
      </c>
      <c r="AM54" s="32">
        <v>0</v>
      </c>
      <c r="AN54" s="32">
        <v>0</v>
      </c>
      <c r="AO54" s="247">
        <f t="shared" si="0"/>
        <v>1</v>
      </c>
      <c r="AP54" s="247">
        <f t="shared" si="10"/>
        <v>50</v>
      </c>
      <c r="AQ54" s="90">
        <f t="shared" si="11"/>
        <v>1</v>
      </c>
      <c r="AR54" s="32">
        <v>0</v>
      </c>
      <c r="AS54" s="32">
        <v>0</v>
      </c>
      <c r="AT54" s="32">
        <v>0</v>
      </c>
      <c r="AU54" s="272" t="str">
        <f t="shared" si="12"/>
        <v>A</v>
      </c>
      <c r="AV54" s="247">
        <f t="shared" si="13"/>
        <v>100</v>
      </c>
      <c r="AW54" s="90">
        <f t="shared" si="14"/>
        <v>3</v>
      </c>
      <c r="AX54" s="163">
        <f t="shared" si="15"/>
        <v>5.5833333333333339</v>
      </c>
    </row>
    <row r="55" spans="1:50" x14ac:dyDescent="0.6">
      <c r="A55" s="214" t="s">
        <v>464</v>
      </c>
      <c r="B55" s="13" t="s">
        <v>2032</v>
      </c>
      <c r="C55" s="219" t="s">
        <v>314</v>
      </c>
      <c r="D55" s="216" t="s">
        <v>285</v>
      </c>
      <c r="E55" s="217" t="s">
        <v>978</v>
      </c>
      <c r="F55" s="217" t="s">
        <v>332</v>
      </c>
      <c r="G55" s="218">
        <v>42867</v>
      </c>
      <c r="H55" s="217" t="s">
        <v>830</v>
      </c>
      <c r="I55" s="217" t="s">
        <v>206</v>
      </c>
      <c r="J55" s="217" t="s">
        <v>1023</v>
      </c>
      <c r="K55" s="217" t="s">
        <v>407</v>
      </c>
      <c r="L55" s="220">
        <v>1064615087</v>
      </c>
      <c r="M55" s="206">
        <v>672093137</v>
      </c>
      <c r="N55" s="206">
        <v>392521950</v>
      </c>
      <c r="O55" s="206">
        <v>2304288140</v>
      </c>
      <c r="P55" s="206">
        <v>25053659</v>
      </c>
      <c r="Q55" s="206">
        <v>30627192</v>
      </c>
      <c r="R55" s="206">
        <v>23488574</v>
      </c>
      <c r="S55" s="32">
        <v>0</v>
      </c>
      <c r="T55" s="32">
        <v>0</v>
      </c>
      <c r="U55" s="32">
        <v>1</v>
      </c>
      <c r="V55" s="266">
        <f t="shared" si="1"/>
        <v>100</v>
      </c>
      <c r="W55" s="90">
        <f t="shared" si="2"/>
        <v>1</v>
      </c>
      <c r="X55" s="32">
        <v>0</v>
      </c>
      <c r="Y55" s="32">
        <v>0</v>
      </c>
      <c r="Z55" s="267">
        <f t="shared" si="3"/>
        <v>0</v>
      </c>
      <c r="AA55" s="268">
        <f t="shared" si="4"/>
        <v>33.333333333333336</v>
      </c>
      <c r="AB55" s="90">
        <f t="shared" si="5"/>
        <v>0.33333333333333337</v>
      </c>
      <c r="AC55" s="32">
        <v>0</v>
      </c>
      <c r="AD55" s="32">
        <v>1</v>
      </c>
      <c r="AE55" s="252">
        <f t="shared" si="6"/>
        <v>75</v>
      </c>
      <c r="AF55" s="90">
        <f t="shared" si="7"/>
        <v>1.5</v>
      </c>
      <c r="AG55" s="32">
        <v>0</v>
      </c>
      <c r="AH55" s="247">
        <f t="shared" si="8"/>
        <v>25</v>
      </c>
      <c r="AI55" s="91">
        <f t="shared" si="9"/>
        <v>0.25</v>
      </c>
      <c r="AJ55" s="32"/>
      <c r="AK55" s="32">
        <v>0</v>
      </c>
      <c r="AL55" s="32">
        <v>0</v>
      </c>
      <c r="AM55" s="32">
        <v>0</v>
      </c>
      <c r="AN55" s="32">
        <v>0</v>
      </c>
      <c r="AO55" s="247">
        <f t="shared" si="0"/>
        <v>0</v>
      </c>
      <c r="AP55" s="247">
        <f t="shared" si="10"/>
        <v>25</v>
      </c>
      <c r="AQ55" s="90">
        <f t="shared" si="11"/>
        <v>0.5</v>
      </c>
      <c r="AR55" s="32">
        <v>0</v>
      </c>
      <c r="AS55" s="32">
        <v>1</v>
      </c>
      <c r="AT55" s="32">
        <v>0</v>
      </c>
      <c r="AU55" s="272" t="str">
        <f t="shared" si="12"/>
        <v>C</v>
      </c>
      <c r="AV55" s="247">
        <f t="shared" si="13"/>
        <v>50</v>
      </c>
      <c r="AW55" s="90">
        <f t="shared" si="14"/>
        <v>1.5</v>
      </c>
      <c r="AX55" s="163">
        <f t="shared" si="15"/>
        <v>5.0833333333333339</v>
      </c>
    </row>
    <row r="56" spans="1:50" x14ac:dyDescent="0.6">
      <c r="A56" s="214" t="s">
        <v>489</v>
      </c>
      <c r="B56" s="13" t="s">
        <v>2033</v>
      </c>
      <c r="C56" s="219" t="s">
        <v>474</v>
      </c>
      <c r="D56" s="216" t="s">
        <v>285</v>
      </c>
      <c r="E56" s="217" t="s">
        <v>867</v>
      </c>
      <c r="F56" s="217" t="s">
        <v>1225</v>
      </c>
      <c r="G56" s="218">
        <v>35094</v>
      </c>
      <c r="H56" s="217" t="s">
        <v>830</v>
      </c>
      <c r="I56" s="217" t="s">
        <v>1575</v>
      </c>
      <c r="J56" s="217" t="s">
        <v>1065</v>
      </c>
      <c r="K56" s="217" t="s">
        <v>934</v>
      </c>
      <c r="L56" s="220">
        <v>1800240035</v>
      </c>
      <c r="M56" s="206">
        <v>1098232792</v>
      </c>
      <c r="N56" s="206">
        <v>702007244</v>
      </c>
      <c r="O56" s="206">
        <v>2052333741</v>
      </c>
      <c r="P56" s="206">
        <v>96367097</v>
      </c>
      <c r="Q56" s="206">
        <v>87514929</v>
      </c>
      <c r="R56" s="206">
        <v>58220411</v>
      </c>
      <c r="S56" s="32">
        <v>0</v>
      </c>
      <c r="T56" s="32">
        <v>0</v>
      </c>
      <c r="U56" s="32">
        <v>0</v>
      </c>
      <c r="V56" s="266">
        <f t="shared" si="1"/>
        <v>50</v>
      </c>
      <c r="W56" s="90">
        <f t="shared" si="2"/>
        <v>0.5</v>
      </c>
      <c r="X56" s="32">
        <v>1</v>
      </c>
      <c r="Y56" s="32">
        <v>0</v>
      </c>
      <c r="Z56" s="267">
        <f t="shared" si="3"/>
        <v>1</v>
      </c>
      <c r="AA56" s="268">
        <f t="shared" si="4"/>
        <v>66.666666666666671</v>
      </c>
      <c r="AB56" s="90">
        <f t="shared" si="5"/>
        <v>0.66666666666666674</v>
      </c>
      <c r="AC56" s="32">
        <v>0</v>
      </c>
      <c r="AD56" s="32">
        <v>1</v>
      </c>
      <c r="AE56" s="252">
        <f t="shared" si="6"/>
        <v>75</v>
      </c>
      <c r="AF56" s="90">
        <f t="shared" si="7"/>
        <v>1.5</v>
      </c>
      <c r="AG56" s="32">
        <v>0</v>
      </c>
      <c r="AH56" s="247">
        <f t="shared" si="8"/>
        <v>25</v>
      </c>
      <c r="AI56" s="91">
        <f t="shared" si="9"/>
        <v>0.25</v>
      </c>
      <c r="AJ56" s="32"/>
      <c r="AK56" s="32">
        <v>0</v>
      </c>
      <c r="AL56" s="32">
        <v>0</v>
      </c>
      <c r="AM56" s="32">
        <v>0</v>
      </c>
      <c r="AN56" s="32">
        <v>0</v>
      </c>
      <c r="AO56" s="247">
        <f t="shared" si="0"/>
        <v>0</v>
      </c>
      <c r="AP56" s="247">
        <f t="shared" si="10"/>
        <v>25</v>
      </c>
      <c r="AQ56" s="90">
        <f t="shared" si="11"/>
        <v>0.5</v>
      </c>
      <c r="AR56" s="32">
        <v>0</v>
      </c>
      <c r="AS56" s="32">
        <v>0</v>
      </c>
      <c r="AT56" s="32">
        <v>0</v>
      </c>
      <c r="AU56" s="272" t="str">
        <f t="shared" si="12"/>
        <v>A</v>
      </c>
      <c r="AV56" s="247">
        <f t="shared" si="13"/>
        <v>100</v>
      </c>
      <c r="AW56" s="90">
        <f t="shared" si="14"/>
        <v>3</v>
      </c>
      <c r="AX56" s="163">
        <f t="shared" si="15"/>
        <v>6.416666666666667</v>
      </c>
    </row>
    <row r="57" spans="1:50" x14ac:dyDescent="0.6">
      <c r="A57" s="214" t="s">
        <v>5</v>
      </c>
      <c r="B57" s="13" t="s">
        <v>2034</v>
      </c>
      <c r="C57" s="219" t="s">
        <v>514</v>
      </c>
      <c r="D57" s="216" t="s">
        <v>191</v>
      </c>
      <c r="E57" s="217" t="s">
        <v>1020</v>
      </c>
      <c r="F57" s="217" t="s">
        <v>1078</v>
      </c>
      <c r="G57" s="218">
        <v>33252</v>
      </c>
      <c r="H57" s="217" t="s">
        <v>830</v>
      </c>
      <c r="I57" s="217" t="s">
        <v>994</v>
      </c>
      <c r="J57" s="217" t="s">
        <v>1021</v>
      </c>
      <c r="K57" s="217" t="s">
        <v>484</v>
      </c>
      <c r="L57" s="220">
        <v>252929703</v>
      </c>
      <c r="M57" s="206">
        <v>156846243</v>
      </c>
      <c r="N57" s="206">
        <v>96083460</v>
      </c>
      <c r="O57" s="206">
        <v>272260521</v>
      </c>
      <c r="P57" s="206">
        <v>5775173</v>
      </c>
      <c r="Q57" s="206">
        <v>1931650</v>
      </c>
      <c r="R57" s="206">
        <v>1853171</v>
      </c>
      <c r="S57" s="32">
        <v>0</v>
      </c>
      <c r="T57" s="32">
        <v>0</v>
      </c>
      <c r="U57" s="32">
        <v>0</v>
      </c>
      <c r="V57" s="266">
        <f t="shared" si="1"/>
        <v>50</v>
      </c>
      <c r="W57" s="90">
        <f t="shared" si="2"/>
        <v>0.5</v>
      </c>
      <c r="X57" s="32">
        <v>0</v>
      </c>
      <c r="Y57" s="32">
        <v>0</v>
      </c>
      <c r="Z57" s="267">
        <f t="shared" si="3"/>
        <v>0</v>
      </c>
      <c r="AA57" s="268">
        <f t="shared" si="4"/>
        <v>33.333333333333336</v>
      </c>
      <c r="AB57" s="90">
        <f t="shared" si="5"/>
        <v>0.33333333333333337</v>
      </c>
      <c r="AC57" s="32">
        <v>0</v>
      </c>
      <c r="AD57" s="32">
        <v>0</v>
      </c>
      <c r="AE57" s="252">
        <f t="shared" si="6"/>
        <v>25</v>
      </c>
      <c r="AF57" s="90">
        <f t="shared" si="7"/>
        <v>0.5</v>
      </c>
      <c r="AG57" s="32">
        <v>0</v>
      </c>
      <c r="AH57" s="247">
        <f t="shared" si="8"/>
        <v>25</v>
      </c>
      <c r="AI57" s="91">
        <f t="shared" si="9"/>
        <v>0.25</v>
      </c>
      <c r="AJ57" s="32"/>
      <c r="AK57" s="32">
        <v>0</v>
      </c>
      <c r="AL57" s="32">
        <v>0</v>
      </c>
      <c r="AM57" s="32">
        <v>0</v>
      </c>
      <c r="AN57" s="32">
        <v>0</v>
      </c>
      <c r="AO57" s="247">
        <f t="shared" si="0"/>
        <v>0</v>
      </c>
      <c r="AP57" s="247">
        <f t="shared" si="10"/>
        <v>25</v>
      </c>
      <c r="AQ57" s="90">
        <f t="shared" si="11"/>
        <v>0.5</v>
      </c>
      <c r="AR57" s="32">
        <v>0</v>
      </c>
      <c r="AS57" s="32">
        <v>0</v>
      </c>
      <c r="AT57" s="32">
        <v>0</v>
      </c>
      <c r="AU57" s="272" t="str">
        <f t="shared" si="12"/>
        <v>A</v>
      </c>
      <c r="AV57" s="247">
        <f t="shared" si="13"/>
        <v>100</v>
      </c>
      <c r="AW57" s="90">
        <f t="shared" si="14"/>
        <v>3</v>
      </c>
      <c r="AX57" s="163">
        <f t="shared" si="15"/>
        <v>5.0833333333333339</v>
      </c>
    </row>
    <row r="58" spans="1:50" x14ac:dyDescent="0.6">
      <c r="A58" s="214" t="s">
        <v>896</v>
      </c>
      <c r="B58" s="13" t="s">
        <v>2035</v>
      </c>
      <c r="C58" s="219" t="s">
        <v>501</v>
      </c>
      <c r="D58" s="216" t="s">
        <v>203</v>
      </c>
      <c r="E58" s="217" t="s">
        <v>200</v>
      </c>
      <c r="F58" s="217" t="s">
        <v>173</v>
      </c>
      <c r="G58" s="218">
        <v>33082</v>
      </c>
      <c r="H58" s="217" t="s">
        <v>830</v>
      </c>
      <c r="I58" s="217" t="s">
        <v>1576</v>
      </c>
      <c r="J58" s="217" t="s">
        <v>1237</v>
      </c>
      <c r="K58" s="217" t="s">
        <v>91</v>
      </c>
      <c r="L58" s="220">
        <v>10091235345</v>
      </c>
      <c r="M58" s="206">
        <v>1690777750</v>
      </c>
      <c r="N58" s="206">
        <v>8400457595</v>
      </c>
      <c r="O58" s="206">
        <v>8081377635</v>
      </c>
      <c r="P58" s="206">
        <v>931364084</v>
      </c>
      <c r="Q58" s="206">
        <v>876898600</v>
      </c>
      <c r="R58" s="206">
        <v>656193706</v>
      </c>
      <c r="S58" s="32">
        <v>0</v>
      </c>
      <c r="T58" s="32">
        <v>1</v>
      </c>
      <c r="U58" s="32">
        <v>0</v>
      </c>
      <c r="V58" s="266">
        <f t="shared" si="1"/>
        <v>100</v>
      </c>
      <c r="W58" s="90">
        <f t="shared" si="2"/>
        <v>1</v>
      </c>
      <c r="X58" s="32">
        <v>0</v>
      </c>
      <c r="Y58" s="32">
        <v>0</v>
      </c>
      <c r="Z58" s="267">
        <f t="shared" si="3"/>
        <v>0</v>
      </c>
      <c r="AA58" s="268">
        <f t="shared" si="4"/>
        <v>33.333333333333336</v>
      </c>
      <c r="AB58" s="90">
        <f t="shared" si="5"/>
        <v>0.33333333333333337</v>
      </c>
      <c r="AC58" s="32">
        <v>0</v>
      </c>
      <c r="AD58" s="32">
        <v>1</v>
      </c>
      <c r="AE58" s="252">
        <f t="shared" si="6"/>
        <v>75</v>
      </c>
      <c r="AF58" s="90">
        <f t="shared" si="7"/>
        <v>1.5</v>
      </c>
      <c r="AG58" s="32">
        <v>0</v>
      </c>
      <c r="AH58" s="247">
        <f t="shared" si="8"/>
        <v>25</v>
      </c>
      <c r="AI58" s="91">
        <f t="shared" si="9"/>
        <v>0.25</v>
      </c>
      <c r="AJ58" s="32"/>
      <c r="AK58" s="32">
        <v>1</v>
      </c>
      <c r="AL58" s="32">
        <v>0</v>
      </c>
      <c r="AM58" s="32">
        <v>0</v>
      </c>
      <c r="AN58" s="32">
        <v>0</v>
      </c>
      <c r="AO58" s="247">
        <f t="shared" si="0"/>
        <v>1</v>
      </c>
      <c r="AP58" s="247">
        <f t="shared" si="10"/>
        <v>50</v>
      </c>
      <c r="AQ58" s="90">
        <f t="shared" si="11"/>
        <v>1</v>
      </c>
      <c r="AR58" s="32">
        <v>0</v>
      </c>
      <c r="AS58" s="32">
        <v>0</v>
      </c>
      <c r="AT58" s="32">
        <v>0</v>
      </c>
      <c r="AU58" s="272" t="str">
        <f t="shared" si="12"/>
        <v>A</v>
      </c>
      <c r="AV58" s="247">
        <f t="shared" si="13"/>
        <v>100</v>
      </c>
      <c r="AW58" s="90">
        <f t="shared" si="14"/>
        <v>3</v>
      </c>
      <c r="AX58" s="163">
        <f t="shared" si="15"/>
        <v>7.0833333333333339</v>
      </c>
    </row>
    <row r="59" spans="1:50" x14ac:dyDescent="0.6">
      <c r="A59" s="214" t="s">
        <v>520</v>
      </c>
      <c r="B59" s="13" t="s">
        <v>2036</v>
      </c>
      <c r="C59" s="219" t="s">
        <v>401</v>
      </c>
      <c r="D59" s="216" t="s">
        <v>203</v>
      </c>
      <c r="E59" s="217" t="s">
        <v>195</v>
      </c>
      <c r="F59" s="217" t="s">
        <v>636</v>
      </c>
      <c r="G59" s="218">
        <v>27905</v>
      </c>
      <c r="H59" s="217" t="s">
        <v>830</v>
      </c>
      <c r="I59" s="217" t="s">
        <v>591</v>
      </c>
      <c r="J59" s="217" t="s">
        <v>1028</v>
      </c>
      <c r="K59" s="217" t="s">
        <v>484</v>
      </c>
      <c r="L59" s="220">
        <v>1426860291</v>
      </c>
      <c r="M59" s="206">
        <v>243570816</v>
      </c>
      <c r="N59" s="206">
        <v>1183289475</v>
      </c>
      <c r="O59" s="206">
        <v>559167200</v>
      </c>
      <c r="P59" s="206">
        <v>43001257</v>
      </c>
      <c r="Q59" s="206">
        <v>60233515</v>
      </c>
      <c r="R59" s="206">
        <v>45128788</v>
      </c>
      <c r="S59" s="32">
        <v>0</v>
      </c>
      <c r="T59" s="32">
        <v>0</v>
      </c>
      <c r="U59" s="32">
        <v>0</v>
      </c>
      <c r="V59" s="266">
        <f t="shared" si="1"/>
        <v>50</v>
      </c>
      <c r="W59" s="90">
        <f t="shared" si="2"/>
        <v>0.5</v>
      </c>
      <c r="X59" s="32">
        <v>0</v>
      </c>
      <c r="Y59" s="32">
        <v>0</v>
      </c>
      <c r="Z59" s="267">
        <f t="shared" si="3"/>
        <v>0</v>
      </c>
      <c r="AA59" s="268">
        <f t="shared" si="4"/>
        <v>33.333333333333336</v>
      </c>
      <c r="AB59" s="90">
        <f t="shared" si="5"/>
        <v>0.33333333333333337</v>
      </c>
      <c r="AC59" s="32">
        <v>0</v>
      </c>
      <c r="AD59" s="32">
        <v>0</v>
      </c>
      <c r="AE59" s="252">
        <f t="shared" si="6"/>
        <v>25</v>
      </c>
      <c r="AF59" s="90">
        <f t="shared" si="7"/>
        <v>0.5</v>
      </c>
      <c r="AG59" s="32">
        <v>0</v>
      </c>
      <c r="AH59" s="247">
        <f t="shared" si="8"/>
        <v>25</v>
      </c>
      <c r="AI59" s="91">
        <f t="shared" si="9"/>
        <v>0.25</v>
      </c>
      <c r="AJ59" s="32"/>
      <c r="AK59" s="32">
        <v>1</v>
      </c>
      <c r="AL59" s="32">
        <v>1</v>
      </c>
      <c r="AM59" s="32">
        <v>0</v>
      </c>
      <c r="AN59" s="32">
        <v>0</v>
      </c>
      <c r="AO59" s="247">
        <f t="shared" si="0"/>
        <v>2</v>
      </c>
      <c r="AP59" s="247">
        <f t="shared" si="10"/>
        <v>75</v>
      </c>
      <c r="AQ59" s="90">
        <f t="shared" si="11"/>
        <v>1.5</v>
      </c>
      <c r="AR59" s="32">
        <v>0</v>
      </c>
      <c r="AS59" s="32">
        <v>0</v>
      </c>
      <c r="AT59" s="32">
        <v>0</v>
      </c>
      <c r="AU59" s="272" t="str">
        <f t="shared" si="12"/>
        <v>A</v>
      </c>
      <c r="AV59" s="247">
        <f t="shared" si="13"/>
        <v>100</v>
      </c>
      <c r="AW59" s="90">
        <f t="shared" si="14"/>
        <v>3</v>
      </c>
      <c r="AX59" s="163">
        <f t="shared" si="15"/>
        <v>6.0833333333333339</v>
      </c>
    </row>
    <row r="60" spans="1:50" x14ac:dyDescent="0.6">
      <c r="A60" s="214" t="s">
        <v>549</v>
      </c>
      <c r="B60" s="13" t="s">
        <v>2037</v>
      </c>
      <c r="C60" s="219" t="s">
        <v>365</v>
      </c>
      <c r="D60" s="216" t="s">
        <v>191</v>
      </c>
      <c r="E60" s="217" t="s">
        <v>34</v>
      </c>
      <c r="F60" s="217" t="s">
        <v>566</v>
      </c>
      <c r="G60" s="218">
        <v>32829</v>
      </c>
      <c r="H60" s="217" t="s">
        <v>830</v>
      </c>
      <c r="I60" s="217" t="s">
        <v>693</v>
      </c>
      <c r="J60" s="217" t="s">
        <v>974</v>
      </c>
      <c r="K60" s="217" t="s">
        <v>91</v>
      </c>
      <c r="L60" s="220">
        <v>767629606</v>
      </c>
      <c r="M60" s="206">
        <v>261642769</v>
      </c>
      <c r="N60" s="206">
        <v>505986838</v>
      </c>
      <c r="O60" s="206">
        <v>850526444</v>
      </c>
      <c r="P60" s="206">
        <v>33566313</v>
      </c>
      <c r="Q60" s="206">
        <v>31909767</v>
      </c>
      <c r="R60" s="206">
        <v>23739402</v>
      </c>
      <c r="S60" s="32">
        <v>0</v>
      </c>
      <c r="T60" s="32">
        <v>0</v>
      </c>
      <c r="U60" s="32">
        <v>0</v>
      </c>
      <c r="V60" s="266">
        <f t="shared" si="1"/>
        <v>50</v>
      </c>
      <c r="W60" s="90">
        <f t="shared" si="2"/>
        <v>0.5</v>
      </c>
      <c r="X60" s="32">
        <v>0</v>
      </c>
      <c r="Y60" s="32">
        <v>0</v>
      </c>
      <c r="Z60" s="267">
        <f t="shared" si="3"/>
        <v>0</v>
      </c>
      <c r="AA60" s="268">
        <f t="shared" si="4"/>
        <v>33.333333333333336</v>
      </c>
      <c r="AB60" s="90">
        <f t="shared" si="5"/>
        <v>0.33333333333333337</v>
      </c>
      <c r="AC60" s="32">
        <v>0</v>
      </c>
      <c r="AD60" s="32">
        <v>0</v>
      </c>
      <c r="AE60" s="252">
        <f t="shared" si="6"/>
        <v>25</v>
      </c>
      <c r="AF60" s="90">
        <f t="shared" si="7"/>
        <v>0.5</v>
      </c>
      <c r="AG60" s="32">
        <v>0</v>
      </c>
      <c r="AH60" s="247">
        <f t="shared" si="8"/>
        <v>25</v>
      </c>
      <c r="AI60" s="91">
        <f t="shared" si="9"/>
        <v>0.25</v>
      </c>
      <c r="AJ60" s="32"/>
      <c r="AK60" s="32">
        <v>0</v>
      </c>
      <c r="AL60" s="32">
        <v>0</v>
      </c>
      <c r="AM60" s="32">
        <v>0</v>
      </c>
      <c r="AN60" s="32">
        <v>0</v>
      </c>
      <c r="AO60" s="247">
        <f t="shared" si="0"/>
        <v>0</v>
      </c>
      <c r="AP60" s="247">
        <f t="shared" si="10"/>
        <v>25</v>
      </c>
      <c r="AQ60" s="90">
        <f t="shared" si="11"/>
        <v>0.5</v>
      </c>
      <c r="AR60" s="32">
        <v>0</v>
      </c>
      <c r="AS60" s="32">
        <v>0</v>
      </c>
      <c r="AT60" s="32">
        <v>0</v>
      </c>
      <c r="AU60" s="272" t="str">
        <f t="shared" si="12"/>
        <v>A</v>
      </c>
      <c r="AV60" s="247">
        <f t="shared" si="13"/>
        <v>100</v>
      </c>
      <c r="AW60" s="90">
        <f t="shared" si="14"/>
        <v>3</v>
      </c>
      <c r="AX60" s="163">
        <f t="shared" si="15"/>
        <v>5.0833333333333339</v>
      </c>
    </row>
    <row r="61" spans="1:50" x14ac:dyDescent="0.6">
      <c r="A61" s="214" t="s">
        <v>1577</v>
      </c>
      <c r="B61" s="13" t="s">
        <v>2038</v>
      </c>
      <c r="C61" s="219" t="s">
        <v>101</v>
      </c>
      <c r="D61" s="216" t="s">
        <v>202</v>
      </c>
      <c r="E61" s="217" t="s">
        <v>382</v>
      </c>
      <c r="F61" s="217" t="s">
        <v>127</v>
      </c>
      <c r="G61" s="218">
        <v>33130</v>
      </c>
      <c r="H61" s="217" t="s">
        <v>830</v>
      </c>
      <c r="I61" s="217" t="s">
        <v>369</v>
      </c>
      <c r="J61" s="217" t="s">
        <v>1032</v>
      </c>
      <c r="K61" s="217" t="s">
        <v>690</v>
      </c>
      <c r="L61" s="220">
        <v>153664335</v>
      </c>
      <c r="M61" s="206">
        <v>48649816</v>
      </c>
      <c r="N61" s="206">
        <v>105014518</v>
      </c>
      <c r="O61" s="206">
        <v>130228176</v>
      </c>
      <c r="P61" s="206">
        <v>4340165</v>
      </c>
      <c r="Q61" s="206">
        <v>4654301</v>
      </c>
      <c r="R61" s="206">
        <v>4153557</v>
      </c>
      <c r="S61" s="32">
        <v>0</v>
      </c>
      <c r="T61" s="32">
        <v>1</v>
      </c>
      <c r="U61" s="32">
        <v>0</v>
      </c>
      <c r="V61" s="266">
        <f t="shared" si="1"/>
        <v>100</v>
      </c>
      <c r="W61" s="90">
        <f t="shared" si="2"/>
        <v>1</v>
      </c>
      <c r="X61" s="32">
        <v>0</v>
      </c>
      <c r="Y61" s="32">
        <v>0</v>
      </c>
      <c r="Z61" s="267">
        <f t="shared" si="3"/>
        <v>0</v>
      </c>
      <c r="AA61" s="268">
        <f t="shared" si="4"/>
        <v>33.333333333333336</v>
      </c>
      <c r="AB61" s="90">
        <f t="shared" si="5"/>
        <v>0.33333333333333337</v>
      </c>
      <c r="AC61" s="32">
        <v>0</v>
      </c>
      <c r="AD61" s="32">
        <v>1</v>
      </c>
      <c r="AE61" s="252">
        <f t="shared" si="6"/>
        <v>75</v>
      </c>
      <c r="AF61" s="90">
        <f t="shared" si="7"/>
        <v>1.5</v>
      </c>
      <c r="AG61" s="32">
        <v>0</v>
      </c>
      <c r="AH61" s="247">
        <f t="shared" si="8"/>
        <v>25</v>
      </c>
      <c r="AI61" s="91">
        <f t="shared" si="9"/>
        <v>0.25</v>
      </c>
      <c r="AJ61" s="32"/>
      <c r="AK61" s="32">
        <v>0</v>
      </c>
      <c r="AL61" s="32">
        <v>1</v>
      </c>
      <c r="AM61" s="32">
        <v>0</v>
      </c>
      <c r="AN61" s="32">
        <v>0</v>
      </c>
      <c r="AO61" s="247">
        <f t="shared" si="0"/>
        <v>1</v>
      </c>
      <c r="AP61" s="247">
        <f t="shared" si="10"/>
        <v>50</v>
      </c>
      <c r="AQ61" s="90">
        <f t="shared" si="11"/>
        <v>1</v>
      </c>
      <c r="AR61" s="32">
        <v>0</v>
      </c>
      <c r="AS61" s="32">
        <v>0</v>
      </c>
      <c r="AT61" s="32">
        <v>0</v>
      </c>
      <c r="AU61" s="272" t="str">
        <f t="shared" si="12"/>
        <v>A</v>
      </c>
      <c r="AV61" s="247">
        <f t="shared" si="13"/>
        <v>100</v>
      </c>
      <c r="AW61" s="90">
        <f t="shared" si="14"/>
        <v>3</v>
      </c>
      <c r="AX61" s="163">
        <f t="shared" si="15"/>
        <v>7.0833333333333339</v>
      </c>
    </row>
    <row r="62" spans="1:50" x14ac:dyDescent="0.6">
      <c r="A62" s="214" t="s">
        <v>353</v>
      </c>
      <c r="B62" s="13" t="s">
        <v>2039</v>
      </c>
      <c r="C62" s="219" t="s">
        <v>492</v>
      </c>
      <c r="D62" s="216" t="s">
        <v>285</v>
      </c>
      <c r="E62" s="217" t="s">
        <v>504</v>
      </c>
      <c r="F62" s="217" t="s">
        <v>713</v>
      </c>
      <c r="G62" s="218">
        <v>37294</v>
      </c>
      <c r="H62" s="217" t="s">
        <v>830</v>
      </c>
      <c r="I62" s="217" t="s">
        <v>727</v>
      </c>
      <c r="J62" s="217" t="s">
        <v>1250</v>
      </c>
      <c r="K62" s="217" t="s">
        <v>487</v>
      </c>
      <c r="L62" s="220">
        <v>913454051</v>
      </c>
      <c r="M62" s="206">
        <v>123544315</v>
      </c>
      <c r="N62" s="206">
        <v>789909736</v>
      </c>
      <c r="O62" s="206">
        <v>184873955</v>
      </c>
      <c r="P62" s="206">
        <v>65584851</v>
      </c>
      <c r="Q62" s="206">
        <v>76860200</v>
      </c>
      <c r="R62" s="206">
        <v>56946615</v>
      </c>
      <c r="S62" s="32">
        <v>0</v>
      </c>
      <c r="T62" s="32">
        <v>0</v>
      </c>
      <c r="U62" s="32">
        <v>0</v>
      </c>
      <c r="V62" s="266">
        <f t="shared" si="1"/>
        <v>50</v>
      </c>
      <c r="W62" s="90">
        <f t="shared" si="2"/>
        <v>0.5</v>
      </c>
      <c r="X62" s="32">
        <v>0</v>
      </c>
      <c r="Y62" s="32">
        <v>0</v>
      </c>
      <c r="Z62" s="267">
        <f t="shared" si="3"/>
        <v>0</v>
      </c>
      <c r="AA62" s="268">
        <f t="shared" si="4"/>
        <v>33.333333333333336</v>
      </c>
      <c r="AB62" s="90">
        <f t="shared" si="5"/>
        <v>0.33333333333333337</v>
      </c>
      <c r="AC62" s="32">
        <v>0</v>
      </c>
      <c r="AD62" s="32">
        <v>0</v>
      </c>
      <c r="AE62" s="252">
        <f t="shared" si="6"/>
        <v>25</v>
      </c>
      <c r="AF62" s="90">
        <f t="shared" si="7"/>
        <v>0.5</v>
      </c>
      <c r="AG62" s="32">
        <v>0</v>
      </c>
      <c r="AH62" s="247">
        <f t="shared" si="8"/>
        <v>25</v>
      </c>
      <c r="AI62" s="91">
        <f t="shared" si="9"/>
        <v>0.25</v>
      </c>
      <c r="AJ62" s="32"/>
      <c r="AK62" s="32">
        <v>0</v>
      </c>
      <c r="AL62" s="32">
        <v>0</v>
      </c>
      <c r="AM62" s="32">
        <v>0</v>
      </c>
      <c r="AN62" s="32">
        <v>0</v>
      </c>
      <c r="AO62" s="247">
        <f t="shared" si="0"/>
        <v>0</v>
      </c>
      <c r="AP62" s="247">
        <f t="shared" si="10"/>
        <v>25</v>
      </c>
      <c r="AQ62" s="90">
        <f t="shared" si="11"/>
        <v>0.5</v>
      </c>
      <c r="AR62" s="32">
        <v>0</v>
      </c>
      <c r="AS62" s="32">
        <v>0</v>
      </c>
      <c r="AT62" s="32">
        <v>0</v>
      </c>
      <c r="AU62" s="272" t="str">
        <f t="shared" si="12"/>
        <v>A</v>
      </c>
      <c r="AV62" s="247">
        <f t="shared" si="13"/>
        <v>100</v>
      </c>
      <c r="AW62" s="90">
        <f t="shared" si="14"/>
        <v>3</v>
      </c>
      <c r="AX62" s="163">
        <f t="shared" si="15"/>
        <v>5.0833333333333339</v>
      </c>
    </row>
    <row r="63" spans="1:50" x14ac:dyDescent="0.6">
      <c r="A63" s="214" t="s">
        <v>1578</v>
      </c>
      <c r="B63" s="13" t="s">
        <v>2040</v>
      </c>
      <c r="C63" s="219" t="s">
        <v>1579</v>
      </c>
      <c r="D63" s="79" t="s">
        <v>350</v>
      </c>
      <c r="E63" s="217" t="s">
        <v>179</v>
      </c>
      <c r="F63" s="217" t="s">
        <v>992</v>
      </c>
      <c r="G63" s="218">
        <v>37455</v>
      </c>
      <c r="H63" s="217" t="s">
        <v>830</v>
      </c>
      <c r="I63" s="217" t="s">
        <v>1580</v>
      </c>
      <c r="J63" s="217" t="s">
        <v>1581</v>
      </c>
      <c r="K63" s="217" t="s">
        <v>91</v>
      </c>
      <c r="L63" s="220">
        <v>12149139534</v>
      </c>
      <c r="M63" s="206">
        <v>10584274049</v>
      </c>
      <c r="N63" s="206">
        <v>1564865485</v>
      </c>
      <c r="O63" s="206">
        <v>4036211805</v>
      </c>
      <c r="P63" s="206">
        <v>90025670</v>
      </c>
      <c r="Q63" s="206">
        <v>63262018</v>
      </c>
      <c r="R63" s="206">
        <v>44599774</v>
      </c>
      <c r="S63" s="32">
        <v>0</v>
      </c>
      <c r="T63" s="32">
        <v>0</v>
      </c>
      <c r="U63" s="32">
        <v>0</v>
      </c>
      <c r="V63" s="266">
        <f t="shared" si="1"/>
        <v>50</v>
      </c>
      <c r="W63" s="90">
        <f t="shared" si="2"/>
        <v>0.5</v>
      </c>
      <c r="X63" s="32">
        <v>0</v>
      </c>
      <c r="Y63" s="32">
        <v>0</v>
      </c>
      <c r="Z63" s="267">
        <f t="shared" si="3"/>
        <v>0</v>
      </c>
      <c r="AA63" s="268">
        <f t="shared" si="4"/>
        <v>33.333333333333336</v>
      </c>
      <c r="AB63" s="90">
        <f t="shared" si="5"/>
        <v>0.33333333333333337</v>
      </c>
      <c r="AC63" s="32">
        <v>0</v>
      </c>
      <c r="AD63" s="32">
        <v>1</v>
      </c>
      <c r="AE63" s="252">
        <f t="shared" si="6"/>
        <v>75</v>
      </c>
      <c r="AF63" s="90">
        <f t="shared" si="7"/>
        <v>1.5</v>
      </c>
      <c r="AG63" s="32">
        <v>0</v>
      </c>
      <c r="AH63" s="247">
        <f t="shared" si="8"/>
        <v>25</v>
      </c>
      <c r="AI63" s="91">
        <f t="shared" si="9"/>
        <v>0.25</v>
      </c>
      <c r="AJ63" s="32"/>
      <c r="AK63" s="32">
        <v>0</v>
      </c>
      <c r="AL63" s="32">
        <v>0</v>
      </c>
      <c r="AM63" s="32">
        <v>0</v>
      </c>
      <c r="AN63" s="32">
        <v>0</v>
      </c>
      <c r="AO63" s="247">
        <f t="shared" si="0"/>
        <v>0</v>
      </c>
      <c r="AP63" s="247">
        <f t="shared" si="10"/>
        <v>25</v>
      </c>
      <c r="AQ63" s="90">
        <f t="shared" si="11"/>
        <v>0.5</v>
      </c>
      <c r="AR63" s="32">
        <v>0</v>
      </c>
      <c r="AS63" s="32">
        <v>0</v>
      </c>
      <c r="AT63" s="32">
        <v>0</v>
      </c>
      <c r="AU63" s="272" t="str">
        <f t="shared" si="12"/>
        <v>A</v>
      </c>
      <c r="AV63" s="247">
        <f t="shared" si="13"/>
        <v>100</v>
      </c>
      <c r="AW63" s="90">
        <f t="shared" si="14"/>
        <v>3</v>
      </c>
      <c r="AX63" s="163">
        <v>0</v>
      </c>
    </row>
    <row r="64" spans="1:50" x14ac:dyDescent="0.6">
      <c r="A64" s="214" t="s">
        <v>1582</v>
      </c>
      <c r="B64" s="13" t="s">
        <v>2041</v>
      </c>
      <c r="C64" s="219" t="s">
        <v>322</v>
      </c>
      <c r="D64" s="216" t="s">
        <v>191</v>
      </c>
      <c r="E64" s="217" t="s">
        <v>568</v>
      </c>
      <c r="F64" s="217" t="s">
        <v>176</v>
      </c>
      <c r="G64" s="218">
        <v>44147</v>
      </c>
      <c r="H64" s="217" t="s">
        <v>830</v>
      </c>
      <c r="I64" s="217" t="s">
        <v>719</v>
      </c>
      <c r="J64" s="217" t="s">
        <v>1045</v>
      </c>
      <c r="K64" s="217" t="s">
        <v>31</v>
      </c>
      <c r="L64" s="220">
        <v>262827323</v>
      </c>
      <c r="M64" s="206">
        <v>108764144</v>
      </c>
      <c r="N64" s="206">
        <v>154063179</v>
      </c>
      <c r="O64" s="206">
        <v>498874562</v>
      </c>
      <c r="P64" s="206">
        <v>2862765</v>
      </c>
      <c r="Q64" s="206">
        <v>2792639</v>
      </c>
      <c r="R64" s="206">
        <v>2643471</v>
      </c>
      <c r="S64" s="32">
        <v>0</v>
      </c>
      <c r="T64" s="32">
        <v>0</v>
      </c>
      <c r="U64" s="32">
        <v>0</v>
      </c>
      <c r="V64" s="266">
        <f t="shared" si="1"/>
        <v>50</v>
      </c>
      <c r="W64" s="90">
        <f t="shared" si="2"/>
        <v>0.5</v>
      </c>
      <c r="X64" s="32">
        <v>0</v>
      </c>
      <c r="Y64" s="32">
        <v>0</v>
      </c>
      <c r="Z64" s="267">
        <f t="shared" si="3"/>
        <v>0</v>
      </c>
      <c r="AA64" s="268">
        <f t="shared" si="4"/>
        <v>33.333333333333336</v>
      </c>
      <c r="AB64" s="90">
        <f t="shared" si="5"/>
        <v>0.33333333333333337</v>
      </c>
      <c r="AC64" s="32">
        <v>0</v>
      </c>
      <c r="AD64" s="32">
        <v>1</v>
      </c>
      <c r="AE64" s="252">
        <f t="shared" si="6"/>
        <v>75</v>
      </c>
      <c r="AF64" s="90">
        <f t="shared" si="7"/>
        <v>1.5</v>
      </c>
      <c r="AG64" s="32">
        <v>0</v>
      </c>
      <c r="AH64" s="247">
        <f t="shared" si="8"/>
        <v>25</v>
      </c>
      <c r="AI64" s="91">
        <f t="shared" si="9"/>
        <v>0.25</v>
      </c>
      <c r="AJ64" s="32"/>
      <c r="AK64" s="32">
        <v>0</v>
      </c>
      <c r="AL64" s="32">
        <v>0</v>
      </c>
      <c r="AM64" s="32">
        <v>0</v>
      </c>
      <c r="AN64" s="32">
        <v>0</v>
      </c>
      <c r="AO64" s="247">
        <f t="shared" si="0"/>
        <v>0</v>
      </c>
      <c r="AP64" s="247">
        <f t="shared" si="10"/>
        <v>25</v>
      </c>
      <c r="AQ64" s="90">
        <f t="shared" si="11"/>
        <v>0.5</v>
      </c>
      <c r="AR64" s="32">
        <v>0</v>
      </c>
      <c r="AS64" s="32">
        <v>0</v>
      </c>
      <c r="AT64" s="32">
        <v>0</v>
      </c>
      <c r="AU64" s="272" t="str">
        <f t="shared" si="12"/>
        <v>A</v>
      </c>
      <c r="AV64" s="247">
        <f t="shared" si="13"/>
        <v>100</v>
      </c>
      <c r="AW64" s="90">
        <f t="shared" si="14"/>
        <v>3</v>
      </c>
      <c r="AX64" s="163">
        <f t="shared" si="15"/>
        <v>6.0833333333333339</v>
      </c>
    </row>
    <row r="65" spans="1:50" x14ac:dyDescent="0.6">
      <c r="A65" s="214" t="s">
        <v>512</v>
      </c>
      <c r="B65" s="13" t="s">
        <v>2042</v>
      </c>
      <c r="C65" s="219" t="s">
        <v>14</v>
      </c>
      <c r="D65" s="216" t="s">
        <v>203</v>
      </c>
      <c r="E65" s="217" t="s">
        <v>188</v>
      </c>
      <c r="F65" s="217" t="s">
        <v>582</v>
      </c>
      <c r="G65" s="218">
        <v>38645</v>
      </c>
      <c r="H65" s="217" t="s">
        <v>830</v>
      </c>
      <c r="I65" s="217" t="s">
        <v>703</v>
      </c>
      <c r="J65" s="217" t="s">
        <v>1055</v>
      </c>
      <c r="K65" s="217" t="s">
        <v>425</v>
      </c>
      <c r="L65" s="220">
        <v>196645335</v>
      </c>
      <c r="M65" s="206">
        <v>74168153</v>
      </c>
      <c r="N65" s="206">
        <v>122477182</v>
      </c>
      <c r="O65" s="206">
        <v>324927356</v>
      </c>
      <c r="P65" s="206">
        <v>17219652</v>
      </c>
      <c r="Q65" s="206">
        <v>5989331</v>
      </c>
      <c r="R65" s="206">
        <v>2870341</v>
      </c>
      <c r="S65" s="32">
        <v>0</v>
      </c>
      <c r="T65" s="32">
        <v>0</v>
      </c>
      <c r="U65" s="32">
        <v>0</v>
      </c>
      <c r="V65" s="266">
        <f t="shared" si="1"/>
        <v>50</v>
      </c>
      <c r="W65" s="90">
        <f t="shared" si="2"/>
        <v>0.5</v>
      </c>
      <c r="X65" s="32">
        <v>0</v>
      </c>
      <c r="Y65" s="32">
        <v>0</v>
      </c>
      <c r="Z65" s="267">
        <f t="shared" si="3"/>
        <v>0</v>
      </c>
      <c r="AA65" s="268">
        <f t="shared" si="4"/>
        <v>33.333333333333336</v>
      </c>
      <c r="AB65" s="90">
        <f t="shared" si="5"/>
        <v>0.33333333333333337</v>
      </c>
      <c r="AC65" s="32">
        <v>0</v>
      </c>
      <c r="AD65" s="32">
        <v>1</v>
      </c>
      <c r="AE65" s="252">
        <f t="shared" si="6"/>
        <v>75</v>
      </c>
      <c r="AF65" s="90">
        <f t="shared" si="7"/>
        <v>1.5</v>
      </c>
      <c r="AG65" s="32">
        <v>0</v>
      </c>
      <c r="AH65" s="247">
        <f t="shared" si="8"/>
        <v>25</v>
      </c>
      <c r="AI65" s="91">
        <f t="shared" si="9"/>
        <v>0.25</v>
      </c>
      <c r="AJ65" s="32"/>
      <c r="AK65" s="32">
        <v>1</v>
      </c>
      <c r="AL65" s="32">
        <v>0</v>
      </c>
      <c r="AM65" s="32">
        <v>0</v>
      </c>
      <c r="AN65" s="32">
        <v>0</v>
      </c>
      <c r="AO65" s="247">
        <f t="shared" si="0"/>
        <v>1</v>
      </c>
      <c r="AP65" s="247">
        <f t="shared" si="10"/>
        <v>50</v>
      </c>
      <c r="AQ65" s="90">
        <f t="shared" si="11"/>
        <v>1</v>
      </c>
      <c r="AR65" s="32">
        <v>0</v>
      </c>
      <c r="AS65" s="32">
        <v>0</v>
      </c>
      <c r="AT65" s="32">
        <v>0</v>
      </c>
      <c r="AU65" s="272" t="str">
        <f t="shared" si="12"/>
        <v>A</v>
      </c>
      <c r="AV65" s="247">
        <f t="shared" si="13"/>
        <v>100</v>
      </c>
      <c r="AW65" s="90">
        <f t="shared" si="14"/>
        <v>3</v>
      </c>
      <c r="AX65" s="163">
        <f t="shared" si="15"/>
        <v>6.5833333333333339</v>
      </c>
    </row>
    <row r="66" spans="1:50" x14ac:dyDescent="0.6">
      <c r="A66" s="214" t="s">
        <v>863</v>
      </c>
      <c r="B66" s="13" t="s">
        <v>2043</v>
      </c>
      <c r="C66" s="219" t="s">
        <v>106</v>
      </c>
      <c r="D66" s="216" t="s">
        <v>203</v>
      </c>
      <c r="E66" s="217" t="s">
        <v>187</v>
      </c>
      <c r="F66" s="217" t="s">
        <v>143</v>
      </c>
      <c r="G66" s="218">
        <v>33269</v>
      </c>
      <c r="H66" s="217" t="s">
        <v>830</v>
      </c>
      <c r="I66" s="217" t="s">
        <v>570</v>
      </c>
      <c r="J66" s="217" t="s">
        <v>1054</v>
      </c>
      <c r="K66" s="217" t="s">
        <v>50</v>
      </c>
      <c r="L66" s="220">
        <v>315529254</v>
      </c>
      <c r="M66" s="206">
        <v>128655873</v>
      </c>
      <c r="N66" s="206">
        <v>186873382</v>
      </c>
      <c r="O66" s="206">
        <v>1220548455</v>
      </c>
      <c r="P66" s="206">
        <v>27189227</v>
      </c>
      <c r="Q66" s="206">
        <v>23861778</v>
      </c>
      <c r="R66" s="206">
        <v>17593831</v>
      </c>
      <c r="S66" s="32">
        <v>0</v>
      </c>
      <c r="T66" s="32">
        <v>0</v>
      </c>
      <c r="U66" s="32">
        <v>0</v>
      </c>
      <c r="V66" s="266">
        <f t="shared" si="1"/>
        <v>50</v>
      </c>
      <c r="W66" s="90">
        <f t="shared" si="2"/>
        <v>0.5</v>
      </c>
      <c r="X66" s="32">
        <v>0</v>
      </c>
      <c r="Y66" s="32">
        <v>0</v>
      </c>
      <c r="Z66" s="267">
        <f t="shared" si="3"/>
        <v>0</v>
      </c>
      <c r="AA66" s="268">
        <f t="shared" si="4"/>
        <v>33.333333333333336</v>
      </c>
      <c r="AB66" s="90">
        <f t="shared" si="5"/>
        <v>0.33333333333333337</v>
      </c>
      <c r="AC66" s="32">
        <v>0</v>
      </c>
      <c r="AD66" s="32">
        <v>0</v>
      </c>
      <c r="AE66" s="252">
        <f t="shared" si="6"/>
        <v>25</v>
      </c>
      <c r="AF66" s="90">
        <f t="shared" si="7"/>
        <v>0.5</v>
      </c>
      <c r="AG66" s="32">
        <v>0</v>
      </c>
      <c r="AH66" s="247">
        <f t="shared" si="8"/>
        <v>25</v>
      </c>
      <c r="AI66" s="91">
        <f t="shared" si="9"/>
        <v>0.25</v>
      </c>
      <c r="AJ66" s="32"/>
      <c r="AK66" s="32">
        <v>1</v>
      </c>
      <c r="AL66" s="32">
        <v>0</v>
      </c>
      <c r="AM66" s="32">
        <v>0</v>
      </c>
      <c r="AN66" s="32">
        <v>0</v>
      </c>
      <c r="AO66" s="247">
        <f t="shared" ref="AO66:AO128" si="16">SUM(AJ66:AN66)</f>
        <v>1</v>
      </c>
      <c r="AP66" s="247">
        <f t="shared" si="10"/>
        <v>50</v>
      </c>
      <c r="AQ66" s="90">
        <f t="shared" si="11"/>
        <v>1</v>
      </c>
      <c r="AR66" s="32">
        <v>0</v>
      </c>
      <c r="AS66" s="32">
        <v>0</v>
      </c>
      <c r="AT66" s="32">
        <v>0</v>
      </c>
      <c r="AU66" s="272" t="str">
        <f t="shared" si="12"/>
        <v>A</v>
      </c>
      <c r="AV66" s="247">
        <f t="shared" si="13"/>
        <v>100</v>
      </c>
      <c r="AW66" s="90">
        <f t="shared" si="14"/>
        <v>3</v>
      </c>
      <c r="AX66" s="163">
        <f t="shared" si="15"/>
        <v>5.5833333333333339</v>
      </c>
    </row>
    <row r="67" spans="1:50" x14ac:dyDescent="0.6">
      <c r="A67" s="214" t="s">
        <v>941</v>
      </c>
      <c r="B67" s="13" t="s">
        <v>2044</v>
      </c>
      <c r="C67" s="219" t="s">
        <v>866</v>
      </c>
      <c r="D67" s="216" t="s">
        <v>285</v>
      </c>
      <c r="E67" s="217" t="s">
        <v>872</v>
      </c>
      <c r="F67" s="217" t="s">
        <v>1106</v>
      </c>
      <c r="G67" s="218">
        <v>27937</v>
      </c>
      <c r="H67" s="217" t="s">
        <v>830</v>
      </c>
      <c r="I67" s="217" t="s">
        <v>779</v>
      </c>
      <c r="J67" s="217" t="s">
        <v>1030</v>
      </c>
      <c r="K67" s="217" t="s">
        <v>341</v>
      </c>
      <c r="L67" s="220">
        <v>1690618825</v>
      </c>
      <c r="M67" s="206">
        <v>1132886300</v>
      </c>
      <c r="N67" s="206">
        <v>557732525</v>
      </c>
      <c r="O67" s="206">
        <v>2041695477</v>
      </c>
      <c r="P67" s="206">
        <v>55276798</v>
      </c>
      <c r="Q67" s="206">
        <v>60210595</v>
      </c>
      <c r="R67" s="206">
        <v>23918674</v>
      </c>
      <c r="S67" s="32">
        <v>0</v>
      </c>
      <c r="T67" s="32">
        <v>0</v>
      </c>
      <c r="U67" s="32">
        <v>0</v>
      </c>
      <c r="V67" s="266">
        <f t="shared" ref="V67:V129" si="17">IF(SUM(S67:U67)=0, 50, 100)</f>
        <v>50</v>
      </c>
      <c r="W67" s="90">
        <f t="shared" ref="W67:W129" si="18">V67*0.01</f>
        <v>0.5</v>
      </c>
      <c r="X67" s="32">
        <v>0</v>
      </c>
      <c r="Y67" s="32">
        <v>0</v>
      </c>
      <c r="Z67" s="267">
        <f t="shared" ref="Z67:Z129" si="19">SUM(X67:Y67)</f>
        <v>0</v>
      </c>
      <c r="AA67" s="268">
        <f t="shared" ref="AA67:AA129" si="20">IF(Z67=0, 100/3, IF(Z67=1, 200/3, IF(Z67=2, 100)))</f>
        <v>33.333333333333336</v>
      </c>
      <c r="AB67" s="90">
        <f t="shared" ref="AB67:AB129" si="21">AA67*0.01</f>
        <v>0.33333333333333337</v>
      </c>
      <c r="AC67" s="32">
        <v>0</v>
      </c>
      <c r="AD67" s="32">
        <v>1</v>
      </c>
      <c r="AE67" s="252">
        <f t="shared" ref="AE67:AE129" si="22">IF(AND(AD67=1, AC67&gt;0), 100, IF(AD67=1, 75, IF(AC67&gt;0, 50, 25)))</f>
        <v>75</v>
      </c>
      <c r="AF67" s="90">
        <f t="shared" ref="AF67:AF129" si="23">AE67*0.02</f>
        <v>1.5</v>
      </c>
      <c r="AG67" s="32">
        <v>0</v>
      </c>
      <c r="AH67" s="247">
        <f t="shared" ref="AH67:AH129" si="24">IF(AG67=0, 25, IF(AG67=1, 50, IF(AG67=2, 75, IF(AG67&gt;=3, 100))))</f>
        <v>25</v>
      </c>
      <c r="AI67" s="91">
        <f t="shared" ref="AI67:AI129" si="25">AH67*0.01</f>
        <v>0.25</v>
      </c>
      <c r="AJ67" s="32"/>
      <c r="AK67" s="32">
        <v>0</v>
      </c>
      <c r="AL67" s="32">
        <v>0</v>
      </c>
      <c r="AM67" s="32">
        <v>0</v>
      </c>
      <c r="AN67" s="32">
        <v>0</v>
      </c>
      <c r="AO67" s="247">
        <f t="shared" si="16"/>
        <v>0</v>
      </c>
      <c r="AP67" s="247">
        <f t="shared" ref="AP67:AP129" si="26">IF(AO67=0, 25, IF(AO67=1, 50, IF(AO67=2, 75, IF(AO67&gt;=3, 100))))</f>
        <v>25</v>
      </c>
      <c r="AQ67" s="90">
        <f t="shared" ref="AQ67:AQ129" si="27">AP67*0.02</f>
        <v>0.5</v>
      </c>
      <c r="AR67" s="32">
        <v>0</v>
      </c>
      <c r="AS67" s="32">
        <v>0</v>
      </c>
      <c r="AT67" s="32">
        <v>0</v>
      </c>
      <c r="AU67" s="272" t="str">
        <f t="shared" ref="AU67:AU129" si="28">IF(AT67=1, "D", IF(AS67=1, "C", IF(AR67=1, "B", "A")))</f>
        <v>A</v>
      </c>
      <c r="AV67" s="247">
        <f t="shared" ref="AV67:AV129" si="29">IF(AU67="A", 100, IF(AU67="B", 75, IF(AU67="C", 50, IF(AU67="D", 25))))</f>
        <v>100</v>
      </c>
      <c r="AW67" s="90">
        <f t="shared" ref="AW67:AW129" si="30">AV67*0.03</f>
        <v>3</v>
      </c>
      <c r="AX67" s="163">
        <f t="shared" ref="AX67:AX129" si="31">W67+AB67+AF67+AI67+AQ67+AW67</f>
        <v>6.0833333333333339</v>
      </c>
    </row>
    <row r="68" spans="1:50" x14ac:dyDescent="0.6">
      <c r="A68" s="214" t="s">
        <v>1583</v>
      </c>
      <c r="B68" s="13" t="s">
        <v>2045</v>
      </c>
      <c r="C68" s="219" t="s">
        <v>870</v>
      </c>
      <c r="D68" s="216" t="s">
        <v>203</v>
      </c>
      <c r="E68" s="217" t="s">
        <v>180</v>
      </c>
      <c r="F68" s="217" t="s">
        <v>141</v>
      </c>
      <c r="G68" s="218">
        <v>32164</v>
      </c>
      <c r="H68" s="217" t="s">
        <v>830</v>
      </c>
      <c r="I68" s="217" t="s">
        <v>735</v>
      </c>
      <c r="J68" s="217" t="s">
        <v>982</v>
      </c>
      <c r="K68" s="217" t="s">
        <v>91</v>
      </c>
      <c r="L68" s="220">
        <v>4278839838</v>
      </c>
      <c r="M68" s="206">
        <v>1085433049</v>
      </c>
      <c r="N68" s="206">
        <v>3193406789</v>
      </c>
      <c r="O68" s="206">
        <v>5086855586</v>
      </c>
      <c r="P68" s="206">
        <v>656205503</v>
      </c>
      <c r="Q68" s="206">
        <v>747318671</v>
      </c>
      <c r="R68" s="206">
        <v>575138552</v>
      </c>
      <c r="S68" s="32">
        <v>0</v>
      </c>
      <c r="T68" s="32">
        <v>1</v>
      </c>
      <c r="U68" s="32">
        <v>0</v>
      </c>
      <c r="V68" s="266">
        <f t="shared" si="17"/>
        <v>100</v>
      </c>
      <c r="W68" s="90">
        <f t="shared" si="18"/>
        <v>1</v>
      </c>
      <c r="X68" s="32">
        <v>0</v>
      </c>
      <c r="Y68" s="32">
        <v>0</v>
      </c>
      <c r="Z68" s="267">
        <f t="shared" si="19"/>
        <v>0</v>
      </c>
      <c r="AA68" s="268">
        <f t="shared" si="20"/>
        <v>33.333333333333336</v>
      </c>
      <c r="AB68" s="90">
        <f t="shared" si="21"/>
        <v>0.33333333333333337</v>
      </c>
      <c r="AC68" s="32">
        <v>0</v>
      </c>
      <c r="AD68" s="32">
        <v>1</v>
      </c>
      <c r="AE68" s="252">
        <f t="shared" si="22"/>
        <v>75</v>
      </c>
      <c r="AF68" s="90">
        <f t="shared" si="23"/>
        <v>1.5</v>
      </c>
      <c r="AG68" s="32">
        <v>0</v>
      </c>
      <c r="AH68" s="247">
        <f t="shared" si="24"/>
        <v>25</v>
      </c>
      <c r="AI68" s="91">
        <f t="shared" si="25"/>
        <v>0.25</v>
      </c>
      <c r="AJ68" s="32"/>
      <c r="AK68" s="32">
        <v>1</v>
      </c>
      <c r="AL68" s="32">
        <v>0</v>
      </c>
      <c r="AM68" s="32">
        <v>0</v>
      </c>
      <c r="AN68" s="32">
        <v>0</v>
      </c>
      <c r="AO68" s="247">
        <f t="shared" si="16"/>
        <v>1</v>
      </c>
      <c r="AP68" s="247">
        <f t="shared" si="26"/>
        <v>50</v>
      </c>
      <c r="AQ68" s="90">
        <f t="shared" si="27"/>
        <v>1</v>
      </c>
      <c r="AR68" s="32">
        <v>0</v>
      </c>
      <c r="AS68" s="32">
        <v>0</v>
      </c>
      <c r="AT68" s="32">
        <v>1</v>
      </c>
      <c r="AU68" s="272" t="str">
        <f t="shared" si="28"/>
        <v>D</v>
      </c>
      <c r="AV68" s="247">
        <f t="shared" si="29"/>
        <v>25</v>
      </c>
      <c r="AW68" s="90">
        <f t="shared" si="30"/>
        <v>0.75</v>
      </c>
      <c r="AX68" s="163">
        <f t="shared" si="31"/>
        <v>4.8333333333333339</v>
      </c>
    </row>
    <row r="69" spans="1:50" x14ac:dyDescent="0.6">
      <c r="A69" s="214" t="s">
        <v>1584</v>
      </c>
      <c r="B69" s="13" t="s">
        <v>2046</v>
      </c>
      <c r="C69" s="219" t="s">
        <v>485</v>
      </c>
      <c r="D69" s="216" t="s">
        <v>202</v>
      </c>
      <c r="E69" s="217" t="s">
        <v>572</v>
      </c>
      <c r="F69" s="217" t="s">
        <v>1235</v>
      </c>
      <c r="G69" s="218">
        <v>39385</v>
      </c>
      <c r="H69" s="217" t="s">
        <v>746</v>
      </c>
      <c r="I69" s="217" t="s">
        <v>726</v>
      </c>
      <c r="J69" s="217" t="s">
        <v>1062</v>
      </c>
      <c r="K69" s="217" t="s">
        <v>346</v>
      </c>
      <c r="L69" s="220">
        <v>270299658</v>
      </c>
      <c r="M69" s="206">
        <v>18481909</v>
      </c>
      <c r="N69" s="206">
        <v>251817749</v>
      </c>
      <c r="O69" s="206">
        <v>116116871</v>
      </c>
      <c r="P69" s="206">
        <v>9240856</v>
      </c>
      <c r="Q69" s="206">
        <v>9598370</v>
      </c>
      <c r="R69" s="206">
        <v>7492215</v>
      </c>
      <c r="S69" s="32">
        <v>0</v>
      </c>
      <c r="T69" s="32">
        <v>0</v>
      </c>
      <c r="U69" s="32">
        <v>0</v>
      </c>
      <c r="V69" s="266">
        <f t="shared" si="17"/>
        <v>50</v>
      </c>
      <c r="W69" s="90">
        <f t="shared" si="18"/>
        <v>0.5</v>
      </c>
      <c r="X69" s="32">
        <v>0</v>
      </c>
      <c r="Y69" s="32">
        <v>0</v>
      </c>
      <c r="Z69" s="267">
        <f t="shared" si="19"/>
        <v>0</v>
      </c>
      <c r="AA69" s="268">
        <f t="shared" si="20"/>
        <v>33.333333333333336</v>
      </c>
      <c r="AB69" s="90">
        <f t="shared" si="21"/>
        <v>0.33333333333333337</v>
      </c>
      <c r="AC69" s="32">
        <v>0</v>
      </c>
      <c r="AD69" s="32">
        <v>1</v>
      </c>
      <c r="AE69" s="252">
        <f t="shared" si="22"/>
        <v>75</v>
      </c>
      <c r="AF69" s="90">
        <f t="shared" si="23"/>
        <v>1.5</v>
      </c>
      <c r="AG69" s="32">
        <v>0</v>
      </c>
      <c r="AH69" s="247">
        <f t="shared" si="24"/>
        <v>25</v>
      </c>
      <c r="AI69" s="91">
        <f t="shared" si="25"/>
        <v>0.25</v>
      </c>
      <c r="AJ69" s="32"/>
      <c r="AK69" s="32">
        <v>0</v>
      </c>
      <c r="AL69" s="32">
        <v>0</v>
      </c>
      <c r="AM69" s="32">
        <v>0</v>
      </c>
      <c r="AN69" s="32">
        <v>0</v>
      </c>
      <c r="AO69" s="247">
        <f t="shared" si="16"/>
        <v>0</v>
      </c>
      <c r="AP69" s="247">
        <f t="shared" si="26"/>
        <v>25</v>
      </c>
      <c r="AQ69" s="90">
        <f t="shared" si="27"/>
        <v>0.5</v>
      </c>
      <c r="AR69" s="32">
        <v>0</v>
      </c>
      <c r="AS69" s="32">
        <v>0</v>
      </c>
      <c r="AT69" s="32">
        <v>0</v>
      </c>
      <c r="AU69" s="272" t="str">
        <f t="shared" si="28"/>
        <v>A</v>
      </c>
      <c r="AV69" s="247">
        <f t="shared" si="29"/>
        <v>100</v>
      </c>
      <c r="AW69" s="90">
        <f t="shared" si="30"/>
        <v>3</v>
      </c>
      <c r="AX69" s="163">
        <f t="shared" si="31"/>
        <v>6.0833333333333339</v>
      </c>
    </row>
    <row r="70" spans="1:50" x14ac:dyDescent="0.6">
      <c r="A70" s="214" t="s">
        <v>781</v>
      </c>
      <c r="B70" s="13" t="s">
        <v>2047</v>
      </c>
      <c r="C70" s="219" t="s">
        <v>503</v>
      </c>
      <c r="D70" s="216" t="s">
        <v>202</v>
      </c>
      <c r="E70" s="217" t="s">
        <v>996</v>
      </c>
      <c r="F70" s="217" t="s">
        <v>389</v>
      </c>
      <c r="G70" s="218">
        <v>26866</v>
      </c>
      <c r="H70" s="217" t="s">
        <v>830</v>
      </c>
      <c r="I70" s="217" t="s">
        <v>988</v>
      </c>
      <c r="J70" s="217" t="s">
        <v>1060</v>
      </c>
      <c r="K70" s="217" t="s">
        <v>91</v>
      </c>
      <c r="L70" s="220">
        <v>46715448000</v>
      </c>
      <c r="M70" s="206">
        <v>20245275000</v>
      </c>
      <c r="N70" s="206">
        <v>26470173000</v>
      </c>
      <c r="O70" s="206">
        <v>46409721000</v>
      </c>
      <c r="P70" s="206">
        <v>3000886000</v>
      </c>
      <c r="Q70" s="206">
        <v>2639370000</v>
      </c>
      <c r="R70" s="206">
        <v>1953513000</v>
      </c>
      <c r="S70" s="32">
        <v>0</v>
      </c>
      <c r="T70" s="32">
        <v>0</v>
      </c>
      <c r="U70" s="32">
        <v>0</v>
      </c>
      <c r="V70" s="266">
        <f t="shared" si="17"/>
        <v>50</v>
      </c>
      <c r="W70" s="90">
        <f t="shared" si="18"/>
        <v>0.5</v>
      </c>
      <c r="X70" s="32">
        <v>0</v>
      </c>
      <c r="Y70" s="32">
        <v>0</v>
      </c>
      <c r="Z70" s="267">
        <f t="shared" si="19"/>
        <v>0</v>
      </c>
      <c r="AA70" s="268">
        <f t="shared" si="20"/>
        <v>33.333333333333336</v>
      </c>
      <c r="AB70" s="90">
        <f t="shared" si="21"/>
        <v>0.33333333333333337</v>
      </c>
      <c r="AC70" s="32">
        <v>0</v>
      </c>
      <c r="AD70" s="32">
        <v>1</v>
      </c>
      <c r="AE70" s="252">
        <f t="shared" si="22"/>
        <v>75</v>
      </c>
      <c r="AF70" s="90">
        <f t="shared" si="23"/>
        <v>1.5</v>
      </c>
      <c r="AG70" s="32">
        <v>0</v>
      </c>
      <c r="AH70" s="247">
        <f t="shared" si="24"/>
        <v>25</v>
      </c>
      <c r="AI70" s="91">
        <f t="shared" si="25"/>
        <v>0.25</v>
      </c>
      <c r="AJ70" s="32"/>
      <c r="AK70" s="32">
        <v>1</v>
      </c>
      <c r="AL70" s="32">
        <v>0</v>
      </c>
      <c r="AM70" s="32">
        <v>0</v>
      </c>
      <c r="AN70" s="32">
        <v>0</v>
      </c>
      <c r="AO70" s="247">
        <f t="shared" si="16"/>
        <v>1</v>
      </c>
      <c r="AP70" s="247">
        <f t="shared" si="26"/>
        <v>50</v>
      </c>
      <c r="AQ70" s="90">
        <f t="shared" si="27"/>
        <v>1</v>
      </c>
      <c r="AR70" s="32">
        <v>1</v>
      </c>
      <c r="AS70" s="32">
        <v>0</v>
      </c>
      <c r="AT70" s="32">
        <v>0</v>
      </c>
      <c r="AU70" s="272" t="str">
        <f t="shared" si="28"/>
        <v>B</v>
      </c>
      <c r="AV70" s="247">
        <f t="shared" si="29"/>
        <v>75</v>
      </c>
      <c r="AW70" s="90">
        <f t="shared" si="30"/>
        <v>2.25</v>
      </c>
      <c r="AX70" s="163">
        <f t="shared" si="31"/>
        <v>5.8333333333333339</v>
      </c>
    </row>
    <row r="71" spans="1:50" x14ac:dyDescent="0.6">
      <c r="A71" s="214" t="s">
        <v>99</v>
      </c>
      <c r="B71" s="13" t="s">
        <v>2048</v>
      </c>
      <c r="C71" s="219" t="s">
        <v>309</v>
      </c>
      <c r="D71" s="216" t="s">
        <v>285</v>
      </c>
      <c r="E71" s="217" t="s">
        <v>867</v>
      </c>
      <c r="F71" s="217" t="s">
        <v>397</v>
      </c>
      <c r="G71" s="218">
        <v>28122</v>
      </c>
      <c r="H71" s="217" t="s">
        <v>830</v>
      </c>
      <c r="I71" s="217" t="s">
        <v>725</v>
      </c>
      <c r="J71" s="217" t="s">
        <v>1249</v>
      </c>
      <c r="K71" s="217" t="s">
        <v>690</v>
      </c>
      <c r="L71" s="220">
        <v>345786655</v>
      </c>
      <c r="M71" s="206">
        <v>238784577</v>
      </c>
      <c r="N71" s="206">
        <v>107002078</v>
      </c>
      <c r="O71" s="206">
        <v>450379452</v>
      </c>
      <c r="P71" s="206">
        <v>11115820</v>
      </c>
      <c r="Q71" s="206">
        <v>15758165</v>
      </c>
      <c r="R71" s="206">
        <v>19332576</v>
      </c>
      <c r="S71" s="32">
        <v>0</v>
      </c>
      <c r="T71" s="32">
        <v>0</v>
      </c>
      <c r="U71" s="32">
        <v>0</v>
      </c>
      <c r="V71" s="266">
        <f t="shared" si="17"/>
        <v>50</v>
      </c>
      <c r="W71" s="90">
        <f t="shared" si="18"/>
        <v>0.5</v>
      </c>
      <c r="X71" s="32">
        <v>0</v>
      </c>
      <c r="Y71" s="32">
        <v>0</v>
      </c>
      <c r="Z71" s="267">
        <f t="shared" si="19"/>
        <v>0</v>
      </c>
      <c r="AA71" s="268">
        <f t="shared" si="20"/>
        <v>33.333333333333336</v>
      </c>
      <c r="AB71" s="90">
        <f t="shared" si="21"/>
        <v>0.33333333333333337</v>
      </c>
      <c r="AC71" s="32">
        <v>0</v>
      </c>
      <c r="AD71" s="32">
        <v>0</v>
      </c>
      <c r="AE71" s="252">
        <f t="shared" si="22"/>
        <v>25</v>
      </c>
      <c r="AF71" s="90">
        <f t="shared" si="23"/>
        <v>0.5</v>
      </c>
      <c r="AG71" s="32">
        <v>0</v>
      </c>
      <c r="AH71" s="247">
        <f t="shared" si="24"/>
        <v>25</v>
      </c>
      <c r="AI71" s="91">
        <f t="shared" si="25"/>
        <v>0.25</v>
      </c>
      <c r="AJ71" s="32"/>
      <c r="AK71" s="32">
        <v>0</v>
      </c>
      <c r="AL71" s="32">
        <v>1</v>
      </c>
      <c r="AM71" s="32">
        <v>0</v>
      </c>
      <c r="AN71" s="32">
        <v>0</v>
      </c>
      <c r="AO71" s="247">
        <f t="shared" si="16"/>
        <v>1</v>
      </c>
      <c r="AP71" s="247">
        <f t="shared" si="26"/>
        <v>50</v>
      </c>
      <c r="AQ71" s="90">
        <f t="shared" si="27"/>
        <v>1</v>
      </c>
      <c r="AR71" s="32">
        <v>0</v>
      </c>
      <c r="AS71" s="32">
        <v>0</v>
      </c>
      <c r="AT71" s="32">
        <v>0</v>
      </c>
      <c r="AU71" s="272" t="str">
        <f t="shared" si="28"/>
        <v>A</v>
      </c>
      <c r="AV71" s="247">
        <f t="shared" si="29"/>
        <v>100</v>
      </c>
      <c r="AW71" s="90">
        <f t="shared" si="30"/>
        <v>3</v>
      </c>
      <c r="AX71" s="163">
        <f t="shared" si="31"/>
        <v>5.5833333333333339</v>
      </c>
    </row>
    <row r="72" spans="1:50" x14ac:dyDescent="0.6">
      <c r="A72" s="214" t="s">
        <v>81</v>
      </c>
      <c r="B72" s="13" t="s">
        <v>2049</v>
      </c>
      <c r="C72" s="219" t="s">
        <v>857</v>
      </c>
      <c r="D72" s="216" t="s">
        <v>203</v>
      </c>
      <c r="E72" s="217" t="s">
        <v>1067</v>
      </c>
      <c r="F72" s="217" t="s">
        <v>1246</v>
      </c>
      <c r="G72" s="218">
        <v>35013</v>
      </c>
      <c r="H72" s="217" t="s">
        <v>830</v>
      </c>
      <c r="I72" s="217" t="s">
        <v>701</v>
      </c>
      <c r="J72" s="217" t="s">
        <v>1080</v>
      </c>
      <c r="K72" s="217" t="s">
        <v>91</v>
      </c>
      <c r="L72" s="220">
        <v>883470621</v>
      </c>
      <c r="M72" s="206">
        <v>371844780</v>
      </c>
      <c r="N72" s="206">
        <v>511625841</v>
      </c>
      <c r="O72" s="206">
        <v>2169565871</v>
      </c>
      <c r="P72" s="206">
        <v>63633740</v>
      </c>
      <c r="Q72" s="206">
        <v>65632977</v>
      </c>
      <c r="R72" s="206">
        <v>47307536</v>
      </c>
      <c r="S72" s="32">
        <v>0</v>
      </c>
      <c r="T72" s="32">
        <v>0</v>
      </c>
      <c r="U72" s="32">
        <v>0</v>
      </c>
      <c r="V72" s="266">
        <f t="shared" si="17"/>
        <v>50</v>
      </c>
      <c r="W72" s="90">
        <f t="shared" si="18"/>
        <v>0.5</v>
      </c>
      <c r="X72" s="32">
        <v>0</v>
      </c>
      <c r="Y72" s="32">
        <v>0</v>
      </c>
      <c r="Z72" s="267">
        <f t="shared" si="19"/>
        <v>0</v>
      </c>
      <c r="AA72" s="268">
        <f t="shared" si="20"/>
        <v>33.333333333333336</v>
      </c>
      <c r="AB72" s="90">
        <f t="shared" si="21"/>
        <v>0.33333333333333337</v>
      </c>
      <c r="AC72" s="32">
        <v>0</v>
      </c>
      <c r="AD72" s="32">
        <v>1</v>
      </c>
      <c r="AE72" s="252">
        <f t="shared" si="22"/>
        <v>75</v>
      </c>
      <c r="AF72" s="90">
        <f t="shared" si="23"/>
        <v>1.5</v>
      </c>
      <c r="AG72" s="32">
        <v>0</v>
      </c>
      <c r="AH72" s="247">
        <f t="shared" si="24"/>
        <v>25</v>
      </c>
      <c r="AI72" s="91">
        <f t="shared" si="25"/>
        <v>0.25</v>
      </c>
      <c r="AJ72" s="32"/>
      <c r="AK72" s="32">
        <v>1</v>
      </c>
      <c r="AL72" s="32">
        <v>0</v>
      </c>
      <c r="AM72" s="32">
        <v>0</v>
      </c>
      <c r="AN72" s="32">
        <v>0</v>
      </c>
      <c r="AO72" s="247">
        <f t="shared" si="16"/>
        <v>1</v>
      </c>
      <c r="AP72" s="247">
        <f t="shared" si="26"/>
        <v>50</v>
      </c>
      <c r="AQ72" s="90">
        <f t="shared" si="27"/>
        <v>1</v>
      </c>
      <c r="AR72" s="32">
        <v>0</v>
      </c>
      <c r="AS72" s="32">
        <v>0</v>
      </c>
      <c r="AT72" s="32">
        <v>0</v>
      </c>
      <c r="AU72" s="272" t="str">
        <f t="shared" si="28"/>
        <v>A</v>
      </c>
      <c r="AV72" s="247">
        <f t="shared" si="29"/>
        <v>100</v>
      </c>
      <c r="AW72" s="90">
        <f t="shared" si="30"/>
        <v>3</v>
      </c>
      <c r="AX72" s="163">
        <f t="shared" si="31"/>
        <v>6.5833333333333339</v>
      </c>
    </row>
    <row r="73" spans="1:50" x14ac:dyDescent="0.6">
      <c r="A73" s="214" t="s">
        <v>1586</v>
      </c>
      <c r="B73" s="13" t="s">
        <v>2050</v>
      </c>
      <c r="C73" s="219" t="s">
        <v>102</v>
      </c>
      <c r="D73" s="216" t="s">
        <v>203</v>
      </c>
      <c r="E73" s="217" t="s">
        <v>197</v>
      </c>
      <c r="F73" s="217" t="s">
        <v>117</v>
      </c>
      <c r="G73" s="218">
        <v>32130</v>
      </c>
      <c r="H73" s="217" t="s">
        <v>830</v>
      </c>
      <c r="I73" s="217" t="s">
        <v>951</v>
      </c>
      <c r="J73" s="217" t="s">
        <v>1157</v>
      </c>
      <c r="K73" s="217" t="s">
        <v>50</v>
      </c>
      <c r="L73" s="220">
        <v>736767227</v>
      </c>
      <c r="M73" s="206">
        <v>105463213</v>
      </c>
      <c r="N73" s="206">
        <v>631304014</v>
      </c>
      <c r="O73" s="206">
        <v>737876931</v>
      </c>
      <c r="P73" s="206">
        <v>30653869</v>
      </c>
      <c r="Q73" s="206">
        <v>35607383</v>
      </c>
      <c r="R73" s="206">
        <v>31223584</v>
      </c>
      <c r="S73" s="32">
        <v>0</v>
      </c>
      <c r="T73" s="32">
        <v>0</v>
      </c>
      <c r="U73" s="32">
        <v>0</v>
      </c>
      <c r="V73" s="266">
        <f t="shared" si="17"/>
        <v>50</v>
      </c>
      <c r="W73" s="90">
        <f t="shared" si="18"/>
        <v>0.5</v>
      </c>
      <c r="X73" s="32">
        <v>0</v>
      </c>
      <c r="Y73" s="32">
        <v>0</v>
      </c>
      <c r="Z73" s="267">
        <f t="shared" si="19"/>
        <v>0</v>
      </c>
      <c r="AA73" s="268">
        <f t="shared" si="20"/>
        <v>33.333333333333336</v>
      </c>
      <c r="AB73" s="90">
        <f t="shared" si="21"/>
        <v>0.33333333333333337</v>
      </c>
      <c r="AC73" s="32">
        <v>0</v>
      </c>
      <c r="AD73" s="32">
        <v>0</v>
      </c>
      <c r="AE73" s="252">
        <f t="shared" si="22"/>
        <v>25</v>
      </c>
      <c r="AF73" s="90">
        <f t="shared" si="23"/>
        <v>0.5</v>
      </c>
      <c r="AG73" s="32">
        <v>0</v>
      </c>
      <c r="AH73" s="247">
        <f t="shared" si="24"/>
        <v>25</v>
      </c>
      <c r="AI73" s="91">
        <f t="shared" si="25"/>
        <v>0.25</v>
      </c>
      <c r="AJ73" s="32"/>
      <c r="AK73" s="32">
        <v>1</v>
      </c>
      <c r="AL73" s="32">
        <v>0</v>
      </c>
      <c r="AM73" s="32">
        <v>0</v>
      </c>
      <c r="AN73" s="32">
        <v>1</v>
      </c>
      <c r="AO73" s="247">
        <f t="shared" si="16"/>
        <v>2</v>
      </c>
      <c r="AP73" s="247">
        <f t="shared" si="26"/>
        <v>75</v>
      </c>
      <c r="AQ73" s="90">
        <f t="shared" si="27"/>
        <v>1.5</v>
      </c>
      <c r="AR73" s="32">
        <v>0</v>
      </c>
      <c r="AS73" s="32">
        <v>0</v>
      </c>
      <c r="AT73" s="32">
        <v>0</v>
      </c>
      <c r="AU73" s="272" t="str">
        <f t="shared" si="28"/>
        <v>A</v>
      </c>
      <c r="AV73" s="247">
        <f t="shared" si="29"/>
        <v>100</v>
      </c>
      <c r="AW73" s="90">
        <f t="shared" si="30"/>
        <v>3</v>
      </c>
      <c r="AX73" s="163">
        <f t="shared" si="31"/>
        <v>6.0833333333333339</v>
      </c>
    </row>
    <row r="74" spans="1:50" x14ac:dyDescent="0.6">
      <c r="A74" s="214" t="s">
        <v>28</v>
      </c>
      <c r="B74" s="13" t="s">
        <v>2051</v>
      </c>
      <c r="C74" s="219" t="s">
        <v>849</v>
      </c>
      <c r="D74" s="216" t="s">
        <v>203</v>
      </c>
      <c r="E74" s="217" t="s">
        <v>188</v>
      </c>
      <c r="F74" s="217" t="s">
        <v>442</v>
      </c>
      <c r="G74" s="218">
        <v>38901</v>
      </c>
      <c r="H74" s="217" t="s">
        <v>830</v>
      </c>
      <c r="I74" s="217" t="s">
        <v>738</v>
      </c>
      <c r="J74" s="13" t="s">
        <v>2052</v>
      </c>
      <c r="K74" s="217" t="s">
        <v>690</v>
      </c>
      <c r="L74" s="220">
        <v>593723438</v>
      </c>
      <c r="M74" s="206">
        <v>279635129</v>
      </c>
      <c r="N74" s="206">
        <v>314088309</v>
      </c>
      <c r="O74" s="206">
        <v>667825639</v>
      </c>
      <c r="P74" s="206">
        <v>18091323</v>
      </c>
      <c r="Q74" s="206">
        <v>10916465</v>
      </c>
      <c r="R74" s="206">
        <v>7428246</v>
      </c>
      <c r="S74" s="32">
        <v>0</v>
      </c>
      <c r="T74" s="32">
        <v>0</v>
      </c>
      <c r="U74" s="32">
        <v>0</v>
      </c>
      <c r="V74" s="266">
        <f t="shared" si="17"/>
        <v>50</v>
      </c>
      <c r="W74" s="90">
        <f t="shared" si="18"/>
        <v>0.5</v>
      </c>
      <c r="X74" s="32">
        <v>0</v>
      </c>
      <c r="Y74" s="32">
        <v>0</v>
      </c>
      <c r="Z74" s="267">
        <f t="shared" si="19"/>
        <v>0</v>
      </c>
      <c r="AA74" s="268">
        <f t="shared" si="20"/>
        <v>33.333333333333336</v>
      </c>
      <c r="AB74" s="90">
        <f t="shared" si="21"/>
        <v>0.33333333333333337</v>
      </c>
      <c r="AC74" s="32">
        <v>0</v>
      </c>
      <c r="AD74" s="32">
        <v>1</v>
      </c>
      <c r="AE74" s="252">
        <f t="shared" si="22"/>
        <v>75</v>
      </c>
      <c r="AF74" s="90">
        <f t="shared" si="23"/>
        <v>1.5</v>
      </c>
      <c r="AG74" s="32">
        <v>2</v>
      </c>
      <c r="AH74" s="247">
        <f t="shared" si="24"/>
        <v>75</v>
      </c>
      <c r="AI74" s="91">
        <f t="shared" si="25"/>
        <v>0.75</v>
      </c>
      <c r="AJ74" s="32"/>
      <c r="AK74" s="32">
        <v>1</v>
      </c>
      <c r="AL74" s="32">
        <v>0</v>
      </c>
      <c r="AM74" s="32">
        <v>0</v>
      </c>
      <c r="AN74" s="32">
        <v>0</v>
      </c>
      <c r="AO74" s="247">
        <f t="shared" si="16"/>
        <v>1</v>
      </c>
      <c r="AP74" s="247">
        <f t="shared" si="26"/>
        <v>50</v>
      </c>
      <c r="AQ74" s="90">
        <f t="shared" si="27"/>
        <v>1</v>
      </c>
      <c r="AR74" s="32">
        <v>0</v>
      </c>
      <c r="AS74" s="32">
        <v>0</v>
      </c>
      <c r="AT74" s="32">
        <v>0</v>
      </c>
      <c r="AU74" s="272" t="str">
        <f t="shared" si="28"/>
        <v>A</v>
      </c>
      <c r="AV74" s="247">
        <f t="shared" si="29"/>
        <v>100</v>
      </c>
      <c r="AW74" s="90">
        <f t="shared" si="30"/>
        <v>3</v>
      </c>
      <c r="AX74" s="163">
        <f t="shared" si="31"/>
        <v>7.0833333333333339</v>
      </c>
    </row>
    <row r="75" spans="1:50" x14ac:dyDescent="0.6">
      <c r="A75" s="214" t="s">
        <v>729</v>
      </c>
      <c r="B75" s="13" t="s">
        <v>2053</v>
      </c>
      <c r="C75" s="219" t="s">
        <v>493</v>
      </c>
      <c r="D75" s="216" t="s">
        <v>191</v>
      </c>
      <c r="E75" s="217" t="s">
        <v>34</v>
      </c>
      <c r="F75" s="217" t="s">
        <v>184</v>
      </c>
      <c r="G75" s="218">
        <v>32721</v>
      </c>
      <c r="H75" s="217" t="s">
        <v>830</v>
      </c>
      <c r="I75" s="217" t="s">
        <v>776</v>
      </c>
      <c r="J75" s="217" t="s">
        <v>1058</v>
      </c>
      <c r="K75" s="217" t="s">
        <v>690</v>
      </c>
      <c r="L75" s="220">
        <v>1943161484</v>
      </c>
      <c r="M75" s="206">
        <v>692777309</v>
      </c>
      <c r="N75" s="206">
        <v>1250384175</v>
      </c>
      <c r="O75" s="206">
        <v>1244928840</v>
      </c>
      <c r="P75" s="206">
        <v>70305248</v>
      </c>
      <c r="Q75" s="206">
        <v>56807679</v>
      </c>
      <c r="R75" s="206">
        <v>54307547</v>
      </c>
      <c r="S75" s="32">
        <v>1</v>
      </c>
      <c r="T75" s="32">
        <v>0</v>
      </c>
      <c r="U75" s="32">
        <v>0</v>
      </c>
      <c r="V75" s="266">
        <f t="shared" si="17"/>
        <v>100</v>
      </c>
      <c r="W75" s="90">
        <f t="shared" si="18"/>
        <v>1</v>
      </c>
      <c r="X75" s="32">
        <v>0</v>
      </c>
      <c r="Y75" s="32">
        <v>0</v>
      </c>
      <c r="Z75" s="267">
        <f t="shared" si="19"/>
        <v>0</v>
      </c>
      <c r="AA75" s="268">
        <f t="shared" si="20"/>
        <v>33.333333333333336</v>
      </c>
      <c r="AB75" s="90">
        <f t="shared" si="21"/>
        <v>0.33333333333333337</v>
      </c>
      <c r="AC75" s="32">
        <v>0</v>
      </c>
      <c r="AD75" s="32">
        <v>1</v>
      </c>
      <c r="AE75" s="252">
        <f t="shared" si="22"/>
        <v>75</v>
      </c>
      <c r="AF75" s="90">
        <f t="shared" si="23"/>
        <v>1.5</v>
      </c>
      <c r="AG75" s="32">
        <v>0</v>
      </c>
      <c r="AH75" s="247">
        <f t="shared" si="24"/>
        <v>25</v>
      </c>
      <c r="AI75" s="91">
        <f t="shared" si="25"/>
        <v>0.25</v>
      </c>
      <c r="AJ75" s="32"/>
      <c r="AK75" s="32">
        <v>1</v>
      </c>
      <c r="AL75" s="32">
        <v>0</v>
      </c>
      <c r="AM75" s="32">
        <v>0</v>
      </c>
      <c r="AN75" s="32">
        <v>0</v>
      </c>
      <c r="AO75" s="247">
        <f t="shared" si="16"/>
        <v>1</v>
      </c>
      <c r="AP75" s="247">
        <f t="shared" si="26"/>
        <v>50</v>
      </c>
      <c r="AQ75" s="90">
        <f t="shared" si="27"/>
        <v>1</v>
      </c>
      <c r="AR75" s="32">
        <v>0</v>
      </c>
      <c r="AS75" s="32">
        <v>0</v>
      </c>
      <c r="AT75" s="32">
        <v>0</v>
      </c>
      <c r="AU75" s="272" t="str">
        <f t="shared" si="28"/>
        <v>A</v>
      </c>
      <c r="AV75" s="247">
        <f t="shared" si="29"/>
        <v>100</v>
      </c>
      <c r="AW75" s="90">
        <f t="shared" si="30"/>
        <v>3</v>
      </c>
      <c r="AX75" s="163">
        <f t="shared" si="31"/>
        <v>7.0833333333333339</v>
      </c>
    </row>
    <row r="76" spans="1:50" x14ac:dyDescent="0.6">
      <c r="A76" s="214" t="s">
        <v>97</v>
      </c>
      <c r="B76" s="13" t="s">
        <v>2054</v>
      </c>
      <c r="C76" s="219" t="s">
        <v>404</v>
      </c>
      <c r="D76" s="221" t="s">
        <v>350</v>
      </c>
      <c r="E76" s="217" t="s">
        <v>179</v>
      </c>
      <c r="F76" s="217" t="s">
        <v>578</v>
      </c>
      <c r="G76" s="218">
        <v>35388</v>
      </c>
      <c r="H76" s="217" t="s">
        <v>830</v>
      </c>
      <c r="I76" s="217" t="s">
        <v>1587</v>
      </c>
      <c r="J76" s="217" t="s">
        <v>1038</v>
      </c>
      <c r="K76" s="217" t="s">
        <v>91</v>
      </c>
      <c r="L76" s="220">
        <v>3939974802</v>
      </c>
      <c r="M76" s="206">
        <v>3279267721</v>
      </c>
      <c r="N76" s="206">
        <v>660707081</v>
      </c>
      <c r="O76" s="206">
        <v>1268326077</v>
      </c>
      <c r="P76" s="206">
        <v>46098647</v>
      </c>
      <c r="Q76" s="206">
        <v>67910650</v>
      </c>
      <c r="R76" s="206">
        <v>48368439</v>
      </c>
      <c r="S76" s="32">
        <v>0</v>
      </c>
      <c r="T76" s="32">
        <v>0</v>
      </c>
      <c r="U76" s="32">
        <v>0</v>
      </c>
      <c r="V76" s="266">
        <f t="shared" si="17"/>
        <v>50</v>
      </c>
      <c r="W76" s="90">
        <f t="shared" si="18"/>
        <v>0.5</v>
      </c>
      <c r="X76" s="32">
        <v>0</v>
      </c>
      <c r="Y76" s="32">
        <v>0</v>
      </c>
      <c r="Z76" s="267">
        <f t="shared" si="19"/>
        <v>0</v>
      </c>
      <c r="AA76" s="268">
        <f t="shared" si="20"/>
        <v>33.333333333333336</v>
      </c>
      <c r="AB76" s="90">
        <f t="shared" si="21"/>
        <v>0.33333333333333337</v>
      </c>
      <c r="AC76" s="32">
        <v>0</v>
      </c>
      <c r="AD76" s="32">
        <v>0</v>
      </c>
      <c r="AE76" s="252">
        <f t="shared" si="22"/>
        <v>25</v>
      </c>
      <c r="AF76" s="90">
        <f t="shared" si="23"/>
        <v>0.5</v>
      </c>
      <c r="AG76" s="32">
        <v>0</v>
      </c>
      <c r="AH76" s="247">
        <f t="shared" si="24"/>
        <v>25</v>
      </c>
      <c r="AI76" s="91">
        <f t="shared" si="25"/>
        <v>0.25</v>
      </c>
      <c r="AJ76" s="32"/>
      <c r="AK76" s="32">
        <v>0</v>
      </c>
      <c r="AL76" s="32">
        <v>0</v>
      </c>
      <c r="AM76" s="32">
        <v>0</v>
      </c>
      <c r="AN76" s="32">
        <v>0</v>
      </c>
      <c r="AO76" s="247">
        <f t="shared" si="16"/>
        <v>0</v>
      </c>
      <c r="AP76" s="247">
        <f t="shared" si="26"/>
        <v>25</v>
      </c>
      <c r="AQ76" s="90">
        <f t="shared" si="27"/>
        <v>0.5</v>
      </c>
      <c r="AR76" s="32">
        <v>0</v>
      </c>
      <c r="AS76" s="32">
        <v>0</v>
      </c>
      <c r="AT76" s="32">
        <v>0</v>
      </c>
      <c r="AU76" s="272" t="str">
        <f t="shared" si="28"/>
        <v>A</v>
      </c>
      <c r="AV76" s="247">
        <f t="shared" si="29"/>
        <v>100</v>
      </c>
      <c r="AW76" s="90">
        <f t="shared" si="30"/>
        <v>3</v>
      </c>
      <c r="AX76" s="163">
        <v>0</v>
      </c>
    </row>
    <row r="77" spans="1:50" x14ac:dyDescent="0.6">
      <c r="A77" s="214" t="s">
        <v>1588</v>
      </c>
      <c r="B77" s="13" t="s">
        <v>2055</v>
      </c>
      <c r="C77" s="219" t="s">
        <v>1589</v>
      </c>
      <c r="D77" s="14" t="s">
        <v>202</v>
      </c>
      <c r="E77" s="217" t="s">
        <v>572</v>
      </c>
      <c r="F77" s="217" t="s">
        <v>1590</v>
      </c>
      <c r="G77" s="218">
        <v>27572</v>
      </c>
      <c r="H77" s="217" t="s">
        <v>830</v>
      </c>
      <c r="I77" s="217" t="s">
        <v>1591</v>
      </c>
      <c r="J77" s="217" t="s">
        <v>1592</v>
      </c>
      <c r="K77" s="217" t="s">
        <v>308</v>
      </c>
      <c r="L77" s="220">
        <v>1037444849</v>
      </c>
      <c r="M77" s="206">
        <v>756037859</v>
      </c>
      <c r="N77" s="206">
        <v>281406990</v>
      </c>
      <c r="O77" s="206">
        <v>1020419354</v>
      </c>
      <c r="P77" s="206">
        <v>62957426</v>
      </c>
      <c r="Q77" s="206">
        <v>23841777</v>
      </c>
      <c r="R77" s="206">
        <v>11209133</v>
      </c>
      <c r="S77" s="32">
        <v>0</v>
      </c>
      <c r="T77" s="32">
        <v>1</v>
      </c>
      <c r="U77" s="32">
        <v>0</v>
      </c>
      <c r="V77" s="266">
        <f t="shared" si="17"/>
        <v>100</v>
      </c>
      <c r="W77" s="90">
        <f t="shared" si="18"/>
        <v>1</v>
      </c>
      <c r="X77" s="32">
        <v>0</v>
      </c>
      <c r="Y77" s="32">
        <v>0</v>
      </c>
      <c r="Z77" s="267">
        <f t="shared" si="19"/>
        <v>0</v>
      </c>
      <c r="AA77" s="268">
        <f t="shared" si="20"/>
        <v>33.333333333333336</v>
      </c>
      <c r="AB77" s="90">
        <f t="shared" si="21"/>
        <v>0.33333333333333337</v>
      </c>
      <c r="AC77" s="32">
        <v>0</v>
      </c>
      <c r="AD77" s="32">
        <v>1</v>
      </c>
      <c r="AE77" s="252">
        <f t="shared" si="22"/>
        <v>75</v>
      </c>
      <c r="AF77" s="90">
        <f t="shared" si="23"/>
        <v>1.5</v>
      </c>
      <c r="AG77" s="32">
        <v>0</v>
      </c>
      <c r="AH77" s="247">
        <f t="shared" si="24"/>
        <v>25</v>
      </c>
      <c r="AI77" s="91">
        <f t="shared" si="25"/>
        <v>0.25</v>
      </c>
      <c r="AJ77" s="32"/>
      <c r="AK77" s="32">
        <v>1</v>
      </c>
      <c r="AL77" s="32">
        <v>0</v>
      </c>
      <c r="AM77" s="32">
        <v>0</v>
      </c>
      <c r="AN77" s="32">
        <v>0</v>
      </c>
      <c r="AO77" s="247">
        <f t="shared" si="16"/>
        <v>1</v>
      </c>
      <c r="AP77" s="247">
        <f t="shared" si="26"/>
        <v>50</v>
      </c>
      <c r="AQ77" s="90">
        <f t="shared" si="27"/>
        <v>1</v>
      </c>
      <c r="AR77" s="32">
        <v>0</v>
      </c>
      <c r="AS77" s="32">
        <v>0</v>
      </c>
      <c r="AT77" s="32">
        <v>0</v>
      </c>
      <c r="AU77" s="272" t="str">
        <f t="shared" si="28"/>
        <v>A</v>
      </c>
      <c r="AV77" s="247">
        <f t="shared" si="29"/>
        <v>100</v>
      </c>
      <c r="AW77" s="90">
        <f t="shared" si="30"/>
        <v>3</v>
      </c>
      <c r="AX77" s="163">
        <f t="shared" si="31"/>
        <v>7.0833333333333339</v>
      </c>
    </row>
    <row r="78" spans="1:50" x14ac:dyDescent="0.6">
      <c r="A78" s="214" t="s">
        <v>700</v>
      </c>
      <c r="B78" s="13" t="s">
        <v>2056</v>
      </c>
      <c r="C78" s="219" t="s">
        <v>545</v>
      </c>
      <c r="D78" s="216" t="s">
        <v>191</v>
      </c>
      <c r="E78" s="217" t="s">
        <v>178</v>
      </c>
      <c r="F78" s="217" t="s">
        <v>137</v>
      </c>
      <c r="G78" s="218">
        <v>25659</v>
      </c>
      <c r="H78" s="217" t="s">
        <v>830</v>
      </c>
      <c r="I78" s="217" t="s">
        <v>716</v>
      </c>
      <c r="J78" s="217" t="s">
        <v>1228</v>
      </c>
      <c r="K78" s="217" t="s">
        <v>91</v>
      </c>
      <c r="L78" s="220">
        <v>2858930432</v>
      </c>
      <c r="M78" s="206">
        <v>1570209001</v>
      </c>
      <c r="N78" s="206">
        <v>1288721432</v>
      </c>
      <c r="O78" s="206">
        <v>3289633814</v>
      </c>
      <c r="P78" s="206">
        <v>129259533</v>
      </c>
      <c r="Q78" s="206">
        <v>115619859</v>
      </c>
      <c r="R78" s="206">
        <v>84739843</v>
      </c>
      <c r="S78" s="32">
        <v>0</v>
      </c>
      <c r="T78" s="32">
        <v>0</v>
      </c>
      <c r="U78" s="32">
        <v>0</v>
      </c>
      <c r="V78" s="266">
        <f t="shared" si="17"/>
        <v>50</v>
      </c>
      <c r="W78" s="90">
        <f t="shared" si="18"/>
        <v>0.5</v>
      </c>
      <c r="X78" s="32">
        <v>0</v>
      </c>
      <c r="Y78" s="32">
        <v>0</v>
      </c>
      <c r="Z78" s="267">
        <f t="shared" si="19"/>
        <v>0</v>
      </c>
      <c r="AA78" s="268">
        <f t="shared" si="20"/>
        <v>33.333333333333336</v>
      </c>
      <c r="AB78" s="90">
        <f t="shared" si="21"/>
        <v>0.33333333333333337</v>
      </c>
      <c r="AC78" s="32">
        <v>0</v>
      </c>
      <c r="AD78" s="32">
        <v>1</v>
      </c>
      <c r="AE78" s="252">
        <f t="shared" si="22"/>
        <v>75</v>
      </c>
      <c r="AF78" s="90">
        <f t="shared" si="23"/>
        <v>1.5</v>
      </c>
      <c r="AG78" s="32">
        <v>0</v>
      </c>
      <c r="AH78" s="247">
        <f t="shared" si="24"/>
        <v>25</v>
      </c>
      <c r="AI78" s="91">
        <f t="shared" si="25"/>
        <v>0.25</v>
      </c>
      <c r="AJ78" s="32"/>
      <c r="AK78" s="32">
        <v>1</v>
      </c>
      <c r="AL78" s="32">
        <v>0</v>
      </c>
      <c r="AM78" s="32">
        <v>0</v>
      </c>
      <c r="AN78" s="32">
        <v>0</v>
      </c>
      <c r="AO78" s="247">
        <f t="shared" si="16"/>
        <v>1</v>
      </c>
      <c r="AP78" s="247">
        <f t="shared" si="26"/>
        <v>50</v>
      </c>
      <c r="AQ78" s="90">
        <f t="shared" si="27"/>
        <v>1</v>
      </c>
      <c r="AR78" s="32">
        <v>0</v>
      </c>
      <c r="AS78" s="32">
        <v>1</v>
      </c>
      <c r="AT78" s="32">
        <v>1</v>
      </c>
      <c r="AU78" s="272" t="str">
        <f t="shared" si="28"/>
        <v>D</v>
      </c>
      <c r="AV78" s="247">
        <f t="shared" si="29"/>
        <v>25</v>
      </c>
      <c r="AW78" s="90">
        <f t="shared" si="30"/>
        <v>0.75</v>
      </c>
      <c r="AX78" s="163">
        <f t="shared" si="31"/>
        <v>4.3333333333333339</v>
      </c>
    </row>
    <row r="79" spans="1:50" x14ac:dyDescent="0.6">
      <c r="A79" s="214" t="s">
        <v>1593</v>
      </c>
      <c r="B79" s="13" t="s">
        <v>2057</v>
      </c>
      <c r="C79" s="219" t="s">
        <v>1594</v>
      </c>
      <c r="D79" s="14" t="s">
        <v>203</v>
      </c>
      <c r="E79" s="217" t="s">
        <v>1595</v>
      </c>
      <c r="F79" s="217" t="s">
        <v>1596</v>
      </c>
      <c r="G79" s="218">
        <v>40389</v>
      </c>
      <c r="H79" s="217" t="s">
        <v>830</v>
      </c>
      <c r="I79" s="217" t="s">
        <v>1597</v>
      </c>
      <c r="J79" s="13" t="s">
        <v>2058</v>
      </c>
      <c r="K79" s="217" t="s">
        <v>91</v>
      </c>
      <c r="L79" s="220">
        <v>991695975</v>
      </c>
      <c r="M79" s="206">
        <v>405389777</v>
      </c>
      <c r="N79" s="206">
        <v>586306198</v>
      </c>
      <c r="O79" s="206">
        <v>881208064</v>
      </c>
      <c r="P79" s="206">
        <v>14182419</v>
      </c>
      <c r="Q79" s="206">
        <v>20162956</v>
      </c>
      <c r="R79" s="206">
        <v>20025770</v>
      </c>
      <c r="S79" s="32">
        <v>0</v>
      </c>
      <c r="T79" s="32">
        <v>0</v>
      </c>
      <c r="U79" s="32">
        <v>0</v>
      </c>
      <c r="V79" s="266">
        <f t="shared" si="17"/>
        <v>50</v>
      </c>
      <c r="W79" s="90">
        <f t="shared" si="18"/>
        <v>0.5</v>
      </c>
      <c r="X79" s="32">
        <v>0</v>
      </c>
      <c r="Y79" s="32">
        <v>0</v>
      </c>
      <c r="Z79" s="267">
        <f t="shared" si="19"/>
        <v>0</v>
      </c>
      <c r="AA79" s="268">
        <f t="shared" si="20"/>
        <v>33.333333333333336</v>
      </c>
      <c r="AB79" s="90">
        <f t="shared" si="21"/>
        <v>0.33333333333333337</v>
      </c>
      <c r="AC79" s="32">
        <v>0</v>
      </c>
      <c r="AD79" s="32">
        <v>1</v>
      </c>
      <c r="AE79" s="252">
        <f t="shared" si="22"/>
        <v>75</v>
      </c>
      <c r="AF79" s="90">
        <f t="shared" si="23"/>
        <v>1.5</v>
      </c>
      <c r="AG79" s="32">
        <v>0</v>
      </c>
      <c r="AH79" s="247">
        <f t="shared" si="24"/>
        <v>25</v>
      </c>
      <c r="AI79" s="91">
        <f t="shared" si="25"/>
        <v>0.25</v>
      </c>
      <c r="AJ79" s="32"/>
      <c r="AK79" s="32">
        <v>0</v>
      </c>
      <c r="AL79" s="32">
        <v>0</v>
      </c>
      <c r="AM79" s="32">
        <v>0</v>
      </c>
      <c r="AN79" s="32">
        <v>0</v>
      </c>
      <c r="AO79" s="247">
        <f t="shared" si="16"/>
        <v>0</v>
      </c>
      <c r="AP79" s="247">
        <f t="shared" si="26"/>
        <v>25</v>
      </c>
      <c r="AQ79" s="90">
        <f t="shared" si="27"/>
        <v>0.5</v>
      </c>
      <c r="AR79" s="32">
        <v>0</v>
      </c>
      <c r="AS79" s="32">
        <v>0</v>
      </c>
      <c r="AT79" s="32">
        <v>0</v>
      </c>
      <c r="AU79" s="272" t="str">
        <f t="shared" si="28"/>
        <v>A</v>
      </c>
      <c r="AV79" s="247">
        <f t="shared" si="29"/>
        <v>100</v>
      </c>
      <c r="AW79" s="90">
        <f t="shared" si="30"/>
        <v>3</v>
      </c>
      <c r="AX79" s="163">
        <f t="shared" si="31"/>
        <v>6.0833333333333339</v>
      </c>
    </row>
    <row r="80" spans="1:50" x14ac:dyDescent="0.6">
      <c r="A80" s="214" t="s">
        <v>82</v>
      </c>
      <c r="B80" s="13" t="s">
        <v>2059</v>
      </c>
      <c r="C80" s="219" t="s">
        <v>427</v>
      </c>
      <c r="D80" s="14" t="s">
        <v>203</v>
      </c>
      <c r="E80" s="217" t="s">
        <v>978</v>
      </c>
      <c r="F80" s="217" t="s">
        <v>556</v>
      </c>
      <c r="G80" s="218">
        <v>40536</v>
      </c>
      <c r="H80" s="217" t="s">
        <v>830</v>
      </c>
      <c r="I80" s="217" t="s">
        <v>972</v>
      </c>
      <c r="J80" s="217" t="s">
        <v>638</v>
      </c>
      <c r="K80" s="217" t="s">
        <v>308</v>
      </c>
      <c r="L80" s="220">
        <v>838882273</v>
      </c>
      <c r="M80" s="206">
        <v>521359056</v>
      </c>
      <c r="N80" s="206">
        <v>317523216</v>
      </c>
      <c r="O80" s="206">
        <v>1019977255</v>
      </c>
      <c r="P80" s="206">
        <v>1019269</v>
      </c>
      <c r="Q80" s="206">
        <v>1770357</v>
      </c>
      <c r="R80" s="206">
        <v>1219262</v>
      </c>
      <c r="S80" s="32">
        <v>0</v>
      </c>
      <c r="T80" s="32">
        <v>0</v>
      </c>
      <c r="U80" s="32">
        <v>0</v>
      </c>
      <c r="V80" s="266">
        <f t="shared" si="17"/>
        <v>50</v>
      </c>
      <c r="W80" s="90">
        <f t="shared" si="18"/>
        <v>0.5</v>
      </c>
      <c r="X80" s="32">
        <v>0</v>
      </c>
      <c r="Y80" s="32">
        <v>0</v>
      </c>
      <c r="Z80" s="267">
        <f t="shared" si="19"/>
        <v>0</v>
      </c>
      <c r="AA80" s="268">
        <f t="shared" si="20"/>
        <v>33.333333333333336</v>
      </c>
      <c r="AB80" s="90">
        <f t="shared" si="21"/>
        <v>0.33333333333333337</v>
      </c>
      <c r="AC80" s="32">
        <v>0</v>
      </c>
      <c r="AD80" s="32">
        <v>1</v>
      </c>
      <c r="AE80" s="252">
        <f t="shared" si="22"/>
        <v>75</v>
      </c>
      <c r="AF80" s="90">
        <f t="shared" si="23"/>
        <v>1.5</v>
      </c>
      <c r="AG80" s="32">
        <v>0</v>
      </c>
      <c r="AH80" s="247">
        <f t="shared" si="24"/>
        <v>25</v>
      </c>
      <c r="AI80" s="91">
        <f t="shared" si="25"/>
        <v>0.25</v>
      </c>
      <c r="AJ80" s="32"/>
      <c r="AK80" s="32">
        <v>0</v>
      </c>
      <c r="AL80" s="32">
        <v>0</v>
      </c>
      <c r="AM80" s="32">
        <v>0</v>
      </c>
      <c r="AN80" s="32">
        <v>0</v>
      </c>
      <c r="AO80" s="247">
        <f t="shared" si="16"/>
        <v>0</v>
      </c>
      <c r="AP80" s="247">
        <f t="shared" si="26"/>
        <v>25</v>
      </c>
      <c r="AQ80" s="90">
        <f t="shared" si="27"/>
        <v>0.5</v>
      </c>
      <c r="AR80" s="32">
        <v>0</v>
      </c>
      <c r="AS80" s="32">
        <v>0</v>
      </c>
      <c r="AT80" s="32">
        <v>0</v>
      </c>
      <c r="AU80" s="272" t="str">
        <f t="shared" si="28"/>
        <v>A</v>
      </c>
      <c r="AV80" s="247">
        <f t="shared" si="29"/>
        <v>100</v>
      </c>
      <c r="AW80" s="90">
        <f t="shared" si="30"/>
        <v>3</v>
      </c>
      <c r="AX80" s="163">
        <f t="shared" si="31"/>
        <v>6.0833333333333339</v>
      </c>
    </row>
    <row r="81" spans="1:50" x14ac:dyDescent="0.6">
      <c r="A81" s="214" t="s">
        <v>932</v>
      </c>
      <c r="B81" s="13" t="s">
        <v>2060</v>
      </c>
      <c r="C81" s="219" t="s">
        <v>452</v>
      </c>
      <c r="D81" s="216" t="s">
        <v>285</v>
      </c>
      <c r="E81" s="217" t="s">
        <v>872</v>
      </c>
      <c r="F81" s="217" t="s">
        <v>286</v>
      </c>
      <c r="G81" s="218">
        <v>36973</v>
      </c>
      <c r="H81" s="217" t="s">
        <v>830</v>
      </c>
      <c r="I81" s="217" t="s">
        <v>771</v>
      </c>
      <c r="J81" s="217" t="s">
        <v>1598</v>
      </c>
      <c r="K81" s="217" t="s">
        <v>91</v>
      </c>
      <c r="L81" s="220">
        <v>9668849513</v>
      </c>
      <c r="M81" s="206">
        <v>6674852812</v>
      </c>
      <c r="N81" s="206">
        <v>2993996701</v>
      </c>
      <c r="O81" s="206">
        <v>9318914840</v>
      </c>
      <c r="P81" s="206">
        <v>433402928</v>
      </c>
      <c r="Q81" s="206">
        <v>364861645</v>
      </c>
      <c r="R81" s="206">
        <v>254741243</v>
      </c>
      <c r="S81" s="32">
        <v>0</v>
      </c>
      <c r="T81" s="32">
        <v>0</v>
      </c>
      <c r="U81" s="32">
        <v>0</v>
      </c>
      <c r="V81" s="266">
        <f t="shared" si="17"/>
        <v>50</v>
      </c>
      <c r="W81" s="90">
        <f t="shared" si="18"/>
        <v>0.5</v>
      </c>
      <c r="X81" s="32">
        <v>0</v>
      </c>
      <c r="Y81" s="32">
        <v>0</v>
      </c>
      <c r="Z81" s="267">
        <f t="shared" si="19"/>
        <v>0</v>
      </c>
      <c r="AA81" s="268">
        <f t="shared" si="20"/>
        <v>33.333333333333336</v>
      </c>
      <c r="AB81" s="90">
        <f t="shared" si="21"/>
        <v>0.33333333333333337</v>
      </c>
      <c r="AC81" s="32">
        <v>0</v>
      </c>
      <c r="AD81" s="32">
        <v>0</v>
      </c>
      <c r="AE81" s="252">
        <f t="shared" si="22"/>
        <v>25</v>
      </c>
      <c r="AF81" s="90">
        <f t="shared" si="23"/>
        <v>0.5</v>
      </c>
      <c r="AG81" s="32">
        <v>0</v>
      </c>
      <c r="AH81" s="247">
        <f t="shared" si="24"/>
        <v>25</v>
      </c>
      <c r="AI81" s="91">
        <f t="shared" si="25"/>
        <v>0.25</v>
      </c>
      <c r="AJ81" s="32"/>
      <c r="AK81" s="32">
        <v>0</v>
      </c>
      <c r="AL81" s="32">
        <v>0</v>
      </c>
      <c r="AM81" s="32">
        <v>0</v>
      </c>
      <c r="AN81" s="32">
        <v>0</v>
      </c>
      <c r="AO81" s="247">
        <f t="shared" si="16"/>
        <v>0</v>
      </c>
      <c r="AP81" s="247">
        <f t="shared" si="26"/>
        <v>25</v>
      </c>
      <c r="AQ81" s="90">
        <f t="shared" si="27"/>
        <v>0.5</v>
      </c>
      <c r="AR81" s="32">
        <v>0</v>
      </c>
      <c r="AS81" s="32">
        <v>0</v>
      </c>
      <c r="AT81" s="32">
        <v>0</v>
      </c>
      <c r="AU81" s="272" t="str">
        <f t="shared" si="28"/>
        <v>A</v>
      </c>
      <c r="AV81" s="247">
        <f t="shared" si="29"/>
        <v>100</v>
      </c>
      <c r="AW81" s="90">
        <f t="shared" si="30"/>
        <v>3</v>
      </c>
      <c r="AX81" s="163">
        <f t="shared" si="31"/>
        <v>5.0833333333333339</v>
      </c>
    </row>
    <row r="82" spans="1:50" x14ac:dyDescent="0.6">
      <c r="A82" s="214" t="s">
        <v>761</v>
      </c>
      <c r="B82" s="13" t="s">
        <v>2061</v>
      </c>
      <c r="C82" s="219" t="s">
        <v>552</v>
      </c>
      <c r="D82" s="216" t="s">
        <v>191</v>
      </c>
      <c r="E82" s="217" t="s">
        <v>34</v>
      </c>
      <c r="F82" s="217" t="s">
        <v>131</v>
      </c>
      <c r="G82" s="218">
        <v>26841</v>
      </c>
      <c r="H82" s="217" t="s">
        <v>830</v>
      </c>
      <c r="I82" s="217" t="s">
        <v>739</v>
      </c>
      <c r="J82" s="217" t="s">
        <v>1247</v>
      </c>
      <c r="K82" s="217" t="s">
        <v>690</v>
      </c>
      <c r="L82" s="220">
        <v>467020461</v>
      </c>
      <c r="M82" s="206">
        <v>22242291</v>
      </c>
      <c r="N82" s="206">
        <v>444778170</v>
      </c>
      <c r="O82" s="206">
        <v>102401976</v>
      </c>
      <c r="P82" s="206">
        <v>54478995</v>
      </c>
      <c r="Q82" s="206">
        <v>56254195</v>
      </c>
      <c r="R82" s="206">
        <v>53906527</v>
      </c>
      <c r="S82" s="32">
        <v>0</v>
      </c>
      <c r="T82" s="32">
        <v>0</v>
      </c>
      <c r="U82" s="32">
        <v>0</v>
      </c>
      <c r="V82" s="266">
        <f t="shared" si="17"/>
        <v>50</v>
      </c>
      <c r="W82" s="90">
        <f t="shared" si="18"/>
        <v>0.5</v>
      </c>
      <c r="X82" s="32">
        <v>0</v>
      </c>
      <c r="Y82" s="32">
        <v>0</v>
      </c>
      <c r="Z82" s="267">
        <f t="shared" si="19"/>
        <v>0</v>
      </c>
      <c r="AA82" s="268">
        <f t="shared" si="20"/>
        <v>33.333333333333336</v>
      </c>
      <c r="AB82" s="90">
        <f t="shared" si="21"/>
        <v>0.33333333333333337</v>
      </c>
      <c r="AC82" s="32">
        <v>0</v>
      </c>
      <c r="AD82" s="32">
        <v>1</v>
      </c>
      <c r="AE82" s="252">
        <f t="shared" si="22"/>
        <v>75</v>
      </c>
      <c r="AF82" s="90">
        <f t="shared" si="23"/>
        <v>1.5</v>
      </c>
      <c r="AG82" s="32">
        <v>0</v>
      </c>
      <c r="AH82" s="247">
        <f t="shared" si="24"/>
        <v>25</v>
      </c>
      <c r="AI82" s="91">
        <f t="shared" si="25"/>
        <v>0.25</v>
      </c>
      <c r="AJ82" s="32"/>
      <c r="AK82" s="32">
        <v>0</v>
      </c>
      <c r="AL82" s="32">
        <v>0</v>
      </c>
      <c r="AM82" s="32">
        <v>0</v>
      </c>
      <c r="AN82" s="32">
        <v>0</v>
      </c>
      <c r="AO82" s="247">
        <f t="shared" si="16"/>
        <v>0</v>
      </c>
      <c r="AP82" s="247">
        <f t="shared" si="26"/>
        <v>25</v>
      </c>
      <c r="AQ82" s="90">
        <f t="shared" si="27"/>
        <v>0.5</v>
      </c>
      <c r="AR82" s="32">
        <v>0</v>
      </c>
      <c r="AS82" s="32">
        <v>0</v>
      </c>
      <c r="AT82" s="32">
        <v>0</v>
      </c>
      <c r="AU82" s="272" t="str">
        <f t="shared" si="28"/>
        <v>A</v>
      </c>
      <c r="AV82" s="247">
        <f t="shared" si="29"/>
        <v>100</v>
      </c>
      <c r="AW82" s="90">
        <f t="shared" si="30"/>
        <v>3</v>
      </c>
      <c r="AX82" s="163">
        <f t="shared" si="31"/>
        <v>6.0833333333333339</v>
      </c>
    </row>
    <row r="83" spans="1:50" x14ac:dyDescent="0.6">
      <c r="A83" s="214" t="s">
        <v>1599</v>
      </c>
      <c r="B83" s="13" t="s">
        <v>2062</v>
      </c>
      <c r="C83" s="219" t="s">
        <v>1600</v>
      </c>
      <c r="D83" s="14" t="s">
        <v>191</v>
      </c>
      <c r="E83" s="217" t="s">
        <v>34</v>
      </c>
      <c r="F83" s="217" t="s">
        <v>1601</v>
      </c>
      <c r="G83" s="218">
        <v>37561</v>
      </c>
      <c r="H83" s="217" t="s">
        <v>830</v>
      </c>
      <c r="I83" s="217" t="s">
        <v>1602</v>
      </c>
      <c r="J83" s="217" t="s">
        <v>1603</v>
      </c>
      <c r="K83" s="217" t="s">
        <v>690</v>
      </c>
      <c r="L83" s="220">
        <v>1374022214</v>
      </c>
      <c r="M83" s="206">
        <v>714171561</v>
      </c>
      <c r="N83" s="206">
        <v>659850653</v>
      </c>
      <c r="O83" s="206">
        <v>1161253630</v>
      </c>
      <c r="P83" s="206">
        <v>105963323</v>
      </c>
      <c r="Q83" s="206">
        <v>44624254</v>
      </c>
      <c r="R83" s="206">
        <v>48561673</v>
      </c>
      <c r="S83" s="32">
        <v>0</v>
      </c>
      <c r="T83" s="32">
        <v>0</v>
      </c>
      <c r="U83" s="32">
        <v>0</v>
      </c>
      <c r="V83" s="266">
        <f t="shared" si="17"/>
        <v>50</v>
      </c>
      <c r="W83" s="90">
        <f t="shared" si="18"/>
        <v>0.5</v>
      </c>
      <c r="X83" s="32">
        <v>0</v>
      </c>
      <c r="Y83" s="32">
        <v>0</v>
      </c>
      <c r="Z83" s="267">
        <f t="shared" si="19"/>
        <v>0</v>
      </c>
      <c r="AA83" s="268">
        <f t="shared" si="20"/>
        <v>33.333333333333336</v>
      </c>
      <c r="AB83" s="90">
        <f t="shared" si="21"/>
        <v>0.33333333333333337</v>
      </c>
      <c r="AC83" s="32">
        <v>0</v>
      </c>
      <c r="AD83" s="32">
        <v>1</v>
      </c>
      <c r="AE83" s="252">
        <f t="shared" si="22"/>
        <v>75</v>
      </c>
      <c r="AF83" s="90">
        <f t="shared" si="23"/>
        <v>1.5</v>
      </c>
      <c r="AG83" s="32">
        <v>0</v>
      </c>
      <c r="AH83" s="247">
        <f t="shared" si="24"/>
        <v>25</v>
      </c>
      <c r="AI83" s="91">
        <f t="shared" si="25"/>
        <v>0.25</v>
      </c>
      <c r="AJ83" s="32"/>
      <c r="AK83" s="32">
        <v>0</v>
      </c>
      <c r="AL83" s="32">
        <v>0</v>
      </c>
      <c r="AM83" s="32">
        <v>0</v>
      </c>
      <c r="AN83" s="32">
        <v>0</v>
      </c>
      <c r="AO83" s="247">
        <f t="shared" si="16"/>
        <v>0</v>
      </c>
      <c r="AP83" s="247">
        <f t="shared" si="26"/>
        <v>25</v>
      </c>
      <c r="AQ83" s="90">
        <f t="shared" si="27"/>
        <v>0.5</v>
      </c>
      <c r="AR83" s="32">
        <v>0</v>
      </c>
      <c r="AS83" s="32">
        <v>0</v>
      </c>
      <c r="AT83" s="32">
        <v>0</v>
      </c>
      <c r="AU83" s="272" t="str">
        <f t="shared" si="28"/>
        <v>A</v>
      </c>
      <c r="AV83" s="247">
        <f t="shared" si="29"/>
        <v>100</v>
      </c>
      <c r="AW83" s="90">
        <f t="shared" si="30"/>
        <v>3</v>
      </c>
      <c r="AX83" s="163">
        <f t="shared" si="31"/>
        <v>6.0833333333333339</v>
      </c>
    </row>
    <row r="84" spans="1:50" x14ac:dyDescent="0.6">
      <c r="A84" s="214" t="s">
        <v>559</v>
      </c>
      <c r="B84" s="13" t="s">
        <v>2063</v>
      </c>
      <c r="C84" s="219" t="s">
        <v>89</v>
      </c>
      <c r="D84" s="216" t="s">
        <v>202</v>
      </c>
      <c r="E84" s="217" t="s">
        <v>954</v>
      </c>
      <c r="F84" s="217" t="s">
        <v>122</v>
      </c>
      <c r="G84" s="218">
        <v>28298</v>
      </c>
      <c r="H84" s="217" t="s">
        <v>830</v>
      </c>
      <c r="I84" s="217" t="s">
        <v>1604</v>
      </c>
      <c r="J84" s="217" t="s">
        <v>1014</v>
      </c>
      <c r="K84" s="217" t="s">
        <v>425</v>
      </c>
      <c r="L84" s="220">
        <v>688386355</v>
      </c>
      <c r="M84" s="206">
        <v>261400791</v>
      </c>
      <c r="N84" s="206">
        <v>426985565</v>
      </c>
      <c r="O84" s="206">
        <v>696217415</v>
      </c>
      <c r="P84" s="206">
        <v>16849939</v>
      </c>
      <c r="Q84" s="206">
        <v>6695668</v>
      </c>
      <c r="R84" s="206">
        <v>10606180</v>
      </c>
      <c r="S84" s="32">
        <v>0</v>
      </c>
      <c r="T84" s="32">
        <v>0</v>
      </c>
      <c r="U84" s="32">
        <v>0</v>
      </c>
      <c r="V84" s="266">
        <f t="shared" si="17"/>
        <v>50</v>
      </c>
      <c r="W84" s="90">
        <f t="shared" si="18"/>
        <v>0.5</v>
      </c>
      <c r="X84" s="32">
        <v>0</v>
      </c>
      <c r="Y84" s="32">
        <v>0</v>
      </c>
      <c r="Z84" s="267">
        <f t="shared" si="19"/>
        <v>0</v>
      </c>
      <c r="AA84" s="268">
        <f t="shared" si="20"/>
        <v>33.333333333333336</v>
      </c>
      <c r="AB84" s="90">
        <f t="shared" si="21"/>
        <v>0.33333333333333337</v>
      </c>
      <c r="AC84" s="32">
        <v>0</v>
      </c>
      <c r="AD84" s="32">
        <v>1</v>
      </c>
      <c r="AE84" s="252">
        <f t="shared" si="22"/>
        <v>75</v>
      </c>
      <c r="AF84" s="90">
        <f t="shared" si="23"/>
        <v>1.5</v>
      </c>
      <c r="AG84" s="32">
        <v>0</v>
      </c>
      <c r="AH84" s="247">
        <f t="shared" si="24"/>
        <v>25</v>
      </c>
      <c r="AI84" s="91">
        <f t="shared" si="25"/>
        <v>0.25</v>
      </c>
      <c r="AJ84" s="32"/>
      <c r="AK84" s="32">
        <v>1</v>
      </c>
      <c r="AL84" s="32">
        <v>1</v>
      </c>
      <c r="AM84" s="32">
        <v>0</v>
      </c>
      <c r="AN84" s="32">
        <v>0</v>
      </c>
      <c r="AO84" s="247">
        <f t="shared" si="16"/>
        <v>2</v>
      </c>
      <c r="AP84" s="247">
        <f t="shared" si="26"/>
        <v>75</v>
      </c>
      <c r="AQ84" s="90">
        <f t="shared" si="27"/>
        <v>1.5</v>
      </c>
      <c r="AR84" s="32">
        <v>0</v>
      </c>
      <c r="AS84" s="32">
        <v>0</v>
      </c>
      <c r="AT84" s="32">
        <v>0</v>
      </c>
      <c r="AU84" s="272" t="str">
        <f t="shared" si="28"/>
        <v>A</v>
      </c>
      <c r="AV84" s="247">
        <f t="shared" si="29"/>
        <v>100</v>
      </c>
      <c r="AW84" s="90">
        <f t="shared" si="30"/>
        <v>3</v>
      </c>
      <c r="AX84" s="163">
        <f t="shared" si="31"/>
        <v>7.0833333333333339</v>
      </c>
    </row>
    <row r="85" spans="1:50" x14ac:dyDescent="0.6">
      <c r="A85" s="214" t="s">
        <v>333</v>
      </c>
      <c r="B85" s="13" t="s">
        <v>2064</v>
      </c>
      <c r="C85" s="219" t="s">
        <v>40</v>
      </c>
      <c r="D85" s="216" t="s">
        <v>191</v>
      </c>
      <c r="E85" s="217" t="s">
        <v>34</v>
      </c>
      <c r="F85" s="217" t="s">
        <v>139</v>
      </c>
      <c r="G85" s="218">
        <v>36509</v>
      </c>
      <c r="H85" s="217" t="s">
        <v>830</v>
      </c>
      <c r="I85" s="217" t="s">
        <v>451</v>
      </c>
      <c r="J85" s="217" t="s">
        <v>1227</v>
      </c>
      <c r="K85" s="217" t="s">
        <v>91</v>
      </c>
      <c r="L85" s="220">
        <v>424552601</v>
      </c>
      <c r="M85" s="206">
        <v>177887391</v>
      </c>
      <c r="N85" s="206">
        <v>246665210</v>
      </c>
      <c r="O85" s="206">
        <v>452801417</v>
      </c>
      <c r="P85" s="206">
        <v>47688591</v>
      </c>
      <c r="Q85" s="206">
        <v>39855973</v>
      </c>
      <c r="R85" s="206">
        <v>31496020</v>
      </c>
      <c r="S85" s="32">
        <v>0</v>
      </c>
      <c r="T85" s="32">
        <v>0</v>
      </c>
      <c r="U85" s="32">
        <v>0</v>
      </c>
      <c r="V85" s="266">
        <f t="shared" si="17"/>
        <v>50</v>
      </c>
      <c r="W85" s="90">
        <f t="shared" si="18"/>
        <v>0.5</v>
      </c>
      <c r="X85" s="32">
        <v>0</v>
      </c>
      <c r="Y85" s="32">
        <v>0</v>
      </c>
      <c r="Z85" s="267">
        <f t="shared" si="19"/>
        <v>0</v>
      </c>
      <c r="AA85" s="268">
        <f t="shared" si="20"/>
        <v>33.333333333333336</v>
      </c>
      <c r="AB85" s="90">
        <f t="shared" si="21"/>
        <v>0.33333333333333337</v>
      </c>
      <c r="AC85" s="32">
        <v>0</v>
      </c>
      <c r="AD85" s="32">
        <v>1</v>
      </c>
      <c r="AE85" s="252">
        <f t="shared" si="22"/>
        <v>75</v>
      </c>
      <c r="AF85" s="90">
        <f t="shared" si="23"/>
        <v>1.5</v>
      </c>
      <c r="AG85" s="32">
        <v>0</v>
      </c>
      <c r="AH85" s="247">
        <f t="shared" si="24"/>
        <v>25</v>
      </c>
      <c r="AI85" s="91">
        <f t="shared" si="25"/>
        <v>0.25</v>
      </c>
      <c r="AJ85" s="32"/>
      <c r="AK85" s="32">
        <v>0</v>
      </c>
      <c r="AL85" s="32">
        <v>0</v>
      </c>
      <c r="AM85" s="32">
        <v>0</v>
      </c>
      <c r="AN85" s="32">
        <v>0</v>
      </c>
      <c r="AO85" s="247">
        <f t="shared" si="16"/>
        <v>0</v>
      </c>
      <c r="AP85" s="247">
        <f t="shared" si="26"/>
        <v>25</v>
      </c>
      <c r="AQ85" s="90">
        <f t="shared" si="27"/>
        <v>0.5</v>
      </c>
      <c r="AR85" s="32">
        <v>0</v>
      </c>
      <c r="AS85" s="32">
        <v>0</v>
      </c>
      <c r="AT85" s="32">
        <v>0</v>
      </c>
      <c r="AU85" s="272" t="str">
        <f t="shared" si="28"/>
        <v>A</v>
      </c>
      <c r="AV85" s="247">
        <f t="shared" si="29"/>
        <v>100</v>
      </c>
      <c r="AW85" s="90">
        <f t="shared" si="30"/>
        <v>3</v>
      </c>
      <c r="AX85" s="163">
        <f t="shared" si="31"/>
        <v>6.0833333333333339</v>
      </c>
    </row>
    <row r="86" spans="1:50" x14ac:dyDescent="0.6">
      <c r="A86" s="214" t="s">
        <v>423</v>
      </c>
      <c r="B86" s="13" t="s">
        <v>2065</v>
      </c>
      <c r="C86" s="219" t="s">
        <v>316</v>
      </c>
      <c r="D86" s="216" t="s">
        <v>202</v>
      </c>
      <c r="E86" s="217" t="s">
        <v>954</v>
      </c>
      <c r="F86" s="217" t="s">
        <v>118</v>
      </c>
      <c r="G86" s="218">
        <v>32714</v>
      </c>
      <c r="H86" s="217" t="s">
        <v>830</v>
      </c>
      <c r="I86" s="217" t="s">
        <v>751</v>
      </c>
      <c r="J86" s="217" t="s">
        <v>1056</v>
      </c>
      <c r="K86" s="217" t="s">
        <v>50</v>
      </c>
      <c r="L86" s="220">
        <v>250352084</v>
      </c>
      <c r="M86" s="206">
        <v>48446955</v>
      </c>
      <c r="N86" s="206">
        <v>201905129</v>
      </c>
      <c r="O86" s="206">
        <v>318979683</v>
      </c>
      <c r="P86" s="206">
        <v>34727495</v>
      </c>
      <c r="Q86" s="206">
        <v>41272114</v>
      </c>
      <c r="R86" s="206">
        <v>31646295</v>
      </c>
      <c r="S86" s="32">
        <v>0</v>
      </c>
      <c r="T86" s="32">
        <v>0</v>
      </c>
      <c r="U86" s="32">
        <v>0</v>
      </c>
      <c r="V86" s="266">
        <f t="shared" si="17"/>
        <v>50</v>
      </c>
      <c r="W86" s="90">
        <f t="shared" si="18"/>
        <v>0.5</v>
      </c>
      <c r="X86" s="32">
        <v>0</v>
      </c>
      <c r="Y86" s="32">
        <v>0</v>
      </c>
      <c r="Z86" s="267">
        <f t="shared" si="19"/>
        <v>0</v>
      </c>
      <c r="AA86" s="268">
        <f t="shared" si="20"/>
        <v>33.333333333333336</v>
      </c>
      <c r="AB86" s="90">
        <f t="shared" si="21"/>
        <v>0.33333333333333337</v>
      </c>
      <c r="AC86" s="32">
        <v>0</v>
      </c>
      <c r="AD86" s="32">
        <v>1</v>
      </c>
      <c r="AE86" s="252">
        <f t="shared" si="22"/>
        <v>75</v>
      </c>
      <c r="AF86" s="90">
        <f t="shared" si="23"/>
        <v>1.5</v>
      </c>
      <c r="AG86" s="32">
        <v>0</v>
      </c>
      <c r="AH86" s="247">
        <f t="shared" si="24"/>
        <v>25</v>
      </c>
      <c r="AI86" s="91">
        <f t="shared" si="25"/>
        <v>0.25</v>
      </c>
      <c r="AJ86" s="32"/>
      <c r="AK86" s="32">
        <v>1</v>
      </c>
      <c r="AL86" s="32">
        <v>0</v>
      </c>
      <c r="AM86" s="32">
        <v>0</v>
      </c>
      <c r="AN86" s="32">
        <v>0</v>
      </c>
      <c r="AO86" s="247">
        <f t="shared" si="16"/>
        <v>1</v>
      </c>
      <c r="AP86" s="247">
        <f t="shared" si="26"/>
        <v>50</v>
      </c>
      <c r="AQ86" s="90">
        <f t="shared" si="27"/>
        <v>1</v>
      </c>
      <c r="AR86" s="32">
        <v>0</v>
      </c>
      <c r="AS86" s="32">
        <v>0</v>
      </c>
      <c r="AT86" s="32">
        <v>0</v>
      </c>
      <c r="AU86" s="272" t="str">
        <f t="shared" si="28"/>
        <v>A</v>
      </c>
      <c r="AV86" s="247">
        <f t="shared" si="29"/>
        <v>100</v>
      </c>
      <c r="AW86" s="90">
        <f t="shared" si="30"/>
        <v>3</v>
      </c>
      <c r="AX86" s="163">
        <f t="shared" si="31"/>
        <v>6.5833333333333339</v>
      </c>
    </row>
    <row r="87" spans="1:50" x14ac:dyDescent="0.6">
      <c r="A87" s="214" t="s">
        <v>1605</v>
      </c>
      <c r="B87" s="13" t="s">
        <v>2066</v>
      </c>
      <c r="C87" s="219" t="s">
        <v>1606</v>
      </c>
      <c r="D87" s="14" t="s">
        <v>202</v>
      </c>
      <c r="E87" s="217" t="s">
        <v>613</v>
      </c>
      <c r="F87" s="217" t="s">
        <v>1607</v>
      </c>
      <c r="G87" s="218">
        <v>25199</v>
      </c>
      <c r="H87" s="217" t="s">
        <v>830</v>
      </c>
      <c r="I87" s="217" t="s">
        <v>1608</v>
      </c>
      <c r="J87" s="217" t="s">
        <v>1609</v>
      </c>
      <c r="K87" s="217" t="s">
        <v>690</v>
      </c>
      <c r="L87" s="220">
        <v>1552592143</v>
      </c>
      <c r="M87" s="206">
        <v>682188473</v>
      </c>
      <c r="N87" s="206">
        <v>870403670</v>
      </c>
      <c r="O87" s="206">
        <v>2199525188</v>
      </c>
      <c r="P87" s="206">
        <v>28784541</v>
      </c>
      <c r="Q87" s="206">
        <v>14593912</v>
      </c>
      <c r="R87" s="206">
        <v>8438935</v>
      </c>
      <c r="S87" s="32">
        <v>0</v>
      </c>
      <c r="T87" s="32">
        <v>0</v>
      </c>
      <c r="U87" s="32">
        <v>0</v>
      </c>
      <c r="V87" s="266">
        <f t="shared" si="17"/>
        <v>50</v>
      </c>
      <c r="W87" s="90">
        <f t="shared" si="18"/>
        <v>0.5</v>
      </c>
      <c r="X87" s="32">
        <v>0</v>
      </c>
      <c r="Y87" s="32">
        <v>0</v>
      </c>
      <c r="Z87" s="267">
        <f t="shared" si="19"/>
        <v>0</v>
      </c>
      <c r="AA87" s="268">
        <f t="shared" si="20"/>
        <v>33.333333333333336</v>
      </c>
      <c r="AB87" s="90">
        <f t="shared" si="21"/>
        <v>0.33333333333333337</v>
      </c>
      <c r="AC87" s="32">
        <v>0</v>
      </c>
      <c r="AD87" s="32">
        <v>1</v>
      </c>
      <c r="AE87" s="252">
        <f t="shared" si="22"/>
        <v>75</v>
      </c>
      <c r="AF87" s="90">
        <f t="shared" si="23"/>
        <v>1.5</v>
      </c>
      <c r="AG87" s="32">
        <v>1</v>
      </c>
      <c r="AH87" s="247">
        <f t="shared" si="24"/>
        <v>50</v>
      </c>
      <c r="AI87" s="91">
        <f t="shared" si="25"/>
        <v>0.5</v>
      </c>
      <c r="AJ87" s="32"/>
      <c r="AK87" s="32">
        <v>1</v>
      </c>
      <c r="AL87" s="32">
        <v>0</v>
      </c>
      <c r="AM87" s="32">
        <v>0</v>
      </c>
      <c r="AN87" s="32">
        <v>0</v>
      </c>
      <c r="AO87" s="247">
        <f t="shared" si="16"/>
        <v>1</v>
      </c>
      <c r="AP87" s="247">
        <f t="shared" si="26"/>
        <v>50</v>
      </c>
      <c r="AQ87" s="90">
        <f t="shared" si="27"/>
        <v>1</v>
      </c>
      <c r="AR87" s="32">
        <v>0</v>
      </c>
      <c r="AS87" s="32">
        <v>0</v>
      </c>
      <c r="AT87" s="32">
        <v>0</v>
      </c>
      <c r="AU87" s="272" t="str">
        <f t="shared" si="28"/>
        <v>A</v>
      </c>
      <c r="AV87" s="247">
        <f t="shared" si="29"/>
        <v>100</v>
      </c>
      <c r="AW87" s="90">
        <f t="shared" si="30"/>
        <v>3</v>
      </c>
      <c r="AX87" s="163">
        <f t="shared" si="31"/>
        <v>6.8333333333333339</v>
      </c>
    </row>
    <row r="88" spans="1:50" x14ac:dyDescent="0.6">
      <c r="A88" s="214" t="s">
        <v>1610</v>
      </c>
      <c r="B88" s="13" t="s">
        <v>2067</v>
      </c>
      <c r="C88" s="219" t="s">
        <v>1611</v>
      </c>
      <c r="D88" s="14" t="s">
        <v>203</v>
      </c>
      <c r="E88" s="217" t="s">
        <v>195</v>
      </c>
      <c r="F88" s="217" t="s">
        <v>1612</v>
      </c>
      <c r="G88" s="218">
        <v>38656</v>
      </c>
      <c r="H88" s="217" t="s">
        <v>830</v>
      </c>
      <c r="I88" s="217" t="s">
        <v>1613</v>
      </c>
      <c r="J88" s="217" t="s">
        <v>1614</v>
      </c>
      <c r="K88" s="217" t="s">
        <v>484</v>
      </c>
      <c r="L88" s="220">
        <v>970387263</v>
      </c>
      <c r="M88" s="206">
        <v>262154054</v>
      </c>
      <c r="N88" s="206">
        <v>708233209</v>
      </c>
      <c r="O88" s="206">
        <v>1283527751</v>
      </c>
      <c r="P88" s="206">
        <v>140978130</v>
      </c>
      <c r="Q88" s="206">
        <v>164027486</v>
      </c>
      <c r="R88" s="206">
        <v>128769206</v>
      </c>
      <c r="S88" s="32">
        <v>0</v>
      </c>
      <c r="T88" s="32">
        <v>0</v>
      </c>
      <c r="U88" s="32">
        <v>0</v>
      </c>
      <c r="V88" s="266">
        <f t="shared" si="17"/>
        <v>50</v>
      </c>
      <c r="W88" s="90">
        <f t="shared" si="18"/>
        <v>0.5</v>
      </c>
      <c r="X88" s="32">
        <v>0</v>
      </c>
      <c r="Y88" s="32">
        <v>0</v>
      </c>
      <c r="Z88" s="267">
        <f t="shared" si="19"/>
        <v>0</v>
      </c>
      <c r="AA88" s="268">
        <f t="shared" si="20"/>
        <v>33.333333333333336</v>
      </c>
      <c r="AB88" s="90">
        <f t="shared" si="21"/>
        <v>0.33333333333333337</v>
      </c>
      <c r="AC88" s="32">
        <v>0</v>
      </c>
      <c r="AD88" s="32">
        <v>1</v>
      </c>
      <c r="AE88" s="252">
        <f t="shared" si="22"/>
        <v>75</v>
      </c>
      <c r="AF88" s="90">
        <f t="shared" si="23"/>
        <v>1.5</v>
      </c>
      <c r="AG88" s="32">
        <v>0</v>
      </c>
      <c r="AH88" s="247">
        <f t="shared" si="24"/>
        <v>25</v>
      </c>
      <c r="AI88" s="91">
        <f t="shared" si="25"/>
        <v>0.25</v>
      </c>
      <c r="AJ88" s="32"/>
      <c r="AK88" s="32">
        <v>1</v>
      </c>
      <c r="AL88" s="32">
        <v>0</v>
      </c>
      <c r="AM88" s="32">
        <v>0</v>
      </c>
      <c r="AN88" s="32">
        <v>0</v>
      </c>
      <c r="AO88" s="247">
        <f t="shared" si="16"/>
        <v>1</v>
      </c>
      <c r="AP88" s="247">
        <f t="shared" si="26"/>
        <v>50</v>
      </c>
      <c r="AQ88" s="90">
        <f t="shared" si="27"/>
        <v>1</v>
      </c>
      <c r="AR88" s="32">
        <v>0</v>
      </c>
      <c r="AS88" s="32">
        <v>1</v>
      </c>
      <c r="AT88" s="32">
        <v>0</v>
      </c>
      <c r="AU88" s="272" t="str">
        <f t="shared" si="28"/>
        <v>C</v>
      </c>
      <c r="AV88" s="247">
        <f t="shared" si="29"/>
        <v>50</v>
      </c>
      <c r="AW88" s="90">
        <f t="shared" si="30"/>
        <v>1.5</v>
      </c>
      <c r="AX88" s="163">
        <f t="shared" si="31"/>
        <v>5.0833333333333339</v>
      </c>
    </row>
    <row r="89" spans="1:50" x14ac:dyDescent="0.6">
      <c r="A89" s="214" t="s">
        <v>913</v>
      </c>
      <c r="B89" s="13" t="s">
        <v>2068</v>
      </c>
      <c r="C89" s="219" t="s">
        <v>486</v>
      </c>
      <c r="D89" s="216" t="s">
        <v>191</v>
      </c>
      <c r="E89" s="217" t="s">
        <v>1020</v>
      </c>
      <c r="F89" s="217" t="s">
        <v>156</v>
      </c>
      <c r="G89" s="218">
        <v>25897</v>
      </c>
      <c r="H89" s="217" t="s">
        <v>830</v>
      </c>
      <c r="I89" s="217" t="s">
        <v>204</v>
      </c>
      <c r="J89" s="217" t="s">
        <v>1238</v>
      </c>
      <c r="K89" s="217" t="s">
        <v>91</v>
      </c>
      <c r="L89" s="220">
        <v>891133540</v>
      </c>
      <c r="M89" s="206">
        <v>131474747</v>
      </c>
      <c r="N89" s="206">
        <v>759658793</v>
      </c>
      <c r="O89" s="206">
        <v>462786649</v>
      </c>
      <c r="P89" s="206">
        <v>21452774</v>
      </c>
      <c r="Q89" s="206">
        <v>31309680</v>
      </c>
      <c r="R89" s="206">
        <v>23472409</v>
      </c>
      <c r="S89" s="32">
        <v>0</v>
      </c>
      <c r="T89" s="32">
        <v>0</v>
      </c>
      <c r="U89" s="32">
        <v>0</v>
      </c>
      <c r="V89" s="266">
        <f t="shared" si="17"/>
        <v>50</v>
      </c>
      <c r="W89" s="90">
        <f t="shared" si="18"/>
        <v>0.5</v>
      </c>
      <c r="X89" s="32">
        <v>0</v>
      </c>
      <c r="Y89" s="32">
        <v>0</v>
      </c>
      <c r="Z89" s="267">
        <f t="shared" si="19"/>
        <v>0</v>
      </c>
      <c r="AA89" s="268">
        <f t="shared" si="20"/>
        <v>33.333333333333336</v>
      </c>
      <c r="AB89" s="90">
        <f t="shared" si="21"/>
        <v>0.33333333333333337</v>
      </c>
      <c r="AC89" s="32">
        <v>0</v>
      </c>
      <c r="AD89" s="32">
        <v>0</v>
      </c>
      <c r="AE89" s="252">
        <f t="shared" si="22"/>
        <v>25</v>
      </c>
      <c r="AF89" s="90">
        <f t="shared" si="23"/>
        <v>0.5</v>
      </c>
      <c r="AG89" s="32">
        <v>0</v>
      </c>
      <c r="AH89" s="247">
        <f t="shared" si="24"/>
        <v>25</v>
      </c>
      <c r="AI89" s="91">
        <f t="shared" si="25"/>
        <v>0.25</v>
      </c>
      <c r="AJ89" s="32"/>
      <c r="AK89" s="32">
        <v>1</v>
      </c>
      <c r="AL89" s="32">
        <v>0</v>
      </c>
      <c r="AM89" s="32">
        <v>0</v>
      </c>
      <c r="AN89" s="32">
        <v>0</v>
      </c>
      <c r="AO89" s="247">
        <f t="shared" si="16"/>
        <v>1</v>
      </c>
      <c r="AP89" s="247">
        <f t="shared" si="26"/>
        <v>50</v>
      </c>
      <c r="AQ89" s="90">
        <f t="shared" si="27"/>
        <v>1</v>
      </c>
      <c r="AR89" s="32">
        <v>0</v>
      </c>
      <c r="AS89" s="32">
        <v>0</v>
      </c>
      <c r="AT89" s="32">
        <v>0</v>
      </c>
      <c r="AU89" s="272" t="str">
        <f t="shared" si="28"/>
        <v>A</v>
      </c>
      <c r="AV89" s="247">
        <f t="shared" si="29"/>
        <v>100</v>
      </c>
      <c r="AW89" s="90">
        <f t="shared" si="30"/>
        <v>3</v>
      </c>
      <c r="AX89" s="163">
        <f t="shared" si="31"/>
        <v>5.5833333333333339</v>
      </c>
    </row>
    <row r="90" spans="1:50" x14ac:dyDescent="0.6">
      <c r="A90" s="214" t="s">
        <v>1615</v>
      </c>
      <c r="B90" s="13" t="s">
        <v>2069</v>
      </c>
      <c r="C90" s="219" t="s">
        <v>1616</v>
      </c>
      <c r="D90" s="14" t="s">
        <v>191</v>
      </c>
      <c r="E90" s="217" t="s">
        <v>240</v>
      </c>
      <c r="F90" s="217" t="s">
        <v>1617</v>
      </c>
      <c r="G90" s="218">
        <v>31404</v>
      </c>
      <c r="H90" s="217" t="s">
        <v>830</v>
      </c>
      <c r="I90" s="217" t="s">
        <v>1618</v>
      </c>
      <c r="J90" s="217" t="s">
        <v>1619</v>
      </c>
      <c r="K90" s="217" t="s">
        <v>91</v>
      </c>
      <c r="L90" s="220">
        <v>836764532</v>
      </c>
      <c r="M90" s="206">
        <v>122779865</v>
      </c>
      <c r="N90" s="206">
        <v>713984667</v>
      </c>
      <c r="O90" s="206">
        <v>150864212</v>
      </c>
      <c r="P90" s="206">
        <v>6382962</v>
      </c>
      <c r="Q90" s="206">
        <v>23763677</v>
      </c>
      <c r="R90" s="206">
        <v>33439084</v>
      </c>
      <c r="S90" s="32">
        <v>0</v>
      </c>
      <c r="T90" s="32">
        <v>0</v>
      </c>
      <c r="U90" s="32">
        <v>0</v>
      </c>
      <c r="V90" s="266">
        <f t="shared" si="17"/>
        <v>50</v>
      </c>
      <c r="W90" s="90">
        <f t="shared" si="18"/>
        <v>0.5</v>
      </c>
      <c r="X90" s="32">
        <v>0</v>
      </c>
      <c r="Y90" s="32">
        <v>0</v>
      </c>
      <c r="Z90" s="267">
        <f t="shared" si="19"/>
        <v>0</v>
      </c>
      <c r="AA90" s="268">
        <f t="shared" si="20"/>
        <v>33.333333333333336</v>
      </c>
      <c r="AB90" s="90">
        <f t="shared" si="21"/>
        <v>0.33333333333333337</v>
      </c>
      <c r="AC90" s="32">
        <v>0</v>
      </c>
      <c r="AD90" s="32">
        <v>0</v>
      </c>
      <c r="AE90" s="252">
        <f t="shared" si="22"/>
        <v>25</v>
      </c>
      <c r="AF90" s="90">
        <f t="shared" si="23"/>
        <v>0.5</v>
      </c>
      <c r="AG90" s="32">
        <v>0</v>
      </c>
      <c r="AH90" s="247">
        <f t="shared" si="24"/>
        <v>25</v>
      </c>
      <c r="AI90" s="91">
        <f t="shared" si="25"/>
        <v>0.25</v>
      </c>
      <c r="AJ90" s="32"/>
      <c r="AK90" s="32">
        <v>1</v>
      </c>
      <c r="AL90" s="32">
        <v>0</v>
      </c>
      <c r="AM90" s="32">
        <v>0</v>
      </c>
      <c r="AN90" s="32">
        <v>0</v>
      </c>
      <c r="AO90" s="247">
        <f t="shared" si="16"/>
        <v>1</v>
      </c>
      <c r="AP90" s="247">
        <f t="shared" si="26"/>
        <v>50</v>
      </c>
      <c r="AQ90" s="90">
        <f t="shared" si="27"/>
        <v>1</v>
      </c>
      <c r="AR90" s="32">
        <v>0</v>
      </c>
      <c r="AS90" s="32">
        <v>0</v>
      </c>
      <c r="AT90" s="32">
        <v>0</v>
      </c>
      <c r="AU90" s="272" t="str">
        <f t="shared" si="28"/>
        <v>A</v>
      </c>
      <c r="AV90" s="247">
        <f t="shared" si="29"/>
        <v>100</v>
      </c>
      <c r="AW90" s="90">
        <f t="shared" si="30"/>
        <v>3</v>
      </c>
      <c r="AX90" s="163">
        <f t="shared" si="31"/>
        <v>5.5833333333333339</v>
      </c>
    </row>
    <row r="91" spans="1:50" x14ac:dyDescent="0.6">
      <c r="A91" s="214" t="s">
        <v>721</v>
      </c>
      <c r="B91" s="13" t="s">
        <v>2070</v>
      </c>
      <c r="C91" s="219" t="s">
        <v>875</v>
      </c>
      <c r="D91" s="216" t="s">
        <v>191</v>
      </c>
      <c r="E91" s="217" t="s">
        <v>190</v>
      </c>
      <c r="F91" s="217" t="s">
        <v>1241</v>
      </c>
      <c r="G91" s="218">
        <v>33136</v>
      </c>
      <c r="H91" s="217" t="s">
        <v>830</v>
      </c>
      <c r="I91" s="217" t="s">
        <v>736</v>
      </c>
      <c r="J91" s="217" t="s">
        <v>1150</v>
      </c>
      <c r="K91" s="217" t="s">
        <v>91</v>
      </c>
      <c r="L91" s="220">
        <v>297649820</v>
      </c>
      <c r="M91" s="206">
        <v>54998742</v>
      </c>
      <c r="N91" s="206">
        <v>242651079</v>
      </c>
      <c r="O91" s="206">
        <v>319305280</v>
      </c>
      <c r="P91" s="206">
        <v>30195182</v>
      </c>
      <c r="Q91" s="206">
        <v>31995216</v>
      </c>
      <c r="R91" s="206">
        <v>25431135</v>
      </c>
      <c r="S91" s="32">
        <v>0</v>
      </c>
      <c r="T91" s="32">
        <v>0</v>
      </c>
      <c r="U91" s="32">
        <v>0</v>
      </c>
      <c r="V91" s="266">
        <f t="shared" si="17"/>
        <v>50</v>
      </c>
      <c r="W91" s="90">
        <f t="shared" si="18"/>
        <v>0.5</v>
      </c>
      <c r="X91" s="32">
        <v>0</v>
      </c>
      <c r="Y91" s="32">
        <v>0</v>
      </c>
      <c r="Z91" s="267">
        <f t="shared" si="19"/>
        <v>0</v>
      </c>
      <c r="AA91" s="268">
        <f t="shared" si="20"/>
        <v>33.333333333333336</v>
      </c>
      <c r="AB91" s="90">
        <f t="shared" si="21"/>
        <v>0.33333333333333337</v>
      </c>
      <c r="AC91" s="32">
        <v>0</v>
      </c>
      <c r="AD91" s="32">
        <v>0</v>
      </c>
      <c r="AE91" s="252">
        <f t="shared" si="22"/>
        <v>25</v>
      </c>
      <c r="AF91" s="90">
        <f t="shared" si="23"/>
        <v>0.5</v>
      </c>
      <c r="AG91" s="32">
        <v>0</v>
      </c>
      <c r="AH91" s="247">
        <f t="shared" si="24"/>
        <v>25</v>
      </c>
      <c r="AI91" s="91">
        <f t="shared" si="25"/>
        <v>0.25</v>
      </c>
      <c r="AJ91" s="32"/>
      <c r="AK91" s="32">
        <v>0</v>
      </c>
      <c r="AL91" s="32">
        <v>1</v>
      </c>
      <c r="AM91" s="32">
        <v>0</v>
      </c>
      <c r="AN91" s="32">
        <v>0</v>
      </c>
      <c r="AO91" s="247">
        <f t="shared" si="16"/>
        <v>1</v>
      </c>
      <c r="AP91" s="247">
        <f t="shared" si="26"/>
        <v>50</v>
      </c>
      <c r="AQ91" s="90">
        <f t="shared" si="27"/>
        <v>1</v>
      </c>
      <c r="AR91" s="32">
        <v>0</v>
      </c>
      <c r="AS91" s="32">
        <v>0</v>
      </c>
      <c r="AT91" s="32">
        <v>0</v>
      </c>
      <c r="AU91" s="272" t="str">
        <f t="shared" si="28"/>
        <v>A</v>
      </c>
      <c r="AV91" s="247">
        <f t="shared" si="29"/>
        <v>100</v>
      </c>
      <c r="AW91" s="90">
        <f t="shared" si="30"/>
        <v>3</v>
      </c>
      <c r="AX91" s="163">
        <f t="shared" si="31"/>
        <v>5.5833333333333339</v>
      </c>
    </row>
    <row r="92" spans="1:50" x14ac:dyDescent="0.6">
      <c r="A92" s="214" t="s">
        <v>408</v>
      </c>
      <c r="B92" s="13" t="s">
        <v>2071</v>
      </c>
      <c r="C92" s="219" t="s">
        <v>874</v>
      </c>
      <c r="D92" s="216" t="s">
        <v>285</v>
      </c>
      <c r="E92" s="217" t="s">
        <v>1034</v>
      </c>
      <c r="F92" s="217" t="s">
        <v>987</v>
      </c>
      <c r="G92" s="218">
        <v>32444</v>
      </c>
      <c r="H92" s="217" t="s">
        <v>830</v>
      </c>
      <c r="I92" s="217" t="s">
        <v>752</v>
      </c>
      <c r="J92" s="217" t="s">
        <v>1059</v>
      </c>
      <c r="K92" s="217" t="s">
        <v>1620</v>
      </c>
      <c r="L92" s="220">
        <v>823154130</v>
      </c>
      <c r="M92" s="206">
        <v>397729314</v>
      </c>
      <c r="N92" s="206">
        <v>425424816</v>
      </c>
      <c r="O92" s="206">
        <v>297680162</v>
      </c>
      <c r="P92" s="206">
        <v>45164807</v>
      </c>
      <c r="Q92" s="206">
        <v>31718775</v>
      </c>
      <c r="R92" s="206">
        <v>23212712</v>
      </c>
      <c r="S92" s="32">
        <v>0</v>
      </c>
      <c r="T92" s="32">
        <v>0</v>
      </c>
      <c r="U92" s="32">
        <v>0</v>
      </c>
      <c r="V92" s="266">
        <f t="shared" si="17"/>
        <v>50</v>
      </c>
      <c r="W92" s="90">
        <f t="shared" si="18"/>
        <v>0.5</v>
      </c>
      <c r="X92" s="32">
        <v>0</v>
      </c>
      <c r="Y92" s="32">
        <v>0</v>
      </c>
      <c r="Z92" s="267">
        <f t="shared" si="19"/>
        <v>0</v>
      </c>
      <c r="AA92" s="268">
        <f t="shared" si="20"/>
        <v>33.333333333333336</v>
      </c>
      <c r="AB92" s="90">
        <f t="shared" si="21"/>
        <v>0.33333333333333337</v>
      </c>
      <c r="AC92" s="32">
        <v>0</v>
      </c>
      <c r="AD92" s="32">
        <v>1</v>
      </c>
      <c r="AE92" s="252">
        <f t="shared" si="22"/>
        <v>75</v>
      </c>
      <c r="AF92" s="90">
        <f t="shared" si="23"/>
        <v>1.5</v>
      </c>
      <c r="AG92" s="32">
        <v>0</v>
      </c>
      <c r="AH92" s="247">
        <f t="shared" si="24"/>
        <v>25</v>
      </c>
      <c r="AI92" s="91">
        <f t="shared" si="25"/>
        <v>0.25</v>
      </c>
      <c r="AJ92" s="32"/>
      <c r="AK92" s="32">
        <v>0</v>
      </c>
      <c r="AL92" s="32">
        <v>0</v>
      </c>
      <c r="AM92" s="32">
        <v>0</v>
      </c>
      <c r="AN92" s="32">
        <v>0</v>
      </c>
      <c r="AO92" s="247">
        <f t="shared" si="16"/>
        <v>0</v>
      </c>
      <c r="AP92" s="247">
        <f t="shared" si="26"/>
        <v>25</v>
      </c>
      <c r="AQ92" s="90">
        <f t="shared" si="27"/>
        <v>0.5</v>
      </c>
      <c r="AR92" s="32">
        <v>0</v>
      </c>
      <c r="AS92" s="32">
        <v>0</v>
      </c>
      <c r="AT92" s="32">
        <v>0</v>
      </c>
      <c r="AU92" s="272" t="str">
        <f t="shared" si="28"/>
        <v>A</v>
      </c>
      <c r="AV92" s="247">
        <f t="shared" si="29"/>
        <v>100</v>
      </c>
      <c r="AW92" s="90">
        <f t="shared" si="30"/>
        <v>3</v>
      </c>
      <c r="AX92" s="163">
        <f t="shared" si="31"/>
        <v>6.0833333333333339</v>
      </c>
    </row>
    <row r="93" spans="1:50" x14ac:dyDescent="0.6">
      <c r="A93" s="214" t="s">
        <v>1621</v>
      </c>
      <c r="B93" s="13" t="s">
        <v>2072</v>
      </c>
      <c r="C93" s="219" t="s">
        <v>1622</v>
      </c>
      <c r="D93" s="14" t="s">
        <v>203</v>
      </c>
      <c r="E93" s="217" t="s">
        <v>246</v>
      </c>
      <c r="F93" s="217" t="s">
        <v>1623</v>
      </c>
      <c r="G93" s="218">
        <v>32045</v>
      </c>
      <c r="H93" s="217" t="s">
        <v>830</v>
      </c>
      <c r="I93" s="217" t="s">
        <v>1624</v>
      </c>
      <c r="J93" s="217" t="s">
        <v>1625</v>
      </c>
      <c r="K93" s="217" t="s">
        <v>690</v>
      </c>
      <c r="L93" s="220">
        <v>120573135</v>
      </c>
      <c r="M93" s="206">
        <v>37891105</v>
      </c>
      <c r="N93" s="206">
        <v>82682030</v>
      </c>
      <c r="O93" s="206">
        <v>116399706</v>
      </c>
      <c r="P93" s="206">
        <v>4903685</v>
      </c>
      <c r="Q93" s="206">
        <v>6345779</v>
      </c>
      <c r="R93" s="206">
        <v>5059159</v>
      </c>
      <c r="S93" s="32">
        <v>0</v>
      </c>
      <c r="T93" s="32">
        <v>0</v>
      </c>
      <c r="U93" s="32">
        <v>0</v>
      </c>
      <c r="V93" s="266">
        <f t="shared" si="17"/>
        <v>50</v>
      </c>
      <c r="W93" s="90">
        <f t="shared" si="18"/>
        <v>0.5</v>
      </c>
      <c r="X93" s="32">
        <v>0</v>
      </c>
      <c r="Y93" s="32">
        <v>0</v>
      </c>
      <c r="Z93" s="267">
        <f t="shared" si="19"/>
        <v>0</v>
      </c>
      <c r="AA93" s="268">
        <f t="shared" si="20"/>
        <v>33.333333333333336</v>
      </c>
      <c r="AB93" s="90">
        <f t="shared" si="21"/>
        <v>0.33333333333333337</v>
      </c>
      <c r="AC93" s="32">
        <v>0</v>
      </c>
      <c r="AD93" s="32">
        <v>0</v>
      </c>
      <c r="AE93" s="252">
        <f t="shared" si="22"/>
        <v>25</v>
      </c>
      <c r="AF93" s="90">
        <f t="shared" si="23"/>
        <v>0.5</v>
      </c>
      <c r="AG93" s="32">
        <v>0</v>
      </c>
      <c r="AH93" s="247">
        <f t="shared" si="24"/>
        <v>25</v>
      </c>
      <c r="AI93" s="91">
        <f t="shared" si="25"/>
        <v>0.25</v>
      </c>
      <c r="AJ93" s="32"/>
      <c r="AK93" s="32">
        <v>1</v>
      </c>
      <c r="AL93" s="32">
        <v>0</v>
      </c>
      <c r="AM93" s="32">
        <v>0</v>
      </c>
      <c r="AN93" s="32">
        <v>0</v>
      </c>
      <c r="AO93" s="247">
        <f t="shared" si="16"/>
        <v>1</v>
      </c>
      <c r="AP93" s="247">
        <f t="shared" si="26"/>
        <v>50</v>
      </c>
      <c r="AQ93" s="90">
        <f t="shared" si="27"/>
        <v>1</v>
      </c>
      <c r="AR93" s="32">
        <v>0</v>
      </c>
      <c r="AS93" s="32">
        <v>0</v>
      </c>
      <c r="AT93" s="32">
        <v>0</v>
      </c>
      <c r="AU93" s="272" t="str">
        <f t="shared" si="28"/>
        <v>A</v>
      </c>
      <c r="AV93" s="247">
        <f t="shared" si="29"/>
        <v>100</v>
      </c>
      <c r="AW93" s="90">
        <f t="shared" si="30"/>
        <v>3</v>
      </c>
      <c r="AX93" s="163">
        <f t="shared" si="31"/>
        <v>5.5833333333333339</v>
      </c>
    </row>
    <row r="94" spans="1:50" x14ac:dyDescent="0.6">
      <c r="A94" s="214" t="s">
        <v>767</v>
      </c>
      <c r="B94" s="13" t="s">
        <v>2073</v>
      </c>
      <c r="C94" s="219" t="s">
        <v>297</v>
      </c>
      <c r="D94" s="216" t="s">
        <v>202</v>
      </c>
      <c r="E94" s="217" t="s">
        <v>189</v>
      </c>
      <c r="F94" s="217" t="s">
        <v>177</v>
      </c>
      <c r="G94" s="218">
        <v>42809</v>
      </c>
      <c r="H94" s="217" t="s">
        <v>830</v>
      </c>
      <c r="I94" s="217" t="s">
        <v>714</v>
      </c>
      <c r="J94" s="217" t="s">
        <v>1154</v>
      </c>
      <c r="K94" s="217" t="s">
        <v>91</v>
      </c>
      <c r="L94" s="220">
        <v>605644843</v>
      </c>
      <c r="M94" s="206">
        <v>281549415</v>
      </c>
      <c r="N94" s="206">
        <v>324095428</v>
      </c>
      <c r="O94" s="206">
        <v>285310921</v>
      </c>
      <c r="P94" s="206">
        <v>109357470</v>
      </c>
      <c r="Q94" s="206">
        <v>87471331</v>
      </c>
      <c r="R94" s="206">
        <v>61496044</v>
      </c>
      <c r="S94" s="32">
        <v>0</v>
      </c>
      <c r="T94" s="32">
        <v>0</v>
      </c>
      <c r="U94" s="32">
        <v>0</v>
      </c>
      <c r="V94" s="266">
        <f t="shared" si="17"/>
        <v>50</v>
      </c>
      <c r="W94" s="90">
        <f t="shared" si="18"/>
        <v>0.5</v>
      </c>
      <c r="X94" s="32">
        <v>0</v>
      </c>
      <c r="Y94" s="32">
        <v>0</v>
      </c>
      <c r="Z94" s="267">
        <f t="shared" si="19"/>
        <v>0</v>
      </c>
      <c r="AA94" s="268">
        <f t="shared" si="20"/>
        <v>33.333333333333336</v>
      </c>
      <c r="AB94" s="90">
        <f t="shared" si="21"/>
        <v>0.33333333333333337</v>
      </c>
      <c r="AC94" s="32">
        <v>0</v>
      </c>
      <c r="AD94" s="32">
        <v>0</v>
      </c>
      <c r="AE94" s="252">
        <f t="shared" si="22"/>
        <v>25</v>
      </c>
      <c r="AF94" s="90">
        <f t="shared" si="23"/>
        <v>0.5</v>
      </c>
      <c r="AG94" s="32">
        <v>0</v>
      </c>
      <c r="AH94" s="247">
        <f t="shared" si="24"/>
        <v>25</v>
      </c>
      <c r="AI94" s="91">
        <f t="shared" si="25"/>
        <v>0.25</v>
      </c>
      <c r="AJ94" s="32"/>
      <c r="AK94" s="32">
        <v>0</v>
      </c>
      <c r="AL94" s="32">
        <v>0</v>
      </c>
      <c r="AM94" s="32">
        <v>0</v>
      </c>
      <c r="AN94" s="32">
        <v>0</v>
      </c>
      <c r="AO94" s="247">
        <f t="shared" si="16"/>
        <v>0</v>
      </c>
      <c r="AP94" s="247">
        <f t="shared" si="26"/>
        <v>25</v>
      </c>
      <c r="AQ94" s="90">
        <f t="shared" si="27"/>
        <v>0.5</v>
      </c>
      <c r="AR94" s="32">
        <v>0</v>
      </c>
      <c r="AS94" s="32">
        <v>0</v>
      </c>
      <c r="AT94" s="32">
        <v>0</v>
      </c>
      <c r="AU94" s="272" t="str">
        <f t="shared" si="28"/>
        <v>A</v>
      </c>
      <c r="AV94" s="247">
        <f t="shared" si="29"/>
        <v>100</v>
      </c>
      <c r="AW94" s="90">
        <f t="shared" si="30"/>
        <v>3</v>
      </c>
      <c r="AX94" s="163">
        <f t="shared" si="31"/>
        <v>5.0833333333333339</v>
      </c>
    </row>
    <row r="95" spans="1:50" x14ac:dyDescent="0.6">
      <c r="A95" s="214" t="s">
        <v>468</v>
      </c>
      <c r="B95" s="13" t="s">
        <v>2074</v>
      </c>
      <c r="C95" s="219" t="s">
        <v>527</v>
      </c>
      <c r="D95" s="216" t="s">
        <v>285</v>
      </c>
      <c r="E95" s="217" t="s">
        <v>1167</v>
      </c>
      <c r="F95" s="217" t="s">
        <v>646</v>
      </c>
      <c r="G95" s="218">
        <v>40402</v>
      </c>
      <c r="H95" s="217" t="s">
        <v>830</v>
      </c>
      <c r="I95" s="217" t="s">
        <v>1626</v>
      </c>
      <c r="J95" s="217" t="s">
        <v>1063</v>
      </c>
      <c r="K95" s="217" t="s">
        <v>91</v>
      </c>
      <c r="L95" s="220">
        <v>495800634</v>
      </c>
      <c r="M95" s="206">
        <v>219426512</v>
      </c>
      <c r="N95" s="206">
        <v>276374122</v>
      </c>
      <c r="O95" s="206">
        <v>550919165</v>
      </c>
      <c r="P95" s="206">
        <v>10121946</v>
      </c>
      <c r="Q95" s="206">
        <v>5248704</v>
      </c>
      <c r="R95" s="206">
        <v>3912437</v>
      </c>
      <c r="S95" s="32">
        <v>0</v>
      </c>
      <c r="T95" s="32">
        <v>0</v>
      </c>
      <c r="U95" s="32">
        <v>0</v>
      </c>
      <c r="V95" s="266">
        <f t="shared" si="17"/>
        <v>50</v>
      </c>
      <c r="W95" s="90">
        <f t="shared" si="18"/>
        <v>0.5</v>
      </c>
      <c r="X95" s="32">
        <v>0</v>
      </c>
      <c r="Y95" s="32">
        <v>0</v>
      </c>
      <c r="Z95" s="267">
        <f t="shared" si="19"/>
        <v>0</v>
      </c>
      <c r="AA95" s="268">
        <f t="shared" si="20"/>
        <v>33.333333333333336</v>
      </c>
      <c r="AB95" s="90">
        <f t="shared" si="21"/>
        <v>0.33333333333333337</v>
      </c>
      <c r="AC95" s="32">
        <v>0</v>
      </c>
      <c r="AD95" s="32">
        <v>0</v>
      </c>
      <c r="AE95" s="252">
        <f t="shared" si="22"/>
        <v>25</v>
      </c>
      <c r="AF95" s="90">
        <f t="shared" si="23"/>
        <v>0.5</v>
      </c>
      <c r="AG95" s="32">
        <v>0</v>
      </c>
      <c r="AH95" s="247">
        <f t="shared" si="24"/>
        <v>25</v>
      </c>
      <c r="AI95" s="91">
        <f t="shared" si="25"/>
        <v>0.25</v>
      </c>
      <c r="AJ95" s="32"/>
      <c r="AK95" s="32">
        <v>0</v>
      </c>
      <c r="AL95" s="32">
        <v>0</v>
      </c>
      <c r="AM95" s="32">
        <v>0</v>
      </c>
      <c r="AN95" s="32">
        <v>0</v>
      </c>
      <c r="AO95" s="247">
        <f t="shared" si="16"/>
        <v>0</v>
      </c>
      <c r="AP95" s="247">
        <f t="shared" si="26"/>
        <v>25</v>
      </c>
      <c r="AQ95" s="90">
        <f t="shared" si="27"/>
        <v>0.5</v>
      </c>
      <c r="AR95" s="32">
        <v>0</v>
      </c>
      <c r="AS95" s="32">
        <v>0</v>
      </c>
      <c r="AT95" s="32">
        <v>0</v>
      </c>
      <c r="AU95" s="272" t="str">
        <f t="shared" si="28"/>
        <v>A</v>
      </c>
      <c r="AV95" s="247">
        <f t="shared" si="29"/>
        <v>100</v>
      </c>
      <c r="AW95" s="90">
        <f t="shared" si="30"/>
        <v>3</v>
      </c>
      <c r="AX95" s="163">
        <f t="shared" si="31"/>
        <v>5.0833333333333339</v>
      </c>
    </row>
    <row r="96" spans="1:50" x14ac:dyDescent="0.6">
      <c r="A96" s="214" t="s">
        <v>507</v>
      </c>
      <c r="B96" s="13" t="s">
        <v>2075</v>
      </c>
      <c r="C96" s="219" t="s">
        <v>548</v>
      </c>
      <c r="D96" s="216" t="s">
        <v>203</v>
      </c>
      <c r="E96" s="217" t="s">
        <v>180</v>
      </c>
      <c r="F96" s="217" t="s">
        <v>1176</v>
      </c>
      <c r="G96" s="218">
        <v>35423</v>
      </c>
      <c r="H96" s="217" t="s">
        <v>830</v>
      </c>
      <c r="I96" s="217" t="s">
        <v>571</v>
      </c>
      <c r="J96" s="217" t="s">
        <v>1163</v>
      </c>
      <c r="K96" s="217" t="s">
        <v>425</v>
      </c>
      <c r="L96" s="220">
        <v>92085226</v>
      </c>
      <c r="M96" s="206">
        <v>42058880</v>
      </c>
      <c r="N96" s="206">
        <v>50026346</v>
      </c>
      <c r="O96" s="206">
        <v>193400697</v>
      </c>
      <c r="P96" s="206">
        <v>13461075</v>
      </c>
      <c r="Q96" s="206">
        <v>12948368</v>
      </c>
      <c r="R96" s="206">
        <v>10621743</v>
      </c>
      <c r="S96" s="32">
        <v>0</v>
      </c>
      <c r="T96" s="32">
        <v>0</v>
      </c>
      <c r="U96" s="32">
        <v>0</v>
      </c>
      <c r="V96" s="266">
        <f t="shared" si="17"/>
        <v>50</v>
      </c>
      <c r="W96" s="90">
        <f t="shared" si="18"/>
        <v>0.5</v>
      </c>
      <c r="X96" s="32">
        <v>0</v>
      </c>
      <c r="Y96" s="32">
        <v>0</v>
      </c>
      <c r="Z96" s="267">
        <f t="shared" si="19"/>
        <v>0</v>
      </c>
      <c r="AA96" s="268">
        <f t="shared" si="20"/>
        <v>33.333333333333336</v>
      </c>
      <c r="AB96" s="90">
        <f t="shared" si="21"/>
        <v>0.33333333333333337</v>
      </c>
      <c r="AC96" s="32">
        <v>0</v>
      </c>
      <c r="AD96" s="32">
        <v>0</v>
      </c>
      <c r="AE96" s="252">
        <f t="shared" si="22"/>
        <v>25</v>
      </c>
      <c r="AF96" s="90">
        <f t="shared" si="23"/>
        <v>0.5</v>
      </c>
      <c r="AG96" s="32">
        <v>0</v>
      </c>
      <c r="AH96" s="247">
        <f t="shared" si="24"/>
        <v>25</v>
      </c>
      <c r="AI96" s="91">
        <f t="shared" si="25"/>
        <v>0.25</v>
      </c>
      <c r="AJ96" s="32"/>
      <c r="AK96" s="32">
        <v>1</v>
      </c>
      <c r="AL96" s="32">
        <v>0</v>
      </c>
      <c r="AM96" s="32">
        <v>0</v>
      </c>
      <c r="AN96" s="32">
        <v>0</v>
      </c>
      <c r="AO96" s="247">
        <f t="shared" si="16"/>
        <v>1</v>
      </c>
      <c r="AP96" s="247">
        <f t="shared" si="26"/>
        <v>50</v>
      </c>
      <c r="AQ96" s="90">
        <f t="shared" si="27"/>
        <v>1</v>
      </c>
      <c r="AR96" s="32">
        <v>0</v>
      </c>
      <c r="AS96" s="32">
        <v>0</v>
      </c>
      <c r="AT96" s="32">
        <v>0</v>
      </c>
      <c r="AU96" s="272" t="str">
        <f t="shared" si="28"/>
        <v>A</v>
      </c>
      <c r="AV96" s="247">
        <f t="shared" si="29"/>
        <v>100</v>
      </c>
      <c r="AW96" s="90">
        <f t="shared" si="30"/>
        <v>3</v>
      </c>
      <c r="AX96" s="163">
        <f t="shared" si="31"/>
        <v>5.5833333333333339</v>
      </c>
    </row>
    <row r="97" spans="1:50" x14ac:dyDescent="0.6">
      <c r="A97" s="214" t="s">
        <v>1627</v>
      </c>
      <c r="B97" s="13" t="s">
        <v>2076</v>
      </c>
      <c r="C97" s="219" t="s">
        <v>856</v>
      </c>
      <c r="D97" s="216" t="s">
        <v>203</v>
      </c>
      <c r="E97" s="217" t="s">
        <v>1067</v>
      </c>
      <c r="F97" s="217" t="s">
        <v>154</v>
      </c>
      <c r="G97" s="218">
        <v>28305</v>
      </c>
      <c r="H97" s="217" t="s">
        <v>830</v>
      </c>
      <c r="I97" s="217" t="s">
        <v>194</v>
      </c>
      <c r="J97" s="217" t="s">
        <v>665</v>
      </c>
      <c r="K97" s="217" t="s">
        <v>91</v>
      </c>
      <c r="L97" s="220">
        <v>215451170</v>
      </c>
      <c r="M97" s="206">
        <v>65681714</v>
      </c>
      <c r="N97" s="206">
        <v>149769456</v>
      </c>
      <c r="O97" s="206">
        <v>146246080</v>
      </c>
      <c r="P97" s="206">
        <v>9308222</v>
      </c>
      <c r="Q97" s="206">
        <v>8741705</v>
      </c>
      <c r="R97" s="206">
        <v>6752046</v>
      </c>
      <c r="S97" s="32">
        <v>0</v>
      </c>
      <c r="T97" s="32">
        <v>0</v>
      </c>
      <c r="U97" s="32">
        <v>0</v>
      </c>
      <c r="V97" s="266">
        <f t="shared" si="17"/>
        <v>50</v>
      </c>
      <c r="W97" s="90">
        <f t="shared" si="18"/>
        <v>0.5</v>
      </c>
      <c r="X97" s="32">
        <v>0</v>
      </c>
      <c r="Y97" s="32">
        <v>0</v>
      </c>
      <c r="Z97" s="267">
        <f t="shared" si="19"/>
        <v>0</v>
      </c>
      <c r="AA97" s="268">
        <f t="shared" si="20"/>
        <v>33.333333333333336</v>
      </c>
      <c r="AB97" s="90">
        <f t="shared" si="21"/>
        <v>0.33333333333333337</v>
      </c>
      <c r="AC97" s="32">
        <v>0</v>
      </c>
      <c r="AD97" s="32">
        <v>1</v>
      </c>
      <c r="AE97" s="252">
        <f t="shared" si="22"/>
        <v>75</v>
      </c>
      <c r="AF97" s="90">
        <f t="shared" si="23"/>
        <v>1.5</v>
      </c>
      <c r="AG97" s="32">
        <v>0</v>
      </c>
      <c r="AH97" s="247">
        <f t="shared" si="24"/>
        <v>25</v>
      </c>
      <c r="AI97" s="91">
        <f t="shared" si="25"/>
        <v>0.25</v>
      </c>
      <c r="AJ97" s="32"/>
      <c r="AK97" s="32">
        <v>1</v>
      </c>
      <c r="AL97" s="32">
        <v>0</v>
      </c>
      <c r="AM97" s="32">
        <v>0</v>
      </c>
      <c r="AN97" s="32">
        <v>0</v>
      </c>
      <c r="AO97" s="247">
        <f t="shared" si="16"/>
        <v>1</v>
      </c>
      <c r="AP97" s="247">
        <f t="shared" si="26"/>
        <v>50</v>
      </c>
      <c r="AQ97" s="90">
        <f t="shared" si="27"/>
        <v>1</v>
      </c>
      <c r="AR97" s="32">
        <v>0</v>
      </c>
      <c r="AS97" s="32">
        <v>0</v>
      </c>
      <c r="AT97" s="32">
        <v>0</v>
      </c>
      <c r="AU97" s="272" t="str">
        <f t="shared" si="28"/>
        <v>A</v>
      </c>
      <c r="AV97" s="247">
        <f t="shared" si="29"/>
        <v>100</v>
      </c>
      <c r="AW97" s="90">
        <f t="shared" si="30"/>
        <v>3</v>
      </c>
      <c r="AX97" s="163">
        <f t="shared" si="31"/>
        <v>6.5833333333333339</v>
      </c>
    </row>
    <row r="98" spans="1:50" x14ac:dyDescent="0.6">
      <c r="A98" s="214" t="s">
        <v>868</v>
      </c>
      <c r="B98" s="13" t="s">
        <v>2077</v>
      </c>
      <c r="C98" s="219" t="s">
        <v>538</v>
      </c>
      <c r="D98" s="216" t="s">
        <v>285</v>
      </c>
      <c r="E98" s="217" t="s">
        <v>867</v>
      </c>
      <c r="F98" s="217" t="s">
        <v>149</v>
      </c>
      <c r="G98" s="218">
        <v>28793</v>
      </c>
      <c r="H98" s="217" t="s">
        <v>830</v>
      </c>
      <c r="I98" s="217" t="s">
        <v>1628</v>
      </c>
      <c r="J98" s="217" t="s">
        <v>1155</v>
      </c>
      <c r="K98" s="217" t="s">
        <v>91</v>
      </c>
      <c r="L98" s="220">
        <v>1256174707</v>
      </c>
      <c r="M98" s="206">
        <v>687867321</v>
      </c>
      <c r="N98" s="206">
        <v>568307386</v>
      </c>
      <c r="O98" s="206">
        <v>1300137418</v>
      </c>
      <c r="P98" s="206">
        <v>26971265</v>
      </c>
      <c r="Q98" s="206">
        <v>57193340</v>
      </c>
      <c r="R98" s="206">
        <v>46104412</v>
      </c>
      <c r="S98" s="32">
        <v>0</v>
      </c>
      <c r="T98" s="32">
        <v>1</v>
      </c>
      <c r="U98" s="32">
        <v>0</v>
      </c>
      <c r="V98" s="266">
        <f t="shared" si="17"/>
        <v>100</v>
      </c>
      <c r="W98" s="90">
        <f t="shared" si="18"/>
        <v>1</v>
      </c>
      <c r="X98" s="32">
        <v>0</v>
      </c>
      <c r="Y98" s="32">
        <v>0</v>
      </c>
      <c r="Z98" s="267">
        <f t="shared" si="19"/>
        <v>0</v>
      </c>
      <c r="AA98" s="268">
        <f t="shared" si="20"/>
        <v>33.333333333333336</v>
      </c>
      <c r="AB98" s="90">
        <f t="shared" si="21"/>
        <v>0.33333333333333337</v>
      </c>
      <c r="AC98" s="32">
        <v>0</v>
      </c>
      <c r="AD98" s="32">
        <v>1</v>
      </c>
      <c r="AE98" s="252">
        <f t="shared" si="22"/>
        <v>75</v>
      </c>
      <c r="AF98" s="90">
        <f t="shared" si="23"/>
        <v>1.5</v>
      </c>
      <c r="AG98" s="32">
        <v>1</v>
      </c>
      <c r="AH98" s="247">
        <f t="shared" si="24"/>
        <v>50</v>
      </c>
      <c r="AI98" s="91">
        <f t="shared" si="25"/>
        <v>0.5</v>
      </c>
      <c r="AJ98" s="32"/>
      <c r="AK98" s="32">
        <v>0</v>
      </c>
      <c r="AL98" s="32">
        <v>0</v>
      </c>
      <c r="AM98" s="32">
        <v>0</v>
      </c>
      <c r="AN98" s="32">
        <v>0</v>
      </c>
      <c r="AO98" s="247">
        <f t="shared" si="16"/>
        <v>0</v>
      </c>
      <c r="AP98" s="247">
        <f t="shared" si="26"/>
        <v>25</v>
      </c>
      <c r="AQ98" s="90">
        <f t="shared" si="27"/>
        <v>0.5</v>
      </c>
      <c r="AR98" s="32">
        <v>0</v>
      </c>
      <c r="AS98" s="32">
        <v>0</v>
      </c>
      <c r="AT98" s="32">
        <v>0</v>
      </c>
      <c r="AU98" s="272" t="str">
        <f t="shared" si="28"/>
        <v>A</v>
      </c>
      <c r="AV98" s="247">
        <f t="shared" si="29"/>
        <v>100</v>
      </c>
      <c r="AW98" s="90">
        <f t="shared" si="30"/>
        <v>3</v>
      </c>
      <c r="AX98" s="163">
        <f t="shared" si="31"/>
        <v>6.8333333333333339</v>
      </c>
    </row>
    <row r="99" spans="1:50" x14ac:dyDescent="0.6">
      <c r="A99" s="214" t="s">
        <v>782</v>
      </c>
      <c r="B99" s="13" t="s">
        <v>2078</v>
      </c>
      <c r="C99" s="219" t="s">
        <v>431</v>
      </c>
      <c r="D99" s="216" t="s">
        <v>285</v>
      </c>
      <c r="E99" s="217" t="s">
        <v>568</v>
      </c>
      <c r="F99" s="217" t="s">
        <v>1036</v>
      </c>
      <c r="G99" s="218">
        <v>42566</v>
      </c>
      <c r="H99" s="217" t="s">
        <v>830</v>
      </c>
      <c r="I99" s="217" t="s">
        <v>699</v>
      </c>
      <c r="J99" s="217" t="s">
        <v>1022</v>
      </c>
      <c r="K99" s="217" t="s">
        <v>91</v>
      </c>
      <c r="L99" s="220">
        <v>1605210800</v>
      </c>
      <c r="M99" s="206">
        <v>74995068</v>
      </c>
      <c r="N99" s="206">
        <v>1530215732</v>
      </c>
      <c r="O99" s="206">
        <v>516898546</v>
      </c>
      <c r="P99" s="206">
        <v>34700109</v>
      </c>
      <c r="Q99" s="206">
        <v>126366266</v>
      </c>
      <c r="R99" s="206">
        <v>167855852</v>
      </c>
      <c r="S99" s="32">
        <v>0</v>
      </c>
      <c r="T99" s="32">
        <v>0</v>
      </c>
      <c r="U99" s="32">
        <v>0</v>
      </c>
      <c r="V99" s="266">
        <f t="shared" si="17"/>
        <v>50</v>
      </c>
      <c r="W99" s="90">
        <f t="shared" si="18"/>
        <v>0.5</v>
      </c>
      <c r="X99" s="32">
        <v>0</v>
      </c>
      <c r="Y99" s="32">
        <v>0</v>
      </c>
      <c r="Z99" s="267">
        <f t="shared" si="19"/>
        <v>0</v>
      </c>
      <c r="AA99" s="268">
        <f t="shared" si="20"/>
        <v>33.333333333333336</v>
      </c>
      <c r="AB99" s="90">
        <f t="shared" si="21"/>
        <v>0.33333333333333337</v>
      </c>
      <c r="AC99" s="32">
        <v>0</v>
      </c>
      <c r="AD99" s="32">
        <v>1</v>
      </c>
      <c r="AE99" s="252">
        <f t="shared" si="22"/>
        <v>75</v>
      </c>
      <c r="AF99" s="90">
        <f t="shared" si="23"/>
        <v>1.5</v>
      </c>
      <c r="AG99" s="32">
        <v>0</v>
      </c>
      <c r="AH99" s="247">
        <f t="shared" si="24"/>
        <v>25</v>
      </c>
      <c r="AI99" s="91">
        <f t="shared" si="25"/>
        <v>0.25</v>
      </c>
      <c r="AJ99" s="32"/>
      <c r="AK99" s="32">
        <v>0</v>
      </c>
      <c r="AL99" s="32">
        <v>0</v>
      </c>
      <c r="AM99" s="32">
        <v>0</v>
      </c>
      <c r="AN99" s="32">
        <v>0</v>
      </c>
      <c r="AO99" s="247">
        <f t="shared" si="16"/>
        <v>0</v>
      </c>
      <c r="AP99" s="247">
        <f t="shared" si="26"/>
        <v>25</v>
      </c>
      <c r="AQ99" s="90">
        <f t="shared" si="27"/>
        <v>0.5</v>
      </c>
      <c r="AR99" s="32">
        <v>0</v>
      </c>
      <c r="AS99" s="32">
        <v>0</v>
      </c>
      <c r="AT99" s="32">
        <v>0</v>
      </c>
      <c r="AU99" s="272" t="str">
        <f t="shared" si="28"/>
        <v>A</v>
      </c>
      <c r="AV99" s="247">
        <f t="shared" si="29"/>
        <v>100</v>
      </c>
      <c r="AW99" s="90">
        <f t="shared" si="30"/>
        <v>3</v>
      </c>
      <c r="AX99" s="163">
        <f t="shared" si="31"/>
        <v>6.0833333333333339</v>
      </c>
    </row>
    <row r="100" spans="1:50" x14ac:dyDescent="0.6">
      <c r="A100" s="214" t="s">
        <v>440</v>
      </c>
      <c r="B100" s="13" t="s">
        <v>2079</v>
      </c>
      <c r="C100" s="219" t="s">
        <v>108</v>
      </c>
      <c r="D100" s="216" t="s">
        <v>191</v>
      </c>
      <c r="E100" s="217" t="s">
        <v>34</v>
      </c>
      <c r="F100" s="217" t="s">
        <v>242</v>
      </c>
      <c r="G100" s="218">
        <v>41372</v>
      </c>
      <c r="H100" s="217" t="s">
        <v>830</v>
      </c>
      <c r="I100" s="217" t="s">
        <v>768</v>
      </c>
      <c r="J100" s="217" t="s">
        <v>1057</v>
      </c>
      <c r="K100" s="217" t="s">
        <v>91</v>
      </c>
      <c r="L100" s="220">
        <v>1135143086</v>
      </c>
      <c r="M100" s="206">
        <v>463178728</v>
      </c>
      <c r="N100" s="206">
        <v>671964358</v>
      </c>
      <c r="O100" s="206">
        <v>635839633</v>
      </c>
      <c r="P100" s="206">
        <v>30527351</v>
      </c>
      <c r="Q100" s="206">
        <v>13547054</v>
      </c>
      <c r="R100" s="206">
        <v>9019750</v>
      </c>
      <c r="S100" s="32">
        <v>0</v>
      </c>
      <c r="T100" s="32">
        <v>0</v>
      </c>
      <c r="U100" s="32">
        <v>0</v>
      </c>
      <c r="V100" s="266">
        <f t="shared" si="17"/>
        <v>50</v>
      </c>
      <c r="W100" s="90">
        <f t="shared" si="18"/>
        <v>0.5</v>
      </c>
      <c r="X100" s="32">
        <v>0</v>
      </c>
      <c r="Y100" s="32">
        <v>0</v>
      </c>
      <c r="Z100" s="267">
        <f t="shared" si="19"/>
        <v>0</v>
      </c>
      <c r="AA100" s="268">
        <f t="shared" si="20"/>
        <v>33.333333333333336</v>
      </c>
      <c r="AB100" s="90">
        <f t="shared" si="21"/>
        <v>0.33333333333333337</v>
      </c>
      <c r="AC100" s="32">
        <v>0</v>
      </c>
      <c r="AD100" s="32">
        <v>1</v>
      </c>
      <c r="AE100" s="252">
        <f t="shared" si="22"/>
        <v>75</v>
      </c>
      <c r="AF100" s="90">
        <f t="shared" si="23"/>
        <v>1.5</v>
      </c>
      <c r="AG100" s="32">
        <v>3</v>
      </c>
      <c r="AH100" s="247">
        <f t="shared" si="24"/>
        <v>100</v>
      </c>
      <c r="AI100" s="91">
        <f t="shared" si="25"/>
        <v>1</v>
      </c>
      <c r="AJ100" s="32"/>
      <c r="AK100" s="32">
        <v>0</v>
      </c>
      <c r="AL100" s="32">
        <v>0</v>
      </c>
      <c r="AM100" s="32">
        <v>0</v>
      </c>
      <c r="AN100" s="32">
        <v>0</v>
      </c>
      <c r="AO100" s="247">
        <f t="shared" si="16"/>
        <v>0</v>
      </c>
      <c r="AP100" s="247">
        <f t="shared" si="26"/>
        <v>25</v>
      </c>
      <c r="AQ100" s="90">
        <f t="shared" si="27"/>
        <v>0.5</v>
      </c>
      <c r="AR100" s="32">
        <v>0</v>
      </c>
      <c r="AS100" s="32">
        <v>0</v>
      </c>
      <c r="AT100" s="32">
        <v>0</v>
      </c>
      <c r="AU100" s="272" t="str">
        <f t="shared" si="28"/>
        <v>A</v>
      </c>
      <c r="AV100" s="247">
        <f t="shared" si="29"/>
        <v>100</v>
      </c>
      <c r="AW100" s="90">
        <f t="shared" si="30"/>
        <v>3</v>
      </c>
      <c r="AX100" s="163">
        <f t="shared" si="31"/>
        <v>6.8333333333333339</v>
      </c>
    </row>
    <row r="101" spans="1:50" x14ac:dyDescent="0.6">
      <c r="A101" s="214" t="s">
        <v>59</v>
      </c>
      <c r="B101" s="13" t="s">
        <v>2080</v>
      </c>
      <c r="C101" s="219" t="s">
        <v>521</v>
      </c>
      <c r="D101" s="216" t="s">
        <v>203</v>
      </c>
      <c r="E101" s="217" t="s">
        <v>197</v>
      </c>
      <c r="F101" s="217" t="s">
        <v>221</v>
      </c>
      <c r="G101" s="218">
        <v>43068</v>
      </c>
      <c r="H101" s="217" t="s">
        <v>830</v>
      </c>
      <c r="I101" s="217" t="s">
        <v>416</v>
      </c>
      <c r="J101" s="217" t="s">
        <v>1232</v>
      </c>
      <c r="K101" s="217" t="s">
        <v>50</v>
      </c>
      <c r="L101" s="220">
        <v>455083382</v>
      </c>
      <c r="M101" s="206">
        <v>77689901</v>
      </c>
      <c r="N101" s="206">
        <v>377393482</v>
      </c>
      <c r="O101" s="206">
        <v>201504926</v>
      </c>
      <c r="P101" s="206">
        <v>20813521</v>
      </c>
      <c r="Q101" s="206">
        <v>29530469</v>
      </c>
      <c r="R101" s="206">
        <v>23064473</v>
      </c>
      <c r="S101" s="32">
        <v>0</v>
      </c>
      <c r="T101" s="32">
        <v>0</v>
      </c>
      <c r="U101" s="32">
        <v>0</v>
      </c>
      <c r="V101" s="266">
        <f t="shared" si="17"/>
        <v>50</v>
      </c>
      <c r="W101" s="90">
        <f t="shared" si="18"/>
        <v>0.5</v>
      </c>
      <c r="X101" s="32">
        <v>0</v>
      </c>
      <c r="Y101" s="32">
        <v>0</v>
      </c>
      <c r="Z101" s="267">
        <f t="shared" si="19"/>
        <v>0</v>
      </c>
      <c r="AA101" s="268">
        <f t="shared" si="20"/>
        <v>33.333333333333336</v>
      </c>
      <c r="AB101" s="90">
        <f t="shared" si="21"/>
        <v>0.33333333333333337</v>
      </c>
      <c r="AC101" s="32">
        <v>0</v>
      </c>
      <c r="AD101" s="32">
        <v>0</v>
      </c>
      <c r="AE101" s="252">
        <f t="shared" si="22"/>
        <v>25</v>
      </c>
      <c r="AF101" s="90">
        <f t="shared" si="23"/>
        <v>0.5</v>
      </c>
      <c r="AG101" s="32">
        <v>0</v>
      </c>
      <c r="AH101" s="247">
        <f t="shared" si="24"/>
        <v>25</v>
      </c>
      <c r="AI101" s="91">
        <f t="shared" si="25"/>
        <v>0.25</v>
      </c>
      <c r="AJ101" s="32"/>
      <c r="AK101" s="32">
        <v>1</v>
      </c>
      <c r="AL101" s="32">
        <v>0</v>
      </c>
      <c r="AM101" s="32">
        <v>0</v>
      </c>
      <c r="AN101" s="32">
        <v>0</v>
      </c>
      <c r="AO101" s="247">
        <f t="shared" si="16"/>
        <v>1</v>
      </c>
      <c r="AP101" s="247">
        <f t="shared" si="26"/>
        <v>50</v>
      </c>
      <c r="AQ101" s="90">
        <f t="shared" si="27"/>
        <v>1</v>
      </c>
      <c r="AR101" s="32">
        <v>0</v>
      </c>
      <c r="AS101" s="32">
        <v>0</v>
      </c>
      <c r="AT101" s="32">
        <v>0</v>
      </c>
      <c r="AU101" s="272" t="str">
        <f t="shared" si="28"/>
        <v>A</v>
      </c>
      <c r="AV101" s="247">
        <f t="shared" si="29"/>
        <v>100</v>
      </c>
      <c r="AW101" s="90">
        <f t="shared" si="30"/>
        <v>3</v>
      </c>
      <c r="AX101" s="163">
        <f t="shared" si="31"/>
        <v>5.5833333333333339</v>
      </c>
    </row>
    <row r="102" spans="1:50" x14ac:dyDescent="0.6">
      <c r="A102" s="214" t="s">
        <v>100</v>
      </c>
      <c r="B102" s="13" t="s">
        <v>2081</v>
      </c>
      <c r="C102" s="219" t="s">
        <v>32</v>
      </c>
      <c r="D102" s="221" t="s">
        <v>481</v>
      </c>
      <c r="E102" s="217" t="s">
        <v>704</v>
      </c>
      <c r="F102" s="217" t="s">
        <v>360</v>
      </c>
      <c r="G102" s="218">
        <v>40094</v>
      </c>
      <c r="H102" s="217" t="s">
        <v>830</v>
      </c>
      <c r="I102" s="217" t="s">
        <v>971</v>
      </c>
      <c r="J102" s="217" t="s">
        <v>1160</v>
      </c>
      <c r="K102" s="217" t="s">
        <v>91</v>
      </c>
      <c r="L102" s="220">
        <v>37434509044</v>
      </c>
      <c r="M102" s="206">
        <v>35502248501</v>
      </c>
      <c r="N102" s="206">
        <v>1932260544</v>
      </c>
      <c r="O102" s="206">
        <v>10262246106</v>
      </c>
      <c r="P102" s="206">
        <v>152919076</v>
      </c>
      <c r="Q102" s="206">
        <v>119769829</v>
      </c>
      <c r="R102" s="206">
        <v>97027738</v>
      </c>
      <c r="S102" s="32">
        <v>0</v>
      </c>
      <c r="T102" s="32">
        <v>0</v>
      </c>
      <c r="U102" s="32">
        <v>0</v>
      </c>
      <c r="V102" s="266">
        <f t="shared" si="17"/>
        <v>50</v>
      </c>
      <c r="W102" s="90">
        <f t="shared" si="18"/>
        <v>0.5</v>
      </c>
      <c r="X102" s="32">
        <v>0</v>
      </c>
      <c r="Y102" s="32">
        <v>0</v>
      </c>
      <c r="Z102" s="267">
        <f t="shared" si="19"/>
        <v>0</v>
      </c>
      <c r="AA102" s="268">
        <f t="shared" si="20"/>
        <v>33.333333333333336</v>
      </c>
      <c r="AB102" s="90">
        <f t="shared" si="21"/>
        <v>0.33333333333333337</v>
      </c>
      <c r="AC102" s="32">
        <v>0</v>
      </c>
      <c r="AD102" s="32">
        <v>0</v>
      </c>
      <c r="AE102" s="252">
        <f t="shared" si="22"/>
        <v>25</v>
      </c>
      <c r="AF102" s="90">
        <f t="shared" si="23"/>
        <v>0.5</v>
      </c>
      <c r="AG102" s="32">
        <v>0</v>
      </c>
      <c r="AH102" s="247">
        <f t="shared" si="24"/>
        <v>25</v>
      </c>
      <c r="AI102" s="91">
        <f t="shared" si="25"/>
        <v>0.25</v>
      </c>
      <c r="AJ102" s="32"/>
      <c r="AK102" s="32">
        <v>0</v>
      </c>
      <c r="AL102" s="32">
        <v>0</v>
      </c>
      <c r="AM102" s="32">
        <v>0</v>
      </c>
      <c r="AN102" s="32">
        <v>0</v>
      </c>
      <c r="AO102" s="247">
        <f t="shared" si="16"/>
        <v>0</v>
      </c>
      <c r="AP102" s="247">
        <f t="shared" si="26"/>
        <v>25</v>
      </c>
      <c r="AQ102" s="90">
        <f t="shared" si="27"/>
        <v>0.5</v>
      </c>
      <c r="AR102" s="32">
        <v>0</v>
      </c>
      <c r="AS102" s="32">
        <v>0</v>
      </c>
      <c r="AT102" s="32">
        <v>0</v>
      </c>
      <c r="AU102" s="272" t="str">
        <f t="shared" si="28"/>
        <v>A</v>
      </c>
      <c r="AV102" s="247">
        <f t="shared" si="29"/>
        <v>100</v>
      </c>
      <c r="AW102" s="90">
        <f t="shared" si="30"/>
        <v>3</v>
      </c>
      <c r="AX102" s="163">
        <v>0</v>
      </c>
    </row>
    <row r="103" spans="1:50" x14ac:dyDescent="0.6">
      <c r="A103" s="214" t="s">
        <v>1629</v>
      </c>
      <c r="B103" s="13" t="s">
        <v>2082</v>
      </c>
      <c r="C103" s="219" t="s">
        <v>1630</v>
      </c>
      <c r="D103" s="14" t="s">
        <v>191</v>
      </c>
      <c r="E103" s="217" t="s">
        <v>178</v>
      </c>
      <c r="F103" s="217" t="s">
        <v>1631</v>
      </c>
      <c r="G103" s="218">
        <v>36853</v>
      </c>
      <c r="H103" s="217" t="s">
        <v>830</v>
      </c>
      <c r="I103" s="217" t="s">
        <v>1632</v>
      </c>
      <c r="J103" s="217" t="s">
        <v>1633</v>
      </c>
      <c r="K103" s="217" t="s">
        <v>91</v>
      </c>
      <c r="L103" s="220">
        <v>1442896840</v>
      </c>
      <c r="M103" s="206">
        <v>718936776</v>
      </c>
      <c r="N103" s="206">
        <v>723960064</v>
      </c>
      <c r="O103" s="206">
        <v>1876232243</v>
      </c>
      <c r="P103" s="206">
        <v>86186465</v>
      </c>
      <c r="Q103" s="206">
        <v>91831146</v>
      </c>
      <c r="R103" s="206">
        <v>73560010</v>
      </c>
      <c r="S103" s="32">
        <v>0</v>
      </c>
      <c r="T103" s="32">
        <v>0</v>
      </c>
      <c r="U103" s="32">
        <v>0</v>
      </c>
      <c r="V103" s="266">
        <f t="shared" si="17"/>
        <v>50</v>
      </c>
      <c r="W103" s="90">
        <f t="shared" si="18"/>
        <v>0.5</v>
      </c>
      <c r="X103" s="32">
        <v>0</v>
      </c>
      <c r="Y103" s="32">
        <v>0</v>
      </c>
      <c r="Z103" s="267">
        <f t="shared" si="19"/>
        <v>0</v>
      </c>
      <c r="AA103" s="268">
        <f t="shared" si="20"/>
        <v>33.333333333333336</v>
      </c>
      <c r="AB103" s="90">
        <f t="shared" si="21"/>
        <v>0.33333333333333337</v>
      </c>
      <c r="AC103" s="32">
        <v>0</v>
      </c>
      <c r="AD103" s="32">
        <v>1</v>
      </c>
      <c r="AE103" s="252">
        <f t="shared" si="22"/>
        <v>75</v>
      </c>
      <c r="AF103" s="90">
        <f t="shared" si="23"/>
        <v>1.5</v>
      </c>
      <c r="AG103" s="32">
        <v>0</v>
      </c>
      <c r="AH103" s="247">
        <f t="shared" si="24"/>
        <v>25</v>
      </c>
      <c r="AI103" s="91">
        <f t="shared" si="25"/>
        <v>0.25</v>
      </c>
      <c r="AJ103" s="32"/>
      <c r="AK103" s="32">
        <v>1</v>
      </c>
      <c r="AL103" s="32">
        <v>0</v>
      </c>
      <c r="AM103" s="32">
        <v>0</v>
      </c>
      <c r="AN103" s="32">
        <v>0</v>
      </c>
      <c r="AO103" s="247">
        <f t="shared" si="16"/>
        <v>1</v>
      </c>
      <c r="AP103" s="247">
        <f t="shared" si="26"/>
        <v>50</v>
      </c>
      <c r="AQ103" s="90">
        <f t="shared" si="27"/>
        <v>1</v>
      </c>
      <c r="AR103" s="32">
        <v>0</v>
      </c>
      <c r="AS103" s="32">
        <v>0</v>
      </c>
      <c r="AT103" s="32">
        <v>0</v>
      </c>
      <c r="AU103" s="272" t="str">
        <f t="shared" si="28"/>
        <v>A</v>
      </c>
      <c r="AV103" s="247">
        <f t="shared" si="29"/>
        <v>100</v>
      </c>
      <c r="AW103" s="90">
        <f t="shared" si="30"/>
        <v>3</v>
      </c>
      <c r="AX103" s="163">
        <f t="shared" si="31"/>
        <v>6.5833333333333339</v>
      </c>
    </row>
    <row r="104" spans="1:50" x14ac:dyDescent="0.6">
      <c r="A104" s="214" t="s">
        <v>1634</v>
      </c>
      <c r="B104" s="13" t="s">
        <v>2083</v>
      </c>
      <c r="C104" s="219" t="s">
        <v>1635</v>
      </c>
      <c r="D104" s="14" t="s">
        <v>203</v>
      </c>
      <c r="E104" s="217" t="s">
        <v>246</v>
      </c>
      <c r="F104" s="217" t="s">
        <v>1636</v>
      </c>
      <c r="G104" s="218">
        <v>34422</v>
      </c>
      <c r="H104" s="217" t="s">
        <v>830</v>
      </c>
      <c r="I104" s="217" t="s">
        <v>1637</v>
      </c>
      <c r="J104" s="217" t="s">
        <v>1638</v>
      </c>
      <c r="K104" s="217" t="s">
        <v>425</v>
      </c>
      <c r="L104" s="220">
        <v>1380267325</v>
      </c>
      <c r="M104" s="206">
        <v>678125020</v>
      </c>
      <c r="N104" s="206">
        <v>702142305</v>
      </c>
      <c r="O104" s="206">
        <v>1300951533</v>
      </c>
      <c r="P104" s="206">
        <v>82521356</v>
      </c>
      <c r="Q104" s="206">
        <v>74612978</v>
      </c>
      <c r="R104" s="206">
        <v>59394229</v>
      </c>
      <c r="S104" s="32">
        <v>0</v>
      </c>
      <c r="T104" s="32">
        <v>0</v>
      </c>
      <c r="U104" s="32">
        <v>0</v>
      </c>
      <c r="V104" s="266">
        <f t="shared" si="17"/>
        <v>50</v>
      </c>
      <c r="W104" s="90">
        <f t="shared" si="18"/>
        <v>0.5</v>
      </c>
      <c r="X104" s="32">
        <v>0</v>
      </c>
      <c r="Y104" s="32">
        <v>0</v>
      </c>
      <c r="Z104" s="267">
        <f t="shared" si="19"/>
        <v>0</v>
      </c>
      <c r="AA104" s="268">
        <f t="shared" si="20"/>
        <v>33.333333333333336</v>
      </c>
      <c r="AB104" s="90">
        <f t="shared" si="21"/>
        <v>0.33333333333333337</v>
      </c>
      <c r="AC104" s="32">
        <v>0</v>
      </c>
      <c r="AD104" s="32">
        <v>0</v>
      </c>
      <c r="AE104" s="252">
        <f t="shared" si="22"/>
        <v>25</v>
      </c>
      <c r="AF104" s="90">
        <f t="shared" si="23"/>
        <v>0.5</v>
      </c>
      <c r="AG104" s="32">
        <v>3</v>
      </c>
      <c r="AH104" s="247">
        <f t="shared" si="24"/>
        <v>100</v>
      </c>
      <c r="AI104" s="91">
        <f t="shared" si="25"/>
        <v>1</v>
      </c>
      <c r="AJ104" s="32"/>
      <c r="AK104" s="32">
        <v>1</v>
      </c>
      <c r="AL104" s="32">
        <v>0</v>
      </c>
      <c r="AM104" s="32">
        <v>0</v>
      </c>
      <c r="AN104" s="32">
        <v>0</v>
      </c>
      <c r="AO104" s="247">
        <f t="shared" si="16"/>
        <v>1</v>
      </c>
      <c r="AP104" s="247">
        <f t="shared" si="26"/>
        <v>50</v>
      </c>
      <c r="AQ104" s="90">
        <f t="shared" si="27"/>
        <v>1</v>
      </c>
      <c r="AR104" s="32">
        <v>0</v>
      </c>
      <c r="AS104" s="32">
        <v>1</v>
      </c>
      <c r="AT104" s="32">
        <v>1</v>
      </c>
      <c r="AU104" s="272" t="str">
        <f t="shared" si="28"/>
        <v>D</v>
      </c>
      <c r="AV104" s="247">
        <f t="shared" si="29"/>
        <v>25</v>
      </c>
      <c r="AW104" s="90">
        <f t="shared" si="30"/>
        <v>0.75</v>
      </c>
      <c r="AX104" s="163">
        <f t="shared" si="31"/>
        <v>4.0833333333333339</v>
      </c>
    </row>
    <row r="105" spans="1:50" x14ac:dyDescent="0.6">
      <c r="A105" s="214" t="s">
        <v>865</v>
      </c>
      <c r="B105" s="13" t="s">
        <v>2084</v>
      </c>
      <c r="C105" s="219" t="s">
        <v>852</v>
      </c>
      <c r="D105" s="216" t="s">
        <v>203</v>
      </c>
      <c r="E105" s="217" t="s">
        <v>197</v>
      </c>
      <c r="F105" s="217" t="s">
        <v>357</v>
      </c>
      <c r="G105" s="218">
        <v>41201</v>
      </c>
      <c r="H105" s="217" t="s">
        <v>830</v>
      </c>
      <c r="I105" s="217" t="s">
        <v>774</v>
      </c>
      <c r="J105" s="217" t="s">
        <v>1048</v>
      </c>
      <c r="K105" s="217" t="s">
        <v>484</v>
      </c>
      <c r="L105" s="220">
        <v>372451008</v>
      </c>
      <c r="M105" s="206">
        <v>160285008</v>
      </c>
      <c r="N105" s="206">
        <v>212166000</v>
      </c>
      <c r="O105" s="206">
        <v>382323241</v>
      </c>
      <c r="P105" s="206">
        <v>10643381</v>
      </c>
      <c r="Q105" s="206">
        <v>10453576</v>
      </c>
      <c r="R105" s="206">
        <v>9587170</v>
      </c>
      <c r="S105" s="32">
        <v>0</v>
      </c>
      <c r="T105" s="32">
        <v>0</v>
      </c>
      <c r="U105" s="32">
        <v>0</v>
      </c>
      <c r="V105" s="266">
        <f t="shared" si="17"/>
        <v>50</v>
      </c>
      <c r="W105" s="90">
        <f t="shared" si="18"/>
        <v>0.5</v>
      </c>
      <c r="X105" s="32">
        <v>0</v>
      </c>
      <c r="Y105" s="32">
        <v>0</v>
      </c>
      <c r="Z105" s="267">
        <f t="shared" si="19"/>
        <v>0</v>
      </c>
      <c r="AA105" s="268">
        <f t="shared" si="20"/>
        <v>33.333333333333336</v>
      </c>
      <c r="AB105" s="90">
        <f t="shared" si="21"/>
        <v>0.33333333333333337</v>
      </c>
      <c r="AC105" s="32">
        <v>0</v>
      </c>
      <c r="AD105" s="32">
        <v>1</v>
      </c>
      <c r="AE105" s="252">
        <f t="shared" si="22"/>
        <v>75</v>
      </c>
      <c r="AF105" s="90">
        <f t="shared" si="23"/>
        <v>1.5</v>
      </c>
      <c r="AG105" s="32">
        <v>3</v>
      </c>
      <c r="AH105" s="247">
        <f t="shared" si="24"/>
        <v>100</v>
      </c>
      <c r="AI105" s="91">
        <f t="shared" si="25"/>
        <v>1</v>
      </c>
      <c r="AJ105" s="32"/>
      <c r="AK105" s="32">
        <v>1</v>
      </c>
      <c r="AL105" s="32">
        <v>0</v>
      </c>
      <c r="AM105" s="32">
        <v>0</v>
      </c>
      <c r="AN105" s="32">
        <v>0</v>
      </c>
      <c r="AO105" s="247">
        <f t="shared" si="16"/>
        <v>1</v>
      </c>
      <c r="AP105" s="247">
        <f t="shared" si="26"/>
        <v>50</v>
      </c>
      <c r="AQ105" s="90">
        <f t="shared" si="27"/>
        <v>1</v>
      </c>
      <c r="AR105" s="32">
        <v>0</v>
      </c>
      <c r="AS105" s="32">
        <v>0</v>
      </c>
      <c r="AT105" s="32">
        <v>0</v>
      </c>
      <c r="AU105" s="272" t="str">
        <f t="shared" si="28"/>
        <v>A</v>
      </c>
      <c r="AV105" s="247">
        <f t="shared" si="29"/>
        <v>100</v>
      </c>
      <c r="AW105" s="90">
        <f t="shared" si="30"/>
        <v>3</v>
      </c>
      <c r="AX105" s="163">
        <f t="shared" si="31"/>
        <v>7.3333333333333339</v>
      </c>
    </row>
    <row r="106" spans="1:50" x14ac:dyDescent="0.6">
      <c r="A106" s="214" t="s">
        <v>48</v>
      </c>
      <c r="B106" s="13" t="s">
        <v>2085</v>
      </c>
      <c r="C106" s="219" t="s">
        <v>432</v>
      </c>
      <c r="D106" s="216" t="s">
        <v>203</v>
      </c>
      <c r="E106" s="217" t="s">
        <v>195</v>
      </c>
      <c r="F106" s="217" t="s">
        <v>128</v>
      </c>
      <c r="G106" s="218">
        <v>38533</v>
      </c>
      <c r="H106" s="217" t="s">
        <v>830</v>
      </c>
      <c r="I106" s="217" t="s">
        <v>193</v>
      </c>
      <c r="J106" s="217" t="s">
        <v>1044</v>
      </c>
      <c r="K106" s="217" t="s">
        <v>31</v>
      </c>
      <c r="L106" s="220">
        <v>457877289</v>
      </c>
      <c r="M106" s="206">
        <v>52176470</v>
      </c>
      <c r="N106" s="206">
        <v>405700820</v>
      </c>
      <c r="O106" s="206">
        <v>441052792</v>
      </c>
      <c r="P106" s="206">
        <v>20091259</v>
      </c>
      <c r="Q106" s="206">
        <v>24421805</v>
      </c>
      <c r="R106" s="206">
        <v>18622026</v>
      </c>
      <c r="S106" s="32">
        <v>0</v>
      </c>
      <c r="T106" s="32">
        <v>0</v>
      </c>
      <c r="U106" s="32">
        <v>0</v>
      </c>
      <c r="V106" s="266">
        <f t="shared" si="17"/>
        <v>50</v>
      </c>
      <c r="W106" s="90">
        <f t="shared" si="18"/>
        <v>0.5</v>
      </c>
      <c r="X106" s="32">
        <v>0</v>
      </c>
      <c r="Y106" s="32">
        <v>0</v>
      </c>
      <c r="Z106" s="267">
        <f t="shared" si="19"/>
        <v>0</v>
      </c>
      <c r="AA106" s="268">
        <f t="shared" si="20"/>
        <v>33.333333333333336</v>
      </c>
      <c r="AB106" s="90">
        <f t="shared" si="21"/>
        <v>0.33333333333333337</v>
      </c>
      <c r="AC106" s="32">
        <v>0</v>
      </c>
      <c r="AD106" s="32">
        <v>0</v>
      </c>
      <c r="AE106" s="252">
        <f t="shared" si="22"/>
        <v>25</v>
      </c>
      <c r="AF106" s="90">
        <f t="shared" si="23"/>
        <v>0.5</v>
      </c>
      <c r="AG106" s="32">
        <v>0</v>
      </c>
      <c r="AH106" s="247">
        <f t="shared" si="24"/>
        <v>25</v>
      </c>
      <c r="AI106" s="91">
        <f t="shared" si="25"/>
        <v>0.25</v>
      </c>
      <c r="AJ106" s="32"/>
      <c r="AK106" s="32">
        <v>1</v>
      </c>
      <c r="AL106" s="32">
        <v>0</v>
      </c>
      <c r="AM106" s="32">
        <v>0</v>
      </c>
      <c r="AN106" s="32">
        <v>0</v>
      </c>
      <c r="AO106" s="247">
        <f t="shared" si="16"/>
        <v>1</v>
      </c>
      <c r="AP106" s="247">
        <f t="shared" si="26"/>
        <v>50</v>
      </c>
      <c r="AQ106" s="90">
        <f t="shared" si="27"/>
        <v>1</v>
      </c>
      <c r="AR106" s="32">
        <v>0</v>
      </c>
      <c r="AS106" s="32">
        <v>0</v>
      </c>
      <c r="AT106" s="32">
        <v>0</v>
      </c>
      <c r="AU106" s="272" t="str">
        <f t="shared" si="28"/>
        <v>A</v>
      </c>
      <c r="AV106" s="247">
        <f t="shared" si="29"/>
        <v>100</v>
      </c>
      <c r="AW106" s="90">
        <f t="shared" si="30"/>
        <v>3</v>
      </c>
      <c r="AX106" s="163">
        <f t="shared" si="31"/>
        <v>5.5833333333333339</v>
      </c>
    </row>
    <row r="107" spans="1:50" x14ac:dyDescent="0.6">
      <c r="A107" s="214" t="s">
        <v>1639</v>
      </c>
      <c r="B107" s="13" t="s">
        <v>2086</v>
      </c>
      <c r="C107" s="219" t="s">
        <v>873</v>
      </c>
      <c r="D107" s="216" t="s">
        <v>203</v>
      </c>
      <c r="E107" s="217" t="s">
        <v>195</v>
      </c>
      <c r="F107" s="217" t="s">
        <v>1075</v>
      </c>
      <c r="G107" s="218">
        <v>42271</v>
      </c>
      <c r="H107" s="217" t="s">
        <v>830</v>
      </c>
      <c r="I107" s="217" t="s">
        <v>1640</v>
      </c>
      <c r="J107" s="217" t="s">
        <v>1172</v>
      </c>
      <c r="K107" s="217" t="s">
        <v>690</v>
      </c>
      <c r="L107" s="220">
        <v>179708719</v>
      </c>
      <c r="M107" s="206">
        <v>22028248</v>
      </c>
      <c r="N107" s="206">
        <v>157680471</v>
      </c>
      <c r="O107" s="206">
        <v>196757615</v>
      </c>
      <c r="P107" s="206">
        <v>2456930</v>
      </c>
      <c r="Q107" s="206">
        <v>3926033</v>
      </c>
      <c r="R107" s="206">
        <v>3345149</v>
      </c>
      <c r="S107" s="32">
        <v>0</v>
      </c>
      <c r="T107" s="32">
        <v>0</v>
      </c>
      <c r="U107" s="32">
        <v>0</v>
      </c>
      <c r="V107" s="266">
        <f t="shared" si="17"/>
        <v>50</v>
      </c>
      <c r="W107" s="90">
        <f t="shared" si="18"/>
        <v>0.5</v>
      </c>
      <c r="X107" s="32">
        <v>0</v>
      </c>
      <c r="Y107" s="32">
        <v>0</v>
      </c>
      <c r="Z107" s="267">
        <f t="shared" si="19"/>
        <v>0</v>
      </c>
      <c r="AA107" s="268">
        <f t="shared" si="20"/>
        <v>33.333333333333336</v>
      </c>
      <c r="AB107" s="90">
        <f t="shared" si="21"/>
        <v>0.33333333333333337</v>
      </c>
      <c r="AC107" s="32">
        <v>0</v>
      </c>
      <c r="AD107" s="32">
        <v>0</v>
      </c>
      <c r="AE107" s="252">
        <f t="shared" si="22"/>
        <v>25</v>
      </c>
      <c r="AF107" s="90">
        <f t="shared" si="23"/>
        <v>0.5</v>
      </c>
      <c r="AG107" s="32">
        <v>0</v>
      </c>
      <c r="AH107" s="247">
        <f t="shared" si="24"/>
        <v>25</v>
      </c>
      <c r="AI107" s="91">
        <f t="shared" si="25"/>
        <v>0.25</v>
      </c>
      <c r="AJ107" s="32"/>
      <c r="AK107" s="32">
        <v>1</v>
      </c>
      <c r="AL107" s="32">
        <v>0</v>
      </c>
      <c r="AM107" s="32">
        <v>0</v>
      </c>
      <c r="AN107" s="32">
        <v>0</v>
      </c>
      <c r="AO107" s="247">
        <f t="shared" si="16"/>
        <v>1</v>
      </c>
      <c r="AP107" s="247">
        <f t="shared" si="26"/>
        <v>50</v>
      </c>
      <c r="AQ107" s="90">
        <f t="shared" si="27"/>
        <v>1</v>
      </c>
      <c r="AR107" s="32">
        <v>0</v>
      </c>
      <c r="AS107" s="32">
        <v>0</v>
      </c>
      <c r="AT107" s="32">
        <v>0</v>
      </c>
      <c r="AU107" s="272" t="str">
        <f t="shared" si="28"/>
        <v>A</v>
      </c>
      <c r="AV107" s="247">
        <f t="shared" si="29"/>
        <v>100</v>
      </c>
      <c r="AW107" s="90">
        <f t="shared" si="30"/>
        <v>3</v>
      </c>
      <c r="AX107" s="163">
        <f t="shared" si="31"/>
        <v>5.5833333333333339</v>
      </c>
    </row>
    <row r="108" spans="1:50" x14ac:dyDescent="0.6">
      <c r="A108" s="214" t="s">
        <v>370</v>
      </c>
      <c r="B108" s="13" t="s">
        <v>2087</v>
      </c>
      <c r="C108" s="219" t="s">
        <v>319</v>
      </c>
      <c r="D108" s="216" t="s">
        <v>191</v>
      </c>
      <c r="E108" s="217" t="s">
        <v>34</v>
      </c>
      <c r="F108" s="217" t="s">
        <v>567</v>
      </c>
      <c r="G108" s="218">
        <v>27843</v>
      </c>
      <c r="H108" s="217" t="s">
        <v>830</v>
      </c>
      <c r="I108" s="217" t="s">
        <v>1641</v>
      </c>
      <c r="J108" s="217" t="s">
        <v>1191</v>
      </c>
      <c r="K108" s="217" t="s">
        <v>91</v>
      </c>
      <c r="L108" s="220">
        <v>429874042</v>
      </c>
      <c r="M108" s="206">
        <v>70083130</v>
      </c>
      <c r="N108" s="206">
        <v>359790911</v>
      </c>
      <c r="O108" s="206">
        <v>315927932</v>
      </c>
      <c r="P108" s="206">
        <v>26579957</v>
      </c>
      <c r="Q108" s="206">
        <v>20948525</v>
      </c>
      <c r="R108" s="206">
        <v>18208234</v>
      </c>
      <c r="S108" s="32">
        <v>0</v>
      </c>
      <c r="T108" s="32">
        <v>0</v>
      </c>
      <c r="U108" s="32">
        <v>0</v>
      </c>
      <c r="V108" s="266">
        <f t="shared" si="17"/>
        <v>50</v>
      </c>
      <c r="W108" s="90">
        <f t="shared" si="18"/>
        <v>0.5</v>
      </c>
      <c r="X108" s="32">
        <v>0</v>
      </c>
      <c r="Y108" s="32">
        <v>0</v>
      </c>
      <c r="Z108" s="267">
        <f t="shared" si="19"/>
        <v>0</v>
      </c>
      <c r="AA108" s="268">
        <f t="shared" si="20"/>
        <v>33.333333333333336</v>
      </c>
      <c r="AB108" s="90">
        <f t="shared" si="21"/>
        <v>0.33333333333333337</v>
      </c>
      <c r="AC108" s="32">
        <v>0</v>
      </c>
      <c r="AD108" s="32">
        <v>1</v>
      </c>
      <c r="AE108" s="252">
        <f t="shared" si="22"/>
        <v>75</v>
      </c>
      <c r="AF108" s="90">
        <f t="shared" si="23"/>
        <v>1.5</v>
      </c>
      <c r="AG108" s="32">
        <v>3</v>
      </c>
      <c r="AH108" s="247">
        <f t="shared" si="24"/>
        <v>100</v>
      </c>
      <c r="AI108" s="91">
        <f t="shared" si="25"/>
        <v>1</v>
      </c>
      <c r="AJ108" s="32"/>
      <c r="AK108" s="32">
        <v>1</v>
      </c>
      <c r="AL108" s="32">
        <v>0</v>
      </c>
      <c r="AM108" s="32">
        <v>0</v>
      </c>
      <c r="AN108" s="32">
        <v>0</v>
      </c>
      <c r="AO108" s="247">
        <f t="shared" si="16"/>
        <v>1</v>
      </c>
      <c r="AP108" s="247">
        <f t="shared" si="26"/>
        <v>50</v>
      </c>
      <c r="AQ108" s="90">
        <f t="shared" si="27"/>
        <v>1</v>
      </c>
      <c r="AR108" s="32">
        <v>0</v>
      </c>
      <c r="AS108" s="32">
        <v>0</v>
      </c>
      <c r="AT108" s="32">
        <v>0</v>
      </c>
      <c r="AU108" s="272" t="str">
        <f t="shared" si="28"/>
        <v>A</v>
      </c>
      <c r="AV108" s="247">
        <f t="shared" si="29"/>
        <v>100</v>
      </c>
      <c r="AW108" s="90">
        <f t="shared" si="30"/>
        <v>3</v>
      </c>
      <c r="AX108" s="163">
        <f t="shared" si="31"/>
        <v>7.3333333333333339</v>
      </c>
    </row>
    <row r="109" spans="1:50" x14ac:dyDescent="0.6">
      <c r="A109" s="214" t="s">
        <v>446</v>
      </c>
      <c r="B109" s="13" t="s">
        <v>2088</v>
      </c>
      <c r="C109" s="219" t="s">
        <v>523</v>
      </c>
      <c r="D109" s="216" t="s">
        <v>202</v>
      </c>
      <c r="E109" s="217" t="s">
        <v>382</v>
      </c>
      <c r="F109" s="217" t="s">
        <v>443</v>
      </c>
      <c r="G109" s="218">
        <v>43756</v>
      </c>
      <c r="H109" s="217" t="s">
        <v>830</v>
      </c>
      <c r="I109" s="217" t="s">
        <v>1001</v>
      </c>
      <c r="J109" s="217" t="s">
        <v>676</v>
      </c>
      <c r="K109" s="217" t="s">
        <v>320</v>
      </c>
      <c r="L109" s="220">
        <v>1026929716</v>
      </c>
      <c r="M109" s="206">
        <v>503865290</v>
      </c>
      <c r="N109" s="206">
        <v>523064426</v>
      </c>
      <c r="O109" s="206">
        <v>312148721</v>
      </c>
      <c r="P109" s="206">
        <v>7221936</v>
      </c>
      <c r="Q109" s="206">
        <v>4276527</v>
      </c>
      <c r="R109" s="206">
        <v>3863590</v>
      </c>
      <c r="S109" s="32">
        <v>0</v>
      </c>
      <c r="T109" s="32">
        <v>0</v>
      </c>
      <c r="U109" s="32">
        <v>0</v>
      </c>
      <c r="V109" s="266">
        <f t="shared" si="17"/>
        <v>50</v>
      </c>
      <c r="W109" s="90">
        <f t="shared" si="18"/>
        <v>0.5</v>
      </c>
      <c r="X109" s="32">
        <v>0</v>
      </c>
      <c r="Y109" s="32">
        <v>0</v>
      </c>
      <c r="Z109" s="267">
        <f t="shared" si="19"/>
        <v>0</v>
      </c>
      <c r="AA109" s="268">
        <f t="shared" si="20"/>
        <v>33.333333333333336</v>
      </c>
      <c r="AB109" s="90">
        <f t="shared" si="21"/>
        <v>0.33333333333333337</v>
      </c>
      <c r="AC109" s="32">
        <v>0</v>
      </c>
      <c r="AD109" s="32">
        <v>1</v>
      </c>
      <c r="AE109" s="252">
        <f t="shared" si="22"/>
        <v>75</v>
      </c>
      <c r="AF109" s="90">
        <f t="shared" si="23"/>
        <v>1.5</v>
      </c>
      <c r="AG109" s="32">
        <v>0</v>
      </c>
      <c r="AH109" s="247">
        <f t="shared" si="24"/>
        <v>25</v>
      </c>
      <c r="AI109" s="91">
        <f t="shared" si="25"/>
        <v>0.25</v>
      </c>
      <c r="AJ109" s="32"/>
      <c r="AK109" s="32">
        <v>0</v>
      </c>
      <c r="AL109" s="32">
        <v>0</v>
      </c>
      <c r="AM109" s="32">
        <v>0</v>
      </c>
      <c r="AN109" s="32">
        <v>1</v>
      </c>
      <c r="AO109" s="247">
        <f t="shared" si="16"/>
        <v>1</v>
      </c>
      <c r="AP109" s="247">
        <f t="shared" si="26"/>
        <v>50</v>
      </c>
      <c r="AQ109" s="90">
        <f t="shared" si="27"/>
        <v>1</v>
      </c>
      <c r="AR109" s="32">
        <v>0</v>
      </c>
      <c r="AS109" s="32">
        <v>0</v>
      </c>
      <c r="AT109" s="32">
        <v>0</v>
      </c>
      <c r="AU109" s="272" t="str">
        <f t="shared" si="28"/>
        <v>A</v>
      </c>
      <c r="AV109" s="247">
        <f t="shared" si="29"/>
        <v>100</v>
      </c>
      <c r="AW109" s="90">
        <f t="shared" si="30"/>
        <v>3</v>
      </c>
      <c r="AX109" s="163">
        <f t="shared" si="31"/>
        <v>6.5833333333333339</v>
      </c>
    </row>
    <row r="110" spans="1:50" x14ac:dyDescent="0.6">
      <c r="A110" s="214" t="s">
        <v>748</v>
      </c>
      <c r="B110" s="13" t="s">
        <v>2089</v>
      </c>
      <c r="C110" s="219" t="s">
        <v>98</v>
      </c>
      <c r="D110" s="216" t="s">
        <v>202</v>
      </c>
      <c r="E110" s="217" t="s">
        <v>954</v>
      </c>
      <c r="F110" s="217" t="s">
        <v>625</v>
      </c>
      <c r="G110" s="218">
        <v>42580</v>
      </c>
      <c r="H110" s="217" t="s">
        <v>830</v>
      </c>
      <c r="I110" s="217" t="s">
        <v>261</v>
      </c>
      <c r="J110" s="217" t="s">
        <v>1053</v>
      </c>
      <c r="K110" s="217" t="s">
        <v>91</v>
      </c>
      <c r="L110" s="220">
        <v>287289681</v>
      </c>
      <c r="M110" s="206">
        <v>116203289</v>
      </c>
      <c r="N110" s="206">
        <v>171086392</v>
      </c>
      <c r="O110" s="206">
        <v>227240330</v>
      </c>
      <c r="P110" s="206">
        <v>10840684</v>
      </c>
      <c r="Q110" s="206">
        <v>18488363</v>
      </c>
      <c r="R110" s="206">
        <v>14109027</v>
      </c>
      <c r="S110" s="32">
        <v>0</v>
      </c>
      <c r="T110" s="32">
        <v>0</v>
      </c>
      <c r="U110" s="32">
        <v>0</v>
      </c>
      <c r="V110" s="266">
        <f t="shared" si="17"/>
        <v>50</v>
      </c>
      <c r="W110" s="90">
        <f t="shared" si="18"/>
        <v>0.5</v>
      </c>
      <c r="X110" s="32">
        <v>0</v>
      </c>
      <c r="Y110" s="32">
        <v>0</v>
      </c>
      <c r="Z110" s="267">
        <f t="shared" si="19"/>
        <v>0</v>
      </c>
      <c r="AA110" s="268">
        <f t="shared" si="20"/>
        <v>33.333333333333336</v>
      </c>
      <c r="AB110" s="90">
        <f t="shared" si="21"/>
        <v>0.33333333333333337</v>
      </c>
      <c r="AC110" s="32">
        <v>0</v>
      </c>
      <c r="AD110" s="32">
        <v>1</v>
      </c>
      <c r="AE110" s="252">
        <f t="shared" si="22"/>
        <v>75</v>
      </c>
      <c r="AF110" s="90">
        <f t="shared" si="23"/>
        <v>1.5</v>
      </c>
      <c r="AG110" s="32">
        <v>0</v>
      </c>
      <c r="AH110" s="247">
        <f t="shared" si="24"/>
        <v>25</v>
      </c>
      <c r="AI110" s="91">
        <f t="shared" si="25"/>
        <v>0.25</v>
      </c>
      <c r="AJ110" s="32"/>
      <c r="AK110" s="32">
        <v>0</v>
      </c>
      <c r="AL110" s="32">
        <v>0</v>
      </c>
      <c r="AM110" s="32">
        <v>0</v>
      </c>
      <c r="AN110" s="32">
        <v>0</v>
      </c>
      <c r="AO110" s="247">
        <f t="shared" si="16"/>
        <v>0</v>
      </c>
      <c r="AP110" s="247">
        <f t="shared" si="26"/>
        <v>25</v>
      </c>
      <c r="AQ110" s="90">
        <f t="shared" si="27"/>
        <v>0.5</v>
      </c>
      <c r="AR110" s="32">
        <v>0</v>
      </c>
      <c r="AS110" s="32">
        <v>0</v>
      </c>
      <c r="AT110" s="32">
        <v>0</v>
      </c>
      <c r="AU110" s="272" t="str">
        <f t="shared" si="28"/>
        <v>A</v>
      </c>
      <c r="AV110" s="247">
        <f t="shared" si="29"/>
        <v>100</v>
      </c>
      <c r="AW110" s="90">
        <f t="shared" si="30"/>
        <v>3</v>
      </c>
      <c r="AX110" s="163">
        <f t="shared" si="31"/>
        <v>6.0833333333333339</v>
      </c>
    </row>
    <row r="111" spans="1:50" x14ac:dyDescent="0.6">
      <c r="A111" s="214" t="s">
        <v>688</v>
      </c>
      <c r="B111" s="13" t="s">
        <v>2090</v>
      </c>
      <c r="C111" s="219" t="s">
        <v>21</v>
      </c>
      <c r="D111" s="216" t="s">
        <v>203</v>
      </c>
      <c r="E111" s="217" t="s">
        <v>195</v>
      </c>
      <c r="F111" s="217" t="s">
        <v>640</v>
      </c>
      <c r="G111" s="218">
        <v>36390</v>
      </c>
      <c r="H111" s="217" t="s">
        <v>830</v>
      </c>
      <c r="I111" s="217" t="s">
        <v>621</v>
      </c>
      <c r="J111" s="217" t="s">
        <v>1193</v>
      </c>
      <c r="K111" s="217" t="s">
        <v>50</v>
      </c>
      <c r="L111" s="220">
        <v>306956323</v>
      </c>
      <c r="M111" s="206">
        <v>41595074</v>
      </c>
      <c r="N111" s="206">
        <v>265361249</v>
      </c>
      <c r="O111" s="206">
        <v>240604203</v>
      </c>
      <c r="P111" s="206">
        <v>24501432</v>
      </c>
      <c r="Q111" s="206">
        <v>44413864</v>
      </c>
      <c r="R111" s="206">
        <v>37642494</v>
      </c>
      <c r="S111" s="32">
        <v>0</v>
      </c>
      <c r="T111" s="32">
        <v>0</v>
      </c>
      <c r="U111" s="32">
        <v>0</v>
      </c>
      <c r="V111" s="266">
        <f t="shared" si="17"/>
        <v>50</v>
      </c>
      <c r="W111" s="90">
        <f t="shared" si="18"/>
        <v>0.5</v>
      </c>
      <c r="X111" s="32">
        <v>0</v>
      </c>
      <c r="Y111" s="32">
        <v>0</v>
      </c>
      <c r="Z111" s="267">
        <f t="shared" si="19"/>
        <v>0</v>
      </c>
      <c r="AA111" s="268">
        <f t="shared" si="20"/>
        <v>33.333333333333336</v>
      </c>
      <c r="AB111" s="90">
        <f t="shared" si="21"/>
        <v>0.33333333333333337</v>
      </c>
      <c r="AC111" s="32">
        <v>0</v>
      </c>
      <c r="AD111" s="32">
        <v>0</v>
      </c>
      <c r="AE111" s="252">
        <f t="shared" si="22"/>
        <v>25</v>
      </c>
      <c r="AF111" s="90">
        <f t="shared" si="23"/>
        <v>0.5</v>
      </c>
      <c r="AG111" s="32">
        <v>0</v>
      </c>
      <c r="AH111" s="247">
        <f t="shared" si="24"/>
        <v>25</v>
      </c>
      <c r="AI111" s="91">
        <f t="shared" si="25"/>
        <v>0.25</v>
      </c>
      <c r="AJ111" s="32"/>
      <c r="AK111" s="32">
        <v>0</v>
      </c>
      <c r="AL111" s="32">
        <v>0</v>
      </c>
      <c r="AM111" s="32">
        <v>0</v>
      </c>
      <c r="AN111" s="32">
        <v>0</v>
      </c>
      <c r="AO111" s="247">
        <f t="shared" si="16"/>
        <v>0</v>
      </c>
      <c r="AP111" s="247">
        <f t="shared" si="26"/>
        <v>25</v>
      </c>
      <c r="AQ111" s="90">
        <f t="shared" si="27"/>
        <v>0.5</v>
      </c>
      <c r="AR111" s="32">
        <v>0</v>
      </c>
      <c r="AS111" s="32">
        <v>0</v>
      </c>
      <c r="AT111" s="32">
        <v>0</v>
      </c>
      <c r="AU111" s="272" t="str">
        <f t="shared" si="28"/>
        <v>A</v>
      </c>
      <c r="AV111" s="247">
        <f t="shared" si="29"/>
        <v>100</v>
      </c>
      <c r="AW111" s="90">
        <f t="shared" si="30"/>
        <v>3</v>
      </c>
      <c r="AX111" s="163">
        <f t="shared" si="31"/>
        <v>5.0833333333333339</v>
      </c>
    </row>
    <row r="112" spans="1:50" x14ac:dyDescent="0.6">
      <c r="A112" s="214" t="s">
        <v>681</v>
      </c>
      <c r="B112" s="13" t="s">
        <v>2091</v>
      </c>
      <c r="C112" s="219" t="s">
        <v>321</v>
      </c>
      <c r="D112" s="216" t="s">
        <v>202</v>
      </c>
      <c r="E112" s="217" t="s">
        <v>161</v>
      </c>
      <c r="F112" s="217" t="s">
        <v>158</v>
      </c>
      <c r="G112" s="218">
        <v>35277</v>
      </c>
      <c r="H112" s="217" t="s">
        <v>830</v>
      </c>
      <c r="I112" s="217" t="s">
        <v>77</v>
      </c>
      <c r="J112" s="217" t="s">
        <v>958</v>
      </c>
      <c r="K112" s="217" t="s">
        <v>91</v>
      </c>
      <c r="L112" s="220">
        <v>217873583</v>
      </c>
      <c r="M112" s="206">
        <v>87027381</v>
      </c>
      <c r="N112" s="206">
        <v>130846203</v>
      </c>
      <c r="O112" s="206">
        <v>151824315</v>
      </c>
      <c r="P112" s="206">
        <v>7759514</v>
      </c>
      <c r="Q112" s="206">
        <v>12802990</v>
      </c>
      <c r="R112" s="206">
        <v>10828940</v>
      </c>
      <c r="S112" s="32">
        <v>0</v>
      </c>
      <c r="T112" s="32">
        <v>0</v>
      </c>
      <c r="U112" s="32">
        <v>0</v>
      </c>
      <c r="V112" s="266">
        <f t="shared" si="17"/>
        <v>50</v>
      </c>
      <c r="W112" s="90">
        <f t="shared" si="18"/>
        <v>0.5</v>
      </c>
      <c r="X112" s="32">
        <v>0</v>
      </c>
      <c r="Y112" s="32">
        <v>0</v>
      </c>
      <c r="Z112" s="267">
        <f t="shared" si="19"/>
        <v>0</v>
      </c>
      <c r="AA112" s="268">
        <f t="shared" si="20"/>
        <v>33.333333333333336</v>
      </c>
      <c r="AB112" s="90">
        <f t="shared" si="21"/>
        <v>0.33333333333333337</v>
      </c>
      <c r="AC112" s="32">
        <v>0</v>
      </c>
      <c r="AD112" s="32">
        <v>0</v>
      </c>
      <c r="AE112" s="252">
        <f t="shared" si="22"/>
        <v>25</v>
      </c>
      <c r="AF112" s="90">
        <f t="shared" si="23"/>
        <v>0.5</v>
      </c>
      <c r="AG112" s="32">
        <v>0</v>
      </c>
      <c r="AH112" s="247">
        <f t="shared" si="24"/>
        <v>25</v>
      </c>
      <c r="AI112" s="91">
        <f t="shared" si="25"/>
        <v>0.25</v>
      </c>
      <c r="AJ112" s="32"/>
      <c r="AK112" s="32">
        <v>0</v>
      </c>
      <c r="AL112" s="32">
        <v>0</v>
      </c>
      <c r="AM112" s="32">
        <v>0</v>
      </c>
      <c r="AN112" s="32">
        <v>0</v>
      </c>
      <c r="AO112" s="247">
        <f t="shared" si="16"/>
        <v>0</v>
      </c>
      <c r="AP112" s="247">
        <f t="shared" si="26"/>
        <v>25</v>
      </c>
      <c r="AQ112" s="90">
        <f t="shared" si="27"/>
        <v>0.5</v>
      </c>
      <c r="AR112" s="32">
        <v>0</v>
      </c>
      <c r="AS112" s="32">
        <v>0</v>
      </c>
      <c r="AT112" s="32">
        <v>0</v>
      </c>
      <c r="AU112" s="272" t="str">
        <f t="shared" si="28"/>
        <v>A</v>
      </c>
      <c r="AV112" s="247">
        <f t="shared" si="29"/>
        <v>100</v>
      </c>
      <c r="AW112" s="90">
        <f t="shared" si="30"/>
        <v>3</v>
      </c>
      <c r="AX112" s="163">
        <f t="shared" si="31"/>
        <v>5.0833333333333339</v>
      </c>
    </row>
    <row r="113" spans="1:50" x14ac:dyDescent="0.6">
      <c r="A113" s="214" t="s">
        <v>898</v>
      </c>
      <c r="B113" s="13" t="s">
        <v>2092</v>
      </c>
      <c r="C113" s="219" t="s">
        <v>342</v>
      </c>
      <c r="D113" s="216" t="s">
        <v>202</v>
      </c>
      <c r="E113" s="217" t="s">
        <v>572</v>
      </c>
      <c r="F113" s="217" t="s">
        <v>557</v>
      </c>
      <c r="G113" s="218">
        <v>42019</v>
      </c>
      <c r="H113" s="217" t="s">
        <v>830</v>
      </c>
      <c r="I113" s="217" t="s">
        <v>745</v>
      </c>
      <c r="J113" s="217" t="s">
        <v>1049</v>
      </c>
      <c r="K113" s="217" t="s">
        <v>50</v>
      </c>
      <c r="L113" s="220">
        <v>254037930</v>
      </c>
      <c r="M113" s="206">
        <v>46334209</v>
      </c>
      <c r="N113" s="206">
        <v>207703722</v>
      </c>
      <c r="O113" s="206">
        <v>296998154</v>
      </c>
      <c r="P113" s="206">
        <v>11495556</v>
      </c>
      <c r="Q113" s="206">
        <v>30484094</v>
      </c>
      <c r="R113" s="206">
        <v>29253768</v>
      </c>
      <c r="S113" s="32">
        <v>0</v>
      </c>
      <c r="T113" s="32">
        <v>0</v>
      </c>
      <c r="U113" s="32">
        <v>0</v>
      </c>
      <c r="V113" s="266">
        <f t="shared" si="17"/>
        <v>50</v>
      </c>
      <c r="W113" s="90">
        <f t="shared" si="18"/>
        <v>0.5</v>
      </c>
      <c r="X113" s="32">
        <v>0</v>
      </c>
      <c r="Y113" s="32">
        <v>0</v>
      </c>
      <c r="Z113" s="267">
        <f t="shared" si="19"/>
        <v>0</v>
      </c>
      <c r="AA113" s="268">
        <f t="shared" si="20"/>
        <v>33.333333333333336</v>
      </c>
      <c r="AB113" s="90">
        <f t="shared" si="21"/>
        <v>0.33333333333333337</v>
      </c>
      <c r="AC113" s="32">
        <v>0</v>
      </c>
      <c r="AD113" s="32">
        <v>0</v>
      </c>
      <c r="AE113" s="252">
        <f t="shared" si="22"/>
        <v>25</v>
      </c>
      <c r="AF113" s="90">
        <f t="shared" si="23"/>
        <v>0.5</v>
      </c>
      <c r="AG113" s="32">
        <v>0</v>
      </c>
      <c r="AH113" s="247">
        <f t="shared" si="24"/>
        <v>25</v>
      </c>
      <c r="AI113" s="91">
        <f t="shared" si="25"/>
        <v>0.25</v>
      </c>
      <c r="AJ113" s="32"/>
      <c r="AK113" s="32">
        <v>0</v>
      </c>
      <c r="AL113" s="32">
        <v>0</v>
      </c>
      <c r="AM113" s="32">
        <v>0</v>
      </c>
      <c r="AN113" s="32">
        <v>0</v>
      </c>
      <c r="AO113" s="247">
        <f t="shared" si="16"/>
        <v>0</v>
      </c>
      <c r="AP113" s="247">
        <f t="shared" si="26"/>
        <v>25</v>
      </c>
      <c r="AQ113" s="90">
        <f t="shared" si="27"/>
        <v>0.5</v>
      </c>
      <c r="AR113" s="32">
        <v>0</v>
      </c>
      <c r="AS113" s="32">
        <v>0</v>
      </c>
      <c r="AT113" s="32">
        <v>0</v>
      </c>
      <c r="AU113" s="272" t="str">
        <f t="shared" si="28"/>
        <v>A</v>
      </c>
      <c r="AV113" s="247">
        <f t="shared" si="29"/>
        <v>100</v>
      </c>
      <c r="AW113" s="90">
        <f t="shared" si="30"/>
        <v>3</v>
      </c>
      <c r="AX113" s="163">
        <f t="shared" si="31"/>
        <v>5.0833333333333339</v>
      </c>
    </row>
    <row r="114" spans="1:50" x14ac:dyDescent="0.6">
      <c r="A114" s="214" t="s">
        <v>1642</v>
      </c>
      <c r="B114" s="13" t="s">
        <v>2093</v>
      </c>
      <c r="C114" s="219" t="s">
        <v>1643</v>
      </c>
      <c r="D114" s="14" t="s">
        <v>285</v>
      </c>
      <c r="E114" s="217" t="s">
        <v>185</v>
      </c>
      <c r="F114" s="217" t="s">
        <v>1644</v>
      </c>
      <c r="G114" s="218">
        <v>44427</v>
      </c>
      <c r="H114" s="217" t="s">
        <v>830</v>
      </c>
      <c r="I114" s="217" t="s">
        <v>1645</v>
      </c>
      <c r="J114" s="217" t="s">
        <v>1646</v>
      </c>
      <c r="K114" s="217" t="s">
        <v>690</v>
      </c>
      <c r="L114" s="220">
        <v>6047349340</v>
      </c>
      <c r="M114" s="206">
        <v>4946497236</v>
      </c>
      <c r="N114" s="206">
        <v>1100852104</v>
      </c>
      <c r="O114" s="206">
        <v>2522065710</v>
      </c>
      <c r="P114" s="206">
        <v>286357383</v>
      </c>
      <c r="Q114" s="206">
        <v>120975036</v>
      </c>
      <c r="R114" s="206">
        <v>78010954</v>
      </c>
      <c r="S114" s="32">
        <v>1</v>
      </c>
      <c r="T114" s="32">
        <v>0</v>
      </c>
      <c r="U114" s="32">
        <v>0</v>
      </c>
      <c r="V114" s="266">
        <f t="shared" si="17"/>
        <v>100</v>
      </c>
      <c r="W114" s="90">
        <f t="shared" si="18"/>
        <v>1</v>
      </c>
      <c r="X114" s="32">
        <v>0</v>
      </c>
      <c r="Y114" s="32">
        <v>0</v>
      </c>
      <c r="Z114" s="267">
        <f t="shared" si="19"/>
        <v>0</v>
      </c>
      <c r="AA114" s="268">
        <f t="shared" si="20"/>
        <v>33.333333333333336</v>
      </c>
      <c r="AB114" s="90">
        <f t="shared" si="21"/>
        <v>0.33333333333333337</v>
      </c>
      <c r="AC114" s="32">
        <v>0</v>
      </c>
      <c r="AD114" s="32">
        <v>1</v>
      </c>
      <c r="AE114" s="252">
        <f t="shared" si="22"/>
        <v>75</v>
      </c>
      <c r="AF114" s="90">
        <f t="shared" si="23"/>
        <v>1.5</v>
      </c>
      <c r="AG114" s="32">
        <v>0</v>
      </c>
      <c r="AH114" s="247">
        <f t="shared" si="24"/>
        <v>25</v>
      </c>
      <c r="AI114" s="91">
        <f t="shared" si="25"/>
        <v>0.25</v>
      </c>
      <c r="AJ114" s="32"/>
      <c r="AK114" s="32">
        <v>0</v>
      </c>
      <c r="AL114" s="32">
        <v>0</v>
      </c>
      <c r="AM114" s="32">
        <v>0</v>
      </c>
      <c r="AN114" s="32">
        <v>0</v>
      </c>
      <c r="AO114" s="247">
        <f t="shared" si="16"/>
        <v>0</v>
      </c>
      <c r="AP114" s="247">
        <f t="shared" si="26"/>
        <v>25</v>
      </c>
      <c r="AQ114" s="90">
        <f t="shared" si="27"/>
        <v>0.5</v>
      </c>
      <c r="AR114" s="32">
        <v>0</v>
      </c>
      <c r="AS114" s="32">
        <v>0</v>
      </c>
      <c r="AT114" s="32">
        <v>0</v>
      </c>
      <c r="AU114" s="272" t="str">
        <f t="shared" si="28"/>
        <v>A</v>
      </c>
      <c r="AV114" s="247">
        <f t="shared" si="29"/>
        <v>100</v>
      </c>
      <c r="AW114" s="90">
        <f t="shared" si="30"/>
        <v>3</v>
      </c>
      <c r="AX114" s="163">
        <f t="shared" si="31"/>
        <v>6.5833333333333339</v>
      </c>
    </row>
    <row r="115" spans="1:50" x14ac:dyDescent="0.6">
      <c r="A115" s="214" t="s">
        <v>1647</v>
      </c>
      <c r="B115" s="13" t="s">
        <v>2094</v>
      </c>
      <c r="C115" s="219" t="s">
        <v>303</v>
      </c>
      <c r="D115" s="216" t="s">
        <v>202</v>
      </c>
      <c r="E115" s="217" t="s">
        <v>205</v>
      </c>
      <c r="F115" s="217" t="s">
        <v>136</v>
      </c>
      <c r="G115" s="218">
        <v>40606</v>
      </c>
      <c r="H115" s="217" t="s">
        <v>830</v>
      </c>
      <c r="I115" s="217" t="s">
        <v>1648</v>
      </c>
      <c r="J115" s="217" t="s">
        <v>1649</v>
      </c>
      <c r="K115" s="217" t="s">
        <v>320</v>
      </c>
      <c r="L115" s="220">
        <v>835420294</v>
      </c>
      <c r="M115" s="206">
        <v>225524201</v>
      </c>
      <c r="N115" s="206">
        <v>609896093</v>
      </c>
      <c r="O115" s="206">
        <v>312422244</v>
      </c>
      <c r="P115" s="206">
        <v>22539859</v>
      </c>
      <c r="Q115" s="206">
        <v>7001542</v>
      </c>
      <c r="R115" s="206">
        <v>4884512</v>
      </c>
      <c r="S115" s="32">
        <v>0</v>
      </c>
      <c r="T115" s="32">
        <v>0</v>
      </c>
      <c r="U115" s="32">
        <v>0</v>
      </c>
      <c r="V115" s="266">
        <f t="shared" si="17"/>
        <v>50</v>
      </c>
      <c r="W115" s="90">
        <f t="shared" si="18"/>
        <v>0.5</v>
      </c>
      <c r="X115" s="32">
        <v>0</v>
      </c>
      <c r="Y115" s="32">
        <v>0</v>
      </c>
      <c r="Z115" s="267">
        <f t="shared" si="19"/>
        <v>0</v>
      </c>
      <c r="AA115" s="268">
        <f t="shared" si="20"/>
        <v>33.333333333333336</v>
      </c>
      <c r="AB115" s="90">
        <f t="shared" si="21"/>
        <v>0.33333333333333337</v>
      </c>
      <c r="AC115" s="32">
        <v>0</v>
      </c>
      <c r="AD115" s="32">
        <v>1</v>
      </c>
      <c r="AE115" s="252">
        <f t="shared" si="22"/>
        <v>75</v>
      </c>
      <c r="AF115" s="90">
        <f t="shared" si="23"/>
        <v>1.5</v>
      </c>
      <c r="AG115" s="32">
        <v>1</v>
      </c>
      <c r="AH115" s="247">
        <f t="shared" si="24"/>
        <v>50</v>
      </c>
      <c r="AI115" s="91">
        <f t="shared" si="25"/>
        <v>0.5</v>
      </c>
      <c r="AJ115" s="32"/>
      <c r="AK115" s="32">
        <v>0</v>
      </c>
      <c r="AL115" s="32">
        <v>1</v>
      </c>
      <c r="AM115" s="32">
        <v>0</v>
      </c>
      <c r="AN115" s="32">
        <v>0</v>
      </c>
      <c r="AO115" s="247">
        <f t="shared" si="16"/>
        <v>1</v>
      </c>
      <c r="AP115" s="247">
        <f t="shared" si="26"/>
        <v>50</v>
      </c>
      <c r="AQ115" s="90">
        <f t="shared" si="27"/>
        <v>1</v>
      </c>
      <c r="AR115" s="32">
        <v>0</v>
      </c>
      <c r="AS115" s="32">
        <v>0</v>
      </c>
      <c r="AT115" s="32">
        <v>0</v>
      </c>
      <c r="AU115" s="272" t="str">
        <f t="shared" si="28"/>
        <v>A</v>
      </c>
      <c r="AV115" s="247">
        <f t="shared" si="29"/>
        <v>100</v>
      </c>
      <c r="AW115" s="90">
        <f t="shared" si="30"/>
        <v>3</v>
      </c>
      <c r="AX115" s="163">
        <f t="shared" si="31"/>
        <v>6.8333333333333339</v>
      </c>
    </row>
    <row r="116" spans="1:50" x14ac:dyDescent="0.6">
      <c r="A116" s="214" t="s">
        <v>1650</v>
      </c>
      <c r="B116" s="13" t="s">
        <v>2095</v>
      </c>
      <c r="C116" s="219" t="s">
        <v>375</v>
      </c>
      <c r="D116" s="216" t="s">
        <v>191</v>
      </c>
      <c r="E116" s="217" t="s">
        <v>178</v>
      </c>
      <c r="F116" s="217" t="s">
        <v>635</v>
      </c>
      <c r="G116" s="218">
        <v>43038</v>
      </c>
      <c r="H116" s="217" t="s">
        <v>830</v>
      </c>
      <c r="I116" s="217" t="s">
        <v>1651</v>
      </c>
      <c r="J116" s="217" t="s">
        <v>1652</v>
      </c>
      <c r="K116" s="217" t="s">
        <v>91</v>
      </c>
      <c r="L116" s="220">
        <v>3758489001</v>
      </c>
      <c r="M116" s="206">
        <v>1736640152</v>
      </c>
      <c r="N116" s="206">
        <v>2021848848</v>
      </c>
      <c r="O116" s="206">
        <v>2443855289</v>
      </c>
      <c r="P116" s="206">
        <v>80897560</v>
      </c>
      <c r="Q116" s="206">
        <v>19509459</v>
      </c>
      <c r="R116" s="206">
        <v>18708119</v>
      </c>
      <c r="S116" s="32">
        <v>1</v>
      </c>
      <c r="T116" s="32">
        <v>0</v>
      </c>
      <c r="U116" s="32">
        <v>0</v>
      </c>
      <c r="V116" s="266">
        <f t="shared" si="17"/>
        <v>100</v>
      </c>
      <c r="W116" s="90">
        <f t="shared" si="18"/>
        <v>1</v>
      </c>
      <c r="X116" s="32">
        <v>0</v>
      </c>
      <c r="Y116" s="32">
        <v>0</v>
      </c>
      <c r="Z116" s="267">
        <f t="shared" si="19"/>
        <v>0</v>
      </c>
      <c r="AA116" s="268">
        <f t="shared" si="20"/>
        <v>33.333333333333336</v>
      </c>
      <c r="AB116" s="90">
        <f t="shared" si="21"/>
        <v>0.33333333333333337</v>
      </c>
      <c r="AC116" s="32">
        <v>0</v>
      </c>
      <c r="AD116" s="32">
        <v>1</v>
      </c>
      <c r="AE116" s="252">
        <f t="shared" si="22"/>
        <v>75</v>
      </c>
      <c r="AF116" s="90">
        <f t="shared" si="23"/>
        <v>1.5</v>
      </c>
      <c r="AG116" s="32">
        <v>3</v>
      </c>
      <c r="AH116" s="247">
        <f t="shared" si="24"/>
        <v>100</v>
      </c>
      <c r="AI116" s="91">
        <f t="shared" si="25"/>
        <v>1</v>
      </c>
      <c r="AJ116" s="32"/>
      <c r="AK116" s="32">
        <v>0</v>
      </c>
      <c r="AL116" s="32">
        <v>0</v>
      </c>
      <c r="AM116" s="32">
        <v>0</v>
      </c>
      <c r="AN116" s="32">
        <v>0</v>
      </c>
      <c r="AO116" s="247">
        <f t="shared" si="16"/>
        <v>0</v>
      </c>
      <c r="AP116" s="247">
        <f t="shared" si="26"/>
        <v>25</v>
      </c>
      <c r="AQ116" s="90">
        <f t="shared" si="27"/>
        <v>0.5</v>
      </c>
      <c r="AR116" s="32">
        <v>0</v>
      </c>
      <c r="AS116" s="32">
        <v>0</v>
      </c>
      <c r="AT116" s="32">
        <v>0</v>
      </c>
      <c r="AU116" s="272" t="str">
        <f t="shared" si="28"/>
        <v>A</v>
      </c>
      <c r="AV116" s="247">
        <f t="shared" si="29"/>
        <v>100</v>
      </c>
      <c r="AW116" s="90">
        <f t="shared" si="30"/>
        <v>3</v>
      </c>
      <c r="AX116" s="163">
        <f t="shared" si="31"/>
        <v>7.3333333333333339</v>
      </c>
    </row>
    <row r="117" spans="1:50" x14ac:dyDescent="0.6">
      <c r="A117" s="214" t="s">
        <v>511</v>
      </c>
      <c r="B117" s="13" t="s">
        <v>2096</v>
      </c>
      <c r="C117" s="219" t="s">
        <v>515</v>
      </c>
      <c r="D117" s="216" t="s">
        <v>203</v>
      </c>
      <c r="E117" s="217" t="s">
        <v>180</v>
      </c>
      <c r="F117" s="217" t="s">
        <v>391</v>
      </c>
      <c r="G117" s="218">
        <v>27865</v>
      </c>
      <c r="H117" s="217" t="s">
        <v>830</v>
      </c>
      <c r="I117" s="217" t="s">
        <v>742</v>
      </c>
      <c r="J117" s="217" t="s">
        <v>671</v>
      </c>
      <c r="K117" s="217" t="s">
        <v>407</v>
      </c>
      <c r="L117" s="220">
        <v>2511638063</v>
      </c>
      <c r="M117" s="206">
        <v>407361084</v>
      </c>
      <c r="N117" s="206">
        <v>2104276979</v>
      </c>
      <c r="O117" s="206">
        <v>2461065167</v>
      </c>
      <c r="P117" s="206">
        <v>406388582</v>
      </c>
      <c r="Q117" s="206">
        <v>513833216</v>
      </c>
      <c r="R117" s="206">
        <v>386538587</v>
      </c>
      <c r="S117" s="32">
        <v>0</v>
      </c>
      <c r="T117" s="32">
        <v>0</v>
      </c>
      <c r="U117" s="32">
        <v>0</v>
      </c>
      <c r="V117" s="266">
        <f t="shared" si="17"/>
        <v>50</v>
      </c>
      <c r="W117" s="90">
        <f t="shared" si="18"/>
        <v>0.5</v>
      </c>
      <c r="X117" s="32">
        <v>0</v>
      </c>
      <c r="Y117" s="32">
        <v>0</v>
      </c>
      <c r="Z117" s="267">
        <f t="shared" si="19"/>
        <v>0</v>
      </c>
      <c r="AA117" s="268">
        <f t="shared" si="20"/>
        <v>33.333333333333336</v>
      </c>
      <c r="AB117" s="90">
        <f t="shared" si="21"/>
        <v>0.33333333333333337</v>
      </c>
      <c r="AC117" s="32">
        <v>0</v>
      </c>
      <c r="AD117" s="32">
        <v>1</v>
      </c>
      <c r="AE117" s="252">
        <f t="shared" si="22"/>
        <v>75</v>
      </c>
      <c r="AF117" s="90">
        <f t="shared" si="23"/>
        <v>1.5</v>
      </c>
      <c r="AG117" s="32">
        <v>0</v>
      </c>
      <c r="AH117" s="247">
        <f t="shared" si="24"/>
        <v>25</v>
      </c>
      <c r="AI117" s="91">
        <f t="shared" si="25"/>
        <v>0.25</v>
      </c>
      <c r="AJ117" s="32"/>
      <c r="AK117" s="32">
        <v>1</v>
      </c>
      <c r="AL117" s="32">
        <v>0</v>
      </c>
      <c r="AM117" s="32">
        <v>0</v>
      </c>
      <c r="AN117" s="32">
        <v>0</v>
      </c>
      <c r="AO117" s="247">
        <f t="shared" si="16"/>
        <v>1</v>
      </c>
      <c r="AP117" s="247">
        <f t="shared" si="26"/>
        <v>50</v>
      </c>
      <c r="AQ117" s="90">
        <f t="shared" si="27"/>
        <v>1</v>
      </c>
      <c r="AR117" s="32">
        <v>0</v>
      </c>
      <c r="AS117" s="32">
        <v>0</v>
      </c>
      <c r="AT117" s="32">
        <v>0</v>
      </c>
      <c r="AU117" s="272" t="str">
        <f t="shared" si="28"/>
        <v>A</v>
      </c>
      <c r="AV117" s="247">
        <f t="shared" si="29"/>
        <v>100</v>
      </c>
      <c r="AW117" s="90">
        <f t="shared" si="30"/>
        <v>3</v>
      </c>
      <c r="AX117" s="163">
        <f t="shared" si="31"/>
        <v>6.5833333333333339</v>
      </c>
    </row>
    <row r="118" spans="1:50" x14ac:dyDescent="0.6">
      <c r="A118" s="214" t="s">
        <v>15</v>
      </c>
      <c r="B118" s="13" t="s">
        <v>2097</v>
      </c>
      <c r="C118" s="219" t="s">
        <v>71</v>
      </c>
      <c r="D118" s="216" t="s">
        <v>203</v>
      </c>
      <c r="E118" s="217" t="s">
        <v>195</v>
      </c>
      <c r="F118" s="217" t="s">
        <v>1162</v>
      </c>
      <c r="G118" s="218">
        <v>28294</v>
      </c>
      <c r="H118" s="217" t="s">
        <v>755</v>
      </c>
      <c r="I118" s="217" t="s">
        <v>765</v>
      </c>
      <c r="J118" s="217" t="s">
        <v>1159</v>
      </c>
      <c r="K118" s="217" t="s">
        <v>484</v>
      </c>
      <c r="L118" s="220">
        <v>257003015</v>
      </c>
      <c r="M118" s="206">
        <v>25657000</v>
      </c>
      <c r="N118" s="206">
        <v>231346015</v>
      </c>
      <c r="O118" s="206">
        <v>253705017</v>
      </c>
      <c r="P118" s="206">
        <v>209474</v>
      </c>
      <c r="Q118" s="206">
        <v>8220332</v>
      </c>
      <c r="R118" s="206">
        <v>6363937</v>
      </c>
      <c r="S118" s="32">
        <v>0</v>
      </c>
      <c r="T118" s="32">
        <v>0</v>
      </c>
      <c r="U118" s="32">
        <v>0</v>
      </c>
      <c r="V118" s="266">
        <f t="shared" si="17"/>
        <v>50</v>
      </c>
      <c r="W118" s="90">
        <f t="shared" si="18"/>
        <v>0.5</v>
      </c>
      <c r="X118" s="32">
        <v>0</v>
      </c>
      <c r="Y118" s="32">
        <v>0</v>
      </c>
      <c r="Z118" s="267">
        <f t="shared" si="19"/>
        <v>0</v>
      </c>
      <c r="AA118" s="268">
        <f t="shared" si="20"/>
        <v>33.333333333333336</v>
      </c>
      <c r="AB118" s="90">
        <f t="shared" si="21"/>
        <v>0.33333333333333337</v>
      </c>
      <c r="AC118" s="32">
        <v>0</v>
      </c>
      <c r="AD118" s="32">
        <v>1</v>
      </c>
      <c r="AE118" s="252">
        <f t="shared" si="22"/>
        <v>75</v>
      </c>
      <c r="AF118" s="90">
        <f t="shared" si="23"/>
        <v>1.5</v>
      </c>
      <c r="AG118" s="32">
        <v>0</v>
      </c>
      <c r="AH118" s="247">
        <f t="shared" si="24"/>
        <v>25</v>
      </c>
      <c r="AI118" s="91">
        <f t="shared" si="25"/>
        <v>0.25</v>
      </c>
      <c r="AJ118" s="32"/>
      <c r="AK118" s="32">
        <v>1</v>
      </c>
      <c r="AL118" s="32">
        <v>0</v>
      </c>
      <c r="AM118" s="32">
        <v>0</v>
      </c>
      <c r="AN118" s="32">
        <v>0</v>
      </c>
      <c r="AO118" s="247">
        <f t="shared" si="16"/>
        <v>1</v>
      </c>
      <c r="AP118" s="247">
        <f t="shared" si="26"/>
        <v>50</v>
      </c>
      <c r="AQ118" s="90">
        <f t="shared" si="27"/>
        <v>1</v>
      </c>
      <c r="AR118" s="32">
        <v>0</v>
      </c>
      <c r="AS118" s="32">
        <v>0</v>
      </c>
      <c r="AT118" s="32">
        <v>0</v>
      </c>
      <c r="AU118" s="272" t="str">
        <f t="shared" si="28"/>
        <v>A</v>
      </c>
      <c r="AV118" s="247">
        <f t="shared" si="29"/>
        <v>100</v>
      </c>
      <c r="AW118" s="90">
        <f t="shared" si="30"/>
        <v>3</v>
      </c>
      <c r="AX118" s="163">
        <f t="shared" si="31"/>
        <v>6.5833333333333339</v>
      </c>
    </row>
    <row r="119" spans="1:50" x14ac:dyDescent="0.6">
      <c r="A119" s="214" t="s">
        <v>753</v>
      </c>
      <c r="B119" s="13" t="s">
        <v>2098</v>
      </c>
      <c r="C119" s="219" t="s">
        <v>430</v>
      </c>
      <c r="D119" s="216" t="s">
        <v>202</v>
      </c>
      <c r="E119" s="217" t="s">
        <v>954</v>
      </c>
      <c r="F119" s="217" t="s">
        <v>647</v>
      </c>
      <c r="G119" s="218">
        <v>34348</v>
      </c>
      <c r="H119" s="217" t="s">
        <v>830</v>
      </c>
      <c r="I119" s="217" t="s">
        <v>966</v>
      </c>
      <c r="J119" s="217" t="s">
        <v>1151</v>
      </c>
      <c r="K119" s="217" t="s">
        <v>91</v>
      </c>
      <c r="L119" s="220">
        <v>463199227</v>
      </c>
      <c r="M119" s="206">
        <v>33561119</v>
      </c>
      <c r="N119" s="206">
        <v>429638109</v>
      </c>
      <c r="O119" s="206">
        <v>223860213</v>
      </c>
      <c r="P119" s="206">
        <v>14271412</v>
      </c>
      <c r="Q119" s="206">
        <v>23103260</v>
      </c>
      <c r="R119" s="206">
        <v>17789582</v>
      </c>
      <c r="S119" s="32">
        <v>0</v>
      </c>
      <c r="T119" s="32">
        <v>0</v>
      </c>
      <c r="U119" s="32">
        <v>0</v>
      </c>
      <c r="V119" s="266">
        <f t="shared" si="17"/>
        <v>50</v>
      </c>
      <c r="W119" s="90">
        <f t="shared" si="18"/>
        <v>0.5</v>
      </c>
      <c r="X119" s="32">
        <v>0</v>
      </c>
      <c r="Y119" s="32">
        <v>0</v>
      </c>
      <c r="Z119" s="267">
        <f t="shared" si="19"/>
        <v>0</v>
      </c>
      <c r="AA119" s="268">
        <f t="shared" si="20"/>
        <v>33.333333333333336</v>
      </c>
      <c r="AB119" s="90">
        <f t="shared" si="21"/>
        <v>0.33333333333333337</v>
      </c>
      <c r="AC119" s="32">
        <v>0</v>
      </c>
      <c r="AD119" s="32">
        <v>0</v>
      </c>
      <c r="AE119" s="252">
        <f t="shared" si="22"/>
        <v>25</v>
      </c>
      <c r="AF119" s="90">
        <f t="shared" si="23"/>
        <v>0.5</v>
      </c>
      <c r="AG119" s="32">
        <v>0</v>
      </c>
      <c r="AH119" s="247">
        <f t="shared" si="24"/>
        <v>25</v>
      </c>
      <c r="AI119" s="91">
        <f t="shared" si="25"/>
        <v>0.25</v>
      </c>
      <c r="AJ119" s="32"/>
      <c r="AK119" s="32">
        <v>0</v>
      </c>
      <c r="AL119" s="32">
        <v>0</v>
      </c>
      <c r="AM119" s="32">
        <v>0</v>
      </c>
      <c r="AN119" s="32">
        <v>0</v>
      </c>
      <c r="AO119" s="247">
        <f t="shared" si="16"/>
        <v>0</v>
      </c>
      <c r="AP119" s="247">
        <f t="shared" si="26"/>
        <v>25</v>
      </c>
      <c r="AQ119" s="90">
        <f t="shared" si="27"/>
        <v>0.5</v>
      </c>
      <c r="AR119" s="32">
        <v>0</v>
      </c>
      <c r="AS119" s="32">
        <v>0</v>
      </c>
      <c r="AT119" s="32">
        <v>0</v>
      </c>
      <c r="AU119" s="272" t="str">
        <f t="shared" si="28"/>
        <v>A</v>
      </c>
      <c r="AV119" s="247">
        <f t="shared" si="29"/>
        <v>100</v>
      </c>
      <c r="AW119" s="90">
        <f t="shared" si="30"/>
        <v>3</v>
      </c>
      <c r="AX119" s="163">
        <f t="shared" si="31"/>
        <v>5.0833333333333339</v>
      </c>
    </row>
    <row r="120" spans="1:50" x14ac:dyDescent="0.6">
      <c r="A120" s="214" t="s">
        <v>1658</v>
      </c>
      <c r="B120" s="13" t="s">
        <v>2099</v>
      </c>
      <c r="C120" s="219" t="s">
        <v>420</v>
      </c>
      <c r="D120" s="216" t="s">
        <v>203</v>
      </c>
      <c r="E120" s="217" t="s">
        <v>195</v>
      </c>
      <c r="F120" s="217" t="s">
        <v>1188</v>
      </c>
      <c r="G120" s="218">
        <v>34643</v>
      </c>
      <c r="H120" s="217" t="s">
        <v>830</v>
      </c>
      <c r="I120" s="217" t="s">
        <v>1515</v>
      </c>
      <c r="J120" s="217" t="s">
        <v>673</v>
      </c>
      <c r="K120" s="217" t="s">
        <v>91</v>
      </c>
      <c r="L120" s="220">
        <v>206906858</v>
      </c>
      <c r="M120" s="206">
        <v>39013430</v>
      </c>
      <c r="N120" s="206">
        <v>167893428</v>
      </c>
      <c r="O120" s="206">
        <v>192206731</v>
      </c>
      <c r="P120" s="206">
        <v>3006102</v>
      </c>
      <c r="Q120" s="206">
        <v>24358747</v>
      </c>
      <c r="R120" s="206">
        <v>26217228</v>
      </c>
      <c r="S120" s="32">
        <v>0</v>
      </c>
      <c r="T120" s="32">
        <v>0</v>
      </c>
      <c r="U120" s="32">
        <v>0</v>
      </c>
      <c r="V120" s="266">
        <f t="shared" si="17"/>
        <v>50</v>
      </c>
      <c r="W120" s="90">
        <f t="shared" si="18"/>
        <v>0.5</v>
      </c>
      <c r="X120" s="32">
        <v>0</v>
      </c>
      <c r="Y120" s="32">
        <v>0</v>
      </c>
      <c r="Z120" s="267">
        <f t="shared" si="19"/>
        <v>0</v>
      </c>
      <c r="AA120" s="268">
        <f t="shared" si="20"/>
        <v>33.333333333333336</v>
      </c>
      <c r="AB120" s="90">
        <f t="shared" si="21"/>
        <v>0.33333333333333337</v>
      </c>
      <c r="AC120" s="32">
        <v>0</v>
      </c>
      <c r="AD120" s="32">
        <v>0</v>
      </c>
      <c r="AE120" s="252">
        <f t="shared" si="22"/>
        <v>25</v>
      </c>
      <c r="AF120" s="90">
        <f t="shared" si="23"/>
        <v>0.5</v>
      </c>
      <c r="AG120" s="32">
        <v>0</v>
      </c>
      <c r="AH120" s="247">
        <f t="shared" si="24"/>
        <v>25</v>
      </c>
      <c r="AI120" s="91">
        <f t="shared" si="25"/>
        <v>0.25</v>
      </c>
      <c r="AJ120" s="32"/>
      <c r="AK120" s="32">
        <v>0</v>
      </c>
      <c r="AL120" s="32">
        <v>0</v>
      </c>
      <c r="AM120" s="32">
        <v>0</v>
      </c>
      <c r="AN120" s="32">
        <v>0</v>
      </c>
      <c r="AO120" s="247">
        <f t="shared" si="16"/>
        <v>0</v>
      </c>
      <c r="AP120" s="247">
        <f t="shared" si="26"/>
        <v>25</v>
      </c>
      <c r="AQ120" s="90">
        <f t="shared" si="27"/>
        <v>0.5</v>
      </c>
      <c r="AR120" s="32">
        <v>0</v>
      </c>
      <c r="AS120" s="32">
        <v>0</v>
      </c>
      <c r="AT120" s="32">
        <v>0</v>
      </c>
      <c r="AU120" s="272" t="str">
        <f t="shared" si="28"/>
        <v>A</v>
      </c>
      <c r="AV120" s="247">
        <f t="shared" si="29"/>
        <v>100</v>
      </c>
      <c r="AW120" s="90">
        <f t="shared" si="30"/>
        <v>3</v>
      </c>
      <c r="AX120" s="163">
        <f t="shared" si="31"/>
        <v>5.0833333333333339</v>
      </c>
    </row>
    <row r="121" spans="1:50" x14ac:dyDescent="0.6">
      <c r="A121" s="214" t="s">
        <v>1659</v>
      </c>
      <c r="B121" s="13" t="s">
        <v>2100</v>
      </c>
      <c r="C121" s="219" t="s">
        <v>476</v>
      </c>
      <c r="D121" s="221" t="s">
        <v>481</v>
      </c>
      <c r="E121" s="217" t="s">
        <v>704</v>
      </c>
      <c r="F121" s="217" t="s">
        <v>57</v>
      </c>
      <c r="G121" s="218">
        <v>42193</v>
      </c>
      <c r="H121" s="217" t="s">
        <v>830</v>
      </c>
      <c r="I121" s="217" t="s">
        <v>271</v>
      </c>
      <c r="J121" s="217" t="s">
        <v>1171</v>
      </c>
      <c r="K121" s="217" t="s">
        <v>91</v>
      </c>
      <c r="L121" s="220">
        <v>37208616897</v>
      </c>
      <c r="M121" s="206">
        <v>35852992352</v>
      </c>
      <c r="N121" s="206">
        <v>1355624545</v>
      </c>
      <c r="O121" s="206">
        <v>3209343241</v>
      </c>
      <c r="P121" s="206">
        <v>76354621</v>
      </c>
      <c r="Q121" s="206">
        <v>78489213</v>
      </c>
      <c r="R121" s="206">
        <v>56143790</v>
      </c>
      <c r="S121" s="32">
        <v>0</v>
      </c>
      <c r="T121" s="32">
        <v>0</v>
      </c>
      <c r="U121" s="32">
        <v>0</v>
      </c>
      <c r="V121" s="266">
        <f t="shared" si="17"/>
        <v>50</v>
      </c>
      <c r="W121" s="90">
        <f t="shared" si="18"/>
        <v>0.5</v>
      </c>
      <c r="X121" s="32">
        <v>0</v>
      </c>
      <c r="Y121" s="32">
        <v>0</v>
      </c>
      <c r="Z121" s="267">
        <f t="shared" si="19"/>
        <v>0</v>
      </c>
      <c r="AA121" s="268">
        <f t="shared" si="20"/>
        <v>33.333333333333336</v>
      </c>
      <c r="AB121" s="90">
        <f t="shared" si="21"/>
        <v>0.33333333333333337</v>
      </c>
      <c r="AC121" s="32">
        <v>0</v>
      </c>
      <c r="AD121" s="32">
        <v>0</v>
      </c>
      <c r="AE121" s="252">
        <f t="shared" si="22"/>
        <v>25</v>
      </c>
      <c r="AF121" s="90">
        <f t="shared" si="23"/>
        <v>0.5</v>
      </c>
      <c r="AG121" s="32">
        <v>0</v>
      </c>
      <c r="AH121" s="247">
        <f t="shared" si="24"/>
        <v>25</v>
      </c>
      <c r="AI121" s="91">
        <f t="shared" si="25"/>
        <v>0.25</v>
      </c>
      <c r="AJ121" s="32"/>
      <c r="AK121" s="32">
        <v>0</v>
      </c>
      <c r="AL121" s="32">
        <v>0</v>
      </c>
      <c r="AM121" s="32">
        <v>0</v>
      </c>
      <c r="AN121" s="32">
        <v>0</v>
      </c>
      <c r="AO121" s="247">
        <f t="shared" si="16"/>
        <v>0</v>
      </c>
      <c r="AP121" s="247">
        <f t="shared" si="26"/>
        <v>25</v>
      </c>
      <c r="AQ121" s="90">
        <f t="shared" si="27"/>
        <v>0.5</v>
      </c>
      <c r="AR121" s="32">
        <v>0</v>
      </c>
      <c r="AS121" s="32">
        <v>0</v>
      </c>
      <c r="AT121" s="32">
        <v>0</v>
      </c>
      <c r="AU121" s="272" t="str">
        <f t="shared" si="28"/>
        <v>A</v>
      </c>
      <c r="AV121" s="247">
        <f t="shared" si="29"/>
        <v>100</v>
      </c>
      <c r="AW121" s="90">
        <f t="shared" si="30"/>
        <v>3</v>
      </c>
      <c r="AX121" s="163">
        <v>0</v>
      </c>
    </row>
    <row r="122" spans="1:50" x14ac:dyDescent="0.6">
      <c r="A122" s="214" t="s">
        <v>92</v>
      </c>
      <c r="B122" s="13" t="s">
        <v>2101</v>
      </c>
      <c r="C122" s="219" t="s">
        <v>900</v>
      </c>
      <c r="D122" s="221" t="s">
        <v>350</v>
      </c>
      <c r="E122" s="217" t="s">
        <v>179</v>
      </c>
      <c r="F122" s="217" t="s">
        <v>1076</v>
      </c>
      <c r="G122" s="218">
        <v>27667</v>
      </c>
      <c r="H122" s="217" t="s">
        <v>830</v>
      </c>
      <c r="I122" s="217" t="s">
        <v>217</v>
      </c>
      <c r="J122" s="217" t="s">
        <v>289</v>
      </c>
      <c r="K122" s="217" t="s">
        <v>91</v>
      </c>
      <c r="L122" s="220">
        <v>77528737937</v>
      </c>
      <c r="M122" s="206">
        <v>68433158478</v>
      </c>
      <c r="N122" s="206">
        <v>9095579460</v>
      </c>
      <c r="O122" s="206">
        <v>16761431115</v>
      </c>
      <c r="P122" s="206">
        <v>548389982</v>
      </c>
      <c r="Q122" s="206">
        <v>553208432</v>
      </c>
      <c r="R122" s="206">
        <v>397574440</v>
      </c>
      <c r="S122" s="32">
        <v>0</v>
      </c>
      <c r="T122" s="32">
        <v>0</v>
      </c>
      <c r="U122" s="32">
        <v>0</v>
      </c>
      <c r="V122" s="266">
        <f t="shared" si="17"/>
        <v>50</v>
      </c>
      <c r="W122" s="90">
        <f t="shared" si="18"/>
        <v>0.5</v>
      </c>
      <c r="X122" s="32">
        <v>0</v>
      </c>
      <c r="Y122" s="32">
        <v>0</v>
      </c>
      <c r="Z122" s="267">
        <f t="shared" si="19"/>
        <v>0</v>
      </c>
      <c r="AA122" s="268">
        <f t="shared" si="20"/>
        <v>33.333333333333336</v>
      </c>
      <c r="AB122" s="90">
        <f t="shared" si="21"/>
        <v>0.33333333333333337</v>
      </c>
      <c r="AC122" s="32">
        <v>0</v>
      </c>
      <c r="AD122" s="32">
        <v>0</v>
      </c>
      <c r="AE122" s="252">
        <f t="shared" si="22"/>
        <v>25</v>
      </c>
      <c r="AF122" s="90">
        <f t="shared" si="23"/>
        <v>0.5</v>
      </c>
      <c r="AG122" s="32">
        <v>0</v>
      </c>
      <c r="AH122" s="247">
        <f t="shared" si="24"/>
        <v>25</v>
      </c>
      <c r="AI122" s="91">
        <f t="shared" si="25"/>
        <v>0.25</v>
      </c>
      <c r="AJ122" s="32"/>
      <c r="AK122" s="32">
        <v>0</v>
      </c>
      <c r="AL122" s="32">
        <v>0</v>
      </c>
      <c r="AM122" s="32">
        <v>0</v>
      </c>
      <c r="AN122" s="32">
        <v>0</v>
      </c>
      <c r="AO122" s="247">
        <f t="shared" si="16"/>
        <v>0</v>
      </c>
      <c r="AP122" s="247">
        <f t="shared" si="26"/>
        <v>25</v>
      </c>
      <c r="AQ122" s="90">
        <f t="shared" si="27"/>
        <v>0.5</v>
      </c>
      <c r="AR122" s="32">
        <v>0</v>
      </c>
      <c r="AS122" s="32">
        <v>0</v>
      </c>
      <c r="AT122" s="32">
        <v>0</v>
      </c>
      <c r="AU122" s="272" t="str">
        <f t="shared" si="28"/>
        <v>A</v>
      </c>
      <c r="AV122" s="247">
        <f t="shared" si="29"/>
        <v>100</v>
      </c>
      <c r="AW122" s="90">
        <f t="shared" si="30"/>
        <v>3</v>
      </c>
      <c r="AX122" s="163">
        <v>0</v>
      </c>
    </row>
    <row r="123" spans="1:50" x14ac:dyDescent="0.6">
      <c r="A123" s="214" t="s">
        <v>339</v>
      </c>
      <c r="B123" s="13" t="s">
        <v>2102</v>
      </c>
      <c r="C123" s="219" t="s">
        <v>461</v>
      </c>
      <c r="D123" s="216" t="s">
        <v>203</v>
      </c>
      <c r="E123" s="217" t="s">
        <v>188</v>
      </c>
      <c r="F123" s="217" t="s">
        <v>652</v>
      </c>
      <c r="G123" s="218">
        <v>32776</v>
      </c>
      <c r="H123" s="217" t="s">
        <v>830</v>
      </c>
      <c r="I123" s="217" t="s">
        <v>1660</v>
      </c>
      <c r="J123" s="217" t="s">
        <v>1052</v>
      </c>
      <c r="K123" s="217" t="s">
        <v>690</v>
      </c>
      <c r="L123" s="220">
        <v>391399991</v>
      </c>
      <c r="M123" s="206">
        <v>70411675</v>
      </c>
      <c r="N123" s="206">
        <v>320988317</v>
      </c>
      <c r="O123" s="206">
        <v>425547908</v>
      </c>
      <c r="P123" s="206">
        <v>77084280</v>
      </c>
      <c r="Q123" s="206">
        <v>83250609</v>
      </c>
      <c r="R123" s="206">
        <v>65769136</v>
      </c>
      <c r="S123" s="32">
        <v>0</v>
      </c>
      <c r="T123" s="32">
        <v>0</v>
      </c>
      <c r="U123" s="32">
        <v>0</v>
      </c>
      <c r="V123" s="266">
        <f t="shared" si="17"/>
        <v>50</v>
      </c>
      <c r="W123" s="90">
        <f t="shared" si="18"/>
        <v>0.5</v>
      </c>
      <c r="X123" s="32">
        <v>0</v>
      </c>
      <c r="Y123" s="32">
        <v>0</v>
      </c>
      <c r="Z123" s="267">
        <f t="shared" si="19"/>
        <v>0</v>
      </c>
      <c r="AA123" s="268">
        <f t="shared" si="20"/>
        <v>33.333333333333336</v>
      </c>
      <c r="AB123" s="90">
        <f t="shared" si="21"/>
        <v>0.33333333333333337</v>
      </c>
      <c r="AC123" s="32">
        <v>0</v>
      </c>
      <c r="AD123" s="32">
        <v>1</v>
      </c>
      <c r="AE123" s="252">
        <f t="shared" si="22"/>
        <v>75</v>
      </c>
      <c r="AF123" s="90">
        <f t="shared" si="23"/>
        <v>1.5</v>
      </c>
      <c r="AG123" s="32">
        <v>0</v>
      </c>
      <c r="AH123" s="247">
        <f t="shared" si="24"/>
        <v>25</v>
      </c>
      <c r="AI123" s="91">
        <f t="shared" si="25"/>
        <v>0.25</v>
      </c>
      <c r="AJ123" s="32"/>
      <c r="AK123" s="32">
        <v>1</v>
      </c>
      <c r="AL123" s="32">
        <v>0</v>
      </c>
      <c r="AM123" s="32">
        <v>0</v>
      </c>
      <c r="AN123" s="32">
        <v>0</v>
      </c>
      <c r="AO123" s="247">
        <f t="shared" si="16"/>
        <v>1</v>
      </c>
      <c r="AP123" s="247">
        <f t="shared" si="26"/>
        <v>50</v>
      </c>
      <c r="AQ123" s="90">
        <f t="shared" si="27"/>
        <v>1</v>
      </c>
      <c r="AR123" s="32">
        <v>0</v>
      </c>
      <c r="AS123" s="32">
        <v>0</v>
      </c>
      <c r="AT123" s="32">
        <v>0</v>
      </c>
      <c r="AU123" s="272" t="str">
        <f t="shared" si="28"/>
        <v>A</v>
      </c>
      <c r="AV123" s="247">
        <f t="shared" si="29"/>
        <v>100</v>
      </c>
      <c r="AW123" s="90">
        <f t="shared" si="30"/>
        <v>3</v>
      </c>
      <c r="AX123" s="163">
        <f t="shared" si="31"/>
        <v>6.5833333333333339</v>
      </c>
    </row>
    <row r="124" spans="1:50" x14ac:dyDescent="0.6">
      <c r="A124" s="214" t="s">
        <v>1661</v>
      </c>
      <c r="B124" s="13" t="s">
        <v>2103</v>
      </c>
      <c r="C124" s="219" t="s">
        <v>933</v>
      </c>
      <c r="D124" s="216" t="s">
        <v>203</v>
      </c>
      <c r="E124" s="217" t="s">
        <v>180</v>
      </c>
      <c r="F124" s="217" t="s">
        <v>87</v>
      </c>
      <c r="G124" s="218">
        <v>42877</v>
      </c>
      <c r="H124" s="217" t="s">
        <v>830</v>
      </c>
      <c r="I124" s="217" t="s">
        <v>921</v>
      </c>
      <c r="J124" s="217" t="s">
        <v>1161</v>
      </c>
      <c r="K124" s="217" t="s">
        <v>320</v>
      </c>
      <c r="L124" s="220">
        <v>448351412</v>
      </c>
      <c r="M124" s="206">
        <v>63280350</v>
      </c>
      <c r="N124" s="206">
        <v>385071063</v>
      </c>
      <c r="O124" s="206">
        <v>611355371</v>
      </c>
      <c r="P124" s="206">
        <v>85525773</v>
      </c>
      <c r="Q124" s="206">
        <v>90825472</v>
      </c>
      <c r="R124" s="206">
        <v>70423830</v>
      </c>
      <c r="S124" s="32">
        <v>0</v>
      </c>
      <c r="T124" s="32">
        <v>0</v>
      </c>
      <c r="U124" s="32">
        <v>0</v>
      </c>
      <c r="V124" s="266">
        <f t="shared" si="17"/>
        <v>50</v>
      </c>
      <c r="W124" s="90">
        <f t="shared" si="18"/>
        <v>0.5</v>
      </c>
      <c r="X124" s="32">
        <v>0</v>
      </c>
      <c r="Y124" s="32">
        <v>0</v>
      </c>
      <c r="Z124" s="267">
        <f t="shared" si="19"/>
        <v>0</v>
      </c>
      <c r="AA124" s="268">
        <f t="shared" si="20"/>
        <v>33.333333333333336</v>
      </c>
      <c r="AB124" s="90">
        <f t="shared" si="21"/>
        <v>0.33333333333333337</v>
      </c>
      <c r="AC124" s="32">
        <v>0</v>
      </c>
      <c r="AD124" s="32">
        <v>0</v>
      </c>
      <c r="AE124" s="252">
        <f t="shared" si="22"/>
        <v>25</v>
      </c>
      <c r="AF124" s="90">
        <f t="shared" si="23"/>
        <v>0.5</v>
      </c>
      <c r="AG124" s="32">
        <v>0</v>
      </c>
      <c r="AH124" s="247">
        <f t="shared" si="24"/>
        <v>25</v>
      </c>
      <c r="AI124" s="91">
        <f t="shared" si="25"/>
        <v>0.25</v>
      </c>
      <c r="AJ124" s="32"/>
      <c r="AK124" s="32">
        <v>0</v>
      </c>
      <c r="AL124" s="32">
        <v>0</v>
      </c>
      <c r="AM124" s="32">
        <v>0</v>
      </c>
      <c r="AN124" s="32">
        <v>0</v>
      </c>
      <c r="AO124" s="247">
        <f t="shared" si="16"/>
        <v>0</v>
      </c>
      <c r="AP124" s="247">
        <f t="shared" si="26"/>
        <v>25</v>
      </c>
      <c r="AQ124" s="90">
        <f t="shared" si="27"/>
        <v>0.5</v>
      </c>
      <c r="AR124" s="32">
        <v>0</v>
      </c>
      <c r="AS124" s="32">
        <v>0</v>
      </c>
      <c r="AT124" s="32">
        <v>0</v>
      </c>
      <c r="AU124" s="272" t="str">
        <f t="shared" si="28"/>
        <v>A</v>
      </c>
      <c r="AV124" s="247">
        <f t="shared" si="29"/>
        <v>100</v>
      </c>
      <c r="AW124" s="90">
        <f t="shared" si="30"/>
        <v>3</v>
      </c>
      <c r="AX124" s="163">
        <f t="shared" si="31"/>
        <v>5.0833333333333339</v>
      </c>
    </row>
    <row r="125" spans="1:50" x14ac:dyDescent="0.6">
      <c r="A125" s="214" t="s">
        <v>878</v>
      </c>
      <c r="B125" s="13" t="s">
        <v>2104</v>
      </c>
      <c r="C125" s="219" t="s">
        <v>437</v>
      </c>
      <c r="D125" s="216" t="s">
        <v>203</v>
      </c>
      <c r="E125" s="217" t="s">
        <v>188</v>
      </c>
      <c r="F125" s="217" t="s">
        <v>376</v>
      </c>
      <c r="G125" s="218">
        <v>40589</v>
      </c>
      <c r="H125" s="217" t="s">
        <v>830</v>
      </c>
      <c r="I125" s="217" t="s">
        <v>1662</v>
      </c>
      <c r="J125" s="217" t="s">
        <v>672</v>
      </c>
      <c r="K125" s="217" t="s">
        <v>407</v>
      </c>
      <c r="L125" s="220">
        <v>147864036</v>
      </c>
      <c r="M125" s="206">
        <v>15155439</v>
      </c>
      <c r="N125" s="206">
        <v>132708596</v>
      </c>
      <c r="O125" s="206">
        <v>235165568</v>
      </c>
      <c r="P125" s="206">
        <v>18983200</v>
      </c>
      <c r="Q125" s="206">
        <v>20938723</v>
      </c>
      <c r="R125" s="206">
        <v>16260515</v>
      </c>
      <c r="S125" s="32">
        <v>0</v>
      </c>
      <c r="T125" s="32">
        <v>0</v>
      </c>
      <c r="U125" s="32">
        <v>0</v>
      </c>
      <c r="V125" s="266">
        <f t="shared" si="17"/>
        <v>50</v>
      </c>
      <c r="W125" s="90">
        <f t="shared" si="18"/>
        <v>0.5</v>
      </c>
      <c r="X125" s="32">
        <v>0</v>
      </c>
      <c r="Y125" s="32">
        <v>0</v>
      </c>
      <c r="Z125" s="267">
        <f t="shared" si="19"/>
        <v>0</v>
      </c>
      <c r="AA125" s="268">
        <f t="shared" si="20"/>
        <v>33.333333333333336</v>
      </c>
      <c r="AB125" s="90">
        <f t="shared" si="21"/>
        <v>0.33333333333333337</v>
      </c>
      <c r="AC125" s="32">
        <v>0</v>
      </c>
      <c r="AD125" s="32">
        <v>0</v>
      </c>
      <c r="AE125" s="252">
        <f t="shared" si="22"/>
        <v>25</v>
      </c>
      <c r="AF125" s="90">
        <f t="shared" si="23"/>
        <v>0.5</v>
      </c>
      <c r="AG125" s="32">
        <v>0</v>
      </c>
      <c r="AH125" s="247">
        <f t="shared" si="24"/>
        <v>25</v>
      </c>
      <c r="AI125" s="91">
        <f t="shared" si="25"/>
        <v>0.25</v>
      </c>
      <c r="AJ125" s="32"/>
      <c r="AK125" s="32">
        <v>1</v>
      </c>
      <c r="AL125" s="32">
        <v>0</v>
      </c>
      <c r="AM125" s="32">
        <v>0</v>
      </c>
      <c r="AN125" s="32">
        <v>0</v>
      </c>
      <c r="AO125" s="247">
        <f t="shared" si="16"/>
        <v>1</v>
      </c>
      <c r="AP125" s="247">
        <f t="shared" si="26"/>
        <v>50</v>
      </c>
      <c r="AQ125" s="90">
        <f t="shared" si="27"/>
        <v>1</v>
      </c>
      <c r="AR125" s="32">
        <v>0</v>
      </c>
      <c r="AS125" s="32">
        <v>0</v>
      </c>
      <c r="AT125" s="32">
        <v>0</v>
      </c>
      <c r="AU125" s="272" t="str">
        <f t="shared" si="28"/>
        <v>A</v>
      </c>
      <c r="AV125" s="247">
        <f t="shared" si="29"/>
        <v>100</v>
      </c>
      <c r="AW125" s="90">
        <f t="shared" si="30"/>
        <v>3</v>
      </c>
      <c r="AX125" s="163">
        <f t="shared" si="31"/>
        <v>5.5833333333333339</v>
      </c>
    </row>
    <row r="126" spans="1:50" x14ac:dyDescent="0.6">
      <c r="A126" s="214" t="s">
        <v>938</v>
      </c>
      <c r="B126" s="13" t="s">
        <v>2105</v>
      </c>
      <c r="C126" s="219" t="s">
        <v>52</v>
      </c>
      <c r="D126" s="216" t="s">
        <v>203</v>
      </c>
      <c r="E126" s="217" t="s">
        <v>187</v>
      </c>
      <c r="F126" s="217" t="s">
        <v>1170</v>
      </c>
      <c r="G126" s="218">
        <v>32778</v>
      </c>
      <c r="H126" s="217" t="s">
        <v>830</v>
      </c>
      <c r="I126" s="217" t="s">
        <v>708</v>
      </c>
      <c r="J126" s="217" t="s">
        <v>1173</v>
      </c>
      <c r="K126" s="217" t="s">
        <v>484</v>
      </c>
      <c r="L126" s="220">
        <v>342398880</v>
      </c>
      <c r="M126" s="206">
        <v>36181307</v>
      </c>
      <c r="N126" s="206">
        <v>306217573</v>
      </c>
      <c r="O126" s="206">
        <v>418789690</v>
      </c>
      <c r="P126" s="206">
        <v>44057917</v>
      </c>
      <c r="Q126" s="206">
        <v>28817308</v>
      </c>
      <c r="R126" s="206">
        <v>20885280</v>
      </c>
      <c r="S126" s="32">
        <v>0</v>
      </c>
      <c r="T126" s="32">
        <v>0</v>
      </c>
      <c r="U126" s="32">
        <v>0</v>
      </c>
      <c r="V126" s="266">
        <f t="shared" si="17"/>
        <v>50</v>
      </c>
      <c r="W126" s="90">
        <f t="shared" si="18"/>
        <v>0.5</v>
      </c>
      <c r="X126" s="32">
        <v>0</v>
      </c>
      <c r="Y126" s="32">
        <v>0</v>
      </c>
      <c r="Z126" s="267">
        <f t="shared" si="19"/>
        <v>0</v>
      </c>
      <c r="AA126" s="268">
        <f t="shared" si="20"/>
        <v>33.333333333333336</v>
      </c>
      <c r="AB126" s="90">
        <f t="shared" si="21"/>
        <v>0.33333333333333337</v>
      </c>
      <c r="AC126" s="32">
        <v>60000000</v>
      </c>
      <c r="AD126" s="32">
        <v>0</v>
      </c>
      <c r="AE126" s="252">
        <f t="shared" si="22"/>
        <v>50</v>
      </c>
      <c r="AF126" s="90">
        <f t="shared" si="23"/>
        <v>1</v>
      </c>
      <c r="AG126" s="32">
        <v>0</v>
      </c>
      <c r="AH126" s="247">
        <f t="shared" si="24"/>
        <v>25</v>
      </c>
      <c r="AI126" s="91">
        <f t="shared" si="25"/>
        <v>0.25</v>
      </c>
      <c r="AJ126" s="32"/>
      <c r="AK126" s="32">
        <v>1</v>
      </c>
      <c r="AL126" s="32">
        <v>0</v>
      </c>
      <c r="AM126" s="32">
        <v>0</v>
      </c>
      <c r="AN126" s="32">
        <v>0</v>
      </c>
      <c r="AO126" s="247">
        <f t="shared" si="16"/>
        <v>1</v>
      </c>
      <c r="AP126" s="247">
        <f t="shared" si="26"/>
        <v>50</v>
      </c>
      <c r="AQ126" s="90">
        <f t="shared" si="27"/>
        <v>1</v>
      </c>
      <c r="AR126" s="32">
        <v>0</v>
      </c>
      <c r="AS126" s="32">
        <v>0</v>
      </c>
      <c r="AT126" s="32">
        <v>0</v>
      </c>
      <c r="AU126" s="272" t="str">
        <f t="shared" si="28"/>
        <v>A</v>
      </c>
      <c r="AV126" s="247">
        <f t="shared" si="29"/>
        <v>100</v>
      </c>
      <c r="AW126" s="90">
        <f t="shared" si="30"/>
        <v>3</v>
      </c>
      <c r="AX126" s="163">
        <f t="shared" si="31"/>
        <v>6.0833333333333339</v>
      </c>
    </row>
    <row r="127" spans="1:50" x14ac:dyDescent="0.6">
      <c r="A127" s="214" t="s">
        <v>743</v>
      </c>
      <c r="B127" s="13" t="s">
        <v>2106</v>
      </c>
      <c r="C127" s="219" t="s">
        <v>880</v>
      </c>
      <c r="D127" s="216" t="s">
        <v>191</v>
      </c>
      <c r="E127" s="217" t="s">
        <v>633</v>
      </c>
      <c r="F127" s="217" t="s">
        <v>1156</v>
      </c>
      <c r="G127" s="218">
        <v>32658</v>
      </c>
      <c r="H127" s="217" t="s">
        <v>712</v>
      </c>
      <c r="I127" s="217" t="s">
        <v>264</v>
      </c>
      <c r="J127" s="217" t="s">
        <v>1109</v>
      </c>
      <c r="K127" s="217" t="s">
        <v>91</v>
      </c>
      <c r="L127" s="220">
        <v>241989773</v>
      </c>
      <c r="M127" s="206">
        <v>40624252</v>
      </c>
      <c r="N127" s="206">
        <v>201365521</v>
      </c>
      <c r="O127" s="206">
        <v>93315362</v>
      </c>
      <c r="P127" s="206">
        <v>2071431</v>
      </c>
      <c r="Q127" s="206">
        <v>7052481</v>
      </c>
      <c r="R127" s="206">
        <v>5569068</v>
      </c>
      <c r="S127" s="32">
        <v>0</v>
      </c>
      <c r="T127" s="32">
        <v>0</v>
      </c>
      <c r="U127" s="32">
        <v>0</v>
      </c>
      <c r="V127" s="266">
        <f t="shared" si="17"/>
        <v>50</v>
      </c>
      <c r="W127" s="90">
        <f t="shared" si="18"/>
        <v>0.5</v>
      </c>
      <c r="X127" s="32">
        <v>0</v>
      </c>
      <c r="Y127" s="32">
        <v>0</v>
      </c>
      <c r="Z127" s="267">
        <f t="shared" si="19"/>
        <v>0</v>
      </c>
      <c r="AA127" s="268">
        <f t="shared" si="20"/>
        <v>33.333333333333336</v>
      </c>
      <c r="AB127" s="90">
        <f t="shared" si="21"/>
        <v>0.33333333333333337</v>
      </c>
      <c r="AC127" s="32">
        <v>0</v>
      </c>
      <c r="AD127" s="32">
        <v>1</v>
      </c>
      <c r="AE127" s="252">
        <f t="shared" si="22"/>
        <v>75</v>
      </c>
      <c r="AF127" s="90">
        <f t="shared" si="23"/>
        <v>1.5</v>
      </c>
      <c r="AG127" s="32">
        <v>0</v>
      </c>
      <c r="AH127" s="247">
        <f t="shared" si="24"/>
        <v>25</v>
      </c>
      <c r="AI127" s="91">
        <f t="shared" si="25"/>
        <v>0.25</v>
      </c>
      <c r="AJ127" s="32"/>
      <c r="AK127" s="32">
        <v>1</v>
      </c>
      <c r="AL127" s="32">
        <v>0</v>
      </c>
      <c r="AM127" s="32">
        <v>0</v>
      </c>
      <c r="AN127" s="32">
        <v>0</v>
      </c>
      <c r="AO127" s="247">
        <f t="shared" si="16"/>
        <v>1</v>
      </c>
      <c r="AP127" s="247">
        <f t="shared" si="26"/>
        <v>50</v>
      </c>
      <c r="AQ127" s="90">
        <f t="shared" si="27"/>
        <v>1</v>
      </c>
      <c r="AR127" s="32">
        <v>0</v>
      </c>
      <c r="AS127" s="32">
        <v>0</v>
      </c>
      <c r="AT127" s="32">
        <v>0</v>
      </c>
      <c r="AU127" s="272" t="str">
        <f t="shared" si="28"/>
        <v>A</v>
      </c>
      <c r="AV127" s="247">
        <f t="shared" si="29"/>
        <v>100</v>
      </c>
      <c r="AW127" s="90">
        <f t="shared" si="30"/>
        <v>3</v>
      </c>
      <c r="AX127" s="163">
        <f t="shared" si="31"/>
        <v>6.5833333333333339</v>
      </c>
    </row>
    <row r="128" spans="1:50" x14ac:dyDescent="0.6">
      <c r="A128" s="214" t="s">
        <v>883</v>
      </c>
      <c r="B128" s="13" t="s">
        <v>2107</v>
      </c>
      <c r="C128" s="219" t="s">
        <v>937</v>
      </c>
      <c r="D128" s="216" t="s">
        <v>203</v>
      </c>
      <c r="E128" s="217" t="s">
        <v>180</v>
      </c>
      <c r="F128" s="217" t="s">
        <v>565</v>
      </c>
      <c r="G128" s="218">
        <v>27921</v>
      </c>
      <c r="H128" s="217" t="s">
        <v>830</v>
      </c>
      <c r="I128" s="217" t="s">
        <v>1663</v>
      </c>
      <c r="J128" s="217" t="s">
        <v>1051</v>
      </c>
      <c r="K128" s="217" t="s">
        <v>320</v>
      </c>
      <c r="L128" s="220">
        <v>404942084</v>
      </c>
      <c r="M128" s="206">
        <v>194159798</v>
      </c>
      <c r="N128" s="206">
        <v>210782285</v>
      </c>
      <c r="O128" s="206">
        <v>232326917</v>
      </c>
      <c r="P128" s="206">
        <v>28484556</v>
      </c>
      <c r="Q128" s="206">
        <v>25121503</v>
      </c>
      <c r="R128" s="206">
        <v>22437303</v>
      </c>
      <c r="S128" s="32">
        <v>0</v>
      </c>
      <c r="T128" s="32">
        <v>0</v>
      </c>
      <c r="U128" s="32">
        <v>0</v>
      </c>
      <c r="V128" s="266">
        <f t="shared" si="17"/>
        <v>50</v>
      </c>
      <c r="W128" s="90">
        <f t="shared" si="18"/>
        <v>0.5</v>
      </c>
      <c r="X128" s="32">
        <v>0</v>
      </c>
      <c r="Y128" s="32">
        <v>0</v>
      </c>
      <c r="Z128" s="267">
        <f t="shared" si="19"/>
        <v>0</v>
      </c>
      <c r="AA128" s="268">
        <f t="shared" si="20"/>
        <v>33.333333333333336</v>
      </c>
      <c r="AB128" s="90">
        <f t="shared" si="21"/>
        <v>0.33333333333333337</v>
      </c>
      <c r="AC128" s="32">
        <v>0</v>
      </c>
      <c r="AD128" s="32">
        <v>0</v>
      </c>
      <c r="AE128" s="252">
        <f t="shared" si="22"/>
        <v>25</v>
      </c>
      <c r="AF128" s="90">
        <f t="shared" si="23"/>
        <v>0.5</v>
      </c>
      <c r="AG128" s="32">
        <v>0</v>
      </c>
      <c r="AH128" s="247">
        <f t="shared" si="24"/>
        <v>25</v>
      </c>
      <c r="AI128" s="91">
        <f t="shared" si="25"/>
        <v>0.25</v>
      </c>
      <c r="AJ128" s="32"/>
      <c r="AK128" s="32">
        <v>1</v>
      </c>
      <c r="AL128" s="32">
        <v>0</v>
      </c>
      <c r="AM128" s="32">
        <v>0</v>
      </c>
      <c r="AN128" s="32">
        <v>0</v>
      </c>
      <c r="AO128" s="247">
        <f t="shared" si="16"/>
        <v>1</v>
      </c>
      <c r="AP128" s="247">
        <f t="shared" si="26"/>
        <v>50</v>
      </c>
      <c r="AQ128" s="90">
        <f t="shared" si="27"/>
        <v>1</v>
      </c>
      <c r="AR128" s="32">
        <v>0</v>
      </c>
      <c r="AS128" s="32">
        <v>0</v>
      </c>
      <c r="AT128" s="32">
        <v>0</v>
      </c>
      <c r="AU128" s="272" t="str">
        <f t="shared" si="28"/>
        <v>A</v>
      </c>
      <c r="AV128" s="247">
        <f t="shared" si="29"/>
        <v>100</v>
      </c>
      <c r="AW128" s="90">
        <f t="shared" si="30"/>
        <v>3</v>
      </c>
      <c r="AX128" s="163">
        <f t="shared" si="31"/>
        <v>5.5833333333333339</v>
      </c>
    </row>
    <row r="129" spans="1:50" x14ac:dyDescent="0.6">
      <c r="A129" s="214" t="s">
        <v>689</v>
      </c>
      <c r="B129" s="13" t="s">
        <v>2108</v>
      </c>
      <c r="C129" s="219" t="s">
        <v>46</v>
      </c>
      <c r="D129" s="216" t="s">
        <v>203</v>
      </c>
      <c r="E129" s="217" t="s">
        <v>188</v>
      </c>
      <c r="F129" s="217" t="s">
        <v>119</v>
      </c>
      <c r="G129" s="218">
        <v>32842</v>
      </c>
      <c r="H129" s="217" t="s">
        <v>830</v>
      </c>
      <c r="I129" s="217" t="s">
        <v>717</v>
      </c>
      <c r="J129" s="217" t="s">
        <v>1088</v>
      </c>
      <c r="K129" s="217" t="s">
        <v>690</v>
      </c>
      <c r="L129" s="220">
        <v>60912252</v>
      </c>
      <c r="M129" s="206">
        <v>12528504</v>
      </c>
      <c r="N129" s="206">
        <v>48383747</v>
      </c>
      <c r="O129" s="206">
        <v>48434716</v>
      </c>
      <c r="P129" s="206">
        <v>3282892</v>
      </c>
      <c r="Q129" s="206">
        <v>3389050</v>
      </c>
      <c r="R129" s="206">
        <v>3069106</v>
      </c>
      <c r="S129" s="32">
        <v>0</v>
      </c>
      <c r="T129" s="32">
        <v>0</v>
      </c>
      <c r="U129" s="32">
        <v>0</v>
      </c>
      <c r="V129" s="266">
        <f t="shared" si="17"/>
        <v>50</v>
      </c>
      <c r="W129" s="90">
        <f t="shared" si="18"/>
        <v>0.5</v>
      </c>
      <c r="X129" s="32">
        <v>0</v>
      </c>
      <c r="Y129" s="32">
        <v>0</v>
      </c>
      <c r="Z129" s="267">
        <f t="shared" si="19"/>
        <v>0</v>
      </c>
      <c r="AA129" s="268">
        <f t="shared" si="20"/>
        <v>33.333333333333336</v>
      </c>
      <c r="AB129" s="90">
        <f t="shared" si="21"/>
        <v>0.33333333333333337</v>
      </c>
      <c r="AC129" s="32">
        <v>0</v>
      </c>
      <c r="AD129" s="32">
        <v>0</v>
      </c>
      <c r="AE129" s="252">
        <f t="shared" si="22"/>
        <v>25</v>
      </c>
      <c r="AF129" s="90">
        <f t="shared" si="23"/>
        <v>0.5</v>
      </c>
      <c r="AG129" s="32">
        <v>0</v>
      </c>
      <c r="AH129" s="247">
        <f t="shared" si="24"/>
        <v>25</v>
      </c>
      <c r="AI129" s="91">
        <f t="shared" si="25"/>
        <v>0.25</v>
      </c>
      <c r="AJ129" s="32"/>
      <c r="AK129" s="32">
        <v>1</v>
      </c>
      <c r="AL129" s="32">
        <v>0</v>
      </c>
      <c r="AM129" s="32">
        <v>0</v>
      </c>
      <c r="AN129" s="32">
        <v>0</v>
      </c>
      <c r="AO129" s="247">
        <f t="shared" ref="AO129:AO192" si="32">SUM(AJ129:AN129)</f>
        <v>1</v>
      </c>
      <c r="AP129" s="247">
        <f t="shared" si="26"/>
        <v>50</v>
      </c>
      <c r="AQ129" s="90">
        <f t="shared" si="27"/>
        <v>1</v>
      </c>
      <c r="AR129" s="32">
        <v>0</v>
      </c>
      <c r="AS129" s="32">
        <v>0</v>
      </c>
      <c r="AT129" s="32">
        <v>0</v>
      </c>
      <c r="AU129" s="272" t="str">
        <f t="shared" si="28"/>
        <v>A</v>
      </c>
      <c r="AV129" s="247">
        <f t="shared" si="29"/>
        <v>100</v>
      </c>
      <c r="AW129" s="90">
        <f t="shared" si="30"/>
        <v>3</v>
      </c>
      <c r="AX129" s="163">
        <f t="shared" si="31"/>
        <v>5.5833333333333339</v>
      </c>
    </row>
    <row r="130" spans="1:50" x14ac:dyDescent="0.6">
      <c r="A130" s="214" t="s">
        <v>1664</v>
      </c>
      <c r="B130" s="13" t="s">
        <v>2109</v>
      </c>
      <c r="C130" s="219" t="s">
        <v>79</v>
      </c>
      <c r="D130" s="221" t="s">
        <v>350</v>
      </c>
      <c r="E130" s="217" t="s">
        <v>179</v>
      </c>
      <c r="F130" s="217" t="s">
        <v>965</v>
      </c>
      <c r="G130" s="218">
        <v>32343</v>
      </c>
      <c r="H130" s="217" t="s">
        <v>830</v>
      </c>
      <c r="I130" s="217" t="s">
        <v>763</v>
      </c>
      <c r="J130" s="217" t="s">
        <v>1169</v>
      </c>
      <c r="K130" s="217" t="s">
        <v>91</v>
      </c>
      <c r="L130" s="220">
        <v>1427244316</v>
      </c>
      <c r="M130" s="206">
        <v>761201192</v>
      </c>
      <c r="N130" s="206">
        <v>666043124</v>
      </c>
      <c r="O130" s="206">
        <v>962455644</v>
      </c>
      <c r="P130" s="206">
        <v>61833345</v>
      </c>
      <c r="Q130" s="206">
        <v>63808418</v>
      </c>
      <c r="R130" s="206">
        <v>45756353</v>
      </c>
      <c r="S130" s="32">
        <v>0</v>
      </c>
      <c r="T130" s="32">
        <v>0</v>
      </c>
      <c r="U130" s="32">
        <v>0</v>
      </c>
      <c r="V130" s="266">
        <f t="shared" ref="V130:V193" si="33">IF(SUM(S130:U130)=0, 50, 100)</f>
        <v>50</v>
      </c>
      <c r="W130" s="90">
        <f t="shared" ref="W130:W193" si="34">V130*0.01</f>
        <v>0.5</v>
      </c>
      <c r="X130" s="32">
        <v>0</v>
      </c>
      <c r="Y130" s="32">
        <v>0</v>
      </c>
      <c r="Z130" s="267">
        <f t="shared" ref="Z130:Z193" si="35">SUM(X130:Y130)</f>
        <v>0</v>
      </c>
      <c r="AA130" s="268">
        <f t="shared" ref="AA130:AA193" si="36">IF(Z130=0, 100/3, IF(Z130=1, 200/3, IF(Z130=2, 100)))</f>
        <v>33.333333333333336</v>
      </c>
      <c r="AB130" s="90">
        <f t="shared" ref="AB130:AB193" si="37">AA130*0.01</f>
        <v>0.33333333333333337</v>
      </c>
      <c r="AC130" s="32">
        <v>0</v>
      </c>
      <c r="AD130" s="32">
        <v>0</v>
      </c>
      <c r="AE130" s="252">
        <f t="shared" ref="AE130:AE193" si="38">IF(AND(AD130=1, AC130&gt;0), 100, IF(AD130=1, 75, IF(AC130&gt;0, 50, 25)))</f>
        <v>25</v>
      </c>
      <c r="AF130" s="90">
        <f t="shared" ref="AF130:AF193" si="39">AE130*0.02</f>
        <v>0.5</v>
      </c>
      <c r="AG130" s="32">
        <v>0</v>
      </c>
      <c r="AH130" s="247">
        <f t="shared" ref="AH130:AH193" si="40">IF(AG130=0, 25, IF(AG130=1, 50, IF(AG130=2, 75, IF(AG130&gt;=3, 100))))</f>
        <v>25</v>
      </c>
      <c r="AI130" s="91">
        <f t="shared" ref="AI130:AI193" si="41">AH130*0.01</f>
        <v>0.25</v>
      </c>
      <c r="AJ130" s="32"/>
      <c r="AK130" s="32">
        <v>0</v>
      </c>
      <c r="AL130" s="32">
        <v>0</v>
      </c>
      <c r="AM130" s="32">
        <v>0</v>
      </c>
      <c r="AN130" s="32">
        <v>0</v>
      </c>
      <c r="AO130" s="247">
        <f t="shared" si="32"/>
        <v>0</v>
      </c>
      <c r="AP130" s="247">
        <f t="shared" ref="AP130:AP193" si="42">IF(AO130=0, 25, IF(AO130=1, 50, IF(AO130=2, 75, IF(AO130&gt;=3, 100))))</f>
        <v>25</v>
      </c>
      <c r="AQ130" s="90">
        <f t="shared" ref="AQ130:AQ193" si="43">AP130*0.02</f>
        <v>0.5</v>
      </c>
      <c r="AR130" s="32">
        <v>0</v>
      </c>
      <c r="AS130" s="32">
        <v>0</v>
      </c>
      <c r="AT130" s="32">
        <v>0</v>
      </c>
      <c r="AU130" s="272" t="str">
        <f t="shared" ref="AU130:AU193" si="44">IF(AT130=1, "D", IF(AS130=1, "C", IF(AR130=1, "B", "A")))</f>
        <v>A</v>
      </c>
      <c r="AV130" s="247">
        <f t="shared" ref="AV130:AV193" si="45">IF(AU130="A", 100, IF(AU130="B", 75, IF(AU130="C", 50, IF(AU130="D", 25))))</f>
        <v>100</v>
      </c>
      <c r="AW130" s="90">
        <f t="shared" ref="AW130:AW193" si="46">AV130*0.03</f>
        <v>3</v>
      </c>
      <c r="AX130" s="163">
        <v>0</v>
      </c>
    </row>
    <row r="131" spans="1:50" x14ac:dyDescent="0.6">
      <c r="A131" s="214" t="s">
        <v>1665</v>
      </c>
      <c r="B131" s="13" t="s">
        <v>2110</v>
      </c>
      <c r="C131" s="219" t="s">
        <v>62</v>
      </c>
      <c r="D131" s="216" t="s">
        <v>203</v>
      </c>
      <c r="E131" s="217" t="s">
        <v>195</v>
      </c>
      <c r="F131" s="217" t="s">
        <v>731</v>
      </c>
      <c r="G131" s="218">
        <v>39735</v>
      </c>
      <c r="H131" s="217" t="s">
        <v>830</v>
      </c>
      <c r="I131" s="217" t="s">
        <v>3</v>
      </c>
      <c r="J131" s="217" t="s">
        <v>1082</v>
      </c>
      <c r="K131" s="217" t="s">
        <v>487</v>
      </c>
      <c r="L131" s="220">
        <v>153622004</v>
      </c>
      <c r="M131" s="206">
        <v>27614064</v>
      </c>
      <c r="N131" s="206">
        <v>126007940</v>
      </c>
      <c r="O131" s="206">
        <v>209727336</v>
      </c>
      <c r="P131" s="206">
        <v>5922306</v>
      </c>
      <c r="Q131" s="206">
        <v>9227725</v>
      </c>
      <c r="R131" s="206">
        <v>7102656</v>
      </c>
      <c r="S131" s="32">
        <v>0</v>
      </c>
      <c r="T131" s="32">
        <v>0</v>
      </c>
      <c r="U131" s="32">
        <v>0</v>
      </c>
      <c r="V131" s="266">
        <f t="shared" si="33"/>
        <v>50</v>
      </c>
      <c r="W131" s="90">
        <f t="shared" si="34"/>
        <v>0.5</v>
      </c>
      <c r="X131" s="32">
        <v>0</v>
      </c>
      <c r="Y131" s="32">
        <v>0</v>
      </c>
      <c r="Z131" s="267">
        <f t="shared" si="35"/>
        <v>0</v>
      </c>
      <c r="AA131" s="268">
        <f t="shared" si="36"/>
        <v>33.333333333333336</v>
      </c>
      <c r="AB131" s="90">
        <f t="shared" si="37"/>
        <v>0.33333333333333337</v>
      </c>
      <c r="AC131" s="32">
        <v>0</v>
      </c>
      <c r="AD131" s="32">
        <v>0</v>
      </c>
      <c r="AE131" s="252">
        <f t="shared" si="38"/>
        <v>25</v>
      </c>
      <c r="AF131" s="90">
        <f t="shared" si="39"/>
        <v>0.5</v>
      </c>
      <c r="AG131" s="32">
        <v>0</v>
      </c>
      <c r="AH131" s="247">
        <f t="shared" si="40"/>
        <v>25</v>
      </c>
      <c r="AI131" s="91">
        <f t="shared" si="41"/>
        <v>0.25</v>
      </c>
      <c r="AJ131" s="32"/>
      <c r="AK131" s="32">
        <v>0</v>
      </c>
      <c r="AL131" s="32">
        <v>0</v>
      </c>
      <c r="AM131" s="32">
        <v>0</v>
      </c>
      <c r="AN131" s="32">
        <v>0</v>
      </c>
      <c r="AO131" s="247">
        <f t="shared" si="32"/>
        <v>0</v>
      </c>
      <c r="AP131" s="247">
        <f t="shared" si="42"/>
        <v>25</v>
      </c>
      <c r="AQ131" s="90">
        <f t="shared" si="43"/>
        <v>0.5</v>
      </c>
      <c r="AR131" s="32">
        <v>0</v>
      </c>
      <c r="AS131" s="32">
        <v>0</v>
      </c>
      <c r="AT131" s="32">
        <v>0</v>
      </c>
      <c r="AU131" s="272" t="str">
        <f t="shared" si="44"/>
        <v>A</v>
      </c>
      <c r="AV131" s="247">
        <f t="shared" si="45"/>
        <v>100</v>
      </c>
      <c r="AW131" s="90">
        <f t="shared" si="46"/>
        <v>3</v>
      </c>
      <c r="AX131" s="163">
        <f t="shared" ref="AX131:AX193" si="47">W131+AB131+AF131+AI131+AQ131+AW131</f>
        <v>5.0833333333333339</v>
      </c>
    </row>
    <row r="132" spans="1:50" x14ac:dyDescent="0.6">
      <c r="A132" s="214" t="s">
        <v>1666</v>
      </c>
      <c r="B132" s="13" t="s">
        <v>2111</v>
      </c>
      <c r="C132" s="219" t="s">
        <v>1667</v>
      </c>
      <c r="D132" s="14" t="s">
        <v>191</v>
      </c>
      <c r="E132" s="217" t="s">
        <v>952</v>
      </c>
      <c r="F132" s="217" t="s">
        <v>1668</v>
      </c>
      <c r="G132" s="218">
        <v>41089</v>
      </c>
      <c r="H132" s="217" t="s">
        <v>830</v>
      </c>
      <c r="I132" s="217" t="s">
        <v>1669</v>
      </c>
      <c r="J132" s="217" t="s">
        <v>1670</v>
      </c>
      <c r="K132" s="217" t="s">
        <v>91</v>
      </c>
      <c r="L132" s="220">
        <v>350700455</v>
      </c>
      <c r="M132" s="206">
        <v>111544269</v>
      </c>
      <c r="N132" s="206">
        <v>239156186</v>
      </c>
      <c r="O132" s="206">
        <v>201116170</v>
      </c>
      <c r="P132" s="206">
        <v>13584493</v>
      </c>
      <c r="Q132" s="206">
        <v>10414124</v>
      </c>
      <c r="R132" s="206">
        <v>8295233</v>
      </c>
      <c r="S132" s="32">
        <v>0</v>
      </c>
      <c r="T132" s="32">
        <v>0</v>
      </c>
      <c r="U132" s="32">
        <v>0</v>
      </c>
      <c r="V132" s="266">
        <f t="shared" si="33"/>
        <v>50</v>
      </c>
      <c r="W132" s="90">
        <f t="shared" si="34"/>
        <v>0.5</v>
      </c>
      <c r="X132" s="32">
        <v>0</v>
      </c>
      <c r="Y132" s="32">
        <v>0</v>
      </c>
      <c r="Z132" s="267">
        <f t="shared" si="35"/>
        <v>0</v>
      </c>
      <c r="AA132" s="268">
        <f t="shared" si="36"/>
        <v>33.333333333333336</v>
      </c>
      <c r="AB132" s="90">
        <f t="shared" si="37"/>
        <v>0.33333333333333337</v>
      </c>
      <c r="AC132" s="32">
        <v>0</v>
      </c>
      <c r="AD132" s="32">
        <v>0</v>
      </c>
      <c r="AE132" s="252">
        <f t="shared" si="38"/>
        <v>25</v>
      </c>
      <c r="AF132" s="90">
        <f t="shared" si="39"/>
        <v>0.5</v>
      </c>
      <c r="AG132" s="32">
        <v>0</v>
      </c>
      <c r="AH132" s="247">
        <f t="shared" si="40"/>
        <v>25</v>
      </c>
      <c r="AI132" s="91">
        <f t="shared" si="41"/>
        <v>0.25</v>
      </c>
      <c r="AJ132" s="32"/>
      <c r="AK132" s="32">
        <v>0</v>
      </c>
      <c r="AL132" s="32">
        <v>0</v>
      </c>
      <c r="AM132" s="32">
        <v>0</v>
      </c>
      <c r="AN132" s="32">
        <v>0</v>
      </c>
      <c r="AO132" s="247">
        <f t="shared" si="32"/>
        <v>0</v>
      </c>
      <c r="AP132" s="247">
        <f t="shared" si="42"/>
        <v>25</v>
      </c>
      <c r="AQ132" s="90">
        <f t="shared" si="43"/>
        <v>0.5</v>
      </c>
      <c r="AR132" s="32">
        <v>0</v>
      </c>
      <c r="AS132" s="32">
        <v>0</v>
      </c>
      <c r="AT132" s="32">
        <v>0</v>
      </c>
      <c r="AU132" s="272" t="str">
        <f t="shared" si="44"/>
        <v>A</v>
      </c>
      <c r="AV132" s="247">
        <f t="shared" si="45"/>
        <v>100</v>
      </c>
      <c r="AW132" s="90">
        <f t="shared" si="46"/>
        <v>3</v>
      </c>
      <c r="AX132" s="163">
        <f t="shared" si="47"/>
        <v>5.0833333333333339</v>
      </c>
    </row>
    <row r="133" spans="1:50" x14ac:dyDescent="0.6">
      <c r="A133" s="214" t="s">
        <v>73</v>
      </c>
      <c r="B133" s="13" t="s">
        <v>2112</v>
      </c>
      <c r="C133" s="219" t="s">
        <v>65</v>
      </c>
      <c r="D133" s="216" t="s">
        <v>191</v>
      </c>
      <c r="E133" s="217" t="s">
        <v>952</v>
      </c>
      <c r="F133" s="217" t="s">
        <v>166</v>
      </c>
      <c r="G133" s="218">
        <v>31770</v>
      </c>
      <c r="H133" s="217" t="s">
        <v>830</v>
      </c>
      <c r="I133" s="217" t="s">
        <v>1671</v>
      </c>
      <c r="J133" s="217" t="s">
        <v>1115</v>
      </c>
      <c r="K133" s="217" t="s">
        <v>91</v>
      </c>
      <c r="L133" s="220">
        <v>343207955</v>
      </c>
      <c r="M133" s="206">
        <v>137261542</v>
      </c>
      <c r="N133" s="206">
        <v>205946413</v>
      </c>
      <c r="O133" s="206">
        <v>369125207</v>
      </c>
      <c r="P133" s="206">
        <v>10201023</v>
      </c>
      <c r="Q133" s="206">
        <v>10693290</v>
      </c>
      <c r="R133" s="206">
        <v>8526794</v>
      </c>
      <c r="S133" s="32">
        <v>0</v>
      </c>
      <c r="T133" s="32">
        <v>0</v>
      </c>
      <c r="U133" s="32">
        <v>0</v>
      </c>
      <c r="V133" s="266">
        <f t="shared" si="33"/>
        <v>50</v>
      </c>
      <c r="W133" s="90">
        <f t="shared" si="34"/>
        <v>0.5</v>
      </c>
      <c r="X133" s="32">
        <v>0</v>
      </c>
      <c r="Y133" s="32">
        <v>0</v>
      </c>
      <c r="Z133" s="267">
        <f t="shared" si="35"/>
        <v>0</v>
      </c>
      <c r="AA133" s="268">
        <f t="shared" si="36"/>
        <v>33.333333333333336</v>
      </c>
      <c r="AB133" s="90">
        <f t="shared" si="37"/>
        <v>0.33333333333333337</v>
      </c>
      <c r="AC133" s="32">
        <v>0</v>
      </c>
      <c r="AD133" s="32">
        <v>0</v>
      </c>
      <c r="AE133" s="252">
        <f t="shared" si="38"/>
        <v>25</v>
      </c>
      <c r="AF133" s="90">
        <f t="shared" si="39"/>
        <v>0.5</v>
      </c>
      <c r="AG133" s="32">
        <v>0</v>
      </c>
      <c r="AH133" s="247">
        <f t="shared" si="40"/>
        <v>25</v>
      </c>
      <c r="AI133" s="91">
        <f t="shared" si="41"/>
        <v>0.25</v>
      </c>
      <c r="AJ133" s="32"/>
      <c r="AK133" s="32">
        <v>1</v>
      </c>
      <c r="AL133" s="32">
        <v>0</v>
      </c>
      <c r="AM133" s="32">
        <v>0</v>
      </c>
      <c r="AN133" s="32">
        <v>0</v>
      </c>
      <c r="AO133" s="247">
        <f t="shared" si="32"/>
        <v>1</v>
      </c>
      <c r="AP133" s="247">
        <f t="shared" si="42"/>
        <v>50</v>
      </c>
      <c r="AQ133" s="90">
        <f t="shared" si="43"/>
        <v>1</v>
      </c>
      <c r="AR133" s="32">
        <v>0</v>
      </c>
      <c r="AS133" s="32">
        <v>0</v>
      </c>
      <c r="AT133" s="32">
        <v>0</v>
      </c>
      <c r="AU133" s="272" t="str">
        <f t="shared" si="44"/>
        <v>A</v>
      </c>
      <c r="AV133" s="247">
        <f t="shared" si="45"/>
        <v>100</v>
      </c>
      <c r="AW133" s="90">
        <f t="shared" si="46"/>
        <v>3</v>
      </c>
      <c r="AX133" s="163">
        <f t="shared" si="47"/>
        <v>5.5833333333333339</v>
      </c>
    </row>
    <row r="134" spans="1:50" x14ac:dyDescent="0.6">
      <c r="A134" s="214" t="s">
        <v>1672</v>
      </c>
      <c r="B134" s="13" t="s">
        <v>2113</v>
      </c>
      <c r="C134" s="219" t="s">
        <v>1673</v>
      </c>
      <c r="D134" s="14" t="s">
        <v>203</v>
      </c>
      <c r="E134" s="223" t="s">
        <v>617</v>
      </c>
      <c r="F134" s="223" t="s">
        <v>1674</v>
      </c>
      <c r="G134" s="224">
        <v>28913</v>
      </c>
      <c r="H134" s="223" t="s">
        <v>830</v>
      </c>
      <c r="I134" s="223" t="s">
        <v>1675</v>
      </c>
      <c r="J134" s="223" t="s">
        <v>1676</v>
      </c>
      <c r="K134" s="223" t="s">
        <v>690</v>
      </c>
      <c r="L134" s="225">
        <v>18848886743</v>
      </c>
      <c r="M134" s="226">
        <v>6192868704</v>
      </c>
      <c r="N134" s="226">
        <v>12656018039</v>
      </c>
      <c r="O134" s="226">
        <v>17458293610</v>
      </c>
      <c r="P134" s="226">
        <v>1010874359</v>
      </c>
      <c r="Q134" s="226">
        <v>1064689936</v>
      </c>
      <c r="R134" s="226">
        <v>865838207</v>
      </c>
      <c r="S134" s="32">
        <v>0</v>
      </c>
      <c r="T134" s="32">
        <v>0</v>
      </c>
      <c r="U134" s="32">
        <v>0</v>
      </c>
      <c r="V134" s="266">
        <f t="shared" si="33"/>
        <v>50</v>
      </c>
      <c r="W134" s="90">
        <f t="shared" si="34"/>
        <v>0.5</v>
      </c>
      <c r="X134" s="32">
        <v>0</v>
      </c>
      <c r="Y134" s="32">
        <v>0</v>
      </c>
      <c r="Z134" s="267">
        <f t="shared" si="35"/>
        <v>0</v>
      </c>
      <c r="AA134" s="268">
        <f t="shared" si="36"/>
        <v>33.333333333333336</v>
      </c>
      <c r="AB134" s="90">
        <f t="shared" si="37"/>
        <v>0.33333333333333337</v>
      </c>
      <c r="AC134" s="32">
        <v>0</v>
      </c>
      <c r="AD134" s="32">
        <v>1</v>
      </c>
      <c r="AE134" s="252">
        <f t="shared" si="38"/>
        <v>75</v>
      </c>
      <c r="AF134" s="90">
        <f t="shared" si="39"/>
        <v>1.5</v>
      </c>
      <c r="AG134" s="32">
        <v>0</v>
      </c>
      <c r="AH134" s="247">
        <f t="shared" si="40"/>
        <v>25</v>
      </c>
      <c r="AI134" s="91">
        <f t="shared" si="41"/>
        <v>0.25</v>
      </c>
      <c r="AJ134" s="32"/>
      <c r="AK134" s="32">
        <v>1</v>
      </c>
      <c r="AL134" s="32">
        <v>1</v>
      </c>
      <c r="AM134" s="32">
        <v>0</v>
      </c>
      <c r="AN134" s="32">
        <v>0</v>
      </c>
      <c r="AO134" s="247">
        <f t="shared" si="32"/>
        <v>2</v>
      </c>
      <c r="AP134" s="247">
        <f t="shared" si="42"/>
        <v>75</v>
      </c>
      <c r="AQ134" s="90">
        <f t="shared" si="43"/>
        <v>1.5</v>
      </c>
      <c r="AR134" s="32">
        <v>0</v>
      </c>
      <c r="AS134" s="32">
        <v>0</v>
      </c>
      <c r="AT134" s="32">
        <v>0</v>
      </c>
      <c r="AU134" s="272" t="str">
        <f t="shared" si="44"/>
        <v>A</v>
      </c>
      <c r="AV134" s="247">
        <f t="shared" si="45"/>
        <v>100</v>
      </c>
      <c r="AW134" s="90">
        <f t="shared" si="46"/>
        <v>3</v>
      </c>
      <c r="AX134" s="163">
        <f t="shared" si="47"/>
        <v>7.0833333333333339</v>
      </c>
    </row>
    <row r="135" spans="1:50" x14ac:dyDescent="0.6">
      <c r="A135" s="214" t="s">
        <v>2114</v>
      </c>
      <c r="B135" s="1" t="s">
        <v>2115</v>
      </c>
      <c r="C135" s="227" t="s">
        <v>1677</v>
      </c>
      <c r="D135" s="6" t="s">
        <v>285</v>
      </c>
      <c r="E135" s="228" t="s">
        <v>171</v>
      </c>
      <c r="F135" s="228" t="s">
        <v>1678</v>
      </c>
      <c r="G135" s="229">
        <v>41991</v>
      </c>
      <c r="H135" s="228" t="s">
        <v>830</v>
      </c>
      <c r="I135" s="228" t="s">
        <v>1679</v>
      </c>
      <c r="J135" s="228" t="s">
        <v>1680</v>
      </c>
      <c r="K135" s="228" t="s">
        <v>91</v>
      </c>
      <c r="L135" s="9">
        <v>39636329822</v>
      </c>
      <c r="M135" s="9">
        <v>15712704458</v>
      </c>
      <c r="N135" s="9">
        <v>23923625364</v>
      </c>
      <c r="O135" s="9">
        <v>26406560657</v>
      </c>
      <c r="P135" s="9">
        <v>939411977</v>
      </c>
      <c r="Q135" s="9">
        <v>1886089047</v>
      </c>
      <c r="R135" s="9">
        <v>1461807709</v>
      </c>
      <c r="S135" s="32">
        <v>1</v>
      </c>
      <c r="T135" s="32">
        <v>1</v>
      </c>
      <c r="U135" s="32">
        <v>0</v>
      </c>
      <c r="V135" s="266">
        <f t="shared" si="33"/>
        <v>100</v>
      </c>
      <c r="W135" s="90">
        <f t="shared" si="34"/>
        <v>1</v>
      </c>
      <c r="X135" s="32">
        <v>0</v>
      </c>
      <c r="Y135" s="32">
        <v>0</v>
      </c>
      <c r="Z135" s="267">
        <f t="shared" si="35"/>
        <v>0</v>
      </c>
      <c r="AA135" s="268">
        <f t="shared" si="36"/>
        <v>33.333333333333336</v>
      </c>
      <c r="AB135" s="90">
        <f t="shared" si="37"/>
        <v>0.33333333333333337</v>
      </c>
      <c r="AC135" s="32">
        <v>0</v>
      </c>
      <c r="AD135" s="32">
        <v>1</v>
      </c>
      <c r="AE135" s="252">
        <f t="shared" si="38"/>
        <v>75</v>
      </c>
      <c r="AF135" s="90">
        <f t="shared" si="39"/>
        <v>1.5</v>
      </c>
      <c r="AG135" s="32">
        <v>3</v>
      </c>
      <c r="AH135" s="247">
        <f t="shared" si="40"/>
        <v>100</v>
      </c>
      <c r="AI135" s="91">
        <f t="shared" si="41"/>
        <v>1</v>
      </c>
      <c r="AJ135" s="32"/>
      <c r="AK135" s="32">
        <v>0</v>
      </c>
      <c r="AL135" s="32">
        <v>0</v>
      </c>
      <c r="AM135" s="32">
        <v>0</v>
      </c>
      <c r="AN135" s="32">
        <v>0</v>
      </c>
      <c r="AO135" s="247">
        <f t="shared" si="32"/>
        <v>0</v>
      </c>
      <c r="AP135" s="247">
        <f t="shared" si="42"/>
        <v>25</v>
      </c>
      <c r="AQ135" s="90">
        <f t="shared" si="43"/>
        <v>0.5</v>
      </c>
      <c r="AR135" s="32">
        <v>0</v>
      </c>
      <c r="AS135" s="32">
        <v>1</v>
      </c>
      <c r="AT135" s="32">
        <v>0</v>
      </c>
      <c r="AU135" s="272" t="str">
        <f t="shared" si="44"/>
        <v>C</v>
      </c>
      <c r="AV135" s="247">
        <f t="shared" si="45"/>
        <v>50</v>
      </c>
      <c r="AW135" s="90">
        <f t="shared" si="46"/>
        <v>1.5</v>
      </c>
      <c r="AX135" s="163">
        <f t="shared" si="47"/>
        <v>5.8333333333333339</v>
      </c>
    </row>
    <row r="136" spans="1:50" x14ac:dyDescent="0.6">
      <c r="A136" s="214" t="s">
        <v>406</v>
      </c>
      <c r="B136" s="13" t="s">
        <v>2116</v>
      </c>
      <c r="C136" s="219" t="s">
        <v>24</v>
      </c>
      <c r="D136" s="221" t="s">
        <v>481</v>
      </c>
      <c r="E136" s="230" t="s">
        <v>704</v>
      </c>
      <c r="F136" s="230" t="s">
        <v>270</v>
      </c>
      <c r="G136" s="231">
        <v>40310</v>
      </c>
      <c r="H136" s="230" t="s">
        <v>830</v>
      </c>
      <c r="I136" s="230" t="s">
        <v>711</v>
      </c>
      <c r="J136" s="230" t="s">
        <v>1185</v>
      </c>
      <c r="K136" s="230" t="s">
        <v>91</v>
      </c>
      <c r="L136" s="232">
        <v>281498132000</v>
      </c>
      <c r="M136" s="233">
        <v>263811626000</v>
      </c>
      <c r="N136" s="233">
        <v>17686506000</v>
      </c>
      <c r="O136" s="233">
        <v>34485080000</v>
      </c>
      <c r="P136" s="233">
        <v>214616000</v>
      </c>
      <c r="Q136" s="233">
        <v>784965000</v>
      </c>
      <c r="R136" s="233">
        <v>616696000</v>
      </c>
      <c r="S136" s="32">
        <v>0</v>
      </c>
      <c r="T136" s="32">
        <v>1</v>
      </c>
      <c r="U136" s="32">
        <v>0</v>
      </c>
      <c r="V136" s="266">
        <f t="shared" si="33"/>
        <v>100</v>
      </c>
      <c r="W136" s="90">
        <f t="shared" si="34"/>
        <v>1</v>
      </c>
      <c r="X136" s="32">
        <v>0</v>
      </c>
      <c r="Y136" s="32">
        <v>0</v>
      </c>
      <c r="Z136" s="267">
        <f t="shared" si="35"/>
        <v>0</v>
      </c>
      <c r="AA136" s="268">
        <f t="shared" si="36"/>
        <v>33.333333333333336</v>
      </c>
      <c r="AB136" s="90">
        <f t="shared" si="37"/>
        <v>0.33333333333333337</v>
      </c>
      <c r="AC136" s="32">
        <v>0</v>
      </c>
      <c r="AD136" s="32">
        <v>1</v>
      </c>
      <c r="AE136" s="252">
        <f t="shared" si="38"/>
        <v>75</v>
      </c>
      <c r="AF136" s="90">
        <f t="shared" si="39"/>
        <v>1.5</v>
      </c>
      <c r="AG136" s="32">
        <v>0</v>
      </c>
      <c r="AH136" s="247">
        <f t="shared" si="40"/>
        <v>25</v>
      </c>
      <c r="AI136" s="91">
        <f t="shared" si="41"/>
        <v>0.25</v>
      </c>
      <c r="AJ136" s="32"/>
      <c r="AK136" s="32">
        <v>0</v>
      </c>
      <c r="AL136" s="32">
        <v>0</v>
      </c>
      <c r="AM136" s="32">
        <v>0</v>
      </c>
      <c r="AN136" s="32">
        <v>0</v>
      </c>
      <c r="AO136" s="247">
        <f t="shared" si="32"/>
        <v>0</v>
      </c>
      <c r="AP136" s="247">
        <f t="shared" si="42"/>
        <v>25</v>
      </c>
      <c r="AQ136" s="90">
        <f t="shared" si="43"/>
        <v>0.5</v>
      </c>
      <c r="AR136" s="32">
        <v>0</v>
      </c>
      <c r="AS136" s="32">
        <v>0</v>
      </c>
      <c r="AT136" s="32">
        <v>0</v>
      </c>
      <c r="AU136" s="272" t="str">
        <f t="shared" si="44"/>
        <v>A</v>
      </c>
      <c r="AV136" s="247">
        <f t="shared" si="45"/>
        <v>100</v>
      </c>
      <c r="AW136" s="90">
        <f t="shared" si="46"/>
        <v>3</v>
      </c>
      <c r="AX136" s="163">
        <v>0</v>
      </c>
    </row>
    <row r="137" spans="1:50" x14ac:dyDescent="0.6">
      <c r="A137" s="214" t="s">
        <v>372</v>
      </c>
      <c r="B137" s="13" t="s">
        <v>2117</v>
      </c>
      <c r="C137" s="219" t="s">
        <v>470</v>
      </c>
      <c r="D137" s="216" t="s">
        <v>285</v>
      </c>
      <c r="E137" s="217" t="s">
        <v>1034</v>
      </c>
      <c r="F137" s="217" t="s">
        <v>380</v>
      </c>
      <c r="G137" s="218">
        <v>41957</v>
      </c>
      <c r="H137" s="217" t="s">
        <v>830</v>
      </c>
      <c r="I137" s="217" t="s">
        <v>832</v>
      </c>
      <c r="J137" s="217" t="s">
        <v>1178</v>
      </c>
      <c r="K137" s="217" t="s">
        <v>91</v>
      </c>
      <c r="L137" s="220">
        <v>7628899434</v>
      </c>
      <c r="M137" s="206">
        <v>1614217740</v>
      </c>
      <c r="N137" s="206">
        <v>6014681694</v>
      </c>
      <c r="O137" s="206">
        <v>5174554118</v>
      </c>
      <c r="P137" s="206">
        <v>296153499</v>
      </c>
      <c r="Q137" s="206">
        <v>482313799</v>
      </c>
      <c r="R137" s="206">
        <v>530145587</v>
      </c>
      <c r="S137" s="32">
        <v>0</v>
      </c>
      <c r="T137" s="32">
        <v>0</v>
      </c>
      <c r="U137" s="32">
        <v>0</v>
      </c>
      <c r="V137" s="266">
        <f t="shared" si="33"/>
        <v>50</v>
      </c>
      <c r="W137" s="90">
        <f t="shared" si="34"/>
        <v>0.5</v>
      </c>
      <c r="X137" s="32">
        <v>0</v>
      </c>
      <c r="Y137" s="32">
        <v>0</v>
      </c>
      <c r="Z137" s="267">
        <f t="shared" si="35"/>
        <v>0</v>
      </c>
      <c r="AA137" s="268">
        <f t="shared" si="36"/>
        <v>33.333333333333336</v>
      </c>
      <c r="AB137" s="90">
        <f t="shared" si="37"/>
        <v>0.33333333333333337</v>
      </c>
      <c r="AC137" s="32">
        <v>0</v>
      </c>
      <c r="AD137" s="32">
        <v>1</v>
      </c>
      <c r="AE137" s="252">
        <f t="shared" si="38"/>
        <v>75</v>
      </c>
      <c r="AF137" s="90">
        <f t="shared" si="39"/>
        <v>1.5</v>
      </c>
      <c r="AG137" s="32">
        <v>0</v>
      </c>
      <c r="AH137" s="247">
        <f t="shared" si="40"/>
        <v>25</v>
      </c>
      <c r="AI137" s="91">
        <f t="shared" si="41"/>
        <v>0.25</v>
      </c>
      <c r="AJ137" s="32"/>
      <c r="AK137" s="32">
        <v>0</v>
      </c>
      <c r="AL137" s="32">
        <v>0</v>
      </c>
      <c r="AM137" s="32">
        <v>0</v>
      </c>
      <c r="AN137" s="32">
        <v>0</v>
      </c>
      <c r="AO137" s="247">
        <f t="shared" si="32"/>
        <v>0</v>
      </c>
      <c r="AP137" s="247">
        <f t="shared" si="42"/>
        <v>25</v>
      </c>
      <c r="AQ137" s="90">
        <f t="shared" si="43"/>
        <v>0.5</v>
      </c>
      <c r="AR137" s="32">
        <v>0</v>
      </c>
      <c r="AS137" s="32">
        <v>0</v>
      </c>
      <c r="AT137" s="32">
        <v>0</v>
      </c>
      <c r="AU137" s="272" t="str">
        <f t="shared" si="44"/>
        <v>A</v>
      </c>
      <c r="AV137" s="247">
        <f t="shared" si="45"/>
        <v>100</v>
      </c>
      <c r="AW137" s="90">
        <f t="shared" si="46"/>
        <v>3</v>
      </c>
      <c r="AX137" s="163">
        <f t="shared" si="47"/>
        <v>6.0833333333333339</v>
      </c>
    </row>
    <row r="138" spans="1:50" x14ac:dyDescent="0.6">
      <c r="A138" s="214" t="s">
        <v>1681</v>
      </c>
      <c r="B138" s="13" t="s">
        <v>2118</v>
      </c>
      <c r="C138" s="219" t="s">
        <v>884</v>
      </c>
      <c r="D138" s="14" t="s">
        <v>202</v>
      </c>
      <c r="E138" s="217" t="s">
        <v>1167</v>
      </c>
      <c r="F138" s="217" t="s">
        <v>658</v>
      </c>
      <c r="G138" s="218">
        <v>35423</v>
      </c>
      <c r="H138" s="217" t="s">
        <v>830</v>
      </c>
      <c r="I138" s="217" t="s">
        <v>1682</v>
      </c>
      <c r="J138" s="217" t="s">
        <v>384</v>
      </c>
      <c r="K138" s="217" t="s">
        <v>91</v>
      </c>
      <c r="L138" s="220">
        <v>5165940385</v>
      </c>
      <c r="M138" s="206">
        <v>3460358420</v>
      </c>
      <c r="N138" s="206">
        <v>1705581965</v>
      </c>
      <c r="O138" s="206">
        <v>6673315540</v>
      </c>
      <c r="P138" s="206">
        <v>504880672</v>
      </c>
      <c r="Q138" s="206">
        <v>403831051</v>
      </c>
      <c r="R138" s="206">
        <v>307787439</v>
      </c>
      <c r="S138" s="32">
        <v>0</v>
      </c>
      <c r="T138" s="32">
        <v>0</v>
      </c>
      <c r="U138" s="32">
        <v>0</v>
      </c>
      <c r="V138" s="266">
        <f t="shared" si="33"/>
        <v>50</v>
      </c>
      <c r="W138" s="90">
        <f t="shared" si="34"/>
        <v>0.5</v>
      </c>
      <c r="X138" s="32">
        <v>0</v>
      </c>
      <c r="Y138" s="32">
        <v>0</v>
      </c>
      <c r="Z138" s="267">
        <f t="shared" si="35"/>
        <v>0</v>
      </c>
      <c r="AA138" s="268">
        <f t="shared" si="36"/>
        <v>33.333333333333336</v>
      </c>
      <c r="AB138" s="90">
        <f t="shared" si="37"/>
        <v>0.33333333333333337</v>
      </c>
      <c r="AC138" s="32">
        <v>0</v>
      </c>
      <c r="AD138" s="32">
        <v>1</v>
      </c>
      <c r="AE138" s="252">
        <f t="shared" si="38"/>
        <v>75</v>
      </c>
      <c r="AF138" s="90">
        <f t="shared" si="39"/>
        <v>1.5</v>
      </c>
      <c r="AG138" s="32">
        <v>0</v>
      </c>
      <c r="AH138" s="247">
        <f t="shared" si="40"/>
        <v>25</v>
      </c>
      <c r="AI138" s="91">
        <f t="shared" si="41"/>
        <v>0.25</v>
      </c>
      <c r="AJ138" s="32"/>
      <c r="AK138" s="32">
        <v>0</v>
      </c>
      <c r="AL138" s="32">
        <v>1</v>
      </c>
      <c r="AM138" s="32">
        <v>0</v>
      </c>
      <c r="AN138" s="32">
        <v>0</v>
      </c>
      <c r="AO138" s="247">
        <f t="shared" si="32"/>
        <v>1</v>
      </c>
      <c r="AP138" s="247">
        <f t="shared" si="42"/>
        <v>50</v>
      </c>
      <c r="AQ138" s="90">
        <f t="shared" si="43"/>
        <v>1</v>
      </c>
      <c r="AR138" s="32">
        <v>0</v>
      </c>
      <c r="AS138" s="32">
        <v>0</v>
      </c>
      <c r="AT138" s="32">
        <v>0</v>
      </c>
      <c r="AU138" s="272" t="str">
        <f t="shared" si="44"/>
        <v>A</v>
      </c>
      <c r="AV138" s="247">
        <f t="shared" si="45"/>
        <v>100</v>
      </c>
      <c r="AW138" s="90">
        <f t="shared" si="46"/>
        <v>3</v>
      </c>
      <c r="AX138" s="163">
        <f t="shared" si="47"/>
        <v>6.5833333333333339</v>
      </c>
    </row>
    <row r="139" spans="1:50" x14ac:dyDescent="0.6">
      <c r="A139" s="214" t="s">
        <v>1683</v>
      </c>
      <c r="B139" s="13" t="s">
        <v>2119</v>
      </c>
      <c r="C139" s="219" t="s">
        <v>1684</v>
      </c>
      <c r="D139" s="14" t="s">
        <v>202</v>
      </c>
      <c r="E139" s="217" t="s">
        <v>205</v>
      </c>
      <c r="F139" s="217" t="s">
        <v>1685</v>
      </c>
      <c r="G139" s="218">
        <v>28913</v>
      </c>
      <c r="H139" s="217" t="s">
        <v>830</v>
      </c>
      <c r="I139" s="217" t="s">
        <v>1686</v>
      </c>
      <c r="J139" s="217" t="s">
        <v>1687</v>
      </c>
      <c r="K139" s="217" t="s">
        <v>690</v>
      </c>
      <c r="L139" s="220">
        <v>7910256817</v>
      </c>
      <c r="M139" s="206">
        <v>2124391740</v>
      </c>
      <c r="N139" s="206">
        <v>5785865077</v>
      </c>
      <c r="O139" s="206">
        <v>7244994321</v>
      </c>
      <c r="P139" s="206">
        <v>799695030</v>
      </c>
      <c r="Q139" s="206">
        <v>929802982</v>
      </c>
      <c r="R139" s="206">
        <v>701357778</v>
      </c>
      <c r="S139" s="32">
        <v>0</v>
      </c>
      <c r="T139" s="32">
        <v>0</v>
      </c>
      <c r="U139" s="32">
        <v>0</v>
      </c>
      <c r="V139" s="266">
        <f t="shared" si="33"/>
        <v>50</v>
      </c>
      <c r="W139" s="90">
        <f t="shared" si="34"/>
        <v>0.5</v>
      </c>
      <c r="X139" s="32">
        <v>0</v>
      </c>
      <c r="Y139" s="32">
        <v>0</v>
      </c>
      <c r="Z139" s="267">
        <f t="shared" si="35"/>
        <v>0</v>
      </c>
      <c r="AA139" s="268">
        <f t="shared" si="36"/>
        <v>33.333333333333336</v>
      </c>
      <c r="AB139" s="90">
        <f t="shared" si="37"/>
        <v>0.33333333333333337</v>
      </c>
      <c r="AC139" s="32">
        <v>0</v>
      </c>
      <c r="AD139" s="32">
        <v>1</v>
      </c>
      <c r="AE139" s="252">
        <f t="shared" si="38"/>
        <v>75</v>
      </c>
      <c r="AF139" s="90">
        <f t="shared" si="39"/>
        <v>1.5</v>
      </c>
      <c r="AG139" s="32">
        <v>0</v>
      </c>
      <c r="AH139" s="247">
        <f t="shared" si="40"/>
        <v>25</v>
      </c>
      <c r="AI139" s="91">
        <f t="shared" si="41"/>
        <v>0.25</v>
      </c>
      <c r="AJ139" s="32"/>
      <c r="AK139" s="32">
        <v>1</v>
      </c>
      <c r="AL139" s="32">
        <v>0</v>
      </c>
      <c r="AM139" s="32">
        <v>0</v>
      </c>
      <c r="AN139" s="32">
        <v>0</v>
      </c>
      <c r="AO139" s="247">
        <f t="shared" si="32"/>
        <v>1</v>
      </c>
      <c r="AP139" s="247">
        <f t="shared" si="42"/>
        <v>50</v>
      </c>
      <c r="AQ139" s="90">
        <f t="shared" si="43"/>
        <v>1</v>
      </c>
      <c r="AR139" s="32">
        <v>0</v>
      </c>
      <c r="AS139" s="32">
        <v>1</v>
      </c>
      <c r="AT139" s="32">
        <v>0</v>
      </c>
      <c r="AU139" s="272" t="str">
        <f t="shared" si="44"/>
        <v>C</v>
      </c>
      <c r="AV139" s="247">
        <f t="shared" si="45"/>
        <v>50</v>
      </c>
      <c r="AW139" s="90">
        <f t="shared" si="46"/>
        <v>1.5</v>
      </c>
      <c r="AX139" s="163">
        <f t="shared" si="47"/>
        <v>5.0833333333333339</v>
      </c>
    </row>
    <row r="140" spans="1:50" x14ac:dyDescent="0.6">
      <c r="A140" s="214" t="s">
        <v>1688</v>
      </c>
      <c r="B140" s="13" t="s">
        <v>2120</v>
      </c>
      <c r="C140" s="219" t="s">
        <v>1689</v>
      </c>
      <c r="D140" s="14" t="s">
        <v>202</v>
      </c>
      <c r="E140" s="217" t="s">
        <v>623</v>
      </c>
      <c r="F140" s="217" t="s">
        <v>1690</v>
      </c>
      <c r="G140" s="218">
        <v>27556</v>
      </c>
      <c r="H140" s="217" t="s">
        <v>830</v>
      </c>
      <c r="I140" s="217" t="s">
        <v>1691</v>
      </c>
      <c r="J140" s="217" t="s">
        <v>1692</v>
      </c>
      <c r="K140" s="217" t="s">
        <v>690</v>
      </c>
      <c r="L140" s="220">
        <v>260083750000</v>
      </c>
      <c r="M140" s="206">
        <v>50667559000</v>
      </c>
      <c r="N140" s="206">
        <v>209416191000</v>
      </c>
      <c r="O140" s="206">
        <v>211867483000</v>
      </c>
      <c r="P140" s="206">
        <v>25319329000</v>
      </c>
      <c r="Q140" s="206">
        <v>29691920000</v>
      </c>
      <c r="R140" s="206">
        <v>25418778000</v>
      </c>
      <c r="S140" s="32">
        <v>1</v>
      </c>
      <c r="T140" s="32">
        <v>1</v>
      </c>
      <c r="U140" s="32">
        <v>0</v>
      </c>
      <c r="V140" s="266">
        <f t="shared" si="33"/>
        <v>100</v>
      </c>
      <c r="W140" s="90">
        <f t="shared" si="34"/>
        <v>1</v>
      </c>
      <c r="X140" s="32">
        <v>1</v>
      </c>
      <c r="Y140" s="32">
        <v>0</v>
      </c>
      <c r="Z140" s="267">
        <f t="shared" si="35"/>
        <v>1</v>
      </c>
      <c r="AA140" s="268">
        <f t="shared" si="36"/>
        <v>66.666666666666671</v>
      </c>
      <c r="AB140" s="90">
        <f t="shared" si="37"/>
        <v>0.66666666666666674</v>
      </c>
      <c r="AC140" s="32">
        <v>0</v>
      </c>
      <c r="AD140" s="32">
        <v>1</v>
      </c>
      <c r="AE140" s="252">
        <f t="shared" si="38"/>
        <v>75</v>
      </c>
      <c r="AF140" s="90">
        <f t="shared" si="39"/>
        <v>1.5</v>
      </c>
      <c r="AG140" s="32">
        <v>0</v>
      </c>
      <c r="AH140" s="247">
        <f t="shared" si="40"/>
        <v>25</v>
      </c>
      <c r="AI140" s="91">
        <f t="shared" si="41"/>
        <v>0.25</v>
      </c>
      <c r="AJ140" s="32"/>
      <c r="AK140" s="32">
        <v>1</v>
      </c>
      <c r="AL140" s="32">
        <v>0</v>
      </c>
      <c r="AM140" s="32">
        <v>0</v>
      </c>
      <c r="AN140" s="32">
        <v>0</v>
      </c>
      <c r="AO140" s="247">
        <f t="shared" si="32"/>
        <v>1</v>
      </c>
      <c r="AP140" s="247">
        <f t="shared" si="42"/>
        <v>50</v>
      </c>
      <c r="AQ140" s="90">
        <f t="shared" si="43"/>
        <v>1</v>
      </c>
      <c r="AR140" s="32">
        <v>1</v>
      </c>
      <c r="AS140" s="32">
        <v>0</v>
      </c>
      <c r="AT140" s="32">
        <v>0</v>
      </c>
      <c r="AU140" s="272" t="str">
        <f t="shared" si="44"/>
        <v>B</v>
      </c>
      <c r="AV140" s="247">
        <f t="shared" si="45"/>
        <v>75</v>
      </c>
      <c r="AW140" s="90">
        <f t="shared" si="46"/>
        <v>2.25</v>
      </c>
      <c r="AX140" s="163">
        <f t="shared" si="47"/>
        <v>6.666666666666667</v>
      </c>
    </row>
    <row r="141" spans="1:50" x14ac:dyDescent="0.6">
      <c r="A141" s="214" t="s">
        <v>531</v>
      </c>
      <c r="B141" s="13" t="s">
        <v>2121</v>
      </c>
      <c r="C141" s="219" t="s">
        <v>422</v>
      </c>
      <c r="D141" s="221" t="s">
        <v>350</v>
      </c>
      <c r="E141" s="217" t="s">
        <v>179</v>
      </c>
      <c r="F141" s="217" t="s">
        <v>993</v>
      </c>
      <c r="G141" s="218">
        <v>32230</v>
      </c>
      <c r="H141" s="217" t="s">
        <v>830</v>
      </c>
      <c r="I141" s="217" t="s">
        <v>756</v>
      </c>
      <c r="J141" s="217" t="s">
        <v>1174</v>
      </c>
      <c r="K141" s="217" t="s">
        <v>91</v>
      </c>
      <c r="L141" s="220">
        <v>47708236386</v>
      </c>
      <c r="M141" s="206">
        <v>41728539853</v>
      </c>
      <c r="N141" s="206">
        <v>5979696533</v>
      </c>
      <c r="O141" s="206">
        <v>13122029972</v>
      </c>
      <c r="P141" s="206">
        <v>522368891</v>
      </c>
      <c r="Q141" s="206">
        <v>514777360</v>
      </c>
      <c r="R141" s="206">
        <v>377508788</v>
      </c>
      <c r="S141" s="32">
        <v>0</v>
      </c>
      <c r="T141" s="32">
        <v>0</v>
      </c>
      <c r="U141" s="32">
        <v>0</v>
      </c>
      <c r="V141" s="266">
        <f t="shared" si="33"/>
        <v>50</v>
      </c>
      <c r="W141" s="90">
        <f t="shared" si="34"/>
        <v>0.5</v>
      </c>
      <c r="X141" s="32">
        <v>0</v>
      </c>
      <c r="Y141" s="32">
        <v>0</v>
      </c>
      <c r="Z141" s="267">
        <f t="shared" si="35"/>
        <v>0</v>
      </c>
      <c r="AA141" s="268">
        <f t="shared" si="36"/>
        <v>33.333333333333336</v>
      </c>
      <c r="AB141" s="90">
        <f t="shared" si="37"/>
        <v>0.33333333333333337</v>
      </c>
      <c r="AC141" s="32">
        <v>0</v>
      </c>
      <c r="AD141" s="32">
        <v>0</v>
      </c>
      <c r="AE141" s="252">
        <f t="shared" si="38"/>
        <v>25</v>
      </c>
      <c r="AF141" s="90">
        <f t="shared" si="39"/>
        <v>0.5</v>
      </c>
      <c r="AG141" s="32">
        <v>0</v>
      </c>
      <c r="AH141" s="247">
        <f t="shared" si="40"/>
        <v>25</v>
      </c>
      <c r="AI141" s="91">
        <f t="shared" si="41"/>
        <v>0.25</v>
      </c>
      <c r="AJ141" s="32"/>
      <c r="AK141" s="32">
        <v>0</v>
      </c>
      <c r="AL141" s="32">
        <v>0</v>
      </c>
      <c r="AM141" s="32">
        <v>0</v>
      </c>
      <c r="AN141" s="32">
        <v>0</v>
      </c>
      <c r="AO141" s="247">
        <f t="shared" si="32"/>
        <v>0</v>
      </c>
      <c r="AP141" s="247">
        <f t="shared" si="42"/>
        <v>25</v>
      </c>
      <c r="AQ141" s="90">
        <f t="shared" si="43"/>
        <v>0.5</v>
      </c>
      <c r="AR141" s="32">
        <v>0</v>
      </c>
      <c r="AS141" s="32">
        <v>0</v>
      </c>
      <c r="AT141" s="32">
        <v>0</v>
      </c>
      <c r="AU141" s="272" t="str">
        <f t="shared" si="44"/>
        <v>A</v>
      </c>
      <c r="AV141" s="247">
        <f t="shared" si="45"/>
        <v>100</v>
      </c>
      <c r="AW141" s="90">
        <f t="shared" si="46"/>
        <v>3</v>
      </c>
      <c r="AX141" s="163">
        <v>0</v>
      </c>
    </row>
    <row r="142" spans="1:50" x14ac:dyDescent="0.6">
      <c r="A142" s="214" t="s">
        <v>891</v>
      </c>
      <c r="B142" s="13" t="s">
        <v>2122</v>
      </c>
      <c r="C142" s="219" t="s">
        <v>336</v>
      </c>
      <c r="D142" s="221" t="s">
        <v>88</v>
      </c>
      <c r="E142" s="217" t="s">
        <v>61</v>
      </c>
      <c r="F142" s="217" t="s">
        <v>1</v>
      </c>
      <c r="G142" s="218">
        <v>39260</v>
      </c>
      <c r="H142" s="217" t="s">
        <v>830</v>
      </c>
      <c r="I142" s="217" t="s">
        <v>816</v>
      </c>
      <c r="J142" s="217" t="s">
        <v>666</v>
      </c>
      <c r="K142" s="217" t="s">
        <v>91</v>
      </c>
      <c r="L142" s="220">
        <v>29407344093</v>
      </c>
      <c r="M142" s="206">
        <v>21565863258</v>
      </c>
      <c r="N142" s="206">
        <v>7841480835</v>
      </c>
      <c r="O142" s="206">
        <v>3641606365</v>
      </c>
      <c r="P142" s="206">
        <v>846324379</v>
      </c>
      <c r="Q142" s="206">
        <v>843940009</v>
      </c>
      <c r="R142" s="206">
        <v>617150148</v>
      </c>
      <c r="S142" s="32">
        <v>0</v>
      </c>
      <c r="T142" s="32">
        <v>0</v>
      </c>
      <c r="U142" s="32">
        <v>0</v>
      </c>
      <c r="V142" s="266">
        <f t="shared" si="33"/>
        <v>50</v>
      </c>
      <c r="W142" s="90">
        <f t="shared" si="34"/>
        <v>0.5</v>
      </c>
      <c r="X142" s="32">
        <v>0</v>
      </c>
      <c r="Y142" s="32">
        <v>0</v>
      </c>
      <c r="Z142" s="267">
        <f t="shared" si="35"/>
        <v>0</v>
      </c>
      <c r="AA142" s="268">
        <f t="shared" si="36"/>
        <v>33.333333333333336</v>
      </c>
      <c r="AB142" s="90">
        <f t="shared" si="37"/>
        <v>0.33333333333333337</v>
      </c>
      <c r="AC142" s="32">
        <v>0</v>
      </c>
      <c r="AD142" s="32">
        <v>0</v>
      </c>
      <c r="AE142" s="252">
        <f t="shared" si="38"/>
        <v>25</v>
      </c>
      <c r="AF142" s="90">
        <f t="shared" si="39"/>
        <v>0.5</v>
      </c>
      <c r="AG142" s="32">
        <v>0</v>
      </c>
      <c r="AH142" s="247">
        <f t="shared" si="40"/>
        <v>25</v>
      </c>
      <c r="AI142" s="91">
        <f t="shared" si="41"/>
        <v>0.25</v>
      </c>
      <c r="AJ142" s="32"/>
      <c r="AK142" s="32">
        <v>0</v>
      </c>
      <c r="AL142" s="32">
        <v>0</v>
      </c>
      <c r="AM142" s="32">
        <v>0</v>
      </c>
      <c r="AN142" s="32">
        <v>0</v>
      </c>
      <c r="AO142" s="247">
        <f t="shared" si="32"/>
        <v>0</v>
      </c>
      <c r="AP142" s="247">
        <f t="shared" si="42"/>
        <v>25</v>
      </c>
      <c r="AQ142" s="90">
        <f t="shared" si="43"/>
        <v>0.5</v>
      </c>
      <c r="AR142" s="32">
        <v>0</v>
      </c>
      <c r="AS142" s="32">
        <v>0</v>
      </c>
      <c r="AT142" s="32">
        <v>0</v>
      </c>
      <c r="AU142" s="272" t="str">
        <f t="shared" si="44"/>
        <v>A</v>
      </c>
      <c r="AV142" s="247">
        <f t="shared" si="45"/>
        <v>100</v>
      </c>
      <c r="AW142" s="90">
        <f t="shared" si="46"/>
        <v>3</v>
      </c>
      <c r="AX142" s="163">
        <v>0</v>
      </c>
    </row>
    <row r="143" spans="1:50" x14ac:dyDescent="0.6">
      <c r="A143" s="214" t="s">
        <v>262</v>
      </c>
      <c r="B143" s="13" t="s">
        <v>2123</v>
      </c>
      <c r="C143" s="219" t="s">
        <v>919</v>
      </c>
      <c r="D143" s="221" t="s">
        <v>481</v>
      </c>
      <c r="E143" s="217" t="s">
        <v>704</v>
      </c>
      <c r="F143" s="217" t="s">
        <v>1118</v>
      </c>
      <c r="G143" s="218">
        <v>27575</v>
      </c>
      <c r="H143" s="217" t="s">
        <v>830</v>
      </c>
      <c r="I143" s="217" t="s">
        <v>773</v>
      </c>
      <c r="J143" s="217" t="s">
        <v>1166</v>
      </c>
      <c r="K143" s="217" t="s">
        <v>91</v>
      </c>
      <c r="L143" s="220">
        <v>86856870802</v>
      </c>
      <c r="M143" s="206">
        <v>76041738670</v>
      </c>
      <c r="N143" s="206">
        <v>10815132132</v>
      </c>
      <c r="O143" s="206">
        <v>18511997130</v>
      </c>
      <c r="P143" s="206">
        <v>1524131094</v>
      </c>
      <c r="Q143" s="206">
        <v>1536847185</v>
      </c>
      <c r="R143" s="206">
        <v>1141384899</v>
      </c>
      <c r="S143" s="32">
        <v>0</v>
      </c>
      <c r="T143" s="32">
        <v>0</v>
      </c>
      <c r="U143" s="32">
        <v>0</v>
      </c>
      <c r="V143" s="266">
        <f t="shared" si="33"/>
        <v>50</v>
      </c>
      <c r="W143" s="90">
        <f t="shared" si="34"/>
        <v>0.5</v>
      </c>
      <c r="X143" s="32">
        <v>0</v>
      </c>
      <c r="Y143" s="32">
        <v>0</v>
      </c>
      <c r="Z143" s="267">
        <f t="shared" si="35"/>
        <v>0</v>
      </c>
      <c r="AA143" s="268">
        <f t="shared" si="36"/>
        <v>33.333333333333336</v>
      </c>
      <c r="AB143" s="90">
        <f t="shared" si="37"/>
        <v>0.33333333333333337</v>
      </c>
      <c r="AC143" s="32">
        <v>0</v>
      </c>
      <c r="AD143" s="32">
        <v>0</v>
      </c>
      <c r="AE143" s="252">
        <f t="shared" si="38"/>
        <v>25</v>
      </c>
      <c r="AF143" s="90">
        <f t="shared" si="39"/>
        <v>0.5</v>
      </c>
      <c r="AG143" s="32">
        <v>0</v>
      </c>
      <c r="AH143" s="247">
        <f t="shared" si="40"/>
        <v>25</v>
      </c>
      <c r="AI143" s="91">
        <f t="shared" si="41"/>
        <v>0.25</v>
      </c>
      <c r="AJ143" s="32"/>
      <c r="AK143" s="32">
        <v>0</v>
      </c>
      <c r="AL143" s="32">
        <v>0</v>
      </c>
      <c r="AM143" s="32">
        <v>0</v>
      </c>
      <c r="AN143" s="32">
        <v>0</v>
      </c>
      <c r="AO143" s="247">
        <f t="shared" si="32"/>
        <v>0</v>
      </c>
      <c r="AP143" s="247">
        <f t="shared" si="42"/>
        <v>25</v>
      </c>
      <c r="AQ143" s="90">
        <f t="shared" si="43"/>
        <v>0.5</v>
      </c>
      <c r="AR143" s="32">
        <v>0</v>
      </c>
      <c r="AS143" s="32">
        <v>0</v>
      </c>
      <c r="AT143" s="32">
        <v>0</v>
      </c>
      <c r="AU143" s="272" t="str">
        <f t="shared" si="44"/>
        <v>A</v>
      </c>
      <c r="AV143" s="247">
        <f t="shared" si="45"/>
        <v>100</v>
      </c>
      <c r="AW143" s="90">
        <f t="shared" si="46"/>
        <v>3</v>
      </c>
      <c r="AX143" s="163">
        <v>0</v>
      </c>
    </row>
    <row r="144" spans="1:50" x14ac:dyDescent="0.6">
      <c r="A144" s="214" t="s">
        <v>7</v>
      </c>
      <c r="B144" s="13" t="s">
        <v>2124</v>
      </c>
      <c r="C144" s="219" t="s">
        <v>42</v>
      </c>
      <c r="D144" s="216" t="s">
        <v>203</v>
      </c>
      <c r="E144" s="217" t="s">
        <v>200</v>
      </c>
      <c r="F144" s="217" t="s">
        <v>661</v>
      </c>
      <c r="G144" s="218">
        <v>29560</v>
      </c>
      <c r="H144" s="217" t="s">
        <v>830</v>
      </c>
      <c r="I144" s="217" t="s">
        <v>903</v>
      </c>
      <c r="J144" s="217" t="s">
        <v>1064</v>
      </c>
      <c r="K144" s="217" t="s">
        <v>690</v>
      </c>
      <c r="L144" s="220">
        <v>287810418</v>
      </c>
      <c r="M144" s="206">
        <v>149871483</v>
      </c>
      <c r="N144" s="206">
        <v>137938935</v>
      </c>
      <c r="O144" s="206">
        <v>272706610</v>
      </c>
      <c r="P144" s="206">
        <v>22413049</v>
      </c>
      <c r="Q144" s="206">
        <v>21027374</v>
      </c>
      <c r="R144" s="206">
        <v>17206656</v>
      </c>
      <c r="S144" s="32">
        <v>0</v>
      </c>
      <c r="T144" s="32">
        <v>0</v>
      </c>
      <c r="U144" s="32">
        <v>0</v>
      </c>
      <c r="V144" s="266">
        <f t="shared" si="33"/>
        <v>50</v>
      </c>
      <c r="W144" s="90">
        <f t="shared" si="34"/>
        <v>0.5</v>
      </c>
      <c r="X144" s="32">
        <v>0</v>
      </c>
      <c r="Y144" s="32">
        <v>0</v>
      </c>
      <c r="Z144" s="267">
        <f t="shared" si="35"/>
        <v>0</v>
      </c>
      <c r="AA144" s="268">
        <f t="shared" si="36"/>
        <v>33.333333333333336</v>
      </c>
      <c r="AB144" s="90">
        <f t="shared" si="37"/>
        <v>0.33333333333333337</v>
      </c>
      <c r="AC144" s="32">
        <v>0</v>
      </c>
      <c r="AD144" s="32">
        <v>1</v>
      </c>
      <c r="AE144" s="252">
        <f t="shared" si="38"/>
        <v>75</v>
      </c>
      <c r="AF144" s="90">
        <f t="shared" si="39"/>
        <v>1.5</v>
      </c>
      <c r="AG144" s="32">
        <v>0</v>
      </c>
      <c r="AH144" s="247">
        <f t="shared" si="40"/>
        <v>25</v>
      </c>
      <c r="AI144" s="91">
        <f t="shared" si="41"/>
        <v>0.25</v>
      </c>
      <c r="AJ144" s="32"/>
      <c r="AK144" s="32">
        <v>1</v>
      </c>
      <c r="AL144" s="32">
        <v>0</v>
      </c>
      <c r="AM144" s="32">
        <v>0</v>
      </c>
      <c r="AN144" s="32">
        <v>0</v>
      </c>
      <c r="AO144" s="247">
        <f t="shared" si="32"/>
        <v>1</v>
      </c>
      <c r="AP144" s="247">
        <f t="shared" si="42"/>
        <v>50</v>
      </c>
      <c r="AQ144" s="90">
        <f t="shared" si="43"/>
        <v>1</v>
      </c>
      <c r="AR144" s="32">
        <v>0</v>
      </c>
      <c r="AS144" s="32">
        <v>0</v>
      </c>
      <c r="AT144" s="32">
        <v>0</v>
      </c>
      <c r="AU144" s="272" t="str">
        <f t="shared" si="44"/>
        <v>A</v>
      </c>
      <c r="AV144" s="247">
        <f t="shared" si="45"/>
        <v>100</v>
      </c>
      <c r="AW144" s="90">
        <f t="shared" si="46"/>
        <v>3</v>
      </c>
      <c r="AX144" s="163">
        <f t="shared" si="47"/>
        <v>6.5833333333333339</v>
      </c>
    </row>
    <row r="145" spans="1:50" x14ac:dyDescent="0.6">
      <c r="A145" s="214" t="s">
        <v>741</v>
      </c>
      <c r="B145" s="13" t="s">
        <v>2125</v>
      </c>
      <c r="C145" s="219" t="s">
        <v>909</v>
      </c>
      <c r="D145" s="216" t="s">
        <v>191</v>
      </c>
      <c r="E145" s="217" t="s">
        <v>178</v>
      </c>
      <c r="F145" s="217" t="s">
        <v>809</v>
      </c>
      <c r="G145" s="218">
        <v>40882</v>
      </c>
      <c r="H145" s="217" t="s">
        <v>830</v>
      </c>
      <c r="I145" s="217" t="s">
        <v>239</v>
      </c>
      <c r="J145" s="217" t="s">
        <v>1153</v>
      </c>
      <c r="K145" s="217" t="s">
        <v>91</v>
      </c>
      <c r="L145" s="220">
        <v>2278458050</v>
      </c>
      <c r="M145" s="206">
        <v>1056955250</v>
      </c>
      <c r="N145" s="206">
        <v>1221502799</v>
      </c>
      <c r="O145" s="206">
        <v>1998768182</v>
      </c>
      <c r="P145" s="206">
        <v>37795019</v>
      </c>
      <c r="Q145" s="206">
        <v>66850204</v>
      </c>
      <c r="R145" s="206">
        <v>55711450</v>
      </c>
      <c r="S145" s="32">
        <v>0</v>
      </c>
      <c r="T145" s="32">
        <v>0</v>
      </c>
      <c r="U145" s="32">
        <v>0</v>
      </c>
      <c r="V145" s="266">
        <f t="shared" si="33"/>
        <v>50</v>
      </c>
      <c r="W145" s="90">
        <f t="shared" si="34"/>
        <v>0.5</v>
      </c>
      <c r="X145" s="32">
        <v>0</v>
      </c>
      <c r="Y145" s="32">
        <v>0</v>
      </c>
      <c r="Z145" s="267">
        <f t="shared" si="35"/>
        <v>0</v>
      </c>
      <c r="AA145" s="268">
        <f t="shared" si="36"/>
        <v>33.333333333333336</v>
      </c>
      <c r="AB145" s="90">
        <f t="shared" si="37"/>
        <v>0.33333333333333337</v>
      </c>
      <c r="AC145" s="32">
        <v>0</v>
      </c>
      <c r="AD145" s="32">
        <v>1</v>
      </c>
      <c r="AE145" s="252">
        <f t="shared" si="38"/>
        <v>75</v>
      </c>
      <c r="AF145" s="90">
        <f t="shared" si="39"/>
        <v>1.5</v>
      </c>
      <c r="AG145" s="32">
        <v>0</v>
      </c>
      <c r="AH145" s="247">
        <f t="shared" si="40"/>
        <v>25</v>
      </c>
      <c r="AI145" s="91">
        <f t="shared" si="41"/>
        <v>0.25</v>
      </c>
      <c r="AJ145" s="32"/>
      <c r="AK145" s="32">
        <v>0</v>
      </c>
      <c r="AL145" s="32">
        <v>0</v>
      </c>
      <c r="AM145" s="32">
        <v>0</v>
      </c>
      <c r="AN145" s="32">
        <v>0</v>
      </c>
      <c r="AO145" s="247">
        <f t="shared" si="32"/>
        <v>0</v>
      </c>
      <c r="AP145" s="247">
        <f t="shared" si="42"/>
        <v>25</v>
      </c>
      <c r="AQ145" s="90">
        <f t="shared" si="43"/>
        <v>0.5</v>
      </c>
      <c r="AR145" s="32">
        <v>0</v>
      </c>
      <c r="AS145" s="32">
        <v>0</v>
      </c>
      <c r="AT145" s="32">
        <v>0</v>
      </c>
      <c r="AU145" s="272" t="str">
        <f t="shared" si="44"/>
        <v>A</v>
      </c>
      <c r="AV145" s="247">
        <f t="shared" si="45"/>
        <v>100</v>
      </c>
      <c r="AW145" s="90">
        <f t="shared" si="46"/>
        <v>3</v>
      </c>
      <c r="AX145" s="163">
        <f t="shared" si="47"/>
        <v>6.0833333333333339</v>
      </c>
    </row>
    <row r="146" spans="1:50" x14ac:dyDescent="0.6">
      <c r="A146" s="214" t="s">
        <v>363</v>
      </c>
      <c r="B146" s="13" t="s">
        <v>2126</v>
      </c>
      <c r="C146" s="219" t="s">
        <v>105</v>
      </c>
      <c r="D146" s="216" t="s">
        <v>191</v>
      </c>
      <c r="E146" s="217" t="s">
        <v>178</v>
      </c>
      <c r="F146" s="217" t="s">
        <v>563</v>
      </c>
      <c r="G146" s="218">
        <v>27575</v>
      </c>
      <c r="H146" s="217" t="s">
        <v>830</v>
      </c>
      <c r="I146" s="217" t="s">
        <v>1693</v>
      </c>
      <c r="J146" s="217" t="s">
        <v>1183</v>
      </c>
      <c r="K146" s="217" t="s">
        <v>91</v>
      </c>
      <c r="L146" s="220">
        <v>857127709</v>
      </c>
      <c r="M146" s="206">
        <v>439493133</v>
      </c>
      <c r="N146" s="206">
        <v>417634577</v>
      </c>
      <c r="O146" s="206">
        <v>833227370</v>
      </c>
      <c r="P146" s="206">
        <v>86234040</v>
      </c>
      <c r="Q146" s="206">
        <v>96322163</v>
      </c>
      <c r="R146" s="206">
        <v>75455528</v>
      </c>
      <c r="S146" s="32">
        <v>0</v>
      </c>
      <c r="T146" s="32">
        <v>0</v>
      </c>
      <c r="U146" s="32">
        <v>0</v>
      </c>
      <c r="V146" s="266">
        <f t="shared" si="33"/>
        <v>50</v>
      </c>
      <c r="W146" s="90">
        <f t="shared" si="34"/>
        <v>0.5</v>
      </c>
      <c r="X146" s="32">
        <v>0</v>
      </c>
      <c r="Y146" s="32">
        <v>0</v>
      </c>
      <c r="Z146" s="267">
        <f t="shared" si="35"/>
        <v>0</v>
      </c>
      <c r="AA146" s="268">
        <f t="shared" si="36"/>
        <v>33.333333333333336</v>
      </c>
      <c r="AB146" s="90">
        <f t="shared" si="37"/>
        <v>0.33333333333333337</v>
      </c>
      <c r="AC146" s="32">
        <v>0</v>
      </c>
      <c r="AD146" s="32">
        <v>1</v>
      </c>
      <c r="AE146" s="252">
        <f t="shared" si="38"/>
        <v>75</v>
      </c>
      <c r="AF146" s="90">
        <f t="shared" si="39"/>
        <v>1.5</v>
      </c>
      <c r="AG146" s="32">
        <v>3</v>
      </c>
      <c r="AH146" s="247">
        <f t="shared" si="40"/>
        <v>100</v>
      </c>
      <c r="AI146" s="91">
        <f t="shared" si="41"/>
        <v>1</v>
      </c>
      <c r="AJ146" s="32"/>
      <c r="AK146" s="32">
        <v>1</v>
      </c>
      <c r="AL146" s="32">
        <v>0</v>
      </c>
      <c r="AM146" s="32">
        <v>0</v>
      </c>
      <c r="AN146" s="32">
        <v>0</v>
      </c>
      <c r="AO146" s="247">
        <f t="shared" si="32"/>
        <v>1</v>
      </c>
      <c r="AP146" s="247">
        <f t="shared" si="42"/>
        <v>50</v>
      </c>
      <c r="AQ146" s="90">
        <f t="shared" si="43"/>
        <v>1</v>
      </c>
      <c r="AR146" s="32">
        <v>0</v>
      </c>
      <c r="AS146" s="32">
        <v>0</v>
      </c>
      <c r="AT146" s="32">
        <v>0</v>
      </c>
      <c r="AU146" s="272" t="str">
        <f t="shared" si="44"/>
        <v>A</v>
      </c>
      <c r="AV146" s="247">
        <f t="shared" si="45"/>
        <v>100</v>
      </c>
      <c r="AW146" s="90">
        <f t="shared" si="46"/>
        <v>3</v>
      </c>
      <c r="AX146" s="163">
        <f t="shared" si="47"/>
        <v>7.3333333333333339</v>
      </c>
    </row>
    <row r="147" spans="1:50" x14ac:dyDescent="0.6">
      <c r="A147" s="214" t="s">
        <v>885</v>
      </c>
      <c r="B147" s="13" t="s">
        <v>2127</v>
      </c>
      <c r="C147" s="219" t="s">
        <v>311</v>
      </c>
      <c r="D147" s="216" t="s">
        <v>191</v>
      </c>
      <c r="E147" s="217" t="s">
        <v>977</v>
      </c>
      <c r="F147" s="217" t="s">
        <v>393</v>
      </c>
      <c r="G147" s="218">
        <v>32822</v>
      </c>
      <c r="H147" s="217" t="s">
        <v>830</v>
      </c>
      <c r="I147" s="217" t="s">
        <v>1103</v>
      </c>
      <c r="J147" s="217" t="s">
        <v>1200</v>
      </c>
      <c r="K147" s="217" t="s">
        <v>91</v>
      </c>
      <c r="L147" s="220">
        <v>443969944</v>
      </c>
      <c r="M147" s="206">
        <v>38559474</v>
      </c>
      <c r="N147" s="206">
        <v>405410470</v>
      </c>
      <c r="O147" s="206">
        <v>177572920</v>
      </c>
      <c r="P147" s="206">
        <v>14182631</v>
      </c>
      <c r="Q147" s="206">
        <v>16901598</v>
      </c>
      <c r="R147" s="206">
        <v>12822855</v>
      </c>
      <c r="S147" s="32">
        <v>0</v>
      </c>
      <c r="T147" s="32">
        <v>0</v>
      </c>
      <c r="U147" s="32">
        <v>0</v>
      </c>
      <c r="V147" s="266">
        <f t="shared" si="33"/>
        <v>50</v>
      </c>
      <c r="W147" s="90">
        <f t="shared" si="34"/>
        <v>0.5</v>
      </c>
      <c r="X147" s="32">
        <v>0</v>
      </c>
      <c r="Y147" s="32">
        <v>0</v>
      </c>
      <c r="Z147" s="267">
        <f t="shared" si="35"/>
        <v>0</v>
      </c>
      <c r="AA147" s="268">
        <f t="shared" si="36"/>
        <v>33.333333333333336</v>
      </c>
      <c r="AB147" s="90">
        <f t="shared" si="37"/>
        <v>0.33333333333333337</v>
      </c>
      <c r="AC147" s="32">
        <v>0</v>
      </c>
      <c r="AD147" s="32">
        <v>0</v>
      </c>
      <c r="AE147" s="252">
        <f t="shared" si="38"/>
        <v>25</v>
      </c>
      <c r="AF147" s="90">
        <f t="shared" si="39"/>
        <v>0.5</v>
      </c>
      <c r="AG147" s="32">
        <v>0</v>
      </c>
      <c r="AH147" s="247">
        <f t="shared" si="40"/>
        <v>25</v>
      </c>
      <c r="AI147" s="91">
        <f t="shared" si="41"/>
        <v>0.25</v>
      </c>
      <c r="AJ147" s="32"/>
      <c r="AK147" s="32">
        <v>0</v>
      </c>
      <c r="AL147" s="32">
        <v>0</v>
      </c>
      <c r="AM147" s="32">
        <v>0</v>
      </c>
      <c r="AN147" s="32">
        <v>0</v>
      </c>
      <c r="AO147" s="247">
        <f t="shared" si="32"/>
        <v>0</v>
      </c>
      <c r="AP147" s="247">
        <f t="shared" si="42"/>
        <v>25</v>
      </c>
      <c r="AQ147" s="90">
        <f t="shared" si="43"/>
        <v>0.5</v>
      </c>
      <c r="AR147" s="32">
        <v>0</v>
      </c>
      <c r="AS147" s="32">
        <v>0</v>
      </c>
      <c r="AT147" s="32">
        <v>0</v>
      </c>
      <c r="AU147" s="272" t="str">
        <f t="shared" si="44"/>
        <v>A</v>
      </c>
      <c r="AV147" s="247">
        <f t="shared" si="45"/>
        <v>100</v>
      </c>
      <c r="AW147" s="90">
        <f t="shared" si="46"/>
        <v>3</v>
      </c>
      <c r="AX147" s="163">
        <f t="shared" si="47"/>
        <v>5.0833333333333339</v>
      </c>
    </row>
    <row r="148" spans="1:50" x14ac:dyDescent="0.6">
      <c r="A148" s="214" t="s">
        <v>1694</v>
      </c>
      <c r="B148" s="13" t="s">
        <v>2128</v>
      </c>
      <c r="C148" s="219" t="s">
        <v>1695</v>
      </c>
      <c r="D148" s="14" t="s">
        <v>203</v>
      </c>
      <c r="E148" s="217" t="s">
        <v>246</v>
      </c>
      <c r="F148" s="217" t="s">
        <v>1696</v>
      </c>
      <c r="G148" s="218">
        <v>27941</v>
      </c>
      <c r="H148" s="217" t="s">
        <v>830</v>
      </c>
      <c r="I148" s="217" t="s">
        <v>1697</v>
      </c>
      <c r="J148" s="217" t="s">
        <v>1698</v>
      </c>
      <c r="K148" s="217" t="s">
        <v>91</v>
      </c>
      <c r="L148" s="220">
        <v>98509521</v>
      </c>
      <c r="M148" s="206">
        <v>46664469</v>
      </c>
      <c r="N148" s="206">
        <v>51845052</v>
      </c>
      <c r="O148" s="206">
        <v>115386329</v>
      </c>
      <c r="P148" s="206">
        <v>2879227</v>
      </c>
      <c r="Q148" s="206">
        <v>2393878</v>
      </c>
      <c r="R148" s="206">
        <v>2701762</v>
      </c>
      <c r="S148" s="32">
        <v>0</v>
      </c>
      <c r="T148" s="32">
        <v>0</v>
      </c>
      <c r="U148" s="32">
        <v>0</v>
      </c>
      <c r="V148" s="266">
        <f t="shared" si="33"/>
        <v>50</v>
      </c>
      <c r="W148" s="90">
        <f t="shared" si="34"/>
        <v>0.5</v>
      </c>
      <c r="X148" s="32">
        <v>0</v>
      </c>
      <c r="Y148" s="32">
        <v>0</v>
      </c>
      <c r="Z148" s="267">
        <f t="shared" si="35"/>
        <v>0</v>
      </c>
      <c r="AA148" s="268">
        <f t="shared" si="36"/>
        <v>33.333333333333336</v>
      </c>
      <c r="AB148" s="90">
        <f t="shared" si="37"/>
        <v>0.33333333333333337</v>
      </c>
      <c r="AC148" s="32">
        <v>0</v>
      </c>
      <c r="AD148" s="32">
        <v>1</v>
      </c>
      <c r="AE148" s="252">
        <f t="shared" si="38"/>
        <v>75</v>
      </c>
      <c r="AF148" s="90">
        <f t="shared" si="39"/>
        <v>1.5</v>
      </c>
      <c r="AG148" s="32">
        <v>0</v>
      </c>
      <c r="AH148" s="247">
        <f t="shared" si="40"/>
        <v>25</v>
      </c>
      <c r="AI148" s="91">
        <f t="shared" si="41"/>
        <v>0.25</v>
      </c>
      <c r="AJ148" s="32"/>
      <c r="AK148" s="32">
        <v>0</v>
      </c>
      <c r="AL148" s="32">
        <v>0</v>
      </c>
      <c r="AM148" s="32">
        <v>0</v>
      </c>
      <c r="AN148" s="32">
        <v>0</v>
      </c>
      <c r="AO148" s="247">
        <f t="shared" si="32"/>
        <v>0</v>
      </c>
      <c r="AP148" s="247">
        <f t="shared" si="42"/>
        <v>25</v>
      </c>
      <c r="AQ148" s="90">
        <f t="shared" si="43"/>
        <v>0.5</v>
      </c>
      <c r="AR148" s="32">
        <v>0</v>
      </c>
      <c r="AS148" s="32">
        <v>0</v>
      </c>
      <c r="AT148" s="32">
        <v>0</v>
      </c>
      <c r="AU148" s="272" t="str">
        <f t="shared" si="44"/>
        <v>A</v>
      </c>
      <c r="AV148" s="247">
        <f t="shared" si="45"/>
        <v>100</v>
      </c>
      <c r="AW148" s="90">
        <f t="shared" si="46"/>
        <v>3</v>
      </c>
      <c r="AX148" s="163">
        <f t="shared" si="47"/>
        <v>6.0833333333333339</v>
      </c>
    </row>
    <row r="149" spans="1:50" x14ac:dyDescent="0.6">
      <c r="A149" s="214" t="s">
        <v>911</v>
      </c>
      <c r="B149" s="13" t="s">
        <v>2129</v>
      </c>
      <c r="C149" s="219" t="s">
        <v>439</v>
      </c>
      <c r="D149" s="216" t="s">
        <v>285</v>
      </c>
      <c r="E149" s="217" t="s">
        <v>171</v>
      </c>
      <c r="F149" s="217" t="s">
        <v>259</v>
      </c>
      <c r="G149" s="218">
        <v>32230</v>
      </c>
      <c r="H149" s="217" t="s">
        <v>830</v>
      </c>
      <c r="I149" s="217" t="s">
        <v>793</v>
      </c>
      <c r="J149" s="217" t="s">
        <v>1216</v>
      </c>
      <c r="K149" s="217" t="s">
        <v>91</v>
      </c>
      <c r="L149" s="220">
        <v>395346619</v>
      </c>
      <c r="M149" s="206">
        <v>33864968</v>
      </c>
      <c r="N149" s="206">
        <v>361481651</v>
      </c>
      <c r="O149" s="206">
        <v>285742678</v>
      </c>
      <c r="P149" s="206">
        <v>9710082</v>
      </c>
      <c r="Q149" s="206">
        <v>36912471</v>
      </c>
      <c r="R149" s="206">
        <v>33624974</v>
      </c>
      <c r="S149" s="32">
        <v>0</v>
      </c>
      <c r="T149" s="32">
        <v>0</v>
      </c>
      <c r="U149" s="32">
        <v>0</v>
      </c>
      <c r="V149" s="266">
        <f t="shared" si="33"/>
        <v>50</v>
      </c>
      <c r="W149" s="90">
        <f t="shared" si="34"/>
        <v>0.5</v>
      </c>
      <c r="X149" s="32">
        <v>0</v>
      </c>
      <c r="Y149" s="32">
        <v>0</v>
      </c>
      <c r="Z149" s="267">
        <f t="shared" si="35"/>
        <v>0</v>
      </c>
      <c r="AA149" s="268">
        <f t="shared" si="36"/>
        <v>33.333333333333336</v>
      </c>
      <c r="AB149" s="90">
        <f t="shared" si="37"/>
        <v>0.33333333333333337</v>
      </c>
      <c r="AC149" s="32">
        <v>0</v>
      </c>
      <c r="AD149" s="32">
        <v>0</v>
      </c>
      <c r="AE149" s="252">
        <f t="shared" si="38"/>
        <v>25</v>
      </c>
      <c r="AF149" s="90">
        <f t="shared" si="39"/>
        <v>0.5</v>
      </c>
      <c r="AG149" s="32">
        <v>0</v>
      </c>
      <c r="AH149" s="247">
        <f t="shared" si="40"/>
        <v>25</v>
      </c>
      <c r="AI149" s="91">
        <f t="shared" si="41"/>
        <v>0.25</v>
      </c>
      <c r="AJ149" s="32"/>
      <c r="AK149" s="32">
        <v>0</v>
      </c>
      <c r="AL149" s="32">
        <v>0</v>
      </c>
      <c r="AM149" s="32">
        <v>0</v>
      </c>
      <c r="AN149" s="32">
        <v>0</v>
      </c>
      <c r="AO149" s="247">
        <f t="shared" si="32"/>
        <v>0</v>
      </c>
      <c r="AP149" s="247">
        <f t="shared" si="42"/>
        <v>25</v>
      </c>
      <c r="AQ149" s="90">
        <f t="shared" si="43"/>
        <v>0.5</v>
      </c>
      <c r="AR149" s="32">
        <v>0</v>
      </c>
      <c r="AS149" s="32">
        <v>0</v>
      </c>
      <c r="AT149" s="32">
        <v>0</v>
      </c>
      <c r="AU149" s="272" t="str">
        <f t="shared" si="44"/>
        <v>A</v>
      </c>
      <c r="AV149" s="247">
        <f t="shared" si="45"/>
        <v>100</v>
      </c>
      <c r="AW149" s="90">
        <f t="shared" si="46"/>
        <v>3</v>
      </c>
      <c r="AX149" s="163">
        <f t="shared" si="47"/>
        <v>5.0833333333333339</v>
      </c>
    </row>
    <row r="150" spans="1:50" x14ac:dyDescent="0.6">
      <c r="A150" s="214" t="s">
        <v>940</v>
      </c>
      <c r="B150" s="13" t="s">
        <v>2130</v>
      </c>
      <c r="C150" s="219" t="s">
        <v>888</v>
      </c>
      <c r="D150" s="216" t="s">
        <v>202</v>
      </c>
      <c r="E150" s="217" t="s">
        <v>205</v>
      </c>
      <c r="F150" s="217" t="s">
        <v>387</v>
      </c>
      <c r="G150" s="218">
        <v>28122</v>
      </c>
      <c r="H150" s="217" t="s">
        <v>830</v>
      </c>
      <c r="I150" s="217" t="s">
        <v>986</v>
      </c>
      <c r="J150" s="217" t="s">
        <v>1213</v>
      </c>
      <c r="K150" s="217" t="s">
        <v>690</v>
      </c>
      <c r="L150" s="220">
        <v>486680110</v>
      </c>
      <c r="M150" s="206">
        <v>12024987</v>
      </c>
      <c r="N150" s="206">
        <v>474655123</v>
      </c>
      <c r="O150" s="206">
        <v>196500716</v>
      </c>
      <c r="P150" s="206">
        <v>14583438</v>
      </c>
      <c r="Q150" s="206">
        <v>24138425</v>
      </c>
      <c r="R150" s="206">
        <v>18484244</v>
      </c>
      <c r="S150" s="32">
        <v>0</v>
      </c>
      <c r="T150" s="32">
        <v>0</v>
      </c>
      <c r="U150" s="32">
        <v>0</v>
      </c>
      <c r="V150" s="266">
        <f t="shared" si="33"/>
        <v>50</v>
      </c>
      <c r="W150" s="90">
        <f t="shared" si="34"/>
        <v>0.5</v>
      </c>
      <c r="X150" s="32">
        <v>0</v>
      </c>
      <c r="Y150" s="32">
        <v>0</v>
      </c>
      <c r="Z150" s="267">
        <f t="shared" si="35"/>
        <v>0</v>
      </c>
      <c r="AA150" s="268">
        <f t="shared" si="36"/>
        <v>33.333333333333336</v>
      </c>
      <c r="AB150" s="90">
        <f t="shared" si="37"/>
        <v>0.33333333333333337</v>
      </c>
      <c r="AC150" s="32">
        <v>0</v>
      </c>
      <c r="AD150" s="32">
        <v>1</v>
      </c>
      <c r="AE150" s="252">
        <f t="shared" si="38"/>
        <v>75</v>
      </c>
      <c r="AF150" s="90">
        <f t="shared" si="39"/>
        <v>1.5</v>
      </c>
      <c r="AG150" s="32">
        <v>0</v>
      </c>
      <c r="AH150" s="247">
        <f t="shared" si="40"/>
        <v>25</v>
      </c>
      <c r="AI150" s="91">
        <f t="shared" si="41"/>
        <v>0.25</v>
      </c>
      <c r="AJ150" s="32"/>
      <c r="AK150" s="32">
        <v>1</v>
      </c>
      <c r="AL150" s="32">
        <v>0</v>
      </c>
      <c r="AM150" s="32">
        <v>0</v>
      </c>
      <c r="AN150" s="32">
        <v>0</v>
      </c>
      <c r="AO150" s="247">
        <f t="shared" si="32"/>
        <v>1</v>
      </c>
      <c r="AP150" s="247">
        <f t="shared" si="42"/>
        <v>50</v>
      </c>
      <c r="AQ150" s="90">
        <f t="shared" si="43"/>
        <v>1</v>
      </c>
      <c r="AR150" s="32">
        <v>0</v>
      </c>
      <c r="AS150" s="32">
        <v>0</v>
      </c>
      <c r="AT150" s="32">
        <v>0</v>
      </c>
      <c r="AU150" s="272" t="str">
        <f t="shared" si="44"/>
        <v>A</v>
      </c>
      <c r="AV150" s="247">
        <f t="shared" si="45"/>
        <v>100</v>
      </c>
      <c r="AW150" s="90">
        <f t="shared" si="46"/>
        <v>3</v>
      </c>
      <c r="AX150" s="163">
        <f t="shared" si="47"/>
        <v>6.5833333333333339</v>
      </c>
    </row>
    <row r="151" spans="1:50" x14ac:dyDescent="0.6">
      <c r="A151" s="214" t="s">
        <v>94</v>
      </c>
      <c r="B151" s="13" t="s">
        <v>2131</v>
      </c>
      <c r="C151" s="219" t="s">
        <v>943</v>
      </c>
      <c r="D151" s="216" t="s">
        <v>202</v>
      </c>
      <c r="E151" s="217" t="s">
        <v>954</v>
      </c>
      <c r="F151" s="217" t="s">
        <v>152</v>
      </c>
      <c r="G151" s="218">
        <v>40746</v>
      </c>
      <c r="H151" s="217" t="s">
        <v>830</v>
      </c>
      <c r="I151" s="217" t="s">
        <v>1699</v>
      </c>
      <c r="J151" s="217" t="s">
        <v>644</v>
      </c>
      <c r="K151" s="217" t="s">
        <v>31</v>
      </c>
      <c r="L151" s="220">
        <v>293690103</v>
      </c>
      <c r="M151" s="206">
        <v>62909269</v>
      </c>
      <c r="N151" s="206">
        <v>230780834</v>
      </c>
      <c r="O151" s="206">
        <v>364111086</v>
      </c>
      <c r="P151" s="206">
        <v>16532526</v>
      </c>
      <c r="Q151" s="206">
        <v>16979269</v>
      </c>
      <c r="R151" s="206">
        <v>13013318</v>
      </c>
      <c r="S151" s="32">
        <v>0</v>
      </c>
      <c r="T151" s="32">
        <v>1</v>
      </c>
      <c r="U151" s="32">
        <v>1</v>
      </c>
      <c r="V151" s="266">
        <f t="shared" si="33"/>
        <v>100</v>
      </c>
      <c r="W151" s="90">
        <f t="shared" si="34"/>
        <v>1</v>
      </c>
      <c r="X151" s="32">
        <v>0</v>
      </c>
      <c r="Y151" s="32">
        <v>0</v>
      </c>
      <c r="Z151" s="267">
        <f t="shared" si="35"/>
        <v>0</v>
      </c>
      <c r="AA151" s="268">
        <f t="shared" si="36"/>
        <v>33.333333333333336</v>
      </c>
      <c r="AB151" s="90">
        <f t="shared" si="37"/>
        <v>0.33333333333333337</v>
      </c>
      <c r="AC151" s="32">
        <v>0</v>
      </c>
      <c r="AD151" s="32">
        <v>1</v>
      </c>
      <c r="AE151" s="252">
        <f t="shared" si="38"/>
        <v>75</v>
      </c>
      <c r="AF151" s="90">
        <f t="shared" si="39"/>
        <v>1.5</v>
      </c>
      <c r="AG151" s="32">
        <v>0</v>
      </c>
      <c r="AH151" s="247">
        <f t="shared" si="40"/>
        <v>25</v>
      </c>
      <c r="AI151" s="91">
        <f t="shared" si="41"/>
        <v>0.25</v>
      </c>
      <c r="AJ151" s="32"/>
      <c r="AK151" s="32">
        <v>1</v>
      </c>
      <c r="AL151" s="32">
        <v>0</v>
      </c>
      <c r="AM151" s="32">
        <v>0</v>
      </c>
      <c r="AN151" s="32">
        <v>0</v>
      </c>
      <c r="AO151" s="247">
        <f t="shared" si="32"/>
        <v>1</v>
      </c>
      <c r="AP151" s="247">
        <f t="shared" si="42"/>
        <v>50</v>
      </c>
      <c r="AQ151" s="90">
        <f t="shared" si="43"/>
        <v>1</v>
      </c>
      <c r="AR151" s="32">
        <v>0</v>
      </c>
      <c r="AS151" s="32">
        <v>0</v>
      </c>
      <c r="AT151" s="32">
        <v>0</v>
      </c>
      <c r="AU151" s="272" t="str">
        <f t="shared" si="44"/>
        <v>A</v>
      </c>
      <c r="AV151" s="247">
        <f t="shared" si="45"/>
        <v>100</v>
      </c>
      <c r="AW151" s="90">
        <f t="shared" si="46"/>
        <v>3</v>
      </c>
      <c r="AX151" s="163">
        <f t="shared" si="47"/>
        <v>7.0833333333333339</v>
      </c>
    </row>
    <row r="152" spans="1:50" x14ac:dyDescent="0.6">
      <c r="A152" s="214" t="s">
        <v>371</v>
      </c>
      <c r="B152" s="13" t="s">
        <v>2132</v>
      </c>
      <c r="C152" s="219" t="s">
        <v>930</v>
      </c>
      <c r="D152" s="216" t="s">
        <v>202</v>
      </c>
      <c r="E152" s="217" t="s">
        <v>575</v>
      </c>
      <c r="F152" s="217" t="s">
        <v>123</v>
      </c>
      <c r="G152" s="218">
        <v>32777</v>
      </c>
      <c r="H152" s="217" t="s">
        <v>830</v>
      </c>
      <c r="I152" s="217" t="s">
        <v>279</v>
      </c>
      <c r="J152" s="217" t="s">
        <v>1177</v>
      </c>
      <c r="K152" s="217" t="s">
        <v>308</v>
      </c>
      <c r="L152" s="220">
        <v>439293006</v>
      </c>
      <c r="M152" s="206">
        <v>233301117</v>
      </c>
      <c r="N152" s="206">
        <v>205991889</v>
      </c>
      <c r="O152" s="206">
        <v>339133931</v>
      </c>
      <c r="P152" s="206">
        <v>20669671</v>
      </c>
      <c r="Q152" s="206">
        <v>19430527</v>
      </c>
      <c r="R152" s="206">
        <v>16418030</v>
      </c>
      <c r="S152" s="32">
        <v>0</v>
      </c>
      <c r="T152" s="32">
        <v>1</v>
      </c>
      <c r="U152" s="32">
        <v>0</v>
      </c>
      <c r="V152" s="266">
        <f t="shared" si="33"/>
        <v>100</v>
      </c>
      <c r="W152" s="90">
        <f t="shared" si="34"/>
        <v>1</v>
      </c>
      <c r="X152" s="32">
        <v>0</v>
      </c>
      <c r="Y152" s="32">
        <v>0</v>
      </c>
      <c r="Z152" s="267">
        <f t="shared" si="35"/>
        <v>0</v>
      </c>
      <c r="AA152" s="268">
        <f t="shared" si="36"/>
        <v>33.333333333333336</v>
      </c>
      <c r="AB152" s="90">
        <f t="shared" si="37"/>
        <v>0.33333333333333337</v>
      </c>
      <c r="AC152" s="32">
        <v>0</v>
      </c>
      <c r="AD152" s="32">
        <v>1</v>
      </c>
      <c r="AE152" s="252">
        <f t="shared" si="38"/>
        <v>75</v>
      </c>
      <c r="AF152" s="90">
        <f t="shared" si="39"/>
        <v>1.5</v>
      </c>
      <c r="AG152" s="32">
        <v>0</v>
      </c>
      <c r="AH152" s="247">
        <f t="shared" si="40"/>
        <v>25</v>
      </c>
      <c r="AI152" s="91">
        <f t="shared" si="41"/>
        <v>0.25</v>
      </c>
      <c r="AJ152" s="32"/>
      <c r="AK152" s="32">
        <v>0</v>
      </c>
      <c r="AL152" s="32">
        <v>0</v>
      </c>
      <c r="AM152" s="32">
        <v>0</v>
      </c>
      <c r="AN152" s="32">
        <v>0</v>
      </c>
      <c r="AO152" s="247">
        <f t="shared" si="32"/>
        <v>0</v>
      </c>
      <c r="AP152" s="247">
        <f t="shared" si="42"/>
        <v>25</v>
      </c>
      <c r="AQ152" s="90">
        <f t="shared" si="43"/>
        <v>0.5</v>
      </c>
      <c r="AR152" s="32">
        <v>0</v>
      </c>
      <c r="AS152" s="32">
        <v>0</v>
      </c>
      <c r="AT152" s="32">
        <v>0</v>
      </c>
      <c r="AU152" s="272" t="str">
        <f t="shared" si="44"/>
        <v>A</v>
      </c>
      <c r="AV152" s="247">
        <f t="shared" si="45"/>
        <v>100</v>
      </c>
      <c r="AW152" s="90">
        <f t="shared" si="46"/>
        <v>3</v>
      </c>
      <c r="AX152" s="163">
        <f t="shared" si="47"/>
        <v>6.5833333333333339</v>
      </c>
    </row>
    <row r="153" spans="1:50" x14ac:dyDescent="0.6">
      <c r="A153" s="214" t="s">
        <v>1700</v>
      </c>
      <c r="B153" s="13" t="s">
        <v>2133</v>
      </c>
      <c r="C153" s="219" t="s">
        <v>1701</v>
      </c>
      <c r="D153" s="14" t="s">
        <v>191</v>
      </c>
      <c r="E153" s="217" t="s">
        <v>1702</v>
      </c>
      <c r="F153" s="217" t="s">
        <v>1703</v>
      </c>
      <c r="G153" s="218">
        <v>32416</v>
      </c>
      <c r="H153" s="217" t="s">
        <v>830</v>
      </c>
      <c r="I153" s="217" t="s">
        <v>1704</v>
      </c>
      <c r="J153" s="217" t="s">
        <v>1705</v>
      </c>
      <c r="K153" s="217" t="s">
        <v>317</v>
      </c>
      <c r="L153" s="220">
        <v>292340683</v>
      </c>
      <c r="M153" s="206">
        <v>98908853</v>
      </c>
      <c r="N153" s="206">
        <v>193431830</v>
      </c>
      <c r="O153" s="206">
        <v>135261634</v>
      </c>
      <c r="P153" s="206">
        <v>10418758</v>
      </c>
      <c r="Q153" s="206">
        <v>6051762</v>
      </c>
      <c r="R153" s="206">
        <v>3276434</v>
      </c>
      <c r="S153" s="32">
        <v>0</v>
      </c>
      <c r="T153" s="32">
        <v>0</v>
      </c>
      <c r="U153" s="32">
        <v>0</v>
      </c>
      <c r="V153" s="266">
        <f t="shared" si="33"/>
        <v>50</v>
      </c>
      <c r="W153" s="90">
        <f t="shared" si="34"/>
        <v>0.5</v>
      </c>
      <c r="X153" s="32">
        <v>0</v>
      </c>
      <c r="Y153" s="32">
        <v>0</v>
      </c>
      <c r="Z153" s="267">
        <f t="shared" si="35"/>
        <v>0</v>
      </c>
      <c r="AA153" s="268">
        <f t="shared" si="36"/>
        <v>33.333333333333336</v>
      </c>
      <c r="AB153" s="90">
        <f t="shared" si="37"/>
        <v>0.33333333333333337</v>
      </c>
      <c r="AC153" s="32">
        <v>0</v>
      </c>
      <c r="AD153" s="32">
        <v>0</v>
      </c>
      <c r="AE153" s="252">
        <f t="shared" si="38"/>
        <v>25</v>
      </c>
      <c r="AF153" s="90">
        <f t="shared" si="39"/>
        <v>0.5</v>
      </c>
      <c r="AG153" s="32">
        <v>0</v>
      </c>
      <c r="AH153" s="247">
        <f t="shared" si="40"/>
        <v>25</v>
      </c>
      <c r="AI153" s="91">
        <f t="shared" si="41"/>
        <v>0.25</v>
      </c>
      <c r="AJ153" s="32"/>
      <c r="AK153" s="32">
        <v>0</v>
      </c>
      <c r="AL153" s="32">
        <v>0</v>
      </c>
      <c r="AM153" s="32">
        <v>0</v>
      </c>
      <c r="AN153" s="32">
        <v>0</v>
      </c>
      <c r="AO153" s="247">
        <f t="shared" si="32"/>
        <v>0</v>
      </c>
      <c r="AP153" s="247">
        <f t="shared" si="42"/>
        <v>25</v>
      </c>
      <c r="AQ153" s="90">
        <f t="shared" si="43"/>
        <v>0.5</v>
      </c>
      <c r="AR153" s="32">
        <v>0</v>
      </c>
      <c r="AS153" s="32">
        <v>0</v>
      </c>
      <c r="AT153" s="32">
        <v>0</v>
      </c>
      <c r="AU153" s="272" t="str">
        <f t="shared" si="44"/>
        <v>A</v>
      </c>
      <c r="AV153" s="247">
        <f t="shared" si="45"/>
        <v>100</v>
      </c>
      <c r="AW153" s="90">
        <f t="shared" si="46"/>
        <v>3</v>
      </c>
      <c r="AX153" s="163">
        <f t="shared" si="47"/>
        <v>5.0833333333333339</v>
      </c>
    </row>
    <row r="154" spans="1:50" x14ac:dyDescent="0.6">
      <c r="A154" s="214" t="s">
        <v>906</v>
      </c>
      <c r="B154" s="13" t="s">
        <v>2134</v>
      </c>
      <c r="C154" s="219" t="s">
        <v>300</v>
      </c>
      <c r="D154" s="216" t="s">
        <v>191</v>
      </c>
      <c r="E154" s="217" t="s">
        <v>34</v>
      </c>
      <c r="F154" s="217" t="s">
        <v>395</v>
      </c>
      <c r="G154" s="218">
        <v>32312</v>
      </c>
      <c r="H154" s="217" t="s">
        <v>830</v>
      </c>
      <c r="I154" s="217" t="s">
        <v>730</v>
      </c>
      <c r="J154" s="217" t="s">
        <v>675</v>
      </c>
      <c r="K154" s="217" t="s">
        <v>91</v>
      </c>
      <c r="L154" s="220">
        <v>404796609</v>
      </c>
      <c r="M154" s="206">
        <v>130234655</v>
      </c>
      <c r="N154" s="206">
        <v>274561954</v>
      </c>
      <c r="O154" s="206">
        <v>274031808</v>
      </c>
      <c r="P154" s="206">
        <v>23292333</v>
      </c>
      <c r="Q154" s="206">
        <v>24312301</v>
      </c>
      <c r="R154" s="206">
        <v>21111758</v>
      </c>
      <c r="S154" s="32">
        <v>0</v>
      </c>
      <c r="T154" s="32">
        <v>0</v>
      </c>
      <c r="U154" s="32">
        <v>0</v>
      </c>
      <c r="V154" s="266">
        <f t="shared" si="33"/>
        <v>50</v>
      </c>
      <c r="W154" s="90">
        <f t="shared" si="34"/>
        <v>0.5</v>
      </c>
      <c r="X154" s="32">
        <v>0</v>
      </c>
      <c r="Y154" s="32">
        <v>0</v>
      </c>
      <c r="Z154" s="267">
        <f t="shared" si="35"/>
        <v>0</v>
      </c>
      <c r="AA154" s="268">
        <f t="shared" si="36"/>
        <v>33.333333333333336</v>
      </c>
      <c r="AB154" s="90">
        <f t="shared" si="37"/>
        <v>0.33333333333333337</v>
      </c>
      <c r="AC154" s="32">
        <v>0</v>
      </c>
      <c r="AD154" s="32">
        <v>0</v>
      </c>
      <c r="AE154" s="252">
        <f t="shared" si="38"/>
        <v>25</v>
      </c>
      <c r="AF154" s="90">
        <f t="shared" si="39"/>
        <v>0.5</v>
      </c>
      <c r="AG154" s="32">
        <v>0</v>
      </c>
      <c r="AH154" s="247">
        <f t="shared" si="40"/>
        <v>25</v>
      </c>
      <c r="AI154" s="91">
        <f t="shared" si="41"/>
        <v>0.25</v>
      </c>
      <c r="AJ154" s="32"/>
      <c r="AK154" s="32">
        <v>1</v>
      </c>
      <c r="AL154" s="32">
        <v>0</v>
      </c>
      <c r="AM154" s="32">
        <v>0</v>
      </c>
      <c r="AN154" s="32">
        <v>0</v>
      </c>
      <c r="AO154" s="247">
        <f t="shared" si="32"/>
        <v>1</v>
      </c>
      <c r="AP154" s="247">
        <f t="shared" si="42"/>
        <v>50</v>
      </c>
      <c r="AQ154" s="90">
        <f t="shared" si="43"/>
        <v>1</v>
      </c>
      <c r="AR154" s="32">
        <v>0</v>
      </c>
      <c r="AS154" s="32">
        <v>0</v>
      </c>
      <c r="AT154" s="32">
        <v>0</v>
      </c>
      <c r="AU154" s="272" t="str">
        <f t="shared" si="44"/>
        <v>A</v>
      </c>
      <c r="AV154" s="247">
        <f t="shared" si="45"/>
        <v>100</v>
      </c>
      <c r="AW154" s="90">
        <f t="shared" si="46"/>
        <v>3</v>
      </c>
      <c r="AX154" s="163">
        <f t="shared" si="47"/>
        <v>5.5833333333333339</v>
      </c>
    </row>
    <row r="155" spans="1:50" x14ac:dyDescent="0.6">
      <c r="A155" s="214" t="s">
        <v>329</v>
      </c>
      <c r="B155" s="13" t="s">
        <v>2135</v>
      </c>
      <c r="C155" s="219" t="s">
        <v>858</v>
      </c>
      <c r="D155" s="216" t="s">
        <v>285</v>
      </c>
      <c r="E155" s="217" t="s">
        <v>1061</v>
      </c>
      <c r="F155" s="217" t="s">
        <v>124</v>
      </c>
      <c r="G155" s="218">
        <v>38484</v>
      </c>
      <c r="H155" s="217" t="s">
        <v>830</v>
      </c>
      <c r="I155" s="217" t="s">
        <v>734</v>
      </c>
      <c r="J155" s="217" t="s">
        <v>1197</v>
      </c>
      <c r="K155" s="217" t="s">
        <v>425</v>
      </c>
      <c r="L155" s="220">
        <v>278609820</v>
      </c>
      <c r="M155" s="206">
        <v>60662564</v>
      </c>
      <c r="N155" s="206">
        <v>217947256</v>
      </c>
      <c r="O155" s="206">
        <v>300844920</v>
      </c>
      <c r="P155" s="206">
        <v>2168970</v>
      </c>
      <c r="Q155" s="206">
        <v>5936019</v>
      </c>
      <c r="R155" s="206">
        <v>4978376</v>
      </c>
      <c r="S155" s="32">
        <v>0</v>
      </c>
      <c r="T155" s="32">
        <v>0</v>
      </c>
      <c r="U155" s="32">
        <v>0</v>
      </c>
      <c r="V155" s="266">
        <f t="shared" si="33"/>
        <v>50</v>
      </c>
      <c r="W155" s="90">
        <f t="shared" si="34"/>
        <v>0.5</v>
      </c>
      <c r="X155" s="32">
        <v>0</v>
      </c>
      <c r="Y155" s="32">
        <v>0</v>
      </c>
      <c r="Z155" s="267">
        <f t="shared" si="35"/>
        <v>0</v>
      </c>
      <c r="AA155" s="268">
        <f t="shared" si="36"/>
        <v>33.333333333333336</v>
      </c>
      <c r="AB155" s="90">
        <f t="shared" si="37"/>
        <v>0.33333333333333337</v>
      </c>
      <c r="AC155" s="32">
        <v>0</v>
      </c>
      <c r="AD155" s="32">
        <v>1</v>
      </c>
      <c r="AE155" s="252">
        <f t="shared" si="38"/>
        <v>75</v>
      </c>
      <c r="AF155" s="90">
        <f t="shared" si="39"/>
        <v>1.5</v>
      </c>
      <c r="AG155" s="32">
        <v>0</v>
      </c>
      <c r="AH155" s="247">
        <f t="shared" si="40"/>
        <v>25</v>
      </c>
      <c r="AI155" s="91">
        <f t="shared" si="41"/>
        <v>0.25</v>
      </c>
      <c r="AJ155" s="32"/>
      <c r="AK155" s="32">
        <v>0</v>
      </c>
      <c r="AL155" s="32">
        <v>0</v>
      </c>
      <c r="AM155" s="32">
        <v>0</v>
      </c>
      <c r="AN155" s="32">
        <v>0</v>
      </c>
      <c r="AO155" s="247">
        <f t="shared" si="32"/>
        <v>0</v>
      </c>
      <c r="AP155" s="247">
        <f t="shared" si="42"/>
        <v>25</v>
      </c>
      <c r="AQ155" s="90">
        <f t="shared" si="43"/>
        <v>0.5</v>
      </c>
      <c r="AR155" s="32">
        <v>0</v>
      </c>
      <c r="AS155" s="32">
        <v>0</v>
      </c>
      <c r="AT155" s="32">
        <v>0</v>
      </c>
      <c r="AU155" s="272" t="str">
        <f t="shared" si="44"/>
        <v>A</v>
      </c>
      <c r="AV155" s="247">
        <f t="shared" si="45"/>
        <v>100</v>
      </c>
      <c r="AW155" s="90">
        <f t="shared" si="46"/>
        <v>3</v>
      </c>
      <c r="AX155" s="163">
        <f t="shared" si="47"/>
        <v>6.0833333333333339</v>
      </c>
    </row>
    <row r="156" spans="1:50" x14ac:dyDescent="0.6">
      <c r="A156" s="214" t="s">
        <v>27</v>
      </c>
      <c r="B156" s="13" t="s">
        <v>2136</v>
      </c>
      <c r="C156" s="219" t="s">
        <v>312</v>
      </c>
      <c r="D156" s="216" t="s">
        <v>202</v>
      </c>
      <c r="E156" s="217" t="s">
        <v>205</v>
      </c>
      <c r="F156" s="217" t="s">
        <v>260</v>
      </c>
      <c r="G156" s="218">
        <v>31740</v>
      </c>
      <c r="H156" s="217" t="s">
        <v>830</v>
      </c>
      <c r="I156" s="217" t="s">
        <v>250</v>
      </c>
      <c r="J156" s="217" t="s">
        <v>1086</v>
      </c>
      <c r="K156" s="217" t="s">
        <v>317</v>
      </c>
      <c r="L156" s="220">
        <v>110962184</v>
      </c>
      <c r="M156" s="206">
        <v>49075760</v>
      </c>
      <c r="N156" s="206">
        <v>61886424</v>
      </c>
      <c r="O156" s="206">
        <v>192666638</v>
      </c>
      <c r="P156" s="206">
        <v>14593397</v>
      </c>
      <c r="Q156" s="206">
        <v>13329040</v>
      </c>
      <c r="R156" s="206">
        <v>11131018</v>
      </c>
      <c r="S156" s="32">
        <v>0</v>
      </c>
      <c r="T156" s="32">
        <v>0</v>
      </c>
      <c r="U156" s="32">
        <v>0</v>
      </c>
      <c r="V156" s="266">
        <f t="shared" si="33"/>
        <v>50</v>
      </c>
      <c r="W156" s="90">
        <f t="shared" si="34"/>
        <v>0.5</v>
      </c>
      <c r="X156" s="32">
        <v>0</v>
      </c>
      <c r="Y156" s="32">
        <v>0</v>
      </c>
      <c r="Z156" s="267">
        <f t="shared" si="35"/>
        <v>0</v>
      </c>
      <c r="AA156" s="268">
        <f t="shared" si="36"/>
        <v>33.333333333333336</v>
      </c>
      <c r="AB156" s="90">
        <f t="shared" si="37"/>
        <v>0.33333333333333337</v>
      </c>
      <c r="AC156" s="32">
        <v>5000000</v>
      </c>
      <c r="AD156" s="32">
        <v>0</v>
      </c>
      <c r="AE156" s="252">
        <f t="shared" si="38"/>
        <v>50</v>
      </c>
      <c r="AF156" s="90">
        <f t="shared" si="39"/>
        <v>1</v>
      </c>
      <c r="AG156" s="32">
        <v>0</v>
      </c>
      <c r="AH156" s="247">
        <f t="shared" si="40"/>
        <v>25</v>
      </c>
      <c r="AI156" s="91">
        <f t="shared" si="41"/>
        <v>0.25</v>
      </c>
      <c r="AJ156" s="32"/>
      <c r="AK156" s="32">
        <v>1</v>
      </c>
      <c r="AL156" s="32">
        <v>0</v>
      </c>
      <c r="AM156" s="32">
        <v>0</v>
      </c>
      <c r="AN156" s="32">
        <v>0</v>
      </c>
      <c r="AO156" s="247">
        <f t="shared" si="32"/>
        <v>1</v>
      </c>
      <c r="AP156" s="247">
        <f t="shared" si="42"/>
        <v>50</v>
      </c>
      <c r="AQ156" s="90">
        <f t="shared" si="43"/>
        <v>1</v>
      </c>
      <c r="AR156" s="32">
        <v>0</v>
      </c>
      <c r="AS156" s="32">
        <v>0</v>
      </c>
      <c r="AT156" s="32">
        <v>0</v>
      </c>
      <c r="AU156" s="272" t="str">
        <f t="shared" si="44"/>
        <v>A</v>
      </c>
      <c r="AV156" s="247">
        <f t="shared" si="45"/>
        <v>100</v>
      </c>
      <c r="AW156" s="90">
        <f t="shared" si="46"/>
        <v>3</v>
      </c>
      <c r="AX156" s="163">
        <f t="shared" si="47"/>
        <v>6.0833333333333339</v>
      </c>
    </row>
    <row r="157" spans="1:50" x14ac:dyDescent="0.6">
      <c r="A157" s="214" t="s">
        <v>70</v>
      </c>
      <c r="B157" s="13" t="s">
        <v>2137</v>
      </c>
      <c r="C157" s="219" t="s">
        <v>328</v>
      </c>
      <c r="D157" s="216" t="s">
        <v>202</v>
      </c>
      <c r="E157" s="217" t="s">
        <v>205</v>
      </c>
      <c r="F157" s="217" t="s">
        <v>249</v>
      </c>
      <c r="G157" s="218">
        <v>27937</v>
      </c>
      <c r="H157" s="217" t="s">
        <v>830</v>
      </c>
      <c r="I157" s="217" t="s">
        <v>908</v>
      </c>
      <c r="J157" s="217" t="s">
        <v>1079</v>
      </c>
      <c r="K157" s="217" t="s">
        <v>690</v>
      </c>
      <c r="L157" s="220">
        <v>258833722</v>
      </c>
      <c r="M157" s="206">
        <v>56671294</v>
      </c>
      <c r="N157" s="206">
        <v>202162428</v>
      </c>
      <c r="O157" s="206">
        <v>211265922</v>
      </c>
      <c r="P157" s="206">
        <v>24633492</v>
      </c>
      <c r="Q157" s="206">
        <v>27322194</v>
      </c>
      <c r="R157" s="206">
        <v>21624124</v>
      </c>
      <c r="S157" s="32">
        <v>0</v>
      </c>
      <c r="T157" s="32">
        <v>0</v>
      </c>
      <c r="U157" s="32">
        <v>0</v>
      </c>
      <c r="V157" s="266">
        <f t="shared" si="33"/>
        <v>50</v>
      </c>
      <c r="W157" s="90">
        <f t="shared" si="34"/>
        <v>0.5</v>
      </c>
      <c r="X157" s="32">
        <v>0</v>
      </c>
      <c r="Y157" s="32">
        <v>0</v>
      </c>
      <c r="Z157" s="267">
        <f t="shared" si="35"/>
        <v>0</v>
      </c>
      <c r="AA157" s="268">
        <f t="shared" si="36"/>
        <v>33.333333333333336</v>
      </c>
      <c r="AB157" s="90">
        <f t="shared" si="37"/>
        <v>0.33333333333333337</v>
      </c>
      <c r="AC157" s="32">
        <v>0</v>
      </c>
      <c r="AD157" s="32">
        <v>1</v>
      </c>
      <c r="AE157" s="252">
        <f t="shared" si="38"/>
        <v>75</v>
      </c>
      <c r="AF157" s="90">
        <f t="shared" si="39"/>
        <v>1.5</v>
      </c>
      <c r="AG157" s="32">
        <v>0</v>
      </c>
      <c r="AH157" s="247">
        <f t="shared" si="40"/>
        <v>25</v>
      </c>
      <c r="AI157" s="91">
        <f t="shared" si="41"/>
        <v>0.25</v>
      </c>
      <c r="AJ157" s="32"/>
      <c r="AK157" s="32">
        <v>1</v>
      </c>
      <c r="AL157" s="32">
        <v>0</v>
      </c>
      <c r="AM157" s="32">
        <v>0</v>
      </c>
      <c r="AN157" s="32">
        <v>0</v>
      </c>
      <c r="AO157" s="247">
        <f t="shared" si="32"/>
        <v>1</v>
      </c>
      <c r="AP157" s="247">
        <f t="shared" si="42"/>
        <v>50</v>
      </c>
      <c r="AQ157" s="90">
        <f t="shared" si="43"/>
        <v>1</v>
      </c>
      <c r="AR157" s="32">
        <v>0</v>
      </c>
      <c r="AS157" s="32">
        <v>0</v>
      </c>
      <c r="AT157" s="32">
        <v>0</v>
      </c>
      <c r="AU157" s="272" t="str">
        <f t="shared" si="44"/>
        <v>A</v>
      </c>
      <c r="AV157" s="247">
        <f t="shared" si="45"/>
        <v>100</v>
      </c>
      <c r="AW157" s="90">
        <f t="shared" si="46"/>
        <v>3</v>
      </c>
      <c r="AX157" s="163">
        <f t="shared" si="47"/>
        <v>6.5833333333333339</v>
      </c>
    </row>
    <row r="158" spans="1:50" x14ac:dyDescent="0.6">
      <c r="A158" s="214" t="s">
        <v>45</v>
      </c>
      <c r="B158" s="13" t="s">
        <v>2138</v>
      </c>
      <c r="C158" s="219" t="s">
        <v>95</v>
      </c>
      <c r="D158" s="216" t="s">
        <v>202</v>
      </c>
      <c r="E158" s="217" t="s">
        <v>954</v>
      </c>
      <c r="F158" s="217" t="s">
        <v>162</v>
      </c>
      <c r="G158" s="218">
        <v>38287</v>
      </c>
      <c r="H158" s="217" t="s">
        <v>830</v>
      </c>
      <c r="I158" s="217" t="s">
        <v>247</v>
      </c>
      <c r="J158" s="217" t="s">
        <v>1066</v>
      </c>
      <c r="K158" s="217" t="s">
        <v>308</v>
      </c>
      <c r="L158" s="220">
        <v>425929471</v>
      </c>
      <c r="M158" s="206">
        <v>214344538</v>
      </c>
      <c r="N158" s="206">
        <v>211584933</v>
      </c>
      <c r="O158" s="206">
        <v>373474666</v>
      </c>
      <c r="P158" s="206">
        <v>26834891</v>
      </c>
      <c r="Q158" s="206">
        <v>16665875</v>
      </c>
      <c r="R158" s="206">
        <v>11131495</v>
      </c>
      <c r="S158" s="32">
        <v>0</v>
      </c>
      <c r="T158" s="32">
        <v>0</v>
      </c>
      <c r="U158" s="32">
        <v>0</v>
      </c>
      <c r="V158" s="266">
        <f t="shared" si="33"/>
        <v>50</v>
      </c>
      <c r="W158" s="90">
        <f t="shared" si="34"/>
        <v>0.5</v>
      </c>
      <c r="X158" s="32">
        <v>0</v>
      </c>
      <c r="Y158" s="32">
        <v>0</v>
      </c>
      <c r="Z158" s="267">
        <f t="shared" si="35"/>
        <v>0</v>
      </c>
      <c r="AA158" s="268">
        <f t="shared" si="36"/>
        <v>33.333333333333336</v>
      </c>
      <c r="AB158" s="90">
        <f t="shared" si="37"/>
        <v>0.33333333333333337</v>
      </c>
      <c r="AC158" s="32">
        <v>0</v>
      </c>
      <c r="AD158" s="32">
        <v>0</v>
      </c>
      <c r="AE158" s="252">
        <f t="shared" si="38"/>
        <v>25</v>
      </c>
      <c r="AF158" s="90">
        <f t="shared" si="39"/>
        <v>0.5</v>
      </c>
      <c r="AG158" s="32">
        <v>0</v>
      </c>
      <c r="AH158" s="247">
        <f t="shared" si="40"/>
        <v>25</v>
      </c>
      <c r="AI158" s="91">
        <f t="shared" si="41"/>
        <v>0.25</v>
      </c>
      <c r="AJ158" s="32"/>
      <c r="AK158" s="32">
        <v>0</v>
      </c>
      <c r="AL158" s="32">
        <v>0</v>
      </c>
      <c r="AM158" s="32">
        <v>0</v>
      </c>
      <c r="AN158" s="32">
        <v>0</v>
      </c>
      <c r="AO158" s="247">
        <f t="shared" si="32"/>
        <v>0</v>
      </c>
      <c r="AP158" s="247">
        <f t="shared" si="42"/>
        <v>25</v>
      </c>
      <c r="AQ158" s="90">
        <f t="shared" si="43"/>
        <v>0.5</v>
      </c>
      <c r="AR158" s="32">
        <v>1</v>
      </c>
      <c r="AS158" s="32">
        <v>0</v>
      </c>
      <c r="AT158" s="32">
        <v>0</v>
      </c>
      <c r="AU158" s="272" t="str">
        <f t="shared" si="44"/>
        <v>B</v>
      </c>
      <c r="AV158" s="247">
        <f t="shared" si="45"/>
        <v>75</v>
      </c>
      <c r="AW158" s="90">
        <f t="shared" si="46"/>
        <v>2.25</v>
      </c>
      <c r="AX158" s="163">
        <f t="shared" si="47"/>
        <v>4.3333333333333339</v>
      </c>
    </row>
    <row r="159" spans="1:50" x14ac:dyDescent="0.6">
      <c r="A159" s="214" t="s">
        <v>25</v>
      </c>
      <c r="B159" s="13" t="s">
        <v>2139</v>
      </c>
      <c r="C159" s="219" t="s">
        <v>39</v>
      </c>
      <c r="D159" s="216" t="s">
        <v>191</v>
      </c>
      <c r="E159" s="217" t="s">
        <v>178</v>
      </c>
      <c r="F159" s="217" t="s">
        <v>749</v>
      </c>
      <c r="G159" s="218">
        <v>42591</v>
      </c>
      <c r="H159" s="217" t="s">
        <v>830</v>
      </c>
      <c r="I159" s="217" t="s">
        <v>758</v>
      </c>
      <c r="J159" s="217" t="s">
        <v>1117</v>
      </c>
      <c r="K159" s="217" t="s">
        <v>91</v>
      </c>
      <c r="L159" s="220">
        <v>323958042</v>
      </c>
      <c r="M159" s="206">
        <v>108746469</v>
      </c>
      <c r="N159" s="206">
        <v>215211573</v>
      </c>
      <c r="O159" s="206">
        <v>362553052</v>
      </c>
      <c r="P159" s="206">
        <v>8643494</v>
      </c>
      <c r="Q159" s="206">
        <v>12941595</v>
      </c>
      <c r="R159" s="206">
        <v>11435933</v>
      </c>
      <c r="S159" s="32">
        <v>0</v>
      </c>
      <c r="T159" s="32">
        <v>0</v>
      </c>
      <c r="U159" s="32">
        <v>0</v>
      </c>
      <c r="V159" s="266">
        <f t="shared" si="33"/>
        <v>50</v>
      </c>
      <c r="W159" s="90">
        <f t="shared" si="34"/>
        <v>0.5</v>
      </c>
      <c r="X159" s="32">
        <v>0</v>
      </c>
      <c r="Y159" s="32">
        <v>0</v>
      </c>
      <c r="Z159" s="267">
        <f t="shared" si="35"/>
        <v>0</v>
      </c>
      <c r="AA159" s="268">
        <f t="shared" si="36"/>
        <v>33.333333333333336</v>
      </c>
      <c r="AB159" s="90">
        <f t="shared" si="37"/>
        <v>0.33333333333333337</v>
      </c>
      <c r="AC159" s="32">
        <v>0</v>
      </c>
      <c r="AD159" s="32">
        <v>0</v>
      </c>
      <c r="AE159" s="252">
        <f t="shared" si="38"/>
        <v>25</v>
      </c>
      <c r="AF159" s="90">
        <f t="shared" si="39"/>
        <v>0.5</v>
      </c>
      <c r="AG159" s="32">
        <v>0</v>
      </c>
      <c r="AH159" s="247">
        <f t="shared" si="40"/>
        <v>25</v>
      </c>
      <c r="AI159" s="91">
        <f t="shared" si="41"/>
        <v>0.25</v>
      </c>
      <c r="AJ159" s="32"/>
      <c r="AK159" s="32">
        <v>1</v>
      </c>
      <c r="AL159" s="32">
        <v>1</v>
      </c>
      <c r="AM159" s="32">
        <v>0</v>
      </c>
      <c r="AN159" s="32">
        <v>0</v>
      </c>
      <c r="AO159" s="247">
        <f t="shared" si="32"/>
        <v>2</v>
      </c>
      <c r="AP159" s="247">
        <f t="shared" si="42"/>
        <v>75</v>
      </c>
      <c r="AQ159" s="90">
        <f t="shared" si="43"/>
        <v>1.5</v>
      </c>
      <c r="AR159" s="32">
        <v>1</v>
      </c>
      <c r="AS159" s="32">
        <v>0</v>
      </c>
      <c r="AT159" s="32">
        <v>0</v>
      </c>
      <c r="AU159" s="272" t="str">
        <f t="shared" si="44"/>
        <v>B</v>
      </c>
      <c r="AV159" s="247">
        <f t="shared" si="45"/>
        <v>75</v>
      </c>
      <c r="AW159" s="90">
        <f t="shared" si="46"/>
        <v>2.25</v>
      </c>
      <c r="AX159" s="163">
        <f t="shared" si="47"/>
        <v>5.3333333333333339</v>
      </c>
    </row>
    <row r="160" spans="1:50" x14ac:dyDescent="0.6">
      <c r="A160" s="214" t="s">
        <v>1706</v>
      </c>
      <c r="B160" s="13" t="s">
        <v>2140</v>
      </c>
      <c r="C160" s="219" t="s">
        <v>1707</v>
      </c>
      <c r="D160" s="14" t="s">
        <v>203</v>
      </c>
      <c r="E160" s="217" t="s">
        <v>978</v>
      </c>
      <c r="F160" s="217" t="s">
        <v>1708</v>
      </c>
      <c r="G160" s="218">
        <v>34929</v>
      </c>
      <c r="H160" s="217" t="s">
        <v>830</v>
      </c>
      <c r="I160" s="217" t="s">
        <v>1709</v>
      </c>
      <c r="J160" s="217" t="s">
        <v>1710</v>
      </c>
      <c r="K160" s="217" t="s">
        <v>91</v>
      </c>
      <c r="L160" s="220">
        <v>1847155998</v>
      </c>
      <c r="M160" s="206">
        <v>810732237</v>
      </c>
      <c r="N160" s="206">
        <v>1036423762</v>
      </c>
      <c r="O160" s="206">
        <v>1716610303</v>
      </c>
      <c r="P160" s="206">
        <v>2873932</v>
      </c>
      <c r="Q160" s="206">
        <v>21741733</v>
      </c>
      <c r="R160" s="206">
        <v>17341286</v>
      </c>
      <c r="S160" s="32">
        <v>0</v>
      </c>
      <c r="T160" s="32">
        <v>0</v>
      </c>
      <c r="U160" s="32">
        <v>0</v>
      </c>
      <c r="V160" s="266">
        <f t="shared" si="33"/>
        <v>50</v>
      </c>
      <c r="W160" s="90">
        <f t="shared" si="34"/>
        <v>0.5</v>
      </c>
      <c r="X160" s="32">
        <v>0</v>
      </c>
      <c r="Y160" s="32">
        <v>0</v>
      </c>
      <c r="Z160" s="267">
        <f t="shared" si="35"/>
        <v>0</v>
      </c>
      <c r="AA160" s="268">
        <f t="shared" si="36"/>
        <v>33.333333333333336</v>
      </c>
      <c r="AB160" s="90">
        <f t="shared" si="37"/>
        <v>0.33333333333333337</v>
      </c>
      <c r="AC160" s="32">
        <v>0</v>
      </c>
      <c r="AD160" s="32">
        <v>0</v>
      </c>
      <c r="AE160" s="252">
        <f t="shared" si="38"/>
        <v>25</v>
      </c>
      <c r="AF160" s="90">
        <f t="shared" si="39"/>
        <v>0.5</v>
      </c>
      <c r="AG160" s="32">
        <v>0</v>
      </c>
      <c r="AH160" s="247">
        <f t="shared" si="40"/>
        <v>25</v>
      </c>
      <c r="AI160" s="91">
        <f t="shared" si="41"/>
        <v>0.25</v>
      </c>
      <c r="AJ160" s="32"/>
      <c r="AK160" s="32">
        <v>0</v>
      </c>
      <c r="AL160" s="32">
        <v>0</v>
      </c>
      <c r="AM160" s="32">
        <v>0</v>
      </c>
      <c r="AN160" s="32">
        <v>0</v>
      </c>
      <c r="AO160" s="247">
        <f t="shared" si="32"/>
        <v>0</v>
      </c>
      <c r="AP160" s="247">
        <f t="shared" si="42"/>
        <v>25</v>
      </c>
      <c r="AQ160" s="90">
        <f t="shared" si="43"/>
        <v>0.5</v>
      </c>
      <c r="AR160" s="32">
        <v>0</v>
      </c>
      <c r="AS160" s="32">
        <v>0</v>
      </c>
      <c r="AT160" s="32">
        <v>0</v>
      </c>
      <c r="AU160" s="272" t="str">
        <f t="shared" si="44"/>
        <v>A</v>
      </c>
      <c r="AV160" s="247">
        <f t="shared" si="45"/>
        <v>100</v>
      </c>
      <c r="AW160" s="90">
        <f t="shared" si="46"/>
        <v>3</v>
      </c>
      <c r="AX160" s="163">
        <f t="shared" si="47"/>
        <v>5.0833333333333339</v>
      </c>
    </row>
    <row r="161" spans="1:50" x14ac:dyDescent="0.6">
      <c r="A161" s="214" t="s">
        <v>1711</v>
      </c>
      <c r="B161" s="13" t="s">
        <v>2141</v>
      </c>
      <c r="C161" s="219" t="s">
        <v>1712</v>
      </c>
      <c r="D161" s="14" t="s">
        <v>191</v>
      </c>
      <c r="E161" s="217" t="s">
        <v>1713</v>
      </c>
      <c r="F161" s="217" t="s">
        <v>1714</v>
      </c>
      <c r="G161" s="218">
        <v>40590</v>
      </c>
      <c r="H161" s="217" t="s">
        <v>830</v>
      </c>
      <c r="I161" s="217" t="s">
        <v>1715</v>
      </c>
      <c r="J161" s="1" t="s">
        <v>2304</v>
      </c>
      <c r="K161" s="217" t="s">
        <v>690</v>
      </c>
      <c r="L161" s="220">
        <v>915554063</v>
      </c>
      <c r="M161" s="206">
        <v>489216440</v>
      </c>
      <c r="N161" s="206">
        <v>426337623</v>
      </c>
      <c r="O161" s="206">
        <v>1198282787</v>
      </c>
      <c r="P161" s="206">
        <v>30096580</v>
      </c>
      <c r="Q161" s="206">
        <v>53117187</v>
      </c>
      <c r="R161" s="206">
        <v>41094963</v>
      </c>
      <c r="S161" s="32">
        <v>0</v>
      </c>
      <c r="T161" s="32">
        <v>1</v>
      </c>
      <c r="U161" s="32">
        <v>0</v>
      </c>
      <c r="V161" s="266">
        <f t="shared" si="33"/>
        <v>100</v>
      </c>
      <c r="W161" s="90">
        <f t="shared" si="34"/>
        <v>1</v>
      </c>
      <c r="X161" s="32">
        <v>0</v>
      </c>
      <c r="Y161" s="32">
        <v>0</v>
      </c>
      <c r="Z161" s="267">
        <f t="shared" si="35"/>
        <v>0</v>
      </c>
      <c r="AA161" s="268">
        <f t="shared" si="36"/>
        <v>33.333333333333336</v>
      </c>
      <c r="AB161" s="90">
        <f t="shared" si="37"/>
        <v>0.33333333333333337</v>
      </c>
      <c r="AC161" s="32">
        <v>0</v>
      </c>
      <c r="AD161" s="32">
        <v>1</v>
      </c>
      <c r="AE161" s="252">
        <f t="shared" si="38"/>
        <v>75</v>
      </c>
      <c r="AF161" s="90">
        <f t="shared" si="39"/>
        <v>1.5</v>
      </c>
      <c r="AG161" s="32">
        <v>0</v>
      </c>
      <c r="AH161" s="247">
        <f t="shared" si="40"/>
        <v>25</v>
      </c>
      <c r="AI161" s="91">
        <f t="shared" si="41"/>
        <v>0.25</v>
      </c>
      <c r="AJ161" s="32"/>
      <c r="AK161" s="32">
        <v>0</v>
      </c>
      <c r="AL161" s="32">
        <v>0</v>
      </c>
      <c r="AM161" s="32">
        <v>0</v>
      </c>
      <c r="AN161" s="32">
        <v>0</v>
      </c>
      <c r="AO161" s="247">
        <f t="shared" si="32"/>
        <v>0</v>
      </c>
      <c r="AP161" s="247">
        <f t="shared" si="42"/>
        <v>25</v>
      </c>
      <c r="AQ161" s="90">
        <f t="shared" si="43"/>
        <v>0.5</v>
      </c>
      <c r="AR161" s="32">
        <v>0</v>
      </c>
      <c r="AS161" s="32">
        <v>0</v>
      </c>
      <c r="AT161" s="32">
        <v>0</v>
      </c>
      <c r="AU161" s="272" t="str">
        <f t="shared" si="44"/>
        <v>A</v>
      </c>
      <c r="AV161" s="247">
        <f t="shared" si="45"/>
        <v>100</v>
      </c>
      <c r="AW161" s="90">
        <f t="shared" si="46"/>
        <v>3</v>
      </c>
      <c r="AX161" s="163">
        <f t="shared" si="47"/>
        <v>6.5833333333333339</v>
      </c>
    </row>
    <row r="162" spans="1:50" x14ac:dyDescent="0.6">
      <c r="A162" s="214" t="s">
        <v>1716</v>
      </c>
      <c r="B162" s="13" t="s">
        <v>2142</v>
      </c>
      <c r="C162" s="219" t="s">
        <v>1717</v>
      </c>
      <c r="D162" s="14" t="s">
        <v>285</v>
      </c>
      <c r="E162" s="217" t="s">
        <v>1432</v>
      </c>
      <c r="F162" s="217" t="s">
        <v>1718</v>
      </c>
      <c r="G162" s="218">
        <v>28264</v>
      </c>
      <c r="H162" s="217" t="s">
        <v>830</v>
      </c>
      <c r="I162" s="217" t="s">
        <v>1719</v>
      </c>
      <c r="J162" s="217" t="s">
        <v>1720</v>
      </c>
      <c r="K162" s="217" t="s">
        <v>484</v>
      </c>
      <c r="L162" s="220">
        <v>818244152</v>
      </c>
      <c r="M162" s="206">
        <v>212287560</v>
      </c>
      <c r="N162" s="206">
        <v>605956593</v>
      </c>
      <c r="O162" s="206">
        <v>708635837</v>
      </c>
      <c r="P162" s="206">
        <v>24543012</v>
      </c>
      <c r="Q162" s="206">
        <v>35564999</v>
      </c>
      <c r="R162" s="206">
        <v>39359123</v>
      </c>
      <c r="S162" s="32">
        <v>1</v>
      </c>
      <c r="T162" s="32">
        <v>0</v>
      </c>
      <c r="U162" s="32">
        <v>0</v>
      </c>
      <c r="V162" s="266">
        <f t="shared" si="33"/>
        <v>100</v>
      </c>
      <c r="W162" s="90">
        <f t="shared" si="34"/>
        <v>1</v>
      </c>
      <c r="X162" s="32">
        <v>0</v>
      </c>
      <c r="Y162" s="32">
        <v>0</v>
      </c>
      <c r="Z162" s="267">
        <f t="shared" si="35"/>
        <v>0</v>
      </c>
      <c r="AA162" s="268">
        <f t="shared" si="36"/>
        <v>33.333333333333336</v>
      </c>
      <c r="AB162" s="90">
        <f t="shared" si="37"/>
        <v>0.33333333333333337</v>
      </c>
      <c r="AC162" s="32">
        <v>0</v>
      </c>
      <c r="AD162" s="32">
        <v>0</v>
      </c>
      <c r="AE162" s="252">
        <f t="shared" si="38"/>
        <v>25</v>
      </c>
      <c r="AF162" s="90">
        <f t="shared" si="39"/>
        <v>0.5</v>
      </c>
      <c r="AG162" s="32">
        <v>0</v>
      </c>
      <c r="AH162" s="247">
        <f t="shared" si="40"/>
        <v>25</v>
      </c>
      <c r="AI162" s="91">
        <f t="shared" si="41"/>
        <v>0.25</v>
      </c>
      <c r="AJ162" s="32"/>
      <c r="AK162" s="32">
        <v>1</v>
      </c>
      <c r="AL162" s="32">
        <v>0</v>
      </c>
      <c r="AM162" s="32">
        <v>0</v>
      </c>
      <c r="AN162" s="32">
        <v>0</v>
      </c>
      <c r="AO162" s="247">
        <f t="shared" si="32"/>
        <v>1</v>
      </c>
      <c r="AP162" s="247">
        <f t="shared" si="42"/>
        <v>50</v>
      </c>
      <c r="AQ162" s="90">
        <f t="shared" si="43"/>
        <v>1</v>
      </c>
      <c r="AR162" s="32">
        <v>0</v>
      </c>
      <c r="AS162" s="32">
        <v>0</v>
      </c>
      <c r="AT162" s="32">
        <v>0</v>
      </c>
      <c r="AU162" s="272" t="str">
        <f t="shared" si="44"/>
        <v>A</v>
      </c>
      <c r="AV162" s="247">
        <f t="shared" si="45"/>
        <v>100</v>
      </c>
      <c r="AW162" s="90">
        <f t="shared" si="46"/>
        <v>3</v>
      </c>
      <c r="AX162" s="163">
        <f t="shared" si="47"/>
        <v>6.0833333333333339</v>
      </c>
    </row>
    <row r="163" spans="1:50" x14ac:dyDescent="0.6">
      <c r="A163" s="214" t="s">
        <v>1721</v>
      </c>
      <c r="B163" s="13" t="s">
        <v>2143</v>
      </c>
      <c r="C163" s="219" t="s">
        <v>500</v>
      </c>
      <c r="D163" s="216" t="s">
        <v>202</v>
      </c>
      <c r="E163" s="217" t="s">
        <v>617</v>
      </c>
      <c r="F163" s="217" t="s">
        <v>1194</v>
      </c>
      <c r="G163" s="218">
        <v>32109</v>
      </c>
      <c r="H163" s="217" t="s">
        <v>830</v>
      </c>
      <c r="I163" s="217" t="s">
        <v>1722</v>
      </c>
      <c r="J163" s="217" t="s">
        <v>1087</v>
      </c>
      <c r="K163" s="217" t="s">
        <v>91</v>
      </c>
      <c r="L163" s="220">
        <v>1482320425</v>
      </c>
      <c r="M163" s="206">
        <v>264349343</v>
      </c>
      <c r="N163" s="206">
        <v>1217971082</v>
      </c>
      <c r="O163" s="206">
        <v>1278383546</v>
      </c>
      <c r="P163" s="206">
        <v>73366427</v>
      </c>
      <c r="Q163" s="206">
        <v>70696990</v>
      </c>
      <c r="R163" s="206">
        <v>48458346</v>
      </c>
      <c r="S163" s="32">
        <v>0</v>
      </c>
      <c r="T163" s="32">
        <v>0</v>
      </c>
      <c r="U163" s="32">
        <v>0</v>
      </c>
      <c r="V163" s="266">
        <f t="shared" si="33"/>
        <v>50</v>
      </c>
      <c r="W163" s="90">
        <f t="shared" si="34"/>
        <v>0.5</v>
      </c>
      <c r="X163" s="32">
        <v>0</v>
      </c>
      <c r="Y163" s="32">
        <v>0</v>
      </c>
      <c r="Z163" s="267">
        <f t="shared" si="35"/>
        <v>0</v>
      </c>
      <c r="AA163" s="268">
        <f t="shared" si="36"/>
        <v>33.333333333333336</v>
      </c>
      <c r="AB163" s="90">
        <f t="shared" si="37"/>
        <v>0.33333333333333337</v>
      </c>
      <c r="AC163" s="32">
        <v>0</v>
      </c>
      <c r="AD163" s="32">
        <v>1</v>
      </c>
      <c r="AE163" s="252">
        <f t="shared" si="38"/>
        <v>75</v>
      </c>
      <c r="AF163" s="90">
        <f t="shared" si="39"/>
        <v>1.5</v>
      </c>
      <c r="AG163" s="32">
        <v>0</v>
      </c>
      <c r="AH163" s="247">
        <f t="shared" si="40"/>
        <v>25</v>
      </c>
      <c r="AI163" s="91">
        <f t="shared" si="41"/>
        <v>0.25</v>
      </c>
      <c r="AJ163" s="32"/>
      <c r="AK163" s="32">
        <v>1</v>
      </c>
      <c r="AL163" s="32">
        <v>0</v>
      </c>
      <c r="AM163" s="32">
        <v>0</v>
      </c>
      <c r="AN163" s="32">
        <v>0</v>
      </c>
      <c r="AO163" s="247">
        <f t="shared" si="32"/>
        <v>1</v>
      </c>
      <c r="AP163" s="247">
        <f t="shared" si="42"/>
        <v>50</v>
      </c>
      <c r="AQ163" s="90">
        <f t="shared" si="43"/>
        <v>1</v>
      </c>
      <c r="AR163" s="32">
        <v>0</v>
      </c>
      <c r="AS163" s="32">
        <v>0</v>
      </c>
      <c r="AT163" s="32">
        <v>0</v>
      </c>
      <c r="AU163" s="272" t="str">
        <f t="shared" si="44"/>
        <v>A</v>
      </c>
      <c r="AV163" s="247">
        <f t="shared" si="45"/>
        <v>100</v>
      </c>
      <c r="AW163" s="90">
        <f t="shared" si="46"/>
        <v>3</v>
      </c>
      <c r="AX163" s="163">
        <f t="shared" si="47"/>
        <v>6.5833333333333339</v>
      </c>
    </row>
    <row r="164" spans="1:50" x14ac:dyDescent="0.6">
      <c r="A164" s="214" t="s">
        <v>12</v>
      </c>
      <c r="B164" s="13" t="s">
        <v>2144</v>
      </c>
      <c r="C164" s="219" t="s">
        <v>301</v>
      </c>
      <c r="D164" s="216" t="s">
        <v>203</v>
      </c>
      <c r="E164" s="217" t="s">
        <v>195</v>
      </c>
      <c r="F164" s="217" t="s">
        <v>757</v>
      </c>
      <c r="G164" s="218">
        <v>43378</v>
      </c>
      <c r="H164" s="217" t="s">
        <v>830</v>
      </c>
      <c r="I164" s="217" t="s">
        <v>267</v>
      </c>
      <c r="J164" s="217" t="s">
        <v>1196</v>
      </c>
      <c r="K164" s="217" t="s">
        <v>91</v>
      </c>
      <c r="L164" s="220">
        <v>1465129429</v>
      </c>
      <c r="M164" s="206">
        <v>636127563</v>
      </c>
      <c r="N164" s="206">
        <v>829001866</v>
      </c>
      <c r="O164" s="206">
        <v>1801835090</v>
      </c>
      <c r="P164" s="206">
        <v>215165658</v>
      </c>
      <c r="Q164" s="206">
        <v>211145518</v>
      </c>
      <c r="R164" s="206">
        <v>159294293</v>
      </c>
      <c r="S164" s="32">
        <v>1</v>
      </c>
      <c r="T164" s="32">
        <v>1</v>
      </c>
      <c r="U164" s="32">
        <v>0</v>
      </c>
      <c r="V164" s="266">
        <f t="shared" si="33"/>
        <v>100</v>
      </c>
      <c r="W164" s="90">
        <f t="shared" si="34"/>
        <v>1</v>
      </c>
      <c r="X164" s="32">
        <v>0</v>
      </c>
      <c r="Y164" s="32">
        <v>0</v>
      </c>
      <c r="Z164" s="267">
        <f t="shared" si="35"/>
        <v>0</v>
      </c>
      <c r="AA164" s="268">
        <f t="shared" si="36"/>
        <v>33.333333333333336</v>
      </c>
      <c r="AB164" s="90">
        <f t="shared" si="37"/>
        <v>0.33333333333333337</v>
      </c>
      <c r="AC164" s="32">
        <v>0</v>
      </c>
      <c r="AD164" s="32">
        <v>1</v>
      </c>
      <c r="AE164" s="252">
        <f t="shared" si="38"/>
        <v>75</v>
      </c>
      <c r="AF164" s="90">
        <f t="shared" si="39"/>
        <v>1.5</v>
      </c>
      <c r="AG164" s="32">
        <v>0</v>
      </c>
      <c r="AH164" s="247">
        <f t="shared" si="40"/>
        <v>25</v>
      </c>
      <c r="AI164" s="91">
        <f t="shared" si="41"/>
        <v>0.25</v>
      </c>
      <c r="AJ164" s="32"/>
      <c r="AK164" s="32">
        <v>1</v>
      </c>
      <c r="AL164" s="32">
        <v>0</v>
      </c>
      <c r="AM164" s="32">
        <v>0</v>
      </c>
      <c r="AN164" s="32">
        <v>0</v>
      </c>
      <c r="AO164" s="247">
        <f t="shared" si="32"/>
        <v>1</v>
      </c>
      <c r="AP164" s="247">
        <f t="shared" si="42"/>
        <v>50</v>
      </c>
      <c r="AQ164" s="90">
        <f t="shared" si="43"/>
        <v>1</v>
      </c>
      <c r="AR164" s="32">
        <v>0</v>
      </c>
      <c r="AS164" s="32">
        <v>0</v>
      </c>
      <c r="AT164" s="32">
        <v>0</v>
      </c>
      <c r="AU164" s="272" t="str">
        <f t="shared" si="44"/>
        <v>A</v>
      </c>
      <c r="AV164" s="247">
        <f t="shared" si="45"/>
        <v>100</v>
      </c>
      <c r="AW164" s="90">
        <f t="shared" si="46"/>
        <v>3</v>
      </c>
      <c r="AX164" s="163">
        <f t="shared" si="47"/>
        <v>7.0833333333333339</v>
      </c>
    </row>
    <row r="165" spans="1:50" x14ac:dyDescent="0.6">
      <c r="A165" s="214" t="s">
        <v>869</v>
      </c>
      <c r="B165" s="13" t="s">
        <v>2145</v>
      </c>
      <c r="C165" s="219" t="s">
        <v>478</v>
      </c>
      <c r="D165" s="216" t="s">
        <v>285</v>
      </c>
      <c r="E165" s="217" t="s">
        <v>171</v>
      </c>
      <c r="F165" s="217" t="s">
        <v>144</v>
      </c>
      <c r="G165" s="218">
        <v>32756</v>
      </c>
      <c r="H165" s="217" t="s">
        <v>830</v>
      </c>
      <c r="I165" s="217" t="s">
        <v>1723</v>
      </c>
      <c r="J165" s="217" t="s">
        <v>1182</v>
      </c>
      <c r="K165" s="217" t="s">
        <v>346</v>
      </c>
      <c r="L165" s="220">
        <v>49842667</v>
      </c>
      <c r="M165" s="206">
        <v>4029139</v>
      </c>
      <c r="N165" s="206">
        <v>45813528</v>
      </c>
      <c r="O165" s="206">
        <v>28065827</v>
      </c>
      <c r="P165" s="206">
        <v>1582371</v>
      </c>
      <c r="Q165" s="206">
        <v>2149604</v>
      </c>
      <c r="R165" s="206">
        <v>1307423</v>
      </c>
      <c r="S165" s="32">
        <v>0</v>
      </c>
      <c r="T165" s="32">
        <v>0</v>
      </c>
      <c r="U165" s="32">
        <v>0</v>
      </c>
      <c r="V165" s="266">
        <f t="shared" si="33"/>
        <v>50</v>
      </c>
      <c r="W165" s="90">
        <f t="shared" si="34"/>
        <v>0.5</v>
      </c>
      <c r="X165" s="32">
        <v>0</v>
      </c>
      <c r="Y165" s="32">
        <v>0</v>
      </c>
      <c r="Z165" s="267">
        <f t="shared" si="35"/>
        <v>0</v>
      </c>
      <c r="AA165" s="268">
        <f t="shared" si="36"/>
        <v>33.333333333333336</v>
      </c>
      <c r="AB165" s="90">
        <f t="shared" si="37"/>
        <v>0.33333333333333337</v>
      </c>
      <c r="AC165" s="32">
        <v>0</v>
      </c>
      <c r="AD165" s="32">
        <v>0</v>
      </c>
      <c r="AE165" s="252">
        <f t="shared" si="38"/>
        <v>25</v>
      </c>
      <c r="AF165" s="90">
        <f t="shared" si="39"/>
        <v>0.5</v>
      </c>
      <c r="AG165" s="32">
        <v>0</v>
      </c>
      <c r="AH165" s="247">
        <f t="shared" si="40"/>
        <v>25</v>
      </c>
      <c r="AI165" s="91">
        <f t="shared" si="41"/>
        <v>0.25</v>
      </c>
      <c r="AJ165" s="32"/>
      <c r="AK165" s="32">
        <v>0</v>
      </c>
      <c r="AL165" s="32">
        <v>0</v>
      </c>
      <c r="AM165" s="32">
        <v>0</v>
      </c>
      <c r="AN165" s="32">
        <v>0</v>
      </c>
      <c r="AO165" s="247">
        <f t="shared" si="32"/>
        <v>0</v>
      </c>
      <c r="AP165" s="247">
        <f t="shared" si="42"/>
        <v>25</v>
      </c>
      <c r="AQ165" s="90">
        <f t="shared" si="43"/>
        <v>0.5</v>
      </c>
      <c r="AR165" s="32">
        <v>0</v>
      </c>
      <c r="AS165" s="32">
        <v>0</v>
      </c>
      <c r="AT165" s="32">
        <v>0</v>
      </c>
      <c r="AU165" s="272" t="str">
        <f t="shared" si="44"/>
        <v>A</v>
      </c>
      <c r="AV165" s="247">
        <f t="shared" si="45"/>
        <v>100</v>
      </c>
      <c r="AW165" s="90">
        <f t="shared" si="46"/>
        <v>3</v>
      </c>
      <c r="AX165" s="163">
        <f t="shared" si="47"/>
        <v>5.0833333333333339</v>
      </c>
    </row>
    <row r="166" spans="1:50" x14ac:dyDescent="0.6">
      <c r="A166" s="214" t="s">
        <v>19</v>
      </c>
      <c r="B166" s="13" t="s">
        <v>2146</v>
      </c>
      <c r="C166" s="219" t="s">
        <v>927</v>
      </c>
      <c r="D166" s="216" t="s">
        <v>202</v>
      </c>
      <c r="E166" s="217" t="s">
        <v>954</v>
      </c>
      <c r="F166" s="217" t="s">
        <v>968</v>
      </c>
      <c r="G166" s="218">
        <v>35249</v>
      </c>
      <c r="H166" s="217" t="s">
        <v>755</v>
      </c>
      <c r="I166" s="217" t="s">
        <v>733</v>
      </c>
      <c r="J166" s="217" t="s">
        <v>1026</v>
      </c>
      <c r="K166" s="217" t="s">
        <v>308</v>
      </c>
      <c r="L166" s="220">
        <v>298109844</v>
      </c>
      <c r="M166" s="206">
        <v>31806382</v>
      </c>
      <c r="N166" s="206">
        <v>266303462</v>
      </c>
      <c r="O166" s="206">
        <v>55615777</v>
      </c>
      <c r="P166" s="206">
        <v>4744809</v>
      </c>
      <c r="Q166" s="206">
        <v>9739774</v>
      </c>
      <c r="R166" s="206">
        <v>7926239</v>
      </c>
      <c r="S166" s="32">
        <v>0</v>
      </c>
      <c r="T166" s="32">
        <v>0</v>
      </c>
      <c r="U166" s="32">
        <v>0</v>
      </c>
      <c r="V166" s="266">
        <f t="shared" si="33"/>
        <v>50</v>
      </c>
      <c r="W166" s="90">
        <f t="shared" si="34"/>
        <v>0.5</v>
      </c>
      <c r="X166" s="32">
        <v>0</v>
      </c>
      <c r="Y166" s="32">
        <v>0</v>
      </c>
      <c r="Z166" s="267">
        <f t="shared" si="35"/>
        <v>0</v>
      </c>
      <c r="AA166" s="268">
        <f t="shared" si="36"/>
        <v>33.333333333333336</v>
      </c>
      <c r="AB166" s="90">
        <f t="shared" si="37"/>
        <v>0.33333333333333337</v>
      </c>
      <c r="AC166" s="32">
        <v>0</v>
      </c>
      <c r="AD166" s="32">
        <v>1</v>
      </c>
      <c r="AE166" s="252">
        <f t="shared" si="38"/>
        <v>75</v>
      </c>
      <c r="AF166" s="90">
        <f t="shared" si="39"/>
        <v>1.5</v>
      </c>
      <c r="AG166" s="32">
        <v>0</v>
      </c>
      <c r="AH166" s="247">
        <f t="shared" si="40"/>
        <v>25</v>
      </c>
      <c r="AI166" s="91">
        <f t="shared" si="41"/>
        <v>0.25</v>
      </c>
      <c r="AJ166" s="32"/>
      <c r="AK166" s="32">
        <v>0</v>
      </c>
      <c r="AL166" s="32">
        <v>0</v>
      </c>
      <c r="AM166" s="32">
        <v>0</v>
      </c>
      <c r="AN166" s="32">
        <v>0</v>
      </c>
      <c r="AO166" s="247">
        <f t="shared" si="32"/>
        <v>0</v>
      </c>
      <c r="AP166" s="247">
        <f t="shared" si="42"/>
        <v>25</v>
      </c>
      <c r="AQ166" s="90">
        <f t="shared" si="43"/>
        <v>0.5</v>
      </c>
      <c r="AR166" s="32">
        <v>0</v>
      </c>
      <c r="AS166" s="32">
        <v>0</v>
      </c>
      <c r="AT166" s="32">
        <v>0</v>
      </c>
      <c r="AU166" s="272" t="str">
        <f t="shared" si="44"/>
        <v>A</v>
      </c>
      <c r="AV166" s="247">
        <f t="shared" si="45"/>
        <v>100</v>
      </c>
      <c r="AW166" s="90">
        <f t="shared" si="46"/>
        <v>3</v>
      </c>
      <c r="AX166" s="163">
        <f t="shared" si="47"/>
        <v>6.0833333333333339</v>
      </c>
    </row>
    <row r="167" spans="1:50" x14ac:dyDescent="0.6">
      <c r="A167" s="214" t="s">
        <v>361</v>
      </c>
      <c r="B167" s="13" t="s">
        <v>2147</v>
      </c>
      <c r="C167" s="219" t="s">
        <v>949</v>
      </c>
      <c r="D167" s="216" t="s">
        <v>285</v>
      </c>
      <c r="E167" s="217" t="s">
        <v>504</v>
      </c>
      <c r="F167" s="217" t="s">
        <v>650</v>
      </c>
      <c r="G167" s="218">
        <v>37462</v>
      </c>
      <c r="H167" s="217" t="s">
        <v>830</v>
      </c>
      <c r="I167" s="217" t="s">
        <v>1724</v>
      </c>
      <c r="J167" s="217" t="s">
        <v>1175</v>
      </c>
      <c r="K167" s="217" t="s">
        <v>91</v>
      </c>
      <c r="L167" s="220">
        <v>573569548</v>
      </c>
      <c r="M167" s="206">
        <v>109458880</v>
      </c>
      <c r="N167" s="206">
        <v>464110668</v>
      </c>
      <c r="O167" s="206">
        <v>119350275</v>
      </c>
      <c r="P167" s="206">
        <v>9219026</v>
      </c>
      <c r="Q167" s="206">
        <v>8486086</v>
      </c>
      <c r="R167" s="206">
        <v>9179410</v>
      </c>
      <c r="S167" s="32">
        <v>0</v>
      </c>
      <c r="T167" s="32">
        <v>0</v>
      </c>
      <c r="U167" s="32">
        <v>0</v>
      </c>
      <c r="V167" s="266">
        <f t="shared" si="33"/>
        <v>50</v>
      </c>
      <c r="W167" s="90">
        <f t="shared" si="34"/>
        <v>0.5</v>
      </c>
      <c r="X167" s="32">
        <v>0</v>
      </c>
      <c r="Y167" s="32">
        <v>0</v>
      </c>
      <c r="Z167" s="267">
        <f t="shared" si="35"/>
        <v>0</v>
      </c>
      <c r="AA167" s="268">
        <f t="shared" si="36"/>
        <v>33.333333333333336</v>
      </c>
      <c r="AB167" s="90">
        <f t="shared" si="37"/>
        <v>0.33333333333333337</v>
      </c>
      <c r="AC167" s="32">
        <v>0</v>
      </c>
      <c r="AD167" s="32">
        <v>0</v>
      </c>
      <c r="AE167" s="252">
        <f t="shared" si="38"/>
        <v>25</v>
      </c>
      <c r="AF167" s="90">
        <f t="shared" si="39"/>
        <v>0.5</v>
      </c>
      <c r="AG167" s="32">
        <v>0</v>
      </c>
      <c r="AH167" s="247">
        <f t="shared" si="40"/>
        <v>25</v>
      </c>
      <c r="AI167" s="91">
        <f t="shared" si="41"/>
        <v>0.25</v>
      </c>
      <c r="AJ167" s="32"/>
      <c r="AK167" s="32">
        <v>0</v>
      </c>
      <c r="AL167" s="32">
        <v>0</v>
      </c>
      <c r="AM167" s="32">
        <v>0</v>
      </c>
      <c r="AN167" s="32">
        <v>0</v>
      </c>
      <c r="AO167" s="247">
        <f t="shared" si="32"/>
        <v>0</v>
      </c>
      <c r="AP167" s="247">
        <f t="shared" si="42"/>
        <v>25</v>
      </c>
      <c r="AQ167" s="90">
        <f t="shared" si="43"/>
        <v>0.5</v>
      </c>
      <c r="AR167" s="32">
        <v>0</v>
      </c>
      <c r="AS167" s="32">
        <v>0</v>
      </c>
      <c r="AT167" s="32">
        <v>0</v>
      </c>
      <c r="AU167" s="272" t="str">
        <f t="shared" si="44"/>
        <v>A</v>
      </c>
      <c r="AV167" s="247">
        <f t="shared" si="45"/>
        <v>100</v>
      </c>
      <c r="AW167" s="90">
        <f t="shared" si="46"/>
        <v>3</v>
      </c>
      <c r="AX167" s="163">
        <f t="shared" si="47"/>
        <v>5.0833333333333339</v>
      </c>
    </row>
    <row r="168" spans="1:50" x14ac:dyDescent="0.6">
      <c r="A168" s="214" t="s">
        <v>1725</v>
      </c>
      <c r="B168" s="13" t="s">
        <v>2148</v>
      </c>
      <c r="C168" s="219" t="s">
        <v>351</v>
      </c>
      <c r="D168" s="216" t="s">
        <v>191</v>
      </c>
      <c r="E168" s="217" t="s">
        <v>1091</v>
      </c>
      <c r="F168" s="217" t="s">
        <v>584</v>
      </c>
      <c r="G168" s="218">
        <v>43140</v>
      </c>
      <c r="H168" s="217" t="s">
        <v>830</v>
      </c>
      <c r="I168" s="217" t="s">
        <v>804</v>
      </c>
      <c r="J168" s="217" t="s">
        <v>1164</v>
      </c>
      <c r="K168" s="217" t="s">
        <v>346</v>
      </c>
      <c r="L168" s="220">
        <v>5571483130</v>
      </c>
      <c r="M168" s="206">
        <v>1401534327</v>
      </c>
      <c r="N168" s="206">
        <v>4169948803</v>
      </c>
      <c r="O168" s="206">
        <v>1937469297</v>
      </c>
      <c r="P168" s="206">
        <v>618890773</v>
      </c>
      <c r="Q168" s="206">
        <v>606389938</v>
      </c>
      <c r="R168" s="206">
        <v>511383102</v>
      </c>
      <c r="S168" s="32">
        <v>1</v>
      </c>
      <c r="T168" s="32">
        <v>0</v>
      </c>
      <c r="U168" s="32">
        <v>0</v>
      </c>
      <c r="V168" s="266">
        <f t="shared" si="33"/>
        <v>100</v>
      </c>
      <c r="W168" s="90">
        <f t="shared" si="34"/>
        <v>1</v>
      </c>
      <c r="X168" s="32">
        <v>0</v>
      </c>
      <c r="Y168" s="32">
        <v>0</v>
      </c>
      <c r="Z168" s="267">
        <f t="shared" si="35"/>
        <v>0</v>
      </c>
      <c r="AA168" s="268">
        <f t="shared" si="36"/>
        <v>33.333333333333336</v>
      </c>
      <c r="AB168" s="90">
        <f t="shared" si="37"/>
        <v>0.33333333333333337</v>
      </c>
      <c r="AC168" s="32">
        <v>0</v>
      </c>
      <c r="AD168" s="32">
        <v>0</v>
      </c>
      <c r="AE168" s="252">
        <f t="shared" si="38"/>
        <v>25</v>
      </c>
      <c r="AF168" s="90">
        <f t="shared" si="39"/>
        <v>0.5</v>
      </c>
      <c r="AG168" s="32">
        <v>0</v>
      </c>
      <c r="AH168" s="247">
        <f t="shared" si="40"/>
        <v>25</v>
      </c>
      <c r="AI168" s="91">
        <f t="shared" si="41"/>
        <v>0.25</v>
      </c>
      <c r="AJ168" s="32"/>
      <c r="AK168" s="32">
        <v>1</v>
      </c>
      <c r="AL168" s="32">
        <v>0</v>
      </c>
      <c r="AM168" s="32">
        <v>0</v>
      </c>
      <c r="AN168" s="32">
        <v>0</v>
      </c>
      <c r="AO168" s="247">
        <f t="shared" si="32"/>
        <v>1</v>
      </c>
      <c r="AP168" s="247">
        <f t="shared" si="42"/>
        <v>50</v>
      </c>
      <c r="AQ168" s="90">
        <f t="shared" si="43"/>
        <v>1</v>
      </c>
      <c r="AR168" s="32">
        <v>0</v>
      </c>
      <c r="AS168" s="32">
        <v>0</v>
      </c>
      <c r="AT168" s="32">
        <v>0</v>
      </c>
      <c r="AU168" s="272" t="str">
        <f t="shared" si="44"/>
        <v>A</v>
      </c>
      <c r="AV168" s="247">
        <f t="shared" si="45"/>
        <v>100</v>
      </c>
      <c r="AW168" s="90">
        <f t="shared" si="46"/>
        <v>3</v>
      </c>
      <c r="AX168" s="163">
        <f t="shared" si="47"/>
        <v>6.0833333333333339</v>
      </c>
    </row>
    <row r="169" spans="1:50" x14ac:dyDescent="0.6">
      <c r="A169" s="214" t="s">
        <v>1726</v>
      </c>
      <c r="B169" s="13" t="s">
        <v>2149</v>
      </c>
      <c r="C169" s="219" t="s">
        <v>1727</v>
      </c>
      <c r="D169" s="14" t="s">
        <v>202</v>
      </c>
      <c r="E169" s="217" t="s">
        <v>205</v>
      </c>
      <c r="F169" s="217" t="s">
        <v>1728</v>
      </c>
      <c r="G169" s="218">
        <v>44229</v>
      </c>
      <c r="H169" s="217" t="s">
        <v>830</v>
      </c>
      <c r="I169" s="217" t="s">
        <v>1729</v>
      </c>
      <c r="J169" s="217" t="s">
        <v>1730</v>
      </c>
      <c r="K169" s="217" t="s">
        <v>690</v>
      </c>
      <c r="L169" s="220">
        <v>487384549</v>
      </c>
      <c r="M169" s="206">
        <v>250541994</v>
      </c>
      <c r="N169" s="206">
        <v>236842555</v>
      </c>
      <c r="O169" s="206">
        <v>931449231</v>
      </c>
      <c r="P169" s="206">
        <v>44671754</v>
      </c>
      <c r="Q169" s="206">
        <v>50417620</v>
      </c>
      <c r="R169" s="206">
        <v>39493848</v>
      </c>
      <c r="S169" s="32">
        <v>0</v>
      </c>
      <c r="T169" s="32">
        <v>0</v>
      </c>
      <c r="U169" s="32">
        <v>0</v>
      </c>
      <c r="V169" s="266">
        <f t="shared" si="33"/>
        <v>50</v>
      </c>
      <c r="W169" s="90">
        <f t="shared" si="34"/>
        <v>0.5</v>
      </c>
      <c r="X169" s="32">
        <v>0</v>
      </c>
      <c r="Y169" s="32">
        <v>0</v>
      </c>
      <c r="Z169" s="267">
        <f t="shared" si="35"/>
        <v>0</v>
      </c>
      <c r="AA169" s="268">
        <f t="shared" si="36"/>
        <v>33.333333333333336</v>
      </c>
      <c r="AB169" s="90">
        <f t="shared" si="37"/>
        <v>0.33333333333333337</v>
      </c>
      <c r="AC169" s="32">
        <v>0</v>
      </c>
      <c r="AD169" s="32">
        <v>1</v>
      </c>
      <c r="AE169" s="252">
        <f t="shared" si="38"/>
        <v>75</v>
      </c>
      <c r="AF169" s="90">
        <f t="shared" si="39"/>
        <v>1.5</v>
      </c>
      <c r="AG169" s="32">
        <v>0</v>
      </c>
      <c r="AH169" s="247">
        <f t="shared" si="40"/>
        <v>25</v>
      </c>
      <c r="AI169" s="91">
        <f t="shared" si="41"/>
        <v>0.25</v>
      </c>
      <c r="AJ169" s="32"/>
      <c r="AK169" s="32">
        <v>0</v>
      </c>
      <c r="AL169" s="32">
        <v>0</v>
      </c>
      <c r="AM169" s="32">
        <v>0</v>
      </c>
      <c r="AN169" s="32">
        <v>0</v>
      </c>
      <c r="AO169" s="247">
        <f t="shared" si="32"/>
        <v>0</v>
      </c>
      <c r="AP169" s="247">
        <f t="shared" si="42"/>
        <v>25</v>
      </c>
      <c r="AQ169" s="90">
        <f t="shared" si="43"/>
        <v>0.5</v>
      </c>
      <c r="AR169" s="32">
        <v>0</v>
      </c>
      <c r="AS169" s="32">
        <v>0</v>
      </c>
      <c r="AT169" s="32">
        <v>0</v>
      </c>
      <c r="AU169" s="272" t="str">
        <f t="shared" si="44"/>
        <v>A</v>
      </c>
      <c r="AV169" s="247">
        <f t="shared" si="45"/>
        <v>100</v>
      </c>
      <c r="AW169" s="90">
        <f t="shared" si="46"/>
        <v>3</v>
      </c>
      <c r="AX169" s="163">
        <f t="shared" si="47"/>
        <v>6.0833333333333339</v>
      </c>
    </row>
    <row r="170" spans="1:50" x14ac:dyDescent="0.6">
      <c r="A170" s="214" t="s">
        <v>945</v>
      </c>
      <c r="B170" s="13" t="s">
        <v>2150</v>
      </c>
      <c r="C170" s="219" t="s">
        <v>51</v>
      </c>
      <c r="D170" s="216" t="s">
        <v>203</v>
      </c>
      <c r="E170" s="217" t="s">
        <v>188</v>
      </c>
      <c r="F170" s="217" t="s">
        <v>160</v>
      </c>
      <c r="G170" s="218">
        <v>28301</v>
      </c>
      <c r="H170" s="217" t="s">
        <v>830</v>
      </c>
      <c r="I170" s="217" t="s">
        <v>253</v>
      </c>
      <c r="J170" s="217" t="s">
        <v>1050</v>
      </c>
      <c r="K170" s="217" t="s">
        <v>407</v>
      </c>
      <c r="L170" s="220">
        <v>1117980000</v>
      </c>
      <c r="M170" s="206">
        <v>475314000</v>
      </c>
      <c r="N170" s="206">
        <v>642666000</v>
      </c>
      <c r="O170" s="206">
        <v>1145427000</v>
      </c>
      <c r="P170" s="206">
        <v>167535000</v>
      </c>
      <c r="Q170" s="206">
        <v>168668000</v>
      </c>
      <c r="R170" s="206">
        <v>122873000</v>
      </c>
      <c r="S170" s="32">
        <v>0</v>
      </c>
      <c r="T170" s="32">
        <v>0</v>
      </c>
      <c r="U170" s="32">
        <v>0</v>
      </c>
      <c r="V170" s="266">
        <f t="shared" si="33"/>
        <v>50</v>
      </c>
      <c r="W170" s="90">
        <f t="shared" si="34"/>
        <v>0.5</v>
      </c>
      <c r="X170" s="32">
        <v>0</v>
      </c>
      <c r="Y170" s="32">
        <v>0</v>
      </c>
      <c r="Z170" s="267">
        <f t="shared" si="35"/>
        <v>0</v>
      </c>
      <c r="AA170" s="268">
        <f t="shared" si="36"/>
        <v>33.333333333333336</v>
      </c>
      <c r="AB170" s="90">
        <f t="shared" si="37"/>
        <v>0.33333333333333337</v>
      </c>
      <c r="AC170" s="32">
        <v>0</v>
      </c>
      <c r="AD170" s="32">
        <v>1</v>
      </c>
      <c r="AE170" s="252">
        <f t="shared" si="38"/>
        <v>75</v>
      </c>
      <c r="AF170" s="90">
        <f t="shared" si="39"/>
        <v>1.5</v>
      </c>
      <c r="AG170" s="32">
        <v>0</v>
      </c>
      <c r="AH170" s="247">
        <f t="shared" si="40"/>
        <v>25</v>
      </c>
      <c r="AI170" s="91">
        <f t="shared" si="41"/>
        <v>0.25</v>
      </c>
      <c r="AJ170" s="32"/>
      <c r="AK170" s="32">
        <v>1</v>
      </c>
      <c r="AL170" s="32">
        <v>0</v>
      </c>
      <c r="AM170" s="32">
        <v>0</v>
      </c>
      <c r="AN170" s="32">
        <v>0</v>
      </c>
      <c r="AO170" s="247">
        <f t="shared" si="32"/>
        <v>1</v>
      </c>
      <c r="AP170" s="247">
        <f t="shared" si="42"/>
        <v>50</v>
      </c>
      <c r="AQ170" s="90">
        <f t="shared" si="43"/>
        <v>1</v>
      </c>
      <c r="AR170" s="32">
        <v>0</v>
      </c>
      <c r="AS170" s="32">
        <v>0</v>
      </c>
      <c r="AT170" s="32">
        <v>0</v>
      </c>
      <c r="AU170" s="272" t="str">
        <f t="shared" si="44"/>
        <v>A</v>
      </c>
      <c r="AV170" s="247">
        <f t="shared" si="45"/>
        <v>100</v>
      </c>
      <c r="AW170" s="90">
        <f t="shared" si="46"/>
        <v>3</v>
      </c>
      <c r="AX170" s="163">
        <f t="shared" si="47"/>
        <v>6.5833333333333339</v>
      </c>
    </row>
    <row r="171" spans="1:50" x14ac:dyDescent="0.6">
      <c r="A171" s="214" t="s">
        <v>1731</v>
      </c>
      <c r="B171" s="13" t="s">
        <v>2151</v>
      </c>
      <c r="C171" s="219" t="s">
        <v>1732</v>
      </c>
      <c r="D171" s="14" t="s">
        <v>202</v>
      </c>
      <c r="E171" s="217" t="s">
        <v>572</v>
      </c>
      <c r="F171" s="217" t="s">
        <v>1733</v>
      </c>
      <c r="G171" s="218">
        <v>33480</v>
      </c>
      <c r="H171" s="217" t="s">
        <v>830</v>
      </c>
      <c r="I171" s="217" t="s">
        <v>1734</v>
      </c>
      <c r="J171" s="217" t="s">
        <v>1735</v>
      </c>
      <c r="K171" s="217" t="s">
        <v>690</v>
      </c>
      <c r="L171" s="220">
        <v>181493057</v>
      </c>
      <c r="M171" s="206">
        <v>70279714</v>
      </c>
      <c r="N171" s="206">
        <v>111213342</v>
      </c>
      <c r="O171" s="206">
        <v>120360819</v>
      </c>
      <c r="P171" s="206">
        <v>9391620</v>
      </c>
      <c r="Q171" s="206">
        <v>7726840</v>
      </c>
      <c r="R171" s="206">
        <v>5939402</v>
      </c>
      <c r="S171" s="32">
        <v>0</v>
      </c>
      <c r="T171" s="32">
        <v>0</v>
      </c>
      <c r="U171" s="32">
        <v>0</v>
      </c>
      <c r="V171" s="266">
        <f t="shared" si="33"/>
        <v>50</v>
      </c>
      <c r="W171" s="90">
        <f t="shared" si="34"/>
        <v>0.5</v>
      </c>
      <c r="X171" s="32">
        <v>0</v>
      </c>
      <c r="Y171" s="32">
        <v>0</v>
      </c>
      <c r="Z171" s="267">
        <f t="shared" si="35"/>
        <v>0</v>
      </c>
      <c r="AA171" s="268">
        <f t="shared" si="36"/>
        <v>33.333333333333336</v>
      </c>
      <c r="AB171" s="90">
        <f t="shared" si="37"/>
        <v>0.33333333333333337</v>
      </c>
      <c r="AC171" s="32">
        <v>0</v>
      </c>
      <c r="AD171" s="32">
        <v>0</v>
      </c>
      <c r="AE171" s="252">
        <f t="shared" si="38"/>
        <v>25</v>
      </c>
      <c r="AF171" s="90">
        <f t="shared" si="39"/>
        <v>0.5</v>
      </c>
      <c r="AG171" s="32">
        <v>0</v>
      </c>
      <c r="AH171" s="247">
        <f t="shared" si="40"/>
        <v>25</v>
      </c>
      <c r="AI171" s="91">
        <f t="shared" si="41"/>
        <v>0.25</v>
      </c>
      <c r="AJ171" s="32"/>
      <c r="AK171" s="32">
        <v>0</v>
      </c>
      <c r="AL171" s="32">
        <v>0</v>
      </c>
      <c r="AM171" s="32">
        <v>0</v>
      </c>
      <c r="AN171" s="32">
        <v>0</v>
      </c>
      <c r="AO171" s="247">
        <f t="shared" si="32"/>
        <v>0</v>
      </c>
      <c r="AP171" s="247">
        <f t="shared" si="42"/>
        <v>25</v>
      </c>
      <c r="AQ171" s="90">
        <f t="shared" si="43"/>
        <v>0.5</v>
      </c>
      <c r="AR171" s="32">
        <v>0</v>
      </c>
      <c r="AS171" s="32">
        <v>0</v>
      </c>
      <c r="AT171" s="32">
        <v>0</v>
      </c>
      <c r="AU171" s="272" t="str">
        <f t="shared" si="44"/>
        <v>A</v>
      </c>
      <c r="AV171" s="247">
        <f t="shared" si="45"/>
        <v>100</v>
      </c>
      <c r="AW171" s="90">
        <f t="shared" si="46"/>
        <v>3</v>
      </c>
      <c r="AX171" s="163">
        <f t="shared" si="47"/>
        <v>5.0833333333333339</v>
      </c>
    </row>
    <row r="172" spans="1:50" x14ac:dyDescent="0.6">
      <c r="A172" s="214" t="s">
        <v>762</v>
      </c>
      <c r="B172" s="13" t="s">
        <v>2152</v>
      </c>
      <c r="C172" s="219" t="s">
        <v>103</v>
      </c>
      <c r="D172" s="216" t="s">
        <v>191</v>
      </c>
      <c r="E172" s="217" t="s">
        <v>554</v>
      </c>
      <c r="F172" s="217" t="s">
        <v>777</v>
      </c>
      <c r="G172" s="218">
        <v>40568</v>
      </c>
      <c r="H172" s="217" t="s">
        <v>830</v>
      </c>
      <c r="I172" s="217" t="s">
        <v>1736</v>
      </c>
      <c r="J172" s="217" t="s">
        <v>1081</v>
      </c>
      <c r="K172" s="217" t="s">
        <v>690</v>
      </c>
      <c r="L172" s="220">
        <v>84677096</v>
      </c>
      <c r="M172" s="206">
        <v>21426870</v>
      </c>
      <c r="N172" s="206">
        <v>63250226</v>
      </c>
      <c r="O172" s="206">
        <v>241730925</v>
      </c>
      <c r="P172" s="206">
        <v>412795</v>
      </c>
      <c r="Q172" s="206">
        <v>2901178</v>
      </c>
      <c r="R172" s="206">
        <v>2331137</v>
      </c>
      <c r="S172" s="32">
        <v>0</v>
      </c>
      <c r="T172" s="32">
        <v>0</v>
      </c>
      <c r="U172" s="32">
        <v>0</v>
      </c>
      <c r="V172" s="266">
        <f t="shared" si="33"/>
        <v>50</v>
      </c>
      <c r="W172" s="90">
        <f t="shared" si="34"/>
        <v>0.5</v>
      </c>
      <c r="X172" s="32">
        <v>0</v>
      </c>
      <c r="Y172" s="32">
        <v>0</v>
      </c>
      <c r="Z172" s="267">
        <f t="shared" si="35"/>
        <v>0</v>
      </c>
      <c r="AA172" s="268">
        <f t="shared" si="36"/>
        <v>33.333333333333336</v>
      </c>
      <c r="AB172" s="90">
        <f t="shared" si="37"/>
        <v>0.33333333333333337</v>
      </c>
      <c r="AC172" s="32">
        <v>0</v>
      </c>
      <c r="AD172" s="32">
        <v>0</v>
      </c>
      <c r="AE172" s="252">
        <f t="shared" si="38"/>
        <v>25</v>
      </c>
      <c r="AF172" s="90">
        <f t="shared" si="39"/>
        <v>0.5</v>
      </c>
      <c r="AG172" s="32">
        <v>0</v>
      </c>
      <c r="AH172" s="247">
        <f t="shared" si="40"/>
        <v>25</v>
      </c>
      <c r="AI172" s="91">
        <f t="shared" si="41"/>
        <v>0.25</v>
      </c>
      <c r="AJ172" s="32"/>
      <c r="AK172" s="32">
        <v>0</v>
      </c>
      <c r="AL172" s="32">
        <v>0</v>
      </c>
      <c r="AM172" s="32">
        <v>0</v>
      </c>
      <c r="AN172" s="32">
        <v>0</v>
      </c>
      <c r="AO172" s="247">
        <f t="shared" si="32"/>
        <v>0</v>
      </c>
      <c r="AP172" s="247">
        <f t="shared" si="42"/>
        <v>25</v>
      </c>
      <c r="AQ172" s="90">
        <f t="shared" si="43"/>
        <v>0.5</v>
      </c>
      <c r="AR172" s="32">
        <v>0</v>
      </c>
      <c r="AS172" s="32">
        <v>0</v>
      </c>
      <c r="AT172" s="32">
        <v>0</v>
      </c>
      <c r="AU172" s="272" t="str">
        <f t="shared" si="44"/>
        <v>A</v>
      </c>
      <c r="AV172" s="247">
        <f t="shared" si="45"/>
        <v>100</v>
      </c>
      <c r="AW172" s="90">
        <f t="shared" si="46"/>
        <v>3</v>
      </c>
      <c r="AX172" s="163">
        <f t="shared" si="47"/>
        <v>5.0833333333333339</v>
      </c>
    </row>
    <row r="173" spans="1:50" x14ac:dyDescent="0.6">
      <c r="A173" s="214" t="s">
        <v>899</v>
      </c>
      <c r="B173" s="13" t="s">
        <v>2153</v>
      </c>
      <c r="C173" s="219" t="s">
        <v>862</v>
      </c>
      <c r="D173" s="216" t="s">
        <v>191</v>
      </c>
      <c r="E173" s="217" t="s">
        <v>1029</v>
      </c>
      <c r="F173" s="217" t="s">
        <v>1107</v>
      </c>
      <c r="G173" s="218">
        <v>35054</v>
      </c>
      <c r="H173" s="217" t="s">
        <v>830</v>
      </c>
      <c r="I173" s="217" t="s">
        <v>975</v>
      </c>
      <c r="J173" s="217" t="s">
        <v>1215</v>
      </c>
      <c r="K173" s="217" t="s">
        <v>690</v>
      </c>
      <c r="L173" s="220">
        <v>426922360</v>
      </c>
      <c r="M173" s="206">
        <v>43331711</v>
      </c>
      <c r="N173" s="206">
        <v>383590648</v>
      </c>
      <c r="O173" s="206">
        <v>226067372</v>
      </c>
      <c r="P173" s="206">
        <v>21433375</v>
      </c>
      <c r="Q173" s="206">
        <v>24456144</v>
      </c>
      <c r="R173" s="206">
        <v>20262547</v>
      </c>
      <c r="S173" s="32">
        <v>0</v>
      </c>
      <c r="T173" s="32">
        <v>0</v>
      </c>
      <c r="U173" s="32">
        <v>0</v>
      </c>
      <c r="V173" s="266">
        <f t="shared" si="33"/>
        <v>50</v>
      </c>
      <c r="W173" s="90">
        <f t="shared" si="34"/>
        <v>0.5</v>
      </c>
      <c r="X173" s="32">
        <v>0</v>
      </c>
      <c r="Y173" s="32">
        <v>0</v>
      </c>
      <c r="Z173" s="267">
        <f t="shared" si="35"/>
        <v>0</v>
      </c>
      <c r="AA173" s="268">
        <f t="shared" si="36"/>
        <v>33.333333333333336</v>
      </c>
      <c r="AB173" s="90">
        <f t="shared" si="37"/>
        <v>0.33333333333333337</v>
      </c>
      <c r="AC173" s="32">
        <v>0</v>
      </c>
      <c r="AD173" s="32">
        <v>1</v>
      </c>
      <c r="AE173" s="252">
        <f t="shared" si="38"/>
        <v>75</v>
      </c>
      <c r="AF173" s="90">
        <f t="shared" si="39"/>
        <v>1.5</v>
      </c>
      <c r="AG173" s="32">
        <v>0</v>
      </c>
      <c r="AH173" s="247">
        <f t="shared" si="40"/>
        <v>25</v>
      </c>
      <c r="AI173" s="91">
        <f t="shared" si="41"/>
        <v>0.25</v>
      </c>
      <c r="AJ173" s="32"/>
      <c r="AK173" s="32">
        <v>0</v>
      </c>
      <c r="AL173" s="32">
        <v>0</v>
      </c>
      <c r="AM173" s="32">
        <v>0</v>
      </c>
      <c r="AN173" s="32">
        <v>0</v>
      </c>
      <c r="AO173" s="247">
        <f t="shared" si="32"/>
        <v>0</v>
      </c>
      <c r="AP173" s="247">
        <f t="shared" si="42"/>
        <v>25</v>
      </c>
      <c r="AQ173" s="90">
        <f t="shared" si="43"/>
        <v>0.5</v>
      </c>
      <c r="AR173" s="32">
        <v>0</v>
      </c>
      <c r="AS173" s="32">
        <v>0</v>
      </c>
      <c r="AT173" s="32">
        <v>0</v>
      </c>
      <c r="AU173" s="272" t="str">
        <f t="shared" si="44"/>
        <v>A</v>
      </c>
      <c r="AV173" s="247">
        <f t="shared" si="45"/>
        <v>100</v>
      </c>
      <c r="AW173" s="90">
        <f t="shared" si="46"/>
        <v>3</v>
      </c>
      <c r="AX173" s="163">
        <f t="shared" si="47"/>
        <v>6.0833333333333339</v>
      </c>
    </row>
    <row r="174" spans="1:50" x14ac:dyDescent="0.6">
      <c r="A174" s="214" t="s">
        <v>881</v>
      </c>
      <c r="B174" s="13" t="s">
        <v>2154</v>
      </c>
      <c r="C174" s="219" t="s">
        <v>547</v>
      </c>
      <c r="D174" s="216" t="s">
        <v>191</v>
      </c>
      <c r="E174" s="217" t="s">
        <v>403</v>
      </c>
      <c r="F174" s="217" t="s">
        <v>159</v>
      </c>
      <c r="G174" s="218">
        <v>27941</v>
      </c>
      <c r="H174" s="217" t="s">
        <v>830</v>
      </c>
      <c r="I174" s="217" t="s">
        <v>800</v>
      </c>
      <c r="J174" s="217" t="s">
        <v>1077</v>
      </c>
      <c r="K174" s="217" t="s">
        <v>91</v>
      </c>
      <c r="L174" s="220">
        <v>692320507</v>
      </c>
      <c r="M174" s="206">
        <v>130333252</v>
      </c>
      <c r="N174" s="206">
        <v>561987255</v>
      </c>
      <c r="O174" s="206">
        <v>383845600</v>
      </c>
      <c r="P174" s="206">
        <v>10768868</v>
      </c>
      <c r="Q174" s="206">
        <v>19845163</v>
      </c>
      <c r="R174" s="206">
        <v>15665849</v>
      </c>
      <c r="S174" s="32">
        <v>0</v>
      </c>
      <c r="T174" s="32">
        <v>0</v>
      </c>
      <c r="U174" s="32">
        <v>0</v>
      </c>
      <c r="V174" s="266">
        <f t="shared" si="33"/>
        <v>50</v>
      </c>
      <c r="W174" s="90">
        <f t="shared" si="34"/>
        <v>0.5</v>
      </c>
      <c r="X174" s="32">
        <v>0</v>
      </c>
      <c r="Y174" s="32">
        <v>0</v>
      </c>
      <c r="Z174" s="267">
        <f t="shared" si="35"/>
        <v>0</v>
      </c>
      <c r="AA174" s="268">
        <f t="shared" si="36"/>
        <v>33.333333333333336</v>
      </c>
      <c r="AB174" s="90">
        <f t="shared" si="37"/>
        <v>0.33333333333333337</v>
      </c>
      <c r="AC174" s="32">
        <v>0</v>
      </c>
      <c r="AD174" s="32">
        <v>0</v>
      </c>
      <c r="AE174" s="252">
        <f t="shared" si="38"/>
        <v>25</v>
      </c>
      <c r="AF174" s="90">
        <f t="shared" si="39"/>
        <v>0.5</v>
      </c>
      <c r="AG174" s="32">
        <v>0</v>
      </c>
      <c r="AH174" s="247">
        <f t="shared" si="40"/>
        <v>25</v>
      </c>
      <c r="AI174" s="91">
        <f t="shared" si="41"/>
        <v>0.25</v>
      </c>
      <c r="AJ174" s="32"/>
      <c r="AK174" s="32">
        <v>0</v>
      </c>
      <c r="AL174" s="32">
        <v>0</v>
      </c>
      <c r="AM174" s="32">
        <v>0</v>
      </c>
      <c r="AN174" s="32">
        <v>0</v>
      </c>
      <c r="AO174" s="247">
        <f t="shared" si="32"/>
        <v>0</v>
      </c>
      <c r="AP174" s="247">
        <f t="shared" si="42"/>
        <v>25</v>
      </c>
      <c r="AQ174" s="90">
        <f t="shared" si="43"/>
        <v>0.5</v>
      </c>
      <c r="AR174" s="32">
        <v>0</v>
      </c>
      <c r="AS174" s="32">
        <v>0</v>
      </c>
      <c r="AT174" s="32">
        <v>0</v>
      </c>
      <c r="AU174" s="272" t="str">
        <f t="shared" si="44"/>
        <v>A</v>
      </c>
      <c r="AV174" s="247">
        <f t="shared" si="45"/>
        <v>100</v>
      </c>
      <c r="AW174" s="90">
        <f t="shared" si="46"/>
        <v>3</v>
      </c>
      <c r="AX174" s="163">
        <f t="shared" si="47"/>
        <v>5.0833333333333339</v>
      </c>
    </row>
    <row r="175" spans="1:50" x14ac:dyDescent="0.6">
      <c r="A175" s="214" t="s">
        <v>330</v>
      </c>
      <c r="B175" s="13" t="s">
        <v>2155</v>
      </c>
      <c r="C175" s="219" t="s">
        <v>78</v>
      </c>
      <c r="D175" s="216" t="s">
        <v>285</v>
      </c>
      <c r="E175" s="217" t="s">
        <v>171</v>
      </c>
      <c r="F175" s="217" t="s">
        <v>1205</v>
      </c>
      <c r="G175" s="218">
        <v>27750</v>
      </c>
      <c r="H175" s="217" t="s">
        <v>755</v>
      </c>
      <c r="I175" s="217" t="s">
        <v>232</v>
      </c>
      <c r="J175" s="217" t="s">
        <v>1093</v>
      </c>
      <c r="K175" s="217" t="s">
        <v>91</v>
      </c>
      <c r="L175" s="220">
        <v>993336394</v>
      </c>
      <c r="M175" s="206">
        <v>651630168</v>
      </c>
      <c r="N175" s="206">
        <v>341706226</v>
      </c>
      <c r="O175" s="206">
        <v>1463883744</v>
      </c>
      <c r="P175" s="206">
        <v>144479752</v>
      </c>
      <c r="Q175" s="206">
        <v>118763976</v>
      </c>
      <c r="R175" s="206">
        <v>84457579</v>
      </c>
      <c r="S175" s="32">
        <v>0</v>
      </c>
      <c r="T175" s="32">
        <v>0</v>
      </c>
      <c r="U175" s="32">
        <v>0</v>
      </c>
      <c r="V175" s="266">
        <f t="shared" si="33"/>
        <v>50</v>
      </c>
      <c r="W175" s="90">
        <f t="shared" si="34"/>
        <v>0.5</v>
      </c>
      <c r="X175" s="32">
        <v>0</v>
      </c>
      <c r="Y175" s="32">
        <v>0</v>
      </c>
      <c r="Z175" s="267">
        <f t="shared" si="35"/>
        <v>0</v>
      </c>
      <c r="AA175" s="268">
        <f t="shared" si="36"/>
        <v>33.333333333333336</v>
      </c>
      <c r="AB175" s="90">
        <f t="shared" si="37"/>
        <v>0.33333333333333337</v>
      </c>
      <c r="AC175" s="32">
        <v>0</v>
      </c>
      <c r="AD175" s="32">
        <v>0</v>
      </c>
      <c r="AE175" s="252">
        <f t="shared" si="38"/>
        <v>25</v>
      </c>
      <c r="AF175" s="90">
        <f t="shared" si="39"/>
        <v>0.5</v>
      </c>
      <c r="AG175" s="32">
        <v>0</v>
      </c>
      <c r="AH175" s="247">
        <f t="shared" si="40"/>
        <v>25</v>
      </c>
      <c r="AI175" s="91">
        <f t="shared" si="41"/>
        <v>0.25</v>
      </c>
      <c r="AJ175" s="32"/>
      <c r="AK175" s="32">
        <v>0</v>
      </c>
      <c r="AL175" s="32">
        <v>0</v>
      </c>
      <c r="AM175" s="32">
        <v>0</v>
      </c>
      <c r="AN175" s="32">
        <v>0</v>
      </c>
      <c r="AO175" s="247">
        <f t="shared" si="32"/>
        <v>0</v>
      </c>
      <c r="AP175" s="247">
        <f t="shared" si="42"/>
        <v>25</v>
      </c>
      <c r="AQ175" s="90">
        <f t="shared" si="43"/>
        <v>0.5</v>
      </c>
      <c r="AR175" s="32">
        <v>0</v>
      </c>
      <c r="AS175" s="32">
        <v>0</v>
      </c>
      <c r="AT175" s="32">
        <v>0</v>
      </c>
      <c r="AU175" s="272" t="str">
        <f t="shared" si="44"/>
        <v>A</v>
      </c>
      <c r="AV175" s="247">
        <f t="shared" si="45"/>
        <v>100</v>
      </c>
      <c r="AW175" s="90">
        <f t="shared" si="46"/>
        <v>3</v>
      </c>
      <c r="AX175" s="163">
        <f t="shared" si="47"/>
        <v>5.0833333333333339</v>
      </c>
    </row>
    <row r="176" spans="1:50" x14ac:dyDescent="0.6">
      <c r="A176" s="214" t="s">
        <v>707</v>
      </c>
      <c r="B176" s="13" t="s">
        <v>2156</v>
      </c>
      <c r="C176" s="219" t="s">
        <v>4</v>
      </c>
      <c r="D176" s="216" t="s">
        <v>285</v>
      </c>
      <c r="E176" s="217" t="s">
        <v>504</v>
      </c>
      <c r="F176" s="217" t="s">
        <v>594</v>
      </c>
      <c r="G176" s="218">
        <v>31278</v>
      </c>
      <c r="H176" s="217" t="s">
        <v>830</v>
      </c>
      <c r="I176" s="217" t="s">
        <v>798</v>
      </c>
      <c r="J176" s="217" t="s">
        <v>1199</v>
      </c>
      <c r="K176" s="217" t="s">
        <v>91</v>
      </c>
      <c r="L176" s="220">
        <v>8345250728</v>
      </c>
      <c r="M176" s="206">
        <v>4385916580</v>
      </c>
      <c r="N176" s="206">
        <v>3959334148</v>
      </c>
      <c r="O176" s="206">
        <v>1865707316</v>
      </c>
      <c r="P176" s="206">
        <v>348026286</v>
      </c>
      <c r="Q176" s="206">
        <v>294941948</v>
      </c>
      <c r="R176" s="206">
        <v>247588341</v>
      </c>
      <c r="S176" s="32">
        <v>1</v>
      </c>
      <c r="T176" s="32">
        <v>0</v>
      </c>
      <c r="U176" s="32">
        <v>0</v>
      </c>
      <c r="V176" s="266">
        <f t="shared" si="33"/>
        <v>100</v>
      </c>
      <c r="W176" s="90">
        <f t="shared" si="34"/>
        <v>1</v>
      </c>
      <c r="X176" s="32">
        <v>0</v>
      </c>
      <c r="Y176" s="32">
        <v>0</v>
      </c>
      <c r="Z176" s="267">
        <f t="shared" si="35"/>
        <v>0</v>
      </c>
      <c r="AA176" s="268">
        <f t="shared" si="36"/>
        <v>33.333333333333336</v>
      </c>
      <c r="AB176" s="90">
        <f t="shared" si="37"/>
        <v>0.33333333333333337</v>
      </c>
      <c r="AC176" s="32">
        <v>0</v>
      </c>
      <c r="AD176" s="32">
        <v>1</v>
      </c>
      <c r="AE176" s="252">
        <f t="shared" si="38"/>
        <v>75</v>
      </c>
      <c r="AF176" s="90">
        <f t="shared" si="39"/>
        <v>1.5</v>
      </c>
      <c r="AG176" s="32">
        <v>3</v>
      </c>
      <c r="AH176" s="247">
        <f t="shared" si="40"/>
        <v>100</v>
      </c>
      <c r="AI176" s="91">
        <f t="shared" si="41"/>
        <v>1</v>
      </c>
      <c r="AJ176" s="32"/>
      <c r="AK176" s="32">
        <v>0</v>
      </c>
      <c r="AL176" s="32">
        <v>0</v>
      </c>
      <c r="AM176" s="32">
        <v>0</v>
      </c>
      <c r="AN176" s="32">
        <v>0</v>
      </c>
      <c r="AO176" s="247">
        <f t="shared" si="32"/>
        <v>0</v>
      </c>
      <c r="AP176" s="247">
        <f t="shared" si="42"/>
        <v>25</v>
      </c>
      <c r="AQ176" s="90">
        <f t="shared" si="43"/>
        <v>0.5</v>
      </c>
      <c r="AR176" s="32">
        <v>0</v>
      </c>
      <c r="AS176" s="32">
        <v>0</v>
      </c>
      <c r="AT176" s="32">
        <v>0</v>
      </c>
      <c r="AU176" s="272" t="str">
        <f t="shared" si="44"/>
        <v>A</v>
      </c>
      <c r="AV176" s="247">
        <f t="shared" si="45"/>
        <v>100</v>
      </c>
      <c r="AW176" s="90">
        <f t="shared" si="46"/>
        <v>3</v>
      </c>
      <c r="AX176" s="163">
        <f t="shared" si="47"/>
        <v>7.3333333333333339</v>
      </c>
    </row>
    <row r="177" spans="1:50" x14ac:dyDescent="0.6">
      <c r="A177" s="214" t="s">
        <v>231</v>
      </c>
      <c r="B177" s="13" t="s">
        <v>2157</v>
      </c>
      <c r="C177" s="219" t="s">
        <v>413</v>
      </c>
      <c r="D177" s="216" t="s">
        <v>285</v>
      </c>
      <c r="E177" s="217" t="s">
        <v>1039</v>
      </c>
      <c r="F177" s="217" t="s">
        <v>1072</v>
      </c>
      <c r="G177" s="218">
        <v>40738</v>
      </c>
      <c r="H177" s="217" t="s">
        <v>830</v>
      </c>
      <c r="I177" s="217" t="s">
        <v>1737</v>
      </c>
      <c r="J177" s="217" t="s">
        <v>1187</v>
      </c>
      <c r="K177" s="217" t="s">
        <v>91</v>
      </c>
      <c r="L177" s="220">
        <v>1134250211</v>
      </c>
      <c r="M177" s="206">
        <v>421706641</v>
      </c>
      <c r="N177" s="206">
        <v>712543570</v>
      </c>
      <c r="O177" s="206">
        <v>1430631262</v>
      </c>
      <c r="P177" s="206">
        <v>99554619</v>
      </c>
      <c r="Q177" s="206">
        <v>116211296</v>
      </c>
      <c r="R177" s="206">
        <v>89493182</v>
      </c>
      <c r="S177" s="32">
        <v>1</v>
      </c>
      <c r="T177" s="32">
        <v>1</v>
      </c>
      <c r="U177" s="32">
        <v>0</v>
      </c>
      <c r="V177" s="266">
        <f t="shared" si="33"/>
        <v>100</v>
      </c>
      <c r="W177" s="90">
        <f t="shared" si="34"/>
        <v>1</v>
      </c>
      <c r="X177" s="32">
        <v>0</v>
      </c>
      <c r="Y177" s="32">
        <v>0</v>
      </c>
      <c r="Z177" s="267">
        <f t="shared" si="35"/>
        <v>0</v>
      </c>
      <c r="AA177" s="268">
        <f t="shared" si="36"/>
        <v>33.333333333333336</v>
      </c>
      <c r="AB177" s="90">
        <f t="shared" si="37"/>
        <v>0.33333333333333337</v>
      </c>
      <c r="AC177" s="32">
        <v>0</v>
      </c>
      <c r="AD177" s="32">
        <v>1</v>
      </c>
      <c r="AE177" s="252">
        <f t="shared" si="38"/>
        <v>75</v>
      </c>
      <c r="AF177" s="90">
        <f t="shared" si="39"/>
        <v>1.5</v>
      </c>
      <c r="AG177" s="32">
        <v>1</v>
      </c>
      <c r="AH177" s="247">
        <f t="shared" si="40"/>
        <v>50</v>
      </c>
      <c r="AI177" s="91">
        <f t="shared" si="41"/>
        <v>0.5</v>
      </c>
      <c r="AJ177" s="32"/>
      <c r="AK177" s="32">
        <v>0</v>
      </c>
      <c r="AL177" s="32">
        <v>0</v>
      </c>
      <c r="AM177" s="32">
        <v>0</v>
      </c>
      <c r="AN177" s="32">
        <v>0</v>
      </c>
      <c r="AO177" s="247">
        <f t="shared" si="32"/>
        <v>0</v>
      </c>
      <c r="AP177" s="247">
        <f t="shared" si="42"/>
        <v>25</v>
      </c>
      <c r="AQ177" s="90">
        <f t="shared" si="43"/>
        <v>0.5</v>
      </c>
      <c r="AR177" s="32">
        <v>0</v>
      </c>
      <c r="AS177" s="32">
        <v>0</v>
      </c>
      <c r="AT177" s="32">
        <v>0</v>
      </c>
      <c r="AU177" s="272" t="str">
        <f t="shared" si="44"/>
        <v>A</v>
      </c>
      <c r="AV177" s="247">
        <f t="shared" si="45"/>
        <v>100</v>
      </c>
      <c r="AW177" s="90">
        <f t="shared" si="46"/>
        <v>3</v>
      </c>
      <c r="AX177" s="163">
        <f t="shared" si="47"/>
        <v>6.8333333333333339</v>
      </c>
    </row>
    <row r="178" spans="1:50" x14ac:dyDescent="0.6">
      <c r="A178" s="214" t="s">
        <v>1738</v>
      </c>
      <c r="B178" s="13" t="s">
        <v>2158</v>
      </c>
      <c r="C178" s="219" t="s">
        <v>374</v>
      </c>
      <c r="D178" s="216" t="s">
        <v>191</v>
      </c>
      <c r="E178" s="217" t="s">
        <v>190</v>
      </c>
      <c r="F178" s="217" t="s">
        <v>125</v>
      </c>
      <c r="G178" s="218">
        <v>28122</v>
      </c>
      <c r="H178" s="217" t="s">
        <v>830</v>
      </c>
      <c r="I178" s="217" t="s">
        <v>251</v>
      </c>
      <c r="J178" s="217" t="s">
        <v>287</v>
      </c>
      <c r="K178" s="217" t="s">
        <v>91</v>
      </c>
      <c r="L178" s="220">
        <v>385696451</v>
      </c>
      <c r="M178" s="206">
        <v>57970889</v>
      </c>
      <c r="N178" s="206">
        <v>327725561</v>
      </c>
      <c r="O178" s="206">
        <v>201337780</v>
      </c>
      <c r="P178" s="206">
        <v>7473489</v>
      </c>
      <c r="Q178" s="206">
        <v>11002724</v>
      </c>
      <c r="R178" s="206">
        <v>11593733</v>
      </c>
      <c r="S178" s="32">
        <v>0</v>
      </c>
      <c r="T178" s="32">
        <v>0</v>
      </c>
      <c r="U178" s="32">
        <v>0</v>
      </c>
      <c r="V178" s="266">
        <f t="shared" si="33"/>
        <v>50</v>
      </c>
      <c r="W178" s="90">
        <f t="shared" si="34"/>
        <v>0.5</v>
      </c>
      <c r="X178" s="32">
        <v>0</v>
      </c>
      <c r="Y178" s="32">
        <v>0</v>
      </c>
      <c r="Z178" s="267">
        <f t="shared" si="35"/>
        <v>0</v>
      </c>
      <c r="AA178" s="268">
        <f t="shared" si="36"/>
        <v>33.333333333333336</v>
      </c>
      <c r="AB178" s="90">
        <f t="shared" si="37"/>
        <v>0.33333333333333337</v>
      </c>
      <c r="AC178" s="32">
        <v>0</v>
      </c>
      <c r="AD178" s="32">
        <v>0</v>
      </c>
      <c r="AE178" s="252">
        <f t="shared" si="38"/>
        <v>25</v>
      </c>
      <c r="AF178" s="90">
        <f t="shared" si="39"/>
        <v>0.5</v>
      </c>
      <c r="AG178" s="32">
        <v>0</v>
      </c>
      <c r="AH178" s="247">
        <f t="shared" si="40"/>
        <v>25</v>
      </c>
      <c r="AI178" s="91">
        <f t="shared" si="41"/>
        <v>0.25</v>
      </c>
      <c r="AJ178" s="32"/>
      <c r="AK178" s="32">
        <v>0</v>
      </c>
      <c r="AL178" s="32">
        <v>0</v>
      </c>
      <c r="AM178" s="32">
        <v>0</v>
      </c>
      <c r="AN178" s="32">
        <v>0</v>
      </c>
      <c r="AO178" s="247">
        <f t="shared" si="32"/>
        <v>0</v>
      </c>
      <c r="AP178" s="247">
        <f t="shared" si="42"/>
        <v>25</v>
      </c>
      <c r="AQ178" s="90">
        <f t="shared" si="43"/>
        <v>0.5</v>
      </c>
      <c r="AR178" s="32">
        <v>0</v>
      </c>
      <c r="AS178" s="32">
        <v>0</v>
      </c>
      <c r="AT178" s="32">
        <v>0</v>
      </c>
      <c r="AU178" s="272" t="str">
        <f t="shared" si="44"/>
        <v>A</v>
      </c>
      <c r="AV178" s="247">
        <f t="shared" si="45"/>
        <v>100</v>
      </c>
      <c r="AW178" s="90">
        <f t="shared" si="46"/>
        <v>3</v>
      </c>
      <c r="AX178" s="163">
        <f t="shared" si="47"/>
        <v>5.0833333333333339</v>
      </c>
    </row>
    <row r="179" spans="1:50" x14ac:dyDescent="0.6">
      <c r="A179" s="214" t="s">
        <v>414</v>
      </c>
      <c r="B179" s="13" t="s">
        <v>2159</v>
      </c>
      <c r="C179" s="219" t="s">
        <v>411</v>
      </c>
      <c r="D179" s="221" t="s">
        <v>350</v>
      </c>
      <c r="E179" s="217" t="s">
        <v>179</v>
      </c>
      <c r="F179" s="217" t="s">
        <v>808</v>
      </c>
      <c r="G179" s="218">
        <v>32013</v>
      </c>
      <c r="H179" s="217" t="s">
        <v>746</v>
      </c>
      <c r="I179" s="217" t="s">
        <v>266</v>
      </c>
      <c r="J179" s="217" t="s">
        <v>1192</v>
      </c>
      <c r="K179" s="217" t="s">
        <v>91</v>
      </c>
      <c r="L179" s="220">
        <v>10400472991</v>
      </c>
      <c r="M179" s="206">
        <v>9031560866</v>
      </c>
      <c r="N179" s="206">
        <v>1368912125</v>
      </c>
      <c r="O179" s="206">
        <v>2043938653</v>
      </c>
      <c r="P179" s="206">
        <v>111260253</v>
      </c>
      <c r="Q179" s="206">
        <v>121787342</v>
      </c>
      <c r="R179" s="206">
        <v>93015535</v>
      </c>
      <c r="S179" s="32">
        <v>1</v>
      </c>
      <c r="T179" s="32">
        <v>0</v>
      </c>
      <c r="U179" s="32">
        <v>0</v>
      </c>
      <c r="V179" s="266">
        <f t="shared" si="33"/>
        <v>100</v>
      </c>
      <c r="W179" s="90">
        <f t="shared" si="34"/>
        <v>1</v>
      </c>
      <c r="X179" s="32">
        <v>0</v>
      </c>
      <c r="Y179" s="32">
        <v>0</v>
      </c>
      <c r="Z179" s="267">
        <f t="shared" si="35"/>
        <v>0</v>
      </c>
      <c r="AA179" s="268">
        <f t="shared" si="36"/>
        <v>33.333333333333336</v>
      </c>
      <c r="AB179" s="90">
        <f t="shared" si="37"/>
        <v>0.33333333333333337</v>
      </c>
      <c r="AC179" s="32">
        <v>0</v>
      </c>
      <c r="AD179" s="32">
        <v>0</v>
      </c>
      <c r="AE179" s="252">
        <f t="shared" si="38"/>
        <v>25</v>
      </c>
      <c r="AF179" s="90">
        <f t="shared" si="39"/>
        <v>0.5</v>
      </c>
      <c r="AG179" s="32">
        <v>0</v>
      </c>
      <c r="AH179" s="247">
        <f t="shared" si="40"/>
        <v>25</v>
      </c>
      <c r="AI179" s="91">
        <f t="shared" si="41"/>
        <v>0.25</v>
      </c>
      <c r="AJ179" s="32"/>
      <c r="AK179" s="32">
        <v>0</v>
      </c>
      <c r="AL179" s="32">
        <v>0</v>
      </c>
      <c r="AM179" s="32">
        <v>0</v>
      </c>
      <c r="AN179" s="32">
        <v>0</v>
      </c>
      <c r="AO179" s="247">
        <f t="shared" si="32"/>
        <v>0</v>
      </c>
      <c r="AP179" s="247">
        <f t="shared" si="42"/>
        <v>25</v>
      </c>
      <c r="AQ179" s="90">
        <f t="shared" si="43"/>
        <v>0.5</v>
      </c>
      <c r="AR179" s="32">
        <v>0</v>
      </c>
      <c r="AS179" s="32">
        <v>0</v>
      </c>
      <c r="AT179" s="32">
        <v>0</v>
      </c>
      <c r="AU179" s="272" t="str">
        <f t="shared" si="44"/>
        <v>A</v>
      </c>
      <c r="AV179" s="247">
        <f t="shared" si="45"/>
        <v>100</v>
      </c>
      <c r="AW179" s="90">
        <f t="shared" si="46"/>
        <v>3</v>
      </c>
      <c r="AX179" s="163">
        <v>0</v>
      </c>
    </row>
    <row r="180" spans="1:50" x14ac:dyDescent="0.6">
      <c r="A180" s="214" t="s">
        <v>9</v>
      </c>
      <c r="B180" s="13" t="s">
        <v>2160</v>
      </c>
      <c r="C180" s="219" t="s">
        <v>505</v>
      </c>
      <c r="D180" s="216" t="s">
        <v>285</v>
      </c>
      <c r="E180" s="217" t="s">
        <v>999</v>
      </c>
      <c r="F180" s="217" t="s">
        <v>165</v>
      </c>
      <c r="G180" s="218">
        <v>27667</v>
      </c>
      <c r="H180" s="217" t="s">
        <v>830</v>
      </c>
      <c r="I180" s="217" t="s">
        <v>754</v>
      </c>
      <c r="J180" s="217" t="s">
        <v>1089</v>
      </c>
      <c r="K180" s="217" t="s">
        <v>425</v>
      </c>
      <c r="L180" s="220">
        <v>152880655</v>
      </c>
      <c r="M180" s="206">
        <v>70989813</v>
      </c>
      <c r="N180" s="206">
        <v>81890843</v>
      </c>
      <c r="O180" s="206">
        <v>202728990</v>
      </c>
      <c r="P180" s="206">
        <v>2828954</v>
      </c>
      <c r="Q180" s="206">
        <v>1737125</v>
      </c>
      <c r="R180" s="206">
        <v>1041713</v>
      </c>
      <c r="S180" s="32">
        <v>0</v>
      </c>
      <c r="T180" s="32">
        <v>0</v>
      </c>
      <c r="U180" s="32">
        <v>0</v>
      </c>
      <c r="V180" s="266">
        <f t="shared" si="33"/>
        <v>50</v>
      </c>
      <c r="W180" s="90">
        <f t="shared" si="34"/>
        <v>0.5</v>
      </c>
      <c r="X180" s="32">
        <v>0</v>
      </c>
      <c r="Y180" s="32">
        <v>1</v>
      </c>
      <c r="Z180" s="267">
        <f t="shared" si="35"/>
        <v>1</v>
      </c>
      <c r="AA180" s="268">
        <f t="shared" si="36"/>
        <v>66.666666666666671</v>
      </c>
      <c r="AB180" s="90">
        <f t="shared" si="37"/>
        <v>0.66666666666666674</v>
      </c>
      <c r="AC180" s="32">
        <v>0</v>
      </c>
      <c r="AD180" s="32">
        <v>0</v>
      </c>
      <c r="AE180" s="252">
        <f t="shared" si="38"/>
        <v>25</v>
      </c>
      <c r="AF180" s="90">
        <f t="shared" si="39"/>
        <v>0.5</v>
      </c>
      <c r="AG180" s="32">
        <v>0</v>
      </c>
      <c r="AH180" s="247">
        <f t="shared" si="40"/>
        <v>25</v>
      </c>
      <c r="AI180" s="91">
        <f t="shared" si="41"/>
        <v>0.25</v>
      </c>
      <c r="AJ180" s="32"/>
      <c r="AK180" s="32">
        <v>0</v>
      </c>
      <c r="AL180" s="32">
        <v>0</v>
      </c>
      <c r="AM180" s="32">
        <v>0</v>
      </c>
      <c r="AN180" s="32">
        <v>0</v>
      </c>
      <c r="AO180" s="247">
        <f t="shared" si="32"/>
        <v>0</v>
      </c>
      <c r="AP180" s="247">
        <f t="shared" si="42"/>
        <v>25</v>
      </c>
      <c r="AQ180" s="90">
        <f t="shared" si="43"/>
        <v>0.5</v>
      </c>
      <c r="AR180" s="32">
        <v>0</v>
      </c>
      <c r="AS180" s="32">
        <v>0</v>
      </c>
      <c r="AT180" s="32">
        <v>0</v>
      </c>
      <c r="AU180" s="272" t="str">
        <f t="shared" si="44"/>
        <v>A</v>
      </c>
      <c r="AV180" s="247">
        <f t="shared" si="45"/>
        <v>100</v>
      </c>
      <c r="AW180" s="90">
        <f t="shared" si="46"/>
        <v>3</v>
      </c>
      <c r="AX180" s="163">
        <f t="shared" si="47"/>
        <v>5.416666666666667</v>
      </c>
    </row>
    <row r="181" spans="1:50" x14ac:dyDescent="0.6">
      <c r="A181" s="214" t="s">
        <v>821</v>
      </c>
      <c r="B181" s="13" t="s">
        <v>2161</v>
      </c>
      <c r="C181" s="219" t="s">
        <v>86</v>
      </c>
      <c r="D181" s="216" t="s">
        <v>285</v>
      </c>
      <c r="E181" s="217" t="s">
        <v>999</v>
      </c>
      <c r="F181" s="217" t="s">
        <v>153</v>
      </c>
      <c r="G181" s="218">
        <v>33277</v>
      </c>
      <c r="H181" s="217" t="s">
        <v>830</v>
      </c>
      <c r="I181" s="217" t="s">
        <v>787</v>
      </c>
      <c r="J181" s="217" t="s">
        <v>1245</v>
      </c>
      <c r="K181" s="217" t="s">
        <v>91</v>
      </c>
      <c r="L181" s="220">
        <v>131824972</v>
      </c>
      <c r="M181" s="206">
        <v>27592356</v>
      </c>
      <c r="N181" s="206">
        <v>104232616</v>
      </c>
      <c r="O181" s="206">
        <v>117958170</v>
      </c>
      <c r="P181" s="206">
        <v>9678013</v>
      </c>
      <c r="Q181" s="206">
        <v>10111802</v>
      </c>
      <c r="R181" s="206">
        <v>8289001</v>
      </c>
      <c r="S181" s="32">
        <v>0</v>
      </c>
      <c r="T181" s="32">
        <v>0</v>
      </c>
      <c r="U181" s="32">
        <v>0</v>
      </c>
      <c r="V181" s="266">
        <f t="shared" si="33"/>
        <v>50</v>
      </c>
      <c r="W181" s="90">
        <f t="shared" si="34"/>
        <v>0.5</v>
      </c>
      <c r="X181" s="32">
        <v>0</v>
      </c>
      <c r="Y181" s="32">
        <v>0</v>
      </c>
      <c r="Z181" s="267">
        <f t="shared" si="35"/>
        <v>0</v>
      </c>
      <c r="AA181" s="268">
        <f t="shared" si="36"/>
        <v>33.333333333333336</v>
      </c>
      <c r="AB181" s="90">
        <f t="shared" si="37"/>
        <v>0.33333333333333337</v>
      </c>
      <c r="AC181" s="32">
        <v>0</v>
      </c>
      <c r="AD181" s="32">
        <v>0</v>
      </c>
      <c r="AE181" s="252">
        <f t="shared" si="38"/>
        <v>25</v>
      </c>
      <c r="AF181" s="90">
        <f t="shared" si="39"/>
        <v>0.5</v>
      </c>
      <c r="AG181" s="32">
        <v>0</v>
      </c>
      <c r="AH181" s="247">
        <f t="shared" si="40"/>
        <v>25</v>
      </c>
      <c r="AI181" s="91">
        <f t="shared" si="41"/>
        <v>0.25</v>
      </c>
      <c r="AJ181" s="32"/>
      <c r="AK181" s="32">
        <v>1</v>
      </c>
      <c r="AL181" s="32">
        <v>0</v>
      </c>
      <c r="AM181" s="32">
        <v>0</v>
      </c>
      <c r="AN181" s="32">
        <v>0</v>
      </c>
      <c r="AO181" s="247">
        <f t="shared" si="32"/>
        <v>1</v>
      </c>
      <c r="AP181" s="247">
        <f t="shared" si="42"/>
        <v>50</v>
      </c>
      <c r="AQ181" s="90">
        <f t="shared" si="43"/>
        <v>1</v>
      </c>
      <c r="AR181" s="32">
        <v>0</v>
      </c>
      <c r="AS181" s="32">
        <v>0</v>
      </c>
      <c r="AT181" s="32">
        <v>0</v>
      </c>
      <c r="AU181" s="272" t="str">
        <f t="shared" si="44"/>
        <v>A</v>
      </c>
      <c r="AV181" s="247">
        <f t="shared" si="45"/>
        <v>100</v>
      </c>
      <c r="AW181" s="90">
        <f t="shared" si="46"/>
        <v>3</v>
      </c>
      <c r="AX181" s="163">
        <f t="shared" si="47"/>
        <v>5.5833333333333339</v>
      </c>
    </row>
    <row r="182" spans="1:50" x14ac:dyDescent="0.6">
      <c r="A182" s="214" t="s">
        <v>553</v>
      </c>
      <c r="B182" s="13" t="s">
        <v>2162</v>
      </c>
      <c r="C182" s="219" t="s">
        <v>47</v>
      </c>
      <c r="D182" s="216" t="s">
        <v>203</v>
      </c>
      <c r="E182" s="217" t="s">
        <v>1179</v>
      </c>
      <c r="F182" s="217" t="s">
        <v>211</v>
      </c>
      <c r="G182" s="218">
        <v>27517</v>
      </c>
      <c r="H182" s="217" t="s">
        <v>830</v>
      </c>
      <c r="I182" s="217" t="s">
        <v>973</v>
      </c>
      <c r="J182" s="217" t="s">
        <v>381</v>
      </c>
      <c r="K182" s="217" t="s">
        <v>91</v>
      </c>
      <c r="L182" s="220">
        <v>3324252824</v>
      </c>
      <c r="M182" s="206">
        <v>1744378392</v>
      </c>
      <c r="N182" s="206">
        <v>1579874432</v>
      </c>
      <c r="O182" s="206">
        <v>1329446841</v>
      </c>
      <c r="P182" s="206">
        <v>132736708</v>
      </c>
      <c r="Q182" s="206">
        <v>169634745</v>
      </c>
      <c r="R182" s="206">
        <v>144326674</v>
      </c>
      <c r="S182" s="32">
        <v>0</v>
      </c>
      <c r="T182" s="32">
        <v>0</v>
      </c>
      <c r="U182" s="32">
        <v>0</v>
      </c>
      <c r="V182" s="266">
        <f t="shared" si="33"/>
        <v>50</v>
      </c>
      <c r="W182" s="90">
        <f t="shared" si="34"/>
        <v>0.5</v>
      </c>
      <c r="X182" s="32">
        <v>0</v>
      </c>
      <c r="Y182" s="32">
        <v>0</v>
      </c>
      <c r="Z182" s="267">
        <f t="shared" si="35"/>
        <v>0</v>
      </c>
      <c r="AA182" s="268">
        <f t="shared" si="36"/>
        <v>33.333333333333336</v>
      </c>
      <c r="AB182" s="90">
        <f t="shared" si="37"/>
        <v>0.33333333333333337</v>
      </c>
      <c r="AC182" s="32">
        <v>0</v>
      </c>
      <c r="AD182" s="32">
        <v>1</v>
      </c>
      <c r="AE182" s="252">
        <f t="shared" si="38"/>
        <v>75</v>
      </c>
      <c r="AF182" s="90">
        <f t="shared" si="39"/>
        <v>1.5</v>
      </c>
      <c r="AG182" s="32">
        <v>0</v>
      </c>
      <c r="AH182" s="247">
        <f t="shared" si="40"/>
        <v>25</v>
      </c>
      <c r="AI182" s="91">
        <f t="shared" si="41"/>
        <v>0.25</v>
      </c>
      <c r="AJ182" s="32"/>
      <c r="AK182" s="32">
        <v>1</v>
      </c>
      <c r="AL182" s="32">
        <v>1</v>
      </c>
      <c r="AM182" s="32">
        <v>0</v>
      </c>
      <c r="AN182" s="32">
        <v>0</v>
      </c>
      <c r="AO182" s="247">
        <f t="shared" si="32"/>
        <v>2</v>
      </c>
      <c r="AP182" s="247">
        <f t="shared" si="42"/>
        <v>75</v>
      </c>
      <c r="AQ182" s="90">
        <f t="shared" si="43"/>
        <v>1.5</v>
      </c>
      <c r="AR182" s="32">
        <v>1</v>
      </c>
      <c r="AS182" s="32">
        <v>0</v>
      </c>
      <c r="AT182" s="32">
        <v>0</v>
      </c>
      <c r="AU182" s="272" t="str">
        <f t="shared" si="44"/>
        <v>B</v>
      </c>
      <c r="AV182" s="247">
        <f t="shared" si="45"/>
        <v>75</v>
      </c>
      <c r="AW182" s="90">
        <f t="shared" si="46"/>
        <v>2.25</v>
      </c>
      <c r="AX182" s="163">
        <f t="shared" si="47"/>
        <v>6.3333333333333339</v>
      </c>
    </row>
    <row r="183" spans="1:50" x14ac:dyDescent="0.6">
      <c r="A183" s="214" t="s">
        <v>290</v>
      </c>
      <c r="B183" s="13" t="s">
        <v>2163</v>
      </c>
      <c r="C183" s="219" t="s">
        <v>325</v>
      </c>
      <c r="D183" s="216" t="s">
        <v>202</v>
      </c>
      <c r="E183" s="217" t="s">
        <v>205</v>
      </c>
      <c r="F183" s="217" t="s">
        <v>164</v>
      </c>
      <c r="G183" s="218">
        <v>31889</v>
      </c>
      <c r="H183" s="217" t="s">
        <v>830</v>
      </c>
      <c r="I183" s="217" t="s">
        <v>710</v>
      </c>
      <c r="J183" s="217" t="s">
        <v>1095</v>
      </c>
      <c r="K183" s="217" t="s">
        <v>317</v>
      </c>
      <c r="L183" s="220">
        <v>75722188</v>
      </c>
      <c r="M183" s="206">
        <v>2498635</v>
      </c>
      <c r="N183" s="206">
        <v>73223553</v>
      </c>
      <c r="O183" s="206">
        <v>17441063</v>
      </c>
      <c r="P183" s="206">
        <v>2055789</v>
      </c>
      <c r="Q183" s="206">
        <v>4418292</v>
      </c>
      <c r="R183" s="206">
        <v>5632855</v>
      </c>
      <c r="S183" s="32">
        <v>0</v>
      </c>
      <c r="T183" s="32">
        <v>0</v>
      </c>
      <c r="U183" s="32">
        <v>0</v>
      </c>
      <c r="V183" s="266">
        <f t="shared" si="33"/>
        <v>50</v>
      </c>
      <c r="W183" s="90">
        <f t="shared" si="34"/>
        <v>0.5</v>
      </c>
      <c r="X183" s="32">
        <v>0</v>
      </c>
      <c r="Y183" s="32">
        <v>0</v>
      </c>
      <c r="Z183" s="267">
        <f t="shared" si="35"/>
        <v>0</v>
      </c>
      <c r="AA183" s="268">
        <f t="shared" si="36"/>
        <v>33.333333333333336</v>
      </c>
      <c r="AB183" s="90">
        <f t="shared" si="37"/>
        <v>0.33333333333333337</v>
      </c>
      <c r="AC183" s="32">
        <v>0</v>
      </c>
      <c r="AD183" s="32">
        <v>0</v>
      </c>
      <c r="AE183" s="252">
        <f t="shared" si="38"/>
        <v>25</v>
      </c>
      <c r="AF183" s="90">
        <f t="shared" si="39"/>
        <v>0.5</v>
      </c>
      <c r="AG183" s="32">
        <v>0</v>
      </c>
      <c r="AH183" s="247">
        <f t="shared" si="40"/>
        <v>25</v>
      </c>
      <c r="AI183" s="91">
        <f t="shared" si="41"/>
        <v>0.25</v>
      </c>
      <c r="AJ183" s="32"/>
      <c r="AK183" s="32">
        <v>0</v>
      </c>
      <c r="AL183" s="32">
        <v>0</v>
      </c>
      <c r="AM183" s="32">
        <v>0</v>
      </c>
      <c r="AN183" s="32">
        <v>0</v>
      </c>
      <c r="AO183" s="247">
        <f t="shared" si="32"/>
        <v>0</v>
      </c>
      <c r="AP183" s="247">
        <f t="shared" si="42"/>
        <v>25</v>
      </c>
      <c r="AQ183" s="90">
        <f t="shared" si="43"/>
        <v>0.5</v>
      </c>
      <c r="AR183" s="32">
        <v>0</v>
      </c>
      <c r="AS183" s="32">
        <v>0</v>
      </c>
      <c r="AT183" s="32">
        <v>0</v>
      </c>
      <c r="AU183" s="272" t="str">
        <f t="shared" si="44"/>
        <v>A</v>
      </c>
      <c r="AV183" s="247">
        <f t="shared" si="45"/>
        <v>100</v>
      </c>
      <c r="AW183" s="90">
        <f t="shared" si="46"/>
        <v>3</v>
      </c>
      <c r="AX183" s="163">
        <f t="shared" si="47"/>
        <v>5.0833333333333339</v>
      </c>
    </row>
    <row r="184" spans="1:50" x14ac:dyDescent="0.6">
      <c r="A184" s="214" t="s">
        <v>1739</v>
      </c>
      <c r="B184" s="13" t="s">
        <v>2164</v>
      </c>
      <c r="C184" s="219" t="s">
        <v>922</v>
      </c>
      <c r="D184" s="216" t="s">
        <v>202</v>
      </c>
      <c r="E184" s="217" t="s">
        <v>593</v>
      </c>
      <c r="F184" s="217" t="s">
        <v>991</v>
      </c>
      <c r="G184" s="218">
        <v>30905</v>
      </c>
      <c r="H184" s="217" t="s">
        <v>830</v>
      </c>
      <c r="I184" s="217" t="s">
        <v>759</v>
      </c>
      <c r="J184" s="217" t="s">
        <v>1116</v>
      </c>
      <c r="K184" s="217" t="s">
        <v>91</v>
      </c>
      <c r="L184" s="220">
        <v>150922633</v>
      </c>
      <c r="M184" s="206">
        <v>52979361</v>
      </c>
      <c r="N184" s="206">
        <v>97943272</v>
      </c>
      <c r="O184" s="206">
        <v>457295501</v>
      </c>
      <c r="P184" s="206">
        <v>13985109</v>
      </c>
      <c r="Q184" s="206">
        <v>16291509</v>
      </c>
      <c r="R184" s="206">
        <v>13892645</v>
      </c>
      <c r="S184" s="32">
        <v>0</v>
      </c>
      <c r="T184" s="32">
        <v>0</v>
      </c>
      <c r="U184" s="32">
        <v>0</v>
      </c>
      <c r="V184" s="266">
        <f t="shared" si="33"/>
        <v>50</v>
      </c>
      <c r="W184" s="90">
        <f t="shared" si="34"/>
        <v>0.5</v>
      </c>
      <c r="X184" s="32">
        <v>0</v>
      </c>
      <c r="Y184" s="32">
        <v>0</v>
      </c>
      <c r="Z184" s="267">
        <f t="shared" si="35"/>
        <v>0</v>
      </c>
      <c r="AA184" s="268">
        <f t="shared" si="36"/>
        <v>33.333333333333336</v>
      </c>
      <c r="AB184" s="90">
        <f t="shared" si="37"/>
        <v>0.33333333333333337</v>
      </c>
      <c r="AC184" s="32">
        <v>0</v>
      </c>
      <c r="AD184" s="32">
        <v>0</v>
      </c>
      <c r="AE184" s="252">
        <f t="shared" si="38"/>
        <v>25</v>
      </c>
      <c r="AF184" s="90">
        <f t="shared" si="39"/>
        <v>0.5</v>
      </c>
      <c r="AG184" s="32">
        <v>0</v>
      </c>
      <c r="AH184" s="247">
        <f t="shared" si="40"/>
        <v>25</v>
      </c>
      <c r="AI184" s="91">
        <f t="shared" si="41"/>
        <v>0.25</v>
      </c>
      <c r="AJ184" s="32"/>
      <c r="AK184" s="32">
        <v>0</v>
      </c>
      <c r="AL184" s="32">
        <v>0</v>
      </c>
      <c r="AM184" s="32">
        <v>0</v>
      </c>
      <c r="AN184" s="32">
        <v>0</v>
      </c>
      <c r="AO184" s="247">
        <f t="shared" si="32"/>
        <v>0</v>
      </c>
      <c r="AP184" s="247">
        <f t="shared" si="42"/>
        <v>25</v>
      </c>
      <c r="AQ184" s="90">
        <f t="shared" si="43"/>
        <v>0.5</v>
      </c>
      <c r="AR184" s="32">
        <v>0</v>
      </c>
      <c r="AS184" s="32">
        <v>0</v>
      </c>
      <c r="AT184" s="32">
        <v>0</v>
      </c>
      <c r="AU184" s="272" t="str">
        <f t="shared" si="44"/>
        <v>A</v>
      </c>
      <c r="AV184" s="247">
        <f t="shared" si="45"/>
        <v>100</v>
      </c>
      <c r="AW184" s="90">
        <f t="shared" si="46"/>
        <v>3</v>
      </c>
      <c r="AX184" s="163">
        <f t="shared" si="47"/>
        <v>5.0833333333333339</v>
      </c>
    </row>
    <row r="185" spans="1:50" x14ac:dyDescent="0.6">
      <c r="A185" s="214" t="s">
        <v>429</v>
      </c>
      <c r="B185" s="13" t="s">
        <v>2165</v>
      </c>
      <c r="C185" s="219" t="s">
        <v>445</v>
      </c>
      <c r="D185" s="216" t="s">
        <v>203</v>
      </c>
      <c r="E185" s="217" t="s">
        <v>1179</v>
      </c>
      <c r="F185" s="217" t="s">
        <v>608</v>
      </c>
      <c r="G185" s="218">
        <v>41584</v>
      </c>
      <c r="H185" s="217" t="s">
        <v>830</v>
      </c>
      <c r="I185" s="217" t="s">
        <v>241</v>
      </c>
      <c r="J185" s="217" t="s">
        <v>1226</v>
      </c>
      <c r="K185" s="217" t="s">
        <v>91</v>
      </c>
      <c r="L185" s="220">
        <v>1177294529</v>
      </c>
      <c r="M185" s="206">
        <v>334705711</v>
      </c>
      <c r="N185" s="206">
        <v>842588818</v>
      </c>
      <c r="O185" s="206">
        <v>479630807</v>
      </c>
      <c r="P185" s="206">
        <v>74104110</v>
      </c>
      <c r="Q185" s="206">
        <v>65510324</v>
      </c>
      <c r="R185" s="206">
        <v>49527867</v>
      </c>
      <c r="S185" s="32">
        <v>1</v>
      </c>
      <c r="T185" s="32">
        <v>1</v>
      </c>
      <c r="U185" s="32">
        <v>0</v>
      </c>
      <c r="V185" s="266">
        <f t="shared" si="33"/>
        <v>100</v>
      </c>
      <c r="W185" s="90">
        <f t="shared" si="34"/>
        <v>1</v>
      </c>
      <c r="X185" s="32">
        <v>0</v>
      </c>
      <c r="Y185" s="32">
        <v>0</v>
      </c>
      <c r="Z185" s="267">
        <f t="shared" si="35"/>
        <v>0</v>
      </c>
      <c r="AA185" s="268">
        <f t="shared" si="36"/>
        <v>33.333333333333336</v>
      </c>
      <c r="AB185" s="90">
        <f t="shared" si="37"/>
        <v>0.33333333333333337</v>
      </c>
      <c r="AC185" s="32">
        <v>20824000</v>
      </c>
      <c r="AD185" s="32">
        <v>1</v>
      </c>
      <c r="AE185" s="252">
        <f t="shared" si="38"/>
        <v>100</v>
      </c>
      <c r="AF185" s="90">
        <f t="shared" si="39"/>
        <v>2</v>
      </c>
      <c r="AG185" s="32">
        <v>3</v>
      </c>
      <c r="AH185" s="247">
        <f t="shared" si="40"/>
        <v>100</v>
      </c>
      <c r="AI185" s="91">
        <f t="shared" si="41"/>
        <v>1</v>
      </c>
      <c r="AJ185" s="32"/>
      <c r="AK185" s="32">
        <v>1</v>
      </c>
      <c r="AL185" s="32">
        <v>1</v>
      </c>
      <c r="AM185" s="32">
        <v>0</v>
      </c>
      <c r="AN185" s="32">
        <v>0</v>
      </c>
      <c r="AO185" s="247">
        <f t="shared" si="32"/>
        <v>2</v>
      </c>
      <c r="AP185" s="247">
        <f t="shared" si="42"/>
        <v>75</v>
      </c>
      <c r="AQ185" s="90">
        <f t="shared" si="43"/>
        <v>1.5</v>
      </c>
      <c r="AR185" s="32">
        <v>0</v>
      </c>
      <c r="AS185" s="32">
        <v>0</v>
      </c>
      <c r="AT185" s="32">
        <v>0</v>
      </c>
      <c r="AU185" s="272" t="str">
        <f t="shared" si="44"/>
        <v>A</v>
      </c>
      <c r="AV185" s="247">
        <f t="shared" si="45"/>
        <v>100</v>
      </c>
      <c r="AW185" s="90">
        <f t="shared" si="46"/>
        <v>3</v>
      </c>
      <c r="AX185" s="163">
        <f t="shared" si="47"/>
        <v>8.8333333333333339</v>
      </c>
    </row>
    <row r="186" spans="1:50" x14ac:dyDescent="0.6">
      <c r="A186" s="214" t="s">
        <v>22</v>
      </c>
      <c r="B186" s="13" t="s">
        <v>2166</v>
      </c>
      <c r="C186" s="219" t="s">
        <v>426</v>
      </c>
      <c r="D186" s="216" t="s">
        <v>191</v>
      </c>
      <c r="E186" s="217" t="s">
        <v>1029</v>
      </c>
      <c r="F186" s="217" t="s">
        <v>169</v>
      </c>
      <c r="G186" s="218">
        <v>32492</v>
      </c>
      <c r="H186" s="217" t="s">
        <v>830</v>
      </c>
      <c r="I186" s="217" t="s">
        <v>235</v>
      </c>
      <c r="J186" s="217" t="s">
        <v>1180</v>
      </c>
      <c r="K186" s="217" t="s">
        <v>91</v>
      </c>
      <c r="L186" s="220">
        <v>790607841</v>
      </c>
      <c r="M186" s="206">
        <v>88403731</v>
      </c>
      <c r="N186" s="206">
        <v>702204110</v>
      </c>
      <c r="O186" s="206">
        <v>598684604</v>
      </c>
      <c r="P186" s="206">
        <v>76947409</v>
      </c>
      <c r="Q186" s="206">
        <v>87571953</v>
      </c>
      <c r="R186" s="206">
        <v>64953978</v>
      </c>
      <c r="S186" s="32">
        <v>0</v>
      </c>
      <c r="T186" s="32">
        <v>0</v>
      </c>
      <c r="U186" s="32">
        <v>0</v>
      </c>
      <c r="V186" s="266">
        <f t="shared" si="33"/>
        <v>50</v>
      </c>
      <c r="W186" s="90">
        <f t="shared" si="34"/>
        <v>0.5</v>
      </c>
      <c r="X186" s="32">
        <v>0</v>
      </c>
      <c r="Y186" s="32">
        <v>0</v>
      </c>
      <c r="Z186" s="267">
        <f t="shared" si="35"/>
        <v>0</v>
      </c>
      <c r="AA186" s="268">
        <f t="shared" si="36"/>
        <v>33.333333333333336</v>
      </c>
      <c r="AB186" s="90">
        <f t="shared" si="37"/>
        <v>0.33333333333333337</v>
      </c>
      <c r="AC186" s="32">
        <v>0</v>
      </c>
      <c r="AD186" s="32">
        <v>1</v>
      </c>
      <c r="AE186" s="252">
        <f t="shared" si="38"/>
        <v>75</v>
      </c>
      <c r="AF186" s="90">
        <f t="shared" si="39"/>
        <v>1.5</v>
      </c>
      <c r="AG186" s="32">
        <v>0</v>
      </c>
      <c r="AH186" s="247">
        <f t="shared" si="40"/>
        <v>25</v>
      </c>
      <c r="AI186" s="91">
        <f t="shared" si="41"/>
        <v>0.25</v>
      </c>
      <c r="AJ186" s="32"/>
      <c r="AK186" s="32">
        <v>0</v>
      </c>
      <c r="AL186" s="32">
        <v>0</v>
      </c>
      <c r="AM186" s="32">
        <v>0</v>
      </c>
      <c r="AN186" s="32">
        <v>0</v>
      </c>
      <c r="AO186" s="247">
        <f t="shared" si="32"/>
        <v>0</v>
      </c>
      <c r="AP186" s="247">
        <f t="shared" si="42"/>
        <v>25</v>
      </c>
      <c r="AQ186" s="90">
        <f t="shared" si="43"/>
        <v>0.5</v>
      </c>
      <c r="AR186" s="32">
        <v>0</v>
      </c>
      <c r="AS186" s="32">
        <v>0</v>
      </c>
      <c r="AT186" s="32">
        <v>0</v>
      </c>
      <c r="AU186" s="272" t="str">
        <f t="shared" si="44"/>
        <v>A</v>
      </c>
      <c r="AV186" s="247">
        <f t="shared" si="45"/>
        <v>100</v>
      </c>
      <c r="AW186" s="90">
        <f t="shared" si="46"/>
        <v>3</v>
      </c>
      <c r="AX186" s="163">
        <f t="shared" si="47"/>
        <v>6.0833333333333339</v>
      </c>
    </row>
    <row r="187" spans="1:50" x14ac:dyDescent="0.6">
      <c r="A187" s="214" t="s">
        <v>6</v>
      </c>
      <c r="B187" s="13" t="s">
        <v>2167</v>
      </c>
      <c r="C187" s="219" t="s">
        <v>558</v>
      </c>
      <c r="D187" s="216" t="s">
        <v>285</v>
      </c>
      <c r="E187" s="217" t="s">
        <v>245</v>
      </c>
      <c r="F187" s="217" t="s">
        <v>236</v>
      </c>
      <c r="G187" s="218">
        <v>40389</v>
      </c>
      <c r="H187" s="217" t="s">
        <v>830</v>
      </c>
      <c r="I187" s="217" t="s">
        <v>791</v>
      </c>
      <c r="J187" s="217" t="s">
        <v>1189</v>
      </c>
      <c r="K187" s="217" t="s">
        <v>91</v>
      </c>
      <c r="L187" s="220">
        <v>825178689</v>
      </c>
      <c r="M187" s="206">
        <v>439685810</v>
      </c>
      <c r="N187" s="206">
        <v>385492879</v>
      </c>
      <c r="O187" s="206">
        <v>2678991235</v>
      </c>
      <c r="P187" s="206">
        <v>35714794</v>
      </c>
      <c r="Q187" s="206">
        <v>39761445</v>
      </c>
      <c r="R187" s="206">
        <v>36294420</v>
      </c>
      <c r="S187" s="32">
        <v>0</v>
      </c>
      <c r="T187" s="32">
        <v>1</v>
      </c>
      <c r="U187" s="32">
        <v>0</v>
      </c>
      <c r="V187" s="266">
        <f t="shared" si="33"/>
        <v>100</v>
      </c>
      <c r="W187" s="90">
        <f t="shared" si="34"/>
        <v>1</v>
      </c>
      <c r="X187" s="32">
        <v>0</v>
      </c>
      <c r="Y187" s="32">
        <v>0</v>
      </c>
      <c r="Z187" s="267">
        <f t="shared" si="35"/>
        <v>0</v>
      </c>
      <c r="AA187" s="268">
        <f t="shared" si="36"/>
        <v>33.333333333333336</v>
      </c>
      <c r="AB187" s="90">
        <f t="shared" si="37"/>
        <v>0.33333333333333337</v>
      </c>
      <c r="AC187" s="32">
        <v>0</v>
      </c>
      <c r="AD187" s="32">
        <v>1</v>
      </c>
      <c r="AE187" s="252">
        <f t="shared" si="38"/>
        <v>75</v>
      </c>
      <c r="AF187" s="90">
        <f t="shared" si="39"/>
        <v>1.5</v>
      </c>
      <c r="AG187" s="32">
        <v>1</v>
      </c>
      <c r="AH187" s="247">
        <f t="shared" si="40"/>
        <v>50</v>
      </c>
      <c r="AI187" s="91">
        <f t="shared" si="41"/>
        <v>0.5</v>
      </c>
      <c r="AJ187" s="32"/>
      <c r="AK187" s="32">
        <v>0</v>
      </c>
      <c r="AL187" s="32">
        <v>0</v>
      </c>
      <c r="AM187" s="32">
        <v>0</v>
      </c>
      <c r="AN187" s="32">
        <v>0</v>
      </c>
      <c r="AO187" s="247">
        <f t="shared" si="32"/>
        <v>0</v>
      </c>
      <c r="AP187" s="247">
        <f t="shared" si="42"/>
        <v>25</v>
      </c>
      <c r="AQ187" s="90">
        <f t="shared" si="43"/>
        <v>0.5</v>
      </c>
      <c r="AR187" s="32">
        <v>0</v>
      </c>
      <c r="AS187" s="32">
        <v>0</v>
      </c>
      <c r="AT187" s="32">
        <v>0</v>
      </c>
      <c r="AU187" s="272" t="str">
        <f t="shared" si="44"/>
        <v>A</v>
      </c>
      <c r="AV187" s="247">
        <f t="shared" si="45"/>
        <v>100</v>
      </c>
      <c r="AW187" s="90">
        <f t="shared" si="46"/>
        <v>3</v>
      </c>
      <c r="AX187" s="163">
        <f t="shared" si="47"/>
        <v>6.8333333333333339</v>
      </c>
    </row>
    <row r="188" spans="1:50" x14ac:dyDescent="0.6">
      <c r="A188" s="214" t="s">
        <v>1740</v>
      </c>
      <c r="B188" s="13" t="s">
        <v>2168</v>
      </c>
      <c r="C188" s="219" t="s">
        <v>1741</v>
      </c>
      <c r="D188" s="14" t="s">
        <v>203</v>
      </c>
      <c r="E188" s="217" t="s">
        <v>1179</v>
      </c>
      <c r="F188" s="217" t="s">
        <v>1742</v>
      </c>
      <c r="G188" s="218">
        <v>31439</v>
      </c>
      <c r="H188" s="217" t="s">
        <v>830</v>
      </c>
      <c r="I188" s="217" t="s">
        <v>1743</v>
      </c>
      <c r="J188" s="217" t="s">
        <v>1744</v>
      </c>
      <c r="K188" s="217" t="s">
        <v>91</v>
      </c>
      <c r="L188" s="220">
        <v>3153017076</v>
      </c>
      <c r="M188" s="206">
        <v>1770069189</v>
      </c>
      <c r="N188" s="206">
        <v>1382947887</v>
      </c>
      <c r="O188" s="206">
        <v>1806485573</v>
      </c>
      <c r="P188" s="206">
        <v>305824732</v>
      </c>
      <c r="Q188" s="206">
        <v>260984230</v>
      </c>
      <c r="R188" s="206">
        <v>190493378</v>
      </c>
      <c r="S188" s="32">
        <v>1</v>
      </c>
      <c r="T188" s="32">
        <v>0</v>
      </c>
      <c r="U188" s="32">
        <v>0</v>
      </c>
      <c r="V188" s="266">
        <f t="shared" si="33"/>
        <v>100</v>
      </c>
      <c r="W188" s="90">
        <f t="shared" si="34"/>
        <v>1</v>
      </c>
      <c r="X188" s="32">
        <v>0</v>
      </c>
      <c r="Y188" s="32">
        <v>0</v>
      </c>
      <c r="Z188" s="267">
        <f t="shared" si="35"/>
        <v>0</v>
      </c>
      <c r="AA188" s="268">
        <f t="shared" si="36"/>
        <v>33.333333333333336</v>
      </c>
      <c r="AB188" s="90">
        <f t="shared" si="37"/>
        <v>0.33333333333333337</v>
      </c>
      <c r="AC188" s="32">
        <v>0</v>
      </c>
      <c r="AD188" s="32">
        <v>1</v>
      </c>
      <c r="AE188" s="252">
        <f t="shared" si="38"/>
        <v>75</v>
      </c>
      <c r="AF188" s="90">
        <f t="shared" si="39"/>
        <v>1.5</v>
      </c>
      <c r="AG188" s="32">
        <v>1</v>
      </c>
      <c r="AH188" s="247">
        <f t="shared" si="40"/>
        <v>50</v>
      </c>
      <c r="AI188" s="91">
        <f t="shared" si="41"/>
        <v>0.5</v>
      </c>
      <c r="AJ188" s="32"/>
      <c r="AK188" s="32">
        <v>1</v>
      </c>
      <c r="AL188" s="32">
        <v>0</v>
      </c>
      <c r="AM188" s="32">
        <v>0</v>
      </c>
      <c r="AN188" s="32">
        <v>0</v>
      </c>
      <c r="AO188" s="247">
        <f t="shared" si="32"/>
        <v>1</v>
      </c>
      <c r="AP188" s="247">
        <f t="shared" si="42"/>
        <v>50</v>
      </c>
      <c r="AQ188" s="90">
        <f t="shared" si="43"/>
        <v>1</v>
      </c>
      <c r="AR188" s="32">
        <v>0</v>
      </c>
      <c r="AS188" s="32">
        <v>0</v>
      </c>
      <c r="AT188" s="32">
        <v>0</v>
      </c>
      <c r="AU188" s="272" t="str">
        <f t="shared" si="44"/>
        <v>A</v>
      </c>
      <c r="AV188" s="247">
        <f t="shared" si="45"/>
        <v>100</v>
      </c>
      <c r="AW188" s="90">
        <f t="shared" si="46"/>
        <v>3</v>
      </c>
      <c r="AX188" s="163">
        <f t="shared" si="47"/>
        <v>7.3333333333333339</v>
      </c>
    </row>
    <row r="189" spans="1:50" x14ac:dyDescent="0.6">
      <c r="A189" s="214" t="s">
        <v>18</v>
      </c>
      <c r="B189" s="13" t="s">
        <v>2169</v>
      </c>
      <c r="C189" s="219" t="s">
        <v>912</v>
      </c>
      <c r="D189" s="216" t="s">
        <v>203</v>
      </c>
      <c r="E189" s="217" t="s">
        <v>188</v>
      </c>
      <c r="F189" s="217" t="s">
        <v>392</v>
      </c>
      <c r="G189" s="218">
        <v>43181</v>
      </c>
      <c r="H189" s="217" t="s">
        <v>830</v>
      </c>
      <c r="I189" s="217" t="s">
        <v>181</v>
      </c>
      <c r="J189" s="217" t="s">
        <v>1184</v>
      </c>
      <c r="K189" s="217" t="s">
        <v>91</v>
      </c>
      <c r="L189" s="220">
        <v>477316913</v>
      </c>
      <c r="M189" s="206">
        <v>117171080</v>
      </c>
      <c r="N189" s="206">
        <v>360145833</v>
      </c>
      <c r="O189" s="206">
        <v>589759237</v>
      </c>
      <c r="P189" s="206">
        <v>37545912</v>
      </c>
      <c r="Q189" s="206">
        <v>22571287</v>
      </c>
      <c r="R189" s="206">
        <v>16498602</v>
      </c>
      <c r="S189" s="32">
        <v>1</v>
      </c>
      <c r="T189" s="32">
        <v>1</v>
      </c>
      <c r="U189" s="32">
        <v>0</v>
      </c>
      <c r="V189" s="266">
        <f t="shared" si="33"/>
        <v>100</v>
      </c>
      <c r="W189" s="90">
        <f t="shared" si="34"/>
        <v>1</v>
      </c>
      <c r="X189" s="32">
        <v>0</v>
      </c>
      <c r="Y189" s="32">
        <v>0</v>
      </c>
      <c r="Z189" s="267">
        <f t="shared" si="35"/>
        <v>0</v>
      </c>
      <c r="AA189" s="268">
        <f t="shared" si="36"/>
        <v>33.333333333333336</v>
      </c>
      <c r="AB189" s="90">
        <f t="shared" si="37"/>
        <v>0.33333333333333337</v>
      </c>
      <c r="AC189" s="32">
        <v>0</v>
      </c>
      <c r="AD189" s="32">
        <v>1</v>
      </c>
      <c r="AE189" s="252">
        <f t="shared" si="38"/>
        <v>75</v>
      </c>
      <c r="AF189" s="90">
        <f t="shared" si="39"/>
        <v>1.5</v>
      </c>
      <c r="AG189" s="32">
        <v>1</v>
      </c>
      <c r="AH189" s="247">
        <f t="shared" si="40"/>
        <v>50</v>
      </c>
      <c r="AI189" s="91">
        <f t="shared" si="41"/>
        <v>0.5</v>
      </c>
      <c r="AJ189" s="32"/>
      <c r="AK189" s="32">
        <v>0</v>
      </c>
      <c r="AL189" s="32">
        <v>0</v>
      </c>
      <c r="AM189" s="32">
        <v>0</v>
      </c>
      <c r="AN189" s="32">
        <v>0</v>
      </c>
      <c r="AO189" s="247">
        <f t="shared" si="32"/>
        <v>0</v>
      </c>
      <c r="AP189" s="247">
        <f t="shared" si="42"/>
        <v>25</v>
      </c>
      <c r="AQ189" s="90">
        <f t="shared" si="43"/>
        <v>0.5</v>
      </c>
      <c r="AR189" s="32">
        <v>0</v>
      </c>
      <c r="AS189" s="32">
        <v>0</v>
      </c>
      <c r="AT189" s="32">
        <v>0</v>
      </c>
      <c r="AU189" s="272" t="str">
        <f t="shared" si="44"/>
        <v>A</v>
      </c>
      <c r="AV189" s="247">
        <f t="shared" si="45"/>
        <v>100</v>
      </c>
      <c r="AW189" s="90">
        <f t="shared" si="46"/>
        <v>3</v>
      </c>
      <c r="AX189" s="163">
        <f t="shared" si="47"/>
        <v>6.8333333333333339</v>
      </c>
    </row>
    <row r="190" spans="1:50" x14ac:dyDescent="0.6">
      <c r="A190" s="214" t="s">
        <v>111</v>
      </c>
      <c r="B190" s="13" t="s">
        <v>2170</v>
      </c>
      <c r="C190" s="219" t="s">
        <v>482</v>
      </c>
      <c r="D190" s="216" t="s">
        <v>203</v>
      </c>
      <c r="E190" s="217" t="s">
        <v>180</v>
      </c>
      <c r="F190" s="217" t="s">
        <v>170</v>
      </c>
      <c r="G190" s="218">
        <v>41169</v>
      </c>
      <c r="H190" s="217" t="s">
        <v>830</v>
      </c>
      <c r="I190" s="217" t="s">
        <v>772</v>
      </c>
      <c r="J190" s="217" t="s">
        <v>390</v>
      </c>
      <c r="K190" s="217" t="s">
        <v>91</v>
      </c>
      <c r="L190" s="220">
        <v>1062980988</v>
      </c>
      <c r="M190" s="206">
        <v>365498356</v>
      </c>
      <c r="N190" s="206">
        <v>697482632</v>
      </c>
      <c r="O190" s="206">
        <v>1712779790</v>
      </c>
      <c r="P190" s="206">
        <v>90523569</v>
      </c>
      <c r="Q190" s="206">
        <v>88392901</v>
      </c>
      <c r="R190" s="206">
        <v>56304809</v>
      </c>
      <c r="S190" s="32">
        <v>1</v>
      </c>
      <c r="T190" s="32">
        <v>1</v>
      </c>
      <c r="U190" s="32">
        <v>0</v>
      </c>
      <c r="V190" s="266">
        <f t="shared" si="33"/>
        <v>100</v>
      </c>
      <c r="W190" s="90">
        <f t="shared" si="34"/>
        <v>1</v>
      </c>
      <c r="X190" s="32">
        <v>0</v>
      </c>
      <c r="Y190" s="32">
        <v>0</v>
      </c>
      <c r="Z190" s="267">
        <f t="shared" si="35"/>
        <v>0</v>
      </c>
      <c r="AA190" s="268">
        <f t="shared" si="36"/>
        <v>33.333333333333336</v>
      </c>
      <c r="AB190" s="90">
        <f t="shared" si="37"/>
        <v>0.33333333333333337</v>
      </c>
      <c r="AC190" s="32">
        <v>0</v>
      </c>
      <c r="AD190" s="32">
        <v>1</v>
      </c>
      <c r="AE190" s="252">
        <f t="shared" si="38"/>
        <v>75</v>
      </c>
      <c r="AF190" s="90">
        <f t="shared" si="39"/>
        <v>1.5</v>
      </c>
      <c r="AG190" s="32">
        <v>1</v>
      </c>
      <c r="AH190" s="247">
        <f t="shared" si="40"/>
        <v>50</v>
      </c>
      <c r="AI190" s="91">
        <f t="shared" si="41"/>
        <v>0.5</v>
      </c>
      <c r="AJ190" s="32"/>
      <c r="AK190" s="32">
        <v>0</v>
      </c>
      <c r="AL190" s="32">
        <v>0</v>
      </c>
      <c r="AM190" s="32">
        <v>0</v>
      </c>
      <c r="AN190" s="32">
        <v>0</v>
      </c>
      <c r="AO190" s="247">
        <f t="shared" si="32"/>
        <v>0</v>
      </c>
      <c r="AP190" s="247">
        <f t="shared" si="42"/>
        <v>25</v>
      </c>
      <c r="AQ190" s="90">
        <f t="shared" si="43"/>
        <v>0.5</v>
      </c>
      <c r="AR190" s="32">
        <v>0</v>
      </c>
      <c r="AS190" s="32">
        <v>0</v>
      </c>
      <c r="AT190" s="32">
        <v>0</v>
      </c>
      <c r="AU190" s="272" t="str">
        <f t="shared" si="44"/>
        <v>A</v>
      </c>
      <c r="AV190" s="247">
        <f t="shared" si="45"/>
        <v>100</v>
      </c>
      <c r="AW190" s="90">
        <f t="shared" si="46"/>
        <v>3</v>
      </c>
      <c r="AX190" s="163">
        <f t="shared" si="47"/>
        <v>6.8333333333333339</v>
      </c>
    </row>
    <row r="191" spans="1:50" x14ac:dyDescent="0.6">
      <c r="A191" s="214" t="s">
        <v>1745</v>
      </c>
      <c r="B191" s="13" t="s">
        <v>2171</v>
      </c>
      <c r="C191" s="219" t="s">
        <v>1746</v>
      </c>
      <c r="D191" s="14" t="s">
        <v>202</v>
      </c>
      <c r="E191" s="217" t="s">
        <v>189</v>
      </c>
      <c r="F191" s="217" t="s">
        <v>1747</v>
      </c>
      <c r="G191" s="218">
        <v>44393</v>
      </c>
      <c r="H191" s="217" t="s">
        <v>830</v>
      </c>
      <c r="I191" s="217" t="s">
        <v>1748</v>
      </c>
      <c r="J191" s="217" t="s">
        <v>1749</v>
      </c>
      <c r="K191" s="217" t="s">
        <v>690</v>
      </c>
      <c r="L191" s="220">
        <v>3184712423</v>
      </c>
      <c r="M191" s="206">
        <v>268563685</v>
      </c>
      <c r="N191" s="206">
        <v>2916148739</v>
      </c>
      <c r="O191" s="206">
        <v>2820638098</v>
      </c>
      <c r="P191" s="206">
        <v>1115338664</v>
      </c>
      <c r="Q191" s="206">
        <v>1224820701</v>
      </c>
      <c r="R191" s="206">
        <v>903927973</v>
      </c>
      <c r="S191" s="32">
        <v>0</v>
      </c>
      <c r="T191" s="32">
        <v>0</v>
      </c>
      <c r="U191" s="32">
        <v>0</v>
      </c>
      <c r="V191" s="266">
        <f t="shared" si="33"/>
        <v>50</v>
      </c>
      <c r="W191" s="90">
        <f t="shared" si="34"/>
        <v>0.5</v>
      </c>
      <c r="X191" s="32">
        <v>0</v>
      </c>
      <c r="Y191" s="32">
        <v>0</v>
      </c>
      <c r="Z191" s="267">
        <f t="shared" si="35"/>
        <v>0</v>
      </c>
      <c r="AA191" s="268">
        <f t="shared" si="36"/>
        <v>33.333333333333336</v>
      </c>
      <c r="AB191" s="90">
        <f t="shared" si="37"/>
        <v>0.33333333333333337</v>
      </c>
      <c r="AC191" s="32">
        <v>0</v>
      </c>
      <c r="AD191" s="32">
        <v>0</v>
      </c>
      <c r="AE191" s="252">
        <f t="shared" si="38"/>
        <v>25</v>
      </c>
      <c r="AF191" s="90">
        <f t="shared" si="39"/>
        <v>0.5</v>
      </c>
      <c r="AG191" s="32">
        <v>0</v>
      </c>
      <c r="AH191" s="247">
        <f t="shared" si="40"/>
        <v>25</v>
      </c>
      <c r="AI191" s="91">
        <f t="shared" si="41"/>
        <v>0.25</v>
      </c>
      <c r="AJ191" s="32"/>
      <c r="AK191" s="32">
        <v>0</v>
      </c>
      <c r="AL191" s="32">
        <v>0</v>
      </c>
      <c r="AM191" s="32">
        <v>0</v>
      </c>
      <c r="AN191" s="32">
        <v>0</v>
      </c>
      <c r="AO191" s="247">
        <f t="shared" si="32"/>
        <v>0</v>
      </c>
      <c r="AP191" s="247">
        <f t="shared" si="42"/>
        <v>25</v>
      </c>
      <c r="AQ191" s="90">
        <f t="shared" si="43"/>
        <v>0.5</v>
      </c>
      <c r="AR191" s="32">
        <v>0</v>
      </c>
      <c r="AS191" s="32">
        <v>0</v>
      </c>
      <c r="AT191" s="32">
        <v>0</v>
      </c>
      <c r="AU191" s="272" t="str">
        <f t="shared" si="44"/>
        <v>A</v>
      </c>
      <c r="AV191" s="247">
        <f t="shared" si="45"/>
        <v>100</v>
      </c>
      <c r="AW191" s="90">
        <f t="shared" si="46"/>
        <v>3</v>
      </c>
      <c r="AX191" s="163">
        <f t="shared" si="47"/>
        <v>5.0833333333333339</v>
      </c>
    </row>
    <row r="192" spans="1:50" x14ac:dyDescent="0.6">
      <c r="A192" s="214" t="s">
        <v>1750</v>
      </c>
      <c r="B192" s="13" t="s">
        <v>2172</v>
      </c>
      <c r="C192" s="219" t="s">
        <v>1751</v>
      </c>
      <c r="D192" s="14" t="s">
        <v>202</v>
      </c>
      <c r="E192" s="217" t="s">
        <v>954</v>
      </c>
      <c r="F192" s="217" t="s">
        <v>1752</v>
      </c>
      <c r="G192" s="218">
        <v>32455</v>
      </c>
      <c r="H192" s="217" t="s">
        <v>830</v>
      </c>
      <c r="I192" s="217" t="s">
        <v>1753</v>
      </c>
      <c r="J192" s="217" t="s">
        <v>1754</v>
      </c>
      <c r="K192" s="217" t="s">
        <v>308</v>
      </c>
      <c r="L192" s="220">
        <v>1914532174</v>
      </c>
      <c r="M192" s="206">
        <v>433489874</v>
      </c>
      <c r="N192" s="206">
        <v>1481042299</v>
      </c>
      <c r="O192" s="206">
        <v>2351608869</v>
      </c>
      <c r="P192" s="206">
        <v>172143218</v>
      </c>
      <c r="Q192" s="206">
        <v>206431272</v>
      </c>
      <c r="R192" s="206">
        <v>163552128</v>
      </c>
      <c r="S192" s="32">
        <v>0</v>
      </c>
      <c r="T192" s="32">
        <v>0</v>
      </c>
      <c r="U192" s="32">
        <v>0</v>
      </c>
      <c r="V192" s="266">
        <f t="shared" si="33"/>
        <v>50</v>
      </c>
      <c r="W192" s="90">
        <f t="shared" si="34"/>
        <v>0.5</v>
      </c>
      <c r="X192" s="32">
        <v>0</v>
      </c>
      <c r="Y192" s="32">
        <v>0</v>
      </c>
      <c r="Z192" s="267">
        <f t="shared" si="35"/>
        <v>0</v>
      </c>
      <c r="AA192" s="268">
        <f t="shared" si="36"/>
        <v>33.333333333333336</v>
      </c>
      <c r="AB192" s="90">
        <f t="shared" si="37"/>
        <v>0.33333333333333337</v>
      </c>
      <c r="AC192" s="32">
        <v>0</v>
      </c>
      <c r="AD192" s="32">
        <v>1</v>
      </c>
      <c r="AE192" s="252">
        <f t="shared" si="38"/>
        <v>75</v>
      </c>
      <c r="AF192" s="90">
        <f t="shared" si="39"/>
        <v>1.5</v>
      </c>
      <c r="AG192" s="32">
        <v>0</v>
      </c>
      <c r="AH192" s="247">
        <f t="shared" si="40"/>
        <v>25</v>
      </c>
      <c r="AI192" s="91">
        <f t="shared" si="41"/>
        <v>0.25</v>
      </c>
      <c r="AJ192" s="32"/>
      <c r="AK192" s="32">
        <v>1</v>
      </c>
      <c r="AL192" s="32">
        <v>0</v>
      </c>
      <c r="AM192" s="32">
        <v>0</v>
      </c>
      <c r="AN192" s="32">
        <v>0</v>
      </c>
      <c r="AO192" s="247">
        <f t="shared" si="32"/>
        <v>1</v>
      </c>
      <c r="AP192" s="247">
        <f t="shared" si="42"/>
        <v>50</v>
      </c>
      <c r="AQ192" s="90">
        <f t="shared" si="43"/>
        <v>1</v>
      </c>
      <c r="AR192" s="32">
        <v>0</v>
      </c>
      <c r="AS192" s="32">
        <v>0</v>
      </c>
      <c r="AT192" s="32">
        <v>0</v>
      </c>
      <c r="AU192" s="272" t="str">
        <f t="shared" si="44"/>
        <v>A</v>
      </c>
      <c r="AV192" s="247">
        <f t="shared" si="45"/>
        <v>100</v>
      </c>
      <c r="AW192" s="90">
        <f t="shared" si="46"/>
        <v>3</v>
      </c>
      <c r="AX192" s="163">
        <f t="shared" si="47"/>
        <v>6.5833333333333339</v>
      </c>
    </row>
    <row r="193" spans="1:50" x14ac:dyDescent="0.6">
      <c r="A193" s="214" t="s">
        <v>789</v>
      </c>
      <c r="B193" s="13" t="s">
        <v>2173</v>
      </c>
      <c r="C193" s="219" t="s">
        <v>448</v>
      </c>
      <c r="D193" s="216" t="s">
        <v>285</v>
      </c>
      <c r="E193" s="217" t="s">
        <v>624</v>
      </c>
      <c r="F193" s="217" t="s">
        <v>1186</v>
      </c>
      <c r="G193" s="218">
        <v>35094</v>
      </c>
      <c r="H193" s="217" t="s">
        <v>830</v>
      </c>
      <c r="I193" s="217" t="s">
        <v>579</v>
      </c>
      <c r="J193" s="217" t="s">
        <v>964</v>
      </c>
      <c r="K193" s="217" t="s">
        <v>91</v>
      </c>
      <c r="L193" s="220">
        <v>1985699161</v>
      </c>
      <c r="M193" s="206">
        <v>512258282</v>
      </c>
      <c r="N193" s="206">
        <v>1473440879</v>
      </c>
      <c r="O193" s="206">
        <v>2427260264</v>
      </c>
      <c r="P193" s="206">
        <v>192825146</v>
      </c>
      <c r="Q193" s="206">
        <v>188400341</v>
      </c>
      <c r="R193" s="206">
        <v>141531341</v>
      </c>
      <c r="S193" s="32">
        <v>1</v>
      </c>
      <c r="T193" s="32">
        <v>0</v>
      </c>
      <c r="U193" s="32">
        <v>0</v>
      </c>
      <c r="V193" s="266">
        <f t="shared" si="33"/>
        <v>100</v>
      </c>
      <c r="W193" s="90">
        <f t="shared" si="34"/>
        <v>1</v>
      </c>
      <c r="X193" s="32">
        <v>1</v>
      </c>
      <c r="Y193" s="32">
        <v>0</v>
      </c>
      <c r="Z193" s="267">
        <f t="shared" si="35"/>
        <v>1</v>
      </c>
      <c r="AA193" s="268">
        <f t="shared" si="36"/>
        <v>66.666666666666671</v>
      </c>
      <c r="AB193" s="90">
        <f t="shared" si="37"/>
        <v>0.66666666666666674</v>
      </c>
      <c r="AC193" s="32">
        <v>0</v>
      </c>
      <c r="AD193" s="32">
        <v>0</v>
      </c>
      <c r="AE193" s="252">
        <f t="shared" si="38"/>
        <v>25</v>
      </c>
      <c r="AF193" s="90">
        <f t="shared" si="39"/>
        <v>0.5</v>
      </c>
      <c r="AG193" s="32">
        <v>0</v>
      </c>
      <c r="AH193" s="247">
        <f t="shared" si="40"/>
        <v>25</v>
      </c>
      <c r="AI193" s="91">
        <f t="shared" si="41"/>
        <v>0.25</v>
      </c>
      <c r="AJ193" s="32"/>
      <c r="AK193" s="32">
        <v>0</v>
      </c>
      <c r="AL193" s="32">
        <v>0</v>
      </c>
      <c r="AM193" s="32">
        <v>0</v>
      </c>
      <c r="AN193" s="32">
        <v>0</v>
      </c>
      <c r="AO193" s="247">
        <f t="shared" ref="AO193:AO256" si="48">SUM(AJ193:AN193)</f>
        <v>0</v>
      </c>
      <c r="AP193" s="247">
        <f t="shared" si="42"/>
        <v>25</v>
      </c>
      <c r="AQ193" s="90">
        <f t="shared" si="43"/>
        <v>0.5</v>
      </c>
      <c r="AR193" s="32">
        <v>0</v>
      </c>
      <c r="AS193" s="32">
        <v>0</v>
      </c>
      <c r="AT193" s="32">
        <v>0</v>
      </c>
      <c r="AU193" s="272" t="str">
        <f t="shared" si="44"/>
        <v>A</v>
      </c>
      <c r="AV193" s="247">
        <f t="shared" si="45"/>
        <v>100</v>
      </c>
      <c r="AW193" s="90">
        <f t="shared" si="46"/>
        <v>3</v>
      </c>
      <c r="AX193" s="163">
        <f t="shared" si="47"/>
        <v>5.916666666666667</v>
      </c>
    </row>
    <row r="194" spans="1:50" x14ac:dyDescent="0.6">
      <c r="A194" s="214" t="s">
        <v>1755</v>
      </c>
      <c r="B194" s="13" t="s">
        <v>2174</v>
      </c>
      <c r="C194" s="219" t="s">
        <v>533</v>
      </c>
      <c r="D194" s="221" t="s">
        <v>481</v>
      </c>
      <c r="E194" s="217" t="s">
        <v>604</v>
      </c>
      <c r="F194" s="217" t="s">
        <v>268</v>
      </c>
      <c r="G194" s="218">
        <v>44155</v>
      </c>
      <c r="H194" s="217" t="s">
        <v>830</v>
      </c>
      <c r="I194" s="217" t="s">
        <v>955</v>
      </c>
      <c r="J194" s="1" t="s">
        <v>2305</v>
      </c>
      <c r="K194" s="217" t="s">
        <v>91</v>
      </c>
      <c r="L194" s="220">
        <v>204362337</v>
      </c>
      <c r="M194" s="206">
        <v>77627222</v>
      </c>
      <c r="N194" s="206">
        <v>126735115</v>
      </c>
      <c r="O194" s="206">
        <v>230018279</v>
      </c>
      <c r="P194" s="206">
        <v>3054336</v>
      </c>
      <c r="Q194" s="206">
        <v>41586408</v>
      </c>
      <c r="R194" s="206">
        <v>32212761</v>
      </c>
      <c r="S194" s="32">
        <v>0</v>
      </c>
      <c r="T194" s="32">
        <v>0</v>
      </c>
      <c r="U194" s="32">
        <v>0</v>
      </c>
      <c r="V194" s="266">
        <f t="shared" ref="V194:V257" si="49">IF(SUM(S194:U194)=0, 50, 100)</f>
        <v>50</v>
      </c>
      <c r="W194" s="90">
        <f t="shared" ref="W194:W257" si="50">V194*0.01</f>
        <v>0.5</v>
      </c>
      <c r="X194" s="32">
        <v>0</v>
      </c>
      <c r="Y194" s="32">
        <v>0</v>
      </c>
      <c r="Z194" s="267">
        <f t="shared" ref="Z194:Z257" si="51">SUM(X194:Y194)</f>
        <v>0</v>
      </c>
      <c r="AA194" s="268">
        <f t="shared" ref="AA194:AA257" si="52">IF(Z194=0, 100/3, IF(Z194=1, 200/3, IF(Z194=2, 100)))</f>
        <v>33.333333333333336</v>
      </c>
      <c r="AB194" s="90">
        <f t="shared" ref="AB194:AB257" si="53">AA194*0.01</f>
        <v>0.33333333333333337</v>
      </c>
      <c r="AC194" s="32">
        <v>0</v>
      </c>
      <c r="AD194" s="32">
        <v>0</v>
      </c>
      <c r="AE194" s="252">
        <f t="shared" ref="AE194:AE257" si="54">IF(AND(AD194=1, AC194&gt;0), 100, IF(AD194=1, 75, IF(AC194&gt;0, 50, 25)))</f>
        <v>25</v>
      </c>
      <c r="AF194" s="90">
        <f t="shared" ref="AF194:AF257" si="55">AE194*0.02</f>
        <v>0.5</v>
      </c>
      <c r="AG194" s="32">
        <v>0</v>
      </c>
      <c r="AH194" s="247">
        <f t="shared" ref="AH194:AH257" si="56">IF(AG194=0, 25, IF(AG194=1, 50, IF(AG194=2, 75, IF(AG194&gt;=3, 100))))</f>
        <v>25</v>
      </c>
      <c r="AI194" s="91">
        <f t="shared" ref="AI194:AI257" si="57">AH194*0.01</f>
        <v>0.25</v>
      </c>
      <c r="AJ194" s="32"/>
      <c r="AK194" s="32">
        <v>0</v>
      </c>
      <c r="AL194" s="32">
        <v>0</v>
      </c>
      <c r="AM194" s="32">
        <v>0</v>
      </c>
      <c r="AN194" s="32">
        <v>0</v>
      </c>
      <c r="AO194" s="247">
        <f t="shared" si="48"/>
        <v>0</v>
      </c>
      <c r="AP194" s="247">
        <f t="shared" ref="AP194:AP257" si="58">IF(AO194=0, 25, IF(AO194=1, 50, IF(AO194=2, 75, IF(AO194&gt;=3, 100))))</f>
        <v>25</v>
      </c>
      <c r="AQ194" s="90">
        <f t="shared" ref="AQ194:AQ257" si="59">AP194*0.02</f>
        <v>0.5</v>
      </c>
      <c r="AR194" s="32">
        <v>0</v>
      </c>
      <c r="AS194" s="32">
        <v>0</v>
      </c>
      <c r="AT194" s="32">
        <v>0</v>
      </c>
      <c r="AU194" s="272" t="str">
        <f t="shared" ref="AU194:AU257" si="60">IF(AT194=1, "D", IF(AS194=1, "C", IF(AR194=1, "B", "A")))</f>
        <v>A</v>
      </c>
      <c r="AV194" s="247">
        <f t="shared" ref="AV194:AV257" si="61">IF(AU194="A", 100, IF(AU194="B", 75, IF(AU194="C", 50, IF(AU194="D", 25))))</f>
        <v>100</v>
      </c>
      <c r="AW194" s="90">
        <f t="shared" ref="AW194:AW257" si="62">AV194*0.03</f>
        <v>3</v>
      </c>
      <c r="AX194" s="163">
        <v>0</v>
      </c>
    </row>
    <row r="195" spans="1:50" x14ac:dyDescent="0.6">
      <c r="A195" s="214" t="s">
        <v>813</v>
      </c>
      <c r="B195" s="13" t="s">
        <v>2175</v>
      </c>
      <c r="C195" s="219" t="s">
        <v>428</v>
      </c>
      <c r="D195" s="216" t="s">
        <v>203</v>
      </c>
      <c r="E195" s="217" t="s">
        <v>246</v>
      </c>
      <c r="F195" s="217" t="s">
        <v>394</v>
      </c>
      <c r="G195" s="218">
        <v>25454</v>
      </c>
      <c r="H195" s="217" t="s">
        <v>830</v>
      </c>
      <c r="I195" s="217" t="s">
        <v>783</v>
      </c>
      <c r="J195" s="217" t="s">
        <v>1069</v>
      </c>
      <c r="K195" s="217" t="s">
        <v>690</v>
      </c>
      <c r="L195" s="220">
        <v>436729659</v>
      </c>
      <c r="M195" s="206">
        <v>131134120</v>
      </c>
      <c r="N195" s="206">
        <v>305595540</v>
      </c>
      <c r="O195" s="206">
        <v>388455876</v>
      </c>
      <c r="P195" s="206">
        <v>16230918</v>
      </c>
      <c r="Q195" s="206">
        <v>19676309</v>
      </c>
      <c r="R195" s="206">
        <v>17916229</v>
      </c>
      <c r="S195" s="32">
        <v>0</v>
      </c>
      <c r="T195" s="32">
        <v>0</v>
      </c>
      <c r="U195" s="32">
        <v>0</v>
      </c>
      <c r="V195" s="266">
        <f t="shared" si="49"/>
        <v>50</v>
      </c>
      <c r="W195" s="90">
        <f t="shared" si="50"/>
        <v>0.5</v>
      </c>
      <c r="X195" s="32">
        <v>0</v>
      </c>
      <c r="Y195" s="32">
        <v>0</v>
      </c>
      <c r="Z195" s="267">
        <f t="shared" si="51"/>
        <v>0</v>
      </c>
      <c r="AA195" s="268">
        <f t="shared" si="52"/>
        <v>33.333333333333336</v>
      </c>
      <c r="AB195" s="90">
        <f t="shared" si="53"/>
        <v>0.33333333333333337</v>
      </c>
      <c r="AC195" s="32">
        <v>0</v>
      </c>
      <c r="AD195" s="32">
        <v>0</v>
      </c>
      <c r="AE195" s="252">
        <f t="shared" si="54"/>
        <v>25</v>
      </c>
      <c r="AF195" s="90">
        <f t="shared" si="55"/>
        <v>0.5</v>
      </c>
      <c r="AG195" s="32">
        <v>0</v>
      </c>
      <c r="AH195" s="247">
        <f t="shared" si="56"/>
        <v>25</v>
      </c>
      <c r="AI195" s="91">
        <f t="shared" si="57"/>
        <v>0.25</v>
      </c>
      <c r="AJ195" s="32"/>
      <c r="AK195" s="32">
        <v>0</v>
      </c>
      <c r="AL195" s="32">
        <v>0</v>
      </c>
      <c r="AM195" s="32">
        <v>0</v>
      </c>
      <c r="AN195" s="32">
        <v>0</v>
      </c>
      <c r="AO195" s="247">
        <f t="shared" si="48"/>
        <v>0</v>
      </c>
      <c r="AP195" s="247">
        <f t="shared" si="58"/>
        <v>25</v>
      </c>
      <c r="AQ195" s="90">
        <f t="shared" si="59"/>
        <v>0.5</v>
      </c>
      <c r="AR195" s="32">
        <v>0</v>
      </c>
      <c r="AS195" s="32">
        <v>0</v>
      </c>
      <c r="AT195" s="32">
        <v>0</v>
      </c>
      <c r="AU195" s="272" t="str">
        <f t="shared" si="60"/>
        <v>A</v>
      </c>
      <c r="AV195" s="247">
        <f t="shared" si="61"/>
        <v>100</v>
      </c>
      <c r="AW195" s="90">
        <f t="shared" si="62"/>
        <v>3</v>
      </c>
      <c r="AX195" s="163">
        <f t="shared" ref="AX195:AX257" si="63">W195+AB195+AF195+AI195+AQ195+AW195</f>
        <v>5.0833333333333339</v>
      </c>
    </row>
    <row r="196" spans="1:50" x14ac:dyDescent="0.6">
      <c r="A196" s="214" t="s">
        <v>1757</v>
      </c>
      <c r="B196" s="13" t="s">
        <v>2176</v>
      </c>
      <c r="C196" s="219" t="s">
        <v>1758</v>
      </c>
      <c r="D196" s="14" t="s">
        <v>202</v>
      </c>
      <c r="E196" s="217" t="s">
        <v>593</v>
      </c>
      <c r="F196" s="217" t="s">
        <v>1759</v>
      </c>
      <c r="G196" s="218">
        <v>44383</v>
      </c>
      <c r="H196" s="217" t="s">
        <v>830</v>
      </c>
      <c r="I196" s="217" t="s">
        <v>1760</v>
      </c>
      <c r="J196" s="217" t="s">
        <v>1761</v>
      </c>
      <c r="K196" s="217" t="s">
        <v>346</v>
      </c>
      <c r="L196" s="220">
        <v>490185292</v>
      </c>
      <c r="M196" s="206">
        <v>160877015</v>
      </c>
      <c r="N196" s="206">
        <v>329308277</v>
      </c>
      <c r="O196" s="206">
        <v>853045926</v>
      </c>
      <c r="P196" s="206">
        <v>11254172</v>
      </c>
      <c r="Q196" s="206">
        <v>25536401</v>
      </c>
      <c r="R196" s="206">
        <v>19988516</v>
      </c>
      <c r="S196" s="32">
        <v>0</v>
      </c>
      <c r="T196" s="32">
        <v>0</v>
      </c>
      <c r="U196" s="32">
        <v>0</v>
      </c>
      <c r="V196" s="266">
        <f t="shared" si="49"/>
        <v>50</v>
      </c>
      <c r="W196" s="90">
        <f t="shared" si="50"/>
        <v>0.5</v>
      </c>
      <c r="X196" s="32">
        <v>0</v>
      </c>
      <c r="Y196" s="32">
        <v>0</v>
      </c>
      <c r="Z196" s="267">
        <f t="shared" si="51"/>
        <v>0</v>
      </c>
      <c r="AA196" s="268">
        <f t="shared" si="52"/>
        <v>33.333333333333336</v>
      </c>
      <c r="AB196" s="90">
        <f t="shared" si="53"/>
        <v>0.33333333333333337</v>
      </c>
      <c r="AC196" s="32">
        <v>0</v>
      </c>
      <c r="AD196" s="32">
        <v>1</v>
      </c>
      <c r="AE196" s="252">
        <f t="shared" si="54"/>
        <v>75</v>
      </c>
      <c r="AF196" s="90">
        <f t="shared" si="55"/>
        <v>1.5</v>
      </c>
      <c r="AG196" s="32">
        <v>2</v>
      </c>
      <c r="AH196" s="247">
        <f t="shared" si="56"/>
        <v>75</v>
      </c>
      <c r="AI196" s="91">
        <f t="shared" si="57"/>
        <v>0.75</v>
      </c>
      <c r="AJ196" s="32"/>
      <c r="AK196" s="32">
        <v>0</v>
      </c>
      <c r="AL196" s="32">
        <v>0</v>
      </c>
      <c r="AM196" s="32">
        <v>0</v>
      </c>
      <c r="AN196" s="32">
        <v>0</v>
      </c>
      <c r="AO196" s="247">
        <f t="shared" si="48"/>
        <v>0</v>
      </c>
      <c r="AP196" s="247">
        <f t="shared" si="58"/>
        <v>25</v>
      </c>
      <c r="AQ196" s="90">
        <f t="shared" si="59"/>
        <v>0.5</v>
      </c>
      <c r="AR196" s="32">
        <v>0</v>
      </c>
      <c r="AS196" s="32">
        <v>0</v>
      </c>
      <c r="AT196" s="32">
        <v>0</v>
      </c>
      <c r="AU196" s="272" t="str">
        <f t="shared" si="60"/>
        <v>A</v>
      </c>
      <c r="AV196" s="247">
        <f t="shared" si="61"/>
        <v>100</v>
      </c>
      <c r="AW196" s="90">
        <f t="shared" si="62"/>
        <v>3</v>
      </c>
      <c r="AX196" s="163">
        <f t="shared" si="63"/>
        <v>6.5833333333333339</v>
      </c>
    </row>
    <row r="197" spans="1:50" x14ac:dyDescent="0.6">
      <c r="A197" s="214" t="s">
        <v>524</v>
      </c>
      <c r="B197" s="13" t="s">
        <v>2177</v>
      </c>
      <c r="C197" s="219" t="s">
        <v>905</v>
      </c>
      <c r="D197" s="216" t="s">
        <v>203</v>
      </c>
      <c r="E197" s="217" t="s">
        <v>246</v>
      </c>
      <c r="F197" s="217" t="s">
        <v>1190</v>
      </c>
      <c r="G197" s="218">
        <v>35669</v>
      </c>
      <c r="H197" s="217" t="s">
        <v>830</v>
      </c>
      <c r="I197" s="217" t="s">
        <v>760</v>
      </c>
      <c r="J197" s="217" t="s">
        <v>1090</v>
      </c>
      <c r="K197" s="217" t="s">
        <v>317</v>
      </c>
      <c r="L197" s="220">
        <v>169880794</v>
      </c>
      <c r="M197" s="206">
        <v>10753658</v>
      </c>
      <c r="N197" s="206">
        <v>159127136</v>
      </c>
      <c r="O197" s="206">
        <v>80968867</v>
      </c>
      <c r="P197" s="206">
        <v>2227640</v>
      </c>
      <c r="Q197" s="206">
        <v>2895711</v>
      </c>
      <c r="R197" s="206">
        <v>2402054</v>
      </c>
      <c r="S197" s="32">
        <v>0</v>
      </c>
      <c r="T197" s="32">
        <v>0</v>
      </c>
      <c r="U197" s="32">
        <v>0</v>
      </c>
      <c r="V197" s="266">
        <f t="shared" si="49"/>
        <v>50</v>
      </c>
      <c r="W197" s="90">
        <f t="shared" si="50"/>
        <v>0.5</v>
      </c>
      <c r="X197" s="32">
        <v>0</v>
      </c>
      <c r="Y197" s="32">
        <v>0</v>
      </c>
      <c r="Z197" s="267">
        <f t="shared" si="51"/>
        <v>0</v>
      </c>
      <c r="AA197" s="268">
        <f t="shared" si="52"/>
        <v>33.333333333333336</v>
      </c>
      <c r="AB197" s="90">
        <f t="shared" si="53"/>
        <v>0.33333333333333337</v>
      </c>
      <c r="AC197" s="32">
        <v>0</v>
      </c>
      <c r="AD197" s="32">
        <v>1</v>
      </c>
      <c r="AE197" s="252">
        <f t="shared" si="54"/>
        <v>75</v>
      </c>
      <c r="AF197" s="90">
        <f t="shared" si="55"/>
        <v>1.5</v>
      </c>
      <c r="AG197" s="32">
        <v>0</v>
      </c>
      <c r="AH197" s="247">
        <f t="shared" si="56"/>
        <v>25</v>
      </c>
      <c r="AI197" s="91">
        <f t="shared" si="57"/>
        <v>0.25</v>
      </c>
      <c r="AJ197" s="32"/>
      <c r="AK197" s="32">
        <v>1</v>
      </c>
      <c r="AL197" s="32">
        <v>0</v>
      </c>
      <c r="AM197" s="32">
        <v>0</v>
      </c>
      <c r="AN197" s="32">
        <v>0</v>
      </c>
      <c r="AO197" s="247">
        <f t="shared" si="48"/>
        <v>1</v>
      </c>
      <c r="AP197" s="247">
        <f t="shared" si="58"/>
        <v>50</v>
      </c>
      <c r="AQ197" s="90">
        <f t="shared" si="59"/>
        <v>1</v>
      </c>
      <c r="AR197" s="32">
        <v>0</v>
      </c>
      <c r="AS197" s="32">
        <v>0</v>
      </c>
      <c r="AT197" s="32">
        <v>0</v>
      </c>
      <c r="AU197" s="272" t="str">
        <f t="shared" si="60"/>
        <v>A</v>
      </c>
      <c r="AV197" s="247">
        <f t="shared" si="61"/>
        <v>100</v>
      </c>
      <c r="AW197" s="90">
        <f t="shared" si="62"/>
        <v>3</v>
      </c>
      <c r="AX197" s="163">
        <f t="shared" si="63"/>
        <v>6.5833333333333339</v>
      </c>
    </row>
    <row r="198" spans="1:50" x14ac:dyDescent="0.6">
      <c r="A198" s="214" t="s">
        <v>506</v>
      </c>
      <c r="B198" s="13" t="s">
        <v>2178</v>
      </c>
      <c r="C198" s="219" t="s">
        <v>453</v>
      </c>
      <c r="D198" s="216" t="s">
        <v>285</v>
      </c>
      <c r="E198" s="217" t="s">
        <v>245</v>
      </c>
      <c r="F198" s="217" t="s">
        <v>344</v>
      </c>
      <c r="G198" s="218">
        <v>40024</v>
      </c>
      <c r="H198" s="217" t="s">
        <v>830</v>
      </c>
      <c r="I198" s="217" t="s">
        <v>724</v>
      </c>
      <c r="J198" s="1" t="s">
        <v>2306</v>
      </c>
      <c r="K198" s="217" t="s">
        <v>91</v>
      </c>
      <c r="L198" s="220">
        <v>1895028518</v>
      </c>
      <c r="M198" s="206">
        <v>309482206</v>
      </c>
      <c r="N198" s="206">
        <v>1585546312</v>
      </c>
      <c r="O198" s="206">
        <v>2130649097</v>
      </c>
      <c r="P198" s="206">
        <v>241563536</v>
      </c>
      <c r="Q198" s="206">
        <v>256945444</v>
      </c>
      <c r="R198" s="206">
        <v>204214530</v>
      </c>
      <c r="S198" s="32">
        <v>1</v>
      </c>
      <c r="T198" s="32">
        <v>0</v>
      </c>
      <c r="U198" s="32">
        <v>0</v>
      </c>
      <c r="V198" s="266">
        <f t="shared" si="49"/>
        <v>100</v>
      </c>
      <c r="W198" s="90">
        <f t="shared" si="50"/>
        <v>1</v>
      </c>
      <c r="X198" s="32">
        <v>0</v>
      </c>
      <c r="Y198" s="32">
        <v>0</v>
      </c>
      <c r="Z198" s="267">
        <f t="shared" si="51"/>
        <v>0</v>
      </c>
      <c r="AA198" s="268">
        <f t="shared" si="52"/>
        <v>33.333333333333336</v>
      </c>
      <c r="AB198" s="90">
        <f t="shared" si="53"/>
        <v>0.33333333333333337</v>
      </c>
      <c r="AC198" s="32">
        <v>0</v>
      </c>
      <c r="AD198" s="32">
        <v>1</v>
      </c>
      <c r="AE198" s="252">
        <f t="shared" si="54"/>
        <v>75</v>
      </c>
      <c r="AF198" s="90">
        <f t="shared" si="55"/>
        <v>1.5</v>
      </c>
      <c r="AG198" s="32">
        <v>2</v>
      </c>
      <c r="AH198" s="247">
        <f t="shared" si="56"/>
        <v>75</v>
      </c>
      <c r="AI198" s="91">
        <f t="shared" si="57"/>
        <v>0.75</v>
      </c>
      <c r="AJ198" s="32"/>
      <c r="AK198" s="32">
        <v>0</v>
      </c>
      <c r="AL198" s="32">
        <v>0</v>
      </c>
      <c r="AM198" s="32">
        <v>0</v>
      </c>
      <c r="AN198" s="32">
        <v>0</v>
      </c>
      <c r="AO198" s="247">
        <f t="shared" si="48"/>
        <v>0</v>
      </c>
      <c r="AP198" s="247">
        <f t="shared" si="58"/>
        <v>25</v>
      </c>
      <c r="AQ198" s="90">
        <f t="shared" si="59"/>
        <v>0.5</v>
      </c>
      <c r="AR198" s="32">
        <v>0</v>
      </c>
      <c r="AS198" s="32">
        <v>0</v>
      </c>
      <c r="AT198" s="32">
        <v>0</v>
      </c>
      <c r="AU198" s="272" t="str">
        <f t="shared" si="60"/>
        <v>A</v>
      </c>
      <c r="AV198" s="247">
        <f t="shared" si="61"/>
        <v>100</v>
      </c>
      <c r="AW198" s="90">
        <f t="shared" si="62"/>
        <v>3</v>
      </c>
      <c r="AX198" s="163">
        <f t="shared" si="63"/>
        <v>7.0833333333333339</v>
      </c>
    </row>
    <row r="199" spans="1:50" x14ac:dyDescent="0.6">
      <c r="A199" s="214" t="s">
        <v>1762</v>
      </c>
      <c r="B199" s="13" t="s">
        <v>2179</v>
      </c>
      <c r="C199" s="219" t="s">
        <v>864</v>
      </c>
      <c r="D199" s="216" t="s">
        <v>191</v>
      </c>
      <c r="E199" s="217" t="s">
        <v>1029</v>
      </c>
      <c r="F199" s="217" t="s">
        <v>1002</v>
      </c>
      <c r="G199" s="218">
        <v>35249</v>
      </c>
      <c r="H199" s="217" t="s">
        <v>830</v>
      </c>
      <c r="I199" s="217" t="s">
        <v>718</v>
      </c>
      <c r="J199" s="217" t="s">
        <v>1122</v>
      </c>
      <c r="K199" s="217" t="s">
        <v>690</v>
      </c>
      <c r="L199" s="220">
        <v>203654155</v>
      </c>
      <c r="M199" s="206">
        <v>67128963</v>
      </c>
      <c r="N199" s="206">
        <v>136525192</v>
      </c>
      <c r="O199" s="206">
        <v>105452639</v>
      </c>
      <c r="P199" s="206">
        <v>7856944</v>
      </c>
      <c r="Q199" s="206">
        <v>10061299</v>
      </c>
      <c r="R199" s="206">
        <v>7970141</v>
      </c>
      <c r="S199" s="32">
        <v>0</v>
      </c>
      <c r="T199" s="32">
        <v>0</v>
      </c>
      <c r="U199" s="32">
        <v>0</v>
      </c>
      <c r="V199" s="266">
        <f t="shared" si="49"/>
        <v>50</v>
      </c>
      <c r="W199" s="90">
        <f t="shared" si="50"/>
        <v>0.5</v>
      </c>
      <c r="X199" s="32">
        <v>0</v>
      </c>
      <c r="Y199" s="32">
        <v>0</v>
      </c>
      <c r="Z199" s="267">
        <f t="shared" si="51"/>
        <v>0</v>
      </c>
      <c r="AA199" s="268">
        <f t="shared" si="52"/>
        <v>33.333333333333336</v>
      </c>
      <c r="AB199" s="90">
        <f t="shared" si="53"/>
        <v>0.33333333333333337</v>
      </c>
      <c r="AC199" s="32">
        <v>0</v>
      </c>
      <c r="AD199" s="32">
        <v>0</v>
      </c>
      <c r="AE199" s="252">
        <f t="shared" si="54"/>
        <v>25</v>
      </c>
      <c r="AF199" s="90">
        <f t="shared" si="55"/>
        <v>0.5</v>
      </c>
      <c r="AG199" s="32">
        <v>0</v>
      </c>
      <c r="AH199" s="247">
        <f t="shared" si="56"/>
        <v>25</v>
      </c>
      <c r="AI199" s="91">
        <f t="shared" si="57"/>
        <v>0.25</v>
      </c>
      <c r="AJ199" s="32"/>
      <c r="AK199" s="32">
        <v>0</v>
      </c>
      <c r="AL199" s="32">
        <v>0</v>
      </c>
      <c r="AM199" s="32">
        <v>0</v>
      </c>
      <c r="AN199" s="32">
        <v>0</v>
      </c>
      <c r="AO199" s="247">
        <f t="shared" si="48"/>
        <v>0</v>
      </c>
      <c r="AP199" s="247">
        <f t="shared" si="58"/>
        <v>25</v>
      </c>
      <c r="AQ199" s="90">
        <f t="shared" si="59"/>
        <v>0.5</v>
      </c>
      <c r="AR199" s="32">
        <v>0</v>
      </c>
      <c r="AS199" s="32">
        <v>0</v>
      </c>
      <c r="AT199" s="32">
        <v>0</v>
      </c>
      <c r="AU199" s="272" t="str">
        <f t="shared" si="60"/>
        <v>A</v>
      </c>
      <c r="AV199" s="247">
        <f t="shared" si="61"/>
        <v>100</v>
      </c>
      <c r="AW199" s="90">
        <f t="shared" si="62"/>
        <v>3</v>
      </c>
      <c r="AX199" s="163">
        <f t="shared" si="63"/>
        <v>5.0833333333333339</v>
      </c>
    </row>
    <row r="200" spans="1:50" x14ac:dyDescent="0.6">
      <c r="A200" s="214" t="s">
        <v>792</v>
      </c>
      <c r="B200" s="13" t="s">
        <v>2180</v>
      </c>
      <c r="C200" s="219" t="s">
        <v>518</v>
      </c>
      <c r="D200" s="216" t="s">
        <v>191</v>
      </c>
      <c r="E200" s="217" t="s">
        <v>178</v>
      </c>
      <c r="F200" s="217" t="s">
        <v>280</v>
      </c>
      <c r="G200" s="218">
        <v>42923</v>
      </c>
      <c r="H200" s="217" t="s">
        <v>830</v>
      </c>
      <c r="I200" s="217" t="s">
        <v>702</v>
      </c>
      <c r="J200" s="217" t="s">
        <v>1181</v>
      </c>
      <c r="K200" s="217" t="s">
        <v>91</v>
      </c>
      <c r="L200" s="220">
        <v>1228500766</v>
      </c>
      <c r="M200" s="206">
        <v>276810740</v>
      </c>
      <c r="N200" s="206">
        <v>951690026</v>
      </c>
      <c r="O200" s="206">
        <v>939112572</v>
      </c>
      <c r="P200" s="206">
        <v>140231959</v>
      </c>
      <c r="Q200" s="206">
        <v>140016468</v>
      </c>
      <c r="R200" s="206">
        <v>104657276</v>
      </c>
      <c r="S200" s="32">
        <v>0</v>
      </c>
      <c r="T200" s="32">
        <v>1</v>
      </c>
      <c r="U200" s="32">
        <v>0</v>
      </c>
      <c r="V200" s="266">
        <f t="shared" si="49"/>
        <v>100</v>
      </c>
      <c r="W200" s="90">
        <f t="shared" si="50"/>
        <v>1</v>
      </c>
      <c r="X200" s="32">
        <v>0</v>
      </c>
      <c r="Y200" s="32">
        <v>1</v>
      </c>
      <c r="Z200" s="267">
        <f t="shared" si="51"/>
        <v>1</v>
      </c>
      <c r="AA200" s="268">
        <f t="shared" si="52"/>
        <v>66.666666666666671</v>
      </c>
      <c r="AB200" s="90">
        <f t="shared" si="53"/>
        <v>0.66666666666666674</v>
      </c>
      <c r="AC200" s="32">
        <v>0</v>
      </c>
      <c r="AD200" s="32">
        <v>1</v>
      </c>
      <c r="AE200" s="252">
        <f t="shared" si="54"/>
        <v>75</v>
      </c>
      <c r="AF200" s="90">
        <f t="shared" si="55"/>
        <v>1.5</v>
      </c>
      <c r="AG200" s="32">
        <v>0</v>
      </c>
      <c r="AH200" s="247">
        <f t="shared" si="56"/>
        <v>25</v>
      </c>
      <c r="AI200" s="91">
        <f t="shared" si="57"/>
        <v>0.25</v>
      </c>
      <c r="AJ200" s="32"/>
      <c r="AK200" s="32">
        <v>1</v>
      </c>
      <c r="AL200" s="32">
        <v>0</v>
      </c>
      <c r="AM200" s="32">
        <v>0</v>
      </c>
      <c r="AN200" s="32">
        <v>0</v>
      </c>
      <c r="AO200" s="247">
        <f t="shared" si="48"/>
        <v>1</v>
      </c>
      <c r="AP200" s="247">
        <f t="shared" si="58"/>
        <v>50</v>
      </c>
      <c r="AQ200" s="90">
        <f t="shared" si="59"/>
        <v>1</v>
      </c>
      <c r="AR200" s="32">
        <v>0</v>
      </c>
      <c r="AS200" s="32">
        <v>0</v>
      </c>
      <c r="AT200" s="32">
        <v>0</v>
      </c>
      <c r="AU200" s="272" t="str">
        <f t="shared" si="60"/>
        <v>A</v>
      </c>
      <c r="AV200" s="247">
        <f t="shared" si="61"/>
        <v>100</v>
      </c>
      <c r="AW200" s="90">
        <f t="shared" si="62"/>
        <v>3</v>
      </c>
      <c r="AX200" s="163">
        <f t="shared" si="63"/>
        <v>7.416666666666667</v>
      </c>
    </row>
    <row r="201" spans="1:50" x14ac:dyDescent="0.6">
      <c r="A201" s="214" t="s">
        <v>1763</v>
      </c>
      <c r="B201" s="13" t="s">
        <v>2181</v>
      </c>
      <c r="C201" s="219" t="s">
        <v>1764</v>
      </c>
      <c r="D201" s="14" t="s">
        <v>202</v>
      </c>
      <c r="E201" s="217" t="s">
        <v>572</v>
      </c>
      <c r="F201" s="217" t="s">
        <v>1765</v>
      </c>
      <c r="G201" s="218">
        <v>38861</v>
      </c>
      <c r="H201" s="217" t="s">
        <v>830</v>
      </c>
      <c r="I201" s="217" t="s">
        <v>1766</v>
      </c>
      <c r="J201" s="217" t="s">
        <v>1767</v>
      </c>
      <c r="K201" s="217" t="s">
        <v>317</v>
      </c>
      <c r="L201" s="220">
        <v>285172713</v>
      </c>
      <c r="M201" s="206">
        <v>183290683</v>
      </c>
      <c r="N201" s="206">
        <v>101882030</v>
      </c>
      <c r="O201" s="206">
        <v>252909508</v>
      </c>
      <c r="P201" s="206">
        <v>22627714</v>
      </c>
      <c r="Q201" s="206">
        <v>24143944</v>
      </c>
      <c r="R201" s="206">
        <v>20922790</v>
      </c>
      <c r="S201" s="32">
        <v>0</v>
      </c>
      <c r="T201" s="32">
        <v>0</v>
      </c>
      <c r="U201" s="32">
        <v>0</v>
      </c>
      <c r="V201" s="266">
        <f t="shared" si="49"/>
        <v>50</v>
      </c>
      <c r="W201" s="90">
        <f t="shared" si="50"/>
        <v>0.5</v>
      </c>
      <c r="X201" s="32">
        <v>0</v>
      </c>
      <c r="Y201" s="32">
        <v>0</v>
      </c>
      <c r="Z201" s="267">
        <f t="shared" si="51"/>
        <v>0</v>
      </c>
      <c r="AA201" s="268">
        <f t="shared" si="52"/>
        <v>33.333333333333336</v>
      </c>
      <c r="AB201" s="90">
        <f t="shared" si="53"/>
        <v>0.33333333333333337</v>
      </c>
      <c r="AC201" s="32">
        <v>0</v>
      </c>
      <c r="AD201" s="32">
        <v>0</v>
      </c>
      <c r="AE201" s="252">
        <f t="shared" si="54"/>
        <v>25</v>
      </c>
      <c r="AF201" s="90">
        <f t="shared" si="55"/>
        <v>0.5</v>
      </c>
      <c r="AG201" s="32">
        <v>0</v>
      </c>
      <c r="AH201" s="247">
        <f t="shared" si="56"/>
        <v>25</v>
      </c>
      <c r="AI201" s="91">
        <f t="shared" si="57"/>
        <v>0.25</v>
      </c>
      <c r="AJ201" s="32"/>
      <c r="AK201" s="32">
        <v>1</v>
      </c>
      <c r="AL201" s="32">
        <v>0</v>
      </c>
      <c r="AM201" s="32">
        <v>0</v>
      </c>
      <c r="AN201" s="32">
        <v>0</v>
      </c>
      <c r="AO201" s="247">
        <f t="shared" si="48"/>
        <v>1</v>
      </c>
      <c r="AP201" s="247">
        <f t="shared" si="58"/>
        <v>50</v>
      </c>
      <c r="AQ201" s="90">
        <f t="shared" si="59"/>
        <v>1</v>
      </c>
      <c r="AR201" s="32">
        <v>0</v>
      </c>
      <c r="AS201" s="32">
        <v>0</v>
      </c>
      <c r="AT201" s="32">
        <v>0</v>
      </c>
      <c r="AU201" s="272" t="str">
        <f t="shared" si="60"/>
        <v>A</v>
      </c>
      <c r="AV201" s="247">
        <f t="shared" si="61"/>
        <v>100</v>
      </c>
      <c r="AW201" s="90">
        <f t="shared" si="62"/>
        <v>3</v>
      </c>
      <c r="AX201" s="163">
        <f t="shared" si="63"/>
        <v>5.5833333333333339</v>
      </c>
    </row>
    <row r="202" spans="1:50" x14ac:dyDescent="0.6">
      <c r="A202" s="214" t="s">
        <v>1768</v>
      </c>
      <c r="B202" s="13" t="s">
        <v>2182</v>
      </c>
      <c r="C202" s="219" t="s">
        <v>1769</v>
      </c>
      <c r="D202" s="14" t="s">
        <v>285</v>
      </c>
      <c r="E202" s="217" t="s">
        <v>1770</v>
      </c>
      <c r="F202" s="217" t="s">
        <v>1771</v>
      </c>
      <c r="G202" s="218">
        <v>39233</v>
      </c>
      <c r="H202" s="217" t="s">
        <v>830</v>
      </c>
      <c r="I202" s="217" t="s">
        <v>1772</v>
      </c>
      <c r="J202" s="217" t="s">
        <v>1773</v>
      </c>
      <c r="K202" s="217" t="s">
        <v>690</v>
      </c>
      <c r="L202" s="220">
        <v>675351513</v>
      </c>
      <c r="M202" s="206">
        <v>277354565</v>
      </c>
      <c r="N202" s="206">
        <v>397996948</v>
      </c>
      <c r="O202" s="206">
        <v>731149922</v>
      </c>
      <c r="P202" s="206">
        <v>30772712</v>
      </c>
      <c r="Q202" s="206">
        <v>12835237</v>
      </c>
      <c r="R202" s="206">
        <v>6907900</v>
      </c>
      <c r="S202" s="32">
        <v>0</v>
      </c>
      <c r="T202" s="32">
        <v>0</v>
      </c>
      <c r="U202" s="32">
        <v>0</v>
      </c>
      <c r="V202" s="266">
        <f t="shared" si="49"/>
        <v>50</v>
      </c>
      <c r="W202" s="90">
        <f t="shared" si="50"/>
        <v>0.5</v>
      </c>
      <c r="X202" s="32">
        <v>0</v>
      </c>
      <c r="Y202" s="32">
        <v>0</v>
      </c>
      <c r="Z202" s="267">
        <f t="shared" si="51"/>
        <v>0</v>
      </c>
      <c r="AA202" s="268">
        <f t="shared" si="52"/>
        <v>33.333333333333336</v>
      </c>
      <c r="AB202" s="90">
        <f t="shared" si="53"/>
        <v>0.33333333333333337</v>
      </c>
      <c r="AC202" s="32">
        <v>0</v>
      </c>
      <c r="AD202" s="32">
        <v>0</v>
      </c>
      <c r="AE202" s="252">
        <f t="shared" si="54"/>
        <v>25</v>
      </c>
      <c r="AF202" s="90">
        <f t="shared" si="55"/>
        <v>0.5</v>
      </c>
      <c r="AG202" s="32">
        <v>0</v>
      </c>
      <c r="AH202" s="247">
        <f t="shared" si="56"/>
        <v>25</v>
      </c>
      <c r="AI202" s="91">
        <f t="shared" si="57"/>
        <v>0.25</v>
      </c>
      <c r="AJ202" s="32"/>
      <c r="AK202" s="32">
        <v>0</v>
      </c>
      <c r="AL202" s="32">
        <v>0</v>
      </c>
      <c r="AM202" s="32">
        <v>0</v>
      </c>
      <c r="AN202" s="32">
        <v>0</v>
      </c>
      <c r="AO202" s="247">
        <f t="shared" si="48"/>
        <v>0</v>
      </c>
      <c r="AP202" s="247">
        <f t="shared" si="58"/>
        <v>25</v>
      </c>
      <c r="AQ202" s="90">
        <f t="shared" si="59"/>
        <v>0.5</v>
      </c>
      <c r="AR202" s="32">
        <v>0</v>
      </c>
      <c r="AS202" s="32">
        <v>0</v>
      </c>
      <c r="AT202" s="32">
        <v>0</v>
      </c>
      <c r="AU202" s="272" t="str">
        <f t="shared" si="60"/>
        <v>A</v>
      </c>
      <c r="AV202" s="247">
        <f t="shared" si="61"/>
        <v>100</v>
      </c>
      <c r="AW202" s="90">
        <f t="shared" si="62"/>
        <v>3</v>
      </c>
      <c r="AX202" s="163">
        <f t="shared" si="63"/>
        <v>5.0833333333333339</v>
      </c>
    </row>
    <row r="203" spans="1:50" x14ac:dyDescent="0.6">
      <c r="A203" s="214" t="s">
        <v>326</v>
      </c>
      <c r="B203" s="13" t="s">
        <v>2183</v>
      </c>
      <c r="C203" s="219" t="s">
        <v>76</v>
      </c>
      <c r="D203" s="216" t="s">
        <v>191</v>
      </c>
      <c r="E203" s="217" t="s">
        <v>34</v>
      </c>
      <c r="F203" s="217" t="s">
        <v>126</v>
      </c>
      <c r="G203" s="218">
        <v>39378</v>
      </c>
      <c r="H203" s="217" t="s">
        <v>830</v>
      </c>
      <c r="I203" s="217" t="s">
        <v>706</v>
      </c>
      <c r="J203" s="217" t="s">
        <v>1097</v>
      </c>
      <c r="K203" s="217" t="s">
        <v>855</v>
      </c>
      <c r="L203" s="220">
        <v>417890867</v>
      </c>
      <c r="M203" s="206">
        <v>80034380</v>
      </c>
      <c r="N203" s="206">
        <v>337856486</v>
      </c>
      <c r="O203" s="206">
        <v>262522023</v>
      </c>
      <c r="P203" s="206">
        <v>48213162</v>
      </c>
      <c r="Q203" s="206">
        <v>53424815</v>
      </c>
      <c r="R203" s="206">
        <v>45275094</v>
      </c>
      <c r="S203" s="32">
        <v>0</v>
      </c>
      <c r="T203" s="32">
        <v>0</v>
      </c>
      <c r="U203" s="32">
        <v>0</v>
      </c>
      <c r="V203" s="266">
        <f t="shared" si="49"/>
        <v>50</v>
      </c>
      <c r="W203" s="90">
        <f t="shared" si="50"/>
        <v>0.5</v>
      </c>
      <c r="X203" s="32">
        <v>0</v>
      </c>
      <c r="Y203" s="32">
        <v>0</v>
      </c>
      <c r="Z203" s="267">
        <f t="shared" si="51"/>
        <v>0</v>
      </c>
      <c r="AA203" s="268">
        <f t="shared" si="52"/>
        <v>33.333333333333336</v>
      </c>
      <c r="AB203" s="90">
        <f t="shared" si="53"/>
        <v>0.33333333333333337</v>
      </c>
      <c r="AC203" s="32">
        <v>0</v>
      </c>
      <c r="AD203" s="32">
        <v>1</v>
      </c>
      <c r="AE203" s="252">
        <f t="shared" si="54"/>
        <v>75</v>
      </c>
      <c r="AF203" s="90">
        <f t="shared" si="55"/>
        <v>1.5</v>
      </c>
      <c r="AG203" s="32">
        <v>0</v>
      </c>
      <c r="AH203" s="247">
        <f t="shared" si="56"/>
        <v>25</v>
      </c>
      <c r="AI203" s="91">
        <f t="shared" si="57"/>
        <v>0.25</v>
      </c>
      <c r="AJ203" s="32"/>
      <c r="AK203" s="32">
        <v>0</v>
      </c>
      <c r="AL203" s="32">
        <v>0</v>
      </c>
      <c r="AM203" s="32">
        <v>0</v>
      </c>
      <c r="AN203" s="32">
        <v>0</v>
      </c>
      <c r="AO203" s="247">
        <f t="shared" si="48"/>
        <v>0</v>
      </c>
      <c r="AP203" s="247">
        <f t="shared" si="58"/>
        <v>25</v>
      </c>
      <c r="AQ203" s="90">
        <f t="shared" si="59"/>
        <v>0.5</v>
      </c>
      <c r="AR203" s="32">
        <v>0</v>
      </c>
      <c r="AS203" s="32">
        <v>0</v>
      </c>
      <c r="AT203" s="32">
        <v>0</v>
      </c>
      <c r="AU203" s="272" t="str">
        <f t="shared" si="60"/>
        <v>A</v>
      </c>
      <c r="AV203" s="247">
        <f t="shared" si="61"/>
        <v>100</v>
      </c>
      <c r="AW203" s="90">
        <f t="shared" si="62"/>
        <v>3</v>
      </c>
      <c r="AX203" s="163">
        <f t="shared" si="63"/>
        <v>6.0833333333333339</v>
      </c>
    </row>
    <row r="204" spans="1:50" x14ac:dyDescent="0.6">
      <c r="A204" s="214" t="s">
        <v>824</v>
      </c>
      <c r="B204" s="13" t="s">
        <v>2184</v>
      </c>
      <c r="C204" s="219" t="s">
        <v>944</v>
      </c>
      <c r="D204" s="216" t="s">
        <v>203</v>
      </c>
      <c r="E204" s="217" t="s">
        <v>180</v>
      </c>
      <c r="F204" s="217" t="s">
        <v>121</v>
      </c>
      <c r="G204" s="218">
        <v>38324</v>
      </c>
      <c r="H204" s="217" t="s">
        <v>830</v>
      </c>
      <c r="I204" s="217" t="s">
        <v>1774</v>
      </c>
      <c r="J204" s="217" t="s">
        <v>1083</v>
      </c>
      <c r="K204" s="217" t="s">
        <v>91</v>
      </c>
      <c r="L204" s="220">
        <v>1081099768</v>
      </c>
      <c r="M204" s="206">
        <v>439582782</v>
      </c>
      <c r="N204" s="206">
        <v>641516987</v>
      </c>
      <c r="O204" s="206">
        <v>792569992</v>
      </c>
      <c r="P204" s="206">
        <v>95951025</v>
      </c>
      <c r="Q204" s="206">
        <v>117596454</v>
      </c>
      <c r="R204" s="206">
        <v>117383163</v>
      </c>
      <c r="S204" s="32">
        <v>0</v>
      </c>
      <c r="T204" s="32">
        <v>0</v>
      </c>
      <c r="U204" s="32">
        <v>0</v>
      </c>
      <c r="V204" s="266">
        <f t="shared" si="49"/>
        <v>50</v>
      </c>
      <c r="W204" s="90">
        <f t="shared" si="50"/>
        <v>0.5</v>
      </c>
      <c r="X204" s="32">
        <v>0</v>
      </c>
      <c r="Y204" s="32">
        <v>0</v>
      </c>
      <c r="Z204" s="267">
        <f t="shared" si="51"/>
        <v>0</v>
      </c>
      <c r="AA204" s="268">
        <f t="shared" si="52"/>
        <v>33.333333333333336</v>
      </c>
      <c r="AB204" s="90">
        <f t="shared" si="53"/>
        <v>0.33333333333333337</v>
      </c>
      <c r="AC204" s="32">
        <v>0</v>
      </c>
      <c r="AD204" s="32">
        <v>1</v>
      </c>
      <c r="AE204" s="252">
        <f t="shared" si="54"/>
        <v>75</v>
      </c>
      <c r="AF204" s="90">
        <f t="shared" si="55"/>
        <v>1.5</v>
      </c>
      <c r="AG204" s="32">
        <v>2</v>
      </c>
      <c r="AH204" s="247">
        <f t="shared" si="56"/>
        <v>75</v>
      </c>
      <c r="AI204" s="91">
        <f t="shared" si="57"/>
        <v>0.75</v>
      </c>
      <c r="AJ204" s="32"/>
      <c r="AK204" s="32">
        <v>1</v>
      </c>
      <c r="AL204" s="32">
        <v>0</v>
      </c>
      <c r="AM204" s="32">
        <v>0</v>
      </c>
      <c r="AN204" s="32">
        <v>0</v>
      </c>
      <c r="AO204" s="247">
        <f t="shared" si="48"/>
        <v>1</v>
      </c>
      <c r="AP204" s="247">
        <f t="shared" si="58"/>
        <v>50</v>
      </c>
      <c r="AQ204" s="90">
        <f t="shared" si="59"/>
        <v>1</v>
      </c>
      <c r="AR204" s="32">
        <v>0</v>
      </c>
      <c r="AS204" s="32">
        <v>0</v>
      </c>
      <c r="AT204" s="32">
        <v>0</v>
      </c>
      <c r="AU204" s="272" t="str">
        <f t="shared" si="60"/>
        <v>A</v>
      </c>
      <c r="AV204" s="247">
        <f t="shared" si="61"/>
        <v>100</v>
      </c>
      <c r="AW204" s="90">
        <f t="shared" si="62"/>
        <v>3</v>
      </c>
      <c r="AX204" s="163">
        <f t="shared" si="63"/>
        <v>7.0833333333333339</v>
      </c>
    </row>
    <row r="205" spans="1:50" x14ac:dyDescent="0.6">
      <c r="A205" s="214" t="s">
        <v>1775</v>
      </c>
      <c r="B205" s="13" t="s">
        <v>2185</v>
      </c>
      <c r="C205" s="219" t="s">
        <v>355</v>
      </c>
      <c r="D205" s="216" t="s">
        <v>191</v>
      </c>
      <c r="E205" s="217" t="s">
        <v>977</v>
      </c>
      <c r="F205" s="217" t="s">
        <v>962</v>
      </c>
      <c r="G205" s="218">
        <v>32856</v>
      </c>
      <c r="H205" s="217" t="s">
        <v>830</v>
      </c>
      <c r="I205" s="217" t="s">
        <v>803</v>
      </c>
      <c r="J205" s="217" t="s">
        <v>1108</v>
      </c>
      <c r="K205" s="217" t="s">
        <v>690</v>
      </c>
      <c r="L205" s="220">
        <v>219850861</v>
      </c>
      <c r="M205" s="206">
        <v>106769427</v>
      </c>
      <c r="N205" s="206">
        <v>113081434</v>
      </c>
      <c r="O205" s="206">
        <v>103067188</v>
      </c>
      <c r="P205" s="206">
        <v>4420274</v>
      </c>
      <c r="Q205" s="206">
        <v>926544</v>
      </c>
      <c r="R205" s="206">
        <v>3447674</v>
      </c>
      <c r="S205" s="32">
        <v>0</v>
      </c>
      <c r="T205" s="32">
        <v>0</v>
      </c>
      <c r="U205" s="32">
        <v>0</v>
      </c>
      <c r="V205" s="266">
        <f t="shared" si="49"/>
        <v>50</v>
      </c>
      <c r="W205" s="90">
        <f t="shared" si="50"/>
        <v>0.5</v>
      </c>
      <c r="X205" s="32">
        <v>0</v>
      </c>
      <c r="Y205" s="32">
        <v>0</v>
      </c>
      <c r="Z205" s="267">
        <f t="shared" si="51"/>
        <v>0</v>
      </c>
      <c r="AA205" s="268">
        <f t="shared" si="52"/>
        <v>33.333333333333336</v>
      </c>
      <c r="AB205" s="90">
        <f t="shared" si="53"/>
        <v>0.33333333333333337</v>
      </c>
      <c r="AC205" s="32">
        <v>0</v>
      </c>
      <c r="AD205" s="32">
        <v>1</v>
      </c>
      <c r="AE205" s="252">
        <f t="shared" si="54"/>
        <v>75</v>
      </c>
      <c r="AF205" s="90">
        <f t="shared" si="55"/>
        <v>1.5</v>
      </c>
      <c r="AG205" s="180">
        <v>0</v>
      </c>
      <c r="AH205" s="247">
        <f t="shared" si="56"/>
        <v>25</v>
      </c>
      <c r="AI205" s="91">
        <f t="shared" si="57"/>
        <v>0.25</v>
      </c>
      <c r="AJ205" s="32"/>
      <c r="AK205" s="32">
        <v>0</v>
      </c>
      <c r="AL205" s="32">
        <v>0</v>
      </c>
      <c r="AM205" s="32">
        <v>0</v>
      </c>
      <c r="AN205" s="32">
        <v>0</v>
      </c>
      <c r="AO205" s="247">
        <f t="shared" si="48"/>
        <v>0</v>
      </c>
      <c r="AP205" s="247">
        <f t="shared" si="58"/>
        <v>25</v>
      </c>
      <c r="AQ205" s="90">
        <f t="shared" si="59"/>
        <v>0.5</v>
      </c>
      <c r="AR205" s="32">
        <v>0</v>
      </c>
      <c r="AS205" s="32">
        <v>0</v>
      </c>
      <c r="AT205" s="32">
        <v>0</v>
      </c>
      <c r="AU205" s="272" t="str">
        <f t="shared" si="60"/>
        <v>A</v>
      </c>
      <c r="AV205" s="247">
        <f t="shared" si="61"/>
        <v>100</v>
      </c>
      <c r="AW205" s="90">
        <f t="shared" si="62"/>
        <v>3</v>
      </c>
      <c r="AX205" s="163">
        <f t="shared" si="63"/>
        <v>6.0833333333333339</v>
      </c>
    </row>
    <row r="206" spans="1:50" x14ac:dyDescent="0.6">
      <c r="A206" s="214" t="s">
        <v>871</v>
      </c>
      <c r="B206" s="13" t="s">
        <v>2186</v>
      </c>
      <c r="C206" s="219" t="s">
        <v>20</v>
      </c>
      <c r="D206" s="216" t="s">
        <v>285</v>
      </c>
      <c r="E206" s="217" t="s">
        <v>999</v>
      </c>
      <c r="F206" s="217" t="s">
        <v>1007</v>
      </c>
      <c r="G206" s="218">
        <v>38204</v>
      </c>
      <c r="H206" s="217" t="s">
        <v>830</v>
      </c>
      <c r="I206" s="217" t="s">
        <v>331</v>
      </c>
      <c r="J206" s="217" t="s">
        <v>1212</v>
      </c>
      <c r="K206" s="217" t="s">
        <v>690</v>
      </c>
      <c r="L206" s="220">
        <v>475552210</v>
      </c>
      <c r="M206" s="206">
        <v>243500167</v>
      </c>
      <c r="N206" s="206">
        <v>232052043</v>
      </c>
      <c r="O206" s="206">
        <v>729811429</v>
      </c>
      <c r="P206" s="206">
        <v>47569618</v>
      </c>
      <c r="Q206" s="206">
        <v>37906414</v>
      </c>
      <c r="R206" s="206">
        <v>29707608</v>
      </c>
      <c r="S206" s="32">
        <v>0</v>
      </c>
      <c r="T206" s="32">
        <v>0</v>
      </c>
      <c r="U206" s="32">
        <v>0</v>
      </c>
      <c r="V206" s="266">
        <f t="shared" si="49"/>
        <v>50</v>
      </c>
      <c r="W206" s="90">
        <f t="shared" si="50"/>
        <v>0.5</v>
      </c>
      <c r="X206" s="32">
        <v>0</v>
      </c>
      <c r="Y206" s="32">
        <v>0</v>
      </c>
      <c r="Z206" s="267">
        <f t="shared" si="51"/>
        <v>0</v>
      </c>
      <c r="AA206" s="268">
        <f t="shared" si="52"/>
        <v>33.333333333333336</v>
      </c>
      <c r="AB206" s="90">
        <f t="shared" si="53"/>
        <v>0.33333333333333337</v>
      </c>
      <c r="AC206" s="32">
        <v>0</v>
      </c>
      <c r="AD206" s="32">
        <v>0</v>
      </c>
      <c r="AE206" s="252">
        <f t="shared" si="54"/>
        <v>25</v>
      </c>
      <c r="AF206" s="90">
        <f t="shared" si="55"/>
        <v>0.5</v>
      </c>
      <c r="AG206" s="180">
        <v>0</v>
      </c>
      <c r="AH206" s="247">
        <f t="shared" si="56"/>
        <v>25</v>
      </c>
      <c r="AI206" s="91">
        <f t="shared" si="57"/>
        <v>0.25</v>
      </c>
      <c r="AJ206" s="32"/>
      <c r="AK206" s="32">
        <v>0</v>
      </c>
      <c r="AL206" s="32">
        <v>0</v>
      </c>
      <c r="AM206" s="32">
        <v>0</v>
      </c>
      <c r="AN206" s="32">
        <v>0</v>
      </c>
      <c r="AO206" s="247">
        <f t="shared" si="48"/>
        <v>0</v>
      </c>
      <c r="AP206" s="247">
        <f t="shared" si="58"/>
        <v>25</v>
      </c>
      <c r="AQ206" s="90">
        <f t="shared" si="59"/>
        <v>0.5</v>
      </c>
      <c r="AR206" s="32">
        <v>0</v>
      </c>
      <c r="AS206" s="32">
        <v>0</v>
      </c>
      <c r="AT206" s="32">
        <v>0</v>
      </c>
      <c r="AU206" s="272" t="str">
        <f t="shared" si="60"/>
        <v>A</v>
      </c>
      <c r="AV206" s="247">
        <f t="shared" si="61"/>
        <v>100</v>
      </c>
      <c r="AW206" s="90">
        <f t="shared" si="62"/>
        <v>3</v>
      </c>
      <c r="AX206" s="163">
        <f t="shared" si="63"/>
        <v>5.0833333333333339</v>
      </c>
    </row>
    <row r="207" spans="1:50" x14ac:dyDescent="0.6">
      <c r="A207" s="214" t="s">
        <v>560</v>
      </c>
      <c r="B207" s="13" t="s">
        <v>2187</v>
      </c>
      <c r="C207" s="219" t="s">
        <v>11</v>
      </c>
      <c r="D207" s="221" t="s">
        <v>350</v>
      </c>
      <c r="E207" s="217" t="s">
        <v>179</v>
      </c>
      <c r="F207" s="217" t="s">
        <v>992</v>
      </c>
      <c r="G207" s="218">
        <v>32163</v>
      </c>
      <c r="H207" s="217" t="s">
        <v>830</v>
      </c>
      <c r="I207" s="217" t="s">
        <v>786</v>
      </c>
      <c r="J207" s="217" t="s">
        <v>1211</v>
      </c>
      <c r="K207" s="217" t="s">
        <v>91</v>
      </c>
      <c r="L207" s="220">
        <v>12900025445</v>
      </c>
      <c r="M207" s="206">
        <v>11393545083</v>
      </c>
      <c r="N207" s="206">
        <v>1506480362</v>
      </c>
      <c r="O207" s="206">
        <v>2449590915</v>
      </c>
      <c r="P207" s="206">
        <v>49619816</v>
      </c>
      <c r="Q207" s="206">
        <v>61425265</v>
      </c>
      <c r="R207" s="206">
        <v>38657881</v>
      </c>
      <c r="S207" s="32">
        <v>0</v>
      </c>
      <c r="T207" s="32">
        <v>0</v>
      </c>
      <c r="U207" s="32">
        <v>0</v>
      </c>
      <c r="V207" s="266">
        <f t="shared" si="49"/>
        <v>50</v>
      </c>
      <c r="W207" s="90">
        <f t="shared" si="50"/>
        <v>0.5</v>
      </c>
      <c r="X207" s="32">
        <v>0</v>
      </c>
      <c r="Y207" s="32">
        <v>0</v>
      </c>
      <c r="Z207" s="267">
        <f t="shared" si="51"/>
        <v>0</v>
      </c>
      <c r="AA207" s="268">
        <f t="shared" si="52"/>
        <v>33.333333333333336</v>
      </c>
      <c r="AB207" s="90">
        <f t="shared" si="53"/>
        <v>0.33333333333333337</v>
      </c>
      <c r="AC207" s="32">
        <v>0</v>
      </c>
      <c r="AD207" s="32">
        <v>0</v>
      </c>
      <c r="AE207" s="252">
        <f t="shared" si="54"/>
        <v>25</v>
      </c>
      <c r="AF207" s="90">
        <f t="shared" si="55"/>
        <v>0.5</v>
      </c>
      <c r="AG207" s="180">
        <v>0</v>
      </c>
      <c r="AH207" s="247">
        <f t="shared" si="56"/>
        <v>25</v>
      </c>
      <c r="AI207" s="91">
        <f t="shared" si="57"/>
        <v>0.25</v>
      </c>
      <c r="AJ207" s="32"/>
      <c r="AK207" s="32">
        <v>0</v>
      </c>
      <c r="AL207" s="32">
        <v>0</v>
      </c>
      <c r="AM207" s="32">
        <v>0</v>
      </c>
      <c r="AN207" s="32">
        <v>0</v>
      </c>
      <c r="AO207" s="247">
        <f t="shared" si="48"/>
        <v>0</v>
      </c>
      <c r="AP207" s="247">
        <f t="shared" si="58"/>
        <v>25</v>
      </c>
      <c r="AQ207" s="90">
        <f t="shared" si="59"/>
        <v>0.5</v>
      </c>
      <c r="AR207" s="32">
        <v>0</v>
      </c>
      <c r="AS207" s="32">
        <v>0</v>
      </c>
      <c r="AT207" s="32">
        <v>0</v>
      </c>
      <c r="AU207" s="272" t="str">
        <f t="shared" si="60"/>
        <v>A</v>
      </c>
      <c r="AV207" s="247">
        <f t="shared" si="61"/>
        <v>100</v>
      </c>
      <c r="AW207" s="90">
        <f t="shared" si="62"/>
        <v>3</v>
      </c>
      <c r="AX207" s="163">
        <v>0</v>
      </c>
    </row>
    <row r="208" spans="1:50" x14ac:dyDescent="0.6">
      <c r="A208" s="214" t="s">
        <v>1776</v>
      </c>
      <c r="B208" s="13" t="s">
        <v>2188</v>
      </c>
      <c r="C208" s="219" t="s">
        <v>53</v>
      </c>
      <c r="D208" s="221" t="s">
        <v>350</v>
      </c>
      <c r="E208" s="217" t="s">
        <v>179</v>
      </c>
      <c r="F208" s="217" t="s">
        <v>620</v>
      </c>
      <c r="G208" s="218">
        <v>32013</v>
      </c>
      <c r="H208" s="217" t="s">
        <v>830</v>
      </c>
      <c r="I208" s="217" t="s">
        <v>631</v>
      </c>
      <c r="J208" s="217" t="s">
        <v>1123</v>
      </c>
      <c r="K208" s="217" t="s">
        <v>91</v>
      </c>
      <c r="L208" s="220">
        <v>7518981791</v>
      </c>
      <c r="M208" s="206">
        <v>6570247685</v>
      </c>
      <c r="N208" s="206">
        <v>948734106</v>
      </c>
      <c r="O208" s="206">
        <v>1456503449</v>
      </c>
      <c r="P208" s="206">
        <v>11313859</v>
      </c>
      <c r="Q208" s="206">
        <v>9393410</v>
      </c>
      <c r="R208" s="206">
        <v>3677466</v>
      </c>
      <c r="S208" s="32">
        <v>0</v>
      </c>
      <c r="T208" s="32">
        <v>0</v>
      </c>
      <c r="U208" s="32">
        <v>0</v>
      </c>
      <c r="V208" s="266">
        <f t="shared" si="49"/>
        <v>50</v>
      </c>
      <c r="W208" s="90">
        <f t="shared" si="50"/>
        <v>0.5</v>
      </c>
      <c r="X208" s="32">
        <v>0</v>
      </c>
      <c r="Y208" s="32">
        <v>0</v>
      </c>
      <c r="Z208" s="267">
        <f t="shared" si="51"/>
        <v>0</v>
      </c>
      <c r="AA208" s="268">
        <f t="shared" si="52"/>
        <v>33.333333333333336</v>
      </c>
      <c r="AB208" s="90">
        <f t="shared" si="53"/>
        <v>0.33333333333333337</v>
      </c>
      <c r="AC208" s="32">
        <v>0</v>
      </c>
      <c r="AD208" s="32">
        <v>0</v>
      </c>
      <c r="AE208" s="252">
        <f t="shared" si="54"/>
        <v>25</v>
      </c>
      <c r="AF208" s="90">
        <f t="shared" si="55"/>
        <v>0.5</v>
      </c>
      <c r="AG208" s="180">
        <v>0</v>
      </c>
      <c r="AH208" s="247">
        <f t="shared" si="56"/>
        <v>25</v>
      </c>
      <c r="AI208" s="91">
        <f t="shared" si="57"/>
        <v>0.25</v>
      </c>
      <c r="AJ208" s="32"/>
      <c r="AK208" s="32">
        <v>0</v>
      </c>
      <c r="AL208" s="32">
        <v>0</v>
      </c>
      <c r="AM208" s="32">
        <v>0</v>
      </c>
      <c r="AN208" s="32">
        <v>0</v>
      </c>
      <c r="AO208" s="247">
        <f t="shared" si="48"/>
        <v>0</v>
      </c>
      <c r="AP208" s="247">
        <f t="shared" si="58"/>
        <v>25</v>
      </c>
      <c r="AQ208" s="90">
        <f t="shared" si="59"/>
        <v>0.5</v>
      </c>
      <c r="AR208" s="32">
        <v>0</v>
      </c>
      <c r="AS208" s="32">
        <v>0</v>
      </c>
      <c r="AT208" s="32">
        <v>0</v>
      </c>
      <c r="AU208" s="272" t="str">
        <f t="shared" si="60"/>
        <v>A</v>
      </c>
      <c r="AV208" s="247">
        <f t="shared" si="61"/>
        <v>100</v>
      </c>
      <c r="AW208" s="90">
        <f t="shared" si="62"/>
        <v>3</v>
      </c>
      <c r="AX208" s="163">
        <v>0</v>
      </c>
    </row>
    <row r="209" spans="1:50" x14ac:dyDescent="0.6">
      <c r="A209" s="214" t="s">
        <v>405</v>
      </c>
      <c r="B209" s="13" t="s">
        <v>2189</v>
      </c>
      <c r="C209" s="219" t="s">
        <v>522</v>
      </c>
      <c r="D209" s="216" t="s">
        <v>191</v>
      </c>
      <c r="E209" s="217" t="s">
        <v>34</v>
      </c>
      <c r="F209" s="217" t="s">
        <v>116</v>
      </c>
      <c r="G209" s="218">
        <v>22951</v>
      </c>
      <c r="H209" s="217" t="s">
        <v>830</v>
      </c>
      <c r="I209" s="217" t="s">
        <v>258</v>
      </c>
      <c r="J209" s="217" t="s">
        <v>1114</v>
      </c>
      <c r="K209" s="217" t="s">
        <v>91</v>
      </c>
      <c r="L209" s="220">
        <v>2274482334</v>
      </c>
      <c r="M209" s="206">
        <v>333634565</v>
      </c>
      <c r="N209" s="206">
        <v>1940847769</v>
      </c>
      <c r="O209" s="206">
        <v>1726364617</v>
      </c>
      <c r="P209" s="206">
        <v>41119507</v>
      </c>
      <c r="Q209" s="206">
        <v>153965942</v>
      </c>
      <c r="R209" s="206">
        <v>130274124</v>
      </c>
      <c r="S209" s="32">
        <v>1</v>
      </c>
      <c r="T209" s="32">
        <v>0</v>
      </c>
      <c r="U209" s="32">
        <v>0</v>
      </c>
      <c r="V209" s="266">
        <f t="shared" si="49"/>
        <v>100</v>
      </c>
      <c r="W209" s="90">
        <f t="shared" si="50"/>
        <v>1</v>
      </c>
      <c r="X209" s="32">
        <v>0</v>
      </c>
      <c r="Y209" s="32">
        <v>0</v>
      </c>
      <c r="Z209" s="267">
        <f t="shared" si="51"/>
        <v>0</v>
      </c>
      <c r="AA209" s="268">
        <f t="shared" si="52"/>
        <v>33.333333333333336</v>
      </c>
      <c r="AB209" s="90">
        <f t="shared" si="53"/>
        <v>0.33333333333333337</v>
      </c>
      <c r="AC209" s="32">
        <v>0</v>
      </c>
      <c r="AD209" s="32">
        <v>1</v>
      </c>
      <c r="AE209" s="252">
        <f t="shared" si="54"/>
        <v>75</v>
      </c>
      <c r="AF209" s="90">
        <f t="shared" si="55"/>
        <v>1.5</v>
      </c>
      <c r="AG209" s="32">
        <v>3</v>
      </c>
      <c r="AH209" s="247">
        <f t="shared" si="56"/>
        <v>100</v>
      </c>
      <c r="AI209" s="91">
        <f t="shared" si="57"/>
        <v>1</v>
      </c>
      <c r="AJ209" s="32"/>
      <c r="AK209" s="32">
        <v>1</v>
      </c>
      <c r="AL209" s="32">
        <v>0</v>
      </c>
      <c r="AM209" s="32">
        <v>0</v>
      </c>
      <c r="AN209" s="32">
        <v>0</v>
      </c>
      <c r="AO209" s="247">
        <f t="shared" si="48"/>
        <v>1</v>
      </c>
      <c r="AP209" s="247">
        <f t="shared" si="58"/>
        <v>50</v>
      </c>
      <c r="AQ209" s="90">
        <f t="shared" si="59"/>
        <v>1</v>
      </c>
      <c r="AR209" s="32">
        <v>0</v>
      </c>
      <c r="AS209" s="32">
        <v>0</v>
      </c>
      <c r="AT209" s="32">
        <v>0</v>
      </c>
      <c r="AU209" s="272" t="str">
        <f t="shared" si="60"/>
        <v>A</v>
      </c>
      <c r="AV209" s="247">
        <f t="shared" si="61"/>
        <v>100</v>
      </c>
      <c r="AW209" s="90">
        <f t="shared" si="62"/>
        <v>3</v>
      </c>
      <c r="AX209" s="163">
        <f t="shared" si="63"/>
        <v>7.8333333333333339</v>
      </c>
    </row>
    <row r="210" spans="1:50" x14ac:dyDescent="0.6">
      <c r="A210" s="214" t="s">
        <v>942</v>
      </c>
      <c r="B210" s="13" t="s">
        <v>2190</v>
      </c>
      <c r="C210" s="219" t="s">
        <v>477</v>
      </c>
      <c r="D210" s="216" t="s">
        <v>203</v>
      </c>
      <c r="E210" s="217" t="s">
        <v>200</v>
      </c>
      <c r="F210" s="217" t="s">
        <v>654</v>
      </c>
      <c r="G210" s="218">
        <v>34929</v>
      </c>
      <c r="H210" s="217" t="s">
        <v>830</v>
      </c>
      <c r="I210" s="217" t="s">
        <v>997</v>
      </c>
      <c r="J210" s="217" t="s">
        <v>1074</v>
      </c>
      <c r="K210" s="217" t="s">
        <v>690</v>
      </c>
      <c r="L210" s="220">
        <v>337212432</v>
      </c>
      <c r="M210" s="206">
        <v>209999598</v>
      </c>
      <c r="N210" s="206">
        <v>127212835</v>
      </c>
      <c r="O210" s="206">
        <v>429618752</v>
      </c>
      <c r="P210" s="206">
        <v>13690371</v>
      </c>
      <c r="Q210" s="206">
        <v>5164140</v>
      </c>
      <c r="R210" s="206">
        <v>5720773</v>
      </c>
      <c r="S210" s="32">
        <v>0</v>
      </c>
      <c r="T210" s="32">
        <v>0</v>
      </c>
      <c r="U210" s="32">
        <v>0</v>
      </c>
      <c r="V210" s="266">
        <f t="shared" si="49"/>
        <v>50</v>
      </c>
      <c r="W210" s="90">
        <f t="shared" si="50"/>
        <v>0.5</v>
      </c>
      <c r="X210" s="32">
        <v>0</v>
      </c>
      <c r="Y210" s="32">
        <v>0</v>
      </c>
      <c r="Z210" s="267">
        <f t="shared" si="51"/>
        <v>0</v>
      </c>
      <c r="AA210" s="268">
        <f t="shared" si="52"/>
        <v>33.333333333333336</v>
      </c>
      <c r="AB210" s="90">
        <f t="shared" si="53"/>
        <v>0.33333333333333337</v>
      </c>
      <c r="AC210" s="32">
        <v>0</v>
      </c>
      <c r="AD210" s="32">
        <v>0</v>
      </c>
      <c r="AE210" s="252">
        <f t="shared" si="54"/>
        <v>25</v>
      </c>
      <c r="AF210" s="90">
        <f t="shared" si="55"/>
        <v>0.5</v>
      </c>
      <c r="AG210" s="32">
        <v>0</v>
      </c>
      <c r="AH210" s="247">
        <f t="shared" si="56"/>
        <v>25</v>
      </c>
      <c r="AI210" s="91">
        <f t="shared" si="57"/>
        <v>0.25</v>
      </c>
      <c r="AJ210" s="32"/>
      <c r="AK210" s="32">
        <v>1</v>
      </c>
      <c r="AL210" s="32">
        <v>0</v>
      </c>
      <c r="AM210" s="32">
        <v>0</v>
      </c>
      <c r="AN210" s="32">
        <v>0</v>
      </c>
      <c r="AO210" s="247">
        <f t="shared" si="48"/>
        <v>1</v>
      </c>
      <c r="AP210" s="247">
        <f t="shared" si="58"/>
        <v>50</v>
      </c>
      <c r="AQ210" s="90">
        <f t="shared" si="59"/>
        <v>1</v>
      </c>
      <c r="AR210" s="32">
        <v>0</v>
      </c>
      <c r="AS210" s="32">
        <v>0</v>
      </c>
      <c r="AT210" s="32">
        <v>0</v>
      </c>
      <c r="AU210" s="272" t="str">
        <f t="shared" si="60"/>
        <v>A</v>
      </c>
      <c r="AV210" s="247">
        <f t="shared" si="61"/>
        <v>100</v>
      </c>
      <c r="AW210" s="90">
        <f t="shared" si="62"/>
        <v>3</v>
      </c>
      <c r="AX210" s="163">
        <f t="shared" si="63"/>
        <v>5.5833333333333339</v>
      </c>
    </row>
    <row r="211" spans="1:50" x14ac:dyDescent="0.6">
      <c r="A211" s="214" t="s">
        <v>820</v>
      </c>
      <c r="B211" s="13" t="s">
        <v>2191</v>
      </c>
      <c r="C211" s="219" t="s">
        <v>419</v>
      </c>
      <c r="D211" s="216" t="s">
        <v>285</v>
      </c>
      <c r="E211" s="217" t="s">
        <v>796</v>
      </c>
      <c r="F211" s="217" t="s">
        <v>1015</v>
      </c>
      <c r="G211" s="218">
        <v>42202</v>
      </c>
      <c r="H211" s="217" t="s">
        <v>830</v>
      </c>
      <c r="I211" s="217" t="s">
        <v>784</v>
      </c>
      <c r="J211" s="217" t="s">
        <v>1104</v>
      </c>
      <c r="K211" s="217" t="s">
        <v>91</v>
      </c>
      <c r="L211" s="220">
        <v>1090534674</v>
      </c>
      <c r="M211" s="206">
        <v>385964079</v>
      </c>
      <c r="N211" s="206">
        <v>704570595</v>
      </c>
      <c r="O211" s="206">
        <v>487630665</v>
      </c>
      <c r="P211" s="206">
        <v>26670913</v>
      </c>
      <c r="Q211" s="206">
        <v>152059469</v>
      </c>
      <c r="R211" s="206">
        <v>126398998</v>
      </c>
      <c r="S211" s="32">
        <v>0</v>
      </c>
      <c r="T211" s="32">
        <v>0</v>
      </c>
      <c r="U211" s="32">
        <v>0</v>
      </c>
      <c r="V211" s="266">
        <f t="shared" si="49"/>
        <v>50</v>
      </c>
      <c r="W211" s="90">
        <f t="shared" si="50"/>
        <v>0.5</v>
      </c>
      <c r="X211" s="32">
        <v>0</v>
      </c>
      <c r="Y211" s="32">
        <v>0</v>
      </c>
      <c r="Z211" s="267">
        <f t="shared" si="51"/>
        <v>0</v>
      </c>
      <c r="AA211" s="268">
        <f t="shared" si="52"/>
        <v>33.333333333333336</v>
      </c>
      <c r="AB211" s="90">
        <f t="shared" si="53"/>
        <v>0.33333333333333337</v>
      </c>
      <c r="AC211" s="32">
        <v>0</v>
      </c>
      <c r="AD211" s="32">
        <v>0</v>
      </c>
      <c r="AE211" s="252">
        <f t="shared" si="54"/>
        <v>25</v>
      </c>
      <c r="AF211" s="90">
        <f t="shared" si="55"/>
        <v>0.5</v>
      </c>
      <c r="AG211" s="32">
        <v>0</v>
      </c>
      <c r="AH211" s="247">
        <f t="shared" si="56"/>
        <v>25</v>
      </c>
      <c r="AI211" s="91">
        <f t="shared" si="57"/>
        <v>0.25</v>
      </c>
      <c r="AJ211" s="32"/>
      <c r="AK211" s="32">
        <v>0</v>
      </c>
      <c r="AL211" s="32">
        <v>0</v>
      </c>
      <c r="AM211" s="32">
        <v>0</v>
      </c>
      <c r="AN211" s="32">
        <v>0</v>
      </c>
      <c r="AO211" s="247">
        <f t="shared" si="48"/>
        <v>0</v>
      </c>
      <c r="AP211" s="247">
        <f t="shared" si="58"/>
        <v>25</v>
      </c>
      <c r="AQ211" s="90">
        <f t="shared" si="59"/>
        <v>0.5</v>
      </c>
      <c r="AR211" s="32">
        <v>0</v>
      </c>
      <c r="AS211" s="32">
        <v>0</v>
      </c>
      <c r="AT211" s="32">
        <v>0</v>
      </c>
      <c r="AU211" s="272" t="str">
        <f t="shared" si="60"/>
        <v>A</v>
      </c>
      <c r="AV211" s="247">
        <f t="shared" si="61"/>
        <v>100</v>
      </c>
      <c r="AW211" s="90">
        <f t="shared" si="62"/>
        <v>3</v>
      </c>
      <c r="AX211" s="163">
        <f t="shared" si="63"/>
        <v>5.0833333333333339</v>
      </c>
    </row>
    <row r="212" spans="1:50" x14ac:dyDescent="0.6">
      <c r="A212" s="214" t="s">
        <v>831</v>
      </c>
      <c r="B212" s="13" t="s">
        <v>2192</v>
      </c>
      <c r="C212" s="219" t="s">
        <v>421</v>
      </c>
      <c r="D212" s="216" t="s">
        <v>285</v>
      </c>
      <c r="E212" s="217" t="s">
        <v>504</v>
      </c>
      <c r="F212" s="217" t="s">
        <v>879</v>
      </c>
      <c r="G212" s="218">
        <v>40704</v>
      </c>
      <c r="H212" s="217" t="s">
        <v>830</v>
      </c>
      <c r="I212" s="217" t="s">
        <v>778</v>
      </c>
      <c r="J212" s="217" t="s">
        <v>113</v>
      </c>
      <c r="K212" s="217" t="s">
        <v>91</v>
      </c>
      <c r="L212" s="220">
        <v>20129787392</v>
      </c>
      <c r="M212" s="206">
        <v>9708728742</v>
      </c>
      <c r="N212" s="206">
        <v>10421058650</v>
      </c>
      <c r="O212" s="206">
        <v>15486823899</v>
      </c>
      <c r="P212" s="206">
        <v>258855639</v>
      </c>
      <c r="Q212" s="206">
        <v>1381769677</v>
      </c>
      <c r="R212" s="206">
        <v>1050709937</v>
      </c>
      <c r="S212" s="32">
        <v>0</v>
      </c>
      <c r="T212" s="32">
        <v>0</v>
      </c>
      <c r="U212" s="32">
        <v>0</v>
      </c>
      <c r="V212" s="266">
        <f t="shared" si="49"/>
        <v>50</v>
      </c>
      <c r="W212" s="90">
        <f t="shared" si="50"/>
        <v>0.5</v>
      </c>
      <c r="X212" s="32">
        <v>0</v>
      </c>
      <c r="Y212" s="32">
        <v>0</v>
      </c>
      <c r="Z212" s="267">
        <f t="shared" si="51"/>
        <v>0</v>
      </c>
      <c r="AA212" s="268">
        <f t="shared" si="52"/>
        <v>33.333333333333336</v>
      </c>
      <c r="AB212" s="90">
        <f t="shared" si="53"/>
        <v>0.33333333333333337</v>
      </c>
      <c r="AC212" s="32">
        <v>0</v>
      </c>
      <c r="AD212" s="32">
        <v>0</v>
      </c>
      <c r="AE212" s="252">
        <f t="shared" si="54"/>
        <v>25</v>
      </c>
      <c r="AF212" s="90">
        <f t="shared" si="55"/>
        <v>0.5</v>
      </c>
      <c r="AG212" s="32">
        <v>0</v>
      </c>
      <c r="AH212" s="247">
        <f t="shared" si="56"/>
        <v>25</v>
      </c>
      <c r="AI212" s="91">
        <f t="shared" si="57"/>
        <v>0.25</v>
      </c>
      <c r="AJ212" s="32"/>
      <c r="AK212" s="32">
        <v>1</v>
      </c>
      <c r="AL212" s="32">
        <v>0</v>
      </c>
      <c r="AM212" s="32">
        <v>0</v>
      </c>
      <c r="AN212" s="32">
        <v>0</v>
      </c>
      <c r="AO212" s="247">
        <f t="shared" si="48"/>
        <v>1</v>
      </c>
      <c r="AP212" s="247">
        <f t="shared" si="58"/>
        <v>50</v>
      </c>
      <c r="AQ212" s="90">
        <f t="shared" si="59"/>
        <v>1</v>
      </c>
      <c r="AR212" s="32">
        <v>0</v>
      </c>
      <c r="AS212" s="32">
        <v>1</v>
      </c>
      <c r="AT212" s="32">
        <v>0</v>
      </c>
      <c r="AU212" s="272" t="str">
        <f t="shared" si="60"/>
        <v>C</v>
      </c>
      <c r="AV212" s="247">
        <f t="shared" si="61"/>
        <v>50</v>
      </c>
      <c r="AW212" s="90">
        <f t="shared" si="62"/>
        <v>1.5</v>
      </c>
      <c r="AX212" s="163">
        <f t="shared" si="63"/>
        <v>4.0833333333333339</v>
      </c>
    </row>
    <row r="213" spans="1:50" x14ac:dyDescent="0.6">
      <c r="A213" s="214" t="s">
        <v>1777</v>
      </c>
      <c r="B213" s="13" t="s">
        <v>2193</v>
      </c>
      <c r="C213" s="219" t="s">
        <v>1778</v>
      </c>
      <c r="D213" s="14" t="s">
        <v>202</v>
      </c>
      <c r="E213" s="217" t="s">
        <v>205</v>
      </c>
      <c r="F213" s="217" t="s">
        <v>1779</v>
      </c>
      <c r="G213" s="218">
        <v>37901</v>
      </c>
      <c r="H213" s="217" t="s">
        <v>830</v>
      </c>
      <c r="I213" s="217" t="s">
        <v>1780</v>
      </c>
      <c r="J213" s="217" t="s">
        <v>1781</v>
      </c>
      <c r="K213" s="217" t="s">
        <v>308</v>
      </c>
      <c r="L213" s="220">
        <v>462207021</v>
      </c>
      <c r="M213" s="206">
        <v>210809722</v>
      </c>
      <c r="N213" s="206">
        <v>251397299</v>
      </c>
      <c r="O213" s="206">
        <v>497212502</v>
      </c>
      <c r="P213" s="206">
        <v>96368755</v>
      </c>
      <c r="Q213" s="206">
        <v>91241096</v>
      </c>
      <c r="R213" s="206">
        <v>85549247</v>
      </c>
      <c r="S213" s="32">
        <v>0</v>
      </c>
      <c r="T213" s="32">
        <v>0</v>
      </c>
      <c r="U213" s="32">
        <v>0</v>
      </c>
      <c r="V213" s="266">
        <f t="shared" si="49"/>
        <v>50</v>
      </c>
      <c r="W213" s="90">
        <f t="shared" si="50"/>
        <v>0.5</v>
      </c>
      <c r="X213" s="32">
        <v>0</v>
      </c>
      <c r="Y213" s="32">
        <v>0</v>
      </c>
      <c r="Z213" s="267">
        <f t="shared" si="51"/>
        <v>0</v>
      </c>
      <c r="AA213" s="268">
        <f t="shared" si="52"/>
        <v>33.333333333333336</v>
      </c>
      <c r="AB213" s="90">
        <f t="shared" si="53"/>
        <v>0.33333333333333337</v>
      </c>
      <c r="AC213" s="32">
        <v>0</v>
      </c>
      <c r="AD213" s="32">
        <v>1</v>
      </c>
      <c r="AE213" s="252">
        <f t="shared" si="54"/>
        <v>75</v>
      </c>
      <c r="AF213" s="90">
        <f t="shared" si="55"/>
        <v>1.5</v>
      </c>
      <c r="AG213" s="32">
        <v>0</v>
      </c>
      <c r="AH213" s="247">
        <f t="shared" si="56"/>
        <v>25</v>
      </c>
      <c r="AI213" s="91">
        <f t="shared" si="57"/>
        <v>0.25</v>
      </c>
      <c r="AJ213" s="32"/>
      <c r="AK213" s="32">
        <v>1</v>
      </c>
      <c r="AL213" s="32">
        <v>0</v>
      </c>
      <c r="AM213" s="32">
        <v>0</v>
      </c>
      <c r="AN213" s="32">
        <v>0</v>
      </c>
      <c r="AO213" s="247">
        <f t="shared" si="48"/>
        <v>1</v>
      </c>
      <c r="AP213" s="247">
        <f t="shared" si="58"/>
        <v>50</v>
      </c>
      <c r="AQ213" s="90">
        <f t="shared" si="59"/>
        <v>1</v>
      </c>
      <c r="AR213" s="32">
        <v>0</v>
      </c>
      <c r="AS213" s="32">
        <v>0</v>
      </c>
      <c r="AT213" s="32">
        <v>0</v>
      </c>
      <c r="AU213" s="272" t="str">
        <f t="shared" si="60"/>
        <v>A</v>
      </c>
      <c r="AV213" s="247">
        <f t="shared" si="61"/>
        <v>100</v>
      </c>
      <c r="AW213" s="90">
        <f t="shared" si="62"/>
        <v>3</v>
      </c>
      <c r="AX213" s="163">
        <f t="shared" si="63"/>
        <v>6.5833333333333339</v>
      </c>
    </row>
    <row r="214" spans="1:50" x14ac:dyDescent="0.6">
      <c r="A214" s="214" t="s">
        <v>488</v>
      </c>
      <c r="B214" s="13" t="s">
        <v>2194</v>
      </c>
      <c r="C214" s="219" t="s">
        <v>495</v>
      </c>
      <c r="D214" s="216" t="s">
        <v>191</v>
      </c>
      <c r="E214" s="217" t="s">
        <v>34</v>
      </c>
      <c r="F214" s="217" t="s">
        <v>234</v>
      </c>
      <c r="G214" s="218">
        <v>40339</v>
      </c>
      <c r="H214" s="217" t="s">
        <v>830</v>
      </c>
      <c r="I214" s="217" t="s">
        <v>959</v>
      </c>
      <c r="J214" s="217" t="s">
        <v>1070</v>
      </c>
      <c r="K214" s="217" t="s">
        <v>91</v>
      </c>
      <c r="L214" s="220">
        <v>479981348</v>
      </c>
      <c r="M214" s="206">
        <v>232687116</v>
      </c>
      <c r="N214" s="206">
        <v>247294232</v>
      </c>
      <c r="O214" s="206">
        <v>154038839</v>
      </c>
      <c r="P214" s="206">
        <v>5567015</v>
      </c>
      <c r="Q214" s="206">
        <v>5998079</v>
      </c>
      <c r="R214" s="206">
        <v>7325400</v>
      </c>
      <c r="S214" s="32">
        <v>0</v>
      </c>
      <c r="T214" s="32">
        <v>0</v>
      </c>
      <c r="U214" s="32">
        <v>0</v>
      </c>
      <c r="V214" s="266">
        <f t="shared" si="49"/>
        <v>50</v>
      </c>
      <c r="W214" s="90">
        <f t="shared" si="50"/>
        <v>0.5</v>
      </c>
      <c r="X214" s="32">
        <v>0</v>
      </c>
      <c r="Y214" s="32">
        <v>0</v>
      </c>
      <c r="Z214" s="267">
        <f t="shared" si="51"/>
        <v>0</v>
      </c>
      <c r="AA214" s="268">
        <f t="shared" si="52"/>
        <v>33.333333333333336</v>
      </c>
      <c r="AB214" s="90">
        <f t="shared" si="53"/>
        <v>0.33333333333333337</v>
      </c>
      <c r="AC214" s="32">
        <v>13000000</v>
      </c>
      <c r="AD214" s="32">
        <v>0</v>
      </c>
      <c r="AE214" s="252">
        <f t="shared" si="54"/>
        <v>50</v>
      </c>
      <c r="AF214" s="90">
        <f t="shared" si="55"/>
        <v>1</v>
      </c>
      <c r="AG214" s="32">
        <v>0</v>
      </c>
      <c r="AH214" s="247">
        <f t="shared" si="56"/>
        <v>25</v>
      </c>
      <c r="AI214" s="91">
        <f t="shared" si="57"/>
        <v>0.25</v>
      </c>
      <c r="AJ214" s="32"/>
      <c r="AK214" s="32">
        <v>0</v>
      </c>
      <c r="AL214" s="32">
        <v>0</v>
      </c>
      <c r="AM214" s="32">
        <v>0</v>
      </c>
      <c r="AN214" s="32">
        <v>0</v>
      </c>
      <c r="AO214" s="247">
        <f t="shared" si="48"/>
        <v>0</v>
      </c>
      <c r="AP214" s="247">
        <f t="shared" si="58"/>
        <v>25</v>
      </c>
      <c r="AQ214" s="90">
        <f t="shared" si="59"/>
        <v>0.5</v>
      </c>
      <c r="AR214" s="32">
        <v>0</v>
      </c>
      <c r="AS214" s="32">
        <v>0</v>
      </c>
      <c r="AT214" s="32">
        <v>0</v>
      </c>
      <c r="AU214" s="272" t="str">
        <f t="shared" si="60"/>
        <v>A</v>
      </c>
      <c r="AV214" s="247">
        <f t="shared" si="61"/>
        <v>100</v>
      </c>
      <c r="AW214" s="90">
        <f t="shared" si="62"/>
        <v>3</v>
      </c>
      <c r="AX214" s="163">
        <f t="shared" si="63"/>
        <v>5.5833333333333339</v>
      </c>
    </row>
    <row r="215" spans="1:50" x14ac:dyDescent="0.6">
      <c r="A215" s="214" t="s">
        <v>854</v>
      </c>
      <c r="B215" s="13" t="s">
        <v>2195</v>
      </c>
      <c r="C215" s="219" t="s">
        <v>324</v>
      </c>
      <c r="D215" s="216" t="s">
        <v>285</v>
      </c>
      <c r="E215" s="217" t="s">
        <v>978</v>
      </c>
      <c r="F215" s="217" t="s">
        <v>628</v>
      </c>
      <c r="G215" s="218">
        <v>39028</v>
      </c>
      <c r="H215" s="217" t="s">
        <v>830</v>
      </c>
      <c r="I215" s="217" t="s">
        <v>1782</v>
      </c>
      <c r="J215" s="217" t="s">
        <v>1073</v>
      </c>
      <c r="K215" s="217" t="s">
        <v>346</v>
      </c>
      <c r="L215" s="220">
        <v>425143163</v>
      </c>
      <c r="M215" s="206">
        <v>223549583</v>
      </c>
      <c r="N215" s="206">
        <v>201593580</v>
      </c>
      <c r="O215" s="206">
        <v>728356330</v>
      </c>
      <c r="P215" s="206">
        <v>8460657</v>
      </c>
      <c r="Q215" s="206">
        <v>15047784</v>
      </c>
      <c r="R215" s="206">
        <v>11942346</v>
      </c>
      <c r="S215" s="32">
        <v>0</v>
      </c>
      <c r="T215" s="32">
        <v>0</v>
      </c>
      <c r="U215" s="32">
        <v>0</v>
      </c>
      <c r="V215" s="266">
        <f t="shared" si="49"/>
        <v>50</v>
      </c>
      <c r="W215" s="90">
        <f t="shared" si="50"/>
        <v>0.5</v>
      </c>
      <c r="X215" s="32">
        <v>0</v>
      </c>
      <c r="Y215" s="32">
        <v>0</v>
      </c>
      <c r="Z215" s="267">
        <f t="shared" si="51"/>
        <v>0</v>
      </c>
      <c r="AA215" s="268">
        <f t="shared" si="52"/>
        <v>33.333333333333336</v>
      </c>
      <c r="AB215" s="90">
        <f t="shared" si="53"/>
        <v>0.33333333333333337</v>
      </c>
      <c r="AC215" s="32">
        <v>0</v>
      </c>
      <c r="AD215" s="32">
        <v>0</v>
      </c>
      <c r="AE215" s="252">
        <f t="shared" si="54"/>
        <v>25</v>
      </c>
      <c r="AF215" s="90">
        <f t="shared" si="55"/>
        <v>0.5</v>
      </c>
      <c r="AG215" s="32">
        <v>0</v>
      </c>
      <c r="AH215" s="247">
        <f t="shared" si="56"/>
        <v>25</v>
      </c>
      <c r="AI215" s="91">
        <f t="shared" si="57"/>
        <v>0.25</v>
      </c>
      <c r="AJ215" s="32"/>
      <c r="AK215" s="32">
        <v>0</v>
      </c>
      <c r="AL215" s="32">
        <v>0</v>
      </c>
      <c r="AM215" s="32">
        <v>0</v>
      </c>
      <c r="AN215" s="32">
        <v>0</v>
      </c>
      <c r="AO215" s="247">
        <f t="shared" si="48"/>
        <v>0</v>
      </c>
      <c r="AP215" s="247">
        <f t="shared" si="58"/>
        <v>25</v>
      </c>
      <c r="AQ215" s="90">
        <f t="shared" si="59"/>
        <v>0.5</v>
      </c>
      <c r="AR215" s="32">
        <v>0</v>
      </c>
      <c r="AS215" s="32">
        <v>0</v>
      </c>
      <c r="AT215" s="32">
        <v>0</v>
      </c>
      <c r="AU215" s="272" t="str">
        <f t="shared" si="60"/>
        <v>A</v>
      </c>
      <c r="AV215" s="247">
        <f t="shared" si="61"/>
        <v>100</v>
      </c>
      <c r="AW215" s="90">
        <f t="shared" si="62"/>
        <v>3</v>
      </c>
      <c r="AX215" s="163">
        <f t="shared" si="63"/>
        <v>5.0833333333333339</v>
      </c>
    </row>
    <row r="216" spans="1:50" x14ac:dyDescent="0.6">
      <c r="A216" s="214" t="s">
        <v>1783</v>
      </c>
      <c r="B216" s="13" t="s">
        <v>2196</v>
      </c>
      <c r="C216" s="219" t="s">
        <v>1784</v>
      </c>
      <c r="D216" s="14" t="s">
        <v>285</v>
      </c>
      <c r="E216" s="217" t="s">
        <v>1432</v>
      </c>
      <c r="F216" s="217" t="s">
        <v>1785</v>
      </c>
      <c r="G216" s="218">
        <v>40893</v>
      </c>
      <c r="H216" s="217" t="s">
        <v>830</v>
      </c>
      <c r="I216" s="217" t="s">
        <v>1786</v>
      </c>
      <c r="J216" s="217" t="s">
        <v>1787</v>
      </c>
      <c r="K216" s="217" t="s">
        <v>484</v>
      </c>
      <c r="L216" s="220">
        <v>385856608</v>
      </c>
      <c r="M216" s="206">
        <v>158877086</v>
      </c>
      <c r="N216" s="206">
        <v>226979522</v>
      </c>
      <c r="O216" s="206">
        <v>667448084</v>
      </c>
      <c r="P216" s="206">
        <v>26380166</v>
      </c>
      <c r="Q216" s="206">
        <v>27563574</v>
      </c>
      <c r="R216" s="206">
        <v>25353259</v>
      </c>
      <c r="S216" s="32">
        <v>0</v>
      </c>
      <c r="T216" s="32">
        <v>0</v>
      </c>
      <c r="U216" s="32">
        <v>0</v>
      </c>
      <c r="V216" s="266">
        <f t="shared" si="49"/>
        <v>50</v>
      </c>
      <c r="W216" s="90">
        <f t="shared" si="50"/>
        <v>0.5</v>
      </c>
      <c r="X216" s="32">
        <v>0</v>
      </c>
      <c r="Y216" s="32">
        <v>0</v>
      </c>
      <c r="Z216" s="267">
        <f t="shared" si="51"/>
        <v>0</v>
      </c>
      <c r="AA216" s="268">
        <f t="shared" si="52"/>
        <v>33.333333333333336</v>
      </c>
      <c r="AB216" s="90">
        <f t="shared" si="53"/>
        <v>0.33333333333333337</v>
      </c>
      <c r="AC216" s="32">
        <v>0</v>
      </c>
      <c r="AD216" s="32">
        <v>1</v>
      </c>
      <c r="AE216" s="252">
        <f t="shared" si="54"/>
        <v>75</v>
      </c>
      <c r="AF216" s="90">
        <f t="shared" si="55"/>
        <v>1.5</v>
      </c>
      <c r="AG216" s="32">
        <v>2</v>
      </c>
      <c r="AH216" s="247">
        <f t="shared" si="56"/>
        <v>75</v>
      </c>
      <c r="AI216" s="91">
        <f t="shared" si="57"/>
        <v>0.75</v>
      </c>
      <c r="AJ216" s="32"/>
      <c r="AK216" s="32">
        <v>0</v>
      </c>
      <c r="AL216" s="32">
        <v>1</v>
      </c>
      <c r="AM216" s="32">
        <v>0</v>
      </c>
      <c r="AN216" s="32">
        <v>0</v>
      </c>
      <c r="AO216" s="247">
        <f t="shared" si="48"/>
        <v>1</v>
      </c>
      <c r="AP216" s="247">
        <f t="shared" si="58"/>
        <v>50</v>
      </c>
      <c r="AQ216" s="90">
        <f t="shared" si="59"/>
        <v>1</v>
      </c>
      <c r="AR216" s="32">
        <v>0</v>
      </c>
      <c r="AS216" s="32">
        <v>0</v>
      </c>
      <c r="AT216" s="32">
        <v>1</v>
      </c>
      <c r="AU216" s="272" t="str">
        <f t="shared" si="60"/>
        <v>D</v>
      </c>
      <c r="AV216" s="247">
        <f t="shared" si="61"/>
        <v>25</v>
      </c>
      <c r="AW216" s="90">
        <f t="shared" si="62"/>
        <v>0.75</v>
      </c>
      <c r="AX216" s="163">
        <f t="shared" si="63"/>
        <v>4.8333333333333339</v>
      </c>
    </row>
    <row r="217" spans="1:50" x14ac:dyDescent="0.6">
      <c r="A217" s="214" t="s">
        <v>1788</v>
      </c>
      <c r="B217" s="13" t="s">
        <v>2197</v>
      </c>
      <c r="C217" s="219" t="s">
        <v>1789</v>
      </c>
      <c r="D217" s="14" t="s">
        <v>202</v>
      </c>
      <c r="E217" s="217" t="s">
        <v>954</v>
      </c>
      <c r="F217" s="217" t="s">
        <v>1790</v>
      </c>
      <c r="G217" s="218">
        <v>38251</v>
      </c>
      <c r="H217" s="217" t="s">
        <v>830</v>
      </c>
      <c r="I217" s="217" t="s">
        <v>1791</v>
      </c>
      <c r="J217" s="217" t="s">
        <v>1792</v>
      </c>
      <c r="K217" s="217" t="s">
        <v>91</v>
      </c>
      <c r="L217" s="220">
        <v>233019596</v>
      </c>
      <c r="M217" s="206">
        <v>132560660</v>
      </c>
      <c r="N217" s="206">
        <v>100458936</v>
      </c>
      <c r="O217" s="206">
        <v>236142858</v>
      </c>
      <c r="P217" s="206">
        <v>7431623</v>
      </c>
      <c r="Q217" s="206">
        <v>7265559</v>
      </c>
      <c r="R217" s="206">
        <v>6211434</v>
      </c>
      <c r="S217" s="32">
        <v>0</v>
      </c>
      <c r="T217" s="32">
        <v>0</v>
      </c>
      <c r="U217" s="32">
        <v>0</v>
      </c>
      <c r="V217" s="266">
        <f t="shared" si="49"/>
        <v>50</v>
      </c>
      <c r="W217" s="90">
        <f t="shared" si="50"/>
        <v>0.5</v>
      </c>
      <c r="X217" s="32">
        <v>0</v>
      </c>
      <c r="Y217" s="32">
        <v>0</v>
      </c>
      <c r="Z217" s="267">
        <f t="shared" si="51"/>
        <v>0</v>
      </c>
      <c r="AA217" s="268">
        <f t="shared" si="52"/>
        <v>33.333333333333336</v>
      </c>
      <c r="AB217" s="90">
        <f t="shared" si="53"/>
        <v>0.33333333333333337</v>
      </c>
      <c r="AC217" s="32">
        <v>0</v>
      </c>
      <c r="AD217" s="32">
        <v>1</v>
      </c>
      <c r="AE217" s="252">
        <f t="shared" si="54"/>
        <v>75</v>
      </c>
      <c r="AF217" s="90">
        <f t="shared" si="55"/>
        <v>1.5</v>
      </c>
      <c r="AG217" s="32">
        <v>0</v>
      </c>
      <c r="AH217" s="247">
        <f t="shared" si="56"/>
        <v>25</v>
      </c>
      <c r="AI217" s="91">
        <f t="shared" si="57"/>
        <v>0.25</v>
      </c>
      <c r="AJ217" s="32"/>
      <c r="AK217" s="32">
        <v>0</v>
      </c>
      <c r="AL217" s="32">
        <v>0</v>
      </c>
      <c r="AM217" s="32">
        <v>0</v>
      </c>
      <c r="AN217" s="32">
        <v>0</v>
      </c>
      <c r="AO217" s="247">
        <f t="shared" si="48"/>
        <v>0</v>
      </c>
      <c r="AP217" s="247">
        <f t="shared" si="58"/>
        <v>25</v>
      </c>
      <c r="AQ217" s="90">
        <f t="shared" si="59"/>
        <v>0.5</v>
      </c>
      <c r="AR217" s="32">
        <v>0</v>
      </c>
      <c r="AS217" s="32">
        <v>0</v>
      </c>
      <c r="AT217" s="32"/>
      <c r="AU217" s="272" t="str">
        <f t="shared" si="60"/>
        <v>A</v>
      </c>
      <c r="AV217" s="247">
        <f t="shared" si="61"/>
        <v>100</v>
      </c>
      <c r="AW217" s="90">
        <f t="shared" si="62"/>
        <v>3</v>
      </c>
      <c r="AX217" s="163">
        <f t="shared" si="63"/>
        <v>6.0833333333333339</v>
      </c>
    </row>
    <row r="218" spans="1:50" x14ac:dyDescent="0.6">
      <c r="A218" s="214" t="s">
        <v>412</v>
      </c>
      <c r="B218" s="13" t="s">
        <v>2198</v>
      </c>
      <c r="C218" s="219" t="s">
        <v>310</v>
      </c>
      <c r="D218" s="216" t="s">
        <v>285</v>
      </c>
      <c r="E218" s="217" t="s">
        <v>867</v>
      </c>
      <c r="F218" s="217" t="s">
        <v>573</v>
      </c>
      <c r="G218" s="218">
        <v>32844</v>
      </c>
      <c r="H218" s="217" t="s">
        <v>830</v>
      </c>
      <c r="I218" s="217" t="s">
        <v>785</v>
      </c>
      <c r="J218" s="217" t="s">
        <v>656</v>
      </c>
      <c r="K218" s="217" t="s">
        <v>346</v>
      </c>
      <c r="L218" s="220">
        <v>409776787</v>
      </c>
      <c r="M218" s="206">
        <v>290957356</v>
      </c>
      <c r="N218" s="206">
        <v>118819431</v>
      </c>
      <c r="O218" s="206">
        <v>462562008</v>
      </c>
      <c r="P218" s="206">
        <v>3161189</v>
      </c>
      <c r="Q218" s="206">
        <v>2974624</v>
      </c>
      <c r="R218" s="206">
        <v>6061078</v>
      </c>
      <c r="S218" s="32">
        <v>0</v>
      </c>
      <c r="T218" s="32">
        <v>0</v>
      </c>
      <c r="U218" s="32">
        <v>0</v>
      </c>
      <c r="V218" s="266">
        <f t="shared" si="49"/>
        <v>50</v>
      </c>
      <c r="W218" s="90">
        <f t="shared" si="50"/>
        <v>0.5</v>
      </c>
      <c r="X218" s="32">
        <v>0</v>
      </c>
      <c r="Y218" s="32">
        <v>0</v>
      </c>
      <c r="Z218" s="267">
        <f t="shared" si="51"/>
        <v>0</v>
      </c>
      <c r="AA218" s="268">
        <f t="shared" si="52"/>
        <v>33.333333333333336</v>
      </c>
      <c r="AB218" s="90">
        <f t="shared" si="53"/>
        <v>0.33333333333333337</v>
      </c>
      <c r="AC218" s="32">
        <v>0</v>
      </c>
      <c r="AD218" s="32">
        <v>1</v>
      </c>
      <c r="AE218" s="252">
        <f t="shared" si="54"/>
        <v>75</v>
      </c>
      <c r="AF218" s="90">
        <f t="shared" si="55"/>
        <v>1.5</v>
      </c>
      <c r="AG218" s="32">
        <v>0</v>
      </c>
      <c r="AH218" s="247">
        <f t="shared" si="56"/>
        <v>25</v>
      </c>
      <c r="AI218" s="91">
        <f t="shared" si="57"/>
        <v>0.25</v>
      </c>
      <c r="AJ218" s="32"/>
      <c r="AK218" s="32">
        <v>0</v>
      </c>
      <c r="AL218" s="32">
        <v>1</v>
      </c>
      <c r="AM218" s="32">
        <v>0</v>
      </c>
      <c r="AN218" s="32">
        <v>0</v>
      </c>
      <c r="AO218" s="247">
        <f t="shared" si="48"/>
        <v>1</v>
      </c>
      <c r="AP218" s="247">
        <f t="shared" si="58"/>
        <v>50</v>
      </c>
      <c r="AQ218" s="90">
        <f t="shared" si="59"/>
        <v>1</v>
      </c>
      <c r="AR218" s="32">
        <v>0</v>
      </c>
      <c r="AS218" s="32">
        <v>0</v>
      </c>
      <c r="AT218" s="32"/>
      <c r="AU218" s="272" t="str">
        <f t="shared" si="60"/>
        <v>A</v>
      </c>
      <c r="AV218" s="247">
        <f t="shared" si="61"/>
        <v>100</v>
      </c>
      <c r="AW218" s="90">
        <f t="shared" si="62"/>
        <v>3</v>
      </c>
      <c r="AX218" s="163">
        <f t="shared" si="63"/>
        <v>6.5833333333333339</v>
      </c>
    </row>
    <row r="219" spans="1:50" x14ac:dyDescent="0.6">
      <c r="A219" s="214" t="s">
        <v>1793</v>
      </c>
      <c r="B219" s="13" t="s">
        <v>2199</v>
      </c>
      <c r="C219" s="219" t="s">
        <v>1794</v>
      </c>
      <c r="D219" s="14" t="s">
        <v>203</v>
      </c>
      <c r="E219" s="217" t="s">
        <v>1795</v>
      </c>
      <c r="F219" s="217" t="s">
        <v>1796</v>
      </c>
      <c r="G219" s="218">
        <v>31475</v>
      </c>
      <c r="H219" s="217" t="s">
        <v>830</v>
      </c>
      <c r="I219" s="217" t="s">
        <v>1797</v>
      </c>
      <c r="J219" s="217" t="s">
        <v>1798</v>
      </c>
      <c r="K219" s="217" t="s">
        <v>91</v>
      </c>
      <c r="L219" s="220">
        <v>116167864</v>
      </c>
      <c r="M219" s="206">
        <v>60940447</v>
      </c>
      <c r="N219" s="206">
        <v>55227417</v>
      </c>
      <c r="O219" s="206">
        <v>137670991</v>
      </c>
      <c r="P219" s="206">
        <v>3899804</v>
      </c>
      <c r="Q219" s="206">
        <v>2802032</v>
      </c>
      <c r="R219" s="206">
        <v>2347584</v>
      </c>
      <c r="S219" s="32">
        <v>0</v>
      </c>
      <c r="T219" s="32">
        <v>0</v>
      </c>
      <c r="U219" s="32">
        <v>0</v>
      </c>
      <c r="V219" s="266">
        <f t="shared" si="49"/>
        <v>50</v>
      </c>
      <c r="W219" s="90">
        <f t="shared" si="50"/>
        <v>0.5</v>
      </c>
      <c r="X219" s="32">
        <v>0</v>
      </c>
      <c r="Y219" s="32">
        <v>0</v>
      </c>
      <c r="Z219" s="267">
        <f t="shared" si="51"/>
        <v>0</v>
      </c>
      <c r="AA219" s="268">
        <f t="shared" si="52"/>
        <v>33.333333333333336</v>
      </c>
      <c r="AB219" s="90">
        <f t="shared" si="53"/>
        <v>0.33333333333333337</v>
      </c>
      <c r="AC219" s="32">
        <v>0</v>
      </c>
      <c r="AD219" s="32">
        <v>0</v>
      </c>
      <c r="AE219" s="252">
        <f t="shared" si="54"/>
        <v>25</v>
      </c>
      <c r="AF219" s="90">
        <f t="shared" si="55"/>
        <v>0.5</v>
      </c>
      <c r="AG219" s="32">
        <v>0</v>
      </c>
      <c r="AH219" s="247">
        <f t="shared" si="56"/>
        <v>25</v>
      </c>
      <c r="AI219" s="91">
        <f t="shared" si="57"/>
        <v>0.25</v>
      </c>
      <c r="AJ219" s="32"/>
      <c r="AK219" s="32">
        <v>0</v>
      </c>
      <c r="AL219" s="32">
        <v>0</v>
      </c>
      <c r="AM219" s="32">
        <v>0</v>
      </c>
      <c r="AN219" s="32">
        <v>0</v>
      </c>
      <c r="AO219" s="247">
        <f t="shared" si="48"/>
        <v>0</v>
      </c>
      <c r="AP219" s="247">
        <f t="shared" si="58"/>
        <v>25</v>
      </c>
      <c r="AQ219" s="90">
        <f t="shared" si="59"/>
        <v>0.5</v>
      </c>
      <c r="AR219" s="32">
        <v>0</v>
      </c>
      <c r="AS219" s="32">
        <v>0</v>
      </c>
      <c r="AT219" s="32"/>
      <c r="AU219" s="272" t="str">
        <f t="shared" si="60"/>
        <v>A</v>
      </c>
      <c r="AV219" s="247">
        <f t="shared" si="61"/>
        <v>100</v>
      </c>
      <c r="AW219" s="90">
        <f t="shared" si="62"/>
        <v>3</v>
      </c>
      <c r="AX219" s="163">
        <f t="shared" si="63"/>
        <v>5.0833333333333339</v>
      </c>
    </row>
    <row r="220" spans="1:50" x14ac:dyDescent="0.6">
      <c r="A220" s="214" t="s">
        <v>508</v>
      </c>
      <c r="B220" s="13" t="s">
        <v>2200</v>
      </c>
      <c r="C220" s="219" t="s">
        <v>460</v>
      </c>
      <c r="D220" s="216" t="s">
        <v>191</v>
      </c>
      <c r="E220" s="217" t="s">
        <v>34</v>
      </c>
      <c r="F220" s="217" t="s">
        <v>134</v>
      </c>
      <c r="G220" s="218">
        <v>27269</v>
      </c>
      <c r="H220" s="217" t="s">
        <v>830</v>
      </c>
      <c r="I220" s="217" t="s">
        <v>1799</v>
      </c>
      <c r="J220" s="217" t="s">
        <v>1071</v>
      </c>
      <c r="K220" s="217" t="s">
        <v>690</v>
      </c>
      <c r="L220" s="220">
        <v>348763942</v>
      </c>
      <c r="M220" s="206">
        <v>159228662</v>
      </c>
      <c r="N220" s="206">
        <v>189535280</v>
      </c>
      <c r="O220" s="206">
        <v>235057199</v>
      </c>
      <c r="P220" s="206">
        <v>11763437</v>
      </c>
      <c r="Q220" s="206">
        <v>12291336</v>
      </c>
      <c r="R220" s="206">
        <v>9393997</v>
      </c>
      <c r="S220" s="32">
        <v>0</v>
      </c>
      <c r="T220" s="32">
        <v>0</v>
      </c>
      <c r="U220" s="32">
        <v>0</v>
      </c>
      <c r="V220" s="266">
        <f t="shared" si="49"/>
        <v>50</v>
      </c>
      <c r="W220" s="90">
        <f t="shared" si="50"/>
        <v>0.5</v>
      </c>
      <c r="X220" s="32">
        <v>0</v>
      </c>
      <c r="Y220" s="32">
        <v>0</v>
      </c>
      <c r="Z220" s="267">
        <f t="shared" si="51"/>
        <v>0</v>
      </c>
      <c r="AA220" s="268">
        <f t="shared" si="52"/>
        <v>33.333333333333336</v>
      </c>
      <c r="AB220" s="90">
        <f t="shared" si="53"/>
        <v>0.33333333333333337</v>
      </c>
      <c r="AC220" s="32">
        <v>0</v>
      </c>
      <c r="AD220" s="32">
        <v>0</v>
      </c>
      <c r="AE220" s="252">
        <f t="shared" si="54"/>
        <v>25</v>
      </c>
      <c r="AF220" s="90">
        <f t="shared" si="55"/>
        <v>0.5</v>
      </c>
      <c r="AG220" s="32">
        <v>0</v>
      </c>
      <c r="AH220" s="247">
        <f t="shared" si="56"/>
        <v>25</v>
      </c>
      <c r="AI220" s="91">
        <f t="shared" si="57"/>
        <v>0.25</v>
      </c>
      <c r="AJ220" s="32"/>
      <c r="AK220" s="32">
        <v>0</v>
      </c>
      <c r="AL220" s="32">
        <v>0</v>
      </c>
      <c r="AM220" s="32">
        <v>0</v>
      </c>
      <c r="AN220" s="32">
        <v>0</v>
      </c>
      <c r="AO220" s="247">
        <f t="shared" si="48"/>
        <v>0</v>
      </c>
      <c r="AP220" s="247">
        <f t="shared" si="58"/>
        <v>25</v>
      </c>
      <c r="AQ220" s="90">
        <f t="shared" si="59"/>
        <v>0.5</v>
      </c>
      <c r="AR220" s="32">
        <v>0</v>
      </c>
      <c r="AS220" s="32">
        <v>0</v>
      </c>
      <c r="AT220" s="32"/>
      <c r="AU220" s="272" t="str">
        <f t="shared" si="60"/>
        <v>A</v>
      </c>
      <c r="AV220" s="247">
        <f t="shared" si="61"/>
        <v>100</v>
      </c>
      <c r="AW220" s="90">
        <f t="shared" si="62"/>
        <v>3</v>
      </c>
      <c r="AX220" s="163">
        <f t="shared" si="63"/>
        <v>5.0833333333333339</v>
      </c>
    </row>
    <row r="221" spans="1:50" x14ac:dyDescent="0.6">
      <c r="A221" s="214" t="s">
        <v>362</v>
      </c>
      <c r="B221" s="13" t="s">
        <v>2201</v>
      </c>
      <c r="C221" s="219" t="s">
        <v>490</v>
      </c>
      <c r="D221" s="216" t="s">
        <v>202</v>
      </c>
      <c r="E221" s="217" t="s">
        <v>613</v>
      </c>
      <c r="F221" s="217">
        <v>0</v>
      </c>
      <c r="G221" s="218">
        <v>39661</v>
      </c>
      <c r="H221" s="217" t="s">
        <v>830</v>
      </c>
      <c r="I221" s="217" t="s">
        <v>214</v>
      </c>
      <c r="J221" s="1" t="s">
        <v>2307</v>
      </c>
      <c r="K221" s="217" t="s">
        <v>690</v>
      </c>
      <c r="L221" s="220">
        <v>818333453</v>
      </c>
      <c r="M221" s="206">
        <v>480040681</v>
      </c>
      <c r="N221" s="206">
        <v>338292772</v>
      </c>
      <c r="O221" s="206">
        <v>1132474477</v>
      </c>
      <c r="P221" s="206">
        <v>29176389</v>
      </c>
      <c r="Q221" s="206">
        <v>25221767</v>
      </c>
      <c r="R221" s="206">
        <v>22259261</v>
      </c>
      <c r="S221" s="32">
        <v>0</v>
      </c>
      <c r="T221" s="32">
        <v>0</v>
      </c>
      <c r="U221" s="32">
        <v>0</v>
      </c>
      <c r="V221" s="266">
        <f t="shared" si="49"/>
        <v>50</v>
      </c>
      <c r="W221" s="90">
        <f t="shared" si="50"/>
        <v>0.5</v>
      </c>
      <c r="X221" s="32">
        <v>0</v>
      </c>
      <c r="Y221" s="32">
        <v>0</v>
      </c>
      <c r="Z221" s="267">
        <f t="shared" si="51"/>
        <v>0</v>
      </c>
      <c r="AA221" s="268">
        <f t="shared" si="52"/>
        <v>33.333333333333336</v>
      </c>
      <c r="AB221" s="90">
        <f t="shared" si="53"/>
        <v>0.33333333333333337</v>
      </c>
      <c r="AC221" s="32">
        <v>0</v>
      </c>
      <c r="AD221" s="32">
        <v>0</v>
      </c>
      <c r="AE221" s="252">
        <f t="shared" si="54"/>
        <v>25</v>
      </c>
      <c r="AF221" s="90">
        <f t="shared" si="55"/>
        <v>0.5</v>
      </c>
      <c r="AG221" s="32">
        <v>0</v>
      </c>
      <c r="AH221" s="247">
        <f t="shared" si="56"/>
        <v>25</v>
      </c>
      <c r="AI221" s="91">
        <f t="shared" si="57"/>
        <v>0.25</v>
      </c>
      <c r="AJ221" s="32"/>
      <c r="AK221" s="32">
        <v>1</v>
      </c>
      <c r="AL221" s="32">
        <v>0</v>
      </c>
      <c r="AM221" s="32">
        <v>0</v>
      </c>
      <c r="AN221" s="32">
        <v>0</v>
      </c>
      <c r="AO221" s="247">
        <f t="shared" si="48"/>
        <v>1</v>
      </c>
      <c r="AP221" s="247">
        <f t="shared" si="58"/>
        <v>50</v>
      </c>
      <c r="AQ221" s="90">
        <f t="shared" si="59"/>
        <v>1</v>
      </c>
      <c r="AR221" s="32">
        <v>0</v>
      </c>
      <c r="AS221" s="32">
        <v>0</v>
      </c>
      <c r="AT221" s="32"/>
      <c r="AU221" s="272" t="str">
        <f t="shared" si="60"/>
        <v>A</v>
      </c>
      <c r="AV221" s="247">
        <f t="shared" si="61"/>
        <v>100</v>
      </c>
      <c r="AW221" s="90">
        <f t="shared" si="62"/>
        <v>3</v>
      </c>
      <c r="AX221" s="163">
        <f t="shared" si="63"/>
        <v>5.5833333333333339</v>
      </c>
    </row>
    <row r="222" spans="1:50" x14ac:dyDescent="0.6">
      <c r="A222" s="214" t="s">
        <v>1800</v>
      </c>
      <c r="B222" s="13" t="s">
        <v>2202</v>
      </c>
      <c r="C222" s="219" t="s">
        <v>1801</v>
      </c>
      <c r="D222" s="14" t="s">
        <v>285</v>
      </c>
      <c r="E222" s="217" t="s">
        <v>1802</v>
      </c>
      <c r="F222" s="217" t="s">
        <v>1803</v>
      </c>
      <c r="G222" s="218">
        <v>44440</v>
      </c>
      <c r="H222" s="217" t="s">
        <v>830</v>
      </c>
      <c r="I222" s="217" t="s">
        <v>1804</v>
      </c>
      <c r="J222" s="217" t="s">
        <v>1805</v>
      </c>
      <c r="K222" s="217" t="s">
        <v>320</v>
      </c>
      <c r="L222" s="220">
        <v>342505451</v>
      </c>
      <c r="M222" s="206">
        <v>27786558</v>
      </c>
      <c r="N222" s="206">
        <v>314718893</v>
      </c>
      <c r="O222" s="206">
        <v>109080826</v>
      </c>
      <c r="P222" s="206">
        <v>2772988</v>
      </c>
      <c r="Q222" s="206">
        <v>8635778</v>
      </c>
      <c r="R222" s="206">
        <v>7043345</v>
      </c>
      <c r="S222" s="32">
        <v>0</v>
      </c>
      <c r="T222" s="32">
        <v>0</v>
      </c>
      <c r="U222" s="32">
        <v>0</v>
      </c>
      <c r="V222" s="266">
        <f t="shared" si="49"/>
        <v>50</v>
      </c>
      <c r="W222" s="90">
        <f t="shared" si="50"/>
        <v>0.5</v>
      </c>
      <c r="X222" s="32">
        <v>0</v>
      </c>
      <c r="Y222" s="32">
        <v>0</v>
      </c>
      <c r="Z222" s="267">
        <f t="shared" si="51"/>
        <v>0</v>
      </c>
      <c r="AA222" s="268">
        <f t="shared" si="52"/>
        <v>33.333333333333336</v>
      </c>
      <c r="AB222" s="90">
        <f t="shared" si="53"/>
        <v>0.33333333333333337</v>
      </c>
      <c r="AC222" s="32">
        <v>0</v>
      </c>
      <c r="AD222" s="32">
        <v>0</v>
      </c>
      <c r="AE222" s="252">
        <f t="shared" si="54"/>
        <v>25</v>
      </c>
      <c r="AF222" s="90">
        <f t="shared" si="55"/>
        <v>0.5</v>
      </c>
      <c r="AG222" s="32">
        <v>3</v>
      </c>
      <c r="AH222" s="247">
        <f t="shared" si="56"/>
        <v>100</v>
      </c>
      <c r="AI222" s="91">
        <f t="shared" si="57"/>
        <v>1</v>
      </c>
      <c r="AJ222" s="32"/>
      <c r="AK222" s="32">
        <v>0</v>
      </c>
      <c r="AL222" s="32">
        <v>0</v>
      </c>
      <c r="AM222" s="32">
        <v>0</v>
      </c>
      <c r="AN222" s="32">
        <v>0</v>
      </c>
      <c r="AO222" s="247">
        <f t="shared" si="48"/>
        <v>0</v>
      </c>
      <c r="AP222" s="247">
        <f t="shared" si="58"/>
        <v>25</v>
      </c>
      <c r="AQ222" s="90">
        <f t="shared" si="59"/>
        <v>0.5</v>
      </c>
      <c r="AR222" s="32">
        <v>0</v>
      </c>
      <c r="AS222" s="32">
        <v>1</v>
      </c>
      <c r="AT222" s="32">
        <v>1</v>
      </c>
      <c r="AU222" s="272" t="str">
        <f t="shared" si="60"/>
        <v>D</v>
      </c>
      <c r="AV222" s="247">
        <f t="shared" si="61"/>
        <v>25</v>
      </c>
      <c r="AW222" s="90">
        <f t="shared" si="62"/>
        <v>0.75</v>
      </c>
      <c r="AX222" s="163">
        <f t="shared" si="63"/>
        <v>3.5833333333333335</v>
      </c>
    </row>
    <row r="223" spans="1:50" x14ac:dyDescent="0.6">
      <c r="A223" s="214" t="s">
        <v>93</v>
      </c>
      <c r="B223" s="13" t="s">
        <v>2203</v>
      </c>
      <c r="C223" s="219" t="s">
        <v>517</v>
      </c>
      <c r="D223" s="216" t="s">
        <v>285</v>
      </c>
      <c r="E223" s="217" t="s">
        <v>626</v>
      </c>
      <c r="F223" s="217" t="s">
        <v>129</v>
      </c>
      <c r="G223" s="218">
        <v>43775</v>
      </c>
      <c r="H223" s="217" t="s">
        <v>830</v>
      </c>
      <c r="I223" s="217" t="s">
        <v>837</v>
      </c>
      <c r="J223" s="217" t="s">
        <v>1119</v>
      </c>
      <c r="K223" s="217" t="s">
        <v>91</v>
      </c>
      <c r="L223" s="220">
        <v>753639957</v>
      </c>
      <c r="M223" s="206">
        <v>284239813</v>
      </c>
      <c r="N223" s="206">
        <v>469400144</v>
      </c>
      <c r="O223" s="206">
        <v>589689077</v>
      </c>
      <c r="P223" s="206">
        <v>92750362</v>
      </c>
      <c r="Q223" s="206">
        <v>95830158</v>
      </c>
      <c r="R223" s="206">
        <v>72515496</v>
      </c>
      <c r="S223" s="32">
        <v>0</v>
      </c>
      <c r="T223" s="32">
        <v>0</v>
      </c>
      <c r="U223" s="32">
        <v>0</v>
      </c>
      <c r="V223" s="266">
        <f t="shared" si="49"/>
        <v>50</v>
      </c>
      <c r="W223" s="90">
        <f t="shared" si="50"/>
        <v>0.5</v>
      </c>
      <c r="X223" s="32">
        <v>0</v>
      </c>
      <c r="Y223" s="32">
        <v>0</v>
      </c>
      <c r="Z223" s="267">
        <f t="shared" si="51"/>
        <v>0</v>
      </c>
      <c r="AA223" s="268">
        <f t="shared" si="52"/>
        <v>33.333333333333336</v>
      </c>
      <c r="AB223" s="90">
        <f t="shared" si="53"/>
        <v>0.33333333333333337</v>
      </c>
      <c r="AC223" s="32">
        <v>0</v>
      </c>
      <c r="AD223" s="32">
        <v>1</v>
      </c>
      <c r="AE223" s="252">
        <f t="shared" si="54"/>
        <v>75</v>
      </c>
      <c r="AF223" s="90">
        <f t="shared" si="55"/>
        <v>1.5</v>
      </c>
      <c r="AG223" s="32">
        <v>0</v>
      </c>
      <c r="AH223" s="247">
        <f t="shared" si="56"/>
        <v>25</v>
      </c>
      <c r="AI223" s="91">
        <f t="shared" si="57"/>
        <v>0.25</v>
      </c>
      <c r="AJ223" s="32"/>
      <c r="AK223" s="32">
        <v>0</v>
      </c>
      <c r="AL223" s="32">
        <v>0</v>
      </c>
      <c r="AM223" s="32">
        <v>0</v>
      </c>
      <c r="AN223" s="32">
        <v>0</v>
      </c>
      <c r="AO223" s="247">
        <f t="shared" si="48"/>
        <v>0</v>
      </c>
      <c r="AP223" s="247">
        <f t="shared" si="58"/>
        <v>25</v>
      </c>
      <c r="AQ223" s="90">
        <f t="shared" si="59"/>
        <v>0.5</v>
      </c>
      <c r="AR223" s="32">
        <v>0</v>
      </c>
      <c r="AS223" s="32">
        <v>0</v>
      </c>
      <c r="AT223" s="32">
        <v>0</v>
      </c>
      <c r="AU223" s="272" t="str">
        <f t="shared" si="60"/>
        <v>A</v>
      </c>
      <c r="AV223" s="247">
        <f t="shared" si="61"/>
        <v>100</v>
      </c>
      <c r="AW223" s="90">
        <f t="shared" si="62"/>
        <v>3</v>
      </c>
      <c r="AX223" s="163">
        <f t="shared" si="63"/>
        <v>6.0833333333333339</v>
      </c>
    </row>
    <row r="224" spans="1:50" x14ac:dyDescent="0.6">
      <c r="A224" s="214" t="s">
        <v>917</v>
      </c>
      <c r="B224" s="13" t="s">
        <v>2204</v>
      </c>
      <c r="C224" s="219" t="s">
        <v>13</v>
      </c>
      <c r="D224" s="216" t="s">
        <v>285</v>
      </c>
      <c r="E224" s="217" t="s">
        <v>796</v>
      </c>
      <c r="F224" s="217" t="s">
        <v>1099</v>
      </c>
      <c r="G224" s="218">
        <v>35857</v>
      </c>
      <c r="H224" s="217" t="s">
        <v>830</v>
      </c>
      <c r="I224" s="217" t="s">
        <v>841</v>
      </c>
      <c r="J224" s="217" t="s">
        <v>1137</v>
      </c>
      <c r="K224" s="217" t="s">
        <v>91</v>
      </c>
      <c r="L224" s="220">
        <v>1328473794</v>
      </c>
      <c r="M224" s="206">
        <v>623497507</v>
      </c>
      <c r="N224" s="206">
        <v>704976287</v>
      </c>
      <c r="O224" s="206">
        <v>1280522528</v>
      </c>
      <c r="P224" s="206">
        <v>100830968</v>
      </c>
      <c r="Q224" s="206">
        <v>95133282</v>
      </c>
      <c r="R224" s="206">
        <v>62923623</v>
      </c>
      <c r="S224" s="32">
        <v>0</v>
      </c>
      <c r="T224" s="32">
        <v>0</v>
      </c>
      <c r="U224" s="32">
        <v>0</v>
      </c>
      <c r="V224" s="266">
        <f t="shared" si="49"/>
        <v>50</v>
      </c>
      <c r="W224" s="90">
        <f t="shared" si="50"/>
        <v>0.5</v>
      </c>
      <c r="X224" s="32">
        <v>0</v>
      </c>
      <c r="Y224" s="32">
        <v>0</v>
      </c>
      <c r="Z224" s="267">
        <f t="shared" si="51"/>
        <v>0</v>
      </c>
      <c r="AA224" s="268">
        <f t="shared" si="52"/>
        <v>33.333333333333336</v>
      </c>
      <c r="AB224" s="90">
        <f t="shared" si="53"/>
        <v>0.33333333333333337</v>
      </c>
      <c r="AC224" s="32">
        <v>0</v>
      </c>
      <c r="AD224" s="32">
        <v>0</v>
      </c>
      <c r="AE224" s="252">
        <f t="shared" si="54"/>
        <v>25</v>
      </c>
      <c r="AF224" s="90">
        <f t="shared" si="55"/>
        <v>0.5</v>
      </c>
      <c r="AG224" s="32">
        <v>0</v>
      </c>
      <c r="AH224" s="247">
        <f t="shared" si="56"/>
        <v>25</v>
      </c>
      <c r="AI224" s="91">
        <f t="shared" si="57"/>
        <v>0.25</v>
      </c>
      <c r="AJ224" s="32"/>
      <c r="AK224" s="32">
        <v>0</v>
      </c>
      <c r="AL224" s="32">
        <v>0</v>
      </c>
      <c r="AM224" s="32">
        <v>0</v>
      </c>
      <c r="AN224" s="32">
        <v>0</v>
      </c>
      <c r="AO224" s="247">
        <f t="shared" si="48"/>
        <v>0</v>
      </c>
      <c r="AP224" s="247">
        <f t="shared" si="58"/>
        <v>25</v>
      </c>
      <c r="AQ224" s="90">
        <f t="shared" si="59"/>
        <v>0.5</v>
      </c>
      <c r="AR224" s="32">
        <v>0</v>
      </c>
      <c r="AS224" s="32">
        <v>0</v>
      </c>
      <c r="AT224" s="32">
        <v>0</v>
      </c>
      <c r="AU224" s="272" t="str">
        <f t="shared" si="60"/>
        <v>A</v>
      </c>
      <c r="AV224" s="247">
        <f t="shared" si="61"/>
        <v>100</v>
      </c>
      <c r="AW224" s="90">
        <f t="shared" si="62"/>
        <v>3</v>
      </c>
      <c r="AX224" s="163">
        <f t="shared" si="63"/>
        <v>5.0833333333333339</v>
      </c>
    </row>
    <row r="225" spans="1:50" x14ac:dyDescent="0.6">
      <c r="A225" s="214" t="s">
        <v>55</v>
      </c>
      <c r="B225" s="13" t="s">
        <v>2205</v>
      </c>
      <c r="C225" s="219" t="s">
        <v>356</v>
      </c>
      <c r="D225" s="216" t="s">
        <v>203</v>
      </c>
      <c r="E225" s="217" t="s">
        <v>583</v>
      </c>
      <c r="F225" s="217" t="s">
        <v>1084</v>
      </c>
      <c r="G225" s="218">
        <v>38695</v>
      </c>
      <c r="H225" s="217" t="s">
        <v>830</v>
      </c>
      <c r="I225" s="217" t="s">
        <v>1120</v>
      </c>
      <c r="J225" s="217" t="s">
        <v>1198</v>
      </c>
      <c r="K225" s="217" t="s">
        <v>31</v>
      </c>
      <c r="L225" s="220">
        <v>89562390</v>
      </c>
      <c r="M225" s="206">
        <v>12372096</v>
      </c>
      <c r="N225" s="206">
        <v>77190293</v>
      </c>
      <c r="O225" s="206">
        <v>71732783</v>
      </c>
      <c r="P225" s="206">
        <v>2955130</v>
      </c>
      <c r="Q225" s="206">
        <v>147493</v>
      </c>
      <c r="R225" s="206">
        <v>19601</v>
      </c>
      <c r="S225" s="32">
        <v>0</v>
      </c>
      <c r="T225" s="32">
        <v>0</v>
      </c>
      <c r="U225" s="32">
        <v>0</v>
      </c>
      <c r="V225" s="266">
        <f t="shared" si="49"/>
        <v>50</v>
      </c>
      <c r="W225" s="90">
        <f t="shared" si="50"/>
        <v>0.5</v>
      </c>
      <c r="X225" s="32">
        <v>0</v>
      </c>
      <c r="Y225" s="32">
        <v>0</v>
      </c>
      <c r="Z225" s="267">
        <f t="shared" si="51"/>
        <v>0</v>
      </c>
      <c r="AA225" s="268">
        <f t="shared" si="52"/>
        <v>33.333333333333336</v>
      </c>
      <c r="AB225" s="90">
        <f t="shared" si="53"/>
        <v>0.33333333333333337</v>
      </c>
      <c r="AC225" s="32">
        <v>0</v>
      </c>
      <c r="AD225" s="32">
        <v>0</v>
      </c>
      <c r="AE225" s="252">
        <f t="shared" si="54"/>
        <v>25</v>
      </c>
      <c r="AF225" s="90">
        <f t="shared" si="55"/>
        <v>0.5</v>
      </c>
      <c r="AG225" s="32">
        <v>0</v>
      </c>
      <c r="AH225" s="247">
        <f t="shared" si="56"/>
        <v>25</v>
      </c>
      <c r="AI225" s="91">
        <f t="shared" si="57"/>
        <v>0.25</v>
      </c>
      <c r="AJ225" s="32"/>
      <c r="AK225" s="32">
        <v>0</v>
      </c>
      <c r="AL225" s="32">
        <v>0</v>
      </c>
      <c r="AM225" s="32">
        <v>0</v>
      </c>
      <c r="AN225" s="32">
        <v>0</v>
      </c>
      <c r="AO225" s="247">
        <f t="shared" si="48"/>
        <v>0</v>
      </c>
      <c r="AP225" s="247">
        <f t="shared" si="58"/>
        <v>25</v>
      </c>
      <c r="AQ225" s="90">
        <f t="shared" si="59"/>
        <v>0.5</v>
      </c>
      <c r="AR225" s="32">
        <v>0</v>
      </c>
      <c r="AS225" s="32">
        <v>0</v>
      </c>
      <c r="AT225" s="32">
        <v>0</v>
      </c>
      <c r="AU225" s="272" t="str">
        <f t="shared" si="60"/>
        <v>A</v>
      </c>
      <c r="AV225" s="247">
        <f t="shared" si="61"/>
        <v>100</v>
      </c>
      <c r="AW225" s="90">
        <f t="shared" si="62"/>
        <v>3</v>
      </c>
      <c r="AX225" s="163">
        <f t="shared" si="63"/>
        <v>5.0833333333333339</v>
      </c>
    </row>
    <row r="226" spans="1:50" x14ac:dyDescent="0.6">
      <c r="A226" s="214" t="s">
        <v>1806</v>
      </c>
      <c r="B226" s="13" t="s">
        <v>2206</v>
      </c>
      <c r="C226" s="219" t="s">
        <v>1807</v>
      </c>
      <c r="D226" s="79" t="s">
        <v>88</v>
      </c>
      <c r="E226" s="217" t="s">
        <v>1585</v>
      </c>
      <c r="F226" s="217" t="s">
        <v>1808</v>
      </c>
      <c r="G226" s="218">
        <v>26661</v>
      </c>
      <c r="H226" s="217" t="s">
        <v>830</v>
      </c>
      <c r="I226" s="217" t="s">
        <v>1809</v>
      </c>
      <c r="J226" s="217" t="s">
        <v>1810</v>
      </c>
      <c r="K226" s="217" t="s">
        <v>1811</v>
      </c>
      <c r="L226" s="220">
        <v>7311029000</v>
      </c>
      <c r="M226" s="206">
        <v>6789175000</v>
      </c>
      <c r="N226" s="206">
        <v>521854000</v>
      </c>
      <c r="O226" s="206">
        <v>275373000</v>
      </c>
      <c r="P226" s="206">
        <v>27020000</v>
      </c>
      <c r="Q226" s="206">
        <v>26964000</v>
      </c>
      <c r="R226" s="206">
        <v>22820000</v>
      </c>
      <c r="S226" s="32">
        <v>0</v>
      </c>
      <c r="T226" s="32">
        <v>0</v>
      </c>
      <c r="U226" s="32">
        <v>0</v>
      </c>
      <c r="V226" s="266">
        <f t="shared" si="49"/>
        <v>50</v>
      </c>
      <c r="W226" s="90">
        <f t="shared" si="50"/>
        <v>0.5</v>
      </c>
      <c r="X226" s="32">
        <v>0</v>
      </c>
      <c r="Y226" s="32">
        <v>0</v>
      </c>
      <c r="Z226" s="267">
        <f t="shared" si="51"/>
        <v>0</v>
      </c>
      <c r="AA226" s="268">
        <f t="shared" si="52"/>
        <v>33.333333333333336</v>
      </c>
      <c r="AB226" s="90">
        <f t="shared" si="53"/>
        <v>0.33333333333333337</v>
      </c>
      <c r="AC226" s="32">
        <v>0</v>
      </c>
      <c r="AD226" s="32">
        <v>0</v>
      </c>
      <c r="AE226" s="252">
        <f t="shared" si="54"/>
        <v>25</v>
      </c>
      <c r="AF226" s="90">
        <f t="shared" si="55"/>
        <v>0.5</v>
      </c>
      <c r="AG226" s="32">
        <v>0</v>
      </c>
      <c r="AH226" s="247">
        <f t="shared" si="56"/>
        <v>25</v>
      </c>
      <c r="AI226" s="91">
        <f t="shared" si="57"/>
        <v>0.25</v>
      </c>
      <c r="AJ226" s="32"/>
      <c r="AK226" s="32">
        <v>0</v>
      </c>
      <c r="AL226" s="32">
        <v>0</v>
      </c>
      <c r="AM226" s="32">
        <v>0</v>
      </c>
      <c r="AN226" s="32">
        <v>0</v>
      </c>
      <c r="AO226" s="247">
        <f t="shared" si="48"/>
        <v>0</v>
      </c>
      <c r="AP226" s="247">
        <f t="shared" si="58"/>
        <v>25</v>
      </c>
      <c r="AQ226" s="90">
        <f t="shared" si="59"/>
        <v>0.5</v>
      </c>
      <c r="AR226" s="32">
        <v>0</v>
      </c>
      <c r="AS226" s="32">
        <v>0</v>
      </c>
      <c r="AT226" s="32">
        <v>0</v>
      </c>
      <c r="AU226" s="272" t="str">
        <f t="shared" si="60"/>
        <v>A</v>
      </c>
      <c r="AV226" s="247">
        <f t="shared" si="61"/>
        <v>100</v>
      </c>
      <c r="AW226" s="90">
        <f t="shared" si="62"/>
        <v>3</v>
      </c>
      <c r="AX226" s="163">
        <v>0</v>
      </c>
    </row>
    <row r="227" spans="1:50" x14ac:dyDescent="0.6">
      <c r="A227" s="214" t="s">
        <v>1812</v>
      </c>
      <c r="B227" s="13" t="s">
        <v>2207</v>
      </c>
      <c r="C227" s="219" t="s">
        <v>1813</v>
      </c>
      <c r="D227" s="14" t="s">
        <v>191</v>
      </c>
      <c r="E227" s="217" t="s">
        <v>977</v>
      </c>
      <c r="F227" s="217" t="s">
        <v>1814</v>
      </c>
      <c r="G227" s="218">
        <v>28272</v>
      </c>
      <c r="H227" s="217" t="s">
        <v>830</v>
      </c>
      <c r="I227" s="217" t="s">
        <v>1815</v>
      </c>
      <c r="J227" s="217" t="s">
        <v>1816</v>
      </c>
      <c r="K227" s="217" t="s">
        <v>317</v>
      </c>
      <c r="L227" s="220">
        <v>442034876</v>
      </c>
      <c r="M227" s="206">
        <v>63994596</v>
      </c>
      <c r="N227" s="206">
        <v>378040280</v>
      </c>
      <c r="O227" s="206">
        <v>122005783</v>
      </c>
      <c r="P227" s="206">
        <v>507524</v>
      </c>
      <c r="Q227" s="206">
        <v>4251780</v>
      </c>
      <c r="R227" s="206">
        <v>6061277</v>
      </c>
      <c r="S227" s="32">
        <v>0</v>
      </c>
      <c r="T227" s="32">
        <v>0</v>
      </c>
      <c r="U227" s="32">
        <v>0</v>
      </c>
      <c r="V227" s="266">
        <f t="shared" si="49"/>
        <v>50</v>
      </c>
      <c r="W227" s="90">
        <f t="shared" si="50"/>
        <v>0.5</v>
      </c>
      <c r="X227" s="32">
        <v>0</v>
      </c>
      <c r="Y227" s="32">
        <v>0</v>
      </c>
      <c r="Z227" s="267">
        <f t="shared" si="51"/>
        <v>0</v>
      </c>
      <c r="AA227" s="268">
        <f t="shared" si="52"/>
        <v>33.333333333333336</v>
      </c>
      <c r="AB227" s="90">
        <f t="shared" si="53"/>
        <v>0.33333333333333337</v>
      </c>
      <c r="AC227" s="32">
        <v>0</v>
      </c>
      <c r="AD227" s="32">
        <v>0</v>
      </c>
      <c r="AE227" s="252">
        <f t="shared" si="54"/>
        <v>25</v>
      </c>
      <c r="AF227" s="90">
        <f t="shared" si="55"/>
        <v>0.5</v>
      </c>
      <c r="AG227" s="32">
        <v>0</v>
      </c>
      <c r="AH227" s="247">
        <f t="shared" si="56"/>
        <v>25</v>
      </c>
      <c r="AI227" s="91">
        <f t="shared" si="57"/>
        <v>0.25</v>
      </c>
      <c r="AJ227" s="32"/>
      <c r="AK227" s="32">
        <v>0</v>
      </c>
      <c r="AL227" s="32">
        <v>0</v>
      </c>
      <c r="AM227" s="32">
        <v>0</v>
      </c>
      <c r="AN227" s="32">
        <v>0</v>
      </c>
      <c r="AO227" s="247">
        <f t="shared" si="48"/>
        <v>0</v>
      </c>
      <c r="AP227" s="247">
        <f t="shared" si="58"/>
        <v>25</v>
      </c>
      <c r="AQ227" s="90">
        <f t="shared" si="59"/>
        <v>0.5</v>
      </c>
      <c r="AR227" s="32">
        <v>0</v>
      </c>
      <c r="AS227" s="32">
        <v>0</v>
      </c>
      <c r="AT227" s="32">
        <v>0</v>
      </c>
      <c r="AU227" s="272" t="str">
        <f t="shared" si="60"/>
        <v>A</v>
      </c>
      <c r="AV227" s="247">
        <f t="shared" si="61"/>
        <v>100</v>
      </c>
      <c r="AW227" s="90">
        <f t="shared" si="62"/>
        <v>3</v>
      </c>
      <c r="AX227" s="163">
        <f t="shared" si="63"/>
        <v>5.0833333333333339</v>
      </c>
    </row>
    <row r="228" spans="1:50" x14ac:dyDescent="0.6">
      <c r="A228" s="214" t="s">
        <v>1817</v>
      </c>
      <c r="B228" s="13" t="s">
        <v>2208</v>
      </c>
      <c r="C228" s="219" t="s">
        <v>1818</v>
      </c>
      <c r="D228" s="14" t="s">
        <v>191</v>
      </c>
      <c r="E228" s="217" t="s">
        <v>1067</v>
      </c>
      <c r="F228" s="217" t="s">
        <v>1819</v>
      </c>
      <c r="G228" s="218">
        <v>28122</v>
      </c>
      <c r="H228" s="217" t="s">
        <v>830</v>
      </c>
      <c r="I228" s="217" t="s">
        <v>1820</v>
      </c>
      <c r="J228" s="217" t="s">
        <v>1821</v>
      </c>
      <c r="K228" s="217" t="s">
        <v>91</v>
      </c>
      <c r="L228" s="220">
        <v>130041760</v>
      </c>
      <c r="M228" s="206">
        <v>68561446</v>
      </c>
      <c r="N228" s="206">
        <v>61480314</v>
      </c>
      <c r="O228" s="206">
        <v>148554918</v>
      </c>
      <c r="P228" s="206">
        <v>11907297</v>
      </c>
      <c r="Q228" s="206">
        <v>8526105</v>
      </c>
      <c r="R228" s="206">
        <v>8638058</v>
      </c>
      <c r="S228" s="32">
        <v>0</v>
      </c>
      <c r="T228" s="32">
        <v>0</v>
      </c>
      <c r="U228" s="32">
        <v>0</v>
      </c>
      <c r="V228" s="266">
        <f t="shared" si="49"/>
        <v>50</v>
      </c>
      <c r="W228" s="90">
        <f t="shared" si="50"/>
        <v>0.5</v>
      </c>
      <c r="X228" s="32">
        <v>0</v>
      </c>
      <c r="Y228" s="32">
        <v>0</v>
      </c>
      <c r="Z228" s="267">
        <f t="shared" si="51"/>
        <v>0</v>
      </c>
      <c r="AA228" s="268">
        <f t="shared" si="52"/>
        <v>33.333333333333336</v>
      </c>
      <c r="AB228" s="90">
        <f t="shared" si="53"/>
        <v>0.33333333333333337</v>
      </c>
      <c r="AC228" s="32">
        <v>30000000</v>
      </c>
      <c r="AD228" s="32">
        <v>0</v>
      </c>
      <c r="AE228" s="252">
        <f t="shared" si="54"/>
        <v>50</v>
      </c>
      <c r="AF228" s="90">
        <f t="shared" si="55"/>
        <v>1</v>
      </c>
      <c r="AG228" s="32">
        <v>0</v>
      </c>
      <c r="AH228" s="247">
        <f t="shared" si="56"/>
        <v>25</v>
      </c>
      <c r="AI228" s="91">
        <f t="shared" si="57"/>
        <v>0.25</v>
      </c>
      <c r="AJ228" s="32"/>
      <c r="AK228" s="32">
        <v>0</v>
      </c>
      <c r="AL228" s="32">
        <v>0</v>
      </c>
      <c r="AM228" s="32">
        <v>0</v>
      </c>
      <c r="AN228" s="32">
        <v>0</v>
      </c>
      <c r="AO228" s="247">
        <f t="shared" si="48"/>
        <v>0</v>
      </c>
      <c r="AP228" s="247">
        <f t="shared" si="58"/>
        <v>25</v>
      </c>
      <c r="AQ228" s="90">
        <f t="shared" si="59"/>
        <v>0.5</v>
      </c>
      <c r="AR228" s="32">
        <v>0</v>
      </c>
      <c r="AS228" s="32">
        <v>0</v>
      </c>
      <c r="AT228" s="32">
        <v>0</v>
      </c>
      <c r="AU228" s="272" t="str">
        <f t="shared" si="60"/>
        <v>A</v>
      </c>
      <c r="AV228" s="247">
        <f t="shared" si="61"/>
        <v>100</v>
      </c>
      <c r="AW228" s="90">
        <f t="shared" si="62"/>
        <v>3</v>
      </c>
      <c r="AX228" s="163">
        <f t="shared" si="63"/>
        <v>5.5833333333333339</v>
      </c>
    </row>
    <row r="229" spans="1:50" x14ac:dyDescent="0.6">
      <c r="A229" s="214" t="s">
        <v>509</v>
      </c>
      <c r="B229" s="13" t="s">
        <v>2209</v>
      </c>
      <c r="C229" s="219" t="s">
        <v>536</v>
      </c>
      <c r="D229" s="216" t="s">
        <v>203</v>
      </c>
      <c r="E229" s="217" t="s">
        <v>585</v>
      </c>
      <c r="F229" s="217" t="s">
        <v>418</v>
      </c>
      <c r="G229" s="218">
        <v>40228</v>
      </c>
      <c r="H229" s="217" t="s">
        <v>830</v>
      </c>
      <c r="I229" s="217" t="s">
        <v>829</v>
      </c>
      <c r="J229" s="217" t="s">
        <v>664</v>
      </c>
      <c r="K229" s="217" t="s">
        <v>31</v>
      </c>
      <c r="L229" s="220">
        <v>145133297</v>
      </c>
      <c r="M229" s="206">
        <v>9248179</v>
      </c>
      <c r="N229" s="206">
        <v>135885117</v>
      </c>
      <c r="O229" s="206">
        <v>66976160</v>
      </c>
      <c r="P229" s="206">
        <v>9435413</v>
      </c>
      <c r="Q229" s="206">
        <v>13174731</v>
      </c>
      <c r="R229" s="206">
        <v>10522135</v>
      </c>
      <c r="S229" s="32">
        <v>0</v>
      </c>
      <c r="T229" s="32">
        <v>0</v>
      </c>
      <c r="U229" s="32">
        <v>0</v>
      </c>
      <c r="V229" s="266">
        <f t="shared" si="49"/>
        <v>50</v>
      </c>
      <c r="W229" s="90">
        <f t="shared" si="50"/>
        <v>0.5</v>
      </c>
      <c r="X229" s="32">
        <v>0</v>
      </c>
      <c r="Y229" s="32">
        <v>0</v>
      </c>
      <c r="Z229" s="267">
        <f t="shared" si="51"/>
        <v>0</v>
      </c>
      <c r="AA229" s="268">
        <f t="shared" si="52"/>
        <v>33.333333333333336</v>
      </c>
      <c r="AB229" s="90">
        <f t="shared" si="53"/>
        <v>0.33333333333333337</v>
      </c>
      <c r="AC229" s="32">
        <v>0</v>
      </c>
      <c r="AD229" s="32">
        <v>0</v>
      </c>
      <c r="AE229" s="252">
        <f t="shared" si="54"/>
        <v>25</v>
      </c>
      <c r="AF229" s="90">
        <f t="shared" si="55"/>
        <v>0.5</v>
      </c>
      <c r="AG229" s="32">
        <v>0</v>
      </c>
      <c r="AH229" s="247">
        <f t="shared" si="56"/>
        <v>25</v>
      </c>
      <c r="AI229" s="91">
        <f t="shared" si="57"/>
        <v>0.25</v>
      </c>
      <c r="AJ229" s="32"/>
      <c r="AK229" s="32">
        <v>1</v>
      </c>
      <c r="AL229" s="32">
        <v>0</v>
      </c>
      <c r="AM229" s="32">
        <v>0</v>
      </c>
      <c r="AN229" s="32">
        <v>0</v>
      </c>
      <c r="AO229" s="247">
        <f t="shared" si="48"/>
        <v>1</v>
      </c>
      <c r="AP229" s="247">
        <f t="shared" si="58"/>
        <v>50</v>
      </c>
      <c r="AQ229" s="90">
        <f t="shared" si="59"/>
        <v>1</v>
      </c>
      <c r="AR229" s="32">
        <v>0</v>
      </c>
      <c r="AS229" s="32">
        <v>0</v>
      </c>
      <c r="AT229" s="32">
        <v>0</v>
      </c>
      <c r="AU229" s="272" t="str">
        <f t="shared" si="60"/>
        <v>A</v>
      </c>
      <c r="AV229" s="247">
        <f t="shared" si="61"/>
        <v>100</v>
      </c>
      <c r="AW229" s="90">
        <f t="shared" si="62"/>
        <v>3</v>
      </c>
      <c r="AX229" s="163">
        <f t="shared" si="63"/>
        <v>5.5833333333333339</v>
      </c>
    </row>
    <row r="230" spans="1:50" x14ac:dyDescent="0.6">
      <c r="A230" s="214" t="s">
        <v>775</v>
      </c>
      <c r="B230" s="13" t="s">
        <v>2210</v>
      </c>
      <c r="C230" s="219" t="s">
        <v>64</v>
      </c>
      <c r="D230" s="216" t="s">
        <v>191</v>
      </c>
      <c r="E230" s="217" t="s">
        <v>178</v>
      </c>
      <c r="F230" s="217" t="s">
        <v>147</v>
      </c>
      <c r="G230" s="218">
        <v>28117</v>
      </c>
      <c r="H230" s="217" t="s">
        <v>830</v>
      </c>
      <c r="I230" s="217" t="s">
        <v>790</v>
      </c>
      <c r="J230" s="217" t="s">
        <v>1206</v>
      </c>
      <c r="K230" s="217" t="s">
        <v>690</v>
      </c>
      <c r="L230" s="220">
        <v>418548891</v>
      </c>
      <c r="M230" s="206">
        <v>263651210</v>
      </c>
      <c r="N230" s="206">
        <v>154897681</v>
      </c>
      <c r="O230" s="206">
        <v>319394587</v>
      </c>
      <c r="P230" s="206">
        <v>15318484</v>
      </c>
      <c r="Q230" s="206">
        <v>13458495</v>
      </c>
      <c r="R230" s="206">
        <v>11843676</v>
      </c>
      <c r="S230" s="32">
        <v>0</v>
      </c>
      <c r="T230" s="32">
        <v>0</v>
      </c>
      <c r="U230" s="32">
        <v>0</v>
      </c>
      <c r="V230" s="266">
        <f t="shared" si="49"/>
        <v>50</v>
      </c>
      <c r="W230" s="90">
        <f t="shared" si="50"/>
        <v>0.5</v>
      </c>
      <c r="X230" s="32">
        <v>0</v>
      </c>
      <c r="Y230" s="32">
        <v>0</v>
      </c>
      <c r="Z230" s="267">
        <f t="shared" si="51"/>
        <v>0</v>
      </c>
      <c r="AA230" s="268">
        <f t="shared" si="52"/>
        <v>33.333333333333336</v>
      </c>
      <c r="AB230" s="90">
        <f t="shared" si="53"/>
        <v>0.33333333333333337</v>
      </c>
      <c r="AC230" s="32">
        <v>0</v>
      </c>
      <c r="AD230" s="32">
        <v>1</v>
      </c>
      <c r="AE230" s="252">
        <f t="shared" si="54"/>
        <v>75</v>
      </c>
      <c r="AF230" s="90">
        <f t="shared" si="55"/>
        <v>1.5</v>
      </c>
      <c r="AG230" s="32">
        <v>2</v>
      </c>
      <c r="AH230" s="247">
        <f t="shared" si="56"/>
        <v>75</v>
      </c>
      <c r="AI230" s="91">
        <f t="shared" si="57"/>
        <v>0.75</v>
      </c>
      <c r="AJ230" s="32"/>
      <c r="AK230" s="32">
        <v>1</v>
      </c>
      <c r="AL230" s="32">
        <v>0</v>
      </c>
      <c r="AM230" s="32">
        <v>0</v>
      </c>
      <c r="AN230" s="32">
        <v>0</v>
      </c>
      <c r="AO230" s="247">
        <f t="shared" si="48"/>
        <v>1</v>
      </c>
      <c r="AP230" s="247">
        <f t="shared" si="58"/>
        <v>50</v>
      </c>
      <c r="AQ230" s="90">
        <f t="shared" si="59"/>
        <v>1</v>
      </c>
      <c r="AR230" s="32">
        <v>0</v>
      </c>
      <c r="AS230" s="32">
        <v>0</v>
      </c>
      <c r="AT230" s="32">
        <v>0</v>
      </c>
      <c r="AU230" s="272" t="str">
        <f t="shared" si="60"/>
        <v>A</v>
      </c>
      <c r="AV230" s="247">
        <f t="shared" si="61"/>
        <v>100</v>
      </c>
      <c r="AW230" s="90">
        <f t="shared" si="62"/>
        <v>3</v>
      </c>
      <c r="AX230" s="163">
        <f t="shared" si="63"/>
        <v>7.0833333333333339</v>
      </c>
    </row>
    <row r="231" spans="1:50" x14ac:dyDescent="0.6">
      <c r="A231" s="214" t="s">
        <v>843</v>
      </c>
      <c r="B231" s="13" t="s">
        <v>2211</v>
      </c>
      <c r="C231" s="219" t="s">
        <v>537</v>
      </c>
      <c r="D231" s="216" t="s">
        <v>191</v>
      </c>
      <c r="E231" s="217" t="s">
        <v>34</v>
      </c>
      <c r="F231" s="217" t="s">
        <v>282</v>
      </c>
      <c r="G231" s="218">
        <v>41614</v>
      </c>
      <c r="H231" s="217" t="s">
        <v>830</v>
      </c>
      <c r="I231" s="217" t="s">
        <v>819</v>
      </c>
      <c r="J231" s="217" t="s">
        <v>1112</v>
      </c>
      <c r="K231" s="217" t="s">
        <v>91</v>
      </c>
      <c r="L231" s="220">
        <v>1097011146</v>
      </c>
      <c r="M231" s="206">
        <v>479043111</v>
      </c>
      <c r="N231" s="206">
        <v>617968035</v>
      </c>
      <c r="O231" s="206">
        <v>1472343921</v>
      </c>
      <c r="P231" s="206">
        <v>107106911</v>
      </c>
      <c r="Q231" s="206">
        <v>100951688</v>
      </c>
      <c r="R231" s="206">
        <v>82941336</v>
      </c>
      <c r="S231" s="32">
        <v>1</v>
      </c>
      <c r="T231" s="32">
        <v>0</v>
      </c>
      <c r="U231" s="32">
        <v>0</v>
      </c>
      <c r="V231" s="266">
        <f t="shared" si="49"/>
        <v>100</v>
      </c>
      <c r="W231" s="90">
        <f t="shared" si="50"/>
        <v>1</v>
      </c>
      <c r="X231" s="32">
        <v>0</v>
      </c>
      <c r="Y231" s="32">
        <v>0</v>
      </c>
      <c r="Z231" s="267">
        <f t="shared" si="51"/>
        <v>0</v>
      </c>
      <c r="AA231" s="268">
        <f t="shared" si="52"/>
        <v>33.333333333333336</v>
      </c>
      <c r="AB231" s="90">
        <f t="shared" si="53"/>
        <v>0.33333333333333337</v>
      </c>
      <c r="AC231" s="32">
        <v>0</v>
      </c>
      <c r="AD231" s="32">
        <v>1</v>
      </c>
      <c r="AE231" s="252">
        <f t="shared" si="54"/>
        <v>75</v>
      </c>
      <c r="AF231" s="90">
        <f t="shared" si="55"/>
        <v>1.5</v>
      </c>
      <c r="AG231" s="32">
        <v>0</v>
      </c>
      <c r="AH231" s="247">
        <f t="shared" si="56"/>
        <v>25</v>
      </c>
      <c r="AI231" s="91">
        <f t="shared" si="57"/>
        <v>0.25</v>
      </c>
      <c r="AJ231" s="32"/>
      <c r="AK231" s="32">
        <v>1</v>
      </c>
      <c r="AL231" s="32">
        <v>0</v>
      </c>
      <c r="AM231" s="32">
        <v>0</v>
      </c>
      <c r="AN231" s="32">
        <v>0</v>
      </c>
      <c r="AO231" s="247">
        <f t="shared" si="48"/>
        <v>1</v>
      </c>
      <c r="AP231" s="247">
        <f t="shared" si="58"/>
        <v>50</v>
      </c>
      <c r="AQ231" s="90">
        <f t="shared" si="59"/>
        <v>1</v>
      </c>
      <c r="AR231" s="32">
        <v>0</v>
      </c>
      <c r="AS231" s="32">
        <v>0</v>
      </c>
      <c r="AT231" s="32">
        <v>0</v>
      </c>
      <c r="AU231" s="272" t="str">
        <f t="shared" si="60"/>
        <v>A</v>
      </c>
      <c r="AV231" s="247">
        <f t="shared" si="61"/>
        <v>100</v>
      </c>
      <c r="AW231" s="90">
        <f t="shared" si="62"/>
        <v>3</v>
      </c>
      <c r="AX231" s="163">
        <f t="shared" si="63"/>
        <v>7.0833333333333339</v>
      </c>
    </row>
    <row r="232" spans="1:50" x14ac:dyDescent="0.6">
      <c r="A232" s="214" t="s">
        <v>799</v>
      </c>
      <c r="B232" s="13" t="s">
        <v>2212</v>
      </c>
      <c r="C232" s="219" t="s">
        <v>546</v>
      </c>
      <c r="D232" s="216" t="s">
        <v>191</v>
      </c>
      <c r="E232" s="217" t="s">
        <v>554</v>
      </c>
      <c r="F232" s="217" t="s">
        <v>218</v>
      </c>
      <c r="G232" s="218">
        <v>43768</v>
      </c>
      <c r="H232" s="217" t="s">
        <v>830</v>
      </c>
      <c r="I232" s="217" t="s">
        <v>842</v>
      </c>
      <c r="J232" s="217" t="s">
        <v>1131</v>
      </c>
      <c r="K232" s="217" t="s">
        <v>690</v>
      </c>
      <c r="L232" s="220">
        <v>740602270</v>
      </c>
      <c r="M232" s="206">
        <v>262924064</v>
      </c>
      <c r="N232" s="206">
        <v>477678206</v>
      </c>
      <c r="O232" s="206">
        <v>269751716</v>
      </c>
      <c r="P232" s="206">
        <v>21819621</v>
      </c>
      <c r="Q232" s="206">
        <v>9990377</v>
      </c>
      <c r="R232" s="206">
        <v>2417491</v>
      </c>
      <c r="S232" s="32">
        <v>0</v>
      </c>
      <c r="T232" s="32">
        <v>0</v>
      </c>
      <c r="U232" s="32">
        <v>0</v>
      </c>
      <c r="V232" s="266">
        <f t="shared" si="49"/>
        <v>50</v>
      </c>
      <c r="W232" s="90">
        <f t="shared" si="50"/>
        <v>0.5</v>
      </c>
      <c r="X232" s="32">
        <v>0</v>
      </c>
      <c r="Y232" s="32">
        <v>0</v>
      </c>
      <c r="Z232" s="267">
        <f t="shared" si="51"/>
        <v>0</v>
      </c>
      <c r="AA232" s="268">
        <f t="shared" si="52"/>
        <v>33.333333333333336</v>
      </c>
      <c r="AB232" s="90">
        <f t="shared" si="53"/>
        <v>0.33333333333333337</v>
      </c>
      <c r="AC232" s="32">
        <v>0</v>
      </c>
      <c r="AD232" s="32">
        <v>1</v>
      </c>
      <c r="AE232" s="252">
        <f t="shared" si="54"/>
        <v>75</v>
      </c>
      <c r="AF232" s="90">
        <f t="shared" si="55"/>
        <v>1.5</v>
      </c>
      <c r="AG232" s="32">
        <v>1</v>
      </c>
      <c r="AH232" s="247">
        <f t="shared" si="56"/>
        <v>50</v>
      </c>
      <c r="AI232" s="91">
        <f t="shared" si="57"/>
        <v>0.5</v>
      </c>
      <c r="AJ232" s="32"/>
      <c r="AK232" s="32">
        <v>0</v>
      </c>
      <c r="AL232" s="32">
        <v>0</v>
      </c>
      <c r="AM232" s="32">
        <v>0</v>
      </c>
      <c r="AN232" s="32">
        <v>0</v>
      </c>
      <c r="AO232" s="247">
        <f t="shared" si="48"/>
        <v>0</v>
      </c>
      <c r="AP232" s="247">
        <f t="shared" si="58"/>
        <v>25</v>
      </c>
      <c r="AQ232" s="90">
        <f t="shared" si="59"/>
        <v>0.5</v>
      </c>
      <c r="AR232" s="32">
        <v>0</v>
      </c>
      <c r="AS232" s="32">
        <v>0</v>
      </c>
      <c r="AT232" s="32">
        <v>0</v>
      </c>
      <c r="AU232" s="272" t="str">
        <f t="shared" si="60"/>
        <v>A</v>
      </c>
      <c r="AV232" s="247">
        <f t="shared" si="61"/>
        <v>100</v>
      </c>
      <c r="AW232" s="90">
        <f t="shared" si="62"/>
        <v>3</v>
      </c>
      <c r="AX232" s="163">
        <f t="shared" si="63"/>
        <v>6.3333333333333339</v>
      </c>
    </row>
    <row r="233" spans="1:50" x14ac:dyDescent="0.6">
      <c r="A233" s="214" t="s">
        <v>1822</v>
      </c>
      <c r="B233" s="13" t="s">
        <v>2213</v>
      </c>
      <c r="C233" s="219" t="s">
        <v>1823</v>
      </c>
      <c r="D233" s="14" t="s">
        <v>203</v>
      </c>
      <c r="E233" s="217" t="s">
        <v>246</v>
      </c>
      <c r="F233" s="217" t="s">
        <v>1824</v>
      </c>
      <c r="G233" s="218">
        <v>26841</v>
      </c>
      <c r="H233" s="217" t="s">
        <v>830</v>
      </c>
      <c r="I233" s="217" t="s">
        <v>1825</v>
      </c>
      <c r="J233" s="217" t="s">
        <v>1826</v>
      </c>
      <c r="K233" s="217" t="s">
        <v>50</v>
      </c>
      <c r="L233" s="220">
        <v>59360094</v>
      </c>
      <c r="M233" s="206">
        <v>18306208</v>
      </c>
      <c r="N233" s="206">
        <v>41053886</v>
      </c>
      <c r="O233" s="206">
        <v>58845136</v>
      </c>
      <c r="P233" s="206">
        <v>3368252</v>
      </c>
      <c r="Q233" s="206">
        <v>5181465</v>
      </c>
      <c r="R233" s="206">
        <v>4397506</v>
      </c>
      <c r="S233" s="32">
        <v>0</v>
      </c>
      <c r="T233" s="32">
        <v>0</v>
      </c>
      <c r="U233" s="32">
        <v>0</v>
      </c>
      <c r="V233" s="266">
        <f t="shared" si="49"/>
        <v>50</v>
      </c>
      <c r="W233" s="90">
        <f t="shared" si="50"/>
        <v>0.5</v>
      </c>
      <c r="X233" s="32">
        <v>0</v>
      </c>
      <c r="Y233" s="32">
        <v>0</v>
      </c>
      <c r="Z233" s="267">
        <f t="shared" si="51"/>
        <v>0</v>
      </c>
      <c r="AA233" s="268">
        <f t="shared" si="52"/>
        <v>33.333333333333336</v>
      </c>
      <c r="AB233" s="90">
        <f t="shared" si="53"/>
        <v>0.33333333333333337</v>
      </c>
      <c r="AC233" s="32">
        <v>0</v>
      </c>
      <c r="AD233" s="32">
        <v>1</v>
      </c>
      <c r="AE233" s="252">
        <f t="shared" si="54"/>
        <v>75</v>
      </c>
      <c r="AF233" s="90">
        <f t="shared" si="55"/>
        <v>1.5</v>
      </c>
      <c r="AG233" s="32">
        <v>0</v>
      </c>
      <c r="AH233" s="247">
        <f t="shared" si="56"/>
        <v>25</v>
      </c>
      <c r="AI233" s="91">
        <f t="shared" si="57"/>
        <v>0.25</v>
      </c>
      <c r="AJ233" s="32"/>
      <c r="AK233" s="32">
        <v>1</v>
      </c>
      <c r="AL233" s="32">
        <v>0</v>
      </c>
      <c r="AM233" s="32">
        <v>0</v>
      </c>
      <c r="AN233" s="32">
        <v>0</v>
      </c>
      <c r="AO233" s="247">
        <f t="shared" si="48"/>
        <v>1</v>
      </c>
      <c r="AP233" s="247">
        <f t="shared" si="58"/>
        <v>50</v>
      </c>
      <c r="AQ233" s="90">
        <f t="shared" si="59"/>
        <v>1</v>
      </c>
      <c r="AR233" s="32">
        <v>0</v>
      </c>
      <c r="AS233" s="32">
        <v>0</v>
      </c>
      <c r="AT233" s="32">
        <v>0</v>
      </c>
      <c r="AU233" s="272" t="str">
        <f t="shared" si="60"/>
        <v>A</v>
      </c>
      <c r="AV233" s="247">
        <f t="shared" si="61"/>
        <v>100</v>
      </c>
      <c r="AW233" s="90">
        <f t="shared" si="62"/>
        <v>3</v>
      </c>
      <c r="AX233" s="163">
        <f t="shared" si="63"/>
        <v>6.5833333333333339</v>
      </c>
    </row>
    <row r="234" spans="1:50" x14ac:dyDescent="0.6">
      <c r="A234" s="214" t="s">
        <v>29</v>
      </c>
      <c r="B234" s="13" t="s">
        <v>2214</v>
      </c>
      <c r="C234" s="219" t="s">
        <v>8</v>
      </c>
      <c r="D234" s="216" t="s">
        <v>203</v>
      </c>
      <c r="E234" s="217" t="s">
        <v>246</v>
      </c>
      <c r="F234" s="217" t="s">
        <v>1105</v>
      </c>
      <c r="G234" s="218">
        <v>32781</v>
      </c>
      <c r="H234" s="217" t="s">
        <v>830</v>
      </c>
      <c r="I234" s="217" t="s">
        <v>1825</v>
      </c>
      <c r="J234" s="217" t="s">
        <v>1234</v>
      </c>
      <c r="K234" s="217" t="s">
        <v>690</v>
      </c>
      <c r="L234" s="220">
        <v>45482659</v>
      </c>
      <c r="M234" s="206">
        <v>14914195</v>
      </c>
      <c r="N234" s="206">
        <v>30568464</v>
      </c>
      <c r="O234" s="206">
        <v>50246842</v>
      </c>
      <c r="P234" s="206">
        <v>3199040</v>
      </c>
      <c r="Q234" s="206">
        <v>3233292</v>
      </c>
      <c r="R234" s="206">
        <v>3418425</v>
      </c>
      <c r="S234" s="32">
        <v>0</v>
      </c>
      <c r="T234" s="32">
        <v>0</v>
      </c>
      <c r="U234" s="32">
        <v>0</v>
      </c>
      <c r="V234" s="266">
        <f t="shared" si="49"/>
        <v>50</v>
      </c>
      <c r="W234" s="90">
        <f t="shared" si="50"/>
        <v>0.5</v>
      </c>
      <c r="X234" s="32">
        <v>0</v>
      </c>
      <c r="Y234" s="32">
        <v>0</v>
      </c>
      <c r="Z234" s="267">
        <f t="shared" si="51"/>
        <v>0</v>
      </c>
      <c r="AA234" s="268">
        <f t="shared" si="52"/>
        <v>33.333333333333336</v>
      </c>
      <c r="AB234" s="90">
        <f t="shared" si="53"/>
        <v>0.33333333333333337</v>
      </c>
      <c r="AC234" s="32">
        <v>10000000</v>
      </c>
      <c r="AD234" s="32">
        <v>1</v>
      </c>
      <c r="AE234" s="252">
        <f t="shared" si="54"/>
        <v>100</v>
      </c>
      <c r="AF234" s="90">
        <f t="shared" si="55"/>
        <v>2</v>
      </c>
      <c r="AG234" s="32">
        <v>0</v>
      </c>
      <c r="AH234" s="247">
        <f t="shared" si="56"/>
        <v>25</v>
      </c>
      <c r="AI234" s="91">
        <f t="shared" si="57"/>
        <v>0.25</v>
      </c>
      <c r="AJ234" s="32"/>
      <c r="AK234" s="32">
        <v>1</v>
      </c>
      <c r="AL234" s="32">
        <v>0</v>
      </c>
      <c r="AM234" s="32">
        <v>0</v>
      </c>
      <c r="AN234" s="32">
        <v>0</v>
      </c>
      <c r="AO234" s="247">
        <f t="shared" si="48"/>
        <v>1</v>
      </c>
      <c r="AP234" s="247">
        <f t="shared" si="58"/>
        <v>50</v>
      </c>
      <c r="AQ234" s="90">
        <f t="shared" si="59"/>
        <v>1</v>
      </c>
      <c r="AR234" s="32">
        <v>0</v>
      </c>
      <c r="AS234" s="32">
        <v>0</v>
      </c>
      <c r="AT234" s="32">
        <v>0</v>
      </c>
      <c r="AU234" s="272" t="str">
        <f t="shared" si="60"/>
        <v>A</v>
      </c>
      <c r="AV234" s="247">
        <f t="shared" si="61"/>
        <v>100</v>
      </c>
      <c r="AW234" s="90">
        <f t="shared" si="62"/>
        <v>3</v>
      </c>
      <c r="AX234" s="163">
        <f t="shared" si="63"/>
        <v>7.0833333333333339</v>
      </c>
    </row>
    <row r="235" spans="1:50" x14ac:dyDescent="0.6">
      <c r="A235" s="214" t="s">
        <v>335</v>
      </c>
      <c r="B235" s="13" t="s">
        <v>2215</v>
      </c>
      <c r="C235" s="219" t="s">
        <v>107</v>
      </c>
      <c r="D235" s="216" t="s">
        <v>285</v>
      </c>
      <c r="E235" s="217" t="s">
        <v>867</v>
      </c>
      <c r="F235" s="217" t="s">
        <v>1098</v>
      </c>
      <c r="G235" s="218">
        <v>28301</v>
      </c>
      <c r="H235" s="217" t="s">
        <v>830</v>
      </c>
      <c r="I235" s="217" t="s">
        <v>766</v>
      </c>
      <c r="J235" s="217" t="s">
        <v>1195</v>
      </c>
      <c r="K235" s="217" t="s">
        <v>346</v>
      </c>
      <c r="L235" s="220">
        <v>451746879</v>
      </c>
      <c r="M235" s="206">
        <v>227013990</v>
      </c>
      <c r="N235" s="206">
        <v>224732889</v>
      </c>
      <c r="O235" s="206">
        <v>628936049</v>
      </c>
      <c r="P235" s="206">
        <v>50682533</v>
      </c>
      <c r="Q235" s="206">
        <v>53220599</v>
      </c>
      <c r="R235" s="206">
        <v>49560577</v>
      </c>
      <c r="S235" s="32">
        <v>0</v>
      </c>
      <c r="T235" s="32">
        <v>0</v>
      </c>
      <c r="U235" s="32">
        <v>0</v>
      </c>
      <c r="V235" s="266">
        <f t="shared" si="49"/>
        <v>50</v>
      </c>
      <c r="W235" s="90">
        <f t="shared" si="50"/>
        <v>0.5</v>
      </c>
      <c r="X235" s="32">
        <v>0</v>
      </c>
      <c r="Y235" s="32">
        <v>0</v>
      </c>
      <c r="Z235" s="267">
        <f t="shared" si="51"/>
        <v>0</v>
      </c>
      <c r="AA235" s="268">
        <f t="shared" si="52"/>
        <v>33.333333333333336</v>
      </c>
      <c r="AB235" s="90">
        <f t="shared" si="53"/>
        <v>0.33333333333333337</v>
      </c>
      <c r="AC235" s="32">
        <v>0</v>
      </c>
      <c r="AD235" s="32">
        <v>1</v>
      </c>
      <c r="AE235" s="252">
        <f t="shared" si="54"/>
        <v>75</v>
      </c>
      <c r="AF235" s="90">
        <f t="shared" si="55"/>
        <v>1.5</v>
      </c>
      <c r="AG235" s="32">
        <v>0</v>
      </c>
      <c r="AH235" s="247">
        <f t="shared" si="56"/>
        <v>25</v>
      </c>
      <c r="AI235" s="91">
        <f t="shared" si="57"/>
        <v>0.25</v>
      </c>
      <c r="AJ235" s="32"/>
      <c r="AK235" s="32">
        <v>1</v>
      </c>
      <c r="AL235" s="32">
        <v>0</v>
      </c>
      <c r="AM235" s="32">
        <v>0</v>
      </c>
      <c r="AN235" s="32">
        <v>0</v>
      </c>
      <c r="AO235" s="247">
        <f t="shared" si="48"/>
        <v>1</v>
      </c>
      <c r="AP235" s="247">
        <f t="shared" si="58"/>
        <v>50</v>
      </c>
      <c r="AQ235" s="90">
        <f t="shared" si="59"/>
        <v>1</v>
      </c>
      <c r="AR235" s="32">
        <v>0</v>
      </c>
      <c r="AS235" s="32">
        <v>0</v>
      </c>
      <c r="AT235" s="32">
        <v>0</v>
      </c>
      <c r="AU235" s="272" t="str">
        <f t="shared" si="60"/>
        <v>A</v>
      </c>
      <c r="AV235" s="247">
        <f t="shared" si="61"/>
        <v>100</v>
      </c>
      <c r="AW235" s="90">
        <f t="shared" si="62"/>
        <v>3</v>
      </c>
      <c r="AX235" s="163">
        <f t="shared" si="63"/>
        <v>6.5833333333333339</v>
      </c>
    </row>
    <row r="236" spans="1:50" x14ac:dyDescent="0.6">
      <c r="A236" s="214" t="s">
        <v>1827</v>
      </c>
      <c r="B236" s="13" t="s">
        <v>2216</v>
      </c>
      <c r="C236" s="219" t="s">
        <v>1828</v>
      </c>
      <c r="D236" s="79" t="s">
        <v>88</v>
      </c>
      <c r="E236" s="217" t="s">
        <v>1585</v>
      </c>
      <c r="F236" s="217" t="s">
        <v>1829</v>
      </c>
      <c r="G236" s="218">
        <v>44414</v>
      </c>
      <c r="H236" s="217" t="s">
        <v>830</v>
      </c>
      <c r="I236" s="217" t="s">
        <v>1830</v>
      </c>
      <c r="J236" s="1" t="s">
        <v>2308</v>
      </c>
      <c r="K236" s="217" t="s">
        <v>690</v>
      </c>
      <c r="L236" s="220">
        <v>39516079000</v>
      </c>
      <c r="M236" s="206">
        <v>33800969000</v>
      </c>
      <c r="N236" s="206">
        <v>5715110000</v>
      </c>
      <c r="O236" s="206">
        <v>1605801000</v>
      </c>
      <c r="P236" s="206">
        <v>353186000</v>
      </c>
      <c r="Q236" s="206">
        <v>351733000</v>
      </c>
      <c r="R236" s="206">
        <v>263091000</v>
      </c>
      <c r="S236" s="32">
        <v>1</v>
      </c>
      <c r="T236" s="32">
        <v>0</v>
      </c>
      <c r="U236" s="32">
        <v>0</v>
      </c>
      <c r="V236" s="266">
        <f t="shared" si="49"/>
        <v>100</v>
      </c>
      <c r="W236" s="90">
        <f t="shared" si="50"/>
        <v>1</v>
      </c>
      <c r="X236" s="32">
        <v>0</v>
      </c>
      <c r="Y236" s="32">
        <v>0</v>
      </c>
      <c r="Z236" s="267">
        <f t="shared" si="51"/>
        <v>0</v>
      </c>
      <c r="AA236" s="268">
        <f t="shared" si="52"/>
        <v>33.333333333333336</v>
      </c>
      <c r="AB236" s="90">
        <f t="shared" si="53"/>
        <v>0.33333333333333337</v>
      </c>
      <c r="AC236" s="32">
        <v>0</v>
      </c>
      <c r="AD236" s="32">
        <v>0</v>
      </c>
      <c r="AE236" s="252">
        <f t="shared" si="54"/>
        <v>25</v>
      </c>
      <c r="AF236" s="90">
        <f t="shared" si="55"/>
        <v>0.5</v>
      </c>
      <c r="AG236" s="32">
        <v>0</v>
      </c>
      <c r="AH236" s="247">
        <f t="shared" si="56"/>
        <v>25</v>
      </c>
      <c r="AI236" s="91">
        <f t="shared" si="57"/>
        <v>0.25</v>
      </c>
      <c r="AJ236" s="32"/>
      <c r="AK236" s="32">
        <v>0</v>
      </c>
      <c r="AL236" s="32">
        <v>0</v>
      </c>
      <c r="AM236" s="32">
        <v>0</v>
      </c>
      <c r="AN236" s="32">
        <v>0</v>
      </c>
      <c r="AO236" s="247">
        <f t="shared" si="48"/>
        <v>0</v>
      </c>
      <c r="AP236" s="247">
        <f t="shared" si="58"/>
        <v>25</v>
      </c>
      <c r="AQ236" s="90">
        <f t="shared" si="59"/>
        <v>0.5</v>
      </c>
      <c r="AR236" s="32">
        <v>0</v>
      </c>
      <c r="AS236" s="32">
        <v>0</v>
      </c>
      <c r="AT236" s="32">
        <v>0</v>
      </c>
      <c r="AU236" s="272" t="str">
        <f t="shared" si="60"/>
        <v>A</v>
      </c>
      <c r="AV236" s="247">
        <f t="shared" si="61"/>
        <v>100</v>
      </c>
      <c r="AW236" s="90">
        <f t="shared" si="62"/>
        <v>3</v>
      </c>
      <c r="AX236" s="163">
        <v>0</v>
      </c>
    </row>
    <row r="237" spans="1:50" x14ac:dyDescent="0.6">
      <c r="A237" s="214" t="s">
        <v>828</v>
      </c>
      <c r="B237" s="13" t="s">
        <v>2217</v>
      </c>
      <c r="C237" s="219" t="s">
        <v>541</v>
      </c>
      <c r="D237" s="216" t="s">
        <v>202</v>
      </c>
      <c r="E237" s="217" t="s">
        <v>161</v>
      </c>
      <c r="F237" s="217" t="s">
        <v>1202</v>
      </c>
      <c r="G237" s="218">
        <v>35759</v>
      </c>
      <c r="H237" s="217" t="s">
        <v>830</v>
      </c>
      <c r="I237" s="217" t="s">
        <v>1831</v>
      </c>
      <c r="J237" s="217" t="s">
        <v>1092</v>
      </c>
      <c r="K237" s="217" t="s">
        <v>690</v>
      </c>
      <c r="L237" s="220">
        <v>620348530</v>
      </c>
      <c r="M237" s="206">
        <v>68839722</v>
      </c>
      <c r="N237" s="206">
        <v>551508808</v>
      </c>
      <c r="O237" s="206">
        <v>211778911</v>
      </c>
      <c r="P237" s="206">
        <v>46883729</v>
      </c>
      <c r="Q237" s="206">
        <v>54068760</v>
      </c>
      <c r="R237" s="206">
        <v>46885493</v>
      </c>
      <c r="S237" s="32">
        <v>0</v>
      </c>
      <c r="T237" s="32">
        <v>1</v>
      </c>
      <c r="U237" s="32">
        <v>0</v>
      </c>
      <c r="V237" s="266">
        <f t="shared" si="49"/>
        <v>100</v>
      </c>
      <c r="W237" s="90">
        <f t="shared" si="50"/>
        <v>1</v>
      </c>
      <c r="X237" s="32">
        <v>0</v>
      </c>
      <c r="Y237" s="32">
        <v>0</v>
      </c>
      <c r="Z237" s="267">
        <f t="shared" si="51"/>
        <v>0</v>
      </c>
      <c r="AA237" s="268">
        <f t="shared" si="52"/>
        <v>33.333333333333336</v>
      </c>
      <c r="AB237" s="90">
        <f t="shared" si="53"/>
        <v>0.33333333333333337</v>
      </c>
      <c r="AC237" s="32">
        <v>0</v>
      </c>
      <c r="AD237" s="32">
        <v>1</v>
      </c>
      <c r="AE237" s="252">
        <f t="shared" si="54"/>
        <v>75</v>
      </c>
      <c r="AF237" s="90">
        <f t="shared" si="55"/>
        <v>1.5</v>
      </c>
      <c r="AG237" s="32">
        <v>0</v>
      </c>
      <c r="AH237" s="247">
        <f t="shared" si="56"/>
        <v>25</v>
      </c>
      <c r="AI237" s="91">
        <f t="shared" si="57"/>
        <v>0.25</v>
      </c>
      <c r="AJ237" s="32"/>
      <c r="AK237" s="32">
        <v>1</v>
      </c>
      <c r="AL237" s="32">
        <v>1</v>
      </c>
      <c r="AM237" s="32">
        <v>0</v>
      </c>
      <c r="AN237" s="32">
        <v>0</v>
      </c>
      <c r="AO237" s="247">
        <f t="shared" si="48"/>
        <v>2</v>
      </c>
      <c r="AP237" s="247">
        <f t="shared" si="58"/>
        <v>75</v>
      </c>
      <c r="AQ237" s="90">
        <f t="shared" si="59"/>
        <v>1.5</v>
      </c>
      <c r="AR237" s="32">
        <v>0</v>
      </c>
      <c r="AS237" s="32">
        <v>0</v>
      </c>
      <c r="AT237" s="32">
        <v>0</v>
      </c>
      <c r="AU237" s="272" t="str">
        <f t="shared" si="60"/>
        <v>A</v>
      </c>
      <c r="AV237" s="247">
        <f t="shared" si="61"/>
        <v>100</v>
      </c>
      <c r="AW237" s="90">
        <f t="shared" si="62"/>
        <v>3</v>
      </c>
      <c r="AX237" s="163">
        <f t="shared" si="63"/>
        <v>7.5833333333333339</v>
      </c>
    </row>
    <row r="238" spans="1:50" x14ac:dyDescent="0.6">
      <c r="A238" s="214" t="s">
        <v>1832</v>
      </c>
      <c r="B238" s="13" t="s">
        <v>2218</v>
      </c>
      <c r="C238" s="219" t="s">
        <v>1833</v>
      </c>
      <c r="D238" s="14" t="s">
        <v>203</v>
      </c>
      <c r="E238" s="217" t="s">
        <v>188</v>
      </c>
      <c r="F238" s="217" t="s">
        <v>1834</v>
      </c>
      <c r="G238" s="218">
        <v>26840</v>
      </c>
      <c r="H238" s="217" t="s">
        <v>830</v>
      </c>
      <c r="I238" s="217" t="s">
        <v>1835</v>
      </c>
      <c r="J238" s="217" t="s">
        <v>1836</v>
      </c>
      <c r="K238" s="217" t="s">
        <v>91</v>
      </c>
      <c r="L238" s="220">
        <v>8803079613</v>
      </c>
      <c r="M238" s="206">
        <v>3891106993</v>
      </c>
      <c r="N238" s="206">
        <v>4911972621</v>
      </c>
      <c r="O238" s="206">
        <v>2701705575</v>
      </c>
      <c r="P238" s="206">
        <v>177791342</v>
      </c>
      <c r="Q238" s="206">
        <v>7918913</v>
      </c>
      <c r="R238" s="206">
        <v>7342768</v>
      </c>
      <c r="S238" s="32">
        <v>1</v>
      </c>
      <c r="T238" s="32">
        <v>0</v>
      </c>
      <c r="U238" s="32">
        <v>0</v>
      </c>
      <c r="V238" s="266">
        <f t="shared" si="49"/>
        <v>100</v>
      </c>
      <c r="W238" s="90">
        <f t="shared" si="50"/>
        <v>1</v>
      </c>
      <c r="X238" s="32">
        <v>0</v>
      </c>
      <c r="Y238" s="32">
        <v>0</v>
      </c>
      <c r="Z238" s="267">
        <f t="shared" si="51"/>
        <v>0</v>
      </c>
      <c r="AA238" s="268">
        <f t="shared" si="52"/>
        <v>33.333333333333336</v>
      </c>
      <c r="AB238" s="90">
        <f t="shared" si="53"/>
        <v>0.33333333333333337</v>
      </c>
      <c r="AC238" s="32">
        <v>0</v>
      </c>
      <c r="AD238" s="32">
        <v>1</v>
      </c>
      <c r="AE238" s="252">
        <f t="shared" si="54"/>
        <v>75</v>
      </c>
      <c r="AF238" s="90">
        <f t="shared" si="55"/>
        <v>1.5</v>
      </c>
      <c r="AG238" s="32">
        <v>1</v>
      </c>
      <c r="AH238" s="247">
        <f t="shared" si="56"/>
        <v>50</v>
      </c>
      <c r="AI238" s="91">
        <f t="shared" si="57"/>
        <v>0.5</v>
      </c>
      <c r="AJ238" s="32"/>
      <c r="AK238" s="32">
        <v>1</v>
      </c>
      <c r="AL238" s="32">
        <v>0</v>
      </c>
      <c r="AM238" s="32">
        <v>0</v>
      </c>
      <c r="AN238" s="32">
        <v>0</v>
      </c>
      <c r="AO238" s="247">
        <f t="shared" si="48"/>
        <v>1</v>
      </c>
      <c r="AP238" s="247">
        <f t="shared" si="58"/>
        <v>50</v>
      </c>
      <c r="AQ238" s="90">
        <f t="shared" si="59"/>
        <v>1</v>
      </c>
      <c r="AR238" s="32">
        <v>0</v>
      </c>
      <c r="AS238" s="32">
        <v>0</v>
      </c>
      <c r="AT238" s="32">
        <v>0</v>
      </c>
      <c r="AU238" s="272" t="str">
        <f t="shared" si="60"/>
        <v>A</v>
      </c>
      <c r="AV238" s="247">
        <f t="shared" si="61"/>
        <v>100</v>
      </c>
      <c r="AW238" s="90">
        <f t="shared" si="62"/>
        <v>3</v>
      </c>
      <c r="AX238" s="163">
        <f t="shared" si="63"/>
        <v>7.3333333333333339</v>
      </c>
    </row>
    <row r="239" spans="1:50" x14ac:dyDescent="0.6">
      <c r="A239" s="214" t="s">
        <v>26</v>
      </c>
      <c r="B239" s="13" t="s">
        <v>2219</v>
      </c>
      <c r="C239" s="219" t="s">
        <v>475</v>
      </c>
      <c r="D239" s="216" t="s">
        <v>202</v>
      </c>
      <c r="E239" s="217" t="s">
        <v>161</v>
      </c>
      <c r="F239" s="217" t="s">
        <v>985</v>
      </c>
      <c r="G239" s="218">
        <v>43074</v>
      </c>
      <c r="H239" s="217" t="s">
        <v>830</v>
      </c>
      <c r="I239" s="217" t="s">
        <v>1017</v>
      </c>
      <c r="J239" s="217" t="s">
        <v>1133</v>
      </c>
      <c r="K239" s="217" t="s">
        <v>690</v>
      </c>
      <c r="L239" s="220">
        <v>483313332</v>
      </c>
      <c r="M239" s="206">
        <v>57327965</v>
      </c>
      <c r="N239" s="206">
        <v>425985367</v>
      </c>
      <c r="O239" s="206">
        <v>378192950</v>
      </c>
      <c r="P239" s="206">
        <v>60336561</v>
      </c>
      <c r="Q239" s="206">
        <v>70491799</v>
      </c>
      <c r="R239" s="206">
        <v>55385939</v>
      </c>
      <c r="S239" s="32">
        <v>0</v>
      </c>
      <c r="T239" s="32">
        <v>1</v>
      </c>
      <c r="U239" s="32">
        <v>0</v>
      </c>
      <c r="V239" s="266">
        <f t="shared" si="49"/>
        <v>100</v>
      </c>
      <c r="W239" s="90">
        <f t="shared" si="50"/>
        <v>1</v>
      </c>
      <c r="X239" s="32">
        <v>0</v>
      </c>
      <c r="Y239" s="32">
        <v>0</v>
      </c>
      <c r="Z239" s="267">
        <f t="shared" si="51"/>
        <v>0</v>
      </c>
      <c r="AA239" s="268">
        <f t="shared" si="52"/>
        <v>33.333333333333336</v>
      </c>
      <c r="AB239" s="90">
        <f t="shared" si="53"/>
        <v>0.33333333333333337</v>
      </c>
      <c r="AC239" s="32">
        <v>0</v>
      </c>
      <c r="AD239" s="32">
        <v>1</v>
      </c>
      <c r="AE239" s="252">
        <f t="shared" si="54"/>
        <v>75</v>
      </c>
      <c r="AF239" s="90">
        <f t="shared" si="55"/>
        <v>1.5</v>
      </c>
      <c r="AG239" s="32">
        <v>0</v>
      </c>
      <c r="AH239" s="247">
        <f t="shared" si="56"/>
        <v>25</v>
      </c>
      <c r="AI239" s="91">
        <f t="shared" si="57"/>
        <v>0.25</v>
      </c>
      <c r="AJ239" s="32"/>
      <c r="AK239" s="32">
        <v>0</v>
      </c>
      <c r="AL239" s="32">
        <v>1</v>
      </c>
      <c r="AM239" s="32">
        <v>0</v>
      </c>
      <c r="AN239" s="32">
        <v>0</v>
      </c>
      <c r="AO239" s="247">
        <f t="shared" si="48"/>
        <v>1</v>
      </c>
      <c r="AP239" s="247">
        <f t="shared" si="58"/>
        <v>50</v>
      </c>
      <c r="AQ239" s="90">
        <f t="shared" si="59"/>
        <v>1</v>
      </c>
      <c r="AR239" s="32">
        <v>0</v>
      </c>
      <c r="AS239" s="32">
        <v>0</v>
      </c>
      <c r="AT239" s="32">
        <v>0</v>
      </c>
      <c r="AU239" s="272" t="str">
        <f t="shared" si="60"/>
        <v>A</v>
      </c>
      <c r="AV239" s="247">
        <f t="shared" si="61"/>
        <v>100</v>
      </c>
      <c r="AW239" s="90">
        <f t="shared" si="62"/>
        <v>3</v>
      </c>
      <c r="AX239" s="163">
        <f t="shared" si="63"/>
        <v>7.0833333333333339</v>
      </c>
    </row>
    <row r="240" spans="1:50" x14ac:dyDescent="0.6">
      <c r="A240" s="214" t="s">
        <v>1837</v>
      </c>
      <c r="B240" s="13" t="s">
        <v>2220</v>
      </c>
      <c r="C240" s="219" t="s">
        <v>1838</v>
      </c>
      <c r="D240" s="14" t="s">
        <v>285</v>
      </c>
      <c r="E240" s="217" t="s">
        <v>1432</v>
      </c>
      <c r="F240" s="217" t="s">
        <v>1839</v>
      </c>
      <c r="G240" s="218">
        <v>28762</v>
      </c>
      <c r="H240" s="217" t="s">
        <v>830</v>
      </c>
      <c r="I240" s="217" t="s">
        <v>1840</v>
      </c>
      <c r="J240" s="217" t="s">
        <v>1841</v>
      </c>
      <c r="K240" s="217" t="s">
        <v>91</v>
      </c>
      <c r="L240" s="220">
        <v>501506960</v>
      </c>
      <c r="M240" s="206">
        <v>297824193</v>
      </c>
      <c r="N240" s="206">
        <v>203682767</v>
      </c>
      <c r="O240" s="206">
        <v>628065353</v>
      </c>
      <c r="P240" s="206">
        <v>22866089</v>
      </c>
      <c r="Q240" s="206">
        <v>14957802</v>
      </c>
      <c r="R240" s="206">
        <v>12222578</v>
      </c>
      <c r="S240" s="32">
        <v>0</v>
      </c>
      <c r="T240" s="32">
        <v>0</v>
      </c>
      <c r="U240" s="32">
        <v>0</v>
      </c>
      <c r="V240" s="266">
        <f t="shared" si="49"/>
        <v>50</v>
      </c>
      <c r="W240" s="90">
        <f t="shared" si="50"/>
        <v>0.5</v>
      </c>
      <c r="X240" s="32">
        <v>0</v>
      </c>
      <c r="Y240" s="32">
        <v>0</v>
      </c>
      <c r="Z240" s="267">
        <f t="shared" si="51"/>
        <v>0</v>
      </c>
      <c r="AA240" s="268">
        <f t="shared" si="52"/>
        <v>33.333333333333336</v>
      </c>
      <c r="AB240" s="90">
        <f t="shared" si="53"/>
        <v>0.33333333333333337</v>
      </c>
      <c r="AC240" s="32">
        <v>0</v>
      </c>
      <c r="AD240" s="32">
        <v>0</v>
      </c>
      <c r="AE240" s="252">
        <f t="shared" si="54"/>
        <v>25</v>
      </c>
      <c r="AF240" s="90">
        <f t="shared" si="55"/>
        <v>0.5</v>
      </c>
      <c r="AG240" s="32">
        <v>0</v>
      </c>
      <c r="AH240" s="247">
        <f t="shared" si="56"/>
        <v>25</v>
      </c>
      <c r="AI240" s="91">
        <f t="shared" si="57"/>
        <v>0.25</v>
      </c>
      <c r="AJ240" s="32"/>
      <c r="AK240" s="32">
        <v>0</v>
      </c>
      <c r="AL240" s="32">
        <v>0</v>
      </c>
      <c r="AM240" s="32">
        <v>0</v>
      </c>
      <c r="AN240" s="32">
        <v>0</v>
      </c>
      <c r="AO240" s="247">
        <f t="shared" si="48"/>
        <v>0</v>
      </c>
      <c r="AP240" s="247">
        <f t="shared" si="58"/>
        <v>25</v>
      </c>
      <c r="AQ240" s="90">
        <f t="shared" si="59"/>
        <v>0.5</v>
      </c>
      <c r="AR240" s="32">
        <v>0</v>
      </c>
      <c r="AS240" s="32">
        <v>0</v>
      </c>
      <c r="AT240" s="32">
        <v>0</v>
      </c>
      <c r="AU240" s="272" t="str">
        <f t="shared" si="60"/>
        <v>A</v>
      </c>
      <c r="AV240" s="247">
        <f t="shared" si="61"/>
        <v>100</v>
      </c>
      <c r="AW240" s="90">
        <f t="shared" si="62"/>
        <v>3</v>
      </c>
      <c r="AX240" s="163">
        <f t="shared" si="63"/>
        <v>5.0833333333333339</v>
      </c>
    </row>
    <row r="241" spans="1:50" x14ac:dyDescent="0.6">
      <c r="A241" s="214" t="s">
        <v>1842</v>
      </c>
      <c r="B241" s="13" t="s">
        <v>2221</v>
      </c>
      <c r="C241" s="219" t="s">
        <v>1843</v>
      </c>
      <c r="D241" s="14" t="s">
        <v>285</v>
      </c>
      <c r="E241" s="217" t="s">
        <v>1756</v>
      </c>
      <c r="F241" s="217" t="s">
        <v>1844</v>
      </c>
      <c r="G241" s="218">
        <v>44482</v>
      </c>
      <c r="H241" s="217" t="s">
        <v>830</v>
      </c>
      <c r="I241" s="217" t="s">
        <v>1845</v>
      </c>
      <c r="J241" s="217" t="s">
        <v>1846</v>
      </c>
      <c r="K241" s="217" t="s">
        <v>91</v>
      </c>
      <c r="L241" s="220">
        <v>534356691</v>
      </c>
      <c r="M241" s="206">
        <v>288535624</v>
      </c>
      <c r="N241" s="206">
        <v>245821067</v>
      </c>
      <c r="O241" s="206">
        <v>2177261974</v>
      </c>
      <c r="P241" s="206">
        <v>50047663</v>
      </c>
      <c r="Q241" s="206">
        <v>39570210</v>
      </c>
      <c r="R241" s="206">
        <v>30363689</v>
      </c>
      <c r="S241" s="32">
        <v>0</v>
      </c>
      <c r="T241" s="32">
        <v>0</v>
      </c>
      <c r="U241" s="32">
        <v>0</v>
      </c>
      <c r="V241" s="266">
        <f t="shared" si="49"/>
        <v>50</v>
      </c>
      <c r="W241" s="90">
        <f t="shared" si="50"/>
        <v>0.5</v>
      </c>
      <c r="X241" s="32">
        <v>0</v>
      </c>
      <c r="Y241" s="32">
        <v>0</v>
      </c>
      <c r="Z241" s="267">
        <f t="shared" si="51"/>
        <v>0</v>
      </c>
      <c r="AA241" s="268">
        <f t="shared" si="52"/>
        <v>33.333333333333336</v>
      </c>
      <c r="AB241" s="90">
        <f t="shared" si="53"/>
        <v>0.33333333333333337</v>
      </c>
      <c r="AC241" s="32">
        <v>0</v>
      </c>
      <c r="AD241" s="32">
        <v>1</v>
      </c>
      <c r="AE241" s="252">
        <f t="shared" si="54"/>
        <v>75</v>
      </c>
      <c r="AF241" s="90">
        <f t="shared" si="55"/>
        <v>1.5</v>
      </c>
      <c r="AG241" s="32">
        <v>0</v>
      </c>
      <c r="AH241" s="247">
        <f t="shared" si="56"/>
        <v>25</v>
      </c>
      <c r="AI241" s="91">
        <f t="shared" si="57"/>
        <v>0.25</v>
      </c>
      <c r="AJ241" s="32"/>
      <c r="AK241" s="32">
        <v>0</v>
      </c>
      <c r="AL241" s="32">
        <v>0</v>
      </c>
      <c r="AM241" s="32">
        <v>0</v>
      </c>
      <c r="AN241" s="32">
        <v>0</v>
      </c>
      <c r="AO241" s="247">
        <f t="shared" si="48"/>
        <v>0</v>
      </c>
      <c r="AP241" s="247">
        <f t="shared" si="58"/>
        <v>25</v>
      </c>
      <c r="AQ241" s="90">
        <f t="shared" si="59"/>
        <v>0.5</v>
      </c>
      <c r="AR241" s="32">
        <v>0</v>
      </c>
      <c r="AS241" s="32">
        <v>0</v>
      </c>
      <c r="AT241" s="32">
        <v>0</v>
      </c>
      <c r="AU241" s="272" t="str">
        <f t="shared" si="60"/>
        <v>A</v>
      </c>
      <c r="AV241" s="247">
        <f t="shared" si="61"/>
        <v>100</v>
      </c>
      <c r="AW241" s="90">
        <f t="shared" si="62"/>
        <v>3</v>
      </c>
      <c r="AX241" s="163">
        <f t="shared" si="63"/>
        <v>6.0833333333333339</v>
      </c>
    </row>
    <row r="242" spans="1:50" x14ac:dyDescent="0.6">
      <c r="A242" s="214" t="s">
        <v>1847</v>
      </c>
      <c r="B242" s="13" t="s">
        <v>2222</v>
      </c>
      <c r="C242" s="219" t="s">
        <v>1848</v>
      </c>
      <c r="D242" s="14" t="s">
        <v>202</v>
      </c>
      <c r="E242" s="217" t="s">
        <v>56</v>
      </c>
      <c r="F242" s="217" t="s">
        <v>1849</v>
      </c>
      <c r="G242" s="218">
        <v>36152</v>
      </c>
      <c r="H242" s="217" t="s">
        <v>830</v>
      </c>
      <c r="I242" s="217" t="s">
        <v>1850</v>
      </c>
      <c r="J242" s="217" t="s">
        <v>1851</v>
      </c>
      <c r="K242" s="217" t="s">
        <v>690</v>
      </c>
      <c r="L242" s="220">
        <v>30417774000</v>
      </c>
      <c r="M242" s="206">
        <v>15559694000</v>
      </c>
      <c r="N242" s="206">
        <v>14858080000</v>
      </c>
      <c r="O242" s="206">
        <v>18289243000</v>
      </c>
      <c r="P242" s="206">
        <v>1168103000</v>
      </c>
      <c r="Q242" s="206">
        <v>1270743000</v>
      </c>
      <c r="R242" s="206">
        <v>763750000</v>
      </c>
      <c r="S242" s="32">
        <v>0</v>
      </c>
      <c r="T242" s="32">
        <v>0</v>
      </c>
      <c r="U242" s="32">
        <v>0</v>
      </c>
      <c r="V242" s="266">
        <f t="shared" si="49"/>
        <v>50</v>
      </c>
      <c r="W242" s="90">
        <f t="shared" si="50"/>
        <v>0.5</v>
      </c>
      <c r="X242" s="32">
        <v>1</v>
      </c>
      <c r="Y242" s="32">
        <v>0</v>
      </c>
      <c r="Z242" s="267">
        <f t="shared" si="51"/>
        <v>1</v>
      </c>
      <c r="AA242" s="268">
        <f t="shared" si="52"/>
        <v>66.666666666666671</v>
      </c>
      <c r="AB242" s="90">
        <f t="shared" si="53"/>
        <v>0.66666666666666674</v>
      </c>
      <c r="AC242" s="32">
        <v>0</v>
      </c>
      <c r="AD242" s="32">
        <v>1</v>
      </c>
      <c r="AE242" s="252">
        <f t="shared" si="54"/>
        <v>75</v>
      </c>
      <c r="AF242" s="90">
        <f t="shared" si="55"/>
        <v>1.5</v>
      </c>
      <c r="AG242" s="32">
        <v>0</v>
      </c>
      <c r="AH242" s="247">
        <f t="shared" si="56"/>
        <v>25</v>
      </c>
      <c r="AI242" s="91">
        <f t="shared" si="57"/>
        <v>0.25</v>
      </c>
      <c r="AJ242" s="32"/>
      <c r="AK242" s="32">
        <v>1</v>
      </c>
      <c r="AL242" s="32">
        <v>0</v>
      </c>
      <c r="AM242" s="32">
        <v>0</v>
      </c>
      <c r="AN242" s="32">
        <v>0</v>
      </c>
      <c r="AO242" s="247">
        <f t="shared" si="48"/>
        <v>1</v>
      </c>
      <c r="AP242" s="247">
        <f t="shared" si="58"/>
        <v>50</v>
      </c>
      <c r="AQ242" s="90">
        <f t="shared" si="59"/>
        <v>1</v>
      </c>
      <c r="AR242" s="32">
        <v>0</v>
      </c>
      <c r="AS242" s="32">
        <v>0</v>
      </c>
      <c r="AT242" s="32">
        <v>0</v>
      </c>
      <c r="AU242" s="272" t="str">
        <f t="shared" si="60"/>
        <v>A</v>
      </c>
      <c r="AV242" s="247">
        <f t="shared" si="61"/>
        <v>100</v>
      </c>
      <c r="AW242" s="90">
        <f t="shared" si="62"/>
        <v>3</v>
      </c>
      <c r="AX242" s="163">
        <f t="shared" si="63"/>
        <v>6.916666666666667</v>
      </c>
    </row>
    <row r="243" spans="1:50" x14ac:dyDescent="0.6">
      <c r="A243" s="214" t="s">
        <v>1852</v>
      </c>
      <c r="B243" s="13" t="s">
        <v>2223</v>
      </c>
      <c r="C243" s="219" t="s">
        <v>1853</v>
      </c>
      <c r="D243" s="14" t="s">
        <v>285</v>
      </c>
      <c r="E243" s="217" t="s">
        <v>1854</v>
      </c>
      <c r="F243" s="217" t="s">
        <v>1855</v>
      </c>
      <c r="G243" s="218">
        <v>40697</v>
      </c>
      <c r="H243" s="217" t="s">
        <v>830</v>
      </c>
      <c r="I243" s="217" t="s">
        <v>1856</v>
      </c>
      <c r="J243" s="217" t="s">
        <v>1857</v>
      </c>
      <c r="K243" s="217" t="s">
        <v>91</v>
      </c>
      <c r="L243" s="220">
        <v>1160021099</v>
      </c>
      <c r="M243" s="206">
        <v>357640642</v>
      </c>
      <c r="N243" s="206">
        <v>802380457</v>
      </c>
      <c r="O243" s="206">
        <v>704927362</v>
      </c>
      <c r="P243" s="206">
        <v>50599970</v>
      </c>
      <c r="Q243" s="206">
        <v>45652874</v>
      </c>
      <c r="R243" s="206">
        <v>34327224</v>
      </c>
      <c r="S243" s="32">
        <v>0</v>
      </c>
      <c r="T243" s="32">
        <v>1</v>
      </c>
      <c r="U243" s="32">
        <v>0</v>
      </c>
      <c r="V243" s="266">
        <f t="shared" si="49"/>
        <v>100</v>
      </c>
      <c r="W243" s="90">
        <f t="shared" si="50"/>
        <v>1</v>
      </c>
      <c r="X243" s="32">
        <v>0</v>
      </c>
      <c r="Y243" s="32">
        <v>0</v>
      </c>
      <c r="Z243" s="267">
        <f t="shared" si="51"/>
        <v>0</v>
      </c>
      <c r="AA243" s="268">
        <f t="shared" si="52"/>
        <v>33.333333333333336</v>
      </c>
      <c r="AB243" s="90">
        <f t="shared" si="53"/>
        <v>0.33333333333333337</v>
      </c>
      <c r="AC243" s="32">
        <v>0</v>
      </c>
      <c r="AD243" s="32">
        <v>1</v>
      </c>
      <c r="AE243" s="252">
        <f t="shared" si="54"/>
        <v>75</v>
      </c>
      <c r="AF243" s="90">
        <f t="shared" si="55"/>
        <v>1.5</v>
      </c>
      <c r="AG243" s="32">
        <v>0</v>
      </c>
      <c r="AH243" s="247">
        <f t="shared" si="56"/>
        <v>25</v>
      </c>
      <c r="AI243" s="91">
        <f t="shared" si="57"/>
        <v>0.25</v>
      </c>
      <c r="AJ243" s="32"/>
      <c r="AK243" s="32">
        <v>1</v>
      </c>
      <c r="AL243" s="32">
        <v>0</v>
      </c>
      <c r="AM243" s="32">
        <v>0</v>
      </c>
      <c r="AN243" s="32">
        <v>0</v>
      </c>
      <c r="AO243" s="247">
        <f t="shared" si="48"/>
        <v>1</v>
      </c>
      <c r="AP243" s="247">
        <f t="shared" si="58"/>
        <v>50</v>
      </c>
      <c r="AQ243" s="90">
        <f t="shared" si="59"/>
        <v>1</v>
      </c>
      <c r="AR243" s="32">
        <v>0</v>
      </c>
      <c r="AS243" s="32">
        <v>0</v>
      </c>
      <c r="AT243" s="32">
        <v>0</v>
      </c>
      <c r="AU243" s="272" t="str">
        <f t="shared" si="60"/>
        <v>A</v>
      </c>
      <c r="AV243" s="247">
        <f t="shared" si="61"/>
        <v>100</v>
      </c>
      <c r="AW243" s="90">
        <f t="shared" si="62"/>
        <v>3</v>
      </c>
      <c r="AX243" s="163">
        <f t="shared" si="63"/>
        <v>7.0833333333333339</v>
      </c>
    </row>
    <row r="244" spans="1:50" x14ac:dyDescent="0.6">
      <c r="A244" s="214" t="s">
        <v>349</v>
      </c>
      <c r="B244" s="13" t="s">
        <v>2224</v>
      </c>
      <c r="C244" s="219" t="s">
        <v>60</v>
      </c>
      <c r="D244" s="216" t="s">
        <v>191</v>
      </c>
      <c r="E244" s="217" t="s">
        <v>417</v>
      </c>
      <c r="F244" s="217" t="s">
        <v>1135</v>
      </c>
      <c r="G244" s="218">
        <v>36441</v>
      </c>
      <c r="H244" s="217" t="s">
        <v>830</v>
      </c>
      <c r="I244" s="217" t="s">
        <v>612</v>
      </c>
      <c r="J244" s="217" t="s">
        <v>1011</v>
      </c>
      <c r="K244" s="217" t="s">
        <v>934</v>
      </c>
      <c r="L244" s="220">
        <v>10156905259</v>
      </c>
      <c r="M244" s="206">
        <v>2103300926</v>
      </c>
      <c r="N244" s="206">
        <v>8053604333</v>
      </c>
      <c r="O244" s="206">
        <v>3694358039</v>
      </c>
      <c r="P244" s="206">
        <v>1120293986</v>
      </c>
      <c r="Q244" s="206">
        <v>1315961612</v>
      </c>
      <c r="R244" s="206">
        <v>958039985</v>
      </c>
      <c r="S244" s="32">
        <v>1</v>
      </c>
      <c r="T244" s="32">
        <v>1</v>
      </c>
      <c r="U244" s="32">
        <v>0</v>
      </c>
      <c r="V244" s="266">
        <f t="shared" si="49"/>
        <v>100</v>
      </c>
      <c r="W244" s="90">
        <f t="shared" si="50"/>
        <v>1</v>
      </c>
      <c r="X244" s="32">
        <v>0</v>
      </c>
      <c r="Y244" s="32">
        <v>0</v>
      </c>
      <c r="Z244" s="267">
        <f t="shared" si="51"/>
        <v>0</v>
      </c>
      <c r="AA244" s="268">
        <f t="shared" si="52"/>
        <v>33.333333333333336</v>
      </c>
      <c r="AB244" s="90">
        <f t="shared" si="53"/>
        <v>0.33333333333333337</v>
      </c>
      <c r="AC244" s="32">
        <v>0</v>
      </c>
      <c r="AD244" s="32">
        <v>1</v>
      </c>
      <c r="AE244" s="252">
        <f t="shared" si="54"/>
        <v>75</v>
      </c>
      <c r="AF244" s="90">
        <f t="shared" si="55"/>
        <v>1.5</v>
      </c>
      <c r="AG244" s="32">
        <v>2</v>
      </c>
      <c r="AH244" s="247">
        <f t="shared" si="56"/>
        <v>75</v>
      </c>
      <c r="AI244" s="91">
        <f t="shared" si="57"/>
        <v>0.75</v>
      </c>
      <c r="AJ244" s="32"/>
      <c r="AK244" s="32">
        <v>1</v>
      </c>
      <c r="AL244" s="32">
        <v>0</v>
      </c>
      <c r="AM244" s="32">
        <v>0</v>
      </c>
      <c r="AN244" s="32">
        <v>0</v>
      </c>
      <c r="AO244" s="247">
        <f t="shared" si="48"/>
        <v>1</v>
      </c>
      <c r="AP244" s="247">
        <f t="shared" si="58"/>
        <v>50</v>
      </c>
      <c r="AQ244" s="90">
        <f t="shared" si="59"/>
        <v>1</v>
      </c>
      <c r="AR244" s="32">
        <v>0</v>
      </c>
      <c r="AS244" s="32">
        <v>1</v>
      </c>
      <c r="AT244" s="32">
        <v>1</v>
      </c>
      <c r="AU244" s="272" t="str">
        <f t="shared" si="60"/>
        <v>D</v>
      </c>
      <c r="AV244" s="247">
        <f t="shared" si="61"/>
        <v>25</v>
      </c>
      <c r="AW244" s="90">
        <f t="shared" si="62"/>
        <v>0.75</v>
      </c>
      <c r="AX244" s="163">
        <f t="shared" si="63"/>
        <v>5.3333333333333339</v>
      </c>
    </row>
    <row r="245" spans="1:50" x14ac:dyDescent="0.6">
      <c r="A245" s="214" t="s">
        <v>90</v>
      </c>
      <c r="B245" s="13" t="s">
        <v>2225</v>
      </c>
      <c r="C245" s="219" t="s">
        <v>109</v>
      </c>
      <c r="D245" s="216" t="s">
        <v>202</v>
      </c>
      <c r="E245" s="217" t="s">
        <v>205</v>
      </c>
      <c r="F245" s="217" t="s">
        <v>1152</v>
      </c>
      <c r="G245" s="218">
        <v>31299</v>
      </c>
      <c r="H245" s="217" t="s">
        <v>830</v>
      </c>
      <c r="I245" s="217" t="s">
        <v>847</v>
      </c>
      <c r="J245" s="217" t="s">
        <v>1096</v>
      </c>
      <c r="K245" s="217" t="s">
        <v>690</v>
      </c>
      <c r="L245" s="220">
        <v>862006786</v>
      </c>
      <c r="M245" s="206">
        <v>408796042</v>
      </c>
      <c r="N245" s="206">
        <v>453210744</v>
      </c>
      <c r="O245" s="206">
        <v>804572920</v>
      </c>
      <c r="P245" s="206">
        <v>60293639</v>
      </c>
      <c r="Q245" s="206">
        <v>64653383</v>
      </c>
      <c r="R245" s="206">
        <v>54734419</v>
      </c>
      <c r="S245" s="32">
        <v>0</v>
      </c>
      <c r="T245" s="32">
        <v>0</v>
      </c>
      <c r="U245" s="32">
        <v>0</v>
      </c>
      <c r="V245" s="266">
        <f t="shared" si="49"/>
        <v>50</v>
      </c>
      <c r="W245" s="90">
        <f t="shared" si="50"/>
        <v>0.5</v>
      </c>
      <c r="X245" s="32">
        <v>0</v>
      </c>
      <c r="Y245" s="32">
        <v>0</v>
      </c>
      <c r="Z245" s="267">
        <f t="shared" si="51"/>
        <v>0</v>
      </c>
      <c r="AA245" s="268">
        <f t="shared" si="52"/>
        <v>33.333333333333336</v>
      </c>
      <c r="AB245" s="90">
        <f t="shared" si="53"/>
        <v>0.33333333333333337</v>
      </c>
      <c r="AC245" s="32">
        <v>0</v>
      </c>
      <c r="AD245" s="32">
        <v>1</v>
      </c>
      <c r="AE245" s="252">
        <f t="shared" si="54"/>
        <v>75</v>
      </c>
      <c r="AF245" s="90">
        <f t="shared" si="55"/>
        <v>1.5</v>
      </c>
      <c r="AG245" s="32">
        <v>0</v>
      </c>
      <c r="AH245" s="247">
        <f t="shared" si="56"/>
        <v>25</v>
      </c>
      <c r="AI245" s="91">
        <f t="shared" si="57"/>
        <v>0.25</v>
      </c>
      <c r="AJ245" s="32"/>
      <c r="AK245" s="32">
        <v>1</v>
      </c>
      <c r="AL245" s="32">
        <v>1</v>
      </c>
      <c r="AM245" s="32">
        <v>0</v>
      </c>
      <c r="AN245" s="32">
        <v>0</v>
      </c>
      <c r="AO245" s="247">
        <f t="shared" si="48"/>
        <v>2</v>
      </c>
      <c r="AP245" s="247">
        <f t="shared" si="58"/>
        <v>75</v>
      </c>
      <c r="AQ245" s="90">
        <f t="shared" si="59"/>
        <v>1.5</v>
      </c>
      <c r="AR245" s="32">
        <v>0</v>
      </c>
      <c r="AS245" s="32">
        <v>0</v>
      </c>
      <c r="AT245" s="32">
        <v>0</v>
      </c>
      <c r="AU245" s="272" t="str">
        <f t="shared" si="60"/>
        <v>A</v>
      </c>
      <c r="AV245" s="247">
        <f t="shared" si="61"/>
        <v>100</v>
      </c>
      <c r="AW245" s="90">
        <f t="shared" si="62"/>
        <v>3</v>
      </c>
      <c r="AX245" s="163">
        <f t="shared" si="63"/>
        <v>7.0833333333333339</v>
      </c>
    </row>
    <row r="246" spans="1:50" x14ac:dyDescent="0.6">
      <c r="A246" s="214" t="s">
        <v>1858</v>
      </c>
      <c r="B246" s="13" t="s">
        <v>2226</v>
      </c>
      <c r="C246" s="219" t="s">
        <v>340</v>
      </c>
      <c r="D246" s="221" t="s">
        <v>481</v>
      </c>
      <c r="E246" s="217" t="s">
        <v>434</v>
      </c>
      <c r="F246" s="217" t="s">
        <v>226</v>
      </c>
      <c r="G246" s="218">
        <v>25559</v>
      </c>
      <c r="H246" s="217" t="s">
        <v>830</v>
      </c>
      <c r="I246" s="217" t="s">
        <v>769</v>
      </c>
      <c r="J246" s="217" t="s">
        <v>1203</v>
      </c>
      <c r="K246" s="217" t="s">
        <v>91</v>
      </c>
      <c r="L246" s="220">
        <v>14636016261</v>
      </c>
      <c r="M246" s="206">
        <v>11750407058</v>
      </c>
      <c r="N246" s="206">
        <v>2885609203</v>
      </c>
      <c r="O246" s="206">
        <v>7176643744</v>
      </c>
      <c r="P246" s="206">
        <v>212022730</v>
      </c>
      <c r="Q246" s="206">
        <v>211256816</v>
      </c>
      <c r="R246" s="206">
        <v>175248934</v>
      </c>
      <c r="S246" s="32">
        <v>1</v>
      </c>
      <c r="T246" s="32">
        <v>0</v>
      </c>
      <c r="U246" s="32">
        <v>0</v>
      </c>
      <c r="V246" s="266">
        <f t="shared" si="49"/>
        <v>100</v>
      </c>
      <c r="W246" s="90">
        <f t="shared" si="50"/>
        <v>1</v>
      </c>
      <c r="X246" s="32">
        <v>0</v>
      </c>
      <c r="Y246" s="32">
        <v>0</v>
      </c>
      <c r="Z246" s="267">
        <f t="shared" si="51"/>
        <v>0</v>
      </c>
      <c r="AA246" s="268">
        <f t="shared" si="52"/>
        <v>33.333333333333336</v>
      </c>
      <c r="AB246" s="90">
        <f t="shared" si="53"/>
        <v>0.33333333333333337</v>
      </c>
      <c r="AC246" s="32">
        <v>0</v>
      </c>
      <c r="AD246" s="32">
        <v>1</v>
      </c>
      <c r="AE246" s="252">
        <f t="shared" si="54"/>
        <v>75</v>
      </c>
      <c r="AF246" s="90">
        <f t="shared" si="55"/>
        <v>1.5</v>
      </c>
      <c r="AG246" s="32">
        <v>0</v>
      </c>
      <c r="AH246" s="247">
        <f t="shared" si="56"/>
        <v>25</v>
      </c>
      <c r="AI246" s="91">
        <f t="shared" si="57"/>
        <v>0.25</v>
      </c>
      <c r="AJ246" s="32"/>
      <c r="AK246" s="32">
        <v>0</v>
      </c>
      <c r="AL246" s="32">
        <v>0</v>
      </c>
      <c r="AM246" s="32">
        <v>0</v>
      </c>
      <c r="AN246" s="32">
        <v>0</v>
      </c>
      <c r="AO246" s="247">
        <f t="shared" si="48"/>
        <v>0</v>
      </c>
      <c r="AP246" s="247">
        <f t="shared" si="58"/>
        <v>25</v>
      </c>
      <c r="AQ246" s="90">
        <f t="shared" si="59"/>
        <v>0.5</v>
      </c>
      <c r="AR246" s="32">
        <v>0</v>
      </c>
      <c r="AS246" s="32">
        <v>0</v>
      </c>
      <c r="AT246" s="32">
        <v>0</v>
      </c>
      <c r="AU246" s="272" t="str">
        <f t="shared" si="60"/>
        <v>A</v>
      </c>
      <c r="AV246" s="247">
        <f t="shared" si="61"/>
        <v>100</v>
      </c>
      <c r="AW246" s="90">
        <f t="shared" si="62"/>
        <v>3</v>
      </c>
      <c r="AX246" s="163">
        <v>0</v>
      </c>
    </row>
    <row r="247" spans="1:50" x14ac:dyDescent="0.6">
      <c r="A247" s="214" t="s">
        <v>1859</v>
      </c>
      <c r="B247" s="13" t="s">
        <v>2227</v>
      </c>
      <c r="C247" s="219" t="s">
        <v>1860</v>
      </c>
      <c r="D247" s="14" t="s">
        <v>203</v>
      </c>
      <c r="E247" s="217" t="s">
        <v>188</v>
      </c>
      <c r="F247" s="217" t="s">
        <v>1861</v>
      </c>
      <c r="G247" s="218">
        <v>32048</v>
      </c>
      <c r="H247" s="217" t="s">
        <v>830</v>
      </c>
      <c r="I247" s="217" t="s">
        <v>1862</v>
      </c>
      <c r="J247" s="217" t="s">
        <v>1863</v>
      </c>
      <c r="K247" s="217" t="s">
        <v>317</v>
      </c>
      <c r="L247" s="220">
        <v>451321117</v>
      </c>
      <c r="M247" s="206">
        <v>200117020</v>
      </c>
      <c r="N247" s="206">
        <v>251204097</v>
      </c>
      <c r="O247" s="206">
        <v>485605244</v>
      </c>
      <c r="P247" s="206">
        <v>32475176</v>
      </c>
      <c r="Q247" s="206">
        <v>35572342</v>
      </c>
      <c r="R247" s="206">
        <v>27697028</v>
      </c>
      <c r="S247" s="32">
        <v>0</v>
      </c>
      <c r="T247" s="32">
        <v>0</v>
      </c>
      <c r="U247" s="32">
        <v>0</v>
      </c>
      <c r="V247" s="266">
        <f t="shared" si="49"/>
        <v>50</v>
      </c>
      <c r="W247" s="90">
        <f t="shared" si="50"/>
        <v>0.5</v>
      </c>
      <c r="X247" s="32">
        <v>0</v>
      </c>
      <c r="Y247" s="32">
        <v>0</v>
      </c>
      <c r="Z247" s="267">
        <f t="shared" si="51"/>
        <v>0</v>
      </c>
      <c r="AA247" s="268">
        <f t="shared" si="52"/>
        <v>33.333333333333336</v>
      </c>
      <c r="AB247" s="90">
        <f t="shared" si="53"/>
        <v>0.33333333333333337</v>
      </c>
      <c r="AC247" s="32">
        <v>0</v>
      </c>
      <c r="AD247" s="32">
        <v>0</v>
      </c>
      <c r="AE247" s="252">
        <f t="shared" si="54"/>
        <v>25</v>
      </c>
      <c r="AF247" s="90">
        <f t="shared" si="55"/>
        <v>0.5</v>
      </c>
      <c r="AG247" s="32">
        <v>0</v>
      </c>
      <c r="AH247" s="247">
        <f t="shared" si="56"/>
        <v>25</v>
      </c>
      <c r="AI247" s="91">
        <f t="shared" si="57"/>
        <v>0.25</v>
      </c>
      <c r="AJ247" s="32"/>
      <c r="AK247" s="32">
        <v>1</v>
      </c>
      <c r="AL247" s="32">
        <v>0</v>
      </c>
      <c r="AM247" s="32">
        <v>0</v>
      </c>
      <c r="AN247" s="32">
        <v>0</v>
      </c>
      <c r="AO247" s="247">
        <f t="shared" si="48"/>
        <v>1</v>
      </c>
      <c r="AP247" s="247">
        <f t="shared" si="58"/>
        <v>50</v>
      </c>
      <c r="AQ247" s="90">
        <f t="shared" si="59"/>
        <v>1</v>
      </c>
      <c r="AR247" s="32">
        <v>0</v>
      </c>
      <c r="AS247" s="32">
        <v>0</v>
      </c>
      <c r="AT247" s="32">
        <v>0</v>
      </c>
      <c r="AU247" s="272" t="str">
        <f t="shared" si="60"/>
        <v>A</v>
      </c>
      <c r="AV247" s="247">
        <f t="shared" si="61"/>
        <v>100</v>
      </c>
      <c r="AW247" s="90">
        <f t="shared" si="62"/>
        <v>3</v>
      </c>
      <c r="AX247" s="163">
        <f t="shared" si="63"/>
        <v>5.5833333333333339</v>
      </c>
    </row>
    <row r="248" spans="1:50" x14ac:dyDescent="0.6">
      <c r="A248" s="214" t="s">
        <v>685</v>
      </c>
      <c r="B248" s="13" t="s">
        <v>2228</v>
      </c>
      <c r="C248" s="219" t="s">
        <v>491</v>
      </c>
      <c r="D248" s="216" t="s">
        <v>285</v>
      </c>
      <c r="E248" s="217" t="s">
        <v>592</v>
      </c>
      <c r="F248" s="217" t="s">
        <v>637</v>
      </c>
      <c r="G248" s="218">
        <v>37110</v>
      </c>
      <c r="H248" s="217" t="s">
        <v>830</v>
      </c>
      <c r="I248" s="217" t="s">
        <v>1864</v>
      </c>
      <c r="J248" s="217" t="s">
        <v>1210</v>
      </c>
      <c r="K248" s="217" t="s">
        <v>425</v>
      </c>
      <c r="L248" s="220">
        <v>3441901071</v>
      </c>
      <c r="M248" s="206">
        <v>1466204520</v>
      </c>
      <c r="N248" s="206">
        <v>1975696551</v>
      </c>
      <c r="O248" s="206">
        <v>2813488928</v>
      </c>
      <c r="P248" s="206">
        <v>514746074</v>
      </c>
      <c r="Q248" s="206">
        <v>540938422</v>
      </c>
      <c r="R248" s="206">
        <v>371317773</v>
      </c>
      <c r="S248" s="32">
        <v>0</v>
      </c>
      <c r="T248" s="32">
        <v>0</v>
      </c>
      <c r="U248" s="32">
        <v>0</v>
      </c>
      <c r="V248" s="266">
        <f t="shared" si="49"/>
        <v>50</v>
      </c>
      <c r="W248" s="90">
        <f t="shared" si="50"/>
        <v>0.5</v>
      </c>
      <c r="X248" s="32">
        <v>0</v>
      </c>
      <c r="Y248" s="32">
        <v>0</v>
      </c>
      <c r="Z248" s="267">
        <f t="shared" si="51"/>
        <v>0</v>
      </c>
      <c r="AA248" s="268">
        <f t="shared" si="52"/>
        <v>33.333333333333336</v>
      </c>
      <c r="AB248" s="90">
        <f t="shared" si="53"/>
        <v>0.33333333333333337</v>
      </c>
      <c r="AC248" s="32">
        <v>0</v>
      </c>
      <c r="AD248" s="32">
        <v>1</v>
      </c>
      <c r="AE248" s="252">
        <f t="shared" si="54"/>
        <v>75</v>
      </c>
      <c r="AF248" s="90">
        <f t="shared" si="55"/>
        <v>1.5</v>
      </c>
      <c r="AG248" s="32">
        <v>0</v>
      </c>
      <c r="AH248" s="247">
        <f t="shared" si="56"/>
        <v>25</v>
      </c>
      <c r="AI248" s="91">
        <f t="shared" si="57"/>
        <v>0.25</v>
      </c>
      <c r="AJ248" s="32"/>
      <c r="AK248" s="32">
        <v>0</v>
      </c>
      <c r="AL248" s="32">
        <v>0</v>
      </c>
      <c r="AM248" s="32">
        <v>0</v>
      </c>
      <c r="AN248" s="32">
        <v>0</v>
      </c>
      <c r="AO248" s="247">
        <f t="shared" si="48"/>
        <v>0</v>
      </c>
      <c r="AP248" s="247">
        <f t="shared" si="58"/>
        <v>25</v>
      </c>
      <c r="AQ248" s="90">
        <f t="shared" si="59"/>
        <v>0.5</v>
      </c>
      <c r="AR248" s="32">
        <v>0</v>
      </c>
      <c r="AS248" s="32">
        <v>0</v>
      </c>
      <c r="AT248" s="32">
        <v>0</v>
      </c>
      <c r="AU248" s="272" t="str">
        <f t="shared" si="60"/>
        <v>A</v>
      </c>
      <c r="AV248" s="247">
        <f t="shared" si="61"/>
        <v>100</v>
      </c>
      <c r="AW248" s="90">
        <f t="shared" si="62"/>
        <v>3</v>
      </c>
      <c r="AX248" s="163">
        <f t="shared" si="63"/>
        <v>6.0833333333333339</v>
      </c>
    </row>
    <row r="249" spans="1:50" x14ac:dyDescent="0.6">
      <c r="A249" s="214" t="s">
        <v>37</v>
      </c>
      <c r="B249" s="13" t="s">
        <v>2229</v>
      </c>
      <c r="C249" s="219" t="s">
        <v>69</v>
      </c>
      <c r="D249" s="216" t="s">
        <v>285</v>
      </c>
      <c r="E249" s="217" t="s">
        <v>629</v>
      </c>
      <c r="F249" s="217" t="s">
        <v>577</v>
      </c>
      <c r="G249" s="218">
        <v>43111</v>
      </c>
      <c r="H249" s="217" t="s">
        <v>830</v>
      </c>
      <c r="I249" s="217" t="s">
        <v>846</v>
      </c>
      <c r="J249" s="217" t="s">
        <v>1138</v>
      </c>
      <c r="K249" s="217" t="s">
        <v>690</v>
      </c>
      <c r="L249" s="220">
        <v>761133055</v>
      </c>
      <c r="M249" s="206">
        <v>116041955</v>
      </c>
      <c r="N249" s="206">
        <v>645091100</v>
      </c>
      <c r="O249" s="206">
        <v>691580207</v>
      </c>
      <c r="P249" s="206">
        <v>99955621</v>
      </c>
      <c r="Q249" s="206">
        <v>124537136</v>
      </c>
      <c r="R249" s="206">
        <v>116344338</v>
      </c>
      <c r="S249" s="32">
        <v>0</v>
      </c>
      <c r="T249" s="32">
        <v>0</v>
      </c>
      <c r="U249" s="32">
        <v>0</v>
      </c>
      <c r="V249" s="266">
        <f t="shared" si="49"/>
        <v>50</v>
      </c>
      <c r="W249" s="90">
        <f t="shared" si="50"/>
        <v>0.5</v>
      </c>
      <c r="X249" s="32">
        <v>0</v>
      </c>
      <c r="Y249" s="32">
        <v>0</v>
      </c>
      <c r="Z249" s="267">
        <f t="shared" si="51"/>
        <v>0</v>
      </c>
      <c r="AA249" s="268">
        <f t="shared" si="52"/>
        <v>33.333333333333336</v>
      </c>
      <c r="AB249" s="90">
        <f t="shared" si="53"/>
        <v>0.33333333333333337</v>
      </c>
      <c r="AC249" s="32">
        <v>0</v>
      </c>
      <c r="AD249" s="32">
        <v>0</v>
      </c>
      <c r="AE249" s="252">
        <f t="shared" si="54"/>
        <v>25</v>
      </c>
      <c r="AF249" s="90">
        <f t="shared" si="55"/>
        <v>0.5</v>
      </c>
      <c r="AG249" s="32">
        <v>0</v>
      </c>
      <c r="AH249" s="247">
        <f t="shared" si="56"/>
        <v>25</v>
      </c>
      <c r="AI249" s="91">
        <f t="shared" si="57"/>
        <v>0.25</v>
      </c>
      <c r="AJ249" s="32"/>
      <c r="AK249" s="32">
        <v>0</v>
      </c>
      <c r="AL249" s="32">
        <v>0</v>
      </c>
      <c r="AM249" s="32">
        <v>0</v>
      </c>
      <c r="AN249" s="32">
        <v>0</v>
      </c>
      <c r="AO249" s="247">
        <f t="shared" si="48"/>
        <v>0</v>
      </c>
      <c r="AP249" s="247">
        <f t="shared" si="58"/>
        <v>25</v>
      </c>
      <c r="AQ249" s="90">
        <f t="shared" si="59"/>
        <v>0.5</v>
      </c>
      <c r="AR249" s="32">
        <v>0</v>
      </c>
      <c r="AS249" s="32">
        <v>0</v>
      </c>
      <c r="AT249" s="32">
        <v>0</v>
      </c>
      <c r="AU249" s="272" t="str">
        <f t="shared" si="60"/>
        <v>A</v>
      </c>
      <c r="AV249" s="247">
        <f t="shared" si="61"/>
        <v>100</v>
      </c>
      <c r="AW249" s="90">
        <f t="shared" si="62"/>
        <v>3</v>
      </c>
      <c r="AX249" s="163">
        <f t="shared" si="63"/>
        <v>5.0833333333333339</v>
      </c>
    </row>
    <row r="250" spans="1:50" x14ac:dyDescent="0.6">
      <c r="A250" s="214" t="s">
        <v>352</v>
      </c>
      <c r="B250" s="13" t="s">
        <v>2230</v>
      </c>
      <c r="C250" s="219" t="s">
        <v>304</v>
      </c>
      <c r="D250" s="216" t="s">
        <v>191</v>
      </c>
      <c r="E250" s="217" t="s">
        <v>178</v>
      </c>
      <c r="F250" s="217" t="s">
        <v>273</v>
      </c>
      <c r="G250" s="218">
        <v>42836</v>
      </c>
      <c r="H250" s="217" t="s">
        <v>830</v>
      </c>
      <c r="I250" s="217" t="s">
        <v>811</v>
      </c>
      <c r="J250" s="217" t="s">
        <v>1132</v>
      </c>
      <c r="K250" s="217" t="s">
        <v>91</v>
      </c>
      <c r="L250" s="220">
        <v>330163311</v>
      </c>
      <c r="M250" s="206">
        <v>137897080</v>
      </c>
      <c r="N250" s="206">
        <v>192266231</v>
      </c>
      <c r="O250" s="206">
        <v>413638465</v>
      </c>
      <c r="P250" s="206">
        <v>17588318</v>
      </c>
      <c r="Q250" s="206">
        <v>36589302</v>
      </c>
      <c r="R250" s="206">
        <v>27057204</v>
      </c>
      <c r="S250" s="32">
        <v>0</v>
      </c>
      <c r="T250" s="32">
        <v>0</v>
      </c>
      <c r="U250" s="32">
        <v>0</v>
      </c>
      <c r="V250" s="266">
        <f t="shared" si="49"/>
        <v>50</v>
      </c>
      <c r="W250" s="90">
        <f t="shared" si="50"/>
        <v>0.5</v>
      </c>
      <c r="X250" s="32">
        <v>0</v>
      </c>
      <c r="Y250" s="32">
        <v>0</v>
      </c>
      <c r="Z250" s="267">
        <f t="shared" si="51"/>
        <v>0</v>
      </c>
      <c r="AA250" s="268">
        <f t="shared" si="52"/>
        <v>33.333333333333336</v>
      </c>
      <c r="AB250" s="90">
        <f t="shared" si="53"/>
        <v>0.33333333333333337</v>
      </c>
      <c r="AC250" s="32">
        <v>0</v>
      </c>
      <c r="AD250" s="32">
        <v>1</v>
      </c>
      <c r="AE250" s="252">
        <f t="shared" si="54"/>
        <v>75</v>
      </c>
      <c r="AF250" s="90">
        <f t="shared" si="55"/>
        <v>1.5</v>
      </c>
      <c r="AG250" s="32">
        <v>1</v>
      </c>
      <c r="AH250" s="247">
        <f t="shared" si="56"/>
        <v>50</v>
      </c>
      <c r="AI250" s="91">
        <f t="shared" si="57"/>
        <v>0.5</v>
      </c>
      <c r="AJ250" s="32"/>
      <c r="AK250" s="32">
        <v>1</v>
      </c>
      <c r="AL250" s="32">
        <v>0</v>
      </c>
      <c r="AM250" s="32">
        <v>0</v>
      </c>
      <c r="AN250" s="32">
        <v>0</v>
      </c>
      <c r="AO250" s="247">
        <f t="shared" si="48"/>
        <v>1</v>
      </c>
      <c r="AP250" s="247">
        <f t="shared" si="58"/>
        <v>50</v>
      </c>
      <c r="AQ250" s="90">
        <f t="shared" si="59"/>
        <v>1</v>
      </c>
      <c r="AR250" s="32">
        <v>0</v>
      </c>
      <c r="AS250" s="32">
        <v>0</v>
      </c>
      <c r="AT250" s="32">
        <v>0</v>
      </c>
      <c r="AU250" s="272" t="str">
        <f t="shared" si="60"/>
        <v>A</v>
      </c>
      <c r="AV250" s="247">
        <f t="shared" si="61"/>
        <v>100</v>
      </c>
      <c r="AW250" s="90">
        <f t="shared" si="62"/>
        <v>3</v>
      </c>
      <c r="AX250" s="163">
        <f t="shared" si="63"/>
        <v>6.8333333333333339</v>
      </c>
    </row>
    <row r="251" spans="1:50" x14ac:dyDescent="0.6">
      <c r="A251" s="214" t="s">
        <v>1865</v>
      </c>
      <c r="B251" s="13" t="s">
        <v>2231</v>
      </c>
      <c r="C251" s="219" t="s">
        <v>1866</v>
      </c>
      <c r="D251" s="14" t="s">
        <v>202</v>
      </c>
      <c r="E251" s="217" t="s">
        <v>605</v>
      </c>
      <c r="F251" s="217" t="s">
        <v>1867</v>
      </c>
      <c r="G251" s="218">
        <v>44418</v>
      </c>
      <c r="H251" s="217" t="s">
        <v>830</v>
      </c>
      <c r="I251" s="217" t="s">
        <v>1868</v>
      </c>
      <c r="J251" s="217" t="s">
        <v>1869</v>
      </c>
      <c r="K251" s="217" t="s">
        <v>91</v>
      </c>
      <c r="L251" s="220">
        <v>5774465580</v>
      </c>
      <c r="M251" s="206">
        <v>732161313</v>
      </c>
      <c r="N251" s="206">
        <v>5042304267</v>
      </c>
      <c r="O251" s="206">
        <v>1767775811</v>
      </c>
      <c r="P251" s="206">
        <v>737821913</v>
      </c>
      <c r="Q251" s="206">
        <v>666253605</v>
      </c>
      <c r="R251" s="206">
        <v>487142608</v>
      </c>
      <c r="S251" s="32">
        <v>0</v>
      </c>
      <c r="T251" s="32">
        <v>1</v>
      </c>
      <c r="U251" s="32">
        <v>0</v>
      </c>
      <c r="V251" s="266">
        <f t="shared" si="49"/>
        <v>100</v>
      </c>
      <c r="W251" s="90">
        <f t="shared" si="50"/>
        <v>1</v>
      </c>
      <c r="X251" s="32">
        <v>0</v>
      </c>
      <c r="Y251" s="32">
        <v>0</v>
      </c>
      <c r="Z251" s="267">
        <f t="shared" si="51"/>
        <v>0</v>
      </c>
      <c r="AA251" s="268">
        <f t="shared" si="52"/>
        <v>33.333333333333336</v>
      </c>
      <c r="AB251" s="90">
        <f t="shared" si="53"/>
        <v>0.33333333333333337</v>
      </c>
      <c r="AC251" s="32">
        <v>0</v>
      </c>
      <c r="AD251" s="32">
        <v>1</v>
      </c>
      <c r="AE251" s="252">
        <f t="shared" si="54"/>
        <v>75</v>
      </c>
      <c r="AF251" s="90">
        <f t="shared" si="55"/>
        <v>1.5</v>
      </c>
      <c r="AG251" s="32">
        <v>2</v>
      </c>
      <c r="AH251" s="247">
        <f t="shared" si="56"/>
        <v>75</v>
      </c>
      <c r="AI251" s="91">
        <f t="shared" si="57"/>
        <v>0.75</v>
      </c>
      <c r="AJ251" s="32"/>
      <c r="AK251" s="32">
        <v>0</v>
      </c>
      <c r="AL251" s="32">
        <v>0</v>
      </c>
      <c r="AM251" s="32">
        <v>0</v>
      </c>
      <c r="AN251" s="32">
        <v>0</v>
      </c>
      <c r="AO251" s="247">
        <f t="shared" si="48"/>
        <v>0</v>
      </c>
      <c r="AP251" s="247">
        <f t="shared" si="58"/>
        <v>25</v>
      </c>
      <c r="AQ251" s="90">
        <f t="shared" si="59"/>
        <v>0.5</v>
      </c>
      <c r="AR251" s="32">
        <v>0</v>
      </c>
      <c r="AS251" s="32">
        <v>0</v>
      </c>
      <c r="AT251" s="32">
        <v>0</v>
      </c>
      <c r="AU251" s="272" t="str">
        <f t="shared" si="60"/>
        <v>A</v>
      </c>
      <c r="AV251" s="247">
        <f t="shared" si="61"/>
        <v>100</v>
      </c>
      <c r="AW251" s="90">
        <f t="shared" si="62"/>
        <v>3</v>
      </c>
      <c r="AX251" s="163">
        <f t="shared" si="63"/>
        <v>7.0833333333333339</v>
      </c>
    </row>
    <row r="252" spans="1:50" x14ac:dyDescent="0.6">
      <c r="A252" s="214" t="s">
        <v>438</v>
      </c>
      <c r="B252" s="13" t="s">
        <v>2232</v>
      </c>
      <c r="C252" s="219" t="s">
        <v>36</v>
      </c>
      <c r="D252" s="221" t="s">
        <v>350</v>
      </c>
      <c r="E252" s="217" t="s">
        <v>179</v>
      </c>
      <c r="F252" s="217" t="s">
        <v>1111</v>
      </c>
      <c r="G252" s="218">
        <v>40028</v>
      </c>
      <c r="H252" s="217" t="s">
        <v>830</v>
      </c>
      <c r="I252" s="217" t="s">
        <v>810</v>
      </c>
      <c r="J252" s="217" t="s">
        <v>1139</v>
      </c>
      <c r="K252" s="217" t="s">
        <v>91</v>
      </c>
      <c r="L252" s="220">
        <v>39369287420</v>
      </c>
      <c r="M252" s="206">
        <v>35300144133</v>
      </c>
      <c r="N252" s="206">
        <v>4069143286</v>
      </c>
      <c r="O252" s="206">
        <v>8031651241</v>
      </c>
      <c r="P252" s="206">
        <v>645745222</v>
      </c>
      <c r="Q252" s="206">
        <v>663311108</v>
      </c>
      <c r="R252" s="206">
        <v>493104212</v>
      </c>
      <c r="S252" s="32">
        <v>0</v>
      </c>
      <c r="T252" s="32">
        <v>0</v>
      </c>
      <c r="U252" s="32">
        <v>0</v>
      </c>
      <c r="V252" s="266">
        <f t="shared" si="49"/>
        <v>50</v>
      </c>
      <c r="W252" s="90">
        <f t="shared" si="50"/>
        <v>0.5</v>
      </c>
      <c r="X252" s="32">
        <v>0</v>
      </c>
      <c r="Y252" s="32">
        <v>0</v>
      </c>
      <c r="Z252" s="267">
        <f t="shared" si="51"/>
        <v>0</v>
      </c>
      <c r="AA252" s="268">
        <f t="shared" si="52"/>
        <v>33.333333333333336</v>
      </c>
      <c r="AB252" s="90">
        <f t="shared" si="53"/>
        <v>0.33333333333333337</v>
      </c>
      <c r="AC252" s="32">
        <v>0</v>
      </c>
      <c r="AD252" s="32">
        <v>0</v>
      </c>
      <c r="AE252" s="252">
        <f t="shared" si="54"/>
        <v>25</v>
      </c>
      <c r="AF252" s="90">
        <f t="shared" si="55"/>
        <v>0.5</v>
      </c>
      <c r="AG252" s="32">
        <v>0</v>
      </c>
      <c r="AH252" s="247">
        <f t="shared" si="56"/>
        <v>25</v>
      </c>
      <c r="AI252" s="91">
        <f t="shared" si="57"/>
        <v>0.25</v>
      </c>
      <c r="AJ252" s="32"/>
      <c r="AK252" s="32">
        <v>0</v>
      </c>
      <c r="AL252" s="32">
        <v>0</v>
      </c>
      <c r="AM252" s="32">
        <v>0</v>
      </c>
      <c r="AN252" s="32">
        <v>0</v>
      </c>
      <c r="AO252" s="247">
        <f t="shared" si="48"/>
        <v>0</v>
      </c>
      <c r="AP252" s="247">
        <f t="shared" si="58"/>
        <v>25</v>
      </c>
      <c r="AQ252" s="90">
        <f t="shared" si="59"/>
        <v>0.5</v>
      </c>
      <c r="AR252" s="32">
        <v>0</v>
      </c>
      <c r="AS252" s="32">
        <v>0</v>
      </c>
      <c r="AT252" s="32">
        <v>0</v>
      </c>
      <c r="AU252" s="272" t="str">
        <f t="shared" si="60"/>
        <v>A</v>
      </c>
      <c r="AV252" s="247">
        <f t="shared" si="61"/>
        <v>100</v>
      </c>
      <c r="AW252" s="90">
        <f t="shared" si="62"/>
        <v>3</v>
      </c>
      <c r="AX252" s="163">
        <v>0</v>
      </c>
    </row>
    <row r="253" spans="1:50" x14ac:dyDescent="0.6">
      <c r="A253" s="214" t="s">
        <v>535</v>
      </c>
      <c r="B253" s="13" t="s">
        <v>2233</v>
      </c>
      <c r="C253" s="219" t="s">
        <v>890</v>
      </c>
      <c r="D253" s="216" t="s">
        <v>203</v>
      </c>
      <c r="E253" s="217" t="s">
        <v>1179</v>
      </c>
      <c r="F253" s="217" t="s">
        <v>132</v>
      </c>
      <c r="G253" s="218">
        <v>33304</v>
      </c>
      <c r="H253" s="217" t="s">
        <v>830</v>
      </c>
      <c r="I253" s="217" t="s">
        <v>984</v>
      </c>
      <c r="J253" s="217" t="s">
        <v>1110</v>
      </c>
      <c r="K253" s="217" t="s">
        <v>91</v>
      </c>
      <c r="L253" s="220">
        <v>231015509</v>
      </c>
      <c r="M253" s="206">
        <v>75905969</v>
      </c>
      <c r="N253" s="206">
        <v>155109540</v>
      </c>
      <c r="O253" s="206">
        <v>285439614</v>
      </c>
      <c r="P253" s="206">
        <v>21520066</v>
      </c>
      <c r="Q253" s="206">
        <v>18501491</v>
      </c>
      <c r="R253" s="206">
        <v>19107420</v>
      </c>
      <c r="S253" s="32">
        <v>0</v>
      </c>
      <c r="T253" s="32">
        <v>0</v>
      </c>
      <c r="U253" s="32">
        <v>0</v>
      </c>
      <c r="V253" s="266">
        <f t="shared" si="49"/>
        <v>50</v>
      </c>
      <c r="W253" s="90">
        <f t="shared" si="50"/>
        <v>0.5</v>
      </c>
      <c r="X253" s="32">
        <v>0</v>
      </c>
      <c r="Y253" s="32">
        <v>0</v>
      </c>
      <c r="Z253" s="267">
        <f t="shared" si="51"/>
        <v>0</v>
      </c>
      <c r="AA253" s="268">
        <f t="shared" si="52"/>
        <v>33.333333333333336</v>
      </c>
      <c r="AB253" s="90">
        <f t="shared" si="53"/>
        <v>0.33333333333333337</v>
      </c>
      <c r="AC253" s="32">
        <v>0</v>
      </c>
      <c r="AD253" s="32">
        <v>0</v>
      </c>
      <c r="AE253" s="252">
        <f t="shared" si="54"/>
        <v>25</v>
      </c>
      <c r="AF253" s="90">
        <f t="shared" si="55"/>
        <v>0.5</v>
      </c>
      <c r="AG253" s="32">
        <v>0</v>
      </c>
      <c r="AH253" s="247">
        <f t="shared" si="56"/>
        <v>25</v>
      </c>
      <c r="AI253" s="91">
        <f t="shared" si="57"/>
        <v>0.25</v>
      </c>
      <c r="AJ253" s="32"/>
      <c r="AK253" s="32">
        <v>0</v>
      </c>
      <c r="AL253" s="32">
        <v>0</v>
      </c>
      <c r="AM253" s="32">
        <v>0</v>
      </c>
      <c r="AN253" s="32">
        <v>0</v>
      </c>
      <c r="AO253" s="247">
        <f t="shared" si="48"/>
        <v>0</v>
      </c>
      <c r="AP253" s="247">
        <f t="shared" si="58"/>
        <v>25</v>
      </c>
      <c r="AQ253" s="90">
        <f t="shared" si="59"/>
        <v>0.5</v>
      </c>
      <c r="AR253" s="32">
        <v>0</v>
      </c>
      <c r="AS253" s="32">
        <v>0</v>
      </c>
      <c r="AT253" s="32">
        <v>0</v>
      </c>
      <c r="AU253" s="272" t="str">
        <f t="shared" si="60"/>
        <v>A</v>
      </c>
      <c r="AV253" s="247">
        <f t="shared" si="61"/>
        <v>100</v>
      </c>
      <c r="AW253" s="90">
        <f t="shared" si="62"/>
        <v>3</v>
      </c>
      <c r="AX253" s="163">
        <f t="shared" si="63"/>
        <v>5.0833333333333339</v>
      </c>
    </row>
    <row r="254" spans="1:50" x14ac:dyDescent="0.6">
      <c r="A254" s="214" t="s">
        <v>1870</v>
      </c>
      <c r="B254" s="13" t="s">
        <v>2234</v>
      </c>
      <c r="C254" s="219" t="s">
        <v>529</v>
      </c>
      <c r="D254" s="216" t="s">
        <v>203</v>
      </c>
      <c r="E254" s="217" t="s">
        <v>180</v>
      </c>
      <c r="F254" s="217" t="s">
        <v>561</v>
      </c>
      <c r="G254" s="218">
        <v>35094</v>
      </c>
      <c r="H254" s="217" t="s">
        <v>830</v>
      </c>
      <c r="I254" s="217" t="s">
        <v>1871</v>
      </c>
      <c r="J254" s="217" t="s">
        <v>1230</v>
      </c>
      <c r="K254" s="217" t="s">
        <v>91</v>
      </c>
      <c r="L254" s="220">
        <v>221214840</v>
      </c>
      <c r="M254" s="206">
        <v>49139610</v>
      </c>
      <c r="N254" s="206">
        <v>172075230</v>
      </c>
      <c r="O254" s="206">
        <v>157798814</v>
      </c>
      <c r="P254" s="206">
        <v>10746927</v>
      </c>
      <c r="Q254" s="206">
        <v>5946963</v>
      </c>
      <c r="R254" s="206">
        <v>5654728</v>
      </c>
      <c r="S254" s="32">
        <v>0</v>
      </c>
      <c r="T254" s="32">
        <v>0</v>
      </c>
      <c r="U254" s="32">
        <v>0</v>
      </c>
      <c r="V254" s="266">
        <f t="shared" si="49"/>
        <v>50</v>
      </c>
      <c r="W254" s="90">
        <f t="shared" si="50"/>
        <v>0.5</v>
      </c>
      <c r="X254" s="32">
        <v>0</v>
      </c>
      <c r="Y254" s="32">
        <v>0</v>
      </c>
      <c r="Z254" s="267">
        <f t="shared" si="51"/>
        <v>0</v>
      </c>
      <c r="AA254" s="268">
        <f t="shared" si="52"/>
        <v>33.333333333333336</v>
      </c>
      <c r="AB254" s="90">
        <f t="shared" si="53"/>
        <v>0.33333333333333337</v>
      </c>
      <c r="AC254" s="32">
        <v>0</v>
      </c>
      <c r="AD254" s="32">
        <v>0</v>
      </c>
      <c r="AE254" s="252">
        <f t="shared" si="54"/>
        <v>25</v>
      </c>
      <c r="AF254" s="90">
        <f t="shared" si="55"/>
        <v>0.5</v>
      </c>
      <c r="AG254" s="32">
        <v>0</v>
      </c>
      <c r="AH254" s="247">
        <f t="shared" si="56"/>
        <v>25</v>
      </c>
      <c r="AI254" s="91">
        <f t="shared" si="57"/>
        <v>0.25</v>
      </c>
      <c r="AJ254" s="32"/>
      <c r="AK254" s="32">
        <v>1</v>
      </c>
      <c r="AL254" s="32">
        <v>0</v>
      </c>
      <c r="AM254" s="32">
        <v>0</v>
      </c>
      <c r="AN254" s="32">
        <v>0</v>
      </c>
      <c r="AO254" s="247">
        <f t="shared" si="48"/>
        <v>1</v>
      </c>
      <c r="AP254" s="247">
        <f t="shared" si="58"/>
        <v>50</v>
      </c>
      <c r="AQ254" s="90">
        <f t="shared" si="59"/>
        <v>1</v>
      </c>
      <c r="AR254" s="32">
        <v>0</v>
      </c>
      <c r="AS254" s="32">
        <v>0</v>
      </c>
      <c r="AT254" s="32">
        <v>0</v>
      </c>
      <c r="AU254" s="272" t="str">
        <f t="shared" si="60"/>
        <v>A</v>
      </c>
      <c r="AV254" s="247">
        <f t="shared" si="61"/>
        <v>100</v>
      </c>
      <c r="AW254" s="90">
        <f t="shared" si="62"/>
        <v>3</v>
      </c>
      <c r="AX254" s="163">
        <f t="shared" si="63"/>
        <v>5.5833333333333339</v>
      </c>
    </row>
    <row r="255" spans="1:50" x14ac:dyDescent="0.6">
      <c r="A255" s="214" t="s">
        <v>366</v>
      </c>
      <c r="B255" s="13" t="s">
        <v>2235</v>
      </c>
      <c r="C255" s="219" t="s">
        <v>447</v>
      </c>
      <c r="D255" s="216" t="s">
        <v>203</v>
      </c>
      <c r="E255" s="217" t="s">
        <v>180</v>
      </c>
      <c r="F255" s="217" t="s">
        <v>990</v>
      </c>
      <c r="G255" s="218">
        <v>37649</v>
      </c>
      <c r="H255" s="217" t="s">
        <v>830</v>
      </c>
      <c r="I255" s="217" t="s">
        <v>814</v>
      </c>
      <c r="J255" s="217" t="s">
        <v>663</v>
      </c>
      <c r="K255" s="217" t="s">
        <v>91</v>
      </c>
      <c r="L255" s="220">
        <v>162863274</v>
      </c>
      <c r="M255" s="206">
        <v>17371202</v>
      </c>
      <c r="N255" s="206">
        <v>145492071</v>
      </c>
      <c r="O255" s="206">
        <v>56651970</v>
      </c>
      <c r="P255" s="206">
        <v>10708324</v>
      </c>
      <c r="Q255" s="206">
        <v>12207215</v>
      </c>
      <c r="R255" s="206">
        <v>9200816</v>
      </c>
      <c r="S255" s="32">
        <v>0</v>
      </c>
      <c r="T255" s="32">
        <v>0</v>
      </c>
      <c r="U255" s="32">
        <v>0</v>
      </c>
      <c r="V255" s="266">
        <f t="shared" si="49"/>
        <v>50</v>
      </c>
      <c r="W255" s="90">
        <f t="shared" si="50"/>
        <v>0.5</v>
      </c>
      <c r="X255" s="32">
        <v>0</v>
      </c>
      <c r="Y255" s="32">
        <v>0</v>
      </c>
      <c r="Z255" s="267">
        <f t="shared" si="51"/>
        <v>0</v>
      </c>
      <c r="AA255" s="268">
        <f t="shared" si="52"/>
        <v>33.333333333333336</v>
      </c>
      <c r="AB255" s="90">
        <f t="shared" si="53"/>
        <v>0.33333333333333337</v>
      </c>
      <c r="AC255" s="32">
        <v>0</v>
      </c>
      <c r="AD255" s="32">
        <v>1</v>
      </c>
      <c r="AE255" s="252">
        <f t="shared" si="54"/>
        <v>75</v>
      </c>
      <c r="AF255" s="90">
        <f t="shared" si="55"/>
        <v>1.5</v>
      </c>
      <c r="AG255" s="32">
        <v>0</v>
      </c>
      <c r="AH255" s="247">
        <f t="shared" si="56"/>
        <v>25</v>
      </c>
      <c r="AI255" s="91">
        <f t="shared" si="57"/>
        <v>0.25</v>
      </c>
      <c r="AJ255" s="32"/>
      <c r="AK255" s="32">
        <v>0</v>
      </c>
      <c r="AL255" s="32">
        <v>0</v>
      </c>
      <c r="AM255" s="32">
        <v>0</v>
      </c>
      <c r="AN255" s="32">
        <v>0</v>
      </c>
      <c r="AO255" s="247">
        <f t="shared" si="48"/>
        <v>0</v>
      </c>
      <c r="AP255" s="247">
        <f t="shared" si="58"/>
        <v>25</v>
      </c>
      <c r="AQ255" s="90">
        <f t="shared" si="59"/>
        <v>0.5</v>
      </c>
      <c r="AR255" s="32">
        <v>0</v>
      </c>
      <c r="AS255" s="32">
        <v>0</v>
      </c>
      <c r="AT255" s="32">
        <v>0</v>
      </c>
      <c r="AU255" s="272" t="str">
        <f t="shared" si="60"/>
        <v>A</v>
      </c>
      <c r="AV255" s="247">
        <f t="shared" si="61"/>
        <v>100</v>
      </c>
      <c r="AW255" s="90">
        <f t="shared" si="62"/>
        <v>3</v>
      </c>
      <c r="AX255" s="163">
        <f t="shared" si="63"/>
        <v>6.0833333333333339</v>
      </c>
    </row>
    <row r="256" spans="1:50" x14ac:dyDescent="0.6">
      <c r="A256" s="214" t="s">
        <v>1872</v>
      </c>
      <c r="B256" s="13" t="s">
        <v>2236</v>
      </c>
      <c r="C256" s="219" t="s">
        <v>38</v>
      </c>
      <c r="D256" s="216" t="s">
        <v>285</v>
      </c>
      <c r="E256" s="217" t="s">
        <v>867</v>
      </c>
      <c r="F256" s="217" t="s">
        <v>589</v>
      </c>
      <c r="G256" s="218">
        <v>32825</v>
      </c>
      <c r="H256" s="217" t="s">
        <v>830</v>
      </c>
      <c r="I256" s="217" t="s">
        <v>744</v>
      </c>
      <c r="J256" s="217" t="s">
        <v>1100</v>
      </c>
      <c r="K256" s="217" t="s">
        <v>690</v>
      </c>
      <c r="L256" s="220">
        <v>2966326502</v>
      </c>
      <c r="M256" s="206">
        <v>2073747455</v>
      </c>
      <c r="N256" s="206">
        <v>892579047</v>
      </c>
      <c r="O256" s="206">
        <v>2518358924</v>
      </c>
      <c r="P256" s="206">
        <v>126264508</v>
      </c>
      <c r="Q256" s="206">
        <v>98571424</v>
      </c>
      <c r="R256" s="206">
        <v>79048061</v>
      </c>
      <c r="S256" s="32">
        <v>0</v>
      </c>
      <c r="T256" s="32">
        <v>0</v>
      </c>
      <c r="U256" s="32">
        <v>0</v>
      </c>
      <c r="V256" s="266">
        <f t="shared" si="49"/>
        <v>50</v>
      </c>
      <c r="W256" s="90">
        <f t="shared" si="50"/>
        <v>0.5</v>
      </c>
      <c r="X256" s="32">
        <v>0</v>
      </c>
      <c r="Y256" s="32">
        <v>0</v>
      </c>
      <c r="Z256" s="267">
        <f t="shared" si="51"/>
        <v>0</v>
      </c>
      <c r="AA256" s="268">
        <f t="shared" si="52"/>
        <v>33.333333333333336</v>
      </c>
      <c r="AB256" s="90">
        <f t="shared" si="53"/>
        <v>0.33333333333333337</v>
      </c>
      <c r="AC256" s="32">
        <v>0</v>
      </c>
      <c r="AD256" s="32">
        <v>1</v>
      </c>
      <c r="AE256" s="252">
        <f t="shared" si="54"/>
        <v>75</v>
      </c>
      <c r="AF256" s="90">
        <f t="shared" si="55"/>
        <v>1.5</v>
      </c>
      <c r="AG256" s="32">
        <v>0</v>
      </c>
      <c r="AH256" s="247">
        <f t="shared" si="56"/>
        <v>25</v>
      </c>
      <c r="AI256" s="91">
        <f t="shared" si="57"/>
        <v>0.25</v>
      </c>
      <c r="AJ256" s="32"/>
      <c r="AK256" s="32">
        <v>0</v>
      </c>
      <c r="AL256" s="32">
        <v>0</v>
      </c>
      <c r="AM256" s="32">
        <v>0</v>
      </c>
      <c r="AN256" s="32">
        <v>0</v>
      </c>
      <c r="AO256" s="247">
        <f t="shared" si="48"/>
        <v>0</v>
      </c>
      <c r="AP256" s="247">
        <f t="shared" si="58"/>
        <v>25</v>
      </c>
      <c r="AQ256" s="90">
        <f t="shared" si="59"/>
        <v>0.5</v>
      </c>
      <c r="AR256" s="32">
        <v>0</v>
      </c>
      <c r="AS256" s="32">
        <v>0</v>
      </c>
      <c r="AT256" s="32">
        <v>0</v>
      </c>
      <c r="AU256" s="272" t="str">
        <f t="shared" si="60"/>
        <v>A</v>
      </c>
      <c r="AV256" s="247">
        <f t="shared" si="61"/>
        <v>100</v>
      </c>
      <c r="AW256" s="90">
        <f t="shared" si="62"/>
        <v>3</v>
      </c>
      <c r="AX256" s="163">
        <f t="shared" si="63"/>
        <v>6.0833333333333339</v>
      </c>
    </row>
    <row r="257" spans="1:50" x14ac:dyDescent="0.6">
      <c r="A257" s="214" t="s">
        <v>1873</v>
      </c>
      <c r="B257" s="13" t="s">
        <v>2237</v>
      </c>
      <c r="C257" s="219" t="s">
        <v>1874</v>
      </c>
      <c r="D257" s="14" t="s">
        <v>191</v>
      </c>
      <c r="E257" s="217" t="s">
        <v>190</v>
      </c>
      <c r="F257" s="217" t="s">
        <v>1875</v>
      </c>
      <c r="G257" s="218">
        <v>34695</v>
      </c>
      <c r="H257" s="217" t="s">
        <v>830</v>
      </c>
      <c r="I257" s="217" t="s">
        <v>1876</v>
      </c>
      <c r="J257" s="217" t="s">
        <v>1877</v>
      </c>
      <c r="K257" s="217" t="s">
        <v>91</v>
      </c>
      <c r="L257" s="220">
        <v>638916718</v>
      </c>
      <c r="M257" s="206">
        <v>398803947</v>
      </c>
      <c r="N257" s="206">
        <v>240112771</v>
      </c>
      <c r="O257" s="206">
        <v>765025412</v>
      </c>
      <c r="P257" s="206">
        <v>47784093</v>
      </c>
      <c r="Q257" s="206">
        <v>26595933</v>
      </c>
      <c r="R257" s="206">
        <v>20153900</v>
      </c>
      <c r="S257" s="32">
        <v>0</v>
      </c>
      <c r="T257" s="32">
        <v>0</v>
      </c>
      <c r="U257" s="32">
        <v>0</v>
      </c>
      <c r="V257" s="266">
        <f t="shared" si="49"/>
        <v>50</v>
      </c>
      <c r="W257" s="90">
        <f t="shared" si="50"/>
        <v>0.5</v>
      </c>
      <c r="X257" s="32">
        <v>0</v>
      </c>
      <c r="Y257" s="32">
        <v>0</v>
      </c>
      <c r="Z257" s="267">
        <f t="shared" si="51"/>
        <v>0</v>
      </c>
      <c r="AA257" s="268">
        <f t="shared" si="52"/>
        <v>33.333333333333336</v>
      </c>
      <c r="AB257" s="90">
        <f t="shared" si="53"/>
        <v>0.33333333333333337</v>
      </c>
      <c r="AC257" s="32">
        <v>0</v>
      </c>
      <c r="AD257" s="32">
        <v>0</v>
      </c>
      <c r="AE257" s="252">
        <f t="shared" si="54"/>
        <v>25</v>
      </c>
      <c r="AF257" s="90">
        <f t="shared" si="55"/>
        <v>0.5</v>
      </c>
      <c r="AG257" s="32">
        <v>2</v>
      </c>
      <c r="AH257" s="247">
        <f t="shared" si="56"/>
        <v>75</v>
      </c>
      <c r="AI257" s="91">
        <f t="shared" si="57"/>
        <v>0.75</v>
      </c>
      <c r="AJ257" s="32"/>
      <c r="AK257" s="32">
        <v>0</v>
      </c>
      <c r="AL257" s="32">
        <v>0</v>
      </c>
      <c r="AM257" s="32">
        <v>0</v>
      </c>
      <c r="AN257" s="32">
        <v>0</v>
      </c>
      <c r="AO257" s="247">
        <f t="shared" ref="AO257:AO320" si="64">SUM(AJ257:AN257)</f>
        <v>0</v>
      </c>
      <c r="AP257" s="247">
        <f t="shared" si="58"/>
        <v>25</v>
      </c>
      <c r="AQ257" s="90">
        <f t="shared" si="59"/>
        <v>0.5</v>
      </c>
      <c r="AR257" s="32">
        <v>0</v>
      </c>
      <c r="AS257" s="32">
        <v>0</v>
      </c>
      <c r="AT257" s="32">
        <v>0</v>
      </c>
      <c r="AU257" s="272" t="str">
        <f t="shared" si="60"/>
        <v>A</v>
      </c>
      <c r="AV257" s="247">
        <f t="shared" si="61"/>
        <v>100</v>
      </c>
      <c r="AW257" s="90">
        <f t="shared" si="62"/>
        <v>3</v>
      </c>
      <c r="AX257" s="163">
        <f t="shared" si="63"/>
        <v>5.5833333333333339</v>
      </c>
    </row>
    <row r="258" spans="1:50" x14ac:dyDescent="0.6">
      <c r="A258" s="214" t="s">
        <v>1878</v>
      </c>
      <c r="B258" s="13" t="s">
        <v>2238</v>
      </c>
      <c r="C258" s="219" t="s">
        <v>1879</v>
      </c>
      <c r="D258" s="14" t="s">
        <v>203</v>
      </c>
      <c r="E258" s="217" t="s">
        <v>246</v>
      </c>
      <c r="F258" s="217" t="s">
        <v>1880</v>
      </c>
      <c r="G258" s="218">
        <v>43039</v>
      </c>
      <c r="H258" s="217" t="s">
        <v>830</v>
      </c>
      <c r="I258" s="217" t="s">
        <v>1881</v>
      </c>
      <c r="J258" s="217" t="s">
        <v>1882</v>
      </c>
      <c r="K258" s="217" t="s">
        <v>690</v>
      </c>
      <c r="L258" s="220">
        <v>136133552</v>
      </c>
      <c r="M258" s="206">
        <v>44833578</v>
      </c>
      <c r="N258" s="206">
        <v>91299975</v>
      </c>
      <c r="O258" s="206">
        <v>179753809</v>
      </c>
      <c r="P258" s="206">
        <v>24450342</v>
      </c>
      <c r="Q258" s="206">
        <v>25307795</v>
      </c>
      <c r="R258" s="206">
        <v>20467189</v>
      </c>
      <c r="S258" s="32">
        <v>0</v>
      </c>
      <c r="T258" s="32">
        <v>0</v>
      </c>
      <c r="U258" s="32">
        <v>0</v>
      </c>
      <c r="V258" s="266">
        <f t="shared" ref="V258:V321" si="65">IF(SUM(S258:U258)=0, 50, 100)</f>
        <v>50</v>
      </c>
      <c r="W258" s="90">
        <f t="shared" ref="W258:W321" si="66">V258*0.01</f>
        <v>0.5</v>
      </c>
      <c r="X258" s="32">
        <v>0</v>
      </c>
      <c r="Y258" s="32">
        <v>0</v>
      </c>
      <c r="Z258" s="267">
        <f t="shared" ref="Z258:Z321" si="67">SUM(X258:Y258)</f>
        <v>0</v>
      </c>
      <c r="AA258" s="268">
        <f t="shared" ref="AA258:AA321" si="68">IF(Z258=0, 100/3, IF(Z258=1, 200/3, IF(Z258=2, 100)))</f>
        <v>33.333333333333336</v>
      </c>
      <c r="AB258" s="90">
        <f t="shared" ref="AB258:AB321" si="69">AA258*0.01</f>
        <v>0.33333333333333337</v>
      </c>
      <c r="AC258" s="32">
        <v>0</v>
      </c>
      <c r="AD258" s="32">
        <v>1</v>
      </c>
      <c r="AE258" s="252">
        <f t="shared" ref="AE258:AE321" si="70">IF(AND(AD258=1, AC258&gt;0), 100, IF(AD258=1, 75, IF(AC258&gt;0, 50, 25)))</f>
        <v>75</v>
      </c>
      <c r="AF258" s="90">
        <f t="shared" ref="AF258:AF321" si="71">AE258*0.02</f>
        <v>1.5</v>
      </c>
      <c r="AG258" s="32">
        <v>0</v>
      </c>
      <c r="AH258" s="247">
        <f t="shared" ref="AH258:AH321" si="72">IF(AG258=0, 25, IF(AG258=1, 50, IF(AG258=2, 75, IF(AG258&gt;=3, 100))))</f>
        <v>25</v>
      </c>
      <c r="AI258" s="91">
        <f t="shared" ref="AI258:AI321" si="73">AH258*0.01</f>
        <v>0.25</v>
      </c>
      <c r="AJ258" s="32"/>
      <c r="AK258" s="32">
        <v>1</v>
      </c>
      <c r="AL258" s="32">
        <v>0</v>
      </c>
      <c r="AM258" s="32">
        <v>0</v>
      </c>
      <c r="AN258" s="32">
        <v>0</v>
      </c>
      <c r="AO258" s="247">
        <f t="shared" si="64"/>
        <v>1</v>
      </c>
      <c r="AP258" s="247">
        <f t="shared" ref="AP258:AP321" si="74">IF(AO258=0, 25, IF(AO258=1, 50, IF(AO258=2, 75, IF(AO258&gt;=3, 100))))</f>
        <v>50</v>
      </c>
      <c r="AQ258" s="90">
        <f t="shared" ref="AQ258:AQ321" si="75">AP258*0.02</f>
        <v>1</v>
      </c>
      <c r="AR258" s="32">
        <v>0</v>
      </c>
      <c r="AS258" s="32">
        <v>0</v>
      </c>
      <c r="AT258" s="32">
        <v>0</v>
      </c>
      <c r="AU258" s="272" t="str">
        <f t="shared" ref="AU258:AU321" si="76">IF(AT258=1, "D", IF(AS258=1, "C", IF(AR258=1, "B", "A")))</f>
        <v>A</v>
      </c>
      <c r="AV258" s="247">
        <f t="shared" ref="AV258:AV321" si="77">IF(AU258="A", 100, IF(AU258="B", 75, IF(AU258="C", 50, IF(AU258="D", 25))))</f>
        <v>100</v>
      </c>
      <c r="AW258" s="90">
        <f t="shared" ref="AW258:AW321" si="78">AV258*0.03</f>
        <v>3</v>
      </c>
      <c r="AX258" s="163">
        <f t="shared" ref="AX258:AX321" si="79">W258+AB258+AF258+AI258+AQ258+AW258</f>
        <v>6.5833333333333339</v>
      </c>
    </row>
    <row r="259" spans="1:50" x14ac:dyDescent="0.6">
      <c r="A259" s="214" t="s">
        <v>469</v>
      </c>
      <c r="B259" s="13" t="s">
        <v>2239</v>
      </c>
      <c r="C259" s="219" t="s">
        <v>889</v>
      </c>
      <c r="D259" s="216" t="s">
        <v>285</v>
      </c>
      <c r="E259" s="217" t="s">
        <v>112</v>
      </c>
      <c r="F259" s="217" t="s">
        <v>167</v>
      </c>
      <c r="G259" s="218">
        <v>38188</v>
      </c>
      <c r="H259" s="217" t="s">
        <v>830</v>
      </c>
      <c r="I259" s="217" t="s">
        <v>747</v>
      </c>
      <c r="J259" s="217" t="s">
        <v>1221</v>
      </c>
      <c r="K259" s="217" t="s">
        <v>91</v>
      </c>
      <c r="L259" s="220">
        <v>132073637</v>
      </c>
      <c r="M259" s="206">
        <v>20552807</v>
      </c>
      <c r="N259" s="206">
        <v>111520830</v>
      </c>
      <c r="O259" s="206">
        <v>42568935</v>
      </c>
      <c r="P259" s="206">
        <v>2855339</v>
      </c>
      <c r="Q259" s="206">
        <v>4551046</v>
      </c>
      <c r="R259" s="206">
        <v>3850592</v>
      </c>
      <c r="S259" s="32">
        <v>0</v>
      </c>
      <c r="T259" s="32">
        <v>0</v>
      </c>
      <c r="U259" s="32">
        <v>0</v>
      </c>
      <c r="V259" s="266">
        <f t="shared" si="65"/>
        <v>50</v>
      </c>
      <c r="W259" s="90">
        <f t="shared" si="66"/>
        <v>0.5</v>
      </c>
      <c r="X259" s="32">
        <v>0</v>
      </c>
      <c r="Y259" s="32">
        <v>0</v>
      </c>
      <c r="Z259" s="267">
        <f t="shared" si="67"/>
        <v>0</v>
      </c>
      <c r="AA259" s="268">
        <f t="shared" si="68"/>
        <v>33.333333333333336</v>
      </c>
      <c r="AB259" s="90">
        <f t="shared" si="69"/>
        <v>0.33333333333333337</v>
      </c>
      <c r="AC259" s="32">
        <v>0</v>
      </c>
      <c r="AD259" s="32">
        <v>1</v>
      </c>
      <c r="AE259" s="252">
        <f t="shared" si="70"/>
        <v>75</v>
      </c>
      <c r="AF259" s="90">
        <f t="shared" si="71"/>
        <v>1.5</v>
      </c>
      <c r="AG259" s="32">
        <v>0</v>
      </c>
      <c r="AH259" s="247">
        <f t="shared" si="72"/>
        <v>25</v>
      </c>
      <c r="AI259" s="91">
        <f t="shared" si="73"/>
        <v>0.25</v>
      </c>
      <c r="AJ259" s="32"/>
      <c r="AK259" s="32">
        <v>0</v>
      </c>
      <c r="AL259" s="32">
        <v>0</v>
      </c>
      <c r="AM259" s="32">
        <v>0</v>
      </c>
      <c r="AN259" s="32">
        <v>0</v>
      </c>
      <c r="AO259" s="247">
        <f t="shared" si="64"/>
        <v>0</v>
      </c>
      <c r="AP259" s="247">
        <f t="shared" si="74"/>
        <v>25</v>
      </c>
      <c r="AQ259" s="90">
        <f t="shared" si="75"/>
        <v>0.5</v>
      </c>
      <c r="AR259" s="32">
        <v>0</v>
      </c>
      <c r="AS259" s="32">
        <v>0</v>
      </c>
      <c r="AT259" s="32">
        <v>0</v>
      </c>
      <c r="AU259" s="272" t="str">
        <f t="shared" si="76"/>
        <v>A</v>
      </c>
      <c r="AV259" s="247">
        <f t="shared" si="77"/>
        <v>100</v>
      </c>
      <c r="AW259" s="90">
        <f t="shared" si="78"/>
        <v>3</v>
      </c>
      <c r="AX259" s="163">
        <f t="shared" si="79"/>
        <v>6.0833333333333339</v>
      </c>
    </row>
    <row r="260" spans="1:50" x14ac:dyDescent="0.6">
      <c r="A260" s="214" t="s">
        <v>85</v>
      </c>
      <c r="B260" s="13" t="s">
        <v>2240</v>
      </c>
      <c r="C260" s="219" t="s">
        <v>901</v>
      </c>
      <c r="D260" s="216" t="s">
        <v>203</v>
      </c>
      <c r="E260" s="217" t="s">
        <v>188</v>
      </c>
      <c r="F260" s="217" t="s">
        <v>243</v>
      </c>
      <c r="G260" s="218">
        <v>37536</v>
      </c>
      <c r="H260" s="217" t="s">
        <v>830</v>
      </c>
      <c r="I260" s="217" t="s">
        <v>1883</v>
      </c>
      <c r="J260" s="217" t="s">
        <v>1136</v>
      </c>
      <c r="K260" s="217" t="s">
        <v>91</v>
      </c>
      <c r="L260" s="220">
        <v>941352875</v>
      </c>
      <c r="M260" s="206">
        <v>201162049</v>
      </c>
      <c r="N260" s="206">
        <v>740190827</v>
      </c>
      <c r="O260" s="206">
        <v>1235837871</v>
      </c>
      <c r="P260" s="206">
        <v>117135007</v>
      </c>
      <c r="Q260" s="206">
        <v>105510103</v>
      </c>
      <c r="R260" s="206">
        <v>81809433</v>
      </c>
      <c r="S260" s="32">
        <v>1</v>
      </c>
      <c r="T260" s="32">
        <v>0</v>
      </c>
      <c r="U260" s="32">
        <v>0</v>
      </c>
      <c r="V260" s="266">
        <f t="shared" si="65"/>
        <v>100</v>
      </c>
      <c r="W260" s="90">
        <f t="shared" si="66"/>
        <v>1</v>
      </c>
      <c r="X260" s="32">
        <v>0</v>
      </c>
      <c r="Y260" s="32">
        <v>0</v>
      </c>
      <c r="Z260" s="267">
        <f t="shared" si="67"/>
        <v>0</v>
      </c>
      <c r="AA260" s="268">
        <f t="shared" si="68"/>
        <v>33.333333333333336</v>
      </c>
      <c r="AB260" s="90">
        <f t="shared" si="69"/>
        <v>0.33333333333333337</v>
      </c>
      <c r="AC260" s="32">
        <v>0</v>
      </c>
      <c r="AD260" s="32">
        <v>1</v>
      </c>
      <c r="AE260" s="252">
        <f t="shared" si="70"/>
        <v>75</v>
      </c>
      <c r="AF260" s="90">
        <f t="shared" si="71"/>
        <v>1.5</v>
      </c>
      <c r="AG260" s="32">
        <v>2</v>
      </c>
      <c r="AH260" s="247">
        <f t="shared" si="72"/>
        <v>75</v>
      </c>
      <c r="AI260" s="91">
        <f t="shared" si="73"/>
        <v>0.75</v>
      </c>
      <c r="AJ260" s="32"/>
      <c r="AK260" s="32">
        <v>0</v>
      </c>
      <c r="AL260" s="32">
        <v>0</v>
      </c>
      <c r="AM260" s="32">
        <v>0</v>
      </c>
      <c r="AN260" s="32">
        <v>0</v>
      </c>
      <c r="AO260" s="247">
        <f t="shared" si="64"/>
        <v>0</v>
      </c>
      <c r="AP260" s="247">
        <f t="shared" si="74"/>
        <v>25</v>
      </c>
      <c r="AQ260" s="90">
        <f t="shared" si="75"/>
        <v>0.5</v>
      </c>
      <c r="AR260" s="32">
        <v>0</v>
      </c>
      <c r="AS260" s="32">
        <v>1</v>
      </c>
      <c r="AT260" s="32">
        <v>0</v>
      </c>
      <c r="AU260" s="272" t="str">
        <f t="shared" si="76"/>
        <v>C</v>
      </c>
      <c r="AV260" s="247">
        <f t="shared" si="77"/>
        <v>50</v>
      </c>
      <c r="AW260" s="90">
        <f t="shared" si="78"/>
        <v>1.5</v>
      </c>
      <c r="AX260" s="163">
        <f t="shared" si="79"/>
        <v>5.5833333333333339</v>
      </c>
    </row>
    <row r="261" spans="1:50" x14ac:dyDescent="0.6">
      <c r="A261" s="214" t="s">
        <v>797</v>
      </c>
      <c r="B261" s="13" t="s">
        <v>2241</v>
      </c>
      <c r="C261" s="219" t="s">
        <v>939</v>
      </c>
      <c r="D261" s="216" t="s">
        <v>191</v>
      </c>
      <c r="E261" s="217" t="s">
        <v>1091</v>
      </c>
      <c r="F261" s="217" t="s">
        <v>216</v>
      </c>
      <c r="G261" s="218">
        <v>32283</v>
      </c>
      <c r="H261" s="217" t="s">
        <v>830</v>
      </c>
      <c r="I261" s="217" t="s">
        <v>722</v>
      </c>
      <c r="J261" s="217" t="s">
        <v>1219</v>
      </c>
      <c r="K261" s="217" t="s">
        <v>91</v>
      </c>
      <c r="L261" s="220">
        <v>112694189</v>
      </c>
      <c r="M261" s="206">
        <v>32982274</v>
      </c>
      <c r="N261" s="206">
        <v>79711915</v>
      </c>
      <c r="O261" s="206">
        <v>60181807</v>
      </c>
      <c r="P261" s="206">
        <v>8873367</v>
      </c>
      <c r="Q261" s="206">
        <v>5968958</v>
      </c>
      <c r="R261" s="206">
        <v>10884761</v>
      </c>
      <c r="S261" s="32">
        <v>0</v>
      </c>
      <c r="T261" s="32">
        <v>0</v>
      </c>
      <c r="U261" s="32">
        <v>0</v>
      </c>
      <c r="V261" s="266">
        <f t="shared" si="65"/>
        <v>50</v>
      </c>
      <c r="W261" s="90">
        <f t="shared" si="66"/>
        <v>0.5</v>
      </c>
      <c r="X261" s="32">
        <v>0</v>
      </c>
      <c r="Y261" s="32">
        <v>0</v>
      </c>
      <c r="Z261" s="267">
        <f t="shared" si="67"/>
        <v>0</v>
      </c>
      <c r="AA261" s="268">
        <f t="shared" si="68"/>
        <v>33.333333333333336</v>
      </c>
      <c r="AB261" s="90">
        <f t="shared" si="69"/>
        <v>0.33333333333333337</v>
      </c>
      <c r="AC261" s="32">
        <v>0</v>
      </c>
      <c r="AD261" s="32">
        <v>0</v>
      </c>
      <c r="AE261" s="252">
        <f t="shared" si="70"/>
        <v>25</v>
      </c>
      <c r="AF261" s="90">
        <f t="shared" si="71"/>
        <v>0.5</v>
      </c>
      <c r="AG261" s="32">
        <v>0</v>
      </c>
      <c r="AH261" s="247">
        <f t="shared" si="72"/>
        <v>25</v>
      </c>
      <c r="AI261" s="91">
        <f t="shared" si="73"/>
        <v>0.25</v>
      </c>
      <c r="AJ261" s="32"/>
      <c r="AK261" s="32">
        <v>1</v>
      </c>
      <c r="AL261" s="32">
        <v>0</v>
      </c>
      <c r="AM261" s="32">
        <v>0</v>
      </c>
      <c r="AN261" s="32">
        <v>0</v>
      </c>
      <c r="AO261" s="247">
        <f t="shared" si="64"/>
        <v>1</v>
      </c>
      <c r="AP261" s="247">
        <f t="shared" si="74"/>
        <v>50</v>
      </c>
      <c r="AQ261" s="90">
        <f t="shared" si="75"/>
        <v>1</v>
      </c>
      <c r="AR261" s="32">
        <v>0</v>
      </c>
      <c r="AS261" s="32">
        <v>0</v>
      </c>
      <c r="AT261" s="32">
        <v>0</v>
      </c>
      <c r="AU261" s="272" t="str">
        <f t="shared" si="76"/>
        <v>A</v>
      </c>
      <c r="AV261" s="247">
        <f t="shared" si="77"/>
        <v>100</v>
      </c>
      <c r="AW261" s="90">
        <f t="shared" si="78"/>
        <v>3</v>
      </c>
      <c r="AX261" s="163">
        <f t="shared" si="79"/>
        <v>5.5833333333333339</v>
      </c>
    </row>
    <row r="262" spans="1:50" x14ac:dyDescent="0.6">
      <c r="A262" s="214" t="s">
        <v>1884</v>
      </c>
      <c r="B262" s="13" t="s">
        <v>2242</v>
      </c>
      <c r="C262" s="219" t="s">
        <v>1885</v>
      </c>
      <c r="D262" s="14" t="s">
        <v>285</v>
      </c>
      <c r="E262" s="217" t="s">
        <v>534</v>
      </c>
      <c r="F262" s="217" t="s">
        <v>1886</v>
      </c>
      <c r="G262" s="218">
        <v>39346</v>
      </c>
      <c r="H262" s="217" t="s">
        <v>830</v>
      </c>
      <c r="I262" s="217" t="s">
        <v>1887</v>
      </c>
      <c r="J262" s="217" t="s">
        <v>1888</v>
      </c>
      <c r="K262" s="217" t="s">
        <v>91</v>
      </c>
      <c r="L262" s="220">
        <v>7391490000</v>
      </c>
      <c r="M262" s="206">
        <v>2951621000</v>
      </c>
      <c r="N262" s="206">
        <v>4439869000</v>
      </c>
      <c r="O262" s="206">
        <v>5700446000</v>
      </c>
      <c r="P262" s="206">
        <v>784634000</v>
      </c>
      <c r="Q262" s="206">
        <v>676532000</v>
      </c>
      <c r="R262" s="206">
        <v>676532000</v>
      </c>
      <c r="S262" s="32">
        <v>1</v>
      </c>
      <c r="T262" s="32">
        <v>1</v>
      </c>
      <c r="U262" s="32">
        <v>0</v>
      </c>
      <c r="V262" s="266">
        <f t="shared" si="65"/>
        <v>100</v>
      </c>
      <c r="W262" s="90">
        <f t="shared" si="66"/>
        <v>1</v>
      </c>
      <c r="X262" s="32">
        <v>0</v>
      </c>
      <c r="Y262" s="32">
        <v>0</v>
      </c>
      <c r="Z262" s="267">
        <f t="shared" si="67"/>
        <v>0</v>
      </c>
      <c r="AA262" s="268">
        <f t="shared" si="68"/>
        <v>33.333333333333336</v>
      </c>
      <c r="AB262" s="90">
        <f t="shared" si="69"/>
        <v>0.33333333333333337</v>
      </c>
      <c r="AC262" s="32">
        <v>0</v>
      </c>
      <c r="AD262" s="32">
        <v>1</v>
      </c>
      <c r="AE262" s="252">
        <f t="shared" si="70"/>
        <v>75</v>
      </c>
      <c r="AF262" s="90">
        <f t="shared" si="71"/>
        <v>1.5</v>
      </c>
      <c r="AG262" s="32">
        <v>1</v>
      </c>
      <c r="AH262" s="247">
        <f t="shared" si="72"/>
        <v>50</v>
      </c>
      <c r="AI262" s="91">
        <f t="shared" si="73"/>
        <v>0.5</v>
      </c>
      <c r="AJ262" s="32"/>
      <c r="AK262" s="32">
        <v>0</v>
      </c>
      <c r="AL262" s="32">
        <v>0</v>
      </c>
      <c r="AM262" s="32">
        <v>0</v>
      </c>
      <c r="AN262" s="32">
        <v>0</v>
      </c>
      <c r="AO262" s="247">
        <f t="shared" si="64"/>
        <v>0</v>
      </c>
      <c r="AP262" s="247">
        <f t="shared" si="74"/>
        <v>25</v>
      </c>
      <c r="AQ262" s="90">
        <f t="shared" si="75"/>
        <v>0.5</v>
      </c>
      <c r="AR262" s="32">
        <v>0</v>
      </c>
      <c r="AS262" s="32">
        <v>0</v>
      </c>
      <c r="AT262" s="32">
        <v>0</v>
      </c>
      <c r="AU262" s="272" t="str">
        <f t="shared" si="76"/>
        <v>A</v>
      </c>
      <c r="AV262" s="247">
        <f t="shared" si="77"/>
        <v>100</v>
      </c>
      <c r="AW262" s="90">
        <f t="shared" si="78"/>
        <v>3</v>
      </c>
      <c r="AX262" s="163">
        <f t="shared" si="79"/>
        <v>6.8333333333333339</v>
      </c>
    </row>
    <row r="263" spans="1:50" x14ac:dyDescent="0.6">
      <c r="A263" s="214" t="s">
        <v>1889</v>
      </c>
      <c r="B263" s="13" t="s">
        <v>2243</v>
      </c>
      <c r="C263" s="219" t="s">
        <v>1890</v>
      </c>
      <c r="D263" s="14" t="s">
        <v>202</v>
      </c>
      <c r="E263" s="217" t="s">
        <v>606</v>
      </c>
      <c r="F263" s="217" t="s">
        <v>1891</v>
      </c>
      <c r="G263" s="218">
        <v>32638</v>
      </c>
      <c r="H263" s="217" t="s">
        <v>830</v>
      </c>
      <c r="I263" s="217" t="s">
        <v>1892</v>
      </c>
      <c r="J263" s="217" t="s">
        <v>1893</v>
      </c>
      <c r="K263" s="217" t="s">
        <v>50</v>
      </c>
      <c r="L263" s="220">
        <v>211309948</v>
      </c>
      <c r="M263" s="206">
        <v>154647755</v>
      </c>
      <c r="N263" s="206">
        <v>56662193</v>
      </c>
      <c r="O263" s="206">
        <v>160154490</v>
      </c>
      <c r="P263" s="206">
        <v>3112928</v>
      </c>
      <c r="Q263" s="206">
        <v>4592986</v>
      </c>
      <c r="R263" s="206">
        <v>1794177</v>
      </c>
      <c r="S263" s="32">
        <v>0</v>
      </c>
      <c r="T263" s="32">
        <v>0</v>
      </c>
      <c r="U263" s="32">
        <v>0</v>
      </c>
      <c r="V263" s="266">
        <f t="shared" si="65"/>
        <v>50</v>
      </c>
      <c r="W263" s="90">
        <f t="shared" si="66"/>
        <v>0.5</v>
      </c>
      <c r="X263" s="32">
        <v>0</v>
      </c>
      <c r="Y263" s="32">
        <v>0</v>
      </c>
      <c r="Z263" s="267">
        <f t="shared" si="67"/>
        <v>0</v>
      </c>
      <c r="AA263" s="268">
        <f t="shared" si="68"/>
        <v>33.333333333333336</v>
      </c>
      <c r="AB263" s="90">
        <f t="shared" si="69"/>
        <v>0.33333333333333337</v>
      </c>
      <c r="AC263" s="32">
        <v>0</v>
      </c>
      <c r="AD263" s="32">
        <v>0</v>
      </c>
      <c r="AE263" s="252">
        <f t="shared" si="70"/>
        <v>25</v>
      </c>
      <c r="AF263" s="90">
        <f t="shared" si="71"/>
        <v>0.5</v>
      </c>
      <c r="AG263" s="32">
        <v>0</v>
      </c>
      <c r="AH263" s="247">
        <f t="shared" si="72"/>
        <v>25</v>
      </c>
      <c r="AI263" s="91">
        <f t="shared" si="73"/>
        <v>0.25</v>
      </c>
      <c r="AJ263" s="32"/>
      <c r="AK263" s="32">
        <v>0</v>
      </c>
      <c r="AL263" s="32">
        <v>0</v>
      </c>
      <c r="AM263" s="32">
        <v>0</v>
      </c>
      <c r="AN263" s="32">
        <v>0</v>
      </c>
      <c r="AO263" s="247">
        <f t="shared" si="64"/>
        <v>0</v>
      </c>
      <c r="AP263" s="247">
        <f t="shared" si="74"/>
        <v>25</v>
      </c>
      <c r="AQ263" s="90">
        <f t="shared" si="75"/>
        <v>0.5</v>
      </c>
      <c r="AR263" s="32">
        <v>0</v>
      </c>
      <c r="AS263" s="32">
        <v>0</v>
      </c>
      <c r="AT263" s="32">
        <v>0</v>
      </c>
      <c r="AU263" s="272" t="str">
        <f t="shared" si="76"/>
        <v>A</v>
      </c>
      <c r="AV263" s="247">
        <f t="shared" si="77"/>
        <v>100</v>
      </c>
      <c r="AW263" s="90">
        <f t="shared" si="78"/>
        <v>3</v>
      </c>
      <c r="AX263" s="163">
        <f t="shared" si="79"/>
        <v>5.0833333333333339</v>
      </c>
    </row>
    <row r="264" spans="1:50" x14ac:dyDescent="0.6">
      <c r="A264" s="214" t="s">
        <v>740</v>
      </c>
      <c r="B264" s="13" t="s">
        <v>2244</v>
      </c>
      <c r="C264" s="219" t="s">
        <v>455</v>
      </c>
      <c r="D264" s="216" t="s">
        <v>191</v>
      </c>
      <c r="E264" s="217" t="s">
        <v>554</v>
      </c>
      <c r="F264" s="217" t="s">
        <v>1010</v>
      </c>
      <c r="G264" s="218">
        <v>35423</v>
      </c>
      <c r="H264" s="217" t="s">
        <v>830</v>
      </c>
      <c r="I264" s="217" t="s">
        <v>399</v>
      </c>
      <c r="J264" s="217" t="s">
        <v>1126</v>
      </c>
      <c r="K264" s="217" t="s">
        <v>91</v>
      </c>
      <c r="L264" s="220">
        <v>557374543</v>
      </c>
      <c r="M264" s="206">
        <v>67942165</v>
      </c>
      <c r="N264" s="206">
        <v>489432378</v>
      </c>
      <c r="O264" s="206">
        <v>373267542</v>
      </c>
      <c r="P264" s="206">
        <v>36440646</v>
      </c>
      <c r="Q264" s="206">
        <v>14928841</v>
      </c>
      <c r="R264" s="206">
        <v>9950190</v>
      </c>
      <c r="S264" s="32">
        <v>0</v>
      </c>
      <c r="T264" s="32">
        <v>0</v>
      </c>
      <c r="U264" s="32">
        <v>0</v>
      </c>
      <c r="V264" s="266">
        <f t="shared" si="65"/>
        <v>50</v>
      </c>
      <c r="W264" s="90">
        <f t="shared" si="66"/>
        <v>0.5</v>
      </c>
      <c r="X264" s="32">
        <v>0</v>
      </c>
      <c r="Y264" s="32">
        <v>0</v>
      </c>
      <c r="Z264" s="267">
        <f t="shared" si="67"/>
        <v>0</v>
      </c>
      <c r="AA264" s="268">
        <f t="shared" si="68"/>
        <v>33.333333333333336</v>
      </c>
      <c r="AB264" s="90">
        <f t="shared" si="69"/>
        <v>0.33333333333333337</v>
      </c>
      <c r="AC264" s="32">
        <v>0</v>
      </c>
      <c r="AD264" s="32">
        <v>0</v>
      </c>
      <c r="AE264" s="252">
        <f t="shared" si="70"/>
        <v>25</v>
      </c>
      <c r="AF264" s="90">
        <f t="shared" si="71"/>
        <v>0.5</v>
      </c>
      <c r="AG264" s="32">
        <v>0</v>
      </c>
      <c r="AH264" s="247">
        <f t="shared" si="72"/>
        <v>25</v>
      </c>
      <c r="AI264" s="91">
        <f t="shared" si="73"/>
        <v>0.25</v>
      </c>
      <c r="AJ264" s="32"/>
      <c r="AK264" s="32">
        <v>0</v>
      </c>
      <c r="AL264" s="32">
        <v>0</v>
      </c>
      <c r="AM264" s="32">
        <v>0</v>
      </c>
      <c r="AN264" s="32">
        <v>0</v>
      </c>
      <c r="AO264" s="247">
        <f t="shared" si="64"/>
        <v>0</v>
      </c>
      <c r="AP264" s="247">
        <f t="shared" si="74"/>
        <v>25</v>
      </c>
      <c r="AQ264" s="90">
        <f t="shared" si="75"/>
        <v>0.5</v>
      </c>
      <c r="AR264" s="32">
        <v>0</v>
      </c>
      <c r="AS264" s="32">
        <v>0</v>
      </c>
      <c r="AT264" s="32">
        <v>0</v>
      </c>
      <c r="AU264" s="272" t="str">
        <f t="shared" si="76"/>
        <v>A</v>
      </c>
      <c r="AV264" s="247">
        <f t="shared" si="77"/>
        <v>100</v>
      </c>
      <c r="AW264" s="90">
        <f t="shared" si="78"/>
        <v>3</v>
      </c>
      <c r="AX264" s="163">
        <f t="shared" si="79"/>
        <v>5.0833333333333339</v>
      </c>
    </row>
    <row r="265" spans="1:50" x14ac:dyDescent="0.6">
      <c r="A265" s="214" t="s">
        <v>16</v>
      </c>
      <c r="B265" s="13" t="s">
        <v>2245</v>
      </c>
      <c r="C265" s="219" t="s">
        <v>334</v>
      </c>
      <c r="D265" s="216" t="s">
        <v>203</v>
      </c>
      <c r="E265" s="217" t="s">
        <v>195</v>
      </c>
      <c r="F265" s="217" t="s">
        <v>562</v>
      </c>
      <c r="G265" s="218">
        <v>37484</v>
      </c>
      <c r="H265" s="217" t="s">
        <v>830</v>
      </c>
      <c r="I265" s="217" t="s">
        <v>827</v>
      </c>
      <c r="J265" s="217" t="s">
        <v>1102</v>
      </c>
      <c r="K265" s="217" t="s">
        <v>31</v>
      </c>
      <c r="L265" s="220">
        <v>531890343</v>
      </c>
      <c r="M265" s="206">
        <v>201052570</v>
      </c>
      <c r="N265" s="206">
        <v>330837773</v>
      </c>
      <c r="O265" s="206">
        <v>1181624867</v>
      </c>
      <c r="P265" s="206">
        <v>33106219</v>
      </c>
      <c r="Q265" s="206">
        <v>25624309</v>
      </c>
      <c r="R265" s="206">
        <v>17479918</v>
      </c>
      <c r="S265" s="32">
        <v>1</v>
      </c>
      <c r="T265" s="32">
        <v>0</v>
      </c>
      <c r="U265" s="32">
        <v>0</v>
      </c>
      <c r="V265" s="266">
        <f t="shared" si="65"/>
        <v>100</v>
      </c>
      <c r="W265" s="90">
        <f t="shared" si="66"/>
        <v>1</v>
      </c>
      <c r="X265" s="32">
        <v>0</v>
      </c>
      <c r="Y265" s="32">
        <v>0</v>
      </c>
      <c r="Z265" s="267">
        <f t="shared" si="67"/>
        <v>0</v>
      </c>
      <c r="AA265" s="268">
        <f t="shared" si="68"/>
        <v>33.333333333333336</v>
      </c>
      <c r="AB265" s="90">
        <f t="shared" si="69"/>
        <v>0.33333333333333337</v>
      </c>
      <c r="AC265" s="32">
        <v>0</v>
      </c>
      <c r="AD265" s="32">
        <v>0</v>
      </c>
      <c r="AE265" s="252">
        <f t="shared" si="70"/>
        <v>25</v>
      </c>
      <c r="AF265" s="90">
        <f t="shared" si="71"/>
        <v>0.5</v>
      </c>
      <c r="AG265" s="32">
        <v>0</v>
      </c>
      <c r="AH265" s="247">
        <f t="shared" si="72"/>
        <v>25</v>
      </c>
      <c r="AI265" s="91">
        <f t="shared" si="73"/>
        <v>0.25</v>
      </c>
      <c r="AJ265" s="32"/>
      <c r="AK265" s="32">
        <v>0</v>
      </c>
      <c r="AL265" s="32">
        <v>0</v>
      </c>
      <c r="AM265" s="32">
        <v>0</v>
      </c>
      <c r="AN265" s="32">
        <v>0</v>
      </c>
      <c r="AO265" s="247">
        <f t="shared" si="64"/>
        <v>0</v>
      </c>
      <c r="AP265" s="247">
        <f t="shared" si="74"/>
        <v>25</v>
      </c>
      <c r="AQ265" s="90">
        <f t="shared" si="75"/>
        <v>0.5</v>
      </c>
      <c r="AR265" s="32">
        <v>0</v>
      </c>
      <c r="AS265" s="32">
        <v>0</v>
      </c>
      <c r="AT265" s="32">
        <v>0</v>
      </c>
      <c r="AU265" s="272" t="str">
        <f t="shared" si="76"/>
        <v>A</v>
      </c>
      <c r="AV265" s="247">
        <f t="shared" si="77"/>
        <v>100</v>
      </c>
      <c r="AW265" s="90">
        <f t="shared" si="78"/>
        <v>3</v>
      </c>
      <c r="AX265" s="163">
        <f t="shared" si="79"/>
        <v>5.5833333333333339</v>
      </c>
    </row>
    <row r="266" spans="1:50" x14ac:dyDescent="0.6">
      <c r="A266" s="214" t="s">
        <v>1894</v>
      </c>
      <c r="B266" s="13" t="s">
        <v>2246</v>
      </c>
      <c r="C266" s="219" t="s">
        <v>63</v>
      </c>
      <c r="D266" s="216" t="s">
        <v>203</v>
      </c>
      <c r="E266" s="217" t="s">
        <v>617</v>
      </c>
      <c r="F266" s="217" t="s">
        <v>983</v>
      </c>
      <c r="G266" s="218">
        <v>43614</v>
      </c>
      <c r="H266" s="217" t="s">
        <v>830</v>
      </c>
      <c r="I266" s="217" t="s">
        <v>1895</v>
      </c>
      <c r="J266" s="217" t="s">
        <v>1896</v>
      </c>
      <c r="K266" s="217" t="s">
        <v>31</v>
      </c>
      <c r="L266" s="220">
        <v>4276625735</v>
      </c>
      <c r="M266" s="206">
        <v>1849501419</v>
      </c>
      <c r="N266" s="206">
        <v>2427124316</v>
      </c>
      <c r="O266" s="206">
        <v>3041287029</v>
      </c>
      <c r="P266" s="206">
        <v>153190221</v>
      </c>
      <c r="Q266" s="206">
        <v>125561645</v>
      </c>
      <c r="R266" s="206">
        <v>114853461</v>
      </c>
      <c r="S266" s="32">
        <v>0</v>
      </c>
      <c r="T266" s="32">
        <v>0</v>
      </c>
      <c r="U266" s="32">
        <v>0</v>
      </c>
      <c r="V266" s="266">
        <f t="shared" si="65"/>
        <v>50</v>
      </c>
      <c r="W266" s="90">
        <f t="shared" si="66"/>
        <v>0.5</v>
      </c>
      <c r="X266" s="32">
        <v>0</v>
      </c>
      <c r="Y266" s="32">
        <v>0</v>
      </c>
      <c r="Z266" s="267">
        <f t="shared" si="67"/>
        <v>0</v>
      </c>
      <c r="AA266" s="268">
        <f t="shared" si="68"/>
        <v>33.333333333333336</v>
      </c>
      <c r="AB266" s="90">
        <f t="shared" si="69"/>
        <v>0.33333333333333337</v>
      </c>
      <c r="AC266" s="32">
        <v>0</v>
      </c>
      <c r="AD266" s="32">
        <v>1</v>
      </c>
      <c r="AE266" s="252">
        <f t="shared" si="70"/>
        <v>75</v>
      </c>
      <c r="AF266" s="90">
        <f t="shared" si="71"/>
        <v>1.5</v>
      </c>
      <c r="AG266" s="32">
        <v>0</v>
      </c>
      <c r="AH266" s="247">
        <f t="shared" si="72"/>
        <v>25</v>
      </c>
      <c r="AI266" s="91">
        <f t="shared" si="73"/>
        <v>0.25</v>
      </c>
      <c r="AJ266" s="32"/>
      <c r="AK266" s="32">
        <v>0</v>
      </c>
      <c r="AL266" s="32">
        <v>0</v>
      </c>
      <c r="AM266" s="32">
        <v>0</v>
      </c>
      <c r="AN266" s="32">
        <v>0</v>
      </c>
      <c r="AO266" s="247">
        <f t="shared" si="64"/>
        <v>0</v>
      </c>
      <c r="AP266" s="247">
        <f t="shared" si="74"/>
        <v>25</v>
      </c>
      <c r="AQ266" s="90">
        <f t="shared" si="75"/>
        <v>0.5</v>
      </c>
      <c r="AR266" s="32">
        <v>0</v>
      </c>
      <c r="AS266" s="32">
        <v>0</v>
      </c>
      <c r="AT266" s="32">
        <v>0</v>
      </c>
      <c r="AU266" s="272" t="str">
        <f t="shared" si="76"/>
        <v>A</v>
      </c>
      <c r="AV266" s="247">
        <f t="shared" si="77"/>
        <v>100</v>
      </c>
      <c r="AW266" s="90">
        <f t="shared" si="78"/>
        <v>3</v>
      </c>
      <c r="AX266" s="163">
        <f t="shared" si="79"/>
        <v>6.0833333333333339</v>
      </c>
    </row>
    <row r="267" spans="1:50" x14ac:dyDescent="0.6">
      <c r="A267" s="214" t="s">
        <v>770</v>
      </c>
      <c r="B267" s="13" t="s">
        <v>2247</v>
      </c>
      <c r="C267" s="219" t="s">
        <v>54</v>
      </c>
      <c r="D267" s="216" t="s">
        <v>191</v>
      </c>
      <c r="E267" s="217" t="s">
        <v>178</v>
      </c>
      <c r="F267" s="217" t="s">
        <v>138</v>
      </c>
      <c r="G267" s="218">
        <v>34977</v>
      </c>
      <c r="H267" s="217" t="s">
        <v>830</v>
      </c>
      <c r="I267" s="217" t="s">
        <v>823</v>
      </c>
      <c r="J267" s="217" t="s">
        <v>1204</v>
      </c>
      <c r="K267" s="217" t="s">
        <v>317</v>
      </c>
      <c r="L267" s="220">
        <v>661278860</v>
      </c>
      <c r="M267" s="206">
        <v>160390048</v>
      </c>
      <c r="N267" s="206">
        <v>500888812</v>
      </c>
      <c r="O267" s="206">
        <v>123375352</v>
      </c>
      <c r="P267" s="206">
        <v>27450398</v>
      </c>
      <c r="Q267" s="206">
        <v>12038623</v>
      </c>
      <c r="R267" s="206">
        <v>8192124</v>
      </c>
      <c r="S267" s="32">
        <v>0</v>
      </c>
      <c r="T267" s="32">
        <v>0</v>
      </c>
      <c r="U267" s="32">
        <v>0</v>
      </c>
      <c r="V267" s="266">
        <f t="shared" si="65"/>
        <v>50</v>
      </c>
      <c r="W267" s="90">
        <f t="shared" si="66"/>
        <v>0.5</v>
      </c>
      <c r="X267" s="32">
        <v>0</v>
      </c>
      <c r="Y267" s="32">
        <v>0</v>
      </c>
      <c r="Z267" s="267">
        <f t="shared" si="67"/>
        <v>0</v>
      </c>
      <c r="AA267" s="268">
        <f t="shared" si="68"/>
        <v>33.333333333333336</v>
      </c>
      <c r="AB267" s="90">
        <f t="shared" si="69"/>
        <v>0.33333333333333337</v>
      </c>
      <c r="AC267" s="32">
        <v>0</v>
      </c>
      <c r="AD267" s="32">
        <v>1</v>
      </c>
      <c r="AE267" s="252">
        <f t="shared" si="70"/>
        <v>75</v>
      </c>
      <c r="AF267" s="90">
        <f t="shared" si="71"/>
        <v>1.5</v>
      </c>
      <c r="AG267" s="32">
        <v>0</v>
      </c>
      <c r="AH267" s="247">
        <f t="shared" si="72"/>
        <v>25</v>
      </c>
      <c r="AI267" s="91">
        <f t="shared" si="73"/>
        <v>0.25</v>
      </c>
      <c r="AJ267" s="32"/>
      <c r="AK267" s="32">
        <v>1</v>
      </c>
      <c r="AL267" s="32">
        <v>0</v>
      </c>
      <c r="AM267" s="32">
        <v>0</v>
      </c>
      <c r="AN267" s="32">
        <v>0</v>
      </c>
      <c r="AO267" s="247">
        <f t="shared" si="64"/>
        <v>1</v>
      </c>
      <c r="AP267" s="247">
        <f t="shared" si="74"/>
        <v>50</v>
      </c>
      <c r="AQ267" s="90">
        <f t="shared" si="75"/>
        <v>1</v>
      </c>
      <c r="AR267" s="32">
        <v>0</v>
      </c>
      <c r="AS267" s="32">
        <v>0</v>
      </c>
      <c r="AT267" s="32">
        <v>0</v>
      </c>
      <c r="AU267" s="272" t="str">
        <f t="shared" si="76"/>
        <v>A</v>
      </c>
      <c r="AV267" s="247">
        <f t="shared" si="77"/>
        <v>100</v>
      </c>
      <c r="AW267" s="90">
        <f t="shared" si="78"/>
        <v>3</v>
      </c>
      <c r="AX267" s="163">
        <f t="shared" si="79"/>
        <v>6.5833333333333339</v>
      </c>
    </row>
    <row r="268" spans="1:50" x14ac:dyDescent="0.6">
      <c r="A268" s="214" t="s">
        <v>805</v>
      </c>
      <c r="B268" s="13" t="s">
        <v>2248</v>
      </c>
      <c r="C268" s="219" t="s">
        <v>315</v>
      </c>
      <c r="D268" s="216" t="s">
        <v>203</v>
      </c>
      <c r="E268" s="217" t="s">
        <v>200</v>
      </c>
      <c r="F268" s="217">
        <v>0</v>
      </c>
      <c r="G268" s="218">
        <v>39659</v>
      </c>
      <c r="H268" s="217" t="s">
        <v>830</v>
      </c>
      <c r="I268" s="217" t="s">
        <v>337</v>
      </c>
      <c r="J268" s="217" t="s">
        <v>1217</v>
      </c>
      <c r="K268" s="217" t="s">
        <v>690</v>
      </c>
      <c r="L268" s="220">
        <v>3060678472</v>
      </c>
      <c r="M268" s="206">
        <v>1220679297</v>
      </c>
      <c r="N268" s="206">
        <v>1839999175</v>
      </c>
      <c r="O268" s="206">
        <v>3257164379</v>
      </c>
      <c r="P268" s="206">
        <v>203168169</v>
      </c>
      <c r="Q268" s="206">
        <v>220419231</v>
      </c>
      <c r="R268" s="206">
        <v>175385732</v>
      </c>
      <c r="S268" s="32">
        <v>0</v>
      </c>
      <c r="T268" s="32">
        <v>0</v>
      </c>
      <c r="U268" s="32">
        <v>0</v>
      </c>
      <c r="V268" s="266">
        <f t="shared" si="65"/>
        <v>50</v>
      </c>
      <c r="W268" s="90">
        <f t="shared" si="66"/>
        <v>0.5</v>
      </c>
      <c r="X268" s="32">
        <v>0</v>
      </c>
      <c r="Y268" s="32">
        <v>0</v>
      </c>
      <c r="Z268" s="267">
        <f t="shared" si="67"/>
        <v>0</v>
      </c>
      <c r="AA268" s="268">
        <f t="shared" si="68"/>
        <v>33.333333333333336</v>
      </c>
      <c r="AB268" s="90">
        <f t="shared" si="69"/>
        <v>0.33333333333333337</v>
      </c>
      <c r="AC268" s="32">
        <v>0</v>
      </c>
      <c r="AD268" s="32">
        <v>1</v>
      </c>
      <c r="AE268" s="252">
        <f t="shared" si="70"/>
        <v>75</v>
      </c>
      <c r="AF268" s="90">
        <f t="shared" si="71"/>
        <v>1.5</v>
      </c>
      <c r="AG268" s="32">
        <v>3</v>
      </c>
      <c r="AH268" s="247">
        <f t="shared" si="72"/>
        <v>100</v>
      </c>
      <c r="AI268" s="91">
        <f t="shared" si="73"/>
        <v>1</v>
      </c>
      <c r="AJ268" s="32"/>
      <c r="AK268" s="32">
        <v>1</v>
      </c>
      <c r="AL268" s="32">
        <v>0</v>
      </c>
      <c r="AM268" s="32">
        <v>0</v>
      </c>
      <c r="AN268" s="32">
        <v>0</v>
      </c>
      <c r="AO268" s="247">
        <f t="shared" si="64"/>
        <v>1</v>
      </c>
      <c r="AP268" s="247">
        <f t="shared" si="74"/>
        <v>50</v>
      </c>
      <c r="AQ268" s="90">
        <f t="shared" si="75"/>
        <v>1</v>
      </c>
      <c r="AR268" s="32">
        <v>0</v>
      </c>
      <c r="AS268" s="32">
        <v>0</v>
      </c>
      <c r="AT268" s="32">
        <v>0</v>
      </c>
      <c r="AU268" s="272" t="str">
        <f t="shared" si="76"/>
        <v>A</v>
      </c>
      <c r="AV268" s="247">
        <f t="shared" si="77"/>
        <v>100</v>
      </c>
      <c r="AW268" s="90">
        <f t="shared" si="78"/>
        <v>3</v>
      </c>
      <c r="AX268" s="163">
        <f t="shared" si="79"/>
        <v>7.3333333333333339</v>
      </c>
    </row>
    <row r="269" spans="1:50" x14ac:dyDescent="0.6">
      <c r="A269" s="214" t="s">
        <v>30</v>
      </c>
      <c r="B269" s="13" t="s">
        <v>2249</v>
      </c>
      <c r="C269" s="219" t="s">
        <v>861</v>
      </c>
      <c r="D269" s="216" t="s">
        <v>191</v>
      </c>
      <c r="E269" s="217" t="s">
        <v>34</v>
      </c>
      <c r="F269" s="217" t="s">
        <v>433</v>
      </c>
      <c r="G269" s="218">
        <v>43375</v>
      </c>
      <c r="H269" s="217" t="s">
        <v>830</v>
      </c>
      <c r="I269" s="217" t="s">
        <v>1897</v>
      </c>
      <c r="J269" s="217" t="s">
        <v>1142</v>
      </c>
      <c r="K269" s="217" t="s">
        <v>690</v>
      </c>
      <c r="L269" s="220">
        <v>345964556</v>
      </c>
      <c r="M269" s="206">
        <v>77567636</v>
      </c>
      <c r="N269" s="206">
        <v>268396921</v>
      </c>
      <c r="O269" s="206">
        <v>210844992</v>
      </c>
      <c r="P269" s="206">
        <v>31170755</v>
      </c>
      <c r="Q269" s="206">
        <v>30718351</v>
      </c>
      <c r="R269" s="206">
        <v>24307179</v>
      </c>
      <c r="S269" s="32">
        <v>0</v>
      </c>
      <c r="T269" s="32">
        <v>0</v>
      </c>
      <c r="U269" s="32">
        <v>0</v>
      </c>
      <c r="V269" s="266">
        <f t="shared" si="65"/>
        <v>50</v>
      </c>
      <c r="W269" s="90">
        <f t="shared" si="66"/>
        <v>0.5</v>
      </c>
      <c r="X269" s="32">
        <v>0</v>
      </c>
      <c r="Y269" s="32">
        <v>0</v>
      </c>
      <c r="Z269" s="267">
        <f t="shared" si="67"/>
        <v>0</v>
      </c>
      <c r="AA269" s="268">
        <f t="shared" si="68"/>
        <v>33.333333333333336</v>
      </c>
      <c r="AB269" s="90">
        <f t="shared" si="69"/>
        <v>0.33333333333333337</v>
      </c>
      <c r="AC269" s="32">
        <v>0</v>
      </c>
      <c r="AD269" s="32">
        <v>0</v>
      </c>
      <c r="AE269" s="252">
        <f t="shared" si="70"/>
        <v>25</v>
      </c>
      <c r="AF269" s="90">
        <f t="shared" si="71"/>
        <v>0.5</v>
      </c>
      <c r="AG269" s="32">
        <v>0</v>
      </c>
      <c r="AH269" s="247">
        <f t="shared" si="72"/>
        <v>25</v>
      </c>
      <c r="AI269" s="91">
        <f t="shared" si="73"/>
        <v>0.25</v>
      </c>
      <c r="AJ269" s="32"/>
      <c r="AK269" s="32">
        <v>1</v>
      </c>
      <c r="AL269" s="32">
        <v>0</v>
      </c>
      <c r="AM269" s="32">
        <v>0</v>
      </c>
      <c r="AN269" s="32">
        <v>0</v>
      </c>
      <c r="AO269" s="247">
        <f t="shared" si="64"/>
        <v>1</v>
      </c>
      <c r="AP269" s="247">
        <f t="shared" si="74"/>
        <v>50</v>
      </c>
      <c r="AQ269" s="90">
        <f t="shared" si="75"/>
        <v>1</v>
      </c>
      <c r="AR269" s="32">
        <v>0</v>
      </c>
      <c r="AS269" s="32">
        <v>0</v>
      </c>
      <c r="AT269" s="32">
        <v>0</v>
      </c>
      <c r="AU269" s="272" t="str">
        <f t="shared" si="76"/>
        <v>A</v>
      </c>
      <c r="AV269" s="247">
        <f t="shared" si="77"/>
        <v>100</v>
      </c>
      <c r="AW269" s="90">
        <f t="shared" si="78"/>
        <v>3</v>
      </c>
      <c r="AX269" s="163">
        <f t="shared" si="79"/>
        <v>5.5833333333333339</v>
      </c>
    </row>
    <row r="270" spans="1:50" x14ac:dyDescent="0.6">
      <c r="A270" s="214" t="s">
        <v>1898</v>
      </c>
      <c r="B270" s="13" t="s">
        <v>2250</v>
      </c>
      <c r="C270" s="219" t="s">
        <v>1899</v>
      </c>
      <c r="D270" s="14" t="s">
        <v>191</v>
      </c>
      <c r="E270" s="217" t="s">
        <v>1900</v>
      </c>
      <c r="F270" s="217" t="s">
        <v>1901</v>
      </c>
      <c r="G270" s="218">
        <v>40105</v>
      </c>
      <c r="H270" s="217" t="s">
        <v>830</v>
      </c>
      <c r="I270" s="217" t="s">
        <v>1902</v>
      </c>
      <c r="J270" s="217" t="s">
        <v>1903</v>
      </c>
      <c r="K270" s="217" t="s">
        <v>91</v>
      </c>
      <c r="L270" s="220">
        <v>3107792300</v>
      </c>
      <c r="M270" s="206">
        <v>1945483554</v>
      </c>
      <c r="N270" s="206">
        <v>1162308746</v>
      </c>
      <c r="O270" s="206">
        <v>2222161984</v>
      </c>
      <c r="P270" s="206">
        <v>165474689</v>
      </c>
      <c r="Q270" s="206">
        <v>92802035</v>
      </c>
      <c r="R270" s="206">
        <v>66847561</v>
      </c>
      <c r="S270" s="32">
        <v>0</v>
      </c>
      <c r="T270" s="32">
        <v>0</v>
      </c>
      <c r="U270" s="32">
        <v>0</v>
      </c>
      <c r="V270" s="266">
        <f t="shared" si="65"/>
        <v>50</v>
      </c>
      <c r="W270" s="90">
        <f t="shared" si="66"/>
        <v>0.5</v>
      </c>
      <c r="X270" s="32">
        <v>0</v>
      </c>
      <c r="Y270" s="32">
        <v>0</v>
      </c>
      <c r="Z270" s="267">
        <f t="shared" si="67"/>
        <v>0</v>
      </c>
      <c r="AA270" s="268">
        <f t="shared" si="68"/>
        <v>33.333333333333336</v>
      </c>
      <c r="AB270" s="90">
        <f t="shared" si="69"/>
        <v>0.33333333333333337</v>
      </c>
      <c r="AC270" s="32">
        <v>0</v>
      </c>
      <c r="AD270" s="32">
        <v>1</v>
      </c>
      <c r="AE270" s="252">
        <f t="shared" si="70"/>
        <v>75</v>
      </c>
      <c r="AF270" s="90">
        <f t="shared" si="71"/>
        <v>1.5</v>
      </c>
      <c r="AG270" s="32">
        <v>2</v>
      </c>
      <c r="AH270" s="247">
        <f t="shared" si="72"/>
        <v>75</v>
      </c>
      <c r="AI270" s="91">
        <f t="shared" si="73"/>
        <v>0.75</v>
      </c>
      <c r="AJ270" s="32"/>
      <c r="AK270" s="32">
        <v>1</v>
      </c>
      <c r="AL270" s="32">
        <v>0</v>
      </c>
      <c r="AM270" s="32">
        <v>0</v>
      </c>
      <c r="AN270" s="32">
        <v>0</v>
      </c>
      <c r="AO270" s="247">
        <f t="shared" si="64"/>
        <v>1</v>
      </c>
      <c r="AP270" s="247">
        <f t="shared" si="74"/>
        <v>50</v>
      </c>
      <c r="AQ270" s="90">
        <f t="shared" si="75"/>
        <v>1</v>
      </c>
      <c r="AR270" s="32">
        <v>0</v>
      </c>
      <c r="AS270" s="32">
        <v>0</v>
      </c>
      <c r="AT270" s="32">
        <v>0</v>
      </c>
      <c r="AU270" s="272" t="str">
        <f t="shared" si="76"/>
        <v>A</v>
      </c>
      <c r="AV270" s="247">
        <f t="shared" si="77"/>
        <v>100</v>
      </c>
      <c r="AW270" s="90">
        <f t="shared" si="78"/>
        <v>3</v>
      </c>
      <c r="AX270" s="163">
        <f t="shared" si="79"/>
        <v>7.0833333333333339</v>
      </c>
    </row>
    <row r="271" spans="1:50" x14ac:dyDescent="0.6">
      <c r="A271" s="214" t="s">
        <v>1904</v>
      </c>
      <c r="B271" s="13" t="s">
        <v>2251</v>
      </c>
      <c r="C271" s="219" t="s">
        <v>1905</v>
      </c>
      <c r="D271" s="14" t="s">
        <v>203</v>
      </c>
      <c r="E271" s="217" t="s">
        <v>998</v>
      </c>
      <c r="F271" s="217" t="s">
        <v>1906</v>
      </c>
      <c r="G271" s="218">
        <v>36815</v>
      </c>
      <c r="H271" s="217" t="s">
        <v>830</v>
      </c>
      <c r="I271" s="217" t="s">
        <v>1907</v>
      </c>
      <c r="J271" s="13" t="s">
        <v>2252</v>
      </c>
      <c r="K271" s="217" t="s">
        <v>425</v>
      </c>
      <c r="L271" s="220">
        <v>291713102</v>
      </c>
      <c r="M271" s="206">
        <v>71415596</v>
      </c>
      <c r="N271" s="206">
        <v>220297507</v>
      </c>
      <c r="O271" s="206">
        <v>256067814</v>
      </c>
      <c r="P271" s="206">
        <v>8760193</v>
      </c>
      <c r="Q271" s="206">
        <v>3858993</v>
      </c>
      <c r="R271" s="206">
        <v>3132350</v>
      </c>
      <c r="S271" s="32">
        <v>0</v>
      </c>
      <c r="T271" s="32">
        <v>0</v>
      </c>
      <c r="U271" s="32">
        <v>1</v>
      </c>
      <c r="V271" s="266">
        <f t="shared" si="65"/>
        <v>100</v>
      </c>
      <c r="W271" s="90">
        <f t="shared" si="66"/>
        <v>1</v>
      </c>
      <c r="X271" s="32">
        <v>1</v>
      </c>
      <c r="Y271" s="32">
        <v>0</v>
      </c>
      <c r="Z271" s="267">
        <f t="shared" si="67"/>
        <v>1</v>
      </c>
      <c r="AA271" s="268">
        <f t="shared" si="68"/>
        <v>66.666666666666671</v>
      </c>
      <c r="AB271" s="90">
        <f t="shared" si="69"/>
        <v>0.66666666666666674</v>
      </c>
      <c r="AC271" s="32">
        <v>0</v>
      </c>
      <c r="AD271" s="32">
        <v>1</v>
      </c>
      <c r="AE271" s="252">
        <f t="shared" si="70"/>
        <v>75</v>
      </c>
      <c r="AF271" s="90">
        <f t="shared" si="71"/>
        <v>1.5</v>
      </c>
      <c r="AG271" s="32">
        <v>0</v>
      </c>
      <c r="AH271" s="247">
        <f t="shared" si="72"/>
        <v>25</v>
      </c>
      <c r="AI271" s="91">
        <f t="shared" si="73"/>
        <v>0.25</v>
      </c>
      <c r="AJ271" s="32"/>
      <c r="AK271" s="32">
        <v>1</v>
      </c>
      <c r="AL271" s="32">
        <v>0</v>
      </c>
      <c r="AM271" s="32">
        <v>0</v>
      </c>
      <c r="AN271" s="32">
        <v>0</v>
      </c>
      <c r="AO271" s="247">
        <f t="shared" si="64"/>
        <v>1</v>
      </c>
      <c r="AP271" s="247">
        <f t="shared" si="74"/>
        <v>50</v>
      </c>
      <c r="AQ271" s="90">
        <f t="shared" si="75"/>
        <v>1</v>
      </c>
      <c r="AR271" s="32">
        <v>0</v>
      </c>
      <c r="AS271" s="32">
        <v>1</v>
      </c>
      <c r="AT271" s="32">
        <v>1</v>
      </c>
      <c r="AU271" s="272" t="str">
        <f t="shared" si="76"/>
        <v>D</v>
      </c>
      <c r="AV271" s="247">
        <f t="shared" si="77"/>
        <v>25</v>
      </c>
      <c r="AW271" s="90">
        <f t="shared" si="78"/>
        <v>0.75</v>
      </c>
      <c r="AX271" s="163">
        <f t="shared" si="79"/>
        <v>5.166666666666667</v>
      </c>
    </row>
    <row r="272" spans="1:50" x14ac:dyDescent="0.6">
      <c r="A272" s="214" t="s">
        <v>483</v>
      </c>
      <c r="B272" s="13" t="s">
        <v>2253</v>
      </c>
      <c r="C272" s="219" t="s">
        <v>897</v>
      </c>
      <c r="D272" s="216" t="s">
        <v>202</v>
      </c>
      <c r="E272" s="217" t="s">
        <v>382</v>
      </c>
      <c r="F272" s="217" t="s">
        <v>163</v>
      </c>
      <c r="G272" s="218">
        <v>35354</v>
      </c>
      <c r="H272" s="217" t="s">
        <v>830</v>
      </c>
      <c r="I272" s="217" t="s">
        <v>528</v>
      </c>
      <c r="J272" s="217" t="s">
        <v>1018</v>
      </c>
      <c r="K272" s="217" t="s">
        <v>346</v>
      </c>
      <c r="L272" s="220">
        <v>1115216321</v>
      </c>
      <c r="M272" s="206">
        <v>343407952</v>
      </c>
      <c r="N272" s="206">
        <v>771808369</v>
      </c>
      <c r="O272" s="206">
        <v>1105239370</v>
      </c>
      <c r="P272" s="206">
        <v>45133384</v>
      </c>
      <c r="Q272" s="206">
        <v>54914570</v>
      </c>
      <c r="R272" s="206">
        <v>41039812</v>
      </c>
      <c r="S272" s="32">
        <v>0</v>
      </c>
      <c r="T272" s="32">
        <v>0</v>
      </c>
      <c r="U272" s="32">
        <v>0</v>
      </c>
      <c r="V272" s="266">
        <f t="shared" si="65"/>
        <v>50</v>
      </c>
      <c r="W272" s="90">
        <f t="shared" si="66"/>
        <v>0.5</v>
      </c>
      <c r="X272" s="32">
        <v>0</v>
      </c>
      <c r="Y272" s="32">
        <v>0</v>
      </c>
      <c r="Z272" s="267">
        <f t="shared" si="67"/>
        <v>0</v>
      </c>
      <c r="AA272" s="268">
        <f t="shared" si="68"/>
        <v>33.333333333333336</v>
      </c>
      <c r="AB272" s="90">
        <f t="shared" si="69"/>
        <v>0.33333333333333337</v>
      </c>
      <c r="AC272" s="32">
        <v>0</v>
      </c>
      <c r="AD272" s="32">
        <v>1</v>
      </c>
      <c r="AE272" s="252">
        <f t="shared" si="70"/>
        <v>75</v>
      </c>
      <c r="AF272" s="90">
        <f t="shared" si="71"/>
        <v>1.5</v>
      </c>
      <c r="AG272" s="32">
        <v>0</v>
      </c>
      <c r="AH272" s="247">
        <f t="shared" si="72"/>
        <v>25</v>
      </c>
      <c r="AI272" s="91">
        <f t="shared" si="73"/>
        <v>0.25</v>
      </c>
      <c r="AJ272" s="32"/>
      <c r="AK272" s="32">
        <v>0</v>
      </c>
      <c r="AL272" s="32">
        <v>0</v>
      </c>
      <c r="AM272" s="32">
        <v>0</v>
      </c>
      <c r="AN272" s="32">
        <v>0</v>
      </c>
      <c r="AO272" s="247">
        <f t="shared" si="64"/>
        <v>0</v>
      </c>
      <c r="AP272" s="247">
        <f t="shared" si="74"/>
        <v>25</v>
      </c>
      <c r="AQ272" s="90">
        <f t="shared" si="75"/>
        <v>0.5</v>
      </c>
      <c r="AR272" s="32">
        <v>0</v>
      </c>
      <c r="AS272" s="32">
        <v>0</v>
      </c>
      <c r="AT272" s="32">
        <v>0</v>
      </c>
      <c r="AU272" s="272" t="str">
        <f t="shared" si="76"/>
        <v>A</v>
      </c>
      <c r="AV272" s="247">
        <f t="shared" si="77"/>
        <v>100</v>
      </c>
      <c r="AW272" s="90">
        <f t="shared" si="78"/>
        <v>3</v>
      </c>
      <c r="AX272" s="163">
        <f t="shared" si="79"/>
        <v>6.0833333333333339</v>
      </c>
    </row>
    <row r="273" spans="1:50" x14ac:dyDescent="0.6">
      <c r="A273" s="214" t="s">
        <v>1908</v>
      </c>
      <c r="B273" s="13" t="s">
        <v>2254</v>
      </c>
      <c r="C273" s="219" t="s">
        <v>542</v>
      </c>
      <c r="D273" s="216" t="s">
        <v>202</v>
      </c>
      <c r="E273" s="217" t="s">
        <v>954</v>
      </c>
      <c r="F273" s="217" t="s">
        <v>155</v>
      </c>
      <c r="G273" s="218">
        <v>32052</v>
      </c>
      <c r="H273" s="217" t="s">
        <v>830</v>
      </c>
      <c r="I273" s="217" t="s">
        <v>844</v>
      </c>
      <c r="J273" s="217" t="s">
        <v>1909</v>
      </c>
      <c r="K273" s="217" t="s">
        <v>407</v>
      </c>
      <c r="L273" s="220">
        <v>486136593</v>
      </c>
      <c r="M273" s="206">
        <v>256604490</v>
      </c>
      <c r="N273" s="206">
        <v>229532103</v>
      </c>
      <c r="O273" s="206">
        <v>766770906</v>
      </c>
      <c r="P273" s="206">
        <v>14724318</v>
      </c>
      <c r="Q273" s="206">
        <v>26927489</v>
      </c>
      <c r="R273" s="206">
        <v>22719488</v>
      </c>
      <c r="S273" s="32">
        <v>0</v>
      </c>
      <c r="T273" s="32">
        <v>0</v>
      </c>
      <c r="U273" s="32">
        <v>0</v>
      </c>
      <c r="V273" s="266">
        <f t="shared" si="65"/>
        <v>50</v>
      </c>
      <c r="W273" s="90">
        <f t="shared" si="66"/>
        <v>0.5</v>
      </c>
      <c r="X273" s="32">
        <v>0</v>
      </c>
      <c r="Y273" s="32">
        <v>0</v>
      </c>
      <c r="Z273" s="267">
        <f t="shared" si="67"/>
        <v>0</v>
      </c>
      <c r="AA273" s="268">
        <f t="shared" si="68"/>
        <v>33.333333333333336</v>
      </c>
      <c r="AB273" s="90">
        <f t="shared" si="69"/>
        <v>0.33333333333333337</v>
      </c>
      <c r="AC273" s="32">
        <v>0</v>
      </c>
      <c r="AD273" s="32">
        <v>1</v>
      </c>
      <c r="AE273" s="252">
        <f t="shared" si="70"/>
        <v>75</v>
      </c>
      <c r="AF273" s="90">
        <f t="shared" si="71"/>
        <v>1.5</v>
      </c>
      <c r="AG273" s="32">
        <v>0</v>
      </c>
      <c r="AH273" s="247">
        <f t="shared" si="72"/>
        <v>25</v>
      </c>
      <c r="AI273" s="91">
        <f t="shared" si="73"/>
        <v>0.25</v>
      </c>
      <c r="AJ273" s="32"/>
      <c r="AK273" s="32">
        <v>0</v>
      </c>
      <c r="AL273" s="32">
        <v>0</v>
      </c>
      <c r="AM273" s="32">
        <v>0</v>
      </c>
      <c r="AN273" s="32">
        <v>0</v>
      </c>
      <c r="AO273" s="247">
        <f t="shared" si="64"/>
        <v>0</v>
      </c>
      <c r="AP273" s="247">
        <f t="shared" si="74"/>
        <v>25</v>
      </c>
      <c r="AQ273" s="90">
        <f t="shared" si="75"/>
        <v>0.5</v>
      </c>
      <c r="AR273" s="32">
        <v>0</v>
      </c>
      <c r="AS273" s="32">
        <v>0</v>
      </c>
      <c r="AT273" s="32">
        <v>0</v>
      </c>
      <c r="AU273" s="272" t="str">
        <f t="shared" si="76"/>
        <v>A</v>
      </c>
      <c r="AV273" s="247">
        <f t="shared" si="77"/>
        <v>100</v>
      </c>
      <c r="AW273" s="90">
        <f t="shared" si="78"/>
        <v>3</v>
      </c>
      <c r="AX273" s="163">
        <f t="shared" si="79"/>
        <v>6.0833333333333339</v>
      </c>
    </row>
    <row r="274" spans="1:50" x14ac:dyDescent="0.6">
      <c r="A274" s="214" t="s">
        <v>182</v>
      </c>
      <c r="B274" s="13" t="s">
        <v>2255</v>
      </c>
      <c r="C274" s="219" t="s">
        <v>345</v>
      </c>
      <c r="D274" s="216" t="s">
        <v>191</v>
      </c>
      <c r="E274" s="217" t="s">
        <v>1029</v>
      </c>
      <c r="F274" s="217" t="s">
        <v>1000</v>
      </c>
      <c r="G274" s="218">
        <v>27208</v>
      </c>
      <c r="H274" s="217" t="s">
        <v>830</v>
      </c>
      <c r="I274" s="217" t="s">
        <v>662</v>
      </c>
      <c r="J274" s="217" t="s">
        <v>1207</v>
      </c>
      <c r="K274" s="217" t="s">
        <v>91</v>
      </c>
      <c r="L274" s="220">
        <v>339571178</v>
      </c>
      <c r="M274" s="206">
        <v>63823811</v>
      </c>
      <c r="N274" s="206">
        <v>275747368</v>
      </c>
      <c r="O274" s="206">
        <v>336657527</v>
      </c>
      <c r="P274" s="206">
        <v>25257329</v>
      </c>
      <c r="Q274" s="206">
        <v>26498807</v>
      </c>
      <c r="R274" s="206">
        <v>20001837</v>
      </c>
      <c r="S274" s="32">
        <v>0</v>
      </c>
      <c r="T274" s="32">
        <v>0</v>
      </c>
      <c r="U274" s="32">
        <v>0</v>
      </c>
      <c r="V274" s="266">
        <f t="shared" si="65"/>
        <v>50</v>
      </c>
      <c r="W274" s="90">
        <f t="shared" si="66"/>
        <v>0.5</v>
      </c>
      <c r="X274" s="32">
        <v>0</v>
      </c>
      <c r="Y274" s="32">
        <v>0</v>
      </c>
      <c r="Z274" s="267">
        <f t="shared" si="67"/>
        <v>0</v>
      </c>
      <c r="AA274" s="268">
        <f t="shared" si="68"/>
        <v>33.333333333333336</v>
      </c>
      <c r="AB274" s="90">
        <f t="shared" si="69"/>
        <v>0.33333333333333337</v>
      </c>
      <c r="AC274" s="32">
        <v>0</v>
      </c>
      <c r="AD274" s="32">
        <v>1</v>
      </c>
      <c r="AE274" s="252">
        <f t="shared" si="70"/>
        <v>75</v>
      </c>
      <c r="AF274" s="90">
        <f t="shared" si="71"/>
        <v>1.5</v>
      </c>
      <c r="AG274" s="32">
        <v>0</v>
      </c>
      <c r="AH274" s="247">
        <f t="shared" si="72"/>
        <v>25</v>
      </c>
      <c r="AI274" s="91">
        <f t="shared" si="73"/>
        <v>0.25</v>
      </c>
      <c r="AJ274" s="32"/>
      <c r="AK274" s="32">
        <v>0</v>
      </c>
      <c r="AL274" s="32">
        <v>0</v>
      </c>
      <c r="AM274" s="32">
        <v>0</v>
      </c>
      <c r="AN274" s="32">
        <v>0</v>
      </c>
      <c r="AO274" s="247">
        <f t="shared" si="64"/>
        <v>0</v>
      </c>
      <c r="AP274" s="247">
        <f t="shared" si="74"/>
        <v>25</v>
      </c>
      <c r="AQ274" s="90">
        <f t="shared" si="75"/>
        <v>0.5</v>
      </c>
      <c r="AR274" s="32">
        <v>0</v>
      </c>
      <c r="AS274" s="32">
        <v>0</v>
      </c>
      <c r="AT274" s="32">
        <v>0</v>
      </c>
      <c r="AU274" s="272" t="str">
        <f t="shared" si="76"/>
        <v>A</v>
      </c>
      <c r="AV274" s="247">
        <f t="shared" si="77"/>
        <v>100</v>
      </c>
      <c r="AW274" s="90">
        <f t="shared" si="78"/>
        <v>3</v>
      </c>
      <c r="AX274" s="163">
        <f t="shared" si="79"/>
        <v>6.0833333333333339</v>
      </c>
    </row>
    <row r="275" spans="1:50" x14ac:dyDescent="0.6">
      <c r="A275" s="214" t="s">
        <v>948</v>
      </c>
      <c r="B275" s="13" t="s">
        <v>2256</v>
      </c>
      <c r="C275" s="219" t="s">
        <v>915</v>
      </c>
      <c r="D275" s="216" t="s">
        <v>203</v>
      </c>
      <c r="E275" s="217" t="s">
        <v>187</v>
      </c>
      <c r="F275" s="217" t="s">
        <v>603</v>
      </c>
      <c r="G275" s="218">
        <v>32365</v>
      </c>
      <c r="H275" s="217" t="s">
        <v>830</v>
      </c>
      <c r="I275" s="217" t="s">
        <v>233</v>
      </c>
      <c r="J275" s="217" t="s">
        <v>1113</v>
      </c>
      <c r="K275" s="217" t="s">
        <v>484</v>
      </c>
      <c r="L275" s="220">
        <v>172340454</v>
      </c>
      <c r="M275" s="206">
        <v>59384706</v>
      </c>
      <c r="N275" s="206">
        <v>112955748</v>
      </c>
      <c r="O275" s="206">
        <v>301642199</v>
      </c>
      <c r="P275" s="206">
        <v>35071601</v>
      </c>
      <c r="Q275" s="206">
        <v>36329377</v>
      </c>
      <c r="R275" s="206">
        <v>26721327</v>
      </c>
      <c r="S275" s="32">
        <v>0</v>
      </c>
      <c r="T275" s="32">
        <v>0</v>
      </c>
      <c r="U275" s="32">
        <v>0</v>
      </c>
      <c r="V275" s="266">
        <f t="shared" si="65"/>
        <v>50</v>
      </c>
      <c r="W275" s="90">
        <f t="shared" si="66"/>
        <v>0.5</v>
      </c>
      <c r="X275" s="32">
        <v>0</v>
      </c>
      <c r="Y275" s="32">
        <v>0</v>
      </c>
      <c r="Z275" s="267">
        <f t="shared" si="67"/>
        <v>0</v>
      </c>
      <c r="AA275" s="268">
        <f t="shared" si="68"/>
        <v>33.333333333333336</v>
      </c>
      <c r="AB275" s="90">
        <f t="shared" si="69"/>
        <v>0.33333333333333337</v>
      </c>
      <c r="AC275" s="32">
        <v>0</v>
      </c>
      <c r="AD275" s="32">
        <v>1</v>
      </c>
      <c r="AE275" s="252">
        <f t="shared" si="70"/>
        <v>75</v>
      </c>
      <c r="AF275" s="90">
        <f t="shared" si="71"/>
        <v>1.5</v>
      </c>
      <c r="AG275" s="32">
        <v>0</v>
      </c>
      <c r="AH275" s="247">
        <f t="shared" si="72"/>
        <v>25</v>
      </c>
      <c r="AI275" s="91">
        <f t="shared" si="73"/>
        <v>0.25</v>
      </c>
      <c r="AJ275" s="32"/>
      <c r="AK275" s="32">
        <v>1</v>
      </c>
      <c r="AL275" s="32">
        <v>0</v>
      </c>
      <c r="AM275" s="32">
        <v>0</v>
      </c>
      <c r="AN275" s="32">
        <v>0</v>
      </c>
      <c r="AO275" s="247">
        <f t="shared" si="64"/>
        <v>1</v>
      </c>
      <c r="AP275" s="247">
        <f t="shared" si="74"/>
        <v>50</v>
      </c>
      <c r="AQ275" s="90">
        <f t="shared" si="75"/>
        <v>1</v>
      </c>
      <c r="AR275" s="32">
        <v>0</v>
      </c>
      <c r="AS275" s="32">
        <v>0</v>
      </c>
      <c r="AT275" s="32">
        <v>0</v>
      </c>
      <c r="AU275" s="272" t="str">
        <f t="shared" si="76"/>
        <v>A</v>
      </c>
      <c r="AV275" s="247">
        <f t="shared" si="77"/>
        <v>100</v>
      </c>
      <c r="AW275" s="90">
        <f t="shared" si="78"/>
        <v>3</v>
      </c>
      <c r="AX275" s="163">
        <f t="shared" si="79"/>
        <v>6.5833333333333339</v>
      </c>
    </row>
    <row r="276" spans="1:50" x14ac:dyDescent="0.6">
      <c r="A276" s="214" t="s">
        <v>853</v>
      </c>
      <c r="B276" s="13" t="s">
        <v>2257</v>
      </c>
      <c r="C276" s="219" t="s">
        <v>886</v>
      </c>
      <c r="D276" s="216" t="s">
        <v>285</v>
      </c>
      <c r="E276" s="217" t="s">
        <v>1167</v>
      </c>
      <c r="F276" s="217" t="s">
        <v>1125</v>
      </c>
      <c r="G276" s="218">
        <v>40661</v>
      </c>
      <c r="H276" s="217" t="s">
        <v>830</v>
      </c>
      <c r="I276" s="217" t="s">
        <v>715</v>
      </c>
      <c r="J276" s="217" t="s">
        <v>1129</v>
      </c>
      <c r="K276" s="217" t="s">
        <v>690</v>
      </c>
      <c r="L276" s="220">
        <v>332695360</v>
      </c>
      <c r="M276" s="206">
        <v>183900048</v>
      </c>
      <c r="N276" s="206">
        <v>148795312</v>
      </c>
      <c r="O276" s="206">
        <v>283702516</v>
      </c>
      <c r="P276" s="206">
        <v>5425717</v>
      </c>
      <c r="Q276" s="206">
        <v>6710645</v>
      </c>
      <c r="R276" s="206">
        <v>3799292</v>
      </c>
      <c r="S276" s="32">
        <v>0</v>
      </c>
      <c r="T276" s="32">
        <v>0</v>
      </c>
      <c r="U276" s="32">
        <v>0</v>
      </c>
      <c r="V276" s="266">
        <f t="shared" si="65"/>
        <v>50</v>
      </c>
      <c r="W276" s="90">
        <f t="shared" si="66"/>
        <v>0.5</v>
      </c>
      <c r="X276" s="32">
        <v>1</v>
      </c>
      <c r="Y276" s="32">
        <v>0</v>
      </c>
      <c r="Z276" s="267">
        <f t="shared" si="67"/>
        <v>1</v>
      </c>
      <c r="AA276" s="268">
        <f t="shared" si="68"/>
        <v>66.666666666666671</v>
      </c>
      <c r="AB276" s="90">
        <f t="shared" si="69"/>
        <v>0.66666666666666674</v>
      </c>
      <c r="AC276" s="32">
        <v>0</v>
      </c>
      <c r="AD276" s="32">
        <v>1</v>
      </c>
      <c r="AE276" s="252">
        <f t="shared" si="70"/>
        <v>75</v>
      </c>
      <c r="AF276" s="90">
        <f t="shared" si="71"/>
        <v>1.5</v>
      </c>
      <c r="AG276" s="32">
        <v>0</v>
      </c>
      <c r="AH276" s="247">
        <f t="shared" si="72"/>
        <v>25</v>
      </c>
      <c r="AI276" s="91">
        <f t="shared" si="73"/>
        <v>0.25</v>
      </c>
      <c r="AJ276" s="32"/>
      <c r="AK276" s="32">
        <v>0</v>
      </c>
      <c r="AL276" s="32">
        <v>0</v>
      </c>
      <c r="AM276" s="32">
        <v>0</v>
      </c>
      <c r="AN276" s="32">
        <v>0</v>
      </c>
      <c r="AO276" s="247">
        <f t="shared" si="64"/>
        <v>0</v>
      </c>
      <c r="AP276" s="247">
        <f t="shared" si="74"/>
        <v>25</v>
      </c>
      <c r="AQ276" s="90">
        <f t="shared" si="75"/>
        <v>0.5</v>
      </c>
      <c r="AR276" s="32">
        <v>0</v>
      </c>
      <c r="AS276" s="32">
        <v>0</v>
      </c>
      <c r="AT276" s="32">
        <v>1</v>
      </c>
      <c r="AU276" s="272" t="str">
        <f t="shared" si="76"/>
        <v>D</v>
      </c>
      <c r="AV276" s="247">
        <f t="shared" si="77"/>
        <v>25</v>
      </c>
      <c r="AW276" s="90">
        <f t="shared" si="78"/>
        <v>0.75</v>
      </c>
      <c r="AX276" s="163">
        <f t="shared" si="79"/>
        <v>4.166666666666667</v>
      </c>
    </row>
    <row r="277" spans="1:50" x14ac:dyDescent="0.6">
      <c r="A277" s="214" t="s">
        <v>1910</v>
      </c>
      <c r="B277" s="13" t="s">
        <v>2258</v>
      </c>
      <c r="C277" s="219" t="s">
        <v>1911</v>
      </c>
      <c r="D277" s="14" t="s">
        <v>203</v>
      </c>
      <c r="E277" s="217" t="s">
        <v>195</v>
      </c>
      <c r="F277" s="217" t="s">
        <v>1912</v>
      </c>
      <c r="G277" s="218">
        <v>25549</v>
      </c>
      <c r="H277" s="217" t="s">
        <v>830</v>
      </c>
      <c r="I277" s="217" t="s">
        <v>1913</v>
      </c>
      <c r="J277" s="217" t="s">
        <v>1914</v>
      </c>
      <c r="K277" s="217" t="s">
        <v>484</v>
      </c>
      <c r="L277" s="220">
        <v>319037628</v>
      </c>
      <c r="M277" s="206">
        <v>46527487</v>
      </c>
      <c r="N277" s="206">
        <v>272510141</v>
      </c>
      <c r="O277" s="206">
        <v>118960265</v>
      </c>
      <c r="P277" s="206">
        <v>9521305</v>
      </c>
      <c r="Q277" s="206">
        <v>26092874</v>
      </c>
      <c r="R277" s="206">
        <v>23518478</v>
      </c>
      <c r="S277" s="32">
        <v>0</v>
      </c>
      <c r="T277" s="32">
        <v>0</v>
      </c>
      <c r="U277" s="32">
        <v>0</v>
      </c>
      <c r="V277" s="266">
        <f t="shared" si="65"/>
        <v>50</v>
      </c>
      <c r="W277" s="90">
        <f t="shared" si="66"/>
        <v>0.5</v>
      </c>
      <c r="X277" s="32">
        <v>0</v>
      </c>
      <c r="Y277" s="32">
        <v>0</v>
      </c>
      <c r="Z277" s="267">
        <f t="shared" si="67"/>
        <v>0</v>
      </c>
      <c r="AA277" s="268">
        <f t="shared" si="68"/>
        <v>33.333333333333336</v>
      </c>
      <c r="AB277" s="90">
        <f t="shared" si="69"/>
        <v>0.33333333333333337</v>
      </c>
      <c r="AC277" s="32">
        <v>0</v>
      </c>
      <c r="AD277" s="32">
        <v>1</v>
      </c>
      <c r="AE277" s="252">
        <f t="shared" si="70"/>
        <v>75</v>
      </c>
      <c r="AF277" s="90">
        <f t="shared" si="71"/>
        <v>1.5</v>
      </c>
      <c r="AG277" s="32">
        <v>0</v>
      </c>
      <c r="AH277" s="247">
        <f t="shared" si="72"/>
        <v>25</v>
      </c>
      <c r="AI277" s="91">
        <f t="shared" si="73"/>
        <v>0.25</v>
      </c>
      <c r="AJ277" s="32"/>
      <c r="AK277" s="32">
        <v>1</v>
      </c>
      <c r="AL277" s="32">
        <v>0</v>
      </c>
      <c r="AM277" s="32">
        <v>0</v>
      </c>
      <c r="AN277" s="32">
        <v>0</v>
      </c>
      <c r="AO277" s="247">
        <f t="shared" si="64"/>
        <v>1</v>
      </c>
      <c r="AP277" s="247">
        <f t="shared" si="74"/>
        <v>50</v>
      </c>
      <c r="AQ277" s="90">
        <f t="shared" si="75"/>
        <v>1</v>
      </c>
      <c r="AR277" s="32">
        <v>0</v>
      </c>
      <c r="AS277" s="32">
        <v>0</v>
      </c>
      <c r="AT277" s="32">
        <v>0</v>
      </c>
      <c r="AU277" s="272" t="str">
        <f t="shared" si="76"/>
        <v>A</v>
      </c>
      <c r="AV277" s="247">
        <f t="shared" si="77"/>
        <v>100</v>
      </c>
      <c r="AW277" s="90">
        <f t="shared" si="78"/>
        <v>3</v>
      </c>
      <c r="AX277" s="163">
        <f t="shared" si="79"/>
        <v>6.5833333333333339</v>
      </c>
    </row>
    <row r="278" spans="1:50" x14ac:dyDescent="0.6">
      <c r="A278" s="214" t="s">
        <v>1915</v>
      </c>
      <c r="B278" s="13" t="s">
        <v>2259</v>
      </c>
      <c r="C278" s="219" t="s">
        <v>887</v>
      </c>
      <c r="D278" s="216" t="s">
        <v>203</v>
      </c>
      <c r="E278" s="217" t="s">
        <v>1209</v>
      </c>
      <c r="F278" s="217" t="s">
        <v>151</v>
      </c>
      <c r="G278" s="218">
        <v>34888</v>
      </c>
      <c r="H278" s="217" t="s">
        <v>830</v>
      </c>
      <c r="I278" s="217" t="s">
        <v>615</v>
      </c>
      <c r="J278" s="217" t="s">
        <v>1094</v>
      </c>
      <c r="K278" s="217" t="s">
        <v>50</v>
      </c>
      <c r="L278" s="220">
        <v>573791494</v>
      </c>
      <c r="M278" s="206">
        <v>172708851</v>
      </c>
      <c r="N278" s="206">
        <v>401082642</v>
      </c>
      <c r="O278" s="206">
        <v>340208179</v>
      </c>
      <c r="P278" s="206">
        <v>28719054</v>
      </c>
      <c r="Q278" s="206">
        <v>9790753</v>
      </c>
      <c r="R278" s="206">
        <v>2174394</v>
      </c>
      <c r="S278" s="32">
        <v>0</v>
      </c>
      <c r="T278" s="32">
        <v>0</v>
      </c>
      <c r="U278" s="32">
        <v>0</v>
      </c>
      <c r="V278" s="266">
        <f t="shared" si="65"/>
        <v>50</v>
      </c>
      <c r="W278" s="90">
        <f t="shared" si="66"/>
        <v>0.5</v>
      </c>
      <c r="X278" s="32">
        <v>0</v>
      </c>
      <c r="Y278" s="32">
        <v>0</v>
      </c>
      <c r="Z278" s="267">
        <f t="shared" si="67"/>
        <v>0</v>
      </c>
      <c r="AA278" s="268">
        <f t="shared" si="68"/>
        <v>33.333333333333336</v>
      </c>
      <c r="AB278" s="90">
        <f t="shared" si="69"/>
        <v>0.33333333333333337</v>
      </c>
      <c r="AC278" s="32">
        <v>25000000</v>
      </c>
      <c r="AD278" s="32">
        <v>1</v>
      </c>
      <c r="AE278" s="252">
        <f t="shared" si="70"/>
        <v>100</v>
      </c>
      <c r="AF278" s="90">
        <f t="shared" si="71"/>
        <v>2</v>
      </c>
      <c r="AG278" s="32">
        <v>0</v>
      </c>
      <c r="AH278" s="247">
        <f t="shared" si="72"/>
        <v>25</v>
      </c>
      <c r="AI278" s="91">
        <f t="shared" si="73"/>
        <v>0.25</v>
      </c>
      <c r="AJ278" s="32"/>
      <c r="AK278" s="32">
        <v>1</v>
      </c>
      <c r="AL278" s="32">
        <v>0</v>
      </c>
      <c r="AM278" s="32">
        <v>0</v>
      </c>
      <c r="AN278" s="32">
        <v>0</v>
      </c>
      <c r="AO278" s="247">
        <f t="shared" si="64"/>
        <v>1</v>
      </c>
      <c r="AP278" s="247">
        <f t="shared" si="74"/>
        <v>50</v>
      </c>
      <c r="AQ278" s="90">
        <f t="shared" si="75"/>
        <v>1</v>
      </c>
      <c r="AR278" s="32">
        <v>0</v>
      </c>
      <c r="AS278" s="32">
        <v>0</v>
      </c>
      <c r="AT278" s="32">
        <v>0</v>
      </c>
      <c r="AU278" s="272" t="str">
        <f t="shared" si="76"/>
        <v>A</v>
      </c>
      <c r="AV278" s="247">
        <f t="shared" si="77"/>
        <v>100</v>
      </c>
      <c r="AW278" s="90">
        <f t="shared" si="78"/>
        <v>3</v>
      </c>
      <c r="AX278" s="163">
        <f t="shared" si="79"/>
        <v>7.0833333333333339</v>
      </c>
    </row>
    <row r="279" spans="1:50" x14ac:dyDescent="0.6">
      <c r="A279" s="214" t="s">
        <v>1916</v>
      </c>
      <c r="B279" s="13" t="s">
        <v>2260</v>
      </c>
      <c r="C279" s="219" t="s">
        <v>1917</v>
      </c>
      <c r="D279" s="14" t="s">
        <v>203</v>
      </c>
      <c r="E279" s="217" t="s">
        <v>195</v>
      </c>
      <c r="F279" s="217" t="s">
        <v>1918</v>
      </c>
      <c r="G279" s="218">
        <v>32825</v>
      </c>
      <c r="H279" s="217" t="s">
        <v>830</v>
      </c>
      <c r="I279" s="217" t="s">
        <v>1919</v>
      </c>
      <c r="J279" s="217" t="s">
        <v>1920</v>
      </c>
      <c r="K279" s="217" t="s">
        <v>50</v>
      </c>
      <c r="L279" s="220">
        <v>549828404</v>
      </c>
      <c r="M279" s="206">
        <v>348575829</v>
      </c>
      <c r="N279" s="206">
        <v>201252575</v>
      </c>
      <c r="O279" s="206">
        <v>795939631</v>
      </c>
      <c r="P279" s="206">
        <v>30699585</v>
      </c>
      <c r="Q279" s="206">
        <v>32334911</v>
      </c>
      <c r="R279" s="206">
        <v>40221401</v>
      </c>
      <c r="S279" s="32">
        <v>0</v>
      </c>
      <c r="T279" s="32">
        <v>0</v>
      </c>
      <c r="U279" s="32">
        <v>0</v>
      </c>
      <c r="V279" s="266">
        <f t="shared" si="65"/>
        <v>50</v>
      </c>
      <c r="W279" s="90">
        <f t="shared" si="66"/>
        <v>0.5</v>
      </c>
      <c r="X279" s="32">
        <v>0</v>
      </c>
      <c r="Y279" s="32">
        <v>0</v>
      </c>
      <c r="Z279" s="267">
        <f t="shared" si="67"/>
        <v>0</v>
      </c>
      <c r="AA279" s="268">
        <f t="shared" si="68"/>
        <v>33.333333333333336</v>
      </c>
      <c r="AB279" s="90">
        <f t="shared" si="69"/>
        <v>0.33333333333333337</v>
      </c>
      <c r="AC279" s="32">
        <v>0</v>
      </c>
      <c r="AD279" s="32">
        <v>1</v>
      </c>
      <c r="AE279" s="252">
        <f t="shared" si="70"/>
        <v>75</v>
      </c>
      <c r="AF279" s="90">
        <f t="shared" si="71"/>
        <v>1.5</v>
      </c>
      <c r="AG279" s="32">
        <v>0</v>
      </c>
      <c r="AH279" s="247">
        <f t="shared" si="72"/>
        <v>25</v>
      </c>
      <c r="AI279" s="91">
        <f t="shared" si="73"/>
        <v>0.25</v>
      </c>
      <c r="AJ279" s="32"/>
      <c r="AK279" s="32">
        <v>1</v>
      </c>
      <c r="AL279" s="32">
        <v>0</v>
      </c>
      <c r="AM279" s="32">
        <v>0</v>
      </c>
      <c r="AN279" s="32">
        <v>0</v>
      </c>
      <c r="AO279" s="247">
        <f t="shared" si="64"/>
        <v>1</v>
      </c>
      <c r="AP279" s="247">
        <f t="shared" si="74"/>
        <v>50</v>
      </c>
      <c r="AQ279" s="90">
        <f t="shared" si="75"/>
        <v>1</v>
      </c>
      <c r="AR279" s="32">
        <v>0</v>
      </c>
      <c r="AS279" s="32">
        <v>0</v>
      </c>
      <c r="AT279" s="32">
        <v>0</v>
      </c>
      <c r="AU279" s="272" t="str">
        <f t="shared" si="76"/>
        <v>A</v>
      </c>
      <c r="AV279" s="247">
        <f t="shared" si="77"/>
        <v>100</v>
      </c>
      <c r="AW279" s="90">
        <f t="shared" si="78"/>
        <v>3</v>
      </c>
      <c r="AX279" s="163">
        <f t="shared" si="79"/>
        <v>6.5833333333333339</v>
      </c>
    </row>
    <row r="280" spans="1:50" x14ac:dyDescent="0.6">
      <c r="A280" s="214" t="s">
        <v>794</v>
      </c>
      <c r="B280" s="13" t="s">
        <v>2261</v>
      </c>
      <c r="C280" s="219" t="s">
        <v>516</v>
      </c>
      <c r="D280" s="216" t="s">
        <v>191</v>
      </c>
      <c r="E280" s="217" t="s">
        <v>34</v>
      </c>
      <c r="F280" s="217" t="s">
        <v>642</v>
      </c>
      <c r="G280" s="218">
        <v>27941</v>
      </c>
      <c r="H280" s="217" t="s">
        <v>830</v>
      </c>
      <c r="I280" s="217" t="s">
        <v>284</v>
      </c>
      <c r="J280" s="217" t="s">
        <v>1146</v>
      </c>
      <c r="K280" s="217" t="s">
        <v>91</v>
      </c>
      <c r="L280" s="220">
        <v>888665301</v>
      </c>
      <c r="M280" s="206">
        <v>485651737</v>
      </c>
      <c r="N280" s="206">
        <v>403013565</v>
      </c>
      <c r="O280" s="206">
        <v>536574431</v>
      </c>
      <c r="P280" s="206">
        <v>29103159</v>
      </c>
      <c r="Q280" s="206">
        <v>20616127</v>
      </c>
      <c r="R280" s="206">
        <v>17834953</v>
      </c>
      <c r="S280" s="32">
        <v>0</v>
      </c>
      <c r="T280" s="32">
        <v>0</v>
      </c>
      <c r="U280" s="32">
        <v>0</v>
      </c>
      <c r="V280" s="266">
        <f t="shared" si="65"/>
        <v>50</v>
      </c>
      <c r="W280" s="90">
        <f t="shared" si="66"/>
        <v>0.5</v>
      </c>
      <c r="X280" s="32">
        <v>0</v>
      </c>
      <c r="Y280" s="32">
        <v>0</v>
      </c>
      <c r="Z280" s="267">
        <f t="shared" si="67"/>
        <v>0</v>
      </c>
      <c r="AA280" s="268">
        <f t="shared" si="68"/>
        <v>33.333333333333336</v>
      </c>
      <c r="AB280" s="90">
        <f t="shared" si="69"/>
        <v>0.33333333333333337</v>
      </c>
      <c r="AC280" s="32">
        <v>0</v>
      </c>
      <c r="AD280" s="32">
        <v>0</v>
      </c>
      <c r="AE280" s="252">
        <f t="shared" si="70"/>
        <v>25</v>
      </c>
      <c r="AF280" s="90">
        <f t="shared" si="71"/>
        <v>0.5</v>
      </c>
      <c r="AG280" s="32">
        <v>0</v>
      </c>
      <c r="AH280" s="247">
        <f t="shared" si="72"/>
        <v>25</v>
      </c>
      <c r="AI280" s="91">
        <f t="shared" si="73"/>
        <v>0.25</v>
      </c>
      <c r="AJ280" s="32"/>
      <c r="AK280" s="32">
        <v>0</v>
      </c>
      <c r="AL280" s="32">
        <v>0</v>
      </c>
      <c r="AM280" s="32">
        <v>0</v>
      </c>
      <c r="AN280" s="32">
        <v>0</v>
      </c>
      <c r="AO280" s="247">
        <f t="shared" si="64"/>
        <v>0</v>
      </c>
      <c r="AP280" s="247">
        <f t="shared" si="74"/>
        <v>25</v>
      </c>
      <c r="AQ280" s="90">
        <f t="shared" si="75"/>
        <v>0.5</v>
      </c>
      <c r="AR280" s="32">
        <v>0</v>
      </c>
      <c r="AS280" s="32">
        <v>0</v>
      </c>
      <c r="AT280" s="32">
        <v>0</v>
      </c>
      <c r="AU280" s="272" t="str">
        <f t="shared" si="76"/>
        <v>A</v>
      </c>
      <c r="AV280" s="247">
        <f t="shared" si="77"/>
        <v>100</v>
      </c>
      <c r="AW280" s="90">
        <f t="shared" si="78"/>
        <v>3</v>
      </c>
      <c r="AX280" s="163">
        <f t="shared" si="79"/>
        <v>5.0833333333333339</v>
      </c>
    </row>
    <row r="281" spans="1:50" x14ac:dyDescent="0.6">
      <c r="A281" s="214" t="s">
        <v>43</v>
      </c>
      <c r="B281" s="13" t="s">
        <v>2262</v>
      </c>
      <c r="C281" s="219" t="s">
        <v>298</v>
      </c>
      <c r="D281" s="216" t="s">
        <v>285</v>
      </c>
      <c r="E281" s="217" t="s">
        <v>1167</v>
      </c>
      <c r="F281" s="217" t="s">
        <v>385</v>
      </c>
      <c r="G281" s="218">
        <v>39987</v>
      </c>
      <c r="H281" s="217" t="s">
        <v>830</v>
      </c>
      <c r="I281" s="217" t="s">
        <v>274</v>
      </c>
      <c r="J281" s="217" t="s">
        <v>1244</v>
      </c>
      <c r="K281" s="217" t="s">
        <v>91</v>
      </c>
      <c r="L281" s="220">
        <v>217613616</v>
      </c>
      <c r="M281" s="206">
        <v>69409850</v>
      </c>
      <c r="N281" s="206">
        <v>148203766</v>
      </c>
      <c r="O281" s="206">
        <v>174397667</v>
      </c>
      <c r="P281" s="206">
        <v>12289879</v>
      </c>
      <c r="Q281" s="206">
        <v>16933913</v>
      </c>
      <c r="R281" s="206">
        <v>14379092</v>
      </c>
      <c r="S281" s="32">
        <v>1</v>
      </c>
      <c r="T281" s="32">
        <v>0</v>
      </c>
      <c r="U281" s="32">
        <v>0</v>
      </c>
      <c r="V281" s="266">
        <f t="shared" si="65"/>
        <v>100</v>
      </c>
      <c r="W281" s="90">
        <f t="shared" si="66"/>
        <v>1</v>
      </c>
      <c r="X281" s="32">
        <v>0</v>
      </c>
      <c r="Y281" s="32">
        <v>0</v>
      </c>
      <c r="Z281" s="267">
        <f t="shared" si="67"/>
        <v>0</v>
      </c>
      <c r="AA281" s="268">
        <f t="shared" si="68"/>
        <v>33.333333333333336</v>
      </c>
      <c r="AB281" s="90">
        <f t="shared" si="69"/>
        <v>0.33333333333333337</v>
      </c>
      <c r="AC281" s="32">
        <v>0</v>
      </c>
      <c r="AD281" s="32">
        <v>1</v>
      </c>
      <c r="AE281" s="252">
        <f t="shared" si="70"/>
        <v>75</v>
      </c>
      <c r="AF281" s="90">
        <f t="shared" si="71"/>
        <v>1.5</v>
      </c>
      <c r="AG281" s="32">
        <v>0</v>
      </c>
      <c r="AH281" s="247">
        <f t="shared" si="72"/>
        <v>25</v>
      </c>
      <c r="AI281" s="91">
        <f t="shared" si="73"/>
        <v>0.25</v>
      </c>
      <c r="AJ281" s="32"/>
      <c r="AK281" s="32">
        <v>0</v>
      </c>
      <c r="AL281" s="32">
        <v>0</v>
      </c>
      <c r="AM281" s="32">
        <v>0</v>
      </c>
      <c r="AN281" s="32">
        <v>0</v>
      </c>
      <c r="AO281" s="247">
        <f t="shared" si="64"/>
        <v>0</v>
      </c>
      <c r="AP281" s="247">
        <f t="shared" si="74"/>
        <v>25</v>
      </c>
      <c r="AQ281" s="90">
        <f t="shared" si="75"/>
        <v>0.5</v>
      </c>
      <c r="AR281" s="32">
        <v>0</v>
      </c>
      <c r="AS281" s="32">
        <v>0</v>
      </c>
      <c r="AT281" s="32">
        <v>0</v>
      </c>
      <c r="AU281" s="272" t="str">
        <f t="shared" si="76"/>
        <v>A</v>
      </c>
      <c r="AV281" s="247">
        <f t="shared" si="77"/>
        <v>100</v>
      </c>
      <c r="AW281" s="90">
        <f t="shared" si="78"/>
        <v>3</v>
      </c>
      <c r="AX281" s="163">
        <f t="shared" si="79"/>
        <v>6.5833333333333339</v>
      </c>
    </row>
    <row r="282" spans="1:50" x14ac:dyDescent="0.6">
      <c r="A282" s="214" t="s">
        <v>935</v>
      </c>
      <c r="B282" s="13" t="s">
        <v>2263</v>
      </c>
      <c r="C282" s="219" t="s">
        <v>463</v>
      </c>
      <c r="D282" s="216" t="s">
        <v>202</v>
      </c>
      <c r="E282" s="217" t="s">
        <v>572</v>
      </c>
      <c r="F282" s="217" t="s">
        <v>660</v>
      </c>
      <c r="G282" s="218">
        <v>38555</v>
      </c>
      <c r="H282" s="217" t="s">
        <v>830</v>
      </c>
      <c r="I282" s="217" t="s">
        <v>764</v>
      </c>
      <c r="J282" s="217" t="s">
        <v>1224</v>
      </c>
      <c r="K282" s="217" t="s">
        <v>346</v>
      </c>
      <c r="L282" s="220">
        <v>441490503</v>
      </c>
      <c r="M282" s="206">
        <v>66273961</v>
      </c>
      <c r="N282" s="206">
        <v>375216542</v>
      </c>
      <c r="O282" s="206">
        <v>323948862</v>
      </c>
      <c r="P282" s="206">
        <v>109531252</v>
      </c>
      <c r="Q282" s="206">
        <v>126178452</v>
      </c>
      <c r="R282" s="206">
        <v>91469843</v>
      </c>
      <c r="S282" s="32">
        <v>0</v>
      </c>
      <c r="T282" s="32">
        <v>0</v>
      </c>
      <c r="U282" s="32">
        <v>0</v>
      </c>
      <c r="V282" s="266">
        <f t="shared" si="65"/>
        <v>50</v>
      </c>
      <c r="W282" s="90">
        <f t="shared" si="66"/>
        <v>0.5</v>
      </c>
      <c r="X282" s="32">
        <v>0</v>
      </c>
      <c r="Y282" s="32">
        <v>0</v>
      </c>
      <c r="Z282" s="267">
        <f t="shared" si="67"/>
        <v>0</v>
      </c>
      <c r="AA282" s="268">
        <f t="shared" si="68"/>
        <v>33.333333333333336</v>
      </c>
      <c r="AB282" s="90">
        <f t="shared" si="69"/>
        <v>0.33333333333333337</v>
      </c>
      <c r="AC282" s="32">
        <v>0</v>
      </c>
      <c r="AD282" s="32">
        <v>1</v>
      </c>
      <c r="AE282" s="252">
        <f t="shared" si="70"/>
        <v>75</v>
      </c>
      <c r="AF282" s="90">
        <f t="shared" si="71"/>
        <v>1.5</v>
      </c>
      <c r="AG282" s="32">
        <v>0</v>
      </c>
      <c r="AH282" s="247">
        <f t="shared" si="72"/>
        <v>25</v>
      </c>
      <c r="AI282" s="91">
        <f t="shared" si="73"/>
        <v>0.25</v>
      </c>
      <c r="AJ282" s="32"/>
      <c r="AK282" s="32">
        <v>0</v>
      </c>
      <c r="AL282" s="32">
        <v>0</v>
      </c>
      <c r="AM282" s="32">
        <v>0</v>
      </c>
      <c r="AN282" s="32">
        <v>0</v>
      </c>
      <c r="AO282" s="247">
        <f t="shared" si="64"/>
        <v>0</v>
      </c>
      <c r="AP282" s="247">
        <f t="shared" si="74"/>
        <v>25</v>
      </c>
      <c r="AQ282" s="90">
        <f t="shared" si="75"/>
        <v>0.5</v>
      </c>
      <c r="AR282" s="32">
        <v>0</v>
      </c>
      <c r="AS282" s="32">
        <v>0</v>
      </c>
      <c r="AT282" s="32">
        <v>0</v>
      </c>
      <c r="AU282" s="272" t="str">
        <f t="shared" si="76"/>
        <v>A</v>
      </c>
      <c r="AV282" s="247">
        <f t="shared" si="77"/>
        <v>100</v>
      </c>
      <c r="AW282" s="90">
        <f t="shared" si="78"/>
        <v>3</v>
      </c>
      <c r="AX282" s="163">
        <f t="shared" si="79"/>
        <v>6.0833333333333339</v>
      </c>
    </row>
    <row r="283" spans="1:50" x14ac:dyDescent="0.6">
      <c r="A283" s="214" t="s">
        <v>462</v>
      </c>
      <c r="B283" s="13" t="s">
        <v>2264</v>
      </c>
      <c r="C283" s="219" t="s">
        <v>893</v>
      </c>
      <c r="D283" s="216" t="s">
        <v>191</v>
      </c>
      <c r="E283" s="217" t="s">
        <v>34</v>
      </c>
      <c r="F283" s="217" t="s">
        <v>818</v>
      </c>
      <c r="G283" s="218">
        <v>40389</v>
      </c>
      <c r="H283" s="217" t="s">
        <v>830</v>
      </c>
      <c r="I283" s="217" t="s">
        <v>1921</v>
      </c>
      <c r="J283" s="1" t="s">
        <v>2309</v>
      </c>
      <c r="K283" s="217" t="s">
        <v>690</v>
      </c>
      <c r="L283" s="220">
        <v>1399293783</v>
      </c>
      <c r="M283" s="206">
        <v>813470761</v>
      </c>
      <c r="N283" s="206">
        <v>585823022</v>
      </c>
      <c r="O283" s="206">
        <v>982048866</v>
      </c>
      <c r="P283" s="206">
        <v>79110747</v>
      </c>
      <c r="Q283" s="206">
        <v>59432696</v>
      </c>
      <c r="R283" s="206">
        <v>50327230</v>
      </c>
      <c r="S283" s="32">
        <v>1</v>
      </c>
      <c r="T283" s="32">
        <v>0</v>
      </c>
      <c r="U283" s="32">
        <v>0</v>
      </c>
      <c r="V283" s="266">
        <f t="shared" si="65"/>
        <v>100</v>
      </c>
      <c r="W283" s="90">
        <f t="shared" si="66"/>
        <v>1</v>
      </c>
      <c r="X283" s="32">
        <v>0</v>
      </c>
      <c r="Y283" s="32">
        <v>0</v>
      </c>
      <c r="Z283" s="267">
        <f t="shared" si="67"/>
        <v>0</v>
      </c>
      <c r="AA283" s="268">
        <f t="shared" si="68"/>
        <v>33.333333333333336</v>
      </c>
      <c r="AB283" s="90">
        <f t="shared" si="69"/>
        <v>0.33333333333333337</v>
      </c>
      <c r="AC283" s="32">
        <v>0</v>
      </c>
      <c r="AD283" s="32">
        <v>1</v>
      </c>
      <c r="AE283" s="252">
        <f t="shared" si="70"/>
        <v>75</v>
      </c>
      <c r="AF283" s="90">
        <f t="shared" si="71"/>
        <v>1.5</v>
      </c>
      <c r="AG283" s="32">
        <v>1</v>
      </c>
      <c r="AH283" s="247">
        <f t="shared" si="72"/>
        <v>50</v>
      </c>
      <c r="AI283" s="91">
        <f t="shared" si="73"/>
        <v>0.5</v>
      </c>
      <c r="AJ283" s="32"/>
      <c r="AK283" s="32">
        <v>1</v>
      </c>
      <c r="AL283" s="32">
        <v>0</v>
      </c>
      <c r="AM283" s="32">
        <v>0</v>
      </c>
      <c r="AN283" s="32">
        <v>0</v>
      </c>
      <c r="AO283" s="247">
        <f t="shared" si="64"/>
        <v>1</v>
      </c>
      <c r="AP283" s="247">
        <f t="shared" si="74"/>
        <v>50</v>
      </c>
      <c r="AQ283" s="90">
        <f t="shared" si="75"/>
        <v>1</v>
      </c>
      <c r="AR283" s="32">
        <v>0</v>
      </c>
      <c r="AS283" s="32">
        <v>0</v>
      </c>
      <c r="AT283" s="32">
        <v>0</v>
      </c>
      <c r="AU283" s="272" t="str">
        <f t="shared" si="76"/>
        <v>A</v>
      </c>
      <c r="AV283" s="247">
        <f t="shared" si="77"/>
        <v>100</v>
      </c>
      <c r="AW283" s="90">
        <f t="shared" si="78"/>
        <v>3</v>
      </c>
      <c r="AX283" s="163">
        <f t="shared" si="79"/>
        <v>7.3333333333333339</v>
      </c>
    </row>
    <row r="284" spans="1:50" x14ac:dyDescent="0.6">
      <c r="A284" s="214" t="s">
        <v>1922</v>
      </c>
      <c r="B284" s="13" t="s">
        <v>2265</v>
      </c>
      <c r="C284" s="219" t="s">
        <v>882</v>
      </c>
      <c r="D284" s="216" t="s">
        <v>191</v>
      </c>
      <c r="E284" s="217" t="s">
        <v>190</v>
      </c>
      <c r="F284" s="217" t="s">
        <v>677</v>
      </c>
      <c r="G284" s="218">
        <v>35249</v>
      </c>
      <c r="H284" s="217" t="s">
        <v>830</v>
      </c>
      <c r="I284" s="217" t="s">
        <v>835</v>
      </c>
      <c r="J284" s="217" t="s">
        <v>1208</v>
      </c>
      <c r="K284" s="217" t="s">
        <v>91</v>
      </c>
      <c r="L284" s="220">
        <v>1687627808</v>
      </c>
      <c r="M284" s="206">
        <v>342539051</v>
      </c>
      <c r="N284" s="206">
        <v>1345088757</v>
      </c>
      <c r="O284" s="206">
        <v>1537082442</v>
      </c>
      <c r="P284" s="206">
        <v>174260144</v>
      </c>
      <c r="Q284" s="206">
        <v>166140393</v>
      </c>
      <c r="R284" s="206">
        <v>125065962</v>
      </c>
      <c r="S284" s="32">
        <v>0</v>
      </c>
      <c r="T284" s="32">
        <v>0</v>
      </c>
      <c r="U284" s="32">
        <v>0</v>
      </c>
      <c r="V284" s="266">
        <f t="shared" si="65"/>
        <v>50</v>
      </c>
      <c r="W284" s="90">
        <f t="shared" si="66"/>
        <v>0.5</v>
      </c>
      <c r="X284" s="32">
        <v>0</v>
      </c>
      <c r="Y284" s="32">
        <v>0</v>
      </c>
      <c r="Z284" s="267">
        <f t="shared" si="67"/>
        <v>0</v>
      </c>
      <c r="AA284" s="268">
        <f t="shared" si="68"/>
        <v>33.333333333333336</v>
      </c>
      <c r="AB284" s="90">
        <f t="shared" si="69"/>
        <v>0.33333333333333337</v>
      </c>
      <c r="AC284" s="32">
        <v>0</v>
      </c>
      <c r="AD284" s="32">
        <v>0</v>
      </c>
      <c r="AE284" s="252">
        <f t="shared" si="70"/>
        <v>25</v>
      </c>
      <c r="AF284" s="90">
        <f t="shared" si="71"/>
        <v>0.5</v>
      </c>
      <c r="AG284" s="32">
        <v>0</v>
      </c>
      <c r="AH284" s="247">
        <f t="shared" si="72"/>
        <v>25</v>
      </c>
      <c r="AI284" s="91">
        <f t="shared" si="73"/>
        <v>0.25</v>
      </c>
      <c r="AJ284" s="32"/>
      <c r="AK284" s="32">
        <v>0</v>
      </c>
      <c r="AL284" s="32">
        <v>0</v>
      </c>
      <c r="AM284" s="32">
        <v>0</v>
      </c>
      <c r="AN284" s="32">
        <v>0</v>
      </c>
      <c r="AO284" s="247">
        <f t="shared" si="64"/>
        <v>0</v>
      </c>
      <c r="AP284" s="247">
        <f t="shared" si="74"/>
        <v>25</v>
      </c>
      <c r="AQ284" s="90">
        <f t="shared" si="75"/>
        <v>0.5</v>
      </c>
      <c r="AR284" s="32">
        <v>0</v>
      </c>
      <c r="AS284" s="32">
        <v>0</v>
      </c>
      <c r="AT284" s="32">
        <v>0</v>
      </c>
      <c r="AU284" s="272" t="str">
        <f t="shared" si="76"/>
        <v>A</v>
      </c>
      <c r="AV284" s="247">
        <f t="shared" si="77"/>
        <v>100</v>
      </c>
      <c r="AW284" s="90">
        <f t="shared" si="78"/>
        <v>3</v>
      </c>
      <c r="AX284" s="163">
        <f t="shared" si="79"/>
        <v>5.0833333333333339</v>
      </c>
    </row>
    <row r="285" spans="1:50" x14ac:dyDescent="0.6">
      <c r="A285" s="214" t="s">
        <v>904</v>
      </c>
      <c r="B285" s="13" t="s">
        <v>2266</v>
      </c>
      <c r="C285" s="219" t="s">
        <v>494</v>
      </c>
      <c r="D285" s="216" t="s">
        <v>191</v>
      </c>
      <c r="E285" s="217" t="s">
        <v>190</v>
      </c>
      <c r="F285" s="217" t="s">
        <v>920</v>
      </c>
      <c r="G285" s="218">
        <v>39892</v>
      </c>
      <c r="H285" s="217" t="s">
        <v>830</v>
      </c>
      <c r="I285" s="217" t="s">
        <v>1923</v>
      </c>
      <c r="J285" s="217" t="s">
        <v>1130</v>
      </c>
      <c r="K285" s="217" t="s">
        <v>91</v>
      </c>
      <c r="L285" s="220">
        <v>1063253032</v>
      </c>
      <c r="M285" s="206">
        <v>502967240</v>
      </c>
      <c r="N285" s="206">
        <v>560285793</v>
      </c>
      <c r="O285" s="206">
        <v>2146018022</v>
      </c>
      <c r="P285" s="206">
        <v>175483550</v>
      </c>
      <c r="Q285" s="206">
        <v>145218477</v>
      </c>
      <c r="R285" s="206">
        <v>104290709</v>
      </c>
      <c r="S285" s="32">
        <v>1</v>
      </c>
      <c r="T285" s="32">
        <v>1</v>
      </c>
      <c r="U285" s="32">
        <v>0</v>
      </c>
      <c r="V285" s="266">
        <f t="shared" si="65"/>
        <v>100</v>
      </c>
      <c r="W285" s="90">
        <f t="shared" si="66"/>
        <v>1</v>
      </c>
      <c r="X285" s="32">
        <v>0</v>
      </c>
      <c r="Y285" s="32">
        <v>0</v>
      </c>
      <c r="Z285" s="267">
        <f t="shared" si="67"/>
        <v>0</v>
      </c>
      <c r="AA285" s="268">
        <f t="shared" si="68"/>
        <v>33.333333333333336</v>
      </c>
      <c r="AB285" s="90">
        <f t="shared" si="69"/>
        <v>0.33333333333333337</v>
      </c>
      <c r="AC285" s="32">
        <v>0</v>
      </c>
      <c r="AD285" s="32">
        <v>1</v>
      </c>
      <c r="AE285" s="252">
        <f t="shared" si="70"/>
        <v>75</v>
      </c>
      <c r="AF285" s="90">
        <f t="shared" si="71"/>
        <v>1.5</v>
      </c>
      <c r="AG285" s="32">
        <v>1</v>
      </c>
      <c r="AH285" s="247">
        <f t="shared" si="72"/>
        <v>50</v>
      </c>
      <c r="AI285" s="91">
        <f t="shared" si="73"/>
        <v>0.5</v>
      </c>
      <c r="AJ285" s="32"/>
      <c r="AK285" s="32">
        <v>0</v>
      </c>
      <c r="AL285" s="32">
        <v>0</v>
      </c>
      <c r="AM285" s="32">
        <v>0</v>
      </c>
      <c r="AN285" s="32">
        <v>0</v>
      </c>
      <c r="AO285" s="247">
        <f t="shared" si="64"/>
        <v>0</v>
      </c>
      <c r="AP285" s="247">
        <f t="shared" si="74"/>
        <v>25</v>
      </c>
      <c r="AQ285" s="90">
        <f t="shared" si="75"/>
        <v>0.5</v>
      </c>
      <c r="AR285" s="32">
        <v>0</v>
      </c>
      <c r="AS285" s="32">
        <v>0</v>
      </c>
      <c r="AT285" s="32">
        <v>0</v>
      </c>
      <c r="AU285" s="272" t="str">
        <f t="shared" si="76"/>
        <v>A</v>
      </c>
      <c r="AV285" s="247">
        <f t="shared" si="77"/>
        <v>100</v>
      </c>
      <c r="AW285" s="90">
        <f t="shared" si="78"/>
        <v>3</v>
      </c>
      <c r="AX285" s="163">
        <f t="shared" si="79"/>
        <v>6.8333333333333339</v>
      </c>
    </row>
    <row r="286" spans="1:50" x14ac:dyDescent="0.6">
      <c r="A286" s="214" t="s">
        <v>929</v>
      </c>
      <c r="B286" s="13" t="s">
        <v>2267</v>
      </c>
      <c r="C286" s="219" t="s">
        <v>925</v>
      </c>
      <c r="D286" s="216" t="s">
        <v>285</v>
      </c>
      <c r="E286" s="217" t="s">
        <v>622</v>
      </c>
      <c r="F286" s="217" t="s">
        <v>142</v>
      </c>
      <c r="G286" s="218">
        <v>32825</v>
      </c>
      <c r="H286" s="217" t="s">
        <v>830</v>
      </c>
      <c r="I286" s="217" t="s">
        <v>825</v>
      </c>
      <c r="J286" s="217" t="s">
        <v>645</v>
      </c>
      <c r="K286" s="217" t="s">
        <v>91</v>
      </c>
      <c r="L286" s="220">
        <v>155630578</v>
      </c>
      <c r="M286" s="206">
        <v>90528054</v>
      </c>
      <c r="N286" s="206">
        <v>65102524</v>
      </c>
      <c r="O286" s="206">
        <v>645266960</v>
      </c>
      <c r="P286" s="206">
        <v>10863969</v>
      </c>
      <c r="Q286" s="206">
        <v>8506214</v>
      </c>
      <c r="R286" s="206">
        <v>6849115</v>
      </c>
      <c r="S286" s="32">
        <v>0</v>
      </c>
      <c r="T286" s="32">
        <v>0</v>
      </c>
      <c r="U286" s="32">
        <v>0</v>
      </c>
      <c r="V286" s="266">
        <f t="shared" si="65"/>
        <v>50</v>
      </c>
      <c r="W286" s="90">
        <f t="shared" si="66"/>
        <v>0.5</v>
      </c>
      <c r="X286" s="32">
        <v>0</v>
      </c>
      <c r="Y286" s="32">
        <v>0</v>
      </c>
      <c r="Z286" s="267">
        <f t="shared" si="67"/>
        <v>0</v>
      </c>
      <c r="AA286" s="268">
        <f t="shared" si="68"/>
        <v>33.333333333333336</v>
      </c>
      <c r="AB286" s="90">
        <f t="shared" si="69"/>
        <v>0.33333333333333337</v>
      </c>
      <c r="AC286" s="32">
        <v>0</v>
      </c>
      <c r="AD286" s="32">
        <v>1</v>
      </c>
      <c r="AE286" s="252">
        <f t="shared" si="70"/>
        <v>75</v>
      </c>
      <c r="AF286" s="90">
        <f t="shared" si="71"/>
        <v>1.5</v>
      </c>
      <c r="AG286" s="32">
        <v>0</v>
      </c>
      <c r="AH286" s="247">
        <f t="shared" si="72"/>
        <v>25</v>
      </c>
      <c r="AI286" s="91">
        <f t="shared" si="73"/>
        <v>0.25</v>
      </c>
      <c r="AJ286" s="32"/>
      <c r="AK286" s="32">
        <v>0</v>
      </c>
      <c r="AL286" s="32">
        <v>0</v>
      </c>
      <c r="AM286" s="32">
        <v>0</v>
      </c>
      <c r="AN286" s="32">
        <v>0</v>
      </c>
      <c r="AO286" s="247">
        <f t="shared" si="64"/>
        <v>0</v>
      </c>
      <c r="AP286" s="247">
        <f t="shared" si="74"/>
        <v>25</v>
      </c>
      <c r="AQ286" s="90">
        <f t="shared" si="75"/>
        <v>0.5</v>
      </c>
      <c r="AR286" s="32">
        <v>0</v>
      </c>
      <c r="AS286" s="32">
        <v>0</v>
      </c>
      <c r="AT286" s="32">
        <v>0</v>
      </c>
      <c r="AU286" s="272" t="str">
        <f t="shared" si="76"/>
        <v>A</v>
      </c>
      <c r="AV286" s="247">
        <f t="shared" si="77"/>
        <v>100</v>
      </c>
      <c r="AW286" s="90">
        <f t="shared" si="78"/>
        <v>3</v>
      </c>
      <c r="AX286" s="163">
        <f t="shared" si="79"/>
        <v>6.0833333333333339</v>
      </c>
    </row>
    <row r="287" spans="1:50" x14ac:dyDescent="0.6">
      <c r="A287" s="214" t="s">
        <v>467</v>
      </c>
      <c r="B287" s="13" t="s">
        <v>2268</v>
      </c>
      <c r="C287" s="219" t="s">
        <v>41</v>
      </c>
      <c r="D287" s="216" t="s">
        <v>203</v>
      </c>
      <c r="E287" s="217" t="s">
        <v>180</v>
      </c>
      <c r="F287" s="217" t="s">
        <v>135</v>
      </c>
      <c r="G287" s="218">
        <v>32648</v>
      </c>
      <c r="H287" s="217" t="s">
        <v>830</v>
      </c>
      <c r="I287" s="217" t="s">
        <v>788</v>
      </c>
      <c r="J287" s="217" t="s">
        <v>649</v>
      </c>
      <c r="K287" s="217" t="s">
        <v>91</v>
      </c>
      <c r="L287" s="220">
        <v>969016968</v>
      </c>
      <c r="M287" s="206">
        <v>318689082</v>
      </c>
      <c r="N287" s="206">
        <v>650327885</v>
      </c>
      <c r="O287" s="206">
        <v>637646664</v>
      </c>
      <c r="P287" s="206">
        <v>145266257</v>
      </c>
      <c r="Q287" s="206">
        <v>152220142</v>
      </c>
      <c r="R287" s="206">
        <v>120839991</v>
      </c>
      <c r="S287" s="32">
        <v>0</v>
      </c>
      <c r="T287" s="32">
        <v>1</v>
      </c>
      <c r="U287" s="32">
        <v>0</v>
      </c>
      <c r="V287" s="266">
        <f t="shared" si="65"/>
        <v>100</v>
      </c>
      <c r="W287" s="90">
        <f t="shared" si="66"/>
        <v>1</v>
      </c>
      <c r="X287" s="32">
        <v>0</v>
      </c>
      <c r="Y287" s="32">
        <v>0</v>
      </c>
      <c r="Z287" s="267">
        <f t="shared" si="67"/>
        <v>0</v>
      </c>
      <c r="AA287" s="268">
        <f t="shared" si="68"/>
        <v>33.333333333333336</v>
      </c>
      <c r="AB287" s="90">
        <f t="shared" si="69"/>
        <v>0.33333333333333337</v>
      </c>
      <c r="AC287" s="32">
        <v>0</v>
      </c>
      <c r="AD287" s="32">
        <v>1</v>
      </c>
      <c r="AE287" s="252">
        <f t="shared" si="70"/>
        <v>75</v>
      </c>
      <c r="AF287" s="90">
        <f t="shared" si="71"/>
        <v>1.5</v>
      </c>
      <c r="AG287" s="32">
        <v>0</v>
      </c>
      <c r="AH287" s="247">
        <f t="shared" si="72"/>
        <v>25</v>
      </c>
      <c r="AI287" s="91">
        <f t="shared" si="73"/>
        <v>0.25</v>
      </c>
      <c r="AJ287" s="32"/>
      <c r="AK287" s="32">
        <v>1</v>
      </c>
      <c r="AL287" s="32">
        <v>0</v>
      </c>
      <c r="AM287" s="32">
        <v>0</v>
      </c>
      <c r="AN287" s="32">
        <v>0</v>
      </c>
      <c r="AO287" s="247">
        <f t="shared" si="64"/>
        <v>1</v>
      </c>
      <c r="AP287" s="247">
        <f t="shared" si="74"/>
        <v>50</v>
      </c>
      <c r="AQ287" s="90">
        <f t="shared" si="75"/>
        <v>1</v>
      </c>
      <c r="AR287" s="32">
        <v>0</v>
      </c>
      <c r="AS287" s="32">
        <v>0</v>
      </c>
      <c r="AT287" s="32">
        <v>0</v>
      </c>
      <c r="AU287" s="272" t="str">
        <f t="shared" si="76"/>
        <v>A</v>
      </c>
      <c r="AV287" s="247">
        <f t="shared" si="77"/>
        <v>100</v>
      </c>
      <c r="AW287" s="90">
        <f t="shared" si="78"/>
        <v>3</v>
      </c>
      <c r="AX287" s="163">
        <f t="shared" si="79"/>
        <v>7.0833333333333339</v>
      </c>
    </row>
    <row r="288" spans="1:50" x14ac:dyDescent="0.6">
      <c r="A288" s="214" t="s">
        <v>296</v>
      </c>
      <c r="B288" s="13" t="s">
        <v>2269</v>
      </c>
      <c r="C288" s="219" t="s">
        <v>459</v>
      </c>
      <c r="D288" s="216" t="s">
        <v>285</v>
      </c>
      <c r="E288" s="217" t="s">
        <v>171</v>
      </c>
      <c r="F288" s="217" t="s">
        <v>168</v>
      </c>
      <c r="G288" s="218">
        <v>32659</v>
      </c>
      <c r="H288" s="217" t="s">
        <v>830</v>
      </c>
      <c r="I288" s="217" t="s">
        <v>630</v>
      </c>
      <c r="J288" s="217" t="s">
        <v>1223</v>
      </c>
      <c r="K288" s="217" t="s">
        <v>91</v>
      </c>
      <c r="L288" s="220">
        <v>121534902</v>
      </c>
      <c r="M288" s="206">
        <v>73176603</v>
      </c>
      <c r="N288" s="206">
        <v>48358299</v>
      </c>
      <c r="O288" s="206">
        <v>290909595</v>
      </c>
      <c r="P288" s="206">
        <v>4928985</v>
      </c>
      <c r="Q288" s="206">
        <v>3719511</v>
      </c>
      <c r="R288" s="206">
        <v>2563552</v>
      </c>
      <c r="S288" s="32">
        <v>0</v>
      </c>
      <c r="T288" s="32">
        <v>0</v>
      </c>
      <c r="U288" s="32">
        <v>0</v>
      </c>
      <c r="V288" s="266">
        <f t="shared" si="65"/>
        <v>50</v>
      </c>
      <c r="W288" s="90">
        <f t="shared" si="66"/>
        <v>0.5</v>
      </c>
      <c r="X288" s="32">
        <v>0</v>
      </c>
      <c r="Y288" s="32">
        <v>0</v>
      </c>
      <c r="Z288" s="267">
        <f t="shared" si="67"/>
        <v>0</v>
      </c>
      <c r="AA288" s="268">
        <f t="shared" si="68"/>
        <v>33.333333333333336</v>
      </c>
      <c r="AB288" s="90">
        <f t="shared" si="69"/>
        <v>0.33333333333333337</v>
      </c>
      <c r="AC288" s="32">
        <v>0</v>
      </c>
      <c r="AD288" s="32">
        <v>0</v>
      </c>
      <c r="AE288" s="252">
        <f t="shared" si="70"/>
        <v>25</v>
      </c>
      <c r="AF288" s="90">
        <f t="shared" si="71"/>
        <v>0.5</v>
      </c>
      <c r="AG288" s="32">
        <v>0</v>
      </c>
      <c r="AH288" s="247">
        <f t="shared" si="72"/>
        <v>25</v>
      </c>
      <c r="AI288" s="91">
        <f t="shared" si="73"/>
        <v>0.25</v>
      </c>
      <c r="AJ288" s="32"/>
      <c r="AK288" s="32">
        <v>0</v>
      </c>
      <c r="AL288" s="32">
        <v>0</v>
      </c>
      <c r="AM288" s="32">
        <v>0</v>
      </c>
      <c r="AN288" s="32">
        <v>0</v>
      </c>
      <c r="AO288" s="247">
        <f t="shared" si="64"/>
        <v>0</v>
      </c>
      <c r="AP288" s="247">
        <f t="shared" si="74"/>
        <v>25</v>
      </c>
      <c r="AQ288" s="90">
        <f t="shared" si="75"/>
        <v>0.5</v>
      </c>
      <c r="AR288" s="32">
        <v>0</v>
      </c>
      <c r="AS288" s="32">
        <v>0</v>
      </c>
      <c r="AT288" s="32">
        <v>0</v>
      </c>
      <c r="AU288" s="272" t="str">
        <f t="shared" si="76"/>
        <v>A</v>
      </c>
      <c r="AV288" s="247">
        <f t="shared" si="77"/>
        <v>100</v>
      </c>
      <c r="AW288" s="90">
        <f t="shared" si="78"/>
        <v>3</v>
      </c>
      <c r="AX288" s="163">
        <f t="shared" si="79"/>
        <v>5.0833333333333339</v>
      </c>
    </row>
    <row r="289" spans="1:50" x14ac:dyDescent="0.6">
      <c r="A289" s="214" t="s">
        <v>1924</v>
      </c>
      <c r="B289" s="13" t="s">
        <v>2270</v>
      </c>
      <c r="C289" s="219" t="s">
        <v>1925</v>
      </c>
      <c r="D289" s="14" t="s">
        <v>285</v>
      </c>
      <c r="E289" s="217" t="s">
        <v>872</v>
      </c>
      <c r="F289" s="217" t="s">
        <v>1926</v>
      </c>
      <c r="G289" s="218">
        <v>27948</v>
      </c>
      <c r="H289" s="217" t="s">
        <v>830</v>
      </c>
      <c r="I289" s="217" t="s">
        <v>1927</v>
      </c>
      <c r="J289" s="217" t="s">
        <v>1928</v>
      </c>
      <c r="K289" s="217" t="s">
        <v>690</v>
      </c>
      <c r="L289" s="220">
        <v>1997213424</v>
      </c>
      <c r="M289" s="206">
        <v>1274120644</v>
      </c>
      <c r="N289" s="206">
        <v>723092780</v>
      </c>
      <c r="O289" s="206">
        <v>1190595681</v>
      </c>
      <c r="P289" s="206">
        <v>36051365</v>
      </c>
      <c r="Q289" s="206">
        <v>66290683</v>
      </c>
      <c r="R289" s="206">
        <v>50369228</v>
      </c>
      <c r="S289" s="32">
        <v>0</v>
      </c>
      <c r="T289" s="32">
        <v>0</v>
      </c>
      <c r="U289" s="32">
        <v>0</v>
      </c>
      <c r="V289" s="266">
        <f t="shared" si="65"/>
        <v>50</v>
      </c>
      <c r="W289" s="90">
        <f t="shared" si="66"/>
        <v>0.5</v>
      </c>
      <c r="X289" s="32">
        <v>0</v>
      </c>
      <c r="Y289" s="32">
        <v>0</v>
      </c>
      <c r="Z289" s="267">
        <f t="shared" si="67"/>
        <v>0</v>
      </c>
      <c r="AA289" s="268">
        <f t="shared" si="68"/>
        <v>33.333333333333336</v>
      </c>
      <c r="AB289" s="90">
        <f t="shared" si="69"/>
        <v>0.33333333333333337</v>
      </c>
      <c r="AC289" s="32">
        <v>0</v>
      </c>
      <c r="AD289" s="32">
        <v>1</v>
      </c>
      <c r="AE289" s="252">
        <f t="shared" si="70"/>
        <v>75</v>
      </c>
      <c r="AF289" s="90">
        <f t="shared" si="71"/>
        <v>1.5</v>
      </c>
      <c r="AG289" s="32">
        <v>0</v>
      </c>
      <c r="AH289" s="247">
        <f t="shared" si="72"/>
        <v>25</v>
      </c>
      <c r="AI289" s="91">
        <f t="shared" si="73"/>
        <v>0.25</v>
      </c>
      <c r="AJ289" s="32"/>
      <c r="AK289" s="32">
        <v>0</v>
      </c>
      <c r="AL289" s="32">
        <v>0</v>
      </c>
      <c r="AM289" s="32">
        <v>0</v>
      </c>
      <c r="AN289" s="32">
        <v>0</v>
      </c>
      <c r="AO289" s="247">
        <f t="shared" si="64"/>
        <v>0</v>
      </c>
      <c r="AP289" s="247">
        <f t="shared" si="74"/>
        <v>25</v>
      </c>
      <c r="AQ289" s="90">
        <f t="shared" si="75"/>
        <v>0.5</v>
      </c>
      <c r="AR289" s="32">
        <v>0</v>
      </c>
      <c r="AS289" s="32">
        <v>0</v>
      </c>
      <c r="AT289" s="32">
        <v>0</v>
      </c>
      <c r="AU289" s="272" t="str">
        <f t="shared" si="76"/>
        <v>A</v>
      </c>
      <c r="AV289" s="247">
        <f t="shared" si="77"/>
        <v>100</v>
      </c>
      <c r="AW289" s="90">
        <f t="shared" si="78"/>
        <v>3</v>
      </c>
      <c r="AX289" s="163">
        <f t="shared" si="79"/>
        <v>6.0833333333333339</v>
      </c>
    </row>
    <row r="290" spans="1:50" x14ac:dyDescent="0.6">
      <c r="A290" s="214" t="s">
        <v>1929</v>
      </c>
      <c r="B290" s="13" t="s">
        <v>2271</v>
      </c>
      <c r="C290" s="219" t="s">
        <v>928</v>
      </c>
      <c r="D290" s="221" t="s">
        <v>350</v>
      </c>
      <c r="E290" s="217" t="s">
        <v>179</v>
      </c>
      <c r="F290" s="217" t="s">
        <v>808</v>
      </c>
      <c r="G290" s="218">
        <v>32206</v>
      </c>
      <c r="H290" s="217" t="s">
        <v>830</v>
      </c>
      <c r="I290" s="217" t="s">
        <v>817</v>
      </c>
      <c r="J290" s="217" t="s">
        <v>1121</v>
      </c>
      <c r="K290" s="217" t="s">
        <v>91</v>
      </c>
      <c r="L290" s="220">
        <v>1502891064</v>
      </c>
      <c r="M290" s="206">
        <v>1043504163</v>
      </c>
      <c r="N290" s="206">
        <v>459386901</v>
      </c>
      <c r="O290" s="206">
        <v>1117144964</v>
      </c>
      <c r="P290" s="206">
        <v>37196835</v>
      </c>
      <c r="Q290" s="206">
        <v>35531502</v>
      </c>
      <c r="R290" s="206">
        <v>24033308</v>
      </c>
      <c r="S290" s="32">
        <v>0</v>
      </c>
      <c r="T290" s="32">
        <v>0</v>
      </c>
      <c r="U290" s="32">
        <v>0</v>
      </c>
      <c r="V290" s="266">
        <f t="shared" si="65"/>
        <v>50</v>
      </c>
      <c r="W290" s="90">
        <f t="shared" si="66"/>
        <v>0.5</v>
      </c>
      <c r="X290" s="32">
        <v>0</v>
      </c>
      <c r="Y290" s="32">
        <v>0</v>
      </c>
      <c r="Z290" s="267">
        <f t="shared" si="67"/>
        <v>0</v>
      </c>
      <c r="AA290" s="268">
        <f t="shared" si="68"/>
        <v>33.333333333333336</v>
      </c>
      <c r="AB290" s="90">
        <f t="shared" si="69"/>
        <v>0.33333333333333337</v>
      </c>
      <c r="AC290" s="32">
        <v>0</v>
      </c>
      <c r="AD290" s="32">
        <v>1</v>
      </c>
      <c r="AE290" s="252">
        <f t="shared" si="70"/>
        <v>75</v>
      </c>
      <c r="AF290" s="90">
        <f t="shared" si="71"/>
        <v>1.5</v>
      </c>
      <c r="AG290" s="32">
        <v>1</v>
      </c>
      <c r="AH290" s="247">
        <f t="shared" si="72"/>
        <v>50</v>
      </c>
      <c r="AI290" s="91">
        <f t="shared" si="73"/>
        <v>0.5</v>
      </c>
      <c r="AJ290" s="32"/>
      <c r="AK290" s="32">
        <v>0</v>
      </c>
      <c r="AL290" s="32">
        <v>0</v>
      </c>
      <c r="AM290" s="32">
        <v>0</v>
      </c>
      <c r="AN290" s="32">
        <v>0</v>
      </c>
      <c r="AO290" s="247">
        <f t="shared" si="64"/>
        <v>0</v>
      </c>
      <c r="AP290" s="247">
        <f t="shared" si="74"/>
        <v>25</v>
      </c>
      <c r="AQ290" s="90">
        <f t="shared" si="75"/>
        <v>0.5</v>
      </c>
      <c r="AR290" s="32">
        <v>0</v>
      </c>
      <c r="AS290" s="32">
        <v>0</v>
      </c>
      <c r="AT290" s="32">
        <v>0</v>
      </c>
      <c r="AU290" s="272" t="str">
        <f t="shared" si="76"/>
        <v>A</v>
      </c>
      <c r="AV290" s="247">
        <f t="shared" si="77"/>
        <v>100</v>
      </c>
      <c r="AW290" s="90">
        <f t="shared" si="78"/>
        <v>3</v>
      </c>
      <c r="AX290" s="163">
        <v>0</v>
      </c>
    </row>
    <row r="291" spans="1:50" x14ac:dyDescent="0.6">
      <c r="A291" s="214" t="s">
        <v>540</v>
      </c>
      <c r="B291" s="13" t="s">
        <v>2272</v>
      </c>
      <c r="C291" s="219" t="s">
        <v>902</v>
      </c>
      <c r="D291" s="216" t="s">
        <v>191</v>
      </c>
      <c r="E291" s="217" t="s">
        <v>34</v>
      </c>
      <c r="F291" s="217" t="s">
        <v>995</v>
      </c>
      <c r="G291" s="218">
        <v>32860</v>
      </c>
      <c r="H291" s="217" t="s">
        <v>830</v>
      </c>
      <c r="I291" s="217" t="s">
        <v>1930</v>
      </c>
      <c r="J291" s="217" t="s">
        <v>1134</v>
      </c>
      <c r="K291" s="217" t="s">
        <v>934</v>
      </c>
      <c r="L291" s="220">
        <v>213430249</v>
      </c>
      <c r="M291" s="206">
        <v>44956203</v>
      </c>
      <c r="N291" s="206">
        <v>168474046</v>
      </c>
      <c r="O291" s="206">
        <v>109995419</v>
      </c>
      <c r="P291" s="206">
        <v>1769754</v>
      </c>
      <c r="Q291" s="206">
        <v>2224437</v>
      </c>
      <c r="R291" s="206">
        <v>546481</v>
      </c>
      <c r="S291" s="32">
        <v>0</v>
      </c>
      <c r="T291" s="32">
        <v>0</v>
      </c>
      <c r="U291" s="32">
        <v>0</v>
      </c>
      <c r="V291" s="266">
        <f t="shared" si="65"/>
        <v>50</v>
      </c>
      <c r="W291" s="90">
        <f t="shared" si="66"/>
        <v>0.5</v>
      </c>
      <c r="X291" s="32">
        <v>0</v>
      </c>
      <c r="Y291" s="32">
        <v>0</v>
      </c>
      <c r="Z291" s="267">
        <f t="shared" si="67"/>
        <v>0</v>
      </c>
      <c r="AA291" s="268">
        <f t="shared" si="68"/>
        <v>33.333333333333336</v>
      </c>
      <c r="AB291" s="90">
        <f t="shared" si="69"/>
        <v>0.33333333333333337</v>
      </c>
      <c r="AC291" s="32">
        <v>0</v>
      </c>
      <c r="AD291" s="32">
        <v>0</v>
      </c>
      <c r="AE291" s="252">
        <f t="shared" si="70"/>
        <v>25</v>
      </c>
      <c r="AF291" s="90">
        <f t="shared" si="71"/>
        <v>0.5</v>
      </c>
      <c r="AG291" s="32">
        <v>0</v>
      </c>
      <c r="AH291" s="247">
        <f t="shared" si="72"/>
        <v>25</v>
      </c>
      <c r="AI291" s="91">
        <f t="shared" si="73"/>
        <v>0.25</v>
      </c>
      <c r="AJ291" s="32"/>
      <c r="AK291" s="32">
        <v>0</v>
      </c>
      <c r="AL291" s="32">
        <v>0</v>
      </c>
      <c r="AM291" s="32">
        <v>0</v>
      </c>
      <c r="AN291" s="32">
        <v>0</v>
      </c>
      <c r="AO291" s="247">
        <f t="shared" si="64"/>
        <v>0</v>
      </c>
      <c r="AP291" s="247">
        <f t="shared" si="74"/>
        <v>25</v>
      </c>
      <c r="AQ291" s="90">
        <f t="shared" si="75"/>
        <v>0.5</v>
      </c>
      <c r="AR291" s="32">
        <v>0</v>
      </c>
      <c r="AS291" s="32">
        <v>0</v>
      </c>
      <c r="AT291" s="32">
        <v>0</v>
      </c>
      <c r="AU291" s="272" t="str">
        <f t="shared" si="76"/>
        <v>A</v>
      </c>
      <c r="AV291" s="247">
        <f t="shared" si="77"/>
        <v>100</v>
      </c>
      <c r="AW291" s="90">
        <f t="shared" si="78"/>
        <v>3</v>
      </c>
      <c r="AX291" s="163">
        <f t="shared" si="79"/>
        <v>5.0833333333333339</v>
      </c>
    </row>
    <row r="292" spans="1:50" x14ac:dyDescent="0.6">
      <c r="A292" s="214" t="s">
        <v>291</v>
      </c>
      <c r="B292" s="13" t="s">
        <v>2273</v>
      </c>
      <c r="C292" s="219" t="s">
        <v>894</v>
      </c>
      <c r="D292" s="216" t="s">
        <v>203</v>
      </c>
      <c r="E292" s="217" t="s">
        <v>1179</v>
      </c>
      <c r="F292" s="217" t="s">
        <v>379</v>
      </c>
      <c r="G292" s="218">
        <v>43318</v>
      </c>
      <c r="H292" s="217" t="s">
        <v>830</v>
      </c>
      <c r="I292" s="217" t="s">
        <v>801</v>
      </c>
      <c r="J292" s="217" t="s">
        <v>1240</v>
      </c>
      <c r="K292" s="217" t="s">
        <v>91</v>
      </c>
      <c r="L292" s="220">
        <v>1920187832</v>
      </c>
      <c r="M292" s="206">
        <v>578102236</v>
      </c>
      <c r="N292" s="206">
        <v>1342085595</v>
      </c>
      <c r="O292" s="206">
        <v>1059617234</v>
      </c>
      <c r="P292" s="206">
        <v>81393435</v>
      </c>
      <c r="Q292" s="206">
        <v>87194859</v>
      </c>
      <c r="R292" s="206">
        <v>65472999</v>
      </c>
      <c r="S292" s="32">
        <v>1</v>
      </c>
      <c r="T292" s="32">
        <v>0</v>
      </c>
      <c r="U292" s="32">
        <v>0</v>
      </c>
      <c r="V292" s="266">
        <f t="shared" si="65"/>
        <v>100</v>
      </c>
      <c r="W292" s="90">
        <f t="shared" si="66"/>
        <v>1</v>
      </c>
      <c r="X292" s="32">
        <v>0</v>
      </c>
      <c r="Y292" s="32">
        <v>0</v>
      </c>
      <c r="Z292" s="267">
        <f t="shared" si="67"/>
        <v>0</v>
      </c>
      <c r="AA292" s="268">
        <f t="shared" si="68"/>
        <v>33.333333333333336</v>
      </c>
      <c r="AB292" s="90">
        <f t="shared" si="69"/>
        <v>0.33333333333333337</v>
      </c>
      <c r="AC292" s="32">
        <v>0</v>
      </c>
      <c r="AD292" s="32">
        <v>1</v>
      </c>
      <c r="AE292" s="252">
        <f t="shared" si="70"/>
        <v>75</v>
      </c>
      <c r="AF292" s="90">
        <f t="shared" si="71"/>
        <v>1.5</v>
      </c>
      <c r="AG292" s="32">
        <v>1</v>
      </c>
      <c r="AH292" s="247">
        <f t="shared" si="72"/>
        <v>50</v>
      </c>
      <c r="AI292" s="91">
        <f t="shared" si="73"/>
        <v>0.5</v>
      </c>
      <c r="AJ292" s="32"/>
      <c r="AK292" s="32">
        <v>1</v>
      </c>
      <c r="AL292" s="32">
        <v>0</v>
      </c>
      <c r="AM292" s="32">
        <v>0</v>
      </c>
      <c r="AN292" s="32">
        <v>0</v>
      </c>
      <c r="AO292" s="247">
        <f t="shared" si="64"/>
        <v>1</v>
      </c>
      <c r="AP292" s="247">
        <f t="shared" si="74"/>
        <v>50</v>
      </c>
      <c r="AQ292" s="90">
        <f t="shared" si="75"/>
        <v>1</v>
      </c>
      <c r="AR292" s="32">
        <v>0</v>
      </c>
      <c r="AS292" s="32">
        <v>1</v>
      </c>
      <c r="AT292" s="32">
        <v>0</v>
      </c>
      <c r="AU292" s="272" t="str">
        <f t="shared" si="76"/>
        <v>C</v>
      </c>
      <c r="AV292" s="247">
        <f t="shared" si="77"/>
        <v>50</v>
      </c>
      <c r="AW292" s="90">
        <f t="shared" si="78"/>
        <v>1.5</v>
      </c>
      <c r="AX292" s="163">
        <f t="shared" si="79"/>
        <v>5.8333333333333339</v>
      </c>
    </row>
    <row r="293" spans="1:50" x14ac:dyDescent="0.6">
      <c r="A293" s="214" t="s">
        <v>354</v>
      </c>
      <c r="B293" s="13" t="s">
        <v>2274</v>
      </c>
      <c r="C293" s="219" t="s">
        <v>368</v>
      </c>
      <c r="D293" s="216" t="s">
        <v>203</v>
      </c>
      <c r="E293" s="217" t="s">
        <v>1179</v>
      </c>
      <c r="F293" s="217" t="s">
        <v>145</v>
      </c>
      <c r="G293" s="218">
        <v>27754</v>
      </c>
      <c r="H293" s="217" t="s">
        <v>830</v>
      </c>
      <c r="I293" s="217" t="s">
        <v>801</v>
      </c>
      <c r="J293" s="217" t="s">
        <v>651</v>
      </c>
      <c r="K293" s="217" t="s">
        <v>91</v>
      </c>
      <c r="L293" s="220">
        <v>649126014</v>
      </c>
      <c r="M293" s="206">
        <v>285245442</v>
      </c>
      <c r="N293" s="206">
        <v>363880572</v>
      </c>
      <c r="O293" s="206">
        <v>471150174</v>
      </c>
      <c r="P293" s="206">
        <v>35168294</v>
      </c>
      <c r="Q293" s="206">
        <v>44443695</v>
      </c>
      <c r="R293" s="206">
        <v>35704071</v>
      </c>
      <c r="S293" s="32">
        <v>1</v>
      </c>
      <c r="T293" s="32">
        <v>0</v>
      </c>
      <c r="U293" s="32">
        <v>0</v>
      </c>
      <c r="V293" s="266">
        <f t="shared" si="65"/>
        <v>100</v>
      </c>
      <c r="W293" s="90">
        <f t="shared" si="66"/>
        <v>1</v>
      </c>
      <c r="X293" s="32">
        <v>0</v>
      </c>
      <c r="Y293" s="32">
        <v>0</v>
      </c>
      <c r="Z293" s="267">
        <f t="shared" si="67"/>
        <v>0</v>
      </c>
      <c r="AA293" s="268">
        <f t="shared" si="68"/>
        <v>33.333333333333336</v>
      </c>
      <c r="AB293" s="90">
        <f t="shared" si="69"/>
        <v>0.33333333333333337</v>
      </c>
      <c r="AC293" s="32">
        <v>3392000</v>
      </c>
      <c r="AD293" s="32">
        <v>1</v>
      </c>
      <c r="AE293" s="252">
        <f t="shared" si="70"/>
        <v>100</v>
      </c>
      <c r="AF293" s="90">
        <f t="shared" si="71"/>
        <v>2</v>
      </c>
      <c r="AG293" s="32">
        <v>3</v>
      </c>
      <c r="AH293" s="247">
        <f t="shared" si="72"/>
        <v>100</v>
      </c>
      <c r="AI293" s="91">
        <f t="shared" si="73"/>
        <v>1</v>
      </c>
      <c r="AJ293" s="32"/>
      <c r="AK293" s="32">
        <v>1</v>
      </c>
      <c r="AL293" s="32">
        <v>0</v>
      </c>
      <c r="AM293" s="32">
        <v>0</v>
      </c>
      <c r="AN293" s="32">
        <v>0</v>
      </c>
      <c r="AO293" s="247">
        <f t="shared" si="64"/>
        <v>1</v>
      </c>
      <c r="AP293" s="247">
        <f t="shared" si="74"/>
        <v>50</v>
      </c>
      <c r="AQ293" s="90">
        <f t="shared" si="75"/>
        <v>1</v>
      </c>
      <c r="AR293" s="32">
        <v>0</v>
      </c>
      <c r="AS293" s="32">
        <v>0</v>
      </c>
      <c r="AT293" s="32">
        <v>0</v>
      </c>
      <c r="AU293" s="272" t="str">
        <f t="shared" si="76"/>
        <v>A</v>
      </c>
      <c r="AV293" s="247">
        <f t="shared" si="77"/>
        <v>100</v>
      </c>
      <c r="AW293" s="90">
        <f t="shared" si="78"/>
        <v>3</v>
      </c>
      <c r="AX293" s="163">
        <f t="shared" si="79"/>
        <v>8.3333333333333339</v>
      </c>
    </row>
    <row r="294" spans="1:50" x14ac:dyDescent="0.6">
      <c r="A294" s="214" t="s">
        <v>1931</v>
      </c>
      <c r="B294" s="13" t="s">
        <v>2275</v>
      </c>
      <c r="C294" s="219" t="s">
        <v>1932</v>
      </c>
      <c r="D294" s="14" t="s">
        <v>285</v>
      </c>
      <c r="E294" s="217" t="s">
        <v>1167</v>
      </c>
      <c r="F294" s="217" t="s">
        <v>1933</v>
      </c>
      <c r="G294" s="218">
        <v>40528</v>
      </c>
      <c r="H294" s="217" t="s">
        <v>830</v>
      </c>
      <c r="I294" s="217" t="s">
        <v>1934</v>
      </c>
      <c r="J294" s="217" t="s">
        <v>1935</v>
      </c>
      <c r="K294" s="217" t="s">
        <v>91</v>
      </c>
      <c r="L294" s="220">
        <v>152002052</v>
      </c>
      <c r="M294" s="206">
        <v>59834292</v>
      </c>
      <c r="N294" s="206">
        <v>92167760</v>
      </c>
      <c r="O294" s="206">
        <v>337599455</v>
      </c>
      <c r="P294" s="206">
        <v>14950788</v>
      </c>
      <c r="Q294" s="206">
        <v>19578310</v>
      </c>
      <c r="R294" s="206">
        <v>14881619</v>
      </c>
      <c r="S294" s="32">
        <v>0</v>
      </c>
      <c r="T294" s="32">
        <v>0</v>
      </c>
      <c r="U294" s="32">
        <v>0</v>
      </c>
      <c r="V294" s="266">
        <f t="shared" si="65"/>
        <v>50</v>
      </c>
      <c r="W294" s="90">
        <f t="shared" si="66"/>
        <v>0.5</v>
      </c>
      <c r="X294" s="32">
        <v>1</v>
      </c>
      <c r="Y294" s="32">
        <v>0</v>
      </c>
      <c r="Z294" s="267">
        <f t="shared" si="67"/>
        <v>1</v>
      </c>
      <c r="AA294" s="268">
        <f t="shared" si="68"/>
        <v>66.666666666666671</v>
      </c>
      <c r="AB294" s="90">
        <f t="shared" si="69"/>
        <v>0.66666666666666674</v>
      </c>
      <c r="AC294" s="32">
        <v>0</v>
      </c>
      <c r="AD294" s="32">
        <v>0</v>
      </c>
      <c r="AE294" s="252">
        <f t="shared" si="70"/>
        <v>25</v>
      </c>
      <c r="AF294" s="90">
        <f t="shared" si="71"/>
        <v>0.5</v>
      </c>
      <c r="AG294" s="32">
        <v>0</v>
      </c>
      <c r="AH294" s="247">
        <f t="shared" si="72"/>
        <v>25</v>
      </c>
      <c r="AI294" s="91">
        <f t="shared" si="73"/>
        <v>0.25</v>
      </c>
      <c r="AJ294" s="32"/>
      <c r="AK294" s="32">
        <v>0</v>
      </c>
      <c r="AL294" s="32">
        <v>0</v>
      </c>
      <c r="AM294" s="32">
        <v>0</v>
      </c>
      <c r="AN294" s="32">
        <v>0</v>
      </c>
      <c r="AO294" s="247">
        <f t="shared" si="64"/>
        <v>0</v>
      </c>
      <c r="AP294" s="247">
        <f t="shared" si="74"/>
        <v>25</v>
      </c>
      <c r="AQ294" s="90">
        <f t="shared" si="75"/>
        <v>0.5</v>
      </c>
      <c r="AR294" s="32">
        <v>0</v>
      </c>
      <c r="AS294" s="32">
        <v>0</v>
      </c>
      <c r="AT294" s="32">
        <v>0</v>
      </c>
      <c r="AU294" s="272" t="str">
        <f t="shared" si="76"/>
        <v>A</v>
      </c>
      <c r="AV294" s="247">
        <f t="shared" si="77"/>
        <v>100</v>
      </c>
      <c r="AW294" s="90">
        <f t="shared" si="78"/>
        <v>3</v>
      </c>
      <c r="AX294" s="163">
        <f t="shared" si="79"/>
        <v>5.416666666666667</v>
      </c>
    </row>
    <row r="295" spans="1:50" x14ac:dyDescent="0.6">
      <c r="A295" s="214" t="s">
        <v>1936</v>
      </c>
      <c r="B295" s="13" t="s">
        <v>2276</v>
      </c>
      <c r="C295" s="219" t="s">
        <v>1937</v>
      </c>
      <c r="D295" s="14" t="s">
        <v>285</v>
      </c>
      <c r="E295" s="217" t="s">
        <v>1432</v>
      </c>
      <c r="F295" s="217" t="s">
        <v>1938</v>
      </c>
      <c r="G295" s="218">
        <v>27253</v>
      </c>
      <c r="H295" s="217" t="s">
        <v>830</v>
      </c>
      <c r="I295" s="217" t="s">
        <v>1939</v>
      </c>
      <c r="J295" s="217" t="s">
        <v>1940</v>
      </c>
      <c r="K295" s="217" t="s">
        <v>91</v>
      </c>
      <c r="L295" s="220">
        <v>3024613663</v>
      </c>
      <c r="M295" s="206">
        <v>1557554254</v>
      </c>
      <c r="N295" s="206">
        <v>1467059409</v>
      </c>
      <c r="O295" s="206">
        <v>2424482980</v>
      </c>
      <c r="P295" s="206">
        <v>27380412</v>
      </c>
      <c r="Q295" s="206">
        <v>6360460</v>
      </c>
      <c r="R295" s="206">
        <v>12168775</v>
      </c>
      <c r="S295" s="32">
        <v>1</v>
      </c>
      <c r="T295" s="32">
        <v>0</v>
      </c>
      <c r="U295" s="32">
        <v>0</v>
      </c>
      <c r="V295" s="266">
        <f t="shared" si="65"/>
        <v>100</v>
      </c>
      <c r="W295" s="90">
        <f t="shared" si="66"/>
        <v>1</v>
      </c>
      <c r="X295" s="32">
        <v>0</v>
      </c>
      <c r="Y295" s="32">
        <v>0</v>
      </c>
      <c r="Z295" s="267">
        <f t="shared" si="67"/>
        <v>0</v>
      </c>
      <c r="AA295" s="268">
        <f t="shared" si="68"/>
        <v>33.333333333333336</v>
      </c>
      <c r="AB295" s="90">
        <f t="shared" si="69"/>
        <v>0.33333333333333337</v>
      </c>
      <c r="AC295" s="32">
        <v>0</v>
      </c>
      <c r="AD295" s="32">
        <v>1</v>
      </c>
      <c r="AE295" s="252">
        <f t="shared" si="70"/>
        <v>75</v>
      </c>
      <c r="AF295" s="90">
        <f t="shared" si="71"/>
        <v>1.5</v>
      </c>
      <c r="AG295" s="32">
        <v>0</v>
      </c>
      <c r="AH295" s="247">
        <f t="shared" si="72"/>
        <v>25</v>
      </c>
      <c r="AI295" s="91">
        <f t="shared" si="73"/>
        <v>0.25</v>
      </c>
      <c r="AJ295" s="32"/>
      <c r="AK295" s="32">
        <v>0</v>
      </c>
      <c r="AL295" s="32">
        <v>0</v>
      </c>
      <c r="AM295" s="32">
        <v>0</v>
      </c>
      <c r="AN295" s="32">
        <v>0</v>
      </c>
      <c r="AO295" s="247">
        <f t="shared" si="64"/>
        <v>0</v>
      </c>
      <c r="AP295" s="247">
        <f t="shared" si="74"/>
        <v>25</v>
      </c>
      <c r="AQ295" s="90">
        <f t="shared" si="75"/>
        <v>0.5</v>
      </c>
      <c r="AR295" s="32">
        <v>0</v>
      </c>
      <c r="AS295" s="32">
        <v>0</v>
      </c>
      <c r="AT295" s="32">
        <v>0</v>
      </c>
      <c r="AU295" s="272" t="str">
        <f t="shared" si="76"/>
        <v>A</v>
      </c>
      <c r="AV295" s="247">
        <f t="shared" si="77"/>
        <v>100</v>
      </c>
      <c r="AW295" s="90">
        <f t="shared" si="78"/>
        <v>3</v>
      </c>
      <c r="AX295" s="163">
        <f t="shared" si="79"/>
        <v>6.5833333333333339</v>
      </c>
    </row>
    <row r="296" spans="1:50" x14ac:dyDescent="0.6">
      <c r="A296" s="214" t="s">
        <v>1941</v>
      </c>
      <c r="B296" s="13" t="s">
        <v>2277</v>
      </c>
      <c r="C296" s="219" t="s">
        <v>1942</v>
      </c>
      <c r="D296" s="14" t="s">
        <v>202</v>
      </c>
      <c r="E296" s="217" t="s">
        <v>189</v>
      </c>
      <c r="F296" s="217" t="s">
        <v>1943</v>
      </c>
      <c r="G296" s="218">
        <v>44425</v>
      </c>
      <c r="H296" s="217" t="s">
        <v>830</v>
      </c>
      <c r="I296" s="217" t="s">
        <v>1944</v>
      </c>
      <c r="J296" s="217" t="s">
        <v>1945</v>
      </c>
      <c r="K296" s="217" t="s">
        <v>690</v>
      </c>
      <c r="L296" s="220">
        <v>201249262</v>
      </c>
      <c r="M296" s="206">
        <v>74147423</v>
      </c>
      <c r="N296" s="206">
        <v>127101839</v>
      </c>
      <c r="O296" s="206">
        <v>92809851</v>
      </c>
      <c r="P296" s="206">
        <v>557375</v>
      </c>
      <c r="Q296" s="206">
        <v>21284021</v>
      </c>
      <c r="R296" s="206">
        <v>16494864</v>
      </c>
      <c r="S296" s="32">
        <v>0</v>
      </c>
      <c r="T296" s="32">
        <v>0</v>
      </c>
      <c r="U296" s="32">
        <v>0</v>
      </c>
      <c r="V296" s="266">
        <f t="shared" si="65"/>
        <v>50</v>
      </c>
      <c r="W296" s="90">
        <f t="shared" si="66"/>
        <v>0.5</v>
      </c>
      <c r="X296" s="32">
        <v>0</v>
      </c>
      <c r="Y296" s="32">
        <v>0</v>
      </c>
      <c r="Z296" s="267">
        <f t="shared" si="67"/>
        <v>0</v>
      </c>
      <c r="AA296" s="268">
        <f t="shared" si="68"/>
        <v>33.333333333333336</v>
      </c>
      <c r="AB296" s="90">
        <f t="shared" si="69"/>
        <v>0.33333333333333337</v>
      </c>
      <c r="AC296" s="32">
        <v>0</v>
      </c>
      <c r="AD296" s="32">
        <v>0</v>
      </c>
      <c r="AE296" s="252">
        <f t="shared" si="70"/>
        <v>25</v>
      </c>
      <c r="AF296" s="90">
        <f t="shared" si="71"/>
        <v>0.5</v>
      </c>
      <c r="AG296" s="32">
        <v>0</v>
      </c>
      <c r="AH296" s="247">
        <f t="shared" si="72"/>
        <v>25</v>
      </c>
      <c r="AI296" s="91">
        <f t="shared" si="73"/>
        <v>0.25</v>
      </c>
      <c r="AJ296" s="32"/>
      <c r="AK296" s="32">
        <v>0</v>
      </c>
      <c r="AL296" s="32">
        <v>0</v>
      </c>
      <c r="AM296" s="32">
        <v>0</v>
      </c>
      <c r="AN296" s="32">
        <v>0</v>
      </c>
      <c r="AO296" s="247">
        <f t="shared" si="64"/>
        <v>0</v>
      </c>
      <c r="AP296" s="247">
        <f t="shared" si="74"/>
        <v>25</v>
      </c>
      <c r="AQ296" s="90">
        <f t="shared" si="75"/>
        <v>0.5</v>
      </c>
      <c r="AR296" s="32">
        <v>0</v>
      </c>
      <c r="AS296" s="32">
        <v>0</v>
      </c>
      <c r="AT296" s="32">
        <v>0</v>
      </c>
      <c r="AU296" s="272" t="str">
        <f t="shared" si="76"/>
        <v>A</v>
      </c>
      <c r="AV296" s="247">
        <f t="shared" si="77"/>
        <v>100</v>
      </c>
      <c r="AW296" s="90">
        <f t="shared" si="78"/>
        <v>3</v>
      </c>
      <c r="AX296" s="163">
        <f t="shared" si="79"/>
        <v>5.0833333333333339</v>
      </c>
    </row>
    <row r="297" spans="1:50" x14ac:dyDescent="0.6">
      <c r="A297" s="214" t="s">
        <v>1946</v>
      </c>
      <c r="B297" s="13" t="s">
        <v>2278</v>
      </c>
      <c r="C297" s="219" t="s">
        <v>1947</v>
      </c>
      <c r="D297" s="79" t="s">
        <v>481</v>
      </c>
      <c r="E297" s="217" t="s">
        <v>704</v>
      </c>
      <c r="F297" s="217" t="s">
        <v>360</v>
      </c>
      <c r="G297" s="218">
        <v>40254</v>
      </c>
      <c r="H297" s="217" t="s">
        <v>830</v>
      </c>
      <c r="I297" s="217" t="s">
        <v>1948</v>
      </c>
      <c r="J297" s="217" t="s">
        <v>1949</v>
      </c>
      <c r="K297" s="217" t="s">
        <v>91</v>
      </c>
      <c r="L297" s="220">
        <v>126780143235</v>
      </c>
      <c r="M297" s="206">
        <v>120464648467</v>
      </c>
      <c r="N297" s="206">
        <v>6315494768</v>
      </c>
      <c r="O297" s="206">
        <v>21180061711</v>
      </c>
      <c r="P297" s="206">
        <v>31900539</v>
      </c>
      <c r="Q297" s="206">
        <v>432611603</v>
      </c>
      <c r="R297" s="206">
        <v>354341909</v>
      </c>
      <c r="S297" s="32">
        <v>0</v>
      </c>
      <c r="T297" s="32">
        <v>0</v>
      </c>
      <c r="U297" s="32">
        <v>0</v>
      </c>
      <c r="V297" s="266">
        <f t="shared" si="65"/>
        <v>50</v>
      </c>
      <c r="W297" s="90">
        <f t="shared" si="66"/>
        <v>0.5</v>
      </c>
      <c r="X297" s="32">
        <v>0</v>
      </c>
      <c r="Y297" s="32">
        <v>0</v>
      </c>
      <c r="Z297" s="267">
        <f t="shared" si="67"/>
        <v>0</v>
      </c>
      <c r="AA297" s="268">
        <f t="shared" si="68"/>
        <v>33.333333333333336</v>
      </c>
      <c r="AB297" s="90">
        <f t="shared" si="69"/>
        <v>0.33333333333333337</v>
      </c>
      <c r="AC297" s="32">
        <v>0</v>
      </c>
      <c r="AD297" s="32">
        <v>1</v>
      </c>
      <c r="AE297" s="252">
        <f t="shared" si="70"/>
        <v>75</v>
      </c>
      <c r="AF297" s="90">
        <f t="shared" si="71"/>
        <v>1.5</v>
      </c>
      <c r="AG297" s="32">
        <v>0</v>
      </c>
      <c r="AH297" s="247">
        <f t="shared" si="72"/>
        <v>25</v>
      </c>
      <c r="AI297" s="91">
        <f t="shared" si="73"/>
        <v>0.25</v>
      </c>
      <c r="AJ297" s="32"/>
      <c r="AK297" s="32">
        <v>0</v>
      </c>
      <c r="AL297" s="32">
        <v>0</v>
      </c>
      <c r="AM297" s="32">
        <v>0</v>
      </c>
      <c r="AN297" s="32">
        <v>0</v>
      </c>
      <c r="AO297" s="247">
        <f t="shared" si="64"/>
        <v>0</v>
      </c>
      <c r="AP297" s="247">
        <f t="shared" si="74"/>
        <v>25</v>
      </c>
      <c r="AQ297" s="90">
        <f t="shared" si="75"/>
        <v>0.5</v>
      </c>
      <c r="AR297" s="32">
        <v>0</v>
      </c>
      <c r="AS297" s="32">
        <v>0</v>
      </c>
      <c r="AT297" s="32">
        <v>0</v>
      </c>
      <c r="AU297" s="272" t="str">
        <f t="shared" si="76"/>
        <v>A</v>
      </c>
      <c r="AV297" s="247">
        <f t="shared" si="77"/>
        <v>100</v>
      </c>
      <c r="AW297" s="90">
        <f t="shared" si="78"/>
        <v>3</v>
      </c>
      <c r="AX297" s="163">
        <v>0</v>
      </c>
    </row>
    <row r="298" spans="1:50" x14ac:dyDescent="0.6">
      <c r="A298" s="214" t="s">
        <v>1950</v>
      </c>
      <c r="B298" s="13" t="s">
        <v>2279</v>
      </c>
      <c r="C298" s="219" t="s">
        <v>1951</v>
      </c>
      <c r="D298" s="79" t="s">
        <v>481</v>
      </c>
      <c r="E298" s="217" t="s">
        <v>704</v>
      </c>
      <c r="F298" s="217" t="s">
        <v>551</v>
      </c>
      <c r="G298" s="218">
        <v>27575</v>
      </c>
      <c r="H298" s="217" t="s">
        <v>830</v>
      </c>
      <c r="I298" s="217" t="s">
        <v>1952</v>
      </c>
      <c r="J298" s="217" t="s">
        <v>1953</v>
      </c>
      <c r="K298" s="217" t="s">
        <v>91</v>
      </c>
      <c r="L298" s="220">
        <v>20186911158</v>
      </c>
      <c r="M298" s="206">
        <v>19938637638</v>
      </c>
      <c r="N298" s="206">
        <v>248273521</v>
      </c>
      <c r="O298" s="206">
        <v>5105380445</v>
      </c>
      <c r="P298" s="206">
        <v>326922757</v>
      </c>
      <c r="Q298" s="206">
        <v>400409213</v>
      </c>
      <c r="R298" s="206">
        <v>302102769</v>
      </c>
      <c r="S298" s="32">
        <v>0</v>
      </c>
      <c r="T298" s="32">
        <v>0</v>
      </c>
      <c r="U298" s="32">
        <v>0</v>
      </c>
      <c r="V298" s="266">
        <f t="shared" si="65"/>
        <v>50</v>
      </c>
      <c r="W298" s="90">
        <f t="shared" si="66"/>
        <v>0.5</v>
      </c>
      <c r="X298" s="32">
        <v>0</v>
      </c>
      <c r="Y298" s="32">
        <v>0</v>
      </c>
      <c r="Z298" s="267">
        <f t="shared" si="67"/>
        <v>0</v>
      </c>
      <c r="AA298" s="268">
        <f t="shared" si="68"/>
        <v>33.333333333333336</v>
      </c>
      <c r="AB298" s="90">
        <f t="shared" si="69"/>
        <v>0.33333333333333337</v>
      </c>
      <c r="AC298" s="32">
        <v>0</v>
      </c>
      <c r="AD298" s="32">
        <v>0</v>
      </c>
      <c r="AE298" s="252">
        <f t="shared" si="70"/>
        <v>25</v>
      </c>
      <c r="AF298" s="90">
        <f t="shared" si="71"/>
        <v>0.5</v>
      </c>
      <c r="AG298" s="32">
        <v>0</v>
      </c>
      <c r="AH298" s="247">
        <f t="shared" si="72"/>
        <v>25</v>
      </c>
      <c r="AI298" s="91">
        <f t="shared" si="73"/>
        <v>0.25</v>
      </c>
      <c r="AJ298" s="32"/>
      <c r="AK298" s="32">
        <v>0</v>
      </c>
      <c r="AL298" s="32">
        <v>0</v>
      </c>
      <c r="AM298" s="32">
        <v>0</v>
      </c>
      <c r="AN298" s="32">
        <v>0</v>
      </c>
      <c r="AO298" s="247">
        <f t="shared" si="64"/>
        <v>0</v>
      </c>
      <c r="AP298" s="247">
        <f t="shared" si="74"/>
        <v>25</v>
      </c>
      <c r="AQ298" s="90">
        <f t="shared" si="75"/>
        <v>0.5</v>
      </c>
      <c r="AR298" s="32">
        <v>0</v>
      </c>
      <c r="AS298" s="32">
        <v>0</v>
      </c>
      <c r="AT298" s="32">
        <v>0</v>
      </c>
      <c r="AU298" s="272" t="str">
        <f t="shared" si="76"/>
        <v>A</v>
      </c>
      <c r="AV298" s="247">
        <f t="shared" si="77"/>
        <v>100</v>
      </c>
      <c r="AW298" s="90">
        <f t="shared" si="78"/>
        <v>3</v>
      </c>
      <c r="AX298" s="163">
        <v>0</v>
      </c>
    </row>
    <row r="299" spans="1:50" x14ac:dyDescent="0.6">
      <c r="A299" s="214" t="s">
        <v>472</v>
      </c>
      <c r="B299" s="13" t="s">
        <v>2280</v>
      </c>
      <c r="C299" s="219" t="s">
        <v>877</v>
      </c>
      <c r="D299" s="216" t="s">
        <v>202</v>
      </c>
      <c r="E299" s="217" t="s">
        <v>205</v>
      </c>
      <c r="F299" s="217" t="s">
        <v>133</v>
      </c>
      <c r="G299" s="218">
        <v>43782</v>
      </c>
      <c r="H299" s="217" t="s">
        <v>830</v>
      </c>
      <c r="I299" s="217" t="s">
        <v>836</v>
      </c>
      <c r="J299" s="217" t="s">
        <v>1218</v>
      </c>
      <c r="K299" s="217" t="s">
        <v>31</v>
      </c>
      <c r="L299" s="220">
        <v>4152100072</v>
      </c>
      <c r="M299" s="206">
        <v>1905070749</v>
      </c>
      <c r="N299" s="206">
        <v>2247029323</v>
      </c>
      <c r="O299" s="206">
        <v>2187405670</v>
      </c>
      <c r="P299" s="206">
        <v>93679890</v>
      </c>
      <c r="Q299" s="206">
        <v>53049827</v>
      </c>
      <c r="R299" s="206">
        <v>28545981</v>
      </c>
      <c r="S299" s="32">
        <v>1</v>
      </c>
      <c r="T299" s="32">
        <v>0</v>
      </c>
      <c r="U299" s="32">
        <v>0</v>
      </c>
      <c r="V299" s="266">
        <f t="shared" si="65"/>
        <v>100</v>
      </c>
      <c r="W299" s="90">
        <f t="shared" si="66"/>
        <v>1</v>
      </c>
      <c r="X299" s="32">
        <v>0</v>
      </c>
      <c r="Y299" s="32">
        <v>0</v>
      </c>
      <c r="Z299" s="267">
        <f t="shared" si="67"/>
        <v>0</v>
      </c>
      <c r="AA299" s="268">
        <f t="shared" si="68"/>
        <v>33.333333333333336</v>
      </c>
      <c r="AB299" s="90">
        <f t="shared" si="69"/>
        <v>0.33333333333333337</v>
      </c>
      <c r="AC299" s="32">
        <v>0</v>
      </c>
      <c r="AD299" s="32">
        <v>1</v>
      </c>
      <c r="AE299" s="252">
        <f t="shared" si="70"/>
        <v>75</v>
      </c>
      <c r="AF299" s="90">
        <f t="shared" si="71"/>
        <v>1.5</v>
      </c>
      <c r="AG299" s="32">
        <v>0</v>
      </c>
      <c r="AH299" s="247">
        <f t="shared" si="72"/>
        <v>25</v>
      </c>
      <c r="AI299" s="91">
        <f t="shared" si="73"/>
        <v>0.25</v>
      </c>
      <c r="AJ299" s="32"/>
      <c r="AK299" s="32">
        <v>0</v>
      </c>
      <c r="AL299" s="32">
        <v>0</v>
      </c>
      <c r="AM299" s="32">
        <v>0</v>
      </c>
      <c r="AN299" s="32">
        <v>0</v>
      </c>
      <c r="AO299" s="247">
        <f t="shared" si="64"/>
        <v>0</v>
      </c>
      <c r="AP299" s="247">
        <f t="shared" si="74"/>
        <v>25</v>
      </c>
      <c r="AQ299" s="90">
        <f t="shared" si="75"/>
        <v>0.5</v>
      </c>
      <c r="AR299" s="32">
        <v>0</v>
      </c>
      <c r="AS299" s="32">
        <v>0</v>
      </c>
      <c r="AT299" s="32">
        <v>0</v>
      </c>
      <c r="AU299" s="272" t="str">
        <f t="shared" si="76"/>
        <v>A</v>
      </c>
      <c r="AV299" s="247">
        <f t="shared" si="77"/>
        <v>100</v>
      </c>
      <c r="AW299" s="90">
        <f t="shared" si="78"/>
        <v>3</v>
      </c>
      <c r="AX299" s="163">
        <f t="shared" si="79"/>
        <v>6.5833333333333339</v>
      </c>
    </row>
    <row r="300" spans="1:50" x14ac:dyDescent="0.6">
      <c r="A300" s="214" t="s">
        <v>916</v>
      </c>
      <c r="B300" s="13" t="s">
        <v>2281</v>
      </c>
      <c r="C300" s="219" t="s">
        <v>327</v>
      </c>
      <c r="D300" s="216" t="s">
        <v>285</v>
      </c>
      <c r="E300" s="217" t="s">
        <v>867</v>
      </c>
      <c r="F300" s="217" t="s">
        <v>114</v>
      </c>
      <c r="G300" s="218">
        <v>31038</v>
      </c>
      <c r="H300" s="217" t="s">
        <v>830</v>
      </c>
      <c r="I300" s="217" t="s">
        <v>694</v>
      </c>
      <c r="J300" s="217" t="s">
        <v>1012</v>
      </c>
      <c r="K300" s="217" t="s">
        <v>91</v>
      </c>
      <c r="L300" s="220">
        <v>13738416000</v>
      </c>
      <c r="M300" s="206">
        <v>7344179000</v>
      </c>
      <c r="N300" s="206">
        <v>6394237000</v>
      </c>
      <c r="O300" s="206">
        <v>11978479000</v>
      </c>
      <c r="P300" s="206">
        <v>346342000</v>
      </c>
      <c r="Q300" s="206">
        <v>503694000</v>
      </c>
      <c r="R300" s="206">
        <v>346572000</v>
      </c>
      <c r="S300" s="32">
        <v>1</v>
      </c>
      <c r="T300" s="32">
        <v>0</v>
      </c>
      <c r="U300" s="32">
        <v>0</v>
      </c>
      <c r="V300" s="266">
        <f t="shared" si="65"/>
        <v>100</v>
      </c>
      <c r="W300" s="90">
        <f t="shared" si="66"/>
        <v>1</v>
      </c>
      <c r="X300" s="32">
        <v>0</v>
      </c>
      <c r="Y300" s="32">
        <v>0</v>
      </c>
      <c r="Z300" s="267">
        <f t="shared" si="67"/>
        <v>0</v>
      </c>
      <c r="AA300" s="268">
        <f t="shared" si="68"/>
        <v>33.333333333333336</v>
      </c>
      <c r="AB300" s="90">
        <f t="shared" si="69"/>
        <v>0.33333333333333337</v>
      </c>
      <c r="AC300" s="32">
        <v>0</v>
      </c>
      <c r="AD300" s="32">
        <v>1</v>
      </c>
      <c r="AE300" s="252">
        <f t="shared" si="70"/>
        <v>75</v>
      </c>
      <c r="AF300" s="90">
        <f t="shared" si="71"/>
        <v>1.5</v>
      </c>
      <c r="AG300" s="32">
        <v>3</v>
      </c>
      <c r="AH300" s="247">
        <f t="shared" si="72"/>
        <v>100</v>
      </c>
      <c r="AI300" s="91">
        <f t="shared" si="73"/>
        <v>1</v>
      </c>
      <c r="AJ300" s="32"/>
      <c r="AK300" s="32">
        <v>1</v>
      </c>
      <c r="AL300" s="32">
        <v>1</v>
      </c>
      <c r="AM300" s="32">
        <v>0</v>
      </c>
      <c r="AN300" s="32">
        <v>0</v>
      </c>
      <c r="AO300" s="247">
        <f t="shared" si="64"/>
        <v>2</v>
      </c>
      <c r="AP300" s="247">
        <f t="shared" si="74"/>
        <v>75</v>
      </c>
      <c r="AQ300" s="90">
        <f t="shared" si="75"/>
        <v>1.5</v>
      </c>
      <c r="AR300" s="32">
        <v>0</v>
      </c>
      <c r="AS300" s="32">
        <v>0</v>
      </c>
      <c r="AT300" s="32">
        <v>0</v>
      </c>
      <c r="AU300" s="272" t="str">
        <f t="shared" si="76"/>
        <v>A</v>
      </c>
      <c r="AV300" s="247">
        <f t="shared" si="77"/>
        <v>100</v>
      </c>
      <c r="AW300" s="90">
        <f t="shared" si="78"/>
        <v>3</v>
      </c>
      <c r="AX300" s="163">
        <f t="shared" si="79"/>
        <v>8.3333333333333339</v>
      </c>
    </row>
    <row r="301" spans="1:50" x14ac:dyDescent="0.6">
      <c r="A301" s="214" t="s">
        <v>454</v>
      </c>
      <c r="B301" s="13" t="s">
        <v>2282</v>
      </c>
      <c r="C301" s="219" t="s">
        <v>84</v>
      </c>
      <c r="D301" s="216" t="s">
        <v>285</v>
      </c>
      <c r="E301" s="217" t="s">
        <v>622</v>
      </c>
      <c r="F301" s="217" t="s">
        <v>653</v>
      </c>
      <c r="G301" s="218">
        <v>38712</v>
      </c>
      <c r="H301" s="217" t="s">
        <v>830</v>
      </c>
      <c r="I301" s="217" t="s">
        <v>1954</v>
      </c>
      <c r="J301" s="217" t="s">
        <v>1124</v>
      </c>
      <c r="K301" s="217" t="s">
        <v>91</v>
      </c>
      <c r="L301" s="220">
        <v>11586104724</v>
      </c>
      <c r="M301" s="206">
        <v>5729632009</v>
      </c>
      <c r="N301" s="206">
        <v>5856472715</v>
      </c>
      <c r="O301" s="206">
        <v>21528979386</v>
      </c>
      <c r="P301" s="206">
        <v>1595700562</v>
      </c>
      <c r="Q301" s="206">
        <v>1527487113</v>
      </c>
      <c r="R301" s="206">
        <v>1209437646</v>
      </c>
      <c r="S301" s="32">
        <v>1</v>
      </c>
      <c r="T301" s="32">
        <v>1</v>
      </c>
      <c r="U301" s="32">
        <v>0</v>
      </c>
      <c r="V301" s="266">
        <f t="shared" si="65"/>
        <v>100</v>
      </c>
      <c r="W301" s="90">
        <f t="shared" si="66"/>
        <v>1</v>
      </c>
      <c r="X301" s="32">
        <v>0</v>
      </c>
      <c r="Y301" s="32">
        <v>0</v>
      </c>
      <c r="Z301" s="267">
        <f t="shared" si="67"/>
        <v>0</v>
      </c>
      <c r="AA301" s="268">
        <f t="shared" si="68"/>
        <v>33.333333333333336</v>
      </c>
      <c r="AB301" s="90">
        <f t="shared" si="69"/>
        <v>0.33333333333333337</v>
      </c>
      <c r="AC301" s="32">
        <v>0</v>
      </c>
      <c r="AD301" s="32">
        <v>1</v>
      </c>
      <c r="AE301" s="252">
        <f t="shared" si="70"/>
        <v>75</v>
      </c>
      <c r="AF301" s="90">
        <f t="shared" si="71"/>
        <v>1.5</v>
      </c>
      <c r="AG301" s="32">
        <v>3</v>
      </c>
      <c r="AH301" s="247">
        <f t="shared" si="72"/>
        <v>100</v>
      </c>
      <c r="AI301" s="91">
        <f t="shared" si="73"/>
        <v>1</v>
      </c>
      <c r="AJ301" s="32"/>
      <c r="AK301" s="32">
        <v>0</v>
      </c>
      <c r="AL301" s="32">
        <v>0</v>
      </c>
      <c r="AM301" s="32">
        <v>0</v>
      </c>
      <c r="AN301" s="32">
        <v>0</v>
      </c>
      <c r="AO301" s="247">
        <f t="shared" si="64"/>
        <v>0</v>
      </c>
      <c r="AP301" s="247">
        <f t="shared" si="74"/>
        <v>25</v>
      </c>
      <c r="AQ301" s="90">
        <f t="shared" si="75"/>
        <v>0.5</v>
      </c>
      <c r="AR301" s="32">
        <v>0</v>
      </c>
      <c r="AS301" s="32">
        <v>0</v>
      </c>
      <c r="AT301" s="32">
        <v>0</v>
      </c>
      <c r="AU301" s="272" t="str">
        <f t="shared" si="76"/>
        <v>A</v>
      </c>
      <c r="AV301" s="247">
        <f t="shared" si="77"/>
        <v>100</v>
      </c>
      <c r="AW301" s="90">
        <f t="shared" si="78"/>
        <v>3</v>
      </c>
      <c r="AX301" s="163">
        <f t="shared" si="79"/>
        <v>7.3333333333333339</v>
      </c>
    </row>
    <row r="302" spans="1:50" x14ac:dyDescent="0.6">
      <c r="A302" s="214" t="s">
        <v>1955</v>
      </c>
      <c r="B302" s="13" t="s">
        <v>2283</v>
      </c>
      <c r="C302" s="219" t="s">
        <v>1956</v>
      </c>
      <c r="D302" s="14" t="s">
        <v>202</v>
      </c>
      <c r="E302" s="217" t="s">
        <v>1957</v>
      </c>
      <c r="F302" s="217" t="s">
        <v>1958</v>
      </c>
      <c r="G302" s="218">
        <v>41577</v>
      </c>
      <c r="H302" s="217" t="s">
        <v>830</v>
      </c>
      <c r="I302" s="217" t="s">
        <v>1959</v>
      </c>
      <c r="J302" s="217" t="s">
        <v>1960</v>
      </c>
      <c r="K302" s="217" t="s">
        <v>50</v>
      </c>
      <c r="L302" s="220">
        <v>4676787304</v>
      </c>
      <c r="M302" s="206">
        <v>3212555016</v>
      </c>
      <c r="N302" s="206">
        <v>1464232288</v>
      </c>
      <c r="O302" s="206">
        <v>3106010725</v>
      </c>
      <c r="P302" s="206">
        <v>177983235</v>
      </c>
      <c r="Q302" s="206">
        <v>122548827</v>
      </c>
      <c r="R302" s="206">
        <v>213700726</v>
      </c>
      <c r="S302" s="32">
        <v>1</v>
      </c>
      <c r="T302" s="32">
        <v>0</v>
      </c>
      <c r="U302" s="32">
        <v>0</v>
      </c>
      <c r="V302" s="266">
        <f t="shared" si="65"/>
        <v>100</v>
      </c>
      <c r="W302" s="90">
        <f t="shared" si="66"/>
        <v>1</v>
      </c>
      <c r="X302" s="32">
        <v>0</v>
      </c>
      <c r="Y302" s="32">
        <v>0</v>
      </c>
      <c r="Z302" s="267">
        <f t="shared" si="67"/>
        <v>0</v>
      </c>
      <c r="AA302" s="268">
        <f t="shared" si="68"/>
        <v>33.333333333333336</v>
      </c>
      <c r="AB302" s="90">
        <f t="shared" si="69"/>
        <v>0.33333333333333337</v>
      </c>
      <c r="AC302" s="32">
        <v>0</v>
      </c>
      <c r="AD302" s="32">
        <v>1</v>
      </c>
      <c r="AE302" s="252">
        <f t="shared" si="70"/>
        <v>75</v>
      </c>
      <c r="AF302" s="90">
        <f t="shared" si="71"/>
        <v>1.5</v>
      </c>
      <c r="AG302" s="32">
        <v>3</v>
      </c>
      <c r="AH302" s="247">
        <f t="shared" si="72"/>
        <v>100</v>
      </c>
      <c r="AI302" s="91">
        <f t="shared" si="73"/>
        <v>1</v>
      </c>
      <c r="AJ302" s="32"/>
      <c r="AK302" s="32">
        <v>0</v>
      </c>
      <c r="AL302" s="32">
        <v>0</v>
      </c>
      <c r="AM302" s="32">
        <v>0</v>
      </c>
      <c r="AN302" s="32">
        <v>0</v>
      </c>
      <c r="AO302" s="247">
        <f t="shared" si="64"/>
        <v>0</v>
      </c>
      <c r="AP302" s="247">
        <f t="shared" si="74"/>
        <v>25</v>
      </c>
      <c r="AQ302" s="90">
        <f t="shared" si="75"/>
        <v>0.5</v>
      </c>
      <c r="AR302" s="32">
        <v>0</v>
      </c>
      <c r="AS302" s="32">
        <v>0</v>
      </c>
      <c r="AT302" s="32">
        <v>0</v>
      </c>
      <c r="AU302" s="272" t="str">
        <f t="shared" si="76"/>
        <v>A</v>
      </c>
      <c r="AV302" s="247">
        <f t="shared" si="77"/>
        <v>100</v>
      </c>
      <c r="AW302" s="90">
        <f t="shared" si="78"/>
        <v>3</v>
      </c>
      <c r="AX302" s="163">
        <f t="shared" si="79"/>
        <v>7.3333333333333339</v>
      </c>
    </row>
    <row r="303" spans="1:50" x14ac:dyDescent="0.6">
      <c r="A303" s="214" t="s">
        <v>910</v>
      </c>
      <c r="B303" s="13" t="s">
        <v>2284</v>
      </c>
      <c r="C303" s="219" t="s">
        <v>480</v>
      </c>
      <c r="D303" s="216" t="s">
        <v>202</v>
      </c>
      <c r="E303" s="217" t="s">
        <v>954</v>
      </c>
      <c r="F303" s="217" t="s">
        <v>150</v>
      </c>
      <c r="G303" s="218">
        <v>32756</v>
      </c>
      <c r="H303" s="217" t="s">
        <v>830</v>
      </c>
      <c r="I303" s="217" t="s">
        <v>269</v>
      </c>
      <c r="J303" s="217" t="s">
        <v>1140</v>
      </c>
      <c r="K303" s="217" t="s">
        <v>91</v>
      </c>
      <c r="L303" s="220">
        <v>34782050000</v>
      </c>
      <c r="M303" s="206">
        <v>8693623000</v>
      </c>
      <c r="N303" s="206">
        <v>26088427000</v>
      </c>
      <c r="O303" s="206">
        <v>34052113000</v>
      </c>
      <c r="P303" s="206">
        <v>1405333000</v>
      </c>
      <c r="Q303" s="206">
        <v>2049859000</v>
      </c>
      <c r="R303" s="206">
        <v>1576460000</v>
      </c>
      <c r="S303" s="32">
        <v>1</v>
      </c>
      <c r="T303" s="32">
        <v>0</v>
      </c>
      <c r="U303" s="32">
        <v>0</v>
      </c>
      <c r="V303" s="266">
        <f t="shared" si="65"/>
        <v>100</v>
      </c>
      <c r="W303" s="90">
        <f t="shared" si="66"/>
        <v>1</v>
      </c>
      <c r="X303" s="32">
        <v>0</v>
      </c>
      <c r="Y303" s="32">
        <v>0</v>
      </c>
      <c r="Z303" s="267">
        <f t="shared" si="67"/>
        <v>0</v>
      </c>
      <c r="AA303" s="268">
        <f t="shared" si="68"/>
        <v>33.333333333333336</v>
      </c>
      <c r="AB303" s="90">
        <f t="shared" si="69"/>
        <v>0.33333333333333337</v>
      </c>
      <c r="AC303" s="32">
        <v>0</v>
      </c>
      <c r="AD303" s="32">
        <v>1</v>
      </c>
      <c r="AE303" s="252">
        <f t="shared" si="70"/>
        <v>75</v>
      </c>
      <c r="AF303" s="90">
        <f t="shared" si="71"/>
        <v>1.5</v>
      </c>
      <c r="AG303" s="32">
        <v>3</v>
      </c>
      <c r="AH303" s="247">
        <f t="shared" si="72"/>
        <v>100</v>
      </c>
      <c r="AI303" s="91">
        <f t="shared" si="73"/>
        <v>1</v>
      </c>
      <c r="AJ303" s="32"/>
      <c r="AK303" s="32">
        <v>0</v>
      </c>
      <c r="AL303" s="32">
        <v>0</v>
      </c>
      <c r="AM303" s="32">
        <v>0</v>
      </c>
      <c r="AN303" s="32">
        <v>0</v>
      </c>
      <c r="AO303" s="247">
        <f t="shared" si="64"/>
        <v>0</v>
      </c>
      <c r="AP303" s="247">
        <f t="shared" si="74"/>
        <v>25</v>
      </c>
      <c r="AQ303" s="90">
        <f t="shared" si="75"/>
        <v>0.5</v>
      </c>
      <c r="AR303" s="32">
        <v>1</v>
      </c>
      <c r="AS303" s="32">
        <v>0</v>
      </c>
      <c r="AT303" s="32">
        <v>0</v>
      </c>
      <c r="AU303" s="272" t="str">
        <f t="shared" si="76"/>
        <v>B</v>
      </c>
      <c r="AV303" s="247">
        <f t="shared" si="77"/>
        <v>75</v>
      </c>
      <c r="AW303" s="90">
        <f t="shared" si="78"/>
        <v>2.25</v>
      </c>
      <c r="AX303" s="163">
        <f t="shared" si="79"/>
        <v>6.5833333333333339</v>
      </c>
    </row>
    <row r="304" spans="1:50" x14ac:dyDescent="0.6">
      <c r="A304" s="214" t="s">
        <v>923</v>
      </c>
      <c r="B304" s="13" t="s">
        <v>2285</v>
      </c>
      <c r="C304" s="219" t="s">
        <v>367</v>
      </c>
      <c r="D304" s="216" t="s">
        <v>285</v>
      </c>
      <c r="E304" s="217" t="s">
        <v>504</v>
      </c>
      <c r="F304" s="217" t="s">
        <v>713</v>
      </c>
      <c r="G304" s="218">
        <v>37585</v>
      </c>
      <c r="H304" s="217" t="s">
        <v>830</v>
      </c>
      <c r="I304" s="217" t="s">
        <v>1101</v>
      </c>
      <c r="J304" s="217" t="s">
        <v>1168</v>
      </c>
      <c r="K304" s="217" t="s">
        <v>91</v>
      </c>
      <c r="L304" s="220">
        <v>7747981793</v>
      </c>
      <c r="M304" s="206">
        <v>3561063599</v>
      </c>
      <c r="N304" s="206">
        <v>4186918194</v>
      </c>
      <c r="O304" s="206">
        <v>1655713149</v>
      </c>
      <c r="P304" s="206">
        <v>252210667</v>
      </c>
      <c r="Q304" s="206">
        <v>205090876</v>
      </c>
      <c r="R304" s="206">
        <v>160877945</v>
      </c>
      <c r="S304" s="32">
        <v>1</v>
      </c>
      <c r="T304" s="32">
        <v>0</v>
      </c>
      <c r="U304" s="32">
        <v>0</v>
      </c>
      <c r="V304" s="266">
        <f t="shared" si="65"/>
        <v>100</v>
      </c>
      <c r="W304" s="90">
        <f t="shared" si="66"/>
        <v>1</v>
      </c>
      <c r="X304" s="32">
        <v>0</v>
      </c>
      <c r="Y304" s="32">
        <v>0</v>
      </c>
      <c r="Z304" s="267">
        <f t="shared" si="67"/>
        <v>0</v>
      </c>
      <c r="AA304" s="268">
        <f t="shared" si="68"/>
        <v>33.333333333333336</v>
      </c>
      <c r="AB304" s="90">
        <f t="shared" si="69"/>
        <v>0.33333333333333337</v>
      </c>
      <c r="AC304" s="32">
        <v>0</v>
      </c>
      <c r="AD304" s="32">
        <v>1</v>
      </c>
      <c r="AE304" s="252">
        <f t="shared" si="70"/>
        <v>75</v>
      </c>
      <c r="AF304" s="90">
        <f t="shared" si="71"/>
        <v>1.5</v>
      </c>
      <c r="AG304" s="32">
        <v>0</v>
      </c>
      <c r="AH304" s="247">
        <f t="shared" si="72"/>
        <v>25</v>
      </c>
      <c r="AI304" s="91">
        <f t="shared" si="73"/>
        <v>0.25</v>
      </c>
      <c r="AJ304" s="32"/>
      <c r="AK304" s="32">
        <v>0</v>
      </c>
      <c r="AL304" s="32">
        <v>0</v>
      </c>
      <c r="AM304" s="32">
        <v>0</v>
      </c>
      <c r="AN304" s="32">
        <v>0</v>
      </c>
      <c r="AO304" s="247">
        <f t="shared" si="64"/>
        <v>0</v>
      </c>
      <c r="AP304" s="247">
        <f t="shared" si="74"/>
        <v>25</v>
      </c>
      <c r="AQ304" s="90">
        <f t="shared" si="75"/>
        <v>0.5</v>
      </c>
      <c r="AR304" s="32">
        <v>0</v>
      </c>
      <c r="AS304" s="32">
        <v>0</v>
      </c>
      <c r="AT304" s="32">
        <v>0</v>
      </c>
      <c r="AU304" s="272" t="str">
        <f t="shared" si="76"/>
        <v>A</v>
      </c>
      <c r="AV304" s="247">
        <f t="shared" si="77"/>
        <v>100</v>
      </c>
      <c r="AW304" s="90">
        <f t="shared" si="78"/>
        <v>3</v>
      </c>
      <c r="AX304" s="163">
        <f t="shared" si="79"/>
        <v>6.5833333333333339</v>
      </c>
    </row>
    <row r="305" spans="1:50" x14ac:dyDescent="0.6">
      <c r="A305" s="214" t="s">
        <v>918</v>
      </c>
      <c r="B305" s="13" t="s">
        <v>2286</v>
      </c>
      <c r="C305" s="219" t="s">
        <v>848</v>
      </c>
      <c r="D305" s="216" t="s">
        <v>202</v>
      </c>
      <c r="E305" s="217" t="s">
        <v>575</v>
      </c>
      <c r="F305" s="217" t="s">
        <v>0</v>
      </c>
      <c r="G305" s="218">
        <v>35249</v>
      </c>
      <c r="H305" s="217" t="s">
        <v>830</v>
      </c>
      <c r="I305" s="217" t="s">
        <v>678</v>
      </c>
      <c r="J305" s="217" t="s">
        <v>383</v>
      </c>
      <c r="K305" s="217" t="s">
        <v>317</v>
      </c>
      <c r="L305" s="220">
        <v>2341218033</v>
      </c>
      <c r="M305" s="206">
        <v>1123345096</v>
      </c>
      <c r="N305" s="206">
        <v>1217872936</v>
      </c>
      <c r="O305" s="206">
        <v>1657192106</v>
      </c>
      <c r="P305" s="206">
        <v>70857294</v>
      </c>
      <c r="Q305" s="206">
        <v>155414095</v>
      </c>
      <c r="R305" s="206">
        <v>119214196</v>
      </c>
      <c r="S305" s="32">
        <v>0</v>
      </c>
      <c r="T305" s="32">
        <v>0</v>
      </c>
      <c r="U305" s="32">
        <v>0</v>
      </c>
      <c r="V305" s="266">
        <f t="shared" si="65"/>
        <v>50</v>
      </c>
      <c r="W305" s="90">
        <f t="shared" si="66"/>
        <v>0.5</v>
      </c>
      <c r="X305" s="32">
        <v>0</v>
      </c>
      <c r="Y305" s="32">
        <v>0</v>
      </c>
      <c r="Z305" s="267">
        <f t="shared" si="67"/>
        <v>0</v>
      </c>
      <c r="AA305" s="268">
        <f t="shared" si="68"/>
        <v>33.333333333333336</v>
      </c>
      <c r="AB305" s="90">
        <f t="shared" si="69"/>
        <v>0.33333333333333337</v>
      </c>
      <c r="AC305" s="32">
        <v>0</v>
      </c>
      <c r="AD305" s="32">
        <v>1</v>
      </c>
      <c r="AE305" s="252">
        <f t="shared" si="70"/>
        <v>75</v>
      </c>
      <c r="AF305" s="90">
        <f t="shared" si="71"/>
        <v>1.5</v>
      </c>
      <c r="AG305" s="32">
        <v>0</v>
      </c>
      <c r="AH305" s="247">
        <f t="shared" si="72"/>
        <v>25</v>
      </c>
      <c r="AI305" s="91">
        <f t="shared" si="73"/>
        <v>0.25</v>
      </c>
      <c r="AJ305" s="32"/>
      <c r="AK305" s="32">
        <v>0</v>
      </c>
      <c r="AL305" s="32">
        <v>0</v>
      </c>
      <c r="AM305" s="32">
        <v>0</v>
      </c>
      <c r="AN305" s="32">
        <v>0</v>
      </c>
      <c r="AO305" s="247">
        <f t="shared" si="64"/>
        <v>0</v>
      </c>
      <c r="AP305" s="247">
        <f t="shared" si="74"/>
        <v>25</v>
      </c>
      <c r="AQ305" s="90">
        <f t="shared" si="75"/>
        <v>0.5</v>
      </c>
      <c r="AR305" s="32">
        <v>0</v>
      </c>
      <c r="AS305" s="32">
        <v>0</v>
      </c>
      <c r="AT305" s="32">
        <v>0</v>
      </c>
      <c r="AU305" s="272" t="str">
        <f t="shared" si="76"/>
        <v>A</v>
      </c>
      <c r="AV305" s="247">
        <f t="shared" si="77"/>
        <v>100</v>
      </c>
      <c r="AW305" s="90">
        <f t="shared" si="78"/>
        <v>3</v>
      </c>
      <c r="AX305" s="163">
        <f t="shared" si="79"/>
        <v>6.0833333333333339</v>
      </c>
    </row>
    <row r="306" spans="1:50" x14ac:dyDescent="0.6">
      <c r="A306" s="214" t="s">
        <v>502</v>
      </c>
      <c r="B306" s="13" t="s">
        <v>2287</v>
      </c>
      <c r="C306" s="219" t="s">
        <v>465</v>
      </c>
      <c r="D306" s="216" t="s">
        <v>285</v>
      </c>
      <c r="E306" s="217" t="s">
        <v>605</v>
      </c>
      <c r="F306" s="217" t="s">
        <v>386</v>
      </c>
      <c r="G306" s="218">
        <v>43552</v>
      </c>
      <c r="H306" s="217" t="s">
        <v>830</v>
      </c>
      <c r="I306" s="217" t="s">
        <v>822</v>
      </c>
      <c r="J306" s="217" t="s">
        <v>655</v>
      </c>
      <c r="K306" s="217" t="s">
        <v>91</v>
      </c>
      <c r="L306" s="220">
        <v>2408631121</v>
      </c>
      <c r="M306" s="206">
        <v>987330400</v>
      </c>
      <c r="N306" s="206">
        <v>1421300721</v>
      </c>
      <c r="O306" s="206">
        <v>2240816395</v>
      </c>
      <c r="P306" s="206">
        <v>124351998</v>
      </c>
      <c r="Q306" s="206">
        <v>138563322</v>
      </c>
      <c r="R306" s="206">
        <v>106628632</v>
      </c>
      <c r="S306" s="32">
        <v>1</v>
      </c>
      <c r="T306" s="32">
        <v>0</v>
      </c>
      <c r="U306" s="32">
        <v>0</v>
      </c>
      <c r="V306" s="266">
        <f t="shared" si="65"/>
        <v>100</v>
      </c>
      <c r="W306" s="90">
        <f t="shared" si="66"/>
        <v>1</v>
      </c>
      <c r="X306" s="32">
        <v>0</v>
      </c>
      <c r="Y306" s="32">
        <v>0</v>
      </c>
      <c r="Z306" s="267">
        <f t="shared" si="67"/>
        <v>0</v>
      </c>
      <c r="AA306" s="268">
        <f t="shared" si="68"/>
        <v>33.333333333333336</v>
      </c>
      <c r="AB306" s="90">
        <f t="shared" si="69"/>
        <v>0.33333333333333337</v>
      </c>
      <c r="AC306" s="32">
        <v>0</v>
      </c>
      <c r="AD306" s="32">
        <v>1</v>
      </c>
      <c r="AE306" s="252">
        <f t="shared" si="70"/>
        <v>75</v>
      </c>
      <c r="AF306" s="90">
        <f t="shared" si="71"/>
        <v>1.5</v>
      </c>
      <c r="AG306" s="32">
        <v>2</v>
      </c>
      <c r="AH306" s="247">
        <f t="shared" si="72"/>
        <v>75</v>
      </c>
      <c r="AI306" s="91">
        <f t="shared" si="73"/>
        <v>0.75</v>
      </c>
      <c r="AJ306" s="32"/>
      <c r="AK306" s="32">
        <v>0</v>
      </c>
      <c r="AL306" s="32">
        <v>0</v>
      </c>
      <c r="AM306" s="32">
        <v>0</v>
      </c>
      <c r="AN306" s="32">
        <v>0</v>
      </c>
      <c r="AO306" s="247">
        <f t="shared" si="64"/>
        <v>0</v>
      </c>
      <c r="AP306" s="247">
        <f t="shared" si="74"/>
        <v>25</v>
      </c>
      <c r="AQ306" s="90">
        <f t="shared" si="75"/>
        <v>0.5</v>
      </c>
      <c r="AR306" s="32">
        <v>0</v>
      </c>
      <c r="AS306" s="32">
        <v>0</v>
      </c>
      <c r="AT306" s="32">
        <v>0</v>
      </c>
      <c r="AU306" s="272" t="str">
        <f t="shared" si="76"/>
        <v>A</v>
      </c>
      <c r="AV306" s="247">
        <f t="shared" si="77"/>
        <v>100</v>
      </c>
      <c r="AW306" s="90">
        <f t="shared" si="78"/>
        <v>3</v>
      </c>
      <c r="AX306" s="163">
        <f t="shared" si="79"/>
        <v>7.0833333333333339</v>
      </c>
    </row>
    <row r="307" spans="1:50" x14ac:dyDescent="0.6">
      <c r="A307" s="214" t="s">
        <v>931</v>
      </c>
      <c r="B307" s="13" t="s">
        <v>2288</v>
      </c>
      <c r="C307" s="219" t="s">
        <v>466</v>
      </c>
      <c r="D307" s="216" t="s">
        <v>202</v>
      </c>
      <c r="E307" s="217" t="s">
        <v>996</v>
      </c>
      <c r="F307" s="217" t="s">
        <v>2</v>
      </c>
      <c r="G307" s="218">
        <v>27208</v>
      </c>
      <c r="H307" s="217" t="s">
        <v>830</v>
      </c>
      <c r="I307" s="217" t="s">
        <v>1148</v>
      </c>
      <c r="J307" s="217" t="s">
        <v>1143</v>
      </c>
      <c r="K307" s="217" t="s">
        <v>91</v>
      </c>
      <c r="L307" s="220">
        <v>83412349000</v>
      </c>
      <c r="M307" s="206">
        <v>27656534000</v>
      </c>
      <c r="N307" s="206">
        <v>55755815000</v>
      </c>
      <c r="O307" s="206">
        <v>65308350000</v>
      </c>
      <c r="P307" s="206">
        <v>2828569000</v>
      </c>
      <c r="Q307" s="206">
        <v>4175475000</v>
      </c>
      <c r="R307" s="206">
        <v>3701958000</v>
      </c>
      <c r="S307" s="32">
        <v>1</v>
      </c>
      <c r="T307" s="32">
        <v>1</v>
      </c>
      <c r="U307" s="32">
        <v>0</v>
      </c>
      <c r="V307" s="266">
        <f t="shared" si="65"/>
        <v>100</v>
      </c>
      <c r="W307" s="90">
        <f t="shared" si="66"/>
        <v>1</v>
      </c>
      <c r="X307" s="32">
        <v>0</v>
      </c>
      <c r="Y307" s="32">
        <v>0</v>
      </c>
      <c r="Z307" s="267">
        <f t="shared" si="67"/>
        <v>0</v>
      </c>
      <c r="AA307" s="268">
        <f t="shared" si="68"/>
        <v>33.333333333333336</v>
      </c>
      <c r="AB307" s="90">
        <f t="shared" si="69"/>
        <v>0.33333333333333337</v>
      </c>
      <c r="AC307" s="32">
        <v>400000</v>
      </c>
      <c r="AD307" s="32">
        <v>1</v>
      </c>
      <c r="AE307" s="252">
        <f t="shared" si="70"/>
        <v>100</v>
      </c>
      <c r="AF307" s="90">
        <f t="shared" si="71"/>
        <v>2</v>
      </c>
      <c r="AG307" s="32">
        <v>1</v>
      </c>
      <c r="AH307" s="247">
        <f t="shared" si="72"/>
        <v>50</v>
      </c>
      <c r="AI307" s="91">
        <f t="shared" si="73"/>
        <v>0.5</v>
      </c>
      <c r="AJ307" s="32"/>
      <c r="AK307" s="32">
        <v>1</v>
      </c>
      <c r="AL307" s="32">
        <v>0</v>
      </c>
      <c r="AM307" s="32">
        <v>0</v>
      </c>
      <c r="AN307" s="32">
        <v>0</v>
      </c>
      <c r="AO307" s="247">
        <f t="shared" si="64"/>
        <v>1</v>
      </c>
      <c r="AP307" s="247">
        <f t="shared" si="74"/>
        <v>50</v>
      </c>
      <c r="AQ307" s="90">
        <f t="shared" si="75"/>
        <v>1</v>
      </c>
      <c r="AR307" s="32">
        <v>0</v>
      </c>
      <c r="AS307" s="32">
        <v>0</v>
      </c>
      <c r="AT307" s="32">
        <v>1</v>
      </c>
      <c r="AU307" s="272" t="str">
        <f t="shared" si="76"/>
        <v>D</v>
      </c>
      <c r="AV307" s="247">
        <f t="shared" si="77"/>
        <v>25</v>
      </c>
      <c r="AW307" s="90">
        <f t="shared" si="78"/>
        <v>0.75</v>
      </c>
      <c r="AX307" s="163">
        <f t="shared" si="79"/>
        <v>5.5833333333333339</v>
      </c>
    </row>
    <row r="308" spans="1:50" x14ac:dyDescent="0.6">
      <c r="A308" s="214" t="s">
        <v>373</v>
      </c>
      <c r="B308" s="13" t="s">
        <v>2289</v>
      </c>
      <c r="C308" s="219" t="s">
        <v>473</v>
      </c>
      <c r="D308" s="221" t="s">
        <v>350</v>
      </c>
      <c r="E308" s="217" t="s">
        <v>179</v>
      </c>
      <c r="F308" s="217" t="s">
        <v>648</v>
      </c>
      <c r="G308" s="218">
        <v>33033</v>
      </c>
      <c r="H308" s="217" t="s">
        <v>830</v>
      </c>
      <c r="I308" s="217" t="s">
        <v>826</v>
      </c>
      <c r="J308" s="217" t="s">
        <v>979</v>
      </c>
      <c r="K308" s="217" t="s">
        <v>91</v>
      </c>
      <c r="L308" s="220">
        <v>9431771000</v>
      </c>
      <c r="M308" s="206">
        <v>8215533000</v>
      </c>
      <c r="N308" s="206">
        <v>1216238000</v>
      </c>
      <c r="O308" s="206">
        <v>1147815000</v>
      </c>
      <c r="P308" s="206">
        <v>107043000</v>
      </c>
      <c r="Q308" s="206">
        <v>107816000</v>
      </c>
      <c r="R308" s="206">
        <v>80172000</v>
      </c>
      <c r="S308" s="32">
        <v>0</v>
      </c>
      <c r="T308" s="32">
        <v>0</v>
      </c>
      <c r="U308" s="32">
        <v>0</v>
      </c>
      <c r="V308" s="266">
        <f t="shared" si="65"/>
        <v>50</v>
      </c>
      <c r="W308" s="90">
        <f t="shared" si="66"/>
        <v>0.5</v>
      </c>
      <c r="X308" s="32">
        <v>0</v>
      </c>
      <c r="Y308" s="32">
        <v>0</v>
      </c>
      <c r="Z308" s="267">
        <f t="shared" si="67"/>
        <v>0</v>
      </c>
      <c r="AA308" s="268">
        <f t="shared" si="68"/>
        <v>33.333333333333336</v>
      </c>
      <c r="AB308" s="90">
        <f t="shared" si="69"/>
        <v>0.33333333333333337</v>
      </c>
      <c r="AC308" s="32">
        <v>0</v>
      </c>
      <c r="AD308" s="32">
        <v>0</v>
      </c>
      <c r="AE308" s="252">
        <f t="shared" si="70"/>
        <v>25</v>
      </c>
      <c r="AF308" s="90">
        <f t="shared" si="71"/>
        <v>0.5</v>
      </c>
      <c r="AG308" s="32">
        <v>0</v>
      </c>
      <c r="AH308" s="247">
        <f t="shared" si="72"/>
        <v>25</v>
      </c>
      <c r="AI308" s="91">
        <f t="shared" si="73"/>
        <v>0.25</v>
      </c>
      <c r="AJ308" s="32"/>
      <c r="AK308" s="32">
        <v>0</v>
      </c>
      <c r="AL308" s="32">
        <v>0</v>
      </c>
      <c r="AM308" s="32">
        <v>0</v>
      </c>
      <c r="AN308" s="32">
        <v>0</v>
      </c>
      <c r="AO308" s="247">
        <f t="shared" si="64"/>
        <v>0</v>
      </c>
      <c r="AP308" s="247">
        <f t="shared" si="74"/>
        <v>25</v>
      </c>
      <c r="AQ308" s="90">
        <f t="shared" si="75"/>
        <v>0.5</v>
      </c>
      <c r="AR308" s="32">
        <v>0</v>
      </c>
      <c r="AS308" s="32">
        <v>0</v>
      </c>
      <c r="AT308" s="32">
        <v>0</v>
      </c>
      <c r="AU308" s="272" t="str">
        <f t="shared" si="76"/>
        <v>A</v>
      </c>
      <c r="AV308" s="247">
        <f t="shared" si="77"/>
        <v>100</v>
      </c>
      <c r="AW308" s="90">
        <f t="shared" si="78"/>
        <v>3</v>
      </c>
      <c r="AX308" s="163">
        <v>0</v>
      </c>
    </row>
    <row r="309" spans="1:50" x14ac:dyDescent="0.6">
      <c r="A309" s="214" t="s">
        <v>914</v>
      </c>
      <c r="B309" s="13" t="s">
        <v>2290</v>
      </c>
      <c r="C309" s="219" t="s">
        <v>859</v>
      </c>
      <c r="D309" s="216" t="s">
        <v>285</v>
      </c>
      <c r="E309" s="217" t="s">
        <v>245</v>
      </c>
      <c r="F309" s="217" t="s">
        <v>130</v>
      </c>
      <c r="G309" s="218">
        <v>28460</v>
      </c>
      <c r="H309" s="217" t="s">
        <v>830</v>
      </c>
      <c r="I309" s="217" t="s">
        <v>1149</v>
      </c>
      <c r="J309" s="217" t="s">
        <v>641</v>
      </c>
      <c r="K309" s="217" t="s">
        <v>91</v>
      </c>
      <c r="L309" s="220">
        <v>1308741234</v>
      </c>
      <c r="M309" s="206">
        <v>878633042</v>
      </c>
      <c r="N309" s="206">
        <v>430108191</v>
      </c>
      <c r="O309" s="206">
        <v>4311279621</v>
      </c>
      <c r="P309" s="206">
        <v>29265563</v>
      </c>
      <c r="Q309" s="206">
        <v>78592213</v>
      </c>
      <c r="R309" s="206">
        <v>78671213</v>
      </c>
      <c r="S309" s="32">
        <v>0</v>
      </c>
      <c r="T309" s="32">
        <v>0</v>
      </c>
      <c r="U309" s="32">
        <v>0</v>
      </c>
      <c r="V309" s="266">
        <f t="shared" si="65"/>
        <v>50</v>
      </c>
      <c r="W309" s="90">
        <f t="shared" si="66"/>
        <v>0.5</v>
      </c>
      <c r="X309" s="32">
        <v>0</v>
      </c>
      <c r="Y309" s="32">
        <v>0</v>
      </c>
      <c r="Z309" s="267">
        <f t="shared" si="67"/>
        <v>0</v>
      </c>
      <c r="AA309" s="268">
        <f t="shared" si="68"/>
        <v>33.333333333333336</v>
      </c>
      <c r="AB309" s="90">
        <f t="shared" si="69"/>
        <v>0.33333333333333337</v>
      </c>
      <c r="AC309" s="32">
        <v>0</v>
      </c>
      <c r="AD309" s="32">
        <v>0</v>
      </c>
      <c r="AE309" s="252">
        <f t="shared" si="70"/>
        <v>25</v>
      </c>
      <c r="AF309" s="90">
        <f t="shared" si="71"/>
        <v>0.5</v>
      </c>
      <c r="AG309" s="32">
        <v>2</v>
      </c>
      <c r="AH309" s="247">
        <f t="shared" si="72"/>
        <v>75</v>
      </c>
      <c r="AI309" s="91">
        <f t="shared" si="73"/>
        <v>0.75</v>
      </c>
      <c r="AJ309" s="32"/>
      <c r="AK309" s="32">
        <v>0</v>
      </c>
      <c r="AL309" s="32">
        <v>0</v>
      </c>
      <c r="AM309" s="32">
        <v>0</v>
      </c>
      <c r="AN309" s="32">
        <v>0</v>
      </c>
      <c r="AO309" s="247">
        <f t="shared" si="64"/>
        <v>0</v>
      </c>
      <c r="AP309" s="247">
        <f t="shared" si="74"/>
        <v>25</v>
      </c>
      <c r="AQ309" s="90">
        <f t="shared" si="75"/>
        <v>0.5</v>
      </c>
      <c r="AR309" s="32">
        <v>0</v>
      </c>
      <c r="AS309" s="32">
        <v>0</v>
      </c>
      <c r="AT309" s="32">
        <v>0</v>
      </c>
      <c r="AU309" s="272" t="str">
        <f t="shared" si="76"/>
        <v>A</v>
      </c>
      <c r="AV309" s="247">
        <f t="shared" si="77"/>
        <v>100</v>
      </c>
      <c r="AW309" s="90">
        <f t="shared" si="78"/>
        <v>3</v>
      </c>
      <c r="AX309" s="163">
        <f t="shared" si="79"/>
        <v>5.5833333333333339</v>
      </c>
    </row>
    <row r="310" spans="1:50" x14ac:dyDescent="0.6">
      <c r="A310" s="214" t="s">
        <v>299</v>
      </c>
      <c r="B310" s="13" t="s">
        <v>2291</v>
      </c>
      <c r="C310" s="219" t="s">
        <v>530</v>
      </c>
      <c r="D310" s="221" t="s">
        <v>481</v>
      </c>
      <c r="E310" s="217" t="s">
        <v>704</v>
      </c>
      <c r="F310" s="217" t="s">
        <v>275</v>
      </c>
      <c r="G310" s="218">
        <v>32745</v>
      </c>
      <c r="H310" s="217" t="s">
        <v>830</v>
      </c>
      <c r="I310" s="217" t="s">
        <v>219</v>
      </c>
      <c r="J310" s="217" t="s">
        <v>957</v>
      </c>
      <c r="K310" s="217" t="s">
        <v>91</v>
      </c>
      <c r="L310" s="220">
        <v>51608012236</v>
      </c>
      <c r="M310" s="206">
        <v>47532258211</v>
      </c>
      <c r="N310" s="206">
        <v>4075754025</v>
      </c>
      <c r="O310" s="206">
        <v>14222654630</v>
      </c>
      <c r="P310" s="206">
        <v>798504080</v>
      </c>
      <c r="Q310" s="206">
        <v>768353165</v>
      </c>
      <c r="R310" s="206">
        <v>560901654</v>
      </c>
      <c r="S310" s="32">
        <v>0</v>
      </c>
      <c r="T310" s="32">
        <v>0</v>
      </c>
      <c r="U310" s="32">
        <v>0</v>
      </c>
      <c r="V310" s="266">
        <f t="shared" si="65"/>
        <v>50</v>
      </c>
      <c r="W310" s="90">
        <f t="shared" si="66"/>
        <v>0.5</v>
      </c>
      <c r="X310" s="32">
        <v>0</v>
      </c>
      <c r="Y310" s="32">
        <v>0</v>
      </c>
      <c r="Z310" s="267">
        <f t="shared" si="67"/>
        <v>0</v>
      </c>
      <c r="AA310" s="268">
        <f t="shared" si="68"/>
        <v>33.333333333333336</v>
      </c>
      <c r="AB310" s="90">
        <f t="shared" si="69"/>
        <v>0.33333333333333337</v>
      </c>
      <c r="AC310" s="32">
        <v>0</v>
      </c>
      <c r="AD310" s="32">
        <v>0</v>
      </c>
      <c r="AE310" s="252">
        <f t="shared" si="70"/>
        <v>25</v>
      </c>
      <c r="AF310" s="90">
        <f t="shared" si="71"/>
        <v>0.5</v>
      </c>
      <c r="AG310" s="32">
        <v>0</v>
      </c>
      <c r="AH310" s="247">
        <f t="shared" si="72"/>
        <v>25</v>
      </c>
      <c r="AI310" s="91">
        <f t="shared" si="73"/>
        <v>0.25</v>
      </c>
      <c r="AJ310" s="32"/>
      <c r="AK310" s="32">
        <v>0</v>
      </c>
      <c r="AL310" s="32">
        <v>0</v>
      </c>
      <c r="AM310" s="32">
        <v>0</v>
      </c>
      <c r="AN310" s="32">
        <v>0</v>
      </c>
      <c r="AO310" s="247">
        <f t="shared" si="64"/>
        <v>0</v>
      </c>
      <c r="AP310" s="247">
        <f t="shared" si="74"/>
        <v>25</v>
      </c>
      <c r="AQ310" s="90">
        <f t="shared" si="75"/>
        <v>0.5</v>
      </c>
      <c r="AR310" s="32">
        <v>0</v>
      </c>
      <c r="AS310" s="32">
        <v>0</v>
      </c>
      <c r="AT310" s="32">
        <v>0</v>
      </c>
      <c r="AU310" s="272" t="str">
        <f t="shared" si="76"/>
        <v>A</v>
      </c>
      <c r="AV310" s="247">
        <f t="shared" si="77"/>
        <v>100</v>
      </c>
      <c r="AW310" s="90">
        <f t="shared" si="78"/>
        <v>3</v>
      </c>
      <c r="AX310" s="163">
        <v>0</v>
      </c>
    </row>
    <row r="311" spans="1:50" x14ac:dyDescent="0.6">
      <c r="A311" s="214" t="s">
        <v>936</v>
      </c>
      <c r="B311" s="13" t="s">
        <v>2292</v>
      </c>
      <c r="C311" s="219" t="s">
        <v>17</v>
      </c>
      <c r="D311" s="216" t="s">
        <v>285</v>
      </c>
      <c r="E311" s="217" t="s">
        <v>851</v>
      </c>
      <c r="F311" s="217" t="s">
        <v>1141</v>
      </c>
      <c r="G311" s="218">
        <v>40434</v>
      </c>
      <c r="H311" s="217" t="s">
        <v>830</v>
      </c>
      <c r="I311" s="217" t="s">
        <v>1013</v>
      </c>
      <c r="J311" s="217" t="s">
        <v>1147</v>
      </c>
      <c r="K311" s="217" t="s">
        <v>91</v>
      </c>
      <c r="L311" s="220">
        <v>1865948929</v>
      </c>
      <c r="M311" s="206">
        <v>318378114</v>
      </c>
      <c r="N311" s="206">
        <v>1547570816</v>
      </c>
      <c r="O311" s="206">
        <v>1101635299</v>
      </c>
      <c r="P311" s="206">
        <v>112712450</v>
      </c>
      <c r="Q311" s="206">
        <v>74367602</v>
      </c>
      <c r="R311" s="206">
        <v>67521538</v>
      </c>
      <c r="S311" s="32">
        <v>0</v>
      </c>
      <c r="T311" s="32">
        <v>0</v>
      </c>
      <c r="U311" s="32">
        <v>0</v>
      </c>
      <c r="V311" s="266">
        <f t="shared" si="65"/>
        <v>50</v>
      </c>
      <c r="W311" s="90">
        <f t="shared" si="66"/>
        <v>0.5</v>
      </c>
      <c r="X311" s="32">
        <v>0</v>
      </c>
      <c r="Y311" s="32">
        <v>0</v>
      </c>
      <c r="Z311" s="267">
        <f t="shared" si="67"/>
        <v>0</v>
      </c>
      <c r="AA311" s="268">
        <f t="shared" si="68"/>
        <v>33.333333333333336</v>
      </c>
      <c r="AB311" s="90">
        <f t="shared" si="69"/>
        <v>0.33333333333333337</v>
      </c>
      <c r="AC311" s="32">
        <v>0</v>
      </c>
      <c r="AD311" s="32">
        <v>0</v>
      </c>
      <c r="AE311" s="252">
        <f t="shared" si="70"/>
        <v>25</v>
      </c>
      <c r="AF311" s="90">
        <f t="shared" si="71"/>
        <v>0.5</v>
      </c>
      <c r="AG311" s="32">
        <v>2</v>
      </c>
      <c r="AH311" s="247">
        <f t="shared" si="72"/>
        <v>75</v>
      </c>
      <c r="AI311" s="91">
        <f t="shared" si="73"/>
        <v>0.75</v>
      </c>
      <c r="AJ311" s="32"/>
      <c r="AK311" s="32">
        <v>0</v>
      </c>
      <c r="AL311" s="32">
        <v>0</v>
      </c>
      <c r="AM311" s="32">
        <v>0</v>
      </c>
      <c r="AN311" s="32">
        <v>0</v>
      </c>
      <c r="AO311" s="247">
        <f t="shared" si="64"/>
        <v>0</v>
      </c>
      <c r="AP311" s="247">
        <f t="shared" si="74"/>
        <v>25</v>
      </c>
      <c r="AQ311" s="90">
        <f t="shared" si="75"/>
        <v>0.5</v>
      </c>
      <c r="AR311" s="32">
        <v>0</v>
      </c>
      <c r="AS311" s="32">
        <v>0</v>
      </c>
      <c r="AT311" s="32">
        <v>0</v>
      </c>
      <c r="AU311" s="272" t="str">
        <f t="shared" si="76"/>
        <v>A</v>
      </c>
      <c r="AV311" s="247">
        <f t="shared" si="77"/>
        <v>100</v>
      </c>
      <c r="AW311" s="90">
        <f t="shared" si="78"/>
        <v>3</v>
      </c>
      <c r="AX311" s="163">
        <f t="shared" si="79"/>
        <v>5.5833333333333339</v>
      </c>
    </row>
    <row r="312" spans="1:50" x14ac:dyDescent="0.6">
      <c r="A312" s="214" t="s">
        <v>318</v>
      </c>
      <c r="B312" s="13" t="s">
        <v>2293</v>
      </c>
      <c r="C312" s="219" t="s">
        <v>539</v>
      </c>
      <c r="D312" s="216" t="s">
        <v>285</v>
      </c>
      <c r="E312" s="217" t="s">
        <v>872</v>
      </c>
      <c r="F312" s="217" t="s">
        <v>44</v>
      </c>
      <c r="G312" s="218">
        <v>32415</v>
      </c>
      <c r="H312" s="217" t="s">
        <v>830</v>
      </c>
      <c r="I312" s="217" t="s">
        <v>435</v>
      </c>
      <c r="J312" s="217" t="s">
        <v>1145</v>
      </c>
      <c r="K312" s="217" t="s">
        <v>308</v>
      </c>
      <c r="L312" s="220">
        <v>564413385</v>
      </c>
      <c r="M312" s="206">
        <v>200073929</v>
      </c>
      <c r="N312" s="206">
        <v>364339456</v>
      </c>
      <c r="O312" s="206">
        <v>645826449</v>
      </c>
      <c r="P312" s="206">
        <v>23890019</v>
      </c>
      <c r="Q312" s="206">
        <v>40898213</v>
      </c>
      <c r="R312" s="206">
        <v>31433619</v>
      </c>
      <c r="S312" s="32">
        <v>1</v>
      </c>
      <c r="T312" s="32">
        <v>0</v>
      </c>
      <c r="U312" s="32">
        <v>0</v>
      </c>
      <c r="V312" s="266">
        <f t="shared" si="65"/>
        <v>100</v>
      </c>
      <c r="W312" s="90">
        <f t="shared" si="66"/>
        <v>1</v>
      </c>
      <c r="X312" s="32">
        <v>0</v>
      </c>
      <c r="Y312" s="32">
        <v>0</v>
      </c>
      <c r="Z312" s="267">
        <f t="shared" si="67"/>
        <v>0</v>
      </c>
      <c r="AA312" s="268">
        <f t="shared" si="68"/>
        <v>33.333333333333336</v>
      </c>
      <c r="AB312" s="90">
        <f t="shared" si="69"/>
        <v>0.33333333333333337</v>
      </c>
      <c r="AC312" s="32">
        <v>0</v>
      </c>
      <c r="AD312" s="32">
        <v>1</v>
      </c>
      <c r="AE312" s="252">
        <f t="shared" si="70"/>
        <v>75</v>
      </c>
      <c r="AF312" s="90">
        <f t="shared" si="71"/>
        <v>1.5</v>
      </c>
      <c r="AG312" s="32">
        <v>0</v>
      </c>
      <c r="AH312" s="247">
        <f t="shared" si="72"/>
        <v>25</v>
      </c>
      <c r="AI312" s="91">
        <f t="shared" si="73"/>
        <v>0.25</v>
      </c>
      <c r="AJ312" s="32"/>
      <c r="AK312" s="32">
        <v>0</v>
      </c>
      <c r="AL312" s="32">
        <v>0</v>
      </c>
      <c r="AM312" s="32">
        <v>0</v>
      </c>
      <c r="AN312" s="32">
        <v>0</v>
      </c>
      <c r="AO312" s="247">
        <f t="shared" si="64"/>
        <v>0</v>
      </c>
      <c r="AP312" s="247">
        <f t="shared" si="74"/>
        <v>25</v>
      </c>
      <c r="AQ312" s="90">
        <f t="shared" si="75"/>
        <v>0.5</v>
      </c>
      <c r="AR312" s="32">
        <v>0</v>
      </c>
      <c r="AS312" s="32">
        <v>0</v>
      </c>
      <c r="AT312" s="32">
        <v>0</v>
      </c>
      <c r="AU312" s="272" t="str">
        <f t="shared" si="76"/>
        <v>A</v>
      </c>
      <c r="AV312" s="247">
        <f t="shared" si="77"/>
        <v>100</v>
      </c>
      <c r="AW312" s="90">
        <f t="shared" si="78"/>
        <v>3</v>
      </c>
      <c r="AX312" s="163">
        <f t="shared" si="79"/>
        <v>6.5833333333333339</v>
      </c>
    </row>
    <row r="313" spans="1:50" x14ac:dyDescent="0.6">
      <c r="A313" s="214" t="s">
        <v>1961</v>
      </c>
      <c r="B313" s="13" t="s">
        <v>2294</v>
      </c>
      <c r="C313" s="219" t="s">
        <v>1962</v>
      </c>
      <c r="D313" s="14" t="s">
        <v>202</v>
      </c>
      <c r="E313" s="217" t="s">
        <v>954</v>
      </c>
      <c r="F313" s="217" t="s">
        <v>1963</v>
      </c>
      <c r="G313" s="218">
        <v>44270</v>
      </c>
      <c r="H313" s="217" t="s">
        <v>830</v>
      </c>
      <c r="I313" s="217" t="s">
        <v>1964</v>
      </c>
      <c r="J313" s="217" t="s">
        <v>1965</v>
      </c>
      <c r="K313" s="217" t="s">
        <v>50</v>
      </c>
      <c r="L313" s="220">
        <v>395294330</v>
      </c>
      <c r="M313" s="206">
        <v>302633820</v>
      </c>
      <c r="N313" s="206">
        <v>92660510</v>
      </c>
      <c r="O313" s="206">
        <v>657241500</v>
      </c>
      <c r="P313" s="206">
        <v>12719529</v>
      </c>
      <c r="Q313" s="206">
        <v>15411762</v>
      </c>
      <c r="R313" s="206">
        <v>12684598</v>
      </c>
      <c r="S313" s="32">
        <v>0</v>
      </c>
      <c r="T313" s="32">
        <v>0</v>
      </c>
      <c r="U313" s="32">
        <v>0</v>
      </c>
      <c r="V313" s="266">
        <f t="shared" si="65"/>
        <v>50</v>
      </c>
      <c r="W313" s="90">
        <f t="shared" si="66"/>
        <v>0.5</v>
      </c>
      <c r="X313" s="32">
        <v>0</v>
      </c>
      <c r="Y313" s="32">
        <v>0</v>
      </c>
      <c r="Z313" s="267">
        <f t="shared" si="67"/>
        <v>0</v>
      </c>
      <c r="AA313" s="268">
        <f t="shared" si="68"/>
        <v>33.333333333333336</v>
      </c>
      <c r="AB313" s="90">
        <f t="shared" si="69"/>
        <v>0.33333333333333337</v>
      </c>
      <c r="AC313" s="32">
        <v>0</v>
      </c>
      <c r="AD313" s="32">
        <v>1</v>
      </c>
      <c r="AE313" s="252">
        <f t="shared" si="70"/>
        <v>75</v>
      </c>
      <c r="AF313" s="90">
        <f t="shared" si="71"/>
        <v>1.5</v>
      </c>
      <c r="AG313" s="32">
        <v>0</v>
      </c>
      <c r="AH313" s="247">
        <f t="shared" si="72"/>
        <v>25</v>
      </c>
      <c r="AI313" s="91">
        <f t="shared" si="73"/>
        <v>0.25</v>
      </c>
      <c r="AJ313" s="32"/>
      <c r="AK313" s="32">
        <v>0</v>
      </c>
      <c r="AL313" s="32">
        <v>0</v>
      </c>
      <c r="AM313" s="32">
        <v>0</v>
      </c>
      <c r="AN313" s="32">
        <v>0</v>
      </c>
      <c r="AO313" s="247">
        <f t="shared" si="64"/>
        <v>0</v>
      </c>
      <c r="AP313" s="247">
        <f t="shared" si="74"/>
        <v>25</v>
      </c>
      <c r="AQ313" s="90">
        <f t="shared" si="75"/>
        <v>0.5</v>
      </c>
      <c r="AR313" s="32">
        <v>0</v>
      </c>
      <c r="AS313" s="32">
        <v>0</v>
      </c>
      <c r="AT313" s="32">
        <v>0</v>
      </c>
      <c r="AU313" s="272" t="str">
        <f t="shared" si="76"/>
        <v>A</v>
      </c>
      <c r="AV313" s="247">
        <f t="shared" si="77"/>
        <v>100</v>
      </c>
      <c r="AW313" s="90">
        <f t="shared" si="78"/>
        <v>3</v>
      </c>
      <c r="AX313" s="163">
        <f t="shared" si="79"/>
        <v>6.0833333333333339</v>
      </c>
    </row>
    <row r="314" spans="1:50" x14ac:dyDescent="0.6">
      <c r="A314" s="214" t="s">
        <v>1966</v>
      </c>
      <c r="B314" s="13" t="s">
        <v>2295</v>
      </c>
      <c r="C314" s="219" t="s">
        <v>456</v>
      </c>
      <c r="D314" s="216" t="s">
        <v>191</v>
      </c>
      <c r="E314" s="217" t="s">
        <v>359</v>
      </c>
      <c r="F314" s="217">
        <v>0</v>
      </c>
      <c r="G314" s="218">
        <v>42647</v>
      </c>
      <c r="H314" s="217" t="s">
        <v>830</v>
      </c>
      <c r="I314" s="217" t="s">
        <v>838</v>
      </c>
      <c r="J314" s="217" t="s">
        <v>674</v>
      </c>
      <c r="K314" s="217" t="s">
        <v>484</v>
      </c>
      <c r="L314" s="220">
        <v>385322070</v>
      </c>
      <c r="M314" s="206">
        <v>21439724</v>
      </c>
      <c r="N314" s="206">
        <v>363882347</v>
      </c>
      <c r="O314" s="206">
        <v>6697506</v>
      </c>
      <c r="P314" s="206">
        <v>3662683</v>
      </c>
      <c r="Q314" s="206">
        <v>13457274</v>
      </c>
      <c r="R314" s="206">
        <v>10765577</v>
      </c>
      <c r="S314" s="32">
        <v>0</v>
      </c>
      <c r="T314" s="32">
        <v>1</v>
      </c>
      <c r="U314" s="32">
        <v>0</v>
      </c>
      <c r="V314" s="266">
        <f t="shared" si="65"/>
        <v>100</v>
      </c>
      <c r="W314" s="90">
        <f t="shared" si="66"/>
        <v>1</v>
      </c>
      <c r="X314" s="32">
        <v>0</v>
      </c>
      <c r="Y314" s="32">
        <v>0</v>
      </c>
      <c r="Z314" s="267">
        <f t="shared" si="67"/>
        <v>0</v>
      </c>
      <c r="AA314" s="268">
        <f t="shared" si="68"/>
        <v>33.333333333333336</v>
      </c>
      <c r="AB314" s="90">
        <f t="shared" si="69"/>
        <v>0.33333333333333337</v>
      </c>
      <c r="AC314" s="32">
        <v>0</v>
      </c>
      <c r="AD314" s="32">
        <v>1</v>
      </c>
      <c r="AE314" s="252">
        <f t="shared" si="70"/>
        <v>75</v>
      </c>
      <c r="AF314" s="90">
        <f t="shared" si="71"/>
        <v>1.5</v>
      </c>
      <c r="AG314" s="32">
        <v>0</v>
      </c>
      <c r="AH314" s="247">
        <f t="shared" si="72"/>
        <v>25</v>
      </c>
      <c r="AI314" s="91">
        <f t="shared" si="73"/>
        <v>0.25</v>
      </c>
      <c r="AJ314" s="32"/>
      <c r="AK314" s="32">
        <v>0</v>
      </c>
      <c r="AL314" s="32">
        <v>0</v>
      </c>
      <c r="AM314" s="32">
        <v>0</v>
      </c>
      <c r="AN314" s="32">
        <v>0</v>
      </c>
      <c r="AO314" s="247">
        <f t="shared" si="64"/>
        <v>0</v>
      </c>
      <c r="AP314" s="247">
        <f t="shared" si="74"/>
        <v>25</v>
      </c>
      <c r="AQ314" s="90">
        <f t="shared" si="75"/>
        <v>0.5</v>
      </c>
      <c r="AR314" s="32">
        <v>0</v>
      </c>
      <c r="AS314" s="32">
        <v>0</v>
      </c>
      <c r="AT314" s="32">
        <v>0</v>
      </c>
      <c r="AU314" s="272" t="str">
        <f t="shared" si="76"/>
        <v>A</v>
      </c>
      <c r="AV314" s="247">
        <f t="shared" si="77"/>
        <v>100</v>
      </c>
      <c r="AW314" s="90">
        <f t="shared" si="78"/>
        <v>3</v>
      </c>
      <c r="AX314" s="163">
        <f t="shared" si="79"/>
        <v>6.5833333333333339</v>
      </c>
    </row>
    <row r="315" spans="1:50" x14ac:dyDescent="0.6">
      <c r="A315" s="214" t="s">
        <v>110</v>
      </c>
      <c r="B315" s="13" t="s">
        <v>2296</v>
      </c>
      <c r="C315" s="219" t="s">
        <v>415</v>
      </c>
      <c r="D315" s="216" t="s">
        <v>202</v>
      </c>
      <c r="E315" s="217" t="s">
        <v>572</v>
      </c>
      <c r="F315" s="217" t="s">
        <v>140</v>
      </c>
      <c r="G315" s="218">
        <v>36482</v>
      </c>
      <c r="H315" s="217" t="s">
        <v>830</v>
      </c>
      <c r="I315" s="217" t="s">
        <v>574</v>
      </c>
      <c r="J315" s="217" t="s">
        <v>1128</v>
      </c>
      <c r="K315" s="217" t="s">
        <v>487</v>
      </c>
      <c r="L315" s="220">
        <v>431960683</v>
      </c>
      <c r="M315" s="206">
        <v>113198118</v>
      </c>
      <c r="N315" s="206">
        <v>318762565</v>
      </c>
      <c r="O315" s="206">
        <v>214284471</v>
      </c>
      <c r="P315" s="206">
        <v>4478641</v>
      </c>
      <c r="Q315" s="206">
        <v>40192166</v>
      </c>
      <c r="R315" s="206">
        <v>33648333</v>
      </c>
      <c r="S315" s="32">
        <v>0</v>
      </c>
      <c r="T315" s="32">
        <v>0</v>
      </c>
      <c r="U315" s="32">
        <v>0</v>
      </c>
      <c r="V315" s="266">
        <f t="shared" si="65"/>
        <v>50</v>
      </c>
      <c r="W315" s="90">
        <f t="shared" si="66"/>
        <v>0.5</v>
      </c>
      <c r="X315" s="32">
        <v>0</v>
      </c>
      <c r="Y315" s="32">
        <v>0</v>
      </c>
      <c r="Z315" s="267">
        <f t="shared" si="67"/>
        <v>0</v>
      </c>
      <c r="AA315" s="268">
        <f t="shared" si="68"/>
        <v>33.333333333333336</v>
      </c>
      <c r="AB315" s="90">
        <f t="shared" si="69"/>
        <v>0.33333333333333337</v>
      </c>
      <c r="AC315" s="32">
        <v>0</v>
      </c>
      <c r="AD315" s="32">
        <v>1</v>
      </c>
      <c r="AE315" s="252">
        <f t="shared" si="70"/>
        <v>75</v>
      </c>
      <c r="AF315" s="90">
        <f t="shared" si="71"/>
        <v>1.5</v>
      </c>
      <c r="AG315" s="32">
        <v>0</v>
      </c>
      <c r="AH315" s="247">
        <f t="shared" si="72"/>
        <v>25</v>
      </c>
      <c r="AI315" s="91">
        <f t="shared" si="73"/>
        <v>0.25</v>
      </c>
      <c r="AJ315" s="32"/>
      <c r="AK315" s="32">
        <v>1</v>
      </c>
      <c r="AL315" s="32">
        <v>0</v>
      </c>
      <c r="AM315" s="32">
        <v>0</v>
      </c>
      <c r="AN315" s="32">
        <v>0</v>
      </c>
      <c r="AO315" s="247">
        <f t="shared" si="64"/>
        <v>1</v>
      </c>
      <c r="AP315" s="247">
        <f t="shared" si="74"/>
        <v>50</v>
      </c>
      <c r="AQ315" s="90">
        <f t="shared" si="75"/>
        <v>1</v>
      </c>
      <c r="AR315" s="32">
        <v>0</v>
      </c>
      <c r="AS315" s="32">
        <v>0</v>
      </c>
      <c r="AT315" s="32">
        <v>0</v>
      </c>
      <c r="AU315" s="272" t="str">
        <f t="shared" si="76"/>
        <v>A</v>
      </c>
      <c r="AV315" s="247">
        <f t="shared" si="77"/>
        <v>100</v>
      </c>
      <c r="AW315" s="90">
        <f t="shared" si="78"/>
        <v>3</v>
      </c>
      <c r="AX315" s="163">
        <f t="shared" si="79"/>
        <v>6.5833333333333339</v>
      </c>
    </row>
    <row r="316" spans="1:50" x14ac:dyDescent="0.6">
      <c r="A316" s="214" t="s">
        <v>526</v>
      </c>
      <c r="B316" s="13" t="s">
        <v>2297</v>
      </c>
      <c r="C316" s="219" t="s">
        <v>294</v>
      </c>
      <c r="D316" s="216" t="s">
        <v>203</v>
      </c>
      <c r="E316" s="217" t="s">
        <v>200</v>
      </c>
      <c r="F316" s="217" t="s">
        <v>614</v>
      </c>
      <c r="G316" s="218">
        <v>40115</v>
      </c>
      <c r="H316" s="217" t="s">
        <v>830</v>
      </c>
      <c r="I316" s="217" t="s">
        <v>841</v>
      </c>
      <c r="J316" s="217" t="s">
        <v>1127</v>
      </c>
      <c r="K316" s="217" t="s">
        <v>690</v>
      </c>
      <c r="L316" s="220">
        <v>292166785</v>
      </c>
      <c r="M316" s="206">
        <v>44275143</v>
      </c>
      <c r="N316" s="206">
        <v>247891642</v>
      </c>
      <c r="O316" s="206">
        <v>161284519</v>
      </c>
      <c r="P316" s="206">
        <v>27840640</v>
      </c>
      <c r="Q316" s="206">
        <v>28718534</v>
      </c>
      <c r="R316" s="206">
        <v>22454629</v>
      </c>
      <c r="S316" s="32">
        <v>0</v>
      </c>
      <c r="T316" s="32">
        <v>0</v>
      </c>
      <c r="U316" s="32">
        <v>0</v>
      </c>
      <c r="V316" s="266">
        <f t="shared" si="65"/>
        <v>50</v>
      </c>
      <c r="W316" s="90">
        <f t="shared" si="66"/>
        <v>0.5</v>
      </c>
      <c r="X316" s="32">
        <v>0</v>
      </c>
      <c r="Y316" s="32">
        <v>0</v>
      </c>
      <c r="Z316" s="267">
        <f t="shared" si="67"/>
        <v>0</v>
      </c>
      <c r="AA316" s="268">
        <f t="shared" si="68"/>
        <v>33.333333333333336</v>
      </c>
      <c r="AB316" s="90">
        <f t="shared" si="69"/>
        <v>0.33333333333333337</v>
      </c>
      <c r="AC316" s="32">
        <v>0</v>
      </c>
      <c r="AD316" s="32">
        <v>1</v>
      </c>
      <c r="AE316" s="252">
        <f t="shared" si="70"/>
        <v>75</v>
      </c>
      <c r="AF316" s="90">
        <f t="shared" si="71"/>
        <v>1.5</v>
      </c>
      <c r="AG316" s="32">
        <v>0</v>
      </c>
      <c r="AH316" s="247">
        <f t="shared" si="72"/>
        <v>25</v>
      </c>
      <c r="AI316" s="91">
        <f t="shared" si="73"/>
        <v>0.25</v>
      </c>
      <c r="AJ316" s="32"/>
      <c r="AK316" s="32">
        <v>0</v>
      </c>
      <c r="AL316" s="32">
        <v>0</v>
      </c>
      <c r="AM316" s="32">
        <v>0</v>
      </c>
      <c r="AN316" s="32">
        <v>0</v>
      </c>
      <c r="AO316" s="247">
        <f t="shared" si="64"/>
        <v>0</v>
      </c>
      <c r="AP316" s="247">
        <f t="shared" si="74"/>
        <v>25</v>
      </c>
      <c r="AQ316" s="90">
        <f t="shared" si="75"/>
        <v>0.5</v>
      </c>
      <c r="AR316" s="32">
        <v>0</v>
      </c>
      <c r="AS316" s="32">
        <v>0</v>
      </c>
      <c r="AT316" s="32">
        <v>0</v>
      </c>
      <c r="AU316" s="272" t="str">
        <f t="shared" si="76"/>
        <v>A</v>
      </c>
      <c r="AV316" s="247">
        <f t="shared" si="77"/>
        <v>100</v>
      </c>
      <c r="AW316" s="90">
        <f t="shared" si="78"/>
        <v>3</v>
      </c>
      <c r="AX316" s="163">
        <f t="shared" si="79"/>
        <v>6.0833333333333339</v>
      </c>
    </row>
    <row r="317" spans="1:50" x14ac:dyDescent="0.6">
      <c r="A317" s="214" t="s">
        <v>926</v>
      </c>
      <c r="B317" s="13" t="s">
        <v>2298</v>
      </c>
      <c r="C317" s="219" t="s">
        <v>10</v>
      </c>
      <c r="D317" s="216" t="s">
        <v>285</v>
      </c>
      <c r="E317" s="217" t="s">
        <v>619</v>
      </c>
      <c r="F317" s="217" t="s">
        <v>667</v>
      </c>
      <c r="G317" s="218">
        <v>39380</v>
      </c>
      <c r="H317" s="217" t="s">
        <v>830</v>
      </c>
      <c r="I317" s="217" t="s">
        <v>705</v>
      </c>
      <c r="J317" s="217" t="s">
        <v>1214</v>
      </c>
      <c r="K317" s="217" t="s">
        <v>91</v>
      </c>
      <c r="L317" s="220">
        <v>176403782</v>
      </c>
      <c r="M317" s="206">
        <v>111131085</v>
      </c>
      <c r="N317" s="206">
        <v>65272696</v>
      </c>
      <c r="O317" s="206">
        <v>510498450</v>
      </c>
      <c r="P317" s="206">
        <v>22273886</v>
      </c>
      <c r="Q317" s="206">
        <v>19802511</v>
      </c>
      <c r="R317" s="206">
        <v>15083749</v>
      </c>
      <c r="S317" s="32">
        <v>1</v>
      </c>
      <c r="T317" s="32">
        <v>0</v>
      </c>
      <c r="U317" s="32">
        <v>0</v>
      </c>
      <c r="V317" s="266">
        <f t="shared" si="65"/>
        <v>100</v>
      </c>
      <c r="W317" s="90">
        <f t="shared" si="66"/>
        <v>1</v>
      </c>
      <c r="X317" s="32">
        <v>0</v>
      </c>
      <c r="Y317" s="32">
        <v>0</v>
      </c>
      <c r="Z317" s="267">
        <f t="shared" si="67"/>
        <v>0</v>
      </c>
      <c r="AA317" s="268">
        <f t="shared" si="68"/>
        <v>33.333333333333336</v>
      </c>
      <c r="AB317" s="90">
        <f t="shared" si="69"/>
        <v>0.33333333333333337</v>
      </c>
      <c r="AC317" s="32">
        <v>0</v>
      </c>
      <c r="AD317" s="32">
        <v>1</v>
      </c>
      <c r="AE317" s="252">
        <f t="shared" si="70"/>
        <v>75</v>
      </c>
      <c r="AF317" s="90">
        <f t="shared" si="71"/>
        <v>1.5</v>
      </c>
      <c r="AG317" s="32">
        <v>0</v>
      </c>
      <c r="AH317" s="247">
        <f t="shared" si="72"/>
        <v>25</v>
      </c>
      <c r="AI317" s="91">
        <f t="shared" si="73"/>
        <v>0.25</v>
      </c>
      <c r="AJ317" s="32"/>
      <c r="AK317" s="32">
        <v>0</v>
      </c>
      <c r="AL317" s="32">
        <v>0</v>
      </c>
      <c r="AM317" s="32">
        <v>0</v>
      </c>
      <c r="AN317" s="32">
        <v>1</v>
      </c>
      <c r="AO317" s="247">
        <f t="shared" si="64"/>
        <v>1</v>
      </c>
      <c r="AP317" s="247">
        <f t="shared" si="74"/>
        <v>50</v>
      </c>
      <c r="AQ317" s="90">
        <f t="shared" si="75"/>
        <v>1</v>
      </c>
      <c r="AR317" s="32">
        <v>0</v>
      </c>
      <c r="AS317" s="32">
        <v>0</v>
      </c>
      <c r="AT317" s="32">
        <v>0</v>
      </c>
      <c r="AU317" s="272" t="str">
        <f t="shared" si="76"/>
        <v>A</v>
      </c>
      <c r="AV317" s="247">
        <f t="shared" si="77"/>
        <v>100</v>
      </c>
      <c r="AW317" s="90">
        <f t="shared" si="78"/>
        <v>3</v>
      </c>
      <c r="AX317" s="163">
        <f t="shared" si="79"/>
        <v>7.0833333333333339</v>
      </c>
    </row>
    <row r="318" spans="1:50" x14ac:dyDescent="0.6">
      <c r="A318" s="214" t="s">
        <v>1967</v>
      </c>
      <c r="B318" s="13" t="s">
        <v>2299</v>
      </c>
      <c r="C318" s="219" t="s">
        <v>1968</v>
      </c>
      <c r="D318" s="14" t="s">
        <v>203</v>
      </c>
      <c r="E318" s="217" t="s">
        <v>240</v>
      </c>
      <c r="F318" s="217" t="s">
        <v>1969</v>
      </c>
      <c r="G318" s="218">
        <v>43294</v>
      </c>
      <c r="H318" s="217" t="s">
        <v>830</v>
      </c>
      <c r="I318" s="217" t="s">
        <v>1970</v>
      </c>
      <c r="J318" s="217" t="s">
        <v>1971</v>
      </c>
      <c r="K318" s="217" t="s">
        <v>91</v>
      </c>
      <c r="L318" s="220">
        <v>1354651786</v>
      </c>
      <c r="M318" s="206">
        <v>616821573</v>
      </c>
      <c r="N318" s="206">
        <v>737830213</v>
      </c>
      <c r="O318" s="206">
        <v>858081181</v>
      </c>
      <c r="P318" s="206">
        <v>96465703</v>
      </c>
      <c r="Q318" s="206">
        <v>259022901</v>
      </c>
      <c r="R318" s="206">
        <v>212549126</v>
      </c>
      <c r="S318" s="32">
        <v>1</v>
      </c>
      <c r="T318" s="32">
        <v>1</v>
      </c>
      <c r="U318" s="32">
        <v>0</v>
      </c>
      <c r="V318" s="266">
        <f t="shared" si="65"/>
        <v>100</v>
      </c>
      <c r="W318" s="90">
        <f t="shared" si="66"/>
        <v>1</v>
      </c>
      <c r="X318" s="32">
        <v>0</v>
      </c>
      <c r="Y318" s="32">
        <v>0</v>
      </c>
      <c r="Z318" s="267">
        <f t="shared" si="67"/>
        <v>0</v>
      </c>
      <c r="AA318" s="268">
        <f t="shared" si="68"/>
        <v>33.333333333333336</v>
      </c>
      <c r="AB318" s="90">
        <f t="shared" si="69"/>
        <v>0.33333333333333337</v>
      </c>
      <c r="AC318" s="32">
        <v>0</v>
      </c>
      <c r="AD318" s="32">
        <v>1</v>
      </c>
      <c r="AE318" s="252">
        <f t="shared" si="70"/>
        <v>75</v>
      </c>
      <c r="AF318" s="90">
        <f t="shared" si="71"/>
        <v>1.5</v>
      </c>
      <c r="AG318" s="32">
        <v>2</v>
      </c>
      <c r="AH318" s="247">
        <f t="shared" si="72"/>
        <v>75</v>
      </c>
      <c r="AI318" s="91">
        <f t="shared" si="73"/>
        <v>0.75</v>
      </c>
      <c r="AJ318" s="32"/>
      <c r="AK318" s="32">
        <v>1</v>
      </c>
      <c r="AL318" s="32">
        <v>0</v>
      </c>
      <c r="AM318" s="32">
        <v>0</v>
      </c>
      <c r="AN318" s="32">
        <v>0</v>
      </c>
      <c r="AO318" s="247">
        <f t="shared" si="64"/>
        <v>1</v>
      </c>
      <c r="AP318" s="247">
        <f t="shared" si="74"/>
        <v>50</v>
      </c>
      <c r="AQ318" s="90">
        <f t="shared" si="75"/>
        <v>1</v>
      </c>
      <c r="AR318" s="32">
        <v>0</v>
      </c>
      <c r="AS318" s="32">
        <v>0</v>
      </c>
      <c r="AT318" s="32">
        <v>0</v>
      </c>
      <c r="AU318" s="272" t="str">
        <f t="shared" si="76"/>
        <v>A</v>
      </c>
      <c r="AV318" s="247">
        <f t="shared" si="77"/>
        <v>100</v>
      </c>
      <c r="AW318" s="90">
        <f t="shared" si="78"/>
        <v>3</v>
      </c>
      <c r="AX318" s="163">
        <f t="shared" si="79"/>
        <v>7.5833333333333339</v>
      </c>
    </row>
    <row r="319" spans="1:50" x14ac:dyDescent="0.6">
      <c r="A319" s="214" t="s">
        <v>72</v>
      </c>
      <c r="B319" s="13" t="s">
        <v>2300</v>
      </c>
      <c r="C319" s="219" t="s">
        <v>424</v>
      </c>
      <c r="D319" s="216" t="s">
        <v>203</v>
      </c>
      <c r="E319" s="217" t="s">
        <v>240</v>
      </c>
      <c r="F319" s="217" t="s">
        <v>669</v>
      </c>
      <c r="G319" s="218">
        <v>43294</v>
      </c>
      <c r="H319" s="217" t="s">
        <v>830</v>
      </c>
      <c r="I319" s="217" t="s">
        <v>815</v>
      </c>
      <c r="J319" s="217" t="s">
        <v>1220</v>
      </c>
      <c r="K319" s="217" t="s">
        <v>91</v>
      </c>
      <c r="L319" s="220">
        <v>1677616350</v>
      </c>
      <c r="M319" s="206">
        <v>845718444</v>
      </c>
      <c r="N319" s="206">
        <v>831897906</v>
      </c>
      <c r="O319" s="206">
        <v>5364505670</v>
      </c>
      <c r="P319" s="206">
        <v>178825560</v>
      </c>
      <c r="Q319" s="206">
        <v>303615954</v>
      </c>
      <c r="R319" s="206">
        <v>289706110</v>
      </c>
      <c r="S319" s="32">
        <v>0</v>
      </c>
      <c r="T319" s="32">
        <v>0</v>
      </c>
      <c r="U319" s="32">
        <v>0</v>
      </c>
      <c r="V319" s="266">
        <f t="shared" si="65"/>
        <v>50</v>
      </c>
      <c r="W319" s="90">
        <f t="shared" si="66"/>
        <v>0.5</v>
      </c>
      <c r="X319" s="32">
        <v>0</v>
      </c>
      <c r="Y319" s="32">
        <v>0</v>
      </c>
      <c r="Z319" s="267">
        <f t="shared" si="67"/>
        <v>0</v>
      </c>
      <c r="AA319" s="268">
        <f t="shared" si="68"/>
        <v>33.333333333333336</v>
      </c>
      <c r="AB319" s="90">
        <f t="shared" si="69"/>
        <v>0.33333333333333337</v>
      </c>
      <c r="AC319" s="32">
        <v>0</v>
      </c>
      <c r="AD319" s="32">
        <v>1</v>
      </c>
      <c r="AE319" s="252">
        <f t="shared" si="70"/>
        <v>75</v>
      </c>
      <c r="AF319" s="90">
        <f t="shared" si="71"/>
        <v>1.5</v>
      </c>
      <c r="AG319" s="32">
        <v>2</v>
      </c>
      <c r="AH319" s="247">
        <f t="shared" si="72"/>
        <v>75</v>
      </c>
      <c r="AI319" s="91">
        <f t="shared" si="73"/>
        <v>0.75</v>
      </c>
      <c r="AJ319" s="32"/>
      <c r="AK319" s="32">
        <v>1</v>
      </c>
      <c r="AL319" s="32">
        <v>0</v>
      </c>
      <c r="AM319" s="32">
        <v>0</v>
      </c>
      <c r="AN319" s="32">
        <v>0</v>
      </c>
      <c r="AO319" s="247">
        <f t="shared" si="64"/>
        <v>1</v>
      </c>
      <c r="AP319" s="247">
        <f t="shared" si="74"/>
        <v>50</v>
      </c>
      <c r="AQ319" s="90">
        <f t="shared" si="75"/>
        <v>1</v>
      </c>
      <c r="AR319" s="32">
        <v>0</v>
      </c>
      <c r="AS319" s="32">
        <v>1</v>
      </c>
      <c r="AT319" s="32">
        <v>0</v>
      </c>
      <c r="AU319" s="272" t="str">
        <f t="shared" si="76"/>
        <v>C</v>
      </c>
      <c r="AV319" s="247">
        <f t="shared" si="77"/>
        <v>50</v>
      </c>
      <c r="AW319" s="90">
        <f t="shared" si="78"/>
        <v>1.5</v>
      </c>
      <c r="AX319" s="163">
        <f t="shared" si="79"/>
        <v>5.5833333333333339</v>
      </c>
    </row>
    <row r="320" spans="1:50" x14ac:dyDescent="0.6">
      <c r="A320" s="214" t="s">
        <v>1972</v>
      </c>
      <c r="B320" s="13" t="s">
        <v>2301</v>
      </c>
      <c r="C320" s="219" t="s">
        <v>1973</v>
      </c>
      <c r="D320" s="14" t="s">
        <v>203</v>
      </c>
      <c r="E320" s="217" t="s">
        <v>180</v>
      </c>
      <c r="F320" s="217" t="s">
        <v>1974</v>
      </c>
      <c r="G320" s="218">
        <v>39073</v>
      </c>
      <c r="H320" s="217" t="s">
        <v>830</v>
      </c>
      <c r="I320" s="217" t="s">
        <v>1975</v>
      </c>
      <c r="J320" s="217" t="s">
        <v>1976</v>
      </c>
      <c r="K320" s="217" t="s">
        <v>690</v>
      </c>
      <c r="L320" s="220">
        <v>554634238</v>
      </c>
      <c r="M320" s="206">
        <v>196390631</v>
      </c>
      <c r="N320" s="206">
        <v>358243607</v>
      </c>
      <c r="O320" s="206">
        <v>413339538</v>
      </c>
      <c r="P320" s="206">
        <v>76175846</v>
      </c>
      <c r="Q320" s="206">
        <v>71041699</v>
      </c>
      <c r="R320" s="206">
        <v>55937358</v>
      </c>
      <c r="S320" s="32">
        <v>0</v>
      </c>
      <c r="T320" s="32">
        <v>0</v>
      </c>
      <c r="U320" s="32">
        <v>0</v>
      </c>
      <c r="V320" s="266">
        <f t="shared" si="65"/>
        <v>50</v>
      </c>
      <c r="W320" s="90">
        <f t="shared" si="66"/>
        <v>0.5</v>
      </c>
      <c r="X320" s="32">
        <v>0</v>
      </c>
      <c r="Y320" s="32">
        <v>0</v>
      </c>
      <c r="Z320" s="267">
        <f t="shared" si="67"/>
        <v>0</v>
      </c>
      <c r="AA320" s="268">
        <f t="shared" si="68"/>
        <v>33.333333333333336</v>
      </c>
      <c r="AB320" s="90">
        <f t="shared" si="69"/>
        <v>0.33333333333333337</v>
      </c>
      <c r="AC320" s="32">
        <v>0</v>
      </c>
      <c r="AD320" s="32">
        <v>1</v>
      </c>
      <c r="AE320" s="252">
        <f t="shared" si="70"/>
        <v>75</v>
      </c>
      <c r="AF320" s="90">
        <f t="shared" si="71"/>
        <v>1.5</v>
      </c>
      <c r="AG320" s="32">
        <v>0</v>
      </c>
      <c r="AH320" s="247">
        <f t="shared" si="72"/>
        <v>25</v>
      </c>
      <c r="AI320" s="91">
        <f t="shared" si="73"/>
        <v>0.25</v>
      </c>
      <c r="AJ320" s="32"/>
      <c r="AK320" s="32">
        <v>1</v>
      </c>
      <c r="AL320" s="32">
        <v>0</v>
      </c>
      <c r="AM320" s="32">
        <v>0</v>
      </c>
      <c r="AN320" s="32">
        <v>0</v>
      </c>
      <c r="AO320" s="247">
        <f t="shared" si="64"/>
        <v>1</v>
      </c>
      <c r="AP320" s="247">
        <f t="shared" si="74"/>
        <v>50</v>
      </c>
      <c r="AQ320" s="90">
        <f t="shared" si="75"/>
        <v>1</v>
      </c>
      <c r="AR320" s="32">
        <v>0</v>
      </c>
      <c r="AS320" s="32">
        <v>0</v>
      </c>
      <c r="AT320" s="32">
        <v>0</v>
      </c>
      <c r="AU320" s="272" t="str">
        <f t="shared" si="76"/>
        <v>A</v>
      </c>
      <c r="AV320" s="247">
        <f t="shared" si="77"/>
        <v>100</v>
      </c>
      <c r="AW320" s="90">
        <f t="shared" si="78"/>
        <v>3</v>
      </c>
      <c r="AX320" s="163">
        <f t="shared" si="79"/>
        <v>6.5833333333333339</v>
      </c>
    </row>
    <row r="321" spans="1:50" x14ac:dyDescent="0.6">
      <c r="A321" s="214" t="s">
        <v>272</v>
      </c>
      <c r="B321" s="13" t="s">
        <v>2302</v>
      </c>
      <c r="C321" s="219" t="s">
        <v>58</v>
      </c>
      <c r="D321" s="216" t="s">
        <v>202</v>
      </c>
      <c r="E321" s="217" t="s">
        <v>623</v>
      </c>
      <c r="F321" s="217" t="s">
        <v>1201</v>
      </c>
      <c r="G321" s="218">
        <v>33484</v>
      </c>
      <c r="H321" s="217" t="s">
        <v>830</v>
      </c>
      <c r="I321" s="217" t="s">
        <v>839</v>
      </c>
      <c r="J321" s="217" t="s">
        <v>1144</v>
      </c>
      <c r="K321" s="217" t="s">
        <v>346</v>
      </c>
      <c r="L321" s="220">
        <v>304125357</v>
      </c>
      <c r="M321" s="206">
        <v>159788539</v>
      </c>
      <c r="N321" s="206">
        <v>144336819</v>
      </c>
      <c r="O321" s="206">
        <v>222470898</v>
      </c>
      <c r="P321" s="206">
        <v>12661325</v>
      </c>
      <c r="Q321" s="206">
        <v>13022728</v>
      </c>
      <c r="R321" s="206">
        <v>9259054</v>
      </c>
      <c r="S321" s="32">
        <v>0</v>
      </c>
      <c r="T321" s="32">
        <v>0</v>
      </c>
      <c r="U321" s="32">
        <v>0</v>
      </c>
      <c r="V321" s="266">
        <f t="shared" si="65"/>
        <v>50</v>
      </c>
      <c r="W321" s="90">
        <f t="shared" si="66"/>
        <v>0.5</v>
      </c>
      <c r="X321" s="32">
        <v>0</v>
      </c>
      <c r="Y321" s="32">
        <v>0</v>
      </c>
      <c r="Z321" s="267">
        <f t="shared" si="67"/>
        <v>0</v>
      </c>
      <c r="AA321" s="268">
        <f t="shared" si="68"/>
        <v>33.333333333333336</v>
      </c>
      <c r="AB321" s="90">
        <f t="shared" si="69"/>
        <v>0.33333333333333337</v>
      </c>
      <c r="AC321" s="32">
        <v>0</v>
      </c>
      <c r="AD321" s="32">
        <v>0</v>
      </c>
      <c r="AE321" s="252">
        <f t="shared" si="70"/>
        <v>25</v>
      </c>
      <c r="AF321" s="90">
        <f t="shared" si="71"/>
        <v>0.5</v>
      </c>
      <c r="AG321" s="32">
        <v>0</v>
      </c>
      <c r="AH321" s="247">
        <f t="shared" si="72"/>
        <v>25</v>
      </c>
      <c r="AI321" s="91">
        <f t="shared" si="73"/>
        <v>0.25</v>
      </c>
      <c r="AJ321" s="32"/>
      <c r="AK321" s="32">
        <v>1</v>
      </c>
      <c r="AL321" s="32">
        <v>0</v>
      </c>
      <c r="AM321" s="32">
        <v>0</v>
      </c>
      <c r="AN321" s="32">
        <v>0</v>
      </c>
      <c r="AO321" s="247">
        <f t="shared" ref="AO321:AO322" si="80">SUM(AJ321:AN321)</f>
        <v>1</v>
      </c>
      <c r="AP321" s="247">
        <f t="shared" si="74"/>
        <v>50</v>
      </c>
      <c r="AQ321" s="90">
        <f t="shared" si="75"/>
        <v>1</v>
      </c>
      <c r="AR321" s="32">
        <v>0</v>
      </c>
      <c r="AS321" s="32">
        <v>0</v>
      </c>
      <c r="AT321" s="32">
        <v>0</v>
      </c>
      <c r="AU321" s="272" t="str">
        <f t="shared" si="76"/>
        <v>A</v>
      </c>
      <c r="AV321" s="247">
        <f t="shared" si="77"/>
        <v>100</v>
      </c>
      <c r="AW321" s="90">
        <f t="shared" si="78"/>
        <v>3</v>
      </c>
      <c r="AX321" s="163">
        <f t="shared" si="79"/>
        <v>5.5833333333333339</v>
      </c>
    </row>
    <row r="322" spans="1:50" x14ac:dyDescent="0.6">
      <c r="A322" s="214" t="s">
        <v>1977</v>
      </c>
      <c r="B322" s="13" t="s">
        <v>2303</v>
      </c>
      <c r="C322" s="219" t="s">
        <v>348</v>
      </c>
      <c r="D322" s="221" t="s">
        <v>481</v>
      </c>
      <c r="E322" s="217" t="s">
        <v>704</v>
      </c>
      <c r="F322" s="217" t="s">
        <v>551</v>
      </c>
      <c r="G322" s="218">
        <v>27368</v>
      </c>
      <c r="H322" s="217" t="s">
        <v>830</v>
      </c>
      <c r="I322" s="217" t="s">
        <v>802</v>
      </c>
      <c r="J322" s="217" t="s">
        <v>1222</v>
      </c>
      <c r="K322" s="217" t="s">
        <v>91</v>
      </c>
      <c r="L322" s="220">
        <v>13966098000</v>
      </c>
      <c r="M322" s="206">
        <v>13246051000</v>
      </c>
      <c r="N322" s="206">
        <v>720047000</v>
      </c>
      <c r="O322" s="206">
        <v>2423214000</v>
      </c>
      <c r="P322" s="206">
        <v>185978000</v>
      </c>
      <c r="Q322" s="206">
        <v>186768000</v>
      </c>
      <c r="R322" s="206">
        <v>147508000</v>
      </c>
      <c r="S322" s="32">
        <v>0</v>
      </c>
      <c r="T322" s="32">
        <v>0</v>
      </c>
      <c r="U322" s="32">
        <v>0</v>
      </c>
      <c r="V322" s="266">
        <f t="shared" ref="V322" si="81">IF(SUM(S322:U322)=0, 50, 100)</f>
        <v>50</v>
      </c>
      <c r="W322" s="90">
        <f t="shared" ref="W322" si="82">V322*0.01</f>
        <v>0.5</v>
      </c>
      <c r="X322" s="32">
        <v>0</v>
      </c>
      <c r="Y322" s="32">
        <v>0</v>
      </c>
      <c r="Z322" s="267">
        <f t="shared" ref="Z322" si="83">SUM(X322:Y322)</f>
        <v>0</v>
      </c>
      <c r="AA322" s="268">
        <f t="shared" ref="AA322" si="84">IF(Z322=0, 100/3, IF(Z322=1, 200/3, IF(Z322=2, 100)))</f>
        <v>33.333333333333336</v>
      </c>
      <c r="AB322" s="90">
        <f t="shared" ref="AB322" si="85">AA322*0.01</f>
        <v>0.33333333333333337</v>
      </c>
      <c r="AC322" s="32">
        <v>0</v>
      </c>
      <c r="AD322" s="32">
        <v>0</v>
      </c>
      <c r="AE322" s="252">
        <f t="shared" ref="AE322" si="86">IF(AND(AD322=1, AC322&gt;0), 100, IF(AD322=1, 75, IF(AC322&gt;0, 50, 25)))</f>
        <v>25</v>
      </c>
      <c r="AF322" s="90">
        <f t="shared" ref="AF322" si="87">AE322*0.02</f>
        <v>0.5</v>
      </c>
      <c r="AG322" s="32">
        <v>0</v>
      </c>
      <c r="AH322" s="247">
        <f t="shared" ref="AH322" si="88">IF(AG322=0, 25, IF(AG322=1, 50, IF(AG322=2, 75, IF(AG322&gt;=3, 100))))</f>
        <v>25</v>
      </c>
      <c r="AI322" s="91">
        <f t="shared" ref="AI322" si="89">AH322*0.01</f>
        <v>0.25</v>
      </c>
      <c r="AJ322" s="32"/>
      <c r="AK322" s="32">
        <v>0</v>
      </c>
      <c r="AL322" s="32">
        <v>0</v>
      </c>
      <c r="AM322" s="32">
        <v>0</v>
      </c>
      <c r="AN322" s="32">
        <v>0</v>
      </c>
      <c r="AO322" s="247">
        <f t="shared" si="80"/>
        <v>0</v>
      </c>
      <c r="AP322" s="247">
        <f t="shared" ref="AP322" si="90">IF(AO322=0, 25, IF(AO322=1, 50, IF(AO322=2, 75, IF(AO322&gt;=3, 100))))</f>
        <v>25</v>
      </c>
      <c r="AQ322" s="90">
        <f t="shared" ref="AQ322" si="91">AP322*0.02</f>
        <v>0.5</v>
      </c>
      <c r="AR322" s="32">
        <v>0</v>
      </c>
      <c r="AS322" s="32">
        <v>0</v>
      </c>
      <c r="AT322" s="32">
        <v>0</v>
      </c>
      <c r="AU322" s="272" t="str">
        <f t="shared" ref="AU322" si="92">IF(AT322=1, "D", IF(AS322=1, "C", IF(AR322=1, "B", "A")))</f>
        <v>A</v>
      </c>
      <c r="AV322" s="247">
        <f t="shared" ref="AV322" si="93">IF(AU322="A", 100, IF(AU322="B", 75, IF(AU322="C", 50, IF(AU322="D", 25))))</f>
        <v>100</v>
      </c>
      <c r="AW322" s="90">
        <f t="shared" ref="AW322" si="94">AV322*0.03</f>
        <v>3</v>
      </c>
      <c r="AX322" s="163">
        <v>0</v>
      </c>
    </row>
  </sheetData>
  <autoFilter ref="A1:AX322"/>
  <phoneticPr fontId="16" type="noConversion"/>
  <dataValidations disablePrompts="1" count="1">
    <dataValidation type="list" allowBlank="1" showInputMessage="1" showErrorMessage="1" sqref="AR2:AT322 AJ2:AN322 AD2:AD322 X2:Y322 S2:U322">
      <formula1>"1, 0"</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J79" r:id="rId79"/>
    <hyperlink ref="B80" r:id="rId80"/>
    <hyperlink ref="B81" r:id="rId81"/>
    <hyperlink ref="B82" r:id="rId82"/>
    <hyperlink ref="B83" r:id="rId83"/>
    <hyperlink ref="B84" r:id="rId84"/>
    <hyperlink ref="B85" r:id="rId85"/>
    <hyperlink ref="B86" r:id="rId86"/>
    <hyperlink ref="J74" r:id="rId87"/>
    <hyperlink ref="J11"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6" r:id="rId137"/>
    <hyperlink ref="B137" r:id="rId138"/>
    <hyperlink ref="B138" r:id="rId139"/>
    <hyperlink ref="B139" r:id="rId140"/>
    <hyperlink ref="B140" r:id="rId141"/>
    <hyperlink ref="B141" r:id="rId142"/>
    <hyperlink ref="B142" r:id="rId143"/>
    <hyperlink ref="B143" r:id="rId144"/>
    <hyperlink ref="B144" r:id="rId145"/>
    <hyperlink ref="B145" r:id="rId146"/>
    <hyperlink ref="B146" r:id="rId147"/>
    <hyperlink ref="B147" r:id="rId148"/>
    <hyperlink ref="B148" r:id="rId149"/>
    <hyperlink ref="B149" r:id="rId150"/>
    <hyperlink ref="B150" r:id="rId151"/>
    <hyperlink ref="B151" r:id="rId152"/>
    <hyperlink ref="B152" r:id="rId153"/>
    <hyperlink ref="B153" r:id="rId154"/>
    <hyperlink ref="B154" r:id="rId155"/>
    <hyperlink ref="B155" r:id="rId156"/>
    <hyperlink ref="B156" r:id="rId157"/>
    <hyperlink ref="B157" r:id="rId158"/>
    <hyperlink ref="B158" r:id="rId159"/>
    <hyperlink ref="B159" r:id="rId160"/>
    <hyperlink ref="B160" r:id="rId161"/>
    <hyperlink ref="B161" r:id="rId162"/>
    <hyperlink ref="B162" r:id="rId163"/>
    <hyperlink ref="B163" r:id="rId164"/>
    <hyperlink ref="B164" r:id="rId165"/>
    <hyperlink ref="B165" r:id="rId166"/>
    <hyperlink ref="B166" r:id="rId167"/>
    <hyperlink ref="B167" r:id="rId168"/>
    <hyperlink ref="B168" r:id="rId169"/>
    <hyperlink ref="B169" r:id="rId170"/>
    <hyperlink ref="B170" r:id="rId171"/>
    <hyperlink ref="B171" r:id="rId172"/>
    <hyperlink ref="B172" r:id="rId173"/>
    <hyperlink ref="B173" r:id="rId174"/>
    <hyperlink ref="B174" r:id="rId175"/>
    <hyperlink ref="B175" r:id="rId176"/>
    <hyperlink ref="B176" r:id="rId177"/>
    <hyperlink ref="B177" r:id="rId178"/>
    <hyperlink ref="B178" r:id="rId179"/>
    <hyperlink ref="B179" r:id="rId180"/>
    <hyperlink ref="B180" r:id="rId181"/>
    <hyperlink ref="B181" r:id="rId182"/>
    <hyperlink ref="B182" r:id="rId183"/>
    <hyperlink ref="B183" r:id="rId184"/>
    <hyperlink ref="B184" r:id="rId185"/>
    <hyperlink ref="B185" r:id="rId186"/>
    <hyperlink ref="B186" r:id="rId187"/>
    <hyperlink ref="B187" r:id="rId188"/>
    <hyperlink ref="B188" r:id="rId189"/>
    <hyperlink ref="B189" r:id="rId190"/>
    <hyperlink ref="B190" r:id="rId191"/>
    <hyperlink ref="B191" r:id="rId192"/>
    <hyperlink ref="B192" r:id="rId193"/>
    <hyperlink ref="B193" r:id="rId194"/>
    <hyperlink ref="B194" r:id="rId195"/>
    <hyperlink ref="B195" r:id="rId196"/>
    <hyperlink ref="B196" r:id="rId197"/>
    <hyperlink ref="B197" r:id="rId198"/>
    <hyperlink ref="B198" r:id="rId199"/>
    <hyperlink ref="B199" r:id="rId200"/>
    <hyperlink ref="B200" r:id="rId201"/>
    <hyperlink ref="B201" r:id="rId202"/>
    <hyperlink ref="B202" r:id="rId203"/>
    <hyperlink ref="B203" r:id="rId204"/>
    <hyperlink ref="B204" r:id="rId205"/>
    <hyperlink ref="B205" r:id="rId206"/>
    <hyperlink ref="B206" r:id="rId207"/>
    <hyperlink ref="B207" r:id="rId208"/>
    <hyperlink ref="B208" r:id="rId209"/>
    <hyperlink ref="B209" r:id="rId210"/>
    <hyperlink ref="B210" r:id="rId211"/>
    <hyperlink ref="B211" r:id="rId212"/>
    <hyperlink ref="B212" r:id="rId213"/>
    <hyperlink ref="B214" r:id="rId214"/>
    <hyperlink ref="B215" r:id="rId215"/>
    <hyperlink ref="B213" r:id="rId216"/>
    <hyperlink ref="B216" r:id="rId217"/>
    <hyperlink ref="B217" r:id="rId218"/>
    <hyperlink ref="B218" r:id="rId219"/>
    <hyperlink ref="B219" r:id="rId220"/>
    <hyperlink ref="B220" r:id="rId221"/>
    <hyperlink ref="B221" r:id="rId222"/>
    <hyperlink ref="B222" r:id="rId223"/>
    <hyperlink ref="B223" r:id="rId224"/>
    <hyperlink ref="B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J271" r:id="rId273"/>
    <hyperlink ref="B272" r:id="rId274"/>
    <hyperlink ref="B273" r:id="rId275"/>
    <hyperlink ref="B274" r:id="rId276"/>
    <hyperlink ref="B275" r:id="rId277"/>
    <hyperlink ref="B276" r:id="rId278"/>
    <hyperlink ref="B277" r:id="rId279"/>
    <hyperlink ref="B278" r:id="rId280"/>
    <hyperlink ref="B279" r:id="rId281"/>
    <hyperlink ref="B280" r:id="rId282"/>
    <hyperlink ref="B281" r:id="rId283"/>
    <hyperlink ref="B282" r:id="rId284"/>
    <hyperlink ref="B283" r:id="rId285"/>
    <hyperlink ref="B284" r:id="rId286"/>
    <hyperlink ref="B285" r:id="rId287"/>
    <hyperlink ref="B286" r:id="rId288"/>
    <hyperlink ref="B287" r:id="rId289"/>
    <hyperlink ref="B288" r:id="rId290"/>
    <hyperlink ref="B289" r:id="rId291"/>
    <hyperlink ref="B290" r:id="rId292"/>
    <hyperlink ref="B291" r:id="rId293"/>
    <hyperlink ref="B292" r:id="rId294"/>
    <hyperlink ref="B293" r:id="rId295"/>
    <hyperlink ref="B294" r:id="rId296"/>
    <hyperlink ref="B295" r:id="rId297"/>
    <hyperlink ref="B296" r:id="rId298"/>
    <hyperlink ref="B297" r:id="rId299"/>
    <hyperlink ref="B298" r:id="rId300"/>
    <hyperlink ref="B299" r:id="rId301"/>
    <hyperlink ref="B300" r:id="rId302"/>
    <hyperlink ref="B301" r:id="rId303"/>
    <hyperlink ref="B302" r:id="rId304"/>
    <hyperlink ref="B303" r:id="rId305"/>
    <hyperlink ref="B304" r:id="rId306"/>
    <hyperlink ref="B305" r:id="rId307"/>
    <hyperlink ref="B306" r:id="rId308"/>
    <hyperlink ref="B307" r:id="rId309"/>
    <hyperlink ref="B308" r:id="rId310"/>
    <hyperlink ref="B309" r:id="rId311"/>
    <hyperlink ref="B310" r:id="rId312"/>
    <hyperlink ref="B311" r:id="rId313"/>
    <hyperlink ref="B312" r:id="rId314"/>
    <hyperlink ref="B313" r:id="rId315"/>
    <hyperlink ref="B314" r:id="rId316"/>
    <hyperlink ref="B315" r:id="rId317"/>
    <hyperlink ref="B316" r:id="rId318"/>
    <hyperlink ref="B317" r:id="rId319"/>
    <hyperlink ref="B318" r:id="rId320"/>
    <hyperlink ref="B319" r:id="rId321"/>
    <hyperlink ref="B320" r:id="rId322"/>
    <hyperlink ref="B321" r:id="rId323"/>
    <hyperlink ref="B322" r:id="rId324"/>
    <hyperlink ref="B135" r:id="rId325"/>
    <hyperlink ref="J161" r:id="rId326"/>
    <hyperlink ref="J194" r:id="rId327"/>
    <hyperlink ref="J198" r:id="rId328"/>
    <hyperlink ref="J221" r:id="rId329"/>
    <hyperlink ref="J236" r:id="rId330"/>
    <hyperlink ref="J283" r:id="rId331"/>
    <hyperlink ref="S1" r:id="rId332"/>
    <hyperlink ref="X1" r:id="rId333"/>
    <hyperlink ref="AN1" r:id="rId334"/>
  </hyperlinks>
  <pageMargins left="0.69972223043441772" right="0.69972223043441772" top="0.75" bottom="0.75" header="0.30000001192092896" footer="0.30000001192092896"/>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2060"/>
  </sheetPr>
  <dimension ref="A1:BS322"/>
  <sheetViews>
    <sheetView zoomScale="90" zoomScaleNormal="90" zoomScaleSheetLayoutView="75" workbookViewId="0">
      <pane xSplit="4" ySplit="1" topLeftCell="L2" activePane="bottomRight" state="frozen"/>
      <selection pane="topRight"/>
      <selection pane="bottomLeft"/>
      <selection pane="bottomRight" activeCell="AY17" sqref="AY17"/>
    </sheetView>
  </sheetViews>
  <sheetFormatPr defaultColWidth="9" defaultRowHeight="16.899999999999999" x14ac:dyDescent="0.6"/>
  <cols>
    <col min="1" max="1" width="20.5625" style="8" customWidth="1"/>
    <col min="2" max="2" width="9" customWidth="1"/>
    <col min="3" max="3" width="9" style="156" customWidth="1"/>
    <col min="4" max="4" width="18.8125" bestFit="1" customWidth="1"/>
    <col min="5" max="11" width="9" hidden="1" customWidth="1"/>
    <col min="12" max="18" width="15.5625" hidden="1" customWidth="1"/>
    <col min="19" max="24" width="10.5625" style="66" hidden="1" customWidth="1"/>
    <col min="25" max="25" width="10.5625" style="66" customWidth="1"/>
    <col min="26" max="26" width="14.5625" style="17" hidden="1" customWidth="1"/>
    <col min="27" max="31" width="10.5625" hidden="1" customWidth="1"/>
    <col min="32" max="32" width="10.5625" customWidth="1"/>
    <col min="33" max="33" width="10.5625" style="155" hidden="1" customWidth="1"/>
    <col min="34" max="34" width="15.5625" style="155" hidden="1" customWidth="1"/>
    <col min="35" max="35" width="10.5625" style="67" hidden="1" customWidth="1"/>
    <col min="36" max="36" width="10.5625" style="66" hidden="1" customWidth="1"/>
    <col min="37" max="37" width="10.5625" style="66" customWidth="1"/>
    <col min="38" max="38" width="15.5625" style="112" hidden="1" customWidth="1"/>
    <col min="39" max="39" width="10.5625" style="136" hidden="1" customWidth="1"/>
    <col min="40" max="40" width="10.5625" style="157" hidden="1" customWidth="1"/>
    <col min="41" max="41" width="10.5" style="113" customWidth="1"/>
    <col min="42" max="43" width="15.5625" style="16" hidden="1" customWidth="1"/>
    <col min="44" max="44" width="15.5625" hidden="1" customWidth="1"/>
    <col min="45" max="46" width="10.5625" hidden="1" customWidth="1"/>
    <col min="47" max="47" width="10.5625" customWidth="1"/>
    <col min="48" max="48" width="15.5625" style="112" hidden="1" customWidth="1"/>
    <col min="49" max="49" width="10.5625" style="136" hidden="1" customWidth="1"/>
    <col min="50" max="50" width="10.5625" style="113" hidden="1" customWidth="1"/>
    <col min="51" max="51" width="10.5625" style="113" customWidth="1"/>
    <col min="52" max="52" width="10.5625" style="67" hidden="1" customWidth="1"/>
    <col min="53" max="53" width="10.5625" style="66" hidden="1" customWidth="1"/>
    <col min="54" max="54" width="10.5625" style="66" customWidth="1"/>
    <col min="55" max="56" width="10.5625" style="66" hidden="1" customWidth="1"/>
    <col min="57" max="57" width="10.5625" style="66" customWidth="1"/>
    <col min="58" max="62" width="10.5625" style="66" hidden="1" customWidth="1"/>
    <col min="63" max="63" width="10.5625" style="67" customWidth="1"/>
    <col min="64" max="66" width="10.5625" style="66" hidden="1" customWidth="1"/>
    <col min="67" max="67" width="10.5625" style="66" customWidth="1"/>
    <col min="68" max="69" width="10.5625" style="67" hidden="1" customWidth="1"/>
    <col min="70" max="70" width="10.5625" style="67" customWidth="1"/>
    <col min="71" max="71" width="10.5625" customWidth="1"/>
  </cols>
  <sheetData>
    <row r="1" spans="1:71" ht="100.05" customHeight="1" x14ac:dyDescent="0.6">
      <c r="A1" s="7" t="s">
        <v>695</v>
      </c>
      <c r="B1" s="5" t="s">
        <v>265</v>
      </c>
      <c r="C1" s="158" t="s">
        <v>510</v>
      </c>
      <c r="D1" s="3" t="s">
        <v>860</v>
      </c>
      <c r="E1" s="7" t="s">
        <v>807</v>
      </c>
      <c r="F1" s="7" t="s">
        <v>295</v>
      </c>
      <c r="G1" s="7" t="s">
        <v>680</v>
      </c>
      <c r="H1" s="7" t="s">
        <v>691</v>
      </c>
      <c r="I1" s="7" t="s">
        <v>364</v>
      </c>
      <c r="J1" s="7" t="s">
        <v>946</v>
      </c>
      <c r="K1" s="7" t="s">
        <v>696</v>
      </c>
      <c r="L1" s="4" t="s">
        <v>201</v>
      </c>
      <c r="M1" s="4" t="s">
        <v>263</v>
      </c>
      <c r="N1" s="4" t="s">
        <v>212</v>
      </c>
      <c r="O1" s="4" t="s">
        <v>198</v>
      </c>
      <c r="P1" s="4" t="s">
        <v>229</v>
      </c>
      <c r="Q1" s="10" t="s">
        <v>960</v>
      </c>
      <c r="R1" s="4" t="s">
        <v>277</v>
      </c>
      <c r="S1" s="397" t="s">
        <v>1394</v>
      </c>
      <c r="T1" s="397" t="s">
        <v>1395</v>
      </c>
      <c r="U1" s="397" t="s">
        <v>1396</v>
      </c>
      <c r="V1" s="397" t="s">
        <v>1397</v>
      </c>
      <c r="W1" s="398" t="s">
        <v>1398</v>
      </c>
      <c r="X1" s="398" t="s">
        <v>1006</v>
      </c>
      <c r="Y1" s="399" t="s">
        <v>1405</v>
      </c>
      <c r="Z1" s="369" t="s">
        <v>2395</v>
      </c>
      <c r="AA1" s="443" t="s">
        <v>2385</v>
      </c>
      <c r="AB1" s="368" t="s">
        <v>1418</v>
      </c>
      <c r="AC1" s="337" t="s">
        <v>1399</v>
      </c>
      <c r="AD1" s="341" t="s">
        <v>1400</v>
      </c>
      <c r="AE1" s="342" t="s">
        <v>1401</v>
      </c>
      <c r="AF1" s="317" t="s">
        <v>1406</v>
      </c>
      <c r="AG1" s="153" t="s">
        <v>2386</v>
      </c>
      <c r="AH1" s="397" t="s">
        <v>1402</v>
      </c>
      <c r="AI1" s="400" t="s">
        <v>223</v>
      </c>
      <c r="AJ1" s="398" t="s">
        <v>611</v>
      </c>
      <c r="AK1" s="399" t="s">
        <v>1404</v>
      </c>
      <c r="AL1" s="343" t="s">
        <v>1403</v>
      </c>
      <c r="AM1" s="342" t="s">
        <v>208</v>
      </c>
      <c r="AN1" s="345" t="s">
        <v>377</v>
      </c>
      <c r="AO1" s="335" t="s">
        <v>1407</v>
      </c>
      <c r="AP1" s="346" t="s">
        <v>2387</v>
      </c>
      <c r="AQ1" s="346" t="s">
        <v>2388</v>
      </c>
      <c r="AR1" s="346" t="s">
        <v>2389</v>
      </c>
      <c r="AS1" s="347" t="s">
        <v>1411</v>
      </c>
      <c r="AT1" s="347" t="s">
        <v>230</v>
      </c>
      <c r="AU1" s="317" t="s">
        <v>1408</v>
      </c>
      <c r="AV1" s="343" t="s">
        <v>1409</v>
      </c>
      <c r="AW1" s="342" t="s">
        <v>1410</v>
      </c>
      <c r="AX1" s="344" t="s">
        <v>228</v>
      </c>
      <c r="AY1" s="335" t="s">
        <v>1412</v>
      </c>
      <c r="AZ1" s="401" t="s">
        <v>2390</v>
      </c>
      <c r="BA1" s="398" t="s">
        <v>220</v>
      </c>
      <c r="BB1" s="399" t="s">
        <v>1414</v>
      </c>
      <c r="BC1" s="397" t="s">
        <v>1413</v>
      </c>
      <c r="BD1" s="398" t="s">
        <v>244</v>
      </c>
      <c r="BE1" s="399" t="s">
        <v>1415</v>
      </c>
      <c r="BF1" s="269" t="s">
        <v>2359</v>
      </c>
      <c r="BG1" s="269" t="s">
        <v>2360</v>
      </c>
      <c r="BH1" s="269" t="s">
        <v>2362</v>
      </c>
      <c r="BI1" s="273" t="s">
        <v>2363</v>
      </c>
      <c r="BJ1" s="148" t="s">
        <v>3538</v>
      </c>
      <c r="BK1" s="402" t="s">
        <v>1419</v>
      </c>
      <c r="BL1" s="397" t="s">
        <v>2364</v>
      </c>
      <c r="BM1" s="403" t="s">
        <v>237</v>
      </c>
      <c r="BN1" s="403" t="s">
        <v>610</v>
      </c>
      <c r="BO1" s="404" t="s">
        <v>1416</v>
      </c>
      <c r="BP1" s="401" t="s">
        <v>2365</v>
      </c>
      <c r="BQ1" s="400" t="s">
        <v>607</v>
      </c>
      <c r="BR1" s="402" t="s">
        <v>601</v>
      </c>
      <c r="BS1" s="319" t="s">
        <v>1417</v>
      </c>
    </row>
    <row r="2" spans="1:71" x14ac:dyDescent="0.6">
      <c r="A2" s="214" t="s">
        <v>1253</v>
      </c>
      <c r="B2" s="13" t="s">
        <v>1978</v>
      </c>
      <c r="C2" s="215" t="s">
        <v>35</v>
      </c>
      <c r="D2" s="216" t="s">
        <v>285</v>
      </c>
      <c r="E2" s="217" t="s">
        <v>504</v>
      </c>
      <c r="F2" s="217" t="s">
        <v>293</v>
      </c>
      <c r="G2" s="218">
        <v>43077</v>
      </c>
      <c r="H2" s="217" t="s">
        <v>830</v>
      </c>
      <c r="I2" s="217" t="s">
        <v>834</v>
      </c>
      <c r="J2" s="217" t="s">
        <v>1242</v>
      </c>
      <c r="K2" s="217" t="s">
        <v>91</v>
      </c>
      <c r="L2" s="205">
        <v>2857090834</v>
      </c>
      <c r="M2" s="205">
        <v>1925834121</v>
      </c>
      <c r="N2" s="205">
        <v>931256713</v>
      </c>
      <c r="O2" s="205">
        <v>7577772993</v>
      </c>
      <c r="P2" s="205">
        <v>249222456</v>
      </c>
      <c r="Q2" s="205">
        <v>250446471</v>
      </c>
      <c r="R2" s="206">
        <v>190700183</v>
      </c>
      <c r="S2" s="405">
        <v>0</v>
      </c>
      <c r="T2" s="405">
        <v>0</v>
      </c>
      <c r="U2" s="406">
        <v>0</v>
      </c>
      <c r="V2" s="406">
        <v>0</v>
      </c>
      <c r="W2" s="407">
        <f t="shared" ref="W2:W7" si="0">SUM(S2:V2)</f>
        <v>0</v>
      </c>
      <c r="X2" s="407">
        <f t="shared" ref="X2:X7" si="1">IF(W2=0, 100, IF(W2=1, 80, IF(W2=2, 60, IF(W2=3, 40, IF(W2=4, 20)))))</f>
        <v>100</v>
      </c>
      <c r="Y2" s="408">
        <f t="shared" ref="Y2:Y7" si="2">X2*0.03</f>
        <v>3</v>
      </c>
      <c r="Z2" s="444" t="s">
        <v>3245</v>
      </c>
      <c r="AA2" s="442">
        <v>0</v>
      </c>
      <c r="AB2" s="406">
        <v>0</v>
      </c>
      <c r="AC2" s="406">
        <v>0</v>
      </c>
      <c r="AD2" s="407">
        <f t="shared" ref="AD2:AD7" si="3">SUM(AA2:AC2)</f>
        <v>0</v>
      </c>
      <c r="AE2" s="364" t="str">
        <f t="shared" ref="AE2:AE7" si="4">IF(AD2&gt;=1,"100","50")</f>
        <v>50</v>
      </c>
      <c r="AF2" s="349">
        <f t="shared" ref="AF2:AF7" si="5">AE2*0.005</f>
        <v>0.25</v>
      </c>
      <c r="AG2" s="154">
        <v>2948</v>
      </c>
      <c r="AH2" s="154">
        <v>2527000</v>
      </c>
      <c r="AI2" s="409">
        <f>AH2/AG2</f>
        <v>857.19131614653998</v>
      </c>
      <c r="AJ2" s="409">
        <f>IF((25+((75*(AI2-0)/(100-0))))&gt;100, 100, IF((25+((75*(AI2-0)/(100-0))))&lt;25, 25, (25+((75*(AI2-0)/(100-0))))))</f>
        <v>100</v>
      </c>
      <c r="AK2" s="408">
        <f t="shared" ref="AK2:AK7" si="6">AJ2*0.01</f>
        <v>1</v>
      </c>
      <c r="AL2" s="45">
        <v>1732000</v>
      </c>
      <c r="AM2" s="361">
        <f>((AH2-AL2)/AL2)*100</f>
        <v>45.900692840646649</v>
      </c>
      <c r="AN2" s="365">
        <f>IF((25+((75*(AM2-0)/(400-0))))&gt;100, 100, IF((25+((75*(AM2-0)/(400-0))))&lt;25, 25, (25+((75*(AM2-0)/(400-0))))))</f>
        <v>33.606379907621246</v>
      </c>
      <c r="AO2" s="320">
        <f t="shared" ref="AO2:AO7" si="7">AN2*0.01</f>
        <v>0.33606379907621248</v>
      </c>
      <c r="AP2" s="277">
        <f>_xlfn.XLOOKUP(C2, '1.건전성'!C:C, '1.건전성'!BE:BE)</f>
        <v>158631000</v>
      </c>
      <c r="AQ2" s="277">
        <f>_xlfn.XLOOKUP(C2, '1.건전성'!C:C, '1.건전성'!BF:BF)</f>
        <v>11401000</v>
      </c>
      <c r="AR2" s="410">
        <f>AP2+AQ2</f>
        <v>170032000</v>
      </c>
      <c r="AS2" s="366">
        <f t="shared" ref="AS2:AS65" si="8">(AR2/O2)*100</f>
        <v>2.2438254637222279</v>
      </c>
      <c r="AT2" s="366">
        <f>IF((25+(75*(AS2-0.5)/(100-0.5)))&gt;100, 100, IF((25+(75*(AS2-0.5)/(100-0.5)))&lt;25, 25, (25+(75*(AS2-0.5)/(100-0.5)))))</f>
        <v>26.314441304313238</v>
      </c>
      <c r="AU2" s="321">
        <f>AT2*0.01</f>
        <v>0.26314441304313241</v>
      </c>
      <c r="AV2" s="15">
        <v>15793000</v>
      </c>
      <c r="AW2" s="361">
        <f t="shared" ref="AW2:AW65" si="9">(AV2/O2)*100</f>
        <v>0.20841215505649022</v>
      </c>
      <c r="AX2" s="361">
        <f>IF((25+((75*(AW2-0.1))/(10-0.1)))&gt;100, 100, IF((25+((75*(AW2-0.1))/(10-0.1)))&lt;25, 25, (25+((75*(AW2-0.1))/(10-0.1)))))</f>
        <v>25.821304204973412</v>
      </c>
      <c r="AY2" s="321">
        <f t="shared" ref="AY2:AY7" si="10">AX2*0.005</f>
        <v>0.12910652102486705</v>
      </c>
      <c r="AZ2" s="411">
        <v>3.6</v>
      </c>
      <c r="BA2" s="412">
        <f>IF(AZ2&lt;4, 20, IF(AZ2&lt;6, 40, IF(AZ2&lt;8, 60, IF(AZ2&lt;10, 80, IF(AZ2&gt;=10, 100)))))</f>
        <v>20</v>
      </c>
      <c r="BB2" s="408">
        <f t="shared" ref="BB2:BB7" si="11">BA2*0.005</f>
        <v>0.1</v>
      </c>
      <c r="BC2" s="204">
        <v>1</v>
      </c>
      <c r="BD2" s="407">
        <f>IF(BC2=1, 100, 50)</f>
        <v>100</v>
      </c>
      <c r="BE2" s="408">
        <f t="shared" ref="BE2:BE7" si="12">BD2*0.005</f>
        <v>0.5</v>
      </c>
      <c r="BF2" s="204">
        <v>0</v>
      </c>
      <c r="BG2" s="204">
        <v>1</v>
      </c>
      <c r="BH2" s="204">
        <v>1</v>
      </c>
      <c r="BI2" s="272" t="str">
        <f>IF(BH2=1, "D", IF(BG2=1, "C", IF(BF2=1, "B", "A")))</f>
        <v>D</v>
      </c>
      <c r="BJ2" s="247">
        <f>IF(BI2="A", 100, IF(BI2="B", 75, IF(BI2="C", 50, IF(BI2="D", 25))))</f>
        <v>25</v>
      </c>
      <c r="BK2" s="90">
        <f>BJ2*0.03</f>
        <v>0.75</v>
      </c>
      <c r="BL2" s="406">
        <v>511</v>
      </c>
      <c r="BM2" s="413">
        <f>(BL2/AG2)*100</f>
        <v>17.333785617367706</v>
      </c>
      <c r="BN2" s="414">
        <f>IF(BM2&lt;0.5, 100, IF(BM2&lt;1, 80, IF(BM2&lt;3, 60, IF(BM2&lt;7, 40, IF(BM2&gt;=7, 20)))))</f>
        <v>20</v>
      </c>
      <c r="BO2" s="415">
        <f>BN2*0.03</f>
        <v>0.6</v>
      </c>
      <c r="BP2" s="416">
        <v>0</v>
      </c>
      <c r="BQ2" s="417">
        <f>IF(BP2=0, 100/3, IF(BP2&lt;5, 200/3, 100))</f>
        <v>33.333333333333336</v>
      </c>
      <c r="BR2" s="415">
        <f>BQ2*0.01</f>
        <v>0.33333333333333337</v>
      </c>
      <c r="BS2" s="350">
        <f>Y2+AF2+AK2+AO2+AU2+AY2+BB2+BE2+BK2+BO2+BR2</f>
        <v>7.2616480664775445</v>
      </c>
    </row>
    <row r="3" spans="1:71" x14ac:dyDescent="0.6">
      <c r="A3" s="214" t="s">
        <v>1428</v>
      </c>
      <c r="B3" s="13" t="s">
        <v>1979</v>
      </c>
      <c r="C3" s="215" t="s">
        <v>555</v>
      </c>
      <c r="D3" s="216" t="s">
        <v>191</v>
      </c>
      <c r="E3" s="217" t="s">
        <v>190</v>
      </c>
      <c r="F3" s="217" t="s">
        <v>396</v>
      </c>
      <c r="G3" s="218">
        <v>27547</v>
      </c>
      <c r="H3" s="217" t="s">
        <v>830</v>
      </c>
      <c r="I3" s="217" t="s">
        <v>544</v>
      </c>
      <c r="J3" s="217" t="s">
        <v>1037</v>
      </c>
      <c r="K3" s="217" t="s">
        <v>91</v>
      </c>
      <c r="L3" s="205">
        <v>657344581</v>
      </c>
      <c r="M3" s="205">
        <v>145796846</v>
      </c>
      <c r="N3" s="205">
        <v>511547734</v>
      </c>
      <c r="O3" s="205">
        <v>168169259</v>
      </c>
      <c r="P3" s="205">
        <v>24457946</v>
      </c>
      <c r="Q3" s="205">
        <v>48325988</v>
      </c>
      <c r="R3" s="206">
        <v>35650140</v>
      </c>
      <c r="S3" s="405">
        <v>0</v>
      </c>
      <c r="T3" s="405">
        <v>0</v>
      </c>
      <c r="U3" s="406">
        <v>0</v>
      </c>
      <c r="V3" s="406">
        <v>0</v>
      </c>
      <c r="W3" s="407">
        <f t="shared" si="0"/>
        <v>0</v>
      </c>
      <c r="X3" s="407">
        <f t="shared" si="1"/>
        <v>100</v>
      </c>
      <c r="Y3" s="408">
        <f t="shared" si="2"/>
        <v>3</v>
      </c>
      <c r="Z3" s="444" t="s">
        <v>3246</v>
      </c>
      <c r="AA3" s="442">
        <v>0</v>
      </c>
      <c r="AB3" s="406">
        <v>0</v>
      </c>
      <c r="AC3" s="406">
        <v>0</v>
      </c>
      <c r="AD3" s="407">
        <f t="shared" si="3"/>
        <v>0</v>
      </c>
      <c r="AE3" s="364" t="str">
        <f t="shared" si="4"/>
        <v>50</v>
      </c>
      <c r="AF3" s="349">
        <f t="shared" si="5"/>
        <v>0.25</v>
      </c>
      <c r="AG3" s="154">
        <v>570</v>
      </c>
      <c r="AH3" s="154">
        <v>26652</v>
      </c>
      <c r="AI3" s="409">
        <f t="shared" ref="AI3:AI66" si="13">AH3/AG3</f>
        <v>46.757894736842104</v>
      </c>
      <c r="AJ3" s="409">
        <f t="shared" ref="AJ3:AJ66" si="14">IF((25+((75*(AI3-0)/(100-0))))&gt;100, 100, IF((25+((75*(AI3-0)/(100-0))))&lt;25, 25, (25+((75*(AI3-0)/(100-0))))))</f>
        <v>60.068421052631578</v>
      </c>
      <c r="AK3" s="408">
        <f t="shared" si="6"/>
        <v>0.60068421052631582</v>
      </c>
      <c r="AL3" s="45">
        <v>24535</v>
      </c>
      <c r="AM3" s="361">
        <f t="shared" ref="AM3:AM66" si="15">((AH3-AL3)/AL3)*100</f>
        <v>8.6284899123700836</v>
      </c>
      <c r="AN3" s="365">
        <f t="shared" ref="AN3:AN66" si="16">IF((25+((75*(AM3-0)/(400-0))))&gt;100, 100, IF((25+((75*(AM3-0)/(400-0))))&lt;25, 25, (25+((75*(AM3-0)/(400-0))))))</f>
        <v>26.617841858569392</v>
      </c>
      <c r="AO3" s="320">
        <f t="shared" si="7"/>
        <v>0.26617841858569391</v>
      </c>
      <c r="AP3" s="277">
        <f>_xlfn.XLOOKUP(C3, '1.건전성'!C:C, '1.건전성'!BE:BE)</f>
        <v>19793252.743999999</v>
      </c>
      <c r="AQ3" s="277">
        <f>_xlfn.XLOOKUP(C3, '1.건전성'!C:C, '1.건전성'!BF:BF)</f>
        <v>1476274.3330000001</v>
      </c>
      <c r="AR3" s="410">
        <f t="shared" ref="AR3:AR66" si="17">AP3+AQ3</f>
        <v>21269527.077</v>
      </c>
      <c r="AS3" s="366">
        <f t="shared" si="8"/>
        <v>12.647690311223883</v>
      </c>
      <c r="AT3" s="366">
        <f t="shared" ref="AT3:AT66" si="18">IF((25+(75*(AS3-0.5)/(100-0.5)))&gt;100, 100, IF((25+(75*(AS3-0.5)/(100-0.5)))&lt;25, 25, (25+(75*(AS3-0.5)/(100-0.5)))))</f>
        <v>34.156550485847148</v>
      </c>
      <c r="AU3" s="321">
        <f t="shared" ref="AU3:AU66" si="19">AT3*0.01</f>
        <v>0.34156550485847148</v>
      </c>
      <c r="AV3" s="15">
        <v>2506736</v>
      </c>
      <c r="AW3" s="361">
        <f t="shared" si="9"/>
        <v>1.49060298826672</v>
      </c>
      <c r="AX3" s="361">
        <f t="shared" ref="AX3:AX66" si="20">IF((25+((75*(AW3-0.1))/(10-0.1)))&gt;100, 100, IF((25+((75*(AW3-0.1))/(10-0.1)))&lt;25, 25, (25+((75*(AW3-0.1))/(10-0.1)))))</f>
        <v>35.534871123232726</v>
      </c>
      <c r="AY3" s="321">
        <f t="shared" si="10"/>
        <v>0.17767435561616363</v>
      </c>
      <c r="AZ3" s="411">
        <v>9.5</v>
      </c>
      <c r="BA3" s="412">
        <f t="shared" ref="BA3:BA66" si="21">IF(AZ3&lt;4, 20, IF(AZ3&lt;6, 40, IF(AZ3&lt;8, 60, IF(AZ3&lt;10, 80, IF(AZ3&gt;=10, 100)))))</f>
        <v>80</v>
      </c>
      <c r="BB3" s="408">
        <f t="shared" si="11"/>
        <v>0.4</v>
      </c>
      <c r="BC3" s="204">
        <v>1</v>
      </c>
      <c r="BD3" s="407">
        <f t="shared" ref="BD3:BD66" si="22">IF(BC3=1, 100, 50)</f>
        <v>100</v>
      </c>
      <c r="BE3" s="408">
        <f t="shared" si="12"/>
        <v>0.5</v>
      </c>
      <c r="BF3" s="204">
        <v>0</v>
      </c>
      <c r="BG3" s="204">
        <v>0</v>
      </c>
      <c r="BH3" s="204">
        <v>0</v>
      </c>
      <c r="BI3" s="272" t="str">
        <f t="shared" ref="BI3:BI66" si="23">IF(BH3=1, "D", IF(BG3=1, "C", IF(BF3=1, "B", "A")))</f>
        <v>A</v>
      </c>
      <c r="BJ3" s="247">
        <f t="shared" ref="BJ3:BJ66" si="24">IF(BI3="A", 100, IF(BI3="B", 75, IF(BI3="C", 50, IF(BI3="D", 25))))</f>
        <v>100</v>
      </c>
      <c r="BK3" s="90">
        <f t="shared" ref="BK3:BK66" si="25">BJ3*0.03</f>
        <v>3</v>
      </c>
      <c r="BL3" s="406">
        <v>30</v>
      </c>
      <c r="BM3" s="413">
        <f t="shared" ref="BM3:BM66" si="26">(BL3/AG3)*100</f>
        <v>5.2631578947368416</v>
      </c>
      <c r="BN3" s="414">
        <f t="shared" ref="BN3:BN66" si="27">IF(BM3&lt;0.5, 100, IF(BM3&lt;1, 80, IF(BM3&lt;3, 60, IF(BM3&lt;7, 40, IF(BM3&gt;=7, 20)))))</f>
        <v>40</v>
      </c>
      <c r="BO3" s="415">
        <f t="shared" ref="BO3:BO66" si="28">BN3*0.03</f>
        <v>1.2</v>
      </c>
      <c r="BP3" s="416">
        <v>0</v>
      </c>
      <c r="BQ3" s="417">
        <f t="shared" ref="BQ3:BQ66" si="29">IF(BP3=0, 100/3, IF(BP3&lt;5, 200/3, 100))</f>
        <v>33.333333333333336</v>
      </c>
      <c r="BR3" s="415">
        <f t="shared" ref="BR3:BR66" si="30">BQ3*0.01</f>
        <v>0.33333333333333337</v>
      </c>
      <c r="BS3" s="350">
        <f t="shared" ref="BS3:BS66" si="31">Y3+AF3+AK3+AO3+AU3+AY3+BB3+BE3+BK3+BO3+BR3</f>
        <v>10.06943582291998</v>
      </c>
    </row>
    <row r="4" spans="1:71" x14ac:dyDescent="0.6">
      <c r="A4" s="214" t="s">
        <v>1430</v>
      </c>
      <c r="B4" s="13" t="s">
        <v>1980</v>
      </c>
      <c r="C4" s="219" t="s">
        <v>1431</v>
      </c>
      <c r="D4" s="14" t="s">
        <v>285</v>
      </c>
      <c r="E4" s="217" t="s">
        <v>1432</v>
      </c>
      <c r="F4" s="217" t="s">
        <v>1433</v>
      </c>
      <c r="G4" s="218">
        <v>20638</v>
      </c>
      <c r="H4" s="217" t="s">
        <v>830</v>
      </c>
      <c r="I4" s="217" t="s">
        <v>1434</v>
      </c>
      <c r="J4" s="217" t="s">
        <v>1435</v>
      </c>
      <c r="K4" s="217" t="s">
        <v>91</v>
      </c>
      <c r="L4" s="220">
        <v>7825113458</v>
      </c>
      <c r="M4" s="206">
        <v>4398363795</v>
      </c>
      <c r="N4" s="206">
        <v>3426749663</v>
      </c>
      <c r="O4" s="206">
        <v>8214653866</v>
      </c>
      <c r="P4" s="206">
        <v>262723385</v>
      </c>
      <c r="Q4" s="206">
        <v>247777952</v>
      </c>
      <c r="R4" s="206">
        <v>200576209</v>
      </c>
      <c r="S4" s="405">
        <v>0</v>
      </c>
      <c r="T4" s="405">
        <v>0</v>
      </c>
      <c r="U4" s="406">
        <v>0</v>
      </c>
      <c r="V4" s="406">
        <v>0</v>
      </c>
      <c r="W4" s="407">
        <f t="shared" si="0"/>
        <v>0</v>
      </c>
      <c r="X4" s="407">
        <f t="shared" si="1"/>
        <v>100</v>
      </c>
      <c r="Y4" s="408">
        <f t="shared" si="2"/>
        <v>3</v>
      </c>
      <c r="Z4" s="444" t="s">
        <v>3247</v>
      </c>
      <c r="AA4" s="442">
        <v>1</v>
      </c>
      <c r="AB4" s="406">
        <v>1</v>
      </c>
      <c r="AC4" s="406">
        <v>1</v>
      </c>
      <c r="AD4" s="407">
        <f t="shared" si="3"/>
        <v>3</v>
      </c>
      <c r="AE4" s="364" t="str">
        <f t="shared" si="4"/>
        <v>100</v>
      </c>
      <c r="AF4" s="349">
        <f t="shared" si="5"/>
        <v>0.5</v>
      </c>
      <c r="AG4" s="154">
        <v>6883</v>
      </c>
      <c r="AH4" s="154">
        <v>5361281</v>
      </c>
      <c r="AI4" s="409">
        <f t="shared" si="13"/>
        <v>778.91631556007553</v>
      </c>
      <c r="AJ4" s="409">
        <f t="shared" si="14"/>
        <v>100</v>
      </c>
      <c r="AK4" s="408">
        <f t="shared" si="6"/>
        <v>1</v>
      </c>
      <c r="AL4" s="45">
        <v>3547455</v>
      </c>
      <c r="AM4" s="361">
        <f t="shared" si="15"/>
        <v>51.130345557589877</v>
      </c>
      <c r="AN4" s="365">
        <f t="shared" si="16"/>
        <v>34.586939792048099</v>
      </c>
      <c r="AO4" s="320">
        <f t="shared" si="7"/>
        <v>0.34586939792048099</v>
      </c>
      <c r="AP4" s="277">
        <f>_xlfn.XLOOKUP(C4, '1.건전성'!C:C, '1.건전성'!BE:BE)</f>
        <v>186921979</v>
      </c>
      <c r="AQ4" s="277">
        <f>_xlfn.XLOOKUP(C4, '1.건전성'!C:C, '1.건전성'!BF:BF)</f>
        <v>15773356</v>
      </c>
      <c r="AR4" s="410">
        <f t="shared" si="17"/>
        <v>202695335</v>
      </c>
      <c r="AS4" s="366">
        <f t="shared" si="8"/>
        <v>2.4674847937165656</v>
      </c>
      <c r="AT4" s="366">
        <f t="shared" si="18"/>
        <v>26.483028738982338</v>
      </c>
      <c r="AU4" s="321">
        <f t="shared" si="19"/>
        <v>0.26483028738982339</v>
      </c>
      <c r="AV4" s="15">
        <v>77590701</v>
      </c>
      <c r="AW4" s="361">
        <f t="shared" si="9"/>
        <v>0.94454011411416428</v>
      </c>
      <c r="AX4" s="361">
        <f t="shared" si="20"/>
        <v>31.398031167531549</v>
      </c>
      <c r="AY4" s="321">
        <f t="shared" si="10"/>
        <v>0.15699015583765774</v>
      </c>
      <c r="AZ4" s="411">
        <v>8.5</v>
      </c>
      <c r="BA4" s="412">
        <f t="shared" si="21"/>
        <v>80</v>
      </c>
      <c r="BB4" s="408">
        <f t="shared" si="11"/>
        <v>0.4</v>
      </c>
      <c r="BC4" s="204">
        <v>1</v>
      </c>
      <c r="BD4" s="407">
        <f t="shared" si="22"/>
        <v>100</v>
      </c>
      <c r="BE4" s="408">
        <f t="shared" si="12"/>
        <v>0.5</v>
      </c>
      <c r="BF4" s="204">
        <v>1</v>
      </c>
      <c r="BG4" s="204">
        <v>1</v>
      </c>
      <c r="BH4" s="204">
        <v>1</v>
      </c>
      <c r="BI4" s="272" t="str">
        <f t="shared" si="23"/>
        <v>D</v>
      </c>
      <c r="BJ4" s="247">
        <f t="shared" si="24"/>
        <v>25</v>
      </c>
      <c r="BK4" s="90">
        <f t="shared" si="25"/>
        <v>0.75</v>
      </c>
      <c r="BL4" s="406">
        <v>144</v>
      </c>
      <c r="BM4" s="413">
        <f t="shared" si="26"/>
        <v>2.0921109981112886</v>
      </c>
      <c r="BN4" s="414">
        <f t="shared" si="27"/>
        <v>60</v>
      </c>
      <c r="BO4" s="415">
        <f t="shared" si="28"/>
        <v>1.7999999999999998</v>
      </c>
      <c r="BP4" s="416">
        <v>0</v>
      </c>
      <c r="BQ4" s="417">
        <f t="shared" si="29"/>
        <v>33.333333333333336</v>
      </c>
      <c r="BR4" s="415">
        <f t="shared" si="30"/>
        <v>0.33333333333333337</v>
      </c>
      <c r="BS4" s="350">
        <f t="shared" si="31"/>
        <v>9.0510231744812959</v>
      </c>
    </row>
    <row r="5" spans="1:71" x14ac:dyDescent="0.6">
      <c r="A5" s="214" t="s">
        <v>104</v>
      </c>
      <c r="B5" s="13" t="s">
        <v>1981</v>
      </c>
      <c r="C5" s="219" t="s">
        <v>449</v>
      </c>
      <c r="D5" s="216" t="s">
        <v>191</v>
      </c>
      <c r="E5" s="217" t="s">
        <v>178</v>
      </c>
      <c r="F5" s="217" t="s">
        <v>1248</v>
      </c>
      <c r="G5" s="218">
        <v>32473</v>
      </c>
      <c r="H5" s="217" t="s">
        <v>830</v>
      </c>
      <c r="I5" s="217" t="s">
        <v>1436</v>
      </c>
      <c r="J5" s="217" t="s">
        <v>1236</v>
      </c>
      <c r="K5" s="217" t="s">
        <v>690</v>
      </c>
      <c r="L5" s="220">
        <v>143409087</v>
      </c>
      <c r="M5" s="206">
        <v>67719807</v>
      </c>
      <c r="N5" s="206">
        <v>75689279</v>
      </c>
      <c r="O5" s="206">
        <v>152701472</v>
      </c>
      <c r="P5" s="206">
        <v>4135028</v>
      </c>
      <c r="Q5" s="206">
        <v>6675009</v>
      </c>
      <c r="R5" s="206">
        <v>7419861</v>
      </c>
      <c r="S5" s="405">
        <v>0</v>
      </c>
      <c r="T5" s="405">
        <v>0</v>
      </c>
      <c r="U5" s="406">
        <v>0</v>
      </c>
      <c r="V5" s="406">
        <v>0</v>
      </c>
      <c r="W5" s="407">
        <f t="shared" si="0"/>
        <v>0</v>
      </c>
      <c r="X5" s="407">
        <f t="shared" si="1"/>
        <v>100</v>
      </c>
      <c r="Y5" s="408">
        <f t="shared" si="2"/>
        <v>3</v>
      </c>
      <c r="Z5" s="444" t="s">
        <v>3248</v>
      </c>
      <c r="AA5" s="442">
        <v>0</v>
      </c>
      <c r="AB5" s="406">
        <v>0</v>
      </c>
      <c r="AC5" s="406">
        <v>0</v>
      </c>
      <c r="AD5" s="407">
        <f t="shared" si="3"/>
        <v>0</v>
      </c>
      <c r="AE5" s="364" t="str">
        <f t="shared" si="4"/>
        <v>50</v>
      </c>
      <c r="AF5" s="349">
        <f t="shared" si="5"/>
        <v>0.25</v>
      </c>
      <c r="AG5" s="154">
        <v>379</v>
      </c>
      <c r="AH5" s="421"/>
      <c r="AI5" s="409">
        <f t="shared" si="13"/>
        <v>0</v>
      </c>
      <c r="AJ5" s="409">
        <f t="shared" si="14"/>
        <v>25</v>
      </c>
      <c r="AK5" s="408">
        <f t="shared" si="6"/>
        <v>0.25</v>
      </c>
      <c r="AL5" s="423"/>
      <c r="AM5" s="424">
        <v>0</v>
      </c>
      <c r="AN5" s="365">
        <f t="shared" si="16"/>
        <v>25</v>
      </c>
      <c r="AO5" s="320">
        <f t="shared" si="7"/>
        <v>0.25</v>
      </c>
      <c r="AP5" s="277">
        <f>_xlfn.XLOOKUP(C5, '1.건전성'!C:C, '1.건전성'!BE:BE)</f>
        <v>4489654</v>
      </c>
      <c r="AQ5" s="277">
        <f>_xlfn.XLOOKUP(C5, '1.건전성'!C:C, '1.건전성'!BF:BF)</f>
        <v>404120</v>
      </c>
      <c r="AR5" s="410">
        <f t="shared" si="17"/>
        <v>4893774</v>
      </c>
      <c r="AS5" s="366">
        <f t="shared" si="8"/>
        <v>3.2047981829539927</v>
      </c>
      <c r="AT5" s="366">
        <f t="shared" si="18"/>
        <v>27.038792600216578</v>
      </c>
      <c r="AU5" s="321">
        <f t="shared" si="19"/>
        <v>0.27038792600216577</v>
      </c>
      <c r="AV5" s="15">
        <v>1599331</v>
      </c>
      <c r="AW5" s="361">
        <f t="shared" si="9"/>
        <v>1.0473579455737008</v>
      </c>
      <c r="AX5" s="361">
        <f t="shared" si="20"/>
        <v>32.176954133134096</v>
      </c>
      <c r="AY5" s="321">
        <f t="shared" si="10"/>
        <v>0.16088477066567047</v>
      </c>
      <c r="AZ5" s="411">
        <v>8.6</v>
      </c>
      <c r="BA5" s="412">
        <f t="shared" si="21"/>
        <v>80</v>
      </c>
      <c r="BB5" s="408">
        <f t="shared" si="11"/>
        <v>0.4</v>
      </c>
      <c r="BC5" s="204">
        <v>1</v>
      </c>
      <c r="BD5" s="407">
        <f t="shared" si="22"/>
        <v>100</v>
      </c>
      <c r="BE5" s="408">
        <f t="shared" si="12"/>
        <v>0.5</v>
      </c>
      <c r="BF5" s="204">
        <v>0</v>
      </c>
      <c r="BG5" s="204">
        <v>0</v>
      </c>
      <c r="BH5" s="204">
        <v>1</v>
      </c>
      <c r="BI5" s="272" t="str">
        <f t="shared" si="23"/>
        <v>D</v>
      </c>
      <c r="BJ5" s="247">
        <f t="shared" si="24"/>
        <v>25</v>
      </c>
      <c r="BK5" s="90">
        <f t="shared" si="25"/>
        <v>0.75</v>
      </c>
      <c r="BL5" s="406">
        <v>32</v>
      </c>
      <c r="BM5" s="413">
        <f t="shared" si="26"/>
        <v>8.4432717678100264</v>
      </c>
      <c r="BN5" s="414">
        <f t="shared" si="27"/>
        <v>20</v>
      </c>
      <c r="BO5" s="415">
        <f t="shared" si="28"/>
        <v>0.6</v>
      </c>
      <c r="BP5" s="416">
        <v>0</v>
      </c>
      <c r="BQ5" s="417">
        <f t="shared" si="29"/>
        <v>33.333333333333336</v>
      </c>
      <c r="BR5" s="415">
        <f t="shared" si="30"/>
        <v>0.33333333333333337</v>
      </c>
      <c r="BS5" s="350">
        <f t="shared" si="31"/>
        <v>6.7646060300011692</v>
      </c>
    </row>
    <row r="6" spans="1:71" x14ac:dyDescent="0.6">
      <c r="A6" s="214" t="s">
        <v>1437</v>
      </c>
      <c r="B6" s="13" t="s">
        <v>1982</v>
      </c>
      <c r="C6" s="219" t="s">
        <v>1438</v>
      </c>
      <c r="D6" s="14" t="s">
        <v>191</v>
      </c>
      <c r="E6" s="217" t="s">
        <v>178</v>
      </c>
      <c r="F6" s="217" t="s">
        <v>1439</v>
      </c>
      <c r="G6" s="218">
        <v>39353</v>
      </c>
      <c r="H6" s="217" t="s">
        <v>830</v>
      </c>
      <c r="I6" s="217" t="s">
        <v>1440</v>
      </c>
      <c r="J6" s="217" t="s">
        <v>1441</v>
      </c>
      <c r="K6" s="217" t="s">
        <v>91</v>
      </c>
      <c r="L6" s="220">
        <v>11450867716</v>
      </c>
      <c r="M6" s="206">
        <v>6158689194</v>
      </c>
      <c r="N6" s="206">
        <v>5292178522</v>
      </c>
      <c r="O6" s="206">
        <v>7842662871</v>
      </c>
      <c r="P6" s="206">
        <v>405033974</v>
      </c>
      <c r="Q6" s="206">
        <v>333649782</v>
      </c>
      <c r="R6" s="206">
        <v>265820089</v>
      </c>
      <c r="S6" s="405">
        <v>0</v>
      </c>
      <c r="T6" s="405">
        <v>0</v>
      </c>
      <c r="U6" s="406">
        <v>0</v>
      </c>
      <c r="V6" s="406">
        <v>0</v>
      </c>
      <c r="W6" s="407">
        <f t="shared" si="0"/>
        <v>0</v>
      </c>
      <c r="X6" s="407">
        <f t="shared" si="1"/>
        <v>100</v>
      </c>
      <c r="Y6" s="408">
        <f t="shared" si="2"/>
        <v>3</v>
      </c>
      <c r="Z6" s="444" t="s">
        <v>3249</v>
      </c>
      <c r="AA6" s="442">
        <v>0</v>
      </c>
      <c r="AB6" s="406">
        <v>1</v>
      </c>
      <c r="AC6" s="406">
        <v>0</v>
      </c>
      <c r="AD6" s="407">
        <f t="shared" si="3"/>
        <v>1</v>
      </c>
      <c r="AE6" s="364" t="str">
        <f t="shared" si="4"/>
        <v>100</v>
      </c>
      <c r="AF6" s="349">
        <f t="shared" si="5"/>
        <v>0.5</v>
      </c>
      <c r="AG6" s="154">
        <v>8545</v>
      </c>
      <c r="AH6" s="154">
        <v>13121884</v>
      </c>
      <c r="AI6" s="409">
        <f t="shared" si="13"/>
        <v>1535.6212990052663</v>
      </c>
      <c r="AJ6" s="409">
        <f t="shared" si="14"/>
        <v>100</v>
      </c>
      <c r="AK6" s="408">
        <f t="shared" si="6"/>
        <v>1</v>
      </c>
      <c r="AL6" s="45">
        <v>10366357</v>
      </c>
      <c r="AM6" s="361">
        <f t="shared" si="15"/>
        <v>26.581440326625831</v>
      </c>
      <c r="AN6" s="365">
        <f t="shared" si="16"/>
        <v>29.984020061242344</v>
      </c>
      <c r="AO6" s="320">
        <f t="shared" si="7"/>
        <v>0.29984020061242345</v>
      </c>
      <c r="AP6" s="277">
        <f>_xlfn.XLOOKUP(C6, '1.건전성'!C:C, '1.건전성'!BE:BE)</f>
        <v>413644637</v>
      </c>
      <c r="AQ6" s="277">
        <f>_xlfn.XLOOKUP(C6, '1.건전성'!C:C, '1.건전성'!BF:BF)</f>
        <v>35354329</v>
      </c>
      <c r="AR6" s="410">
        <f t="shared" si="17"/>
        <v>448998966</v>
      </c>
      <c r="AS6" s="366">
        <f t="shared" si="8"/>
        <v>5.7250830921251774</v>
      </c>
      <c r="AT6" s="366">
        <f t="shared" si="18"/>
        <v>28.938504843310437</v>
      </c>
      <c r="AU6" s="321">
        <f t="shared" si="19"/>
        <v>0.28938504843310436</v>
      </c>
      <c r="AV6" s="15">
        <v>74171786</v>
      </c>
      <c r="AW6" s="361">
        <f t="shared" si="9"/>
        <v>0.94574747404056814</v>
      </c>
      <c r="AX6" s="361">
        <f t="shared" si="20"/>
        <v>31.407177833640667</v>
      </c>
      <c r="AY6" s="321">
        <f t="shared" si="10"/>
        <v>0.15703588916820332</v>
      </c>
      <c r="AZ6" s="411">
        <v>7.1</v>
      </c>
      <c r="BA6" s="412">
        <f t="shared" si="21"/>
        <v>60</v>
      </c>
      <c r="BB6" s="408">
        <f t="shared" si="11"/>
        <v>0.3</v>
      </c>
      <c r="BC6" s="204">
        <v>1</v>
      </c>
      <c r="BD6" s="407">
        <f t="shared" si="22"/>
        <v>100</v>
      </c>
      <c r="BE6" s="408">
        <f t="shared" si="12"/>
        <v>0.5</v>
      </c>
      <c r="BF6" s="204">
        <v>0</v>
      </c>
      <c r="BG6" s="204">
        <v>1</v>
      </c>
      <c r="BH6" s="204">
        <v>1</v>
      </c>
      <c r="BI6" s="272" t="str">
        <f t="shared" si="23"/>
        <v>D</v>
      </c>
      <c r="BJ6" s="247">
        <f t="shared" si="24"/>
        <v>25</v>
      </c>
      <c r="BK6" s="90">
        <f t="shared" si="25"/>
        <v>0.75</v>
      </c>
      <c r="BL6" s="406">
        <v>75</v>
      </c>
      <c r="BM6" s="413">
        <f t="shared" si="26"/>
        <v>0.8777062609713282</v>
      </c>
      <c r="BN6" s="414">
        <f t="shared" si="27"/>
        <v>80</v>
      </c>
      <c r="BO6" s="415">
        <f t="shared" si="28"/>
        <v>2.4</v>
      </c>
      <c r="BP6" s="416">
        <v>0.2</v>
      </c>
      <c r="BQ6" s="417">
        <f t="shared" si="29"/>
        <v>66.666666666666671</v>
      </c>
      <c r="BR6" s="415">
        <f t="shared" si="30"/>
        <v>0.66666666666666674</v>
      </c>
      <c r="BS6" s="350">
        <f t="shared" si="31"/>
        <v>9.8629278048803961</v>
      </c>
    </row>
    <row r="7" spans="1:71" x14ac:dyDescent="0.6">
      <c r="A7" s="214" t="s">
        <v>750</v>
      </c>
      <c r="B7" s="13" t="s">
        <v>1983</v>
      </c>
      <c r="C7" s="219" t="s">
        <v>409</v>
      </c>
      <c r="D7" s="216" t="s">
        <v>285</v>
      </c>
      <c r="E7" s="217" t="s">
        <v>1034</v>
      </c>
      <c r="F7" s="217" t="s">
        <v>1019</v>
      </c>
      <c r="G7" s="218">
        <v>33975</v>
      </c>
      <c r="H7" s="217" t="s">
        <v>830</v>
      </c>
      <c r="I7" s="217" t="s">
        <v>969</v>
      </c>
      <c r="J7" s="217" t="s">
        <v>1040</v>
      </c>
      <c r="K7" s="217" t="s">
        <v>91</v>
      </c>
      <c r="L7" s="220">
        <v>428747549</v>
      </c>
      <c r="M7" s="206">
        <v>121241747</v>
      </c>
      <c r="N7" s="206">
        <v>307505802</v>
      </c>
      <c r="O7" s="206">
        <v>347588559</v>
      </c>
      <c r="P7" s="206">
        <v>12401397</v>
      </c>
      <c r="Q7" s="206">
        <v>14089238</v>
      </c>
      <c r="R7" s="206">
        <v>10922265</v>
      </c>
      <c r="S7" s="405">
        <v>0</v>
      </c>
      <c r="T7" s="405">
        <v>0</v>
      </c>
      <c r="U7" s="406">
        <v>0</v>
      </c>
      <c r="V7" s="406">
        <v>0</v>
      </c>
      <c r="W7" s="407">
        <f t="shared" si="0"/>
        <v>0</v>
      </c>
      <c r="X7" s="407">
        <f t="shared" si="1"/>
        <v>100</v>
      </c>
      <c r="Y7" s="408">
        <f t="shared" si="2"/>
        <v>3</v>
      </c>
      <c r="Z7" s="444" t="s">
        <v>3250</v>
      </c>
      <c r="AA7" s="442">
        <v>0</v>
      </c>
      <c r="AB7" s="406">
        <v>0</v>
      </c>
      <c r="AC7" s="406">
        <v>0</v>
      </c>
      <c r="AD7" s="407">
        <f t="shared" si="3"/>
        <v>0</v>
      </c>
      <c r="AE7" s="364" t="str">
        <f t="shared" si="4"/>
        <v>50</v>
      </c>
      <c r="AF7" s="349">
        <f t="shared" si="5"/>
        <v>0.25</v>
      </c>
      <c r="AG7" s="154">
        <v>424</v>
      </c>
      <c r="AH7" s="154">
        <v>1280540</v>
      </c>
      <c r="AI7" s="409">
        <f t="shared" si="13"/>
        <v>3020.1415094339623</v>
      </c>
      <c r="AJ7" s="409">
        <f t="shared" si="14"/>
        <v>100</v>
      </c>
      <c r="AK7" s="408">
        <f t="shared" si="6"/>
        <v>1</v>
      </c>
      <c r="AL7" s="45">
        <v>1373442</v>
      </c>
      <c r="AM7" s="361">
        <f t="shared" si="15"/>
        <v>-6.7641735144258002</v>
      </c>
      <c r="AN7" s="365">
        <f t="shared" si="16"/>
        <v>25</v>
      </c>
      <c r="AO7" s="320">
        <f t="shared" si="7"/>
        <v>0.25</v>
      </c>
      <c r="AP7" s="277">
        <f>_xlfn.XLOOKUP(C7, '1.건전성'!C:C, '1.건전성'!BE:BE)</f>
        <v>34040504</v>
      </c>
      <c r="AQ7" s="277">
        <f>_xlfn.XLOOKUP(C7, '1.건전성'!C:C, '1.건전성'!BF:BF)</f>
        <v>2466355</v>
      </c>
      <c r="AR7" s="410">
        <f t="shared" si="17"/>
        <v>36506859</v>
      </c>
      <c r="AS7" s="366">
        <f t="shared" si="8"/>
        <v>10.502894314194041</v>
      </c>
      <c r="AT7" s="366">
        <f t="shared" si="18"/>
        <v>32.539870086075908</v>
      </c>
      <c r="AU7" s="321">
        <f t="shared" si="19"/>
        <v>0.32539870086075906</v>
      </c>
      <c r="AV7" s="15">
        <v>3046084</v>
      </c>
      <c r="AW7" s="361">
        <f t="shared" si="9"/>
        <v>0.87634760153311042</v>
      </c>
      <c r="AX7" s="361">
        <f t="shared" si="20"/>
        <v>30.881421223735686</v>
      </c>
      <c r="AY7" s="321">
        <f t="shared" si="10"/>
        <v>0.15440710611867844</v>
      </c>
      <c r="AZ7" s="411">
        <v>9.6</v>
      </c>
      <c r="BA7" s="412">
        <f t="shared" si="21"/>
        <v>80</v>
      </c>
      <c r="BB7" s="408">
        <f t="shared" si="11"/>
        <v>0.4</v>
      </c>
      <c r="BC7" s="204">
        <v>0</v>
      </c>
      <c r="BD7" s="407">
        <f t="shared" si="22"/>
        <v>50</v>
      </c>
      <c r="BE7" s="408">
        <f t="shared" si="12"/>
        <v>0.25</v>
      </c>
      <c r="BF7" s="204">
        <v>0</v>
      </c>
      <c r="BG7" s="204">
        <v>1</v>
      </c>
      <c r="BH7" s="204">
        <v>0</v>
      </c>
      <c r="BI7" s="272" t="str">
        <f t="shared" si="23"/>
        <v>C</v>
      </c>
      <c r="BJ7" s="247">
        <f t="shared" si="24"/>
        <v>50</v>
      </c>
      <c r="BK7" s="90">
        <f t="shared" si="25"/>
        <v>1.5</v>
      </c>
      <c r="BL7" s="406">
        <v>39</v>
      </c>
      <c r="BM7" s="413">
        <f t="shared" si="26"/>
        <v>9.1981132075471699</v>
      </c>
      <c r="BN7" s="414">
        <f t="shared" si="27"/>
        <v>20</v>
      </c>
      <c r="BO7" s="415">
        <f t="shared" si="28"/>
        <v>0.6</v>
      </c>
      <c r="BP7" s="416">
        <v>0.01</v>
      </c>
      <c r="BQ7" s="417">
        <f t="shared" si="29"/>
        <v>66.666666666666671</v>
      </c>
      <c r="BR7" s="415">
        <f t="shared" si="30"/>
        <v>0.66666666666666674</v>
      </c>
      <c r="BS7" s="350">
        <f t="shared" si="31"/>
        <v>8.3964724736461047</v>
      </c>
    </row>
    <row r="8" spans="1:71" x14ac:dyDescent="0.6">
      <c r="A8" s="214" t="s">
        <v>499</v>
      </c>
      <c r="B8" s="13" t="s">
        <v>1984</v>
      </c>
      <c r="C8" s="219" t="s">
        <v>525</v>
      </c>
      <c r="D8" s="221" t="s">
        <v>481</v>
      </c>
      <c r="E8" s="217" t="s">
        <v>704</v>
      </c>
      <c r="F8" s="217" t="s">
        <v>1243</v>
      </c>
      <c r="G8" s="218">
        <v>26843</v>
      </c>
      <c r="H8" s="217" t="s">
        <v>830</v>
      </c>
      <c r="I8" s="217" t="s">
        <v>1442</v>
      </c>
      <c r="J8" s="217" t="s">
        <v>1068</v>
      </c>
      <c r="K8" s="217" t="s">
        <v>91</v>
      </c>
      <c r="L8" s="220">
        <v>50491197385</v>
      </c>
      <c r="M8" s="206">
        <v>45440998151</v>
      </c>
      <c r="N8" s="206">
        <v>5050199234</v>
      </c>
      <c r="O8" s="206">
        <v>14569718977</v>
      </c>
      <c r="P8" s="206">
        <v>1292467004</v>
      </c>
      <c r="Q8" s="206">
        <v>1295672581</v>
      </c>
      <c r="R8" s="274">
        <v>980567336</v>
      </c>
      <c r="S8" s="275" t="s">
        <v>2326</v>
      </c>
      <c r="T8" s="275" t="s">
        <v>2326</v>
      </c>
      <c r="U8" s="275" t="s">
        <v>2326</v>
      </c>
      <c r="V8" s="275" t="s">
        <v>2326</v>
      </c>
      <c r="W8" s="275" t="s">
        <v>2326</v>
      </c>
      <c r="X8" s="275" t="s">
        <v>2326</v>
      </c>
      <c r="Y8" s="276"/>
      <c r="Z8" s="275" t="s">
        <v>2326</v>
      </c>
      <c r="AA8" s="275" t="s">
        <v>2326</v>
      </c>
      <c r="AB8" s="275" t="s">
        <v>2326</v>
      </c>
      <c r="AC8" s="275" t="s">
        <v>2326</v>
      </c>
      <c r="AD8" s="275" t="s">
        <v>2326</v>
      </c>
      <c r="AE8" s="275" t="s">
        <v>2326</v>
      </c>
      <c r="AF8" s="275"/>
      <c r="AG8" s="154">
        <v>4634</v>
      </c>
      <c r="AH8" s="421"/>
      <c r="AI8" s="409">
        <f t="shared" si="13"/>
        <v>0</v>
      </c>
      <c r="AJ8" s="409">
        <f t="shared" si="14"/>
        <v>25</v>
      </c>
      <c r="AK8" s="418">
        <f>AJ8*0.02</f>
        <v>0.5</v>
      </c>
      <c r="AL8" s="423"/>
      <c r="AM8" s="424">
        <v>0</v>
      </c>
      <c r="AN8" s="365">
        <f t="shared" si="16"/>
        <v>25</v>
      </c>
      <c r="AO8" s="322">
        <f>AN8*0.02</f>
        <v>0.5</v>
      </c>
      <c r="AP8" s="277">
        <f>_xlfn.XLOOKUP(C8, '1.건전성'!C:C, '1.건전성'!BE:BE)</f>
        <v>349008000</v>
      </c>
      <c r="AQ8" s="277">
        <f>_xlfn.XLOOKUP(C8, '1.건전성'!C:C, '1.건전성'!BF:BF)</f>
        <v>20589000</v>
      </c>
      <c r="AR8" s="410">
        <f t="shared" si="17"/>
        <v>369597000</v>
      </c>
      <c r="AS8" s="366">
        <f t="shared" si="8"/>
        <v>2.5367476241885791</v>
      </c>
      <c r="AT8" s="366">
        <f t="shared" si="18"/>
        <v>26.535236902654709</v>
      </c>
      <c r="AU8" s="321">
        <f t="shared" si="19"/>
        <v>0.26535236902654707</v>
      </c>
      <c r="AV8" s="15">
        <v>42547000</v>
      </c>
      <c r="AW8" s="361">
        <f t="shared" si="9"/>
        <v>0.29202347737224993</v>
      </c>
      <c r="AX8" s="361">
        <f t="shared" si="20"/>
        <v>26.454723313426136</v>
      </c>
      <c r="AY8" s="348">
        <f>AX8*0.01</f>
        <v>0.26454723313426137</v>
      </c>
      <c r="AZ8" s="411">
        <v>12.2</v>
      </c>
      <c r="BA8" s="412">
        <f t="shared" si="21"/>
        <v>100</v>
      </c>
      <c r="BB8" s="418">
        <f>BA8*0.01</f>
        <v>1</v>
      </c>
      <c r="BC8" s="204">
        <v>1</v>
      </c>
      <c r="BD8" s="407">
        <f t="shared" si="22"/>
        <v>100</v>
      </c>
      <c r="BE8" s="418">
        <f>BD8*0.01</f>
        <v>1</v>
      </c>
      <c r="BF8" s="204">
        <v>0</v>
      </c>
      <c r="BG8" s="204">
        <v>1</v>
      </c>
      <c r="BH8" s="204">
        <v>0</v>
      </c>
      <c r="BI8" s="272" t="str">
        <f t="shared" si="23"/>
        <v>C</v>
      </c>
      <c r="BJ8" s="247">
        <f t="shared" si="24"/>
        <v>50</v>
      </c>
      <c r="BK8" s="90">
        <f t="shared" si="25"/>
        <v>1.5</v>
      </c>
      <c r="BL8" s="406">
        <v>232</v>
      </c>
      <c r="BM8" s="413">
        <f t="shared" si="26"/>
        <v>5.0064738886491158</v>
      </c>
      <c r="BN8" s="414">
        <f t="shared" si="27"/>
        <v>40</v>
      </c>
      <c r="BO8" s="415">
        <f t="shared" si="28"/>
        <v>1.2</v>
      </c>
      <c r="BP8" s="416">
        <v>0</v>
      </c>
      <c r="BQ8" s="417">
        <f t="shared" si="29"/>
        <v>33.333333333333336</v>
      </c>
      <c r="BR8" s="415">
        <f t="shared" si="30"/>
        <v>0.33333333333333337</v>
      </c>
      <c r="BS8" s="350">
        <f t="shared" si="31"/>
        <v>6.5632329354941419</v>
      </c>
    </row>
    <row r="9" spans="1:71" x14ac:dyDescent="0.6">
      <c r="A9" s="214" t="s">
        <v>1443</v>
      </c>
      <c r="B9" s="13" t="s">
        <v>1985</v>
      </c>
      <c r="C9" s="219" t="s">
        <v>1444</v>
      </c>
      <c r="D9" s="14" t="s">
        <v>203</v>
      </c>
      <c r="E9" s="217" t="s">
        <v>180</v>
      </c>
      <c r="F9" s="217" t="s">
        <v>1429</v>
      </c>
      <c r="G9" s="218">
        <v>27792</v>
      </c>
      <c r="H9" s="217" t="s">
        <v>830</v>
      </c>
      <c r="I9" s="217" t="s">
        <v>841</v>
      </c>
      <c r="J9" s="217" t="s">
        <v>1445</v>
      </c>
      <c r="K9" s="217" t="s">
        <v>91</v>
      </c>
      <c r="L9" s="220">
        <v>3649116385</v>
      </c>
      <c r="M9" s="206">
        <v>587165440</v>
      </c>
      <c r="N9" s="206">
        <v>3061950944</v>
      </c>
      <c r="O9" s="206">
        <v>223739892</v>
      </c>
      <c r="P9" s="206">
        <v>195878366</v>
      </c>
      <c r="Q9" s="206">
        <v>167506991</v>
      </c>
      <c r="R9" s="206">
        <v>146629624</v>
      </c>
      <c r="S9" s="405">
        <v>0</v>
      </c>
      <c r="T9" s="405">
        <v>0</v>
      </c>
      <c r="U9" s="406">
        <v>0</v>
      </c>
      <c r="V9" s="406">
        <v>0</v>
      </c>
      <c r="W9" s="407">
        <f t="shared" ref="W9:W35" si="32">SUM(S9:V9)</f>
        <v>0</v>
      </c>
      <c r="X9" s="407">
        <f t="shared" ref="X9:X35" si="33">IF(W9=0, 100, IF(W9=1, 80, IF(W9=2, 60, IF(W9=3, 40, IF(W9=4, 20)))))</f>
        <v>100</v>
      </c>
      <c r="Y9" s="408">
        <f t="shared" ref="Y9:Y35" si="34">X9*0.03</f>
        <v>3</v>
      </c>
      <c r="Z9" s="444" t="s">
        <v>3251</v>
      </c>
      <c r="AA9" s="442">
        <v>0</v>
      </c>
      <c r="AB9" s="406">
        <v>0</v>
      </c>
      <c r="AC9" s="406">
        <v>0</v>
      </c>
      <c r="AD9" s="407">
        <f t="shared" ref="AD9:AD35" si="35">SUM(AA9:AC9)</f>
        <v>0</v>
      </c>
      <c r="AE9" s="364" t="str">
        <f t="shared" ref="AE9:AE35" si="36">IF(AD9&gt;=1,"100","50")</f>
        <v>50</v>
      </c>
      <c r="AF9" s="349">
        <f t="shared" ref="AF9:AF35" si="37">AE9*0.005</f>
        <v>0.25</v>
      </c>
      <c r="AG9" s="154">
        <v>41</v>
      </c>
      <c r="AH9" s="421"/>
      <c r="AI9" s="409">
        <f t="shared" si="13"/>
        <v>0</v>
      </c>
      <c r="AJ9" s="409">
        <f t="shared" si="14"/>
        <v>25</v>
      </c>
      <c r="AK9" s="408">
        <f t="shared" ref="AK9:AK35" si="38">AJ9*0.01</f>
        <v>0.25</v>
      </c>
      <c r="AL9" s="423"/>
      <c r="AM9" s="424">
        <v>0</v>
      </c>
      <c r="AN9" s="365">
        <f t="shared" si="16"/>
        <v>25</v>
      </c>
      <c r="AO9" s="320">
        <f t="shared" ref="AO9:AO35" si="39">AN9*0.01</f>
        <v>0.25</v>
      </c>
      <c r="AP9" s="277">
        <f>_xlfn.XLOOKUP(C9, '1.건전성'!C:C, '1.건전성'!BE:BE)</f>
        <v>9325000</v>
      </c>
      <c r="AQ9" s="277">
        <f>_xlfn.XLOOKUP(C9, '1.건전성'!C:C, '1.건전성'!BF:BF)</f>
        <v>708000</v>
      </c>
      <c r="AR9" s="410">
        <f t="shared" si="17"/>
        <v>10033000</v>
      </c>
      <c r="AS9" s="366">
        <f t="shared" si="8"/>
        <v>4.4842249231084814</v>
      </c>
      <c r="AT9" s="366">
        <f t="shared" si="18"/>
        <v>28.003184615408404</v>
      </c>
      <c r="AU9" s="321">
        <f t="shared" si="19"/>
        <v>0.28003184615408405</v>
      </c>
      <c r="AV9" s="15">
        <v>304000</v>
      </c>
      <c r="AW9" s="361">
        <f t="shared" si="9"/>
        <v>0.13587205986494352</v>
      </c>
      <c r="AX9" s="361">
        <f t="shared" si="20"/>
        <v>25.271758029279876</v>
      </c>
      <c r="AY9" s="321">
        <f t="shared" ref="AY9:AY35" si="40">AX9*0.005</f>
        <v>0.12635879014639939</v>
      </c>
      <c r="AZ9" s="411">
        <v>7</v>
      </c>
      <c r="BA9" s="412">
        <f t="shared" si="21"/>
        <v>60</v>
      </c>
      <c r="BB9" s="408">
        <f t="shared" ref="BB9:BB35" si="41">BA9*0.005</f>
        <v>0.3</v>
      </c>
      <c r="BC9" s="204">
        <v>1</v>
      </c>
      <c r="BD9" s="407">
        <f t="shared" si="22"/>
        <v>100</v>
      </c>
      <c r="BE9" s="408">
        <f t="shared" ref="BE9:BE35" si="42">BD9*0.005</f>
        <v>0.5</v>
      </c>
      <c r="BF9" s="204">
        <v>0</v>
      </c>
      <c r="BG9" s="204">
        <v>1</v>
      </c>
      <c r="BH9" s="204">
        <v>1</v>
      </c>
      <c r="BI9" s="272" t="str">
        <f t="shared" si="23"/>
        <v>D</v>
      </c>
      <c r="BJ9" s="247">
        <f t="shared" si="24"/>
        <v>25</v>
      </c>
      <c r="BK9" s="90">
        <f t="shared" si="25"/>
        <v>0.75</v>
      </c>
      <c r="BL9" s="406">
        <v>11</v>
      </c>
      <c r="BM9" s="413">
        <f t="shared" si="26"/>
        <v>26.829268292682929</v>
      </c>
      <c r="BN9" s="414">
        <f t="shared" si="27"/>
        <v>20</v>
      </c>
      <c r="BO9" s="415">
        <f t="shared" si="28"/>
        <v>0.6</v>
      </c>
      <c r="BP9" s="416">
        <v>0</v>
      </c>
      <c r="BQ9" s="417">
        <f t="shared" si="29"/>
        <v>33.333333333333336</v>
      </c>
      <c r="BR9" s="415">
        <f t="shared" si="30"/>
        <v>0.33333333333333337</v>
      </c>
      <c r="BS9" s="350">
        <f t="shared" si="31"/>
        <v>6.6397239696338159</v>
      </c>
    </row>
    <row r="10" spans="1:71" x14ac:dyDescent="0.6">
      <c r="A10" s="214" t="s">
        <v>305</v>
      </c>
      <c r="B10" s="13" t="s">
        <v>1986</v>
      </c>
      <c r="C10" s="219" t="s">
        <v>497</v>
      </c>
      <c r="D10" s="216" t="s">
        <v>285</v>
      </c>
      <c r="E10" s="217" t="s">
        <v>872</v>
      </c>
      <c r="F10" s="217" t="s">
        <v>657</v>
      </c>
      <c r="G10" s="218">
        <v>28481</v>
      </c>
      <c r="H10" s="217" t="s">
        <v>830</v>
      </c>
      <c r="I10" s="217" t="s">
        <v>1446</v>
      </c>
      <c r="J10" s="217" t="s">
        <v>659</v>
      </c>
      <c r="K10" s="217" t="s">
        <v>346</v>
      </c>
      <c r="L10" s="220">
        <v>1746816808</v>
      </c>
      <c r="M10" s="206">
        <v>748120989</v>
      </c>
      <c r="N10" s="206">
        <v>998695819</v>
      </c>
      <c r="O10" s="206">
        <v>1962419335</v>
      </c>
      <c r="P10" s="206">
        <v>81072832</v>
      </c>
      <c r="Q10" s="206">
        <v>84339672</v>
      </c>
      <c r="R10" s="206">
        <v>55421181</v>
      </c>
      <c r="S10" s="405">
        <v>0</v>
      </c>
      <c r="T10" s="405">
        <v>0</v>
      </c>
      <c r="U10" s="406">
        <v>0</v>
      </c>
      <c r="V10" s="406">
        <v>0</v>
      </c>
      <c r="W10" s="407">
        <f t="shared" si="32"/>
        <v>0</v>
      </c>
      <c r="X10" s="407">
        <f t="shared" si="33"/>
        <v>100</v>
      </c>
      <c r="Y10" s="408">
        <f t="shared" si="34"/>
        <v>3</v>
      </c>
      <c r="Z10" s="444" t="s">
        <v>3252</v>
      </c>
      <c r="AA10" s="442">
        <v>1</v>
      </c>
      <c r="AB10" s="406">
        <v>0</v>
      </c>
      <c r="AC10" s="406">
        <v>0</v>
      </c>
      <c r="AD10" s="407">
        <f t="shared" si="35"/>
        <v>1</v>
      </c>
      <c r="AE10" s="364" t="str">
        <f t="shared" si="36"/>
        <v>100</v>
      </c>
      <c r="AF10" s="349">
        <f t="shared" si="37"/>
        <v>0.5</v>
      </c>
      <c r="AG10" s="154">
        <v>1902</v>
      </c>
      <c r="AH10" s="154">
        <v>590000</v>
      </c>
      <c r="AI10" s="409">
        <f t="shared" si="13"/>
        <v>310.19978969505786</v>
      </c>
      <c r="AJ10" s="409">
        <f t="shared" si="14"/>
        <v>100</v>
      </c>
      <c r="AK10" s="408">
        <f t="shared" si="38"/>
        <v>1</v>
      </c>
      <c r="AL10" s="45">
        <v>362000</v>
      </c>
      <c r="AM10" s="361">
        <f t="shared" si="15"/>
        <v>62.983425414364632</v>
      </c>
      <c r="AN10" s="365">
        <f t="shared" si="16"/>
        <v>36.809392265193367</v>
      </c>
      <c r="AO10" s="320">
        <f t="shared" si="39"/>
        <v>0.36809392265193369</v>
      </c>
      <c r="AP10" s="277">
        <f>_xlfn.XLOOKUP(C10, '1.건전성'!C:C, '1.건전성'!BE:BE)</f>
        <v>36788000</v>
      </c>
      <c r="AQ10" s="277">
        <f>_xlfn.XLOOKUP(C10, '1.건전성'!C:C, '1.건전성'!BF:BF)</f>
        <v>2051000</v>
      </c>
      <c r="AR10" s="410">
        <f t="shared" si="17"/>
        <v>38839000</v>
      </c>
      <c r="AS10" s="366">
        <f t="shared" si="8"/>
        <v>1.9791386737432446</v>
      </c>
      <c r="AT10" s="366">
        <f t="shared" si="18"/>
        <v>26.114928648550183</v>
      </c>
      <c r="AU10" s="321">
        <f t="shared" si="19"/>
        <v>0.26114928648550184</v>
      </c>
      <c r="AV10" s="15">
        <v>5187000</v>
      </c>
      <c r="AW10" s="361">
        <f t="shared" si="9"/>
        <v>0.26431659673797497</v>
      </c>
      <c r="AX10" s="361">
        <f t="shared" si="20"/>
        <v>26.244822702560416</v>
      </c>
      <c r="AY10" s="321">
        <f t="shared" si="40"/>
        <v>0.13122411351280208</v>
      </c>
      <c r="AZ10" s="411">
        <v>10.5</v>
      </c>
      <c r="BA10" s="412">
        <f t="shared" si="21"/>
        <v>100</v>
      </c>
      <c r="BB10" s="408">
        <f t="shared" si="41"/>
        <v>0.5</v>
      </c>
      <c r="BC10" s="204">
        <v>1</v>
      </c>
      <c r="BD10" s="407">
        <f t="shared" si="22"/>
        <v>100</v>
      </c>
      <c r="BE10" s="408">
        <f t="shared" si="42"/>
        <v>0.5</v>
      </c>
      <c r="BF10" s="204">
        <v>0</v>
      </c>
      <c r="BG10" s="204">
        <v>1</v>
      </c>
      <c r="BH10" s="204">
        <v>1</v>
      </c>
      <c r="BI10" s="272" t="str">
        <f t="shared" si="23"/>
        <v>D</v>
      </c>
      <c r="BJ10" s="247">
        <f t="shared" si="24"/>
        <v>25</v>
      </c>
      <c r="BK10" s="90">
        <f t="shared" si="25"/>
        <v>0.75</v>
      </c>
      <c r="BL10" s="406">
        <v>909</v>
      </c>
      <c r="BM10" s="413">
        <f t="shared" si="26"/>
        <v>47.791798107255524</v>
      </c>
      <c r="BN10" s="414">
        <f t="shared" si="27"/>
        <v>20</v>
      </c>
      <c r="BO10" s="415">
        <f t="shared" si="28"/>
        <v>0.6</v>
      </c>
      <c r="BP10" s="416">
        <v>0</v>
      </c>
      <c r="BQ10" s="417">
        <f t="shared" si="29"/>
        <v>33.333333333333336</v>
      </c>
      <c r="BR10" s="415">
        <f t="shared" si="30"/>
        <v>0.33333333333333337</v>
      </c>
      <c r="BS10" s="350">
        <f t="shared" si="31"/>
        <v>7.9438006559835701</v>
      </c>
    </row>
    <row r="11" spans="1:71" x14ac:dyDescent="0.6">
      <c r="A11" s="214" t="s">
        <v>1447</v>
      </c>
      <c r="B11" s="13" t="s">
        <v>1987</v>
      </c>
      <c r="C11" s="219" t="s">
        <v>1448</v>
      </c>
      <c r="D11" s="14" t="s">
        <v>285</v>
      </c>
      <c r="E11" s="217" t="s">
        <v>867</v>
      </c>
      <c r="F11" s="217" t="s">
        <v>1449</v>
      </c>
      <c r="G11" s="218">
        <v>44221</v>
      </c>
      <c r="H11" s="217" t="s">
        <v>830</v>
      </c>
      <c r="I11" s="217" t="s">
        <v>1450</v>
      </c>
      <c r="J11" s="13" t="s">
        <v>1988</v>
      </c>
      <c r="K11" s="217" t="s">
        <v>91</v>
      </c>
      <c r="L11" s="220">
        <v>6952036110</v>
      </c>
      <c r="M11" s="206">
        <v>3038424778</v>
      </c>
      <c r="N11" s="206">
        <v>3913611332</v>
      </c>
      <c r="O11" s="206">
        <v>5275660012</v>
      </c>
      <c r="P11" s="206">
        <v>402580787</v>
      </c>
      <c r="Q11" s="206">
        <v>469747452</v>
      </c>
      <c r="R11" s="206">
        <v>310207542</v>
      </c>
      <c r="S11" s="405">
        <v>0</v>
      </c>
      <c r="T11" s="405">
        <v>0</v>
      </c>
      <c r="U11" s="406">
        <v>0</v>
      </c>
      <c r="V11" s="406">
        <v>0</v>
      </c>
      <c r="W11" s="407">
        <f t="shared" si="32"/>
        <v>0</v>
      </c>
      <c r="X11" s="407">
        <f t="shared" si="33"/>
        <v>100</v>
      </c>
      <c r="Y11" s="408">
        <f t="shared" si="34"/>
        <v>3</v>
      </c>
      <c r="Z11" s="444" t="s">
        <v>3253</v>
      </c>
      <c r="AA11" s="442">
        <v>0</v>
      </c>
      <c r="AB11" s="406">
        <v>0</v>
      </c>
      <c r="AC11" s="406">
        <v>1</v>
      </c>
      <c r="AD11" s="407">
        <f t="shared" si="35"/>
        <v>1</v>
      </c>
      <c r="AE11" s="364" t="str">
        <f t="shared" si="36"/>
        <v>100</v>
      </c>
      <c r="AF11" s="349">
        <f t="shared" si="37"/>
        <v>0.5</v>
      </c>
      <c r="AG11" s="154">
        <v>5585</v>
      </c>
      <c r="AH11" s="421"/>
      <c r="AI11" s="409">
        <f t="shared" si="13"/>
        <v>0</v>
      </c>
      <c r="AJ11" s="409">
        <f t="shared" si="14"/>
        <v>25</v>
      </c>
      <c r="AK11" s="408">
        <f t="shared" si="38"/>
        <v>0.25</v>
      </c>
      <c r="AL11" s="423"/>
      <c r="AM11" s="424">
        <v>0</v>
      </c>
      <c r="AN11" s="365">
        <f t="shared" si="16"/>
        <v>25</v>
      </c>
      <c r="AO11" s="320">
        <f t="shared" si="39"/>
        <v>0.25</v>
      </c>
      <c r="AP11" s="277">
        <f>_xlfn.XLOOKUP(C11, '1.건전성'!C:C, '1.건전성'!BE:BE)</f>
        <v>452654000</v>
      </c>
      <c r="AQ11" s="277">
        <f>_xlfn.XLOOKUP(C11, '1.건전성'!C:C, '1.건전성'!BF:BF)</f>
        <v>35841000</v>
      </c>
      <c r="AR11" s="410">
        <f t="shared" si="17"/>
        <v>488495000</v>
      </c>
      <c r="AS11" s="366">
        <f t="shared" si="8"/>
        <v>9.2594101759565763</v>
      </c>
      <c r="AT11" s="366">
        <f t="shared" si="18"/>
        <v>31.602570484389378</v>
      </c>
      <c r="AU11" s="321">
        <f t="shared" si="19"/>
        <v>0.31602570484389381</v>
      </c>
      <c r="AV11" s="15">
        <v>77879000</v>
      </c>
      <c r="AW11" s="361">
        <f t="shared" si="9"/>
        <v>1.4761944443511648</v>
      </c>
      <c r="AX11" s="361">
        <f t="shared" si="20"/>
        <v>35.425715487508825</v>
      </c>
      <c r="AY11" s="321">
        <f t="shared" si="40"/>
        <v>0.17712857743754412</v>
      </c>
      <c r="AZ11" s="411">
        <v>13</v>
      </c>
      <c r="BA11" s="412">
        <f t="shared" si="21"/>
        <v>100</v>
      </c>
      <c r="BB11" s="408">
        <f t="shared" si="41"/>
        <v>0.5</v>
      </c>
      <c r="BC11" s="204">
        <v>1</v>
      </c>
      <c r="BD11" s="407">
        <f t="shared" si="22"/>
        <v>100</v>
      </c>
      <c r="BE11" s="408">
        <f t="shared" si="42"/>
        <v>0.5</v>
      </c>
      <c r="BF11" s="204">
        <v>0</v>
      </c>
      <c r="BG11" s="204">
        <v>1</v>
      </c>
      <c r="BH11" s="204">
        <v>1</v>
      </c>
      <c r="BI11" s="272" t="str">
        <f t="shared" si="23"/>
        <v>D</v>
      </c>
      <c r="BJ11" s="247">
        <f t="shared" si="24"/>
        <v>25</v>
      </c>
      <c r="BK11" s="90">
        <f t="shared" si="25"/>
        <v>0.75</v>
      </c>
      <c r="BL11" s="406">
        <v>2175</v>
      </c>
      <c r="BM11" s="413">
        <f t="shared" si="26"/>
        <v>38.94359892569382</v>
      </c>
      <c r="BN11" s="414">
        <f t="shared" si="27"/>
        <v>20</v>
      </c>
      <c r="BO11" s="415">
        <f t="shared" si="28"/>
        <v>0.6</v>
      </c>
      <c r="BP11" s="416">
        <v>0</v>
      </c>
      <c r="BQ11" s="417">
        <f t="shared" si="29"/>
        <v>33.333333333333336</v>
      </c>
      <c r="BR11" s="415">
        <f t="shared" si="30"/>
        <v>0.33333333333333337</v>
      </c>
      <c r="BS11" s="350">
        <f t="shared" si="31"/>
        <v>7.1764876156147706</v>
      </c>
    </row>
    <row r="12" spans="1:71" x14ac:dyDescent="0.6">
      <c r="A12" s="214" t="s">
        <v>1451</v>
      </c>
      <c r="B12" s="13" t="s">
        <v>1989</v>
      </c>
      <c r="C12" s="219" t="s">
        <v>1452</v>
      </c>
      <c r="D12" s="14" t="s">
        <v>203</v>
      </c>
      <c r="E12" s="217" t="s">
        <v>617</v>
      </c>
      <c r="F12" s="217" t="s">
        <v>1453</v>
      </c>
      <c r="G12" s="218">
        <v>32410</v>
      </c>
      <c r="H12" s="217" t="s">
        <v>830</v>
      </c>
      <c r="I12" s="217" t="s">
        <v>1454</v>
      </c>
      <c r="J12" s="217" t="s">
        <v>1455</v>
      </c>
      <c r="K12" s="217" t="s">
        <v>50</v>
      </c>
      <c r="L12" s="220">
        <v>1632577263</v>
      </c>
      <c r="M12" s="206">
        <v>965677546</v>
      </c>
      <c r="N12" s="206">
        <v>666899717</v>
      </c>
      <c r="O12" s="206">
        <v>772331699</v>
      </c>
      <c r="P12" s="206">
        <v>96511673</v>
      </c>
      <c r="Q12" s="206">
        <v>50588116</v>
      </c>
      <c r="R12" s="206">
        <v>37870319</v>
      </c>
      <c r="S12" s="405">
        <v>0</v>
      </c>
      <c r="T12" s="405">
        <v>0</v>
      </c>
      <c r="U12" s="406">
        <v>0</v>
      </c>
      <c r="V12" s="406">
        <v>0</v>
      </c>
      <c r="W12" s="407">
        <f t="shared" si="32"/>
        <v>0</v>
      </c>
      <c r="X12" s="407">
        <f t="shared" si="33"/>
        <v>100</v>
      </c>
      <c r="Y12" s="408">
        <f t="shared" si="34"/>
        <v>3</v>
      </c>
      <c r="Z12" s="444" t="s">
        <v>3254</v>
      </c>
      <c r="AA12" s="442">
        <v>0</v>
      </c>
      <c r="AB12" s="406">
        <v>0</v>
      </c>
      <c r="AC12" s="406">
        <v>0</v>
      </c>
      <c r="AD12" s="407">
        <f t="shared" si="35"/>
        <v>0</v>
      </c>
      <c r="AE12" s="364" t="str">
        <f t="shared" si="36"/>
        <v>50</v>
      </c>
      <c r="AF12" s="349">
        <f t="shared" si="37"/>
        <v>0.25</v>
      </c>
      <c r="AG12" s="154">
        <v>1136</v>
      </c>
      <c r="AH12" s="154">
        <v>875579</v>
      </c>
      <c r="AI12" s="409">
        <f t="shared" si="13"/>
        <v>770.75616197183103</v>
      </c>
      <c r="AJ12" s="409">
        <f t="shared" si="14"/>
        <v>100</v>
      </c>
      <c r="AK12" s="408">
        <f t="shared" si="38"/>
        <v>1</v>
      </c>
      <c r="AL12" s="45">
        <v>60783</v>
      </c>
      <c r="AM12" s="361">
        <f t="shared" si="15"/>
        <v>1340.4998108023624</v>
      </c>
      <c r="AN12" s="365">
        <f t="shared" si="16"/>
        <v>100</v>
      </c>
      <c r="AO12" s="320">
        <f t="shared" si="39"/>
        <v>1</v>
      </c>
      <c r="AP12" s="277">
        <f>_xlfn.XLOOKUP(C12, '1.건전성'!C:C, '1.건전성'!BE:BE)</f>
        <v>98950122</v>
      </c>
      <c r="AQ12" s="277">
        <f>_xlfn.XLOOKUP(C12, '1.건전성'!C:C, '1.건전성'!BF:BF)</f>
        <v>4632784</v>
      </c>
      <c r="AR12" s="410">
        <f t="shared" si="17"/>
        <v>103582906</v>
      </c>
      <c r="AS12" s="366">
        <f t="shared" si="8"/>
        <v>13.411712368418533</v>
      </c>
      <c r="AT12" s="366">
        <f t="shared" si="18"/>
        <v>34.732446508858189</v>
      </c>
      <c r="AU12" s="321">
        <f t="shared" si="19"/>
        <v>0.34732446508858189</v>
      </c>
      <c r="AV12" s="15">
        <v>2007545</v>
      </c>
      <c r="AW12" s="361">
        <f t="shared" si="9"/>
        <v>0.25993300580557943</v>
      </c>
      <c r="AX12" s="361">
        <f t="shared" si="20"/>
        <v>26.211613680345298</v>
      </c>
      <c r="AY12" s="321">
        <f t="shared" si="40"/>
        <v>0.13105806840172649</v>
      </c>
      <c r="AZ12" s="411">
        <v>5</v>
      </c>
      <c r="BA12" s="412">
        <f t="shared" si="21"/>
        <v>40</v>
      </c>
      <c r="BB12" s="408">
        <f t="shared" si="41"/>
        <v>0.2</v>
      </c>
      <c r="BC12" s="204">
        <v>1</v>
      </c>
      <c r="BD12" s="407">
        <f t="shared" si="22"/>
        <v>100</v>
      </c>
      <c r="BE12" s="408">
        <f t="shared" si="42"/>
        <v>0.5</v>
      </c>
      <c r="BF12" s="204">
        <v>0</v>
      </c>
      <c r="BG12" s="204">
        <v>0</v>
      </c>
      <c r="BH12" s="204">
        <v>0</v>
      </c>
      <c r="BI12" s="272" t="str">
        <f t="shared" si="23"/>
        <v>A</v>
      </c>
      <c r="BJ12" s="247">
        <f t="shared" si="24"/>
        <v>100</v>
      </c>
      <c r="BK12" s="90">
        <f t="shared" si="25"/>
        <v>3</v>
      </c>
      <c r="BL12" s="406">
        <v>0</v>
      </c>
      <c r="BM12" s="413">
        <f t="shared" si="26"/>
        <v>0</v>
      </c>
      <c r="BN12" s="414">
        <f t="shared" si="27"/>
        <v>100</v>
      </c>
      <c r="BO12" s="415">
        <f t="shared" si="28"/>
        <v>3</v>
      </c>
      <c r="BP12" s="416">
        <v>0.96</v>
      </c>
      <c r="BQ12" s="417">
        <f t="shared" si="29"/>
        <v>66.666666666666671</v>
      </c>
      <c r="BR12" s="415">
        <f t="shared" si="30"/>
        <v>0.66666666666666674</v>
      </c>
      <c r="BS12" s="350">
        <f t="shared" si="31"/>
        <v>13.095049200156975</v>
      </c>
    </row>
    <row r="13" spans="1:71" x14ac:dyDescent="0.6">
      <c r="A13" s="214" t="s">
        <v>1456</v>
      </c>
      <c r="B13" s="13" t="s">
        <v>1990</v>
      </c>
      <c r="C13" s="219" t="s">
        <v>496</v>
      </c>
      <c r="D13" s="216" t="s">
        <v>203</v>
      </c>
      <c r="E13" s="217" t="s">
        <v>200</v>
      </c>
      <c r="F13" s="217" t="s">
        <v>83</v>
      </c>
      <c r="G13" s="218">
        <v>41409</v>
      </c>
      <c r="H13" s="217" t="s">
        <v>830</v>
      </c>
      <c r="I13" s="217" t="s">
        <v>697</v>
      </c>
      <c r="J13" s="217" t="s">
        <v>1003</v>
      </c>
      <c r="K13" s="217" t="s">
        <v>484</v>
      </c>
      <c r="L13" s="220">
        <v>279626168</v>
      </c>
      <c r="M13" s="206">
        <v>94093073</v>
      </c>
      <c r="N13" s="206">
        <v>185533095</v>
      </c>
      <c r="O13" s="206">
        <v>246405810</v>
      </c>
      <c r="P13" s="206">
        <v>31078773</v>
      </c>
      <c r="Q13" s="206">
        <v>26528544</v>
      </c>
      <c r="R13" s="206">
        <v>19234317</v>
      </c>
      <c r="S13" s="405">
        <v>0</v>
      </c>
      <c r="T13" s="405">
        <v>0</v>
      </c>
      <c r="U13" s="406">
        <v>0</v>
      </c>
      <c r="V13" s="406">
        <v>0</v>
      </c>
      <c r="W13" s="407">
        <f t="shared" si="32"/>
        <v>0</v>
      </c>
      <c r="X13" s="407">
        <f t="shared" si="33"/>
        <v>100</v>
      </c>
      <c r="Y13" s="408">
        <f t="shared" si="34"/>
        <v>3</v>
      </c>
      <c r="Z13" s="445" t="s">
        <v>3255</v>
      </c>
      <c r="AA13" s="442">
        <v>0</v>
      </c>
      <c r="AB13" s="406">
        <v>0</v>
      </c>
      <c r="AC13" s="406">
        <v>0</v>
      </c>
      <c r="AD13" s="407">
        <f t="shared" si="35"/>
        <v>0</v>
      </c>
      <c r="AE13" s="364" t="str">
        <f t="shared" si="36"/>
        <v>50</v>
      </c>
      <c r="AF13" s="349">
        <f t="shared" si="37"/>
        <v>0.25</v>
      </c>
      <c r="AG13" s="154">
        <v>163</v>
      </c>
      <c r="AH13" s="421"/>
      <c r="AI13" s="409">
        <f t="shared" si="13"/>
        <v>0</v>
      </c>
      <c r="AJ13" s="409">
        <f t="shared" si="14"/>
        <v>25</v>
      </c>
      <c r="AK13" s="408">
        <f t="shared" si="38"/>
        <v>0.25</v>
      </c>
      <c r="AL13" s="423"/>
      <c r="AM13" s="424">
        <v>0</v>
      </c>
      <c r="AN13" s="365">
        <f t="shared" si="16"/>
        <v>25</v>
      </c>
      <c r="AO13" s="320">
        <f t="shared" si="39"/>
        <v>0.25</v>
      </c>
      <c r="AP13" s="277">
        <f>_xlfn.XLOOKUP(C13, '1.건전성'!C:C, '1.건전성'!BE:BE)</f>
        <v>4901481</v>
      </c>
      <c r="AQ13" s="277">
        <f>_xlfn.XLOOKUP(C13, '1.건전성'!C:C, '1.건전성'!BF:BF)</f>
        <v>373273</v>
      </c>
      <c r="AR13" s="410">
        <f t="shared" si="17"/>
        <v>5274754</v>
      </c>
      <c r="AS13" s="366">
        <f t="shared" si="8"/>
        <v>2.140677608210618</v>
      </c>
      <c r="AT13" s="366">
        <f t="shared" si="18"/>
        <v>26.236691664480364</v>
      </c>
      <c r="AU13" s="321">
        <f t="shared" si="19"/>
        <v>0.26236691664480366</v>
      </c>
      <c r="AV13" s="419"/>
      <c r="AW13" s="361">
        <f t="shared" si="9"/>
        <v>0</v>
      </c>
      <c r="AX13" s="361">
        <f t="shared" si="20"/>
        <v>25</v>
      </c>
      <c r="AY13" s="321">
        <f t="shared" si="40"/>
        <v>0.125</v>
      </c>
      <c r="AZ13" s="411">
        <v>11.17</v>
      </c>
      <c r="BA13" s="412">
        <f t="shared" si="21"/>
        <v>100</v>
      </c>
      <c r="BB13" s="408">
        <f t="shared" si="41"/>
        <v>0.5</v>
      </c>
      <c r="BC13" s="204">
        <v>1</v>
      </c>
      <c r="BD13" s="407">
        <f t="shared" si="22"/>
        <v>100</v>
      </c>
      <c r="BE13" s="408">
        <f t="shared" si="42"/>
        <v>0.5</v>
      </c>
      <c r="BF13" s="204">
        <v>0</v>
      </c>
      <c r="BG13" s="204">
        <v>0</v>
      </c>
      <c r="BH13" s="204">
        <v>0</v>
      </c>
      <c r="BI13" s="272" t="str">
        <f t="shared" si="23"/>
        <v>A</v>
      </c>
      <c r="BJ13" s="247">
        <f t="shared" si="24"/>
        <v>100</v>
      </c>
      <c r="BK13" s="90">
        <f t="shared" si="25"/>
        <v>3</v>
      </c>
      <c r="BL13" s="406">
        <v>0</v>
      </c>
      <c r="BM13" s="413">
        <f t="shared" si="26"/>
        <v>0</v>
      </c>
      <c r="BN13" s="414">
        <f t="shared" si="27"/>
        <v>100</v>
      </c>
      <c r="BO13" s="415">
        <f t="shared" si="28"/>
        <v>3</v>
      </c>
      <c r="BP13" s="416">
        <v>0</v>
      </c>
      <c r="BQ13" s="417">
        <f t="shared" si="29"/>
        <v>33.333333333333336</v>
      </c>
      <c r="BR13" s="415">
        <f t="shared" si="30"/>
        <v>0.33333333333333337</v>
      </c>
      <c r="BS13" s="350">
        <f t="shared" si="31"/>
        <v>11.470700249978139</v>
      </c>
    </row>
    <row r="14" spans="1:71" x14ac:dyDescent="0.6">
      <c r="A14" s="214" t="s">
        <v>96</v>
      </c>
      <c r="B14" s="13" t="s">
        <v>1991</v>
      </c>
      <c r="C14" s="219" t="s">
        <v>66</v>
      </c>
      <c r="D14" s="216" t="s">
        <v>203</v>
      </c>
      <c r="E14" s="217" t="s">
        <v>195</v>
      </c>
      <c r="F14" s="217" t="s">
        <v>288</v>
      </c>
      <c r="G14" s="218">
        <v>37649</v>
      </c>
      <c r="H14" s="217" t="s">
        <v>830</v>
      </c>
      <c r="I14" s="217" t="s">
        <v>980</v>
      </c>
      <c r="J14" s="217" t="s">
        <v>1033</v>
      </c>
      <c r="K14" s="217" t="s">
        <v>341</v>
      </c>
      <c r="L14" s="220">
        <v>259398157</v>
      </c>
      <c r="M14" s="206">
        <v>76302600</v>
      </c>
      <c r="N14" s="206">
        <v>183095557</v>
      </c>
      <c r="O14" s="206">
        <v>261687162</v>
      </c>
      <c r="P14" s="206">
        <v>26367414</v>
      </c>
      <c r="Q14" s="206">
        <v>33010683</v>
      </c>
      <c r="R14" s="206">
        <v>28926448</v>
      </c>
      <c r="S14" s="405">
        <v>0</v>
      </c>
      <c r="T14" s="405">
        <v>0</v>
      </c>
      <c r="U14" s="406">
        <v>0</v>
      </c>
      <c r="V14" s="406">
        <v>0</v>
      </c>
      <c r="W14" s="407">
        <f t="shared" si="32"/>
        <v>0</v>
      </c>
      <c r="X14" s="407">
        <f t="shared" si="33"/>
        <v>100</v>
      </c>
      <c r="Y14" s="408">
        <f t="shared" si="34"/>
        <v>3</v>
      </c>
      <c r="Z14" s="444" t="s">
        <v>3256</v>
      </c>
      <c r="AA14" s="442">
        <v>0</v>
      </c>
      <c r="AB14" s="406">
        <v>0</v>
      </c>
      <c r="AC14" s="406">
        <v>0</v>
      </c>
      <c r="AD14" s="407">
        <f t="shared" si="35"/>
        <v>0</v>
      </c>
      <c r="AE14" s="364" t="str">
        <f t="shared" si="36"/>
        <v>50</v>
      </c>
      <c r="AF14" s="349">
        <f t="shared" si="37"/>
        <v>0.25</v>
      </c>
      <c r="AG14" s="154">
        <v>159</v>
      </c>
      <c r="AH14" s="421"/>
      <c r="AI14" s="409">
        <f t="shared" si="13"/>
        <v>0</v>
      </c>
      <c r="AJ14" s="409">
        <f t="shared" si="14"/>
        <v>25</v>
      </c>
      <c r="AK14" s="408">
        <f t="shared" si="38"/>
        <v>0.25</v>
      </c>
      <c r="AL14" s="423"/>
      <c r="AM14" s="424">
        <v>0</v>
      </c>
      <c r="AN14" s="365">
        <f t="shared" si="16"/>
        <v>25</v>
      </c>
      <c r="AO14" s="320">
        <f t="shared" si="39"/>
        <v>0.25</v>
      </c>
      <c r="AP14" s="277">
        <f>_xlfn.XLOOKUP(C14, '1.건전성'!C:C, '1.건전성'!BE:BE)</f>
        <v>5823880</v>
      </c>
      <c r="AQ14" s="277">
        <f>_xlfn.XLOOKUP(C14, '1.건전성'!C:C, '1.건전성'!BF:BF)</f>
        <v>424121</v>
      </c>
      <c r="AR14" s="410">
        <f t="shared" si="17"/>
        <v>6248001</v>
      </c>
      <c r="AS14" s="366">
        <f t="shared" si="8"/>
        <v>2.3875840726187403</v>
      </c>
      <c r="AT14" s="366">
        <f t="shared" si="18"/>
        <v>26.422802064787994</v>
      </c>
      <c r="AU14" s="321">
        <f t="shared" si="19"/>
        <v>0.26422802064787992</v>
      </c>
      <c r="AV14" s="15">
        <v>476288</v>
      </c>
      <c r="AW14" s="361">
        <f t="shared" si="9"/>
        <v>0.18200663584711887</v>
      </c>
      <c r="AX14" s="361">
        <f t="shared" si="20"/>
        <v>25.621262392781205</v>
      </c>
      <c r="AY14" s="321">
        <f t="shared" si="40"/>
        <v>0.12810631196390604</v>
      </c>
      <c r="AZ14" s="411">
        <v>10.29</v>
      </c>
      <c r="BA14" s="412">
        <f t="shared" si="21"/>
        <v>100</v>
      </c>
      <c r="BB14" s="408">
        <f t="shared" si="41"/>
        <v>0.5</v>
      </c>
      <c r="BC14" s="204">
        <v>1</v>
      </c>
      <c r="BD14" s="407">
        <f t="shared" si="22"/>
        <v>100</v>
      </c>
      <c r="BE14" s="408">
        <f t="shared" si="42"/>
        <v>0.5</v>
      </c>
      <c r="BF14" s="204">
        <v>0</v>
      </c>
      <c r="BG14" s="204">
        <v>0</v>
      </c>
      <c r="BH14" s="204">
        <v>0</v>
      </c>
      <c r="BI14" s="272" t="str">
        <f t="shared" si="23"/>
        <v>A</v>
      </c>
      <c r="BJ14" s="247">
        <f t="shared" si="24"/>
        <v>100</v>
      </c>
      <c r="BK14" s="90">
        <f t="shared" si="25"/>
        <v>3</v>
      </c>
      <c r="BL14" s="406">
        <v>0</v>
      </c>
      <c r="BM14" s="413">
        <f t="shared" si="26"/>
        <v>0</v>
      </c>
      <c r="BN14" s="414">
        <f t="shared" si="27"/>
        <v>100</v>
      </c>
      <c r="BO14" s="415">
        <f t="shared" si="28"/>
        <v>3</v>
      </c>
      <c r="BP14" s="416">
        <v>0</v>
      </c>
      <c r="BQ14" s="417">
        <f t="shared" si="29"/>
        <v>33.333333333333336</v>
      </c>
      <c r="BR14" s="415">
        <f t="shared" si="30"/>
        <v>0.33333333333333337</v>
      </c>
      <c r="BS14" s="350">
        <f t="shared" si="31"/>
        <v>11.475667665945119</v>
      </c>
    </row>
    <row r="15" spans="1:71" x14ac:dyDescent="0.6">
      <c r="A15" s="214" t="s">
        <v>1457</v>
      </c>
      <c r="B15" s="13" t="s">
        <v>1992</v>
      </c>
      <c r="C15" s="219" t="s">
        <v>1458</v>
      </c>
      <c r="D15" s="14" t="s">
        <v>191</v>
      </c>
      <c r="E15" s="217" t="s">
        <v>190</v>
      </c>
      <c r="F15" s="217" t="s">
        <v>1459</v>
      </c>
      <c r="G15" s="218">
        <v>44337</v>
      </c>
      <c r="H15" s="217" t="s">
        <v>830</v>
      </c>
      <c r="I15" s="217" t="s">
        <v>1460</v>
      </c>
      <c r="J15" s="217" t="s">
        <v>1461</v>
      </c>
      <c r="K15" s="217" t="s">
        <v>91</v>
      </c>
      <c r="L15" s="220">
        <v>1329134616</v>
      </c>
      <c r="M15" s="206">
        <v>413421862</v>
      </c>
      <c r="N15" s="206">
        <v>915712754</v>
      </c>
      <c r="O15" s="206">
        <v>1615587865</v>
      </c>
      <c r="P15" s="206">
        <v>523701828</v>
      </c>
      <c r="Q15" s="206">
        <v>528169893</v>
      </c>
      <c r="R15" s="206">
        <v>385627456</v>
      </c>
      <c r="S15" s="405">
        <v>0</v>
      </c>
      <c r="T15" s="405">
        <v>0</v>
      </c>
      <c r="U15" s="406">
        <v>0</v>
      </c>
      <c r="V15" s="406">
        <v>0</v>
      </c>
      <c r="W15" s="407">
        <f t="shared" si="32"/>
        <v>0</v>
      </c>
      <c r="X15" s="407">
        <f t="shared" si="33"/>
        <v>100</v>
      </c>
      <c r="Y15" s="408">
        <f t="shared" si="34"/>
        <v>3</v>
      </c>
      <c r="Z15" s="444" t="s">
        <v>3257</v>
      </c>
      <c r="AA15" s="442">
        <v>0</v>
      </c>
      <c r="AB15" s="406">
        <v>0</v>
      </c>
      <c r="AC15" s="406">
        <v>0</v>
      </c>
      <c r="AD15" s="407">
        <f t="shared" si="35"/>
        <v>0</v>
      </c>
      <c r="AE15" s="364" t="str">
        <f t="shared" si="36"/>
        <v>50</v>
      </c>
      <c r="AF15" s="349">
        <f t="shared" si="37"/>
        <v>0.25</v>
      </c>
      <c r="AG15" s="154">
        <v>571</v>
      </c>
      <c r="AH15" s="421"/>
      <c r="AI15" s="409">
        <f t="shared" si="13"/>
        <v>0</v>
      </c>
      <c r="AJ15" s="409">
        <f t="shared" si="14"/>
        <v>25</v>
      </c>
      <c r="AK15" s="408">
        <f t="shared" si="38"/>
        <v>0.25</v>
      </c>
      <c r="AL15" s="423"/>
      <c r="AM15" s="424">
        <v>0</v>
      </c>
      <c r="AN15" s="365">
        <f t="shared" si="16"/>
        <v>25</v>
      </c>
      <c r="AO15" s="320">
        <f t="shared" si="39"/>
        <v>0.25</v>
      </c>
      <c r="AP15" s="277">
        <f>_xlfn.XLOOKUP(C15, '1.건전성'!C:C, '1.건전성'!BE:BE)</f>
        <v>27577219</v>
      </c>
      <c r="AQ15" s="277">
        <f>_xlfn.XLOOKUP(C15, '1.건전성'!C:C, '1.건전성'!BF:BF)</f>
        <v>2714245</v>
      </c>
      <c r="AR15" s="410">
        <f t="shared" si="17"/>
        <v>30291464</v>
      </c>
      <c r="AS15" s="366">
        <f t="shared" si="8"/>
        <v>1.8749499582308389</v>
      </c>
      <c r="AT15" s="366">
        <f t="shared" si="18"/>
        <v>26.036394440877515</v>
      </c>
      <c r="AU15" s="321">
        <f t="shared" si="19"/>
        <v>0.26036394440877514</v>
      </c>
      <c r="AV15" s="15">
        <v>4005724</v>
      </c>
      <c r="AW15" s="361">
        <f t="shared" si="9"/>
        <v>0.24794219409416027</v>
      </c>
      <c r="AX15" s="361">
        <f t="shared" si="20"/>
        <v>26.120774197683033</v>
      </c>
      <c r="AY15" s="321">
        <f t="shared" si="40"/>
        <v>0.13060387098841517</v>
      </c>
      <c r="AZ15" s="411">
        <v>2.6</v>
      </c>
      <c r="BA15" s="412">
        <f t="shared" si="21"/>
        <v>20</v>
      </c>
      <c r="BB15" s="408">
        <f t="shared" si="41"/>
        <v>0.1</v>
      </c>
      <c r="BC15" s="204">
        <v>1</v>
      </c>
      <c r="BD15" s="407">
        <f t="shared" si="22"/>
        <v>100</v>
      </c>
      <c r="BE15" s="408">
        <f t="shared" si="42"/>
        <v>0.5</v>
      </c>
      <c r="BF15" s="204">
        <v>0</v>
      </c>
      <c r="BG15" s="204">
        <v>0</v>
      </c>
      <c r="BH15" s="204">
        <v>0</v>
      </c>
      <c r="BI15" s="272" t="str">
        <f t="shared" si="23"/>
        <v>A</v>
      </c>
      <c r="BJ15" s="247">
        <f t="shared" si="24"/>
        <v>100</v>
      </c>
      <c r="BK15" s="90">
        <f t="shared" si="25"/>
        <v>3</v>
      </c>
      <c r="BL15" s="406">
        <v>23</v>
      </c>
      <c r="BM15" s="413">
        <f t="shared" si="26"/>
        <v>4.028021015761821</v>
      </c>
      <c r="BN15" s="414">
        <f t="shared" si="27"/>
        <v>40</v>
      </c>
      <c r="BO15" s="415">
        <f t="shared" si="28"/>
        <v>1.2</v>
      </c>
      <c r="BP15" s="416">
        <v>0</v>
      </c>
      <c r="BQ15" s="417">
        <f t="shared" si="29"/>
        <v>33.333333333333336</v>
      </c>
      <c r="BR15" s="415">
        <f t="shared" si="30"/>
        <v>0.33333333333333337</v>
      </c>
      <c r="BS15" s="350">
        <f t="shared" si="31"/>
        <v>9.2743011487305242</v>
      </c>
    </row>
    <row r="16" spans="1:71" x14ac:dyDescent="0.6">
      <c r="A16" s="214" t="s">
        <v>1462</v>
      </c>
      <c r="B16" s="13" t="s">
        <v>1993</v>
      </c>
      <c r="C16" s="219" t="s">
        <v>1463</v>
      </c>
      <c r="D16" s="14" t="s">
        <v>285</v>
      </c>
      <c r="E16" s="217" t="s">
        <v>872</v>
      </c>
      <c r="F16" s="217" t="s">
        <v>1464</v>
      </c>
      <c r="G16" s="218">
        <v>29801</v>
      </c>
      <c r="H16" s="217" t="s">
        <v>830</v>
      </c>
      <c r="I16" s="217" t="s">
        <v>1465</v>
      </c>
      <c r="J16" s="217" t="s">
        <v>1466</v>
      </c>
      <c r="K16" s="217" t="s">
        <v>91</v>
      </c>
      <c r="L16" s="220">
        <v>12739404443</v>
      </c>
      <c r="M16" s="206">
        <v>7806315499</v>
      </c>
      <c r="N16" s="206">
        <v>4933088944</v>
      </c>
      <c r="O16" s="206">
        <v>8613702892</v>
      </c>
      <c r="P16" s="206">
        <v>281011393</v>
      </c>
      <c r="Q16" s="206">
        <v>360875361</v>
      </c>
      <c r="R16" s="206">
        <v>240672686</v>
      </c>
      <c r="S16" s="405">
        <v>0</v>
      </c>
      <c r="T16" s="405">
        <v>0</v>
      </c>
      <c r="U16" s="406">
        <v>0</v>
      </c>
      <c r="V16" s="406">
        <v>0</v>
      </c>
      <c r="W16" s="407">
        <f t="shared" si="32"/>
        <v>0</v>
      </c>
      <c r="X16" s="407">
        <f t="shared" si="33"/>
        <v>100</v>
      </c>
      <c r="Y16" s="408">
        <f t="shared" si="34"/>
        <v>3</v>
      </c>
      <c r="Z16" s="444" t="s">
        <v>3258</v>
      </c>
      <c r="AA16" s="442">
        <v>1</v>
      </c>
      <c r="AB16" s="406">
        <v>0</v>
      </c>
      <c r="AC16" s="406">
        <v>0</v>
      </c>
      <c r="AD16" s="407">
        <f t="shared" si="35"/>
        <v>1</v>
      </c>
      <c r="AE16" s="364" t="str">
        <f t="shared" si="36"/>
        <v>100</v>
      </c>
      <c r="AF16" s="349">
        <f t="shared" si="37"/>
        <v>0.5</v>
      </c>
      <c r="AG16" s="154">
        <v>5422</v>
      </c>
      <c r="AH16" s="421"/>
      <c r="AI16" s="409">
        <f t="shared" si="13"/>
        <v>0</v>
      </c>
      <c r="AJ16" s="409">
        <f t="shared" si="14"/>
        <v>25</v>
      </c>
      <c r="AK16" s="408">
        <f t="shared" si="38"/>
        <v>0.25</v>
      </c>
      <c r="AL16" s="423"/>
      <c r="AM16" s="424">
        <v>0</v>
      </c>
      <c r="AN16" s="365">
        <f t="shared" si="16"/>
        <v>25</v>
      </c>
      <c r="AO16" s="320">
        <f t="shared" si="39"/>
        <v>0.25</v>
      </c>
      <c r="AP16" s="277">
        <f>_xlfn.XLOOKUP(C16, '1.건전성'!C:C, '1.건전성'!BE:BE)</f>
        <v>201263000</v>
      </c>
      <c r="AQ16" s="277">
        <f>_xlfn.XLOOKUP(C16, '1.건전성'!C:C, '1.건전성'!BF:BF)</f>
        <v>20845000</v>
      </c>
      <c r="AR16" s="410">
        <f t="shared" si="17"/>
        <v>222108000</v>
      </c>
      <c r="AS16" s="366">
        <f t="shared" si="8"/>
        <v>2.5785426173252786</v>
      </c>
      <c r="AT16" s="366">
        <f t="shared" si="18"/>
        <v>26.566740666325586</v>
      </c>
      <c r="AU16" s="321">
        <f t="shared" si="19"/>
        <v>0.26566740666325589</v>
      </c>
      <c r="AV16" s="15">
        <v>26393000</v>
      </c>
      <c r="AW16" s="361">
        <f t="shared" si="9"/>
        <v>0.30640713211170273</v>
      </c>
      <c r="AX16" s="361">
        <f t="shared" si="20"/>
        <v>26.563690394785628</v>
      </c>
      <c r="AY16" s="321">
        <f t="shared" si="40"/>
        <v>0.13281845197392814</v>
      </c>
      <c r="AZ16" s="411">
        <v>15.5</v>
      </c>
      <c r="BA16" s="412">
        <f t="shared" si="21"/>
        <v>100</v>
      </c>
      <c r="BB16" s="408">
        <f t="shared" si="41"/>
        <v>0.5</v>
      </c>
      <c r="BC16" s="204">
        <v>1</v>
      </c>
      <c r="BD16" s="407">
        <f t="shared" si="22"/>
        <v>100</v>
      </c>
      <c r="BE16" s="408">
        <f t="shared" si="42"/>
        <v>0.5</v>
      </c>
      <c r="BF16" s="204">
        <v>0</v>
      </c>
      <c r="BG16" s="204">
        <v>1</v>
      </c>
      <c r="BH16" s="204">
        <v>1</v>
      </c>
      <c r="BI16" s="272" t="str">
        <f t="shared" si="23"/>
        <v>D</v>
      </c>
      <c r="BJ16" s="247">
        <f t="shared" si="24"/>
        <v>25</v>
      </c>
      <c r="BK16" s="90">
        <f t="shared" si="25"/>
        <v>0.75</v>
      </c>
      <c r="BL16" s="406">
        <v>1616</v>
      </c>
      <c r="BM16" s="413">
        <f t="shared" si="26"/>
        <v>29.804500184433792</v>
      </c>
      <c r="BN16" s="414">
        <f t="shared" si="27"/>
        <v>20</v>
      </c>
      <c r="BO16" s="415">
        <f t="shared" si="28"/>
        <v>0.6</v>
      </c>
      <c r="BP16" s="416">
        <v>0.62</v>
      </c>
      <c r="BQ16" s="417">
        <f t="shared" si="29"/>
        <v>66.666666666666671</v>
      </c>
      <c r="BR16" s="415">
        <f t="shared" si="30"/>
        <v>0.66666666666666674</v>
      </c>
      <c r="BS16" s="350">
        <f t="shared" si="31"/>
        <v>7.4151525253038502</v>
      </c>
    </row>
    <row r="17" spans="1:71" x14ac:dyDescent="0.6">
      <c r="A17" s="214" t="s">
        <v>1467</v>
      </c>
      <c r="B17" s="13" t="s">
        <v>1994</v>
      </c>
      <c r="C17" s="219" t="s">
        <v>1468</v>
      </c>
      <c r="D17" s="222" t="s">
        <v>285</v>
      </c>
      <c r="E17" s="217" t="s">
        <v>245</v>
      </c>
      <c r="F17" s="217" t="s">
        <v>1469</v>
      </c>
      <c r="G17" s="218">
        <v>27937</v>
      </c>
      <c r="H17" s="217" t="s">
        <v>830</v>
      </c>
      <c r="I17" s="217" t="s">
        <v>1470</v>
      </c>
      <c r="J17" s="217" t="s">
        <v>1471</v>
      </c>
      <c r="K17" s="217" t="s">
        <v>91</v>
      </c>
      <c r="L17" s="220">
        <v>997899096</v>
      </c>
      <c r="M17" s="206">
        <v>681241305</v>
      </c>
      <c r="N17" s="206">
        <v>316657791</v>
      </c>
      <c r="O17" s="206">
        <v>4351245277</v>
      </c>
      <c r="P17" s="206">
        <v>72635691</v>
      </c>
      <c r="Q17" s="206">
        <v>36029872</v>
      </c>
      <c r="R17" s="206">
        <v>42401579</v>
      </c>
      <c r="S17" s="405">
        <v>0</v>
      </c>
      <c r="T17" s="405">
        <v>0</v>
      </c>
      <c r="U17" s="406">
        <v>0</v>
      </c>
      <c r="V17" s="406">
        <v>0</v>
      </c>
      <c r="W17" s="407">
        <f t="shared" si="32"/>
        <v>0</v>
      </c>
      <c r="X17" s="407">
        <f t="shared" si="33"/>
        <v>100</v>
      </c>
      <c r="Y17" s="408">
        <f t="shared" si="34"/>
        <v>3</v>
      </c>
      <c r="Z17" s="444" t="s">
        <v>3259</v>
      </c>
      <c r="AA17" s="442">
        <v>0</v>
      </c>
      <c r="AB17" s="406">
        <v>0</v>
      </c>
      <c r="AC17" s="406">
        <v>0</v>
      </c>
      <c r="AD17" s="407">
        <f t="shared" si="35"/>
        <v>0</v>
      </c>
      <c r="AE17" s="364" t="str">
        <f t="shared" si="36"/>
        <v>50</v>
      </c>
      <c r="AF17" s="349">
        <f t="shared" si="37"/>
        <v>0.25</v>
      </c>
      <c r="AG17" s="154">
        <v>7814</v>
      </c>
      <c r="AH17" s="421"/>
      <c r="AI17" s="409">
        <f t="shared" si="13"/>
        <v>0</v>
      </c>
      <c r="AJ17" s="409">
        <f t="shared" si="14"/>
        <v>25</v>
      </c>
      <c r="AK17" s="408">
        <f t="shared" si="38"/>
        <v>0.25</v>
      </c>
      <c r="AL17" s="423"/>
      <c r="AM17" s="424">
        <v>0</v>
      </c>
      <c r="AN17" s="365">
        <f t="shared" si="16"/>
        <v>25</v>
      </c>
      <c r="AO17" s="320">
        <f t="shared" si="39"/>
        <v>0.25</v>
      </c>
      <c r="AP17" s="277">
        <f>_xlfn.XLOOKUP(C17, '1.건전성'!C:C, '1.건전성'!BE:BE)</f>
        <v>392463000</v>
      </c>
      <c r="AQ17" s="277">
        <f>_xlfn.XLOOKUP(C17, '1.건전성'!C:C, '1.건전성'!BF:BF)</f>
        <v>35850000</v>
      </c>
      <c r="AR17" s="410">
        <f t="shared" si="17"/>
        <v>428313000</v>
      </c>
      <c r="AS17" s="366">
        <f t="shared" si="8"/>
        <v>9.8434579696988198</v>
      </c>
      <c r="AT17" s="366">
        <f t="shared" si="18"/>
        <v>32.042807514848356</v>
      </c>
      <c r="AU17" s="321">
        <f t="shared" si="19"/>
        <v>0.32042807514848354</v>
      </c>
      <c r="AV17" s="15">
        <v>73050000</v>
      </c>
      <c r="AW17" s="361">
        <f t="shared" si="9"/>
        <v>1.6788297452715626</v>
      </c>
      <c r="AX17" s="361">
        <f t="shared" si="20"/>
        <v>36.960831403572442</v>
      </c>
      <c r="AY17" s="321">
        <f t="shared" si="40"/>
        <v>0.18480415701786221</v>
      </c>
      <c r="AZ17" s="411">
        <v>6.6</v>
      </c>
      <c r="BA17" s="412">
        <f t="shared" si="21"/>
        <v>60</v>
      </c>
      <c r="BB17" s="408">
        <f t="shared" si="41"/>
        <v>0.3</v>
      </c>
      <c r="BC17" s="204">
        <v>1</v>
      </c>
      <c r="BD17" s="407">
        <f t="shared" si="22"/>
        <v>100</v>
      </c>
      <c r="BE17" s="408">
        <f t="shared" si="42"/>
        <v>0.5</v>
      </c>
      <c r="BF17" s="204">
        <v>0</v>
      </c>
      <c r="BG17" s="204">
        <v>1</v>
      </c>
      <c r="BH17" s="204">
        <v>0</v>
      </c>
      <c r="BI17" s="272" t="str">
        <f t="shared" si="23"/>
        <v>C</v>
      </c>
      <c r="BJ17" s="247">
        <f t="shared" si="24"/>
        <v>50</v>
      </c>
      <c r="BK17" s="90">
        <f t="shared" si="25"/>
        <v>1.5</v>
      </c>
      <c r="BL17" s="406">
        <v>1230</v>
      </c>
      <c r="BM17" s="413">
        <f t="shared" si="26"/>
        <v>15.740977732275402</v>
      </c>
      <c r="BN17" s="414">
        <f t="shared" si="27"/>
        <v>20</v>
      </c>
      <c r="BO17" s="415">
        <f t="shared" si="28"/>
        <v>0.6</v>
      </c>
      <c r="BP17" s="416">
        <v>0.03</v>
      </c>
      <c r="BQ17" s="417">
        <f t="shared" si="29"/>
        <v>66.666666666666671</v>
      </c>
      <c r="BR17" s="415">
        <f t="shared" si="30"/>
        <v>0.66666666666666674</v>
      </c>
      <c r="BS17" s="350">
        <f t="shared" si="31"/>
        <v>7.8218988988330125</v>
      </c>
    </row>
    <row r="18" spans="1:71" x14ac:dyDescent="0.6">
      <c r="A18" s="214" t="s">
        <v>402</v>
      </c>
      <c r="B18" s="13" t="s">
        <v>1995</v>
      </c>
      <c r="C18" s="219" t="s">
        <v>49</v>
      </c>
      <c r="D18" s="216" t="s">
        <v>202</v>
      </c>
      <c r="E18" s="217" t="s">
        <v>196</v>
      </c>
      <c r="F18" s="217" t="s">
        <v>120</v>
      </c>
      <c r="G18" s="218">
        <v>42271</v>
      </c>
      <c r="H18" s="217" t="s">
        <v>830</v>
      </c>
      <c r="I18" s="217" t="s">
        <v>679</v>
      </c>
      <c r="J18" s="217" t="s">
        <v>1472</v>
      </c>
      <c r="K18" s="217" t="s">
        <v>91</v>
      </c>
      <c r="L18" s="220">
        <v>384013805</v>
      </c>
      <c r="M18" s="206">
        <v>122371399</v>
      </c>
      <c r="N18" s="206">
        <v>261642406</v>
      </c>
      <c r="O18" s="206">
        <v>610731077</v>
      </c>
      <c r="P18" s="206">
        <v>12353544</v>
      </c>
      <c r="Q18" s="206">
        <v>16868521</v>
      </c>
      <c r="R18" s="206">
        <v>12791557</v>
      </c>
      <c r="S18" s="405">
        <v>0</v>
      </c>
      <c r="T18" s="405">
        <v>0</v>
      </c>
      <c r="U18" s="406">
        <v>0</v>
      </c>
      <c r="V18" s="406">
        <v>0</v>
      </c>
      <c r="W18" s="407">
        <f t="shared" si="32"/>
        <v>0</v>
      </c>
      <c r="X18" s="407">
        <f t="shared" si="33"/>
        <v>100</v>
      </c>
      <c r="Y18" s="408">
        <f t="shared" si="34"/>
        <v>3</v>
      </c>
      <c r="Z18" s="444" t="s">
        <v>3260</v>
      </c>
      <c r="AA18" s="442">
        <v>0</v>
      </c>
      <c r="AB18" s="406">
        <v>0</v>
      </c>
      <c r="AC18" s="406">
        <v>0</v>
      </c>
      <c r="AD18" s="407">
        <f t="shared" si="35"/>
        <v>0</v>
      </c>
      <c r="AE18" s="364" t="str">
        <f t="shared" si="36"/>
        <v>50</v>
      </c>
      <c r="AF18" s="349">
        <f t="shared" si="37"/>
        <v>0.25</v>
      </c>
      <c r="AG18" s="154">
        <v>4563</v>
      </c>
      <c r="AH18" s="421"/>
      <c r="AI18" s="409">
        <f t="shared" si="13"/>
        <v>0</v>
      </c>
      <c r="AJ18" s="409">
        <f t="shared" si="14"/>
        <v>25</v>
      </c>
      <c r="AK18" s="408">
        <f t="shared" si="38"/>
        <v>0.25</v>
      </c>
      <c r="AL18" s="423"/>
      <c r="AM18" s="424">
        <v>0</v>
      </c>
      <c r="AN18" s="365">
        <f t="shared" si="16"/>
        <v>25</v>
      </c>
      <c r="AO18" s="320">
        <f t="shared" si="39"/>
        <v>0.25</v>
      </c>
      <c r="AP18" s="277">
        <f>_xlfn.XLOOKUP(C18, '1.건전성'!C:C, '1.건전성'!BE:BE)</f>
        <v>17259285</v>
      </c>
      <c r="AQ18" s="277">
        <f>_xlfn.XLOOKUP(C18, '1.건전성'!C:C, '1.건전성'!BF:BF)</f>
        <v>2334127</v>
      </c>
      <c r="AR18" s="410">
        <f t="shared" si="17"/>
        <v>19593412</v>
      </c>
      <c r="AS18" s="366">
        <f t="shared" si="8"/>
        <v>3.2081897807207866</v>
      </c>
      <c r="AT18" s="366">
        <f t="shared" si="18"/>
        <v>27.041349080945317</v>
      </c>
      <c r="AU18" s="321">
        <f t="shared" si="19"/>
        <v>0.27041349080945315</v>
      </c>
      <c r="AV18" s="15">
        <v>1593781</v>
      </c>
      <c r="AW18" s="361">
        <f t="shared" si="9"/>
        <v>0.26096281326126131</v>
      </c>
      <c r="AX18" s="361">
        <f t="shared" si="20"/>
        <v>26.219415251979253</v>
      </c>
      <c r="AY18" s="321">
        <f t="shared" si="40"/>
        <v>0.13109707625989628</v>
      </c>
      <c r="AZ18" s="411">
        <v>3</v>
      </c>
      <c r="BA18" s="412">
        <f t="shared" si="21"/>
        <v>20</v>
      </c>
      <c r="BB18" s="408">
        <f t="shared" si="41"/>
        <v>0.1</v>
      </c>
      <c r="BC18" s="204">
        <v>1</v>
      </c>
      <c r="BD18" s="407">
        <f t="shared" si="22"/>
        <v>100</v>
      </c>
      <c r="BE18" s="408">
        <f t="shared" si="42"/>
        <v>0.5</v>
      </c>
      <c r="BF18" s="204">
        <v>1</v>
      </c>
      <c r="BG18" s="204">
        <v>1</v>
      </c>
      <c r="BH18" s="204">
        <v>0</v>
      </c>
      <c r="BI18" s="272" t="str">
        <f t="shared" si="23"/>
        <v>C</v>
      </c>
      <c r="BJ18" s="247">
        <f t="shared" si="24"/>
        <v>50</v>
      </c>
      <c r="BK18" s="90">
        <f t="shared" si="25"/>
        <v>1.5</v>
      </c>
      <c r="BL18" s="406">
        <v>4226</v>
      </c>
      <c r="BM18" s="413">
        <f t="shared" si="26"/>
        <v>92.61450799912339</v>
      </c>
      <c r="BN18" s="414">
        <f t="shared" si="27"/>
        <v>20</v>
      </c>
      <c r="BO18" s="415">
        <f t="shared" si="28"/>
        <v>0.6</v>
      </c>
      <c r="BP18" s="416">
        <v>0.81</v>
      </c>
      <c r="BQ18" s="417">
        <f t="shared" si="29"/>
        <v>66.666666666666671</v>
      </c>
      <c r="BR18" s="415">
        <f t="shared" si="30"/>
        <v>0.66666666666666674</v>
      </c>
      <c r="BS18" s="350">
        <f t="shared" si="31"/>
        <v>7.518177233736016</v>
      </c>
    </row>
    <row r="19" spans="1:71" x14ac:dyDescent="0.6">
      <c r="A19" s="214" t="s">
        <v>1473</v>
      </c>
      <c r="B19" s="13" t="s">
        <v>1996</v>
      </c>
      <c r="C19" s="219" t="s">
        <v>532</v>
      </c>
      <c r="D19" s="216" t="s">
        <v>203</v>
      </c>
      <c r="E19" s="217" t="s">
        <v>188</v>
      </c>
      <c r="F19" s="217" t="s">
        <v>643</v>
      </c>
      <c r="G19" s="218">
        <v>38985</v>
      </c>
      <c r="H19" s="217" t="s">
        <v>830</v>
      </c>
      <c r="I19" s="217" t="s">
        <v>302</v>
      </c>
      <c r="J19" s="217" t="s">
        <v>668</v>
      </c>
      <c r="K19" s="217" t="s">
        <v>425</v>
      </c>
      <c r="L19" s="220">
        <v>496666959</v>
      </c>
      <c r="M19" s="206">
        <v>232970639</v>
      </c>
      <c r="N19" s="206">
        <v>263696320</v>
      </c>
      <c r="O19" s="206">
        <v>847333959</v>
      </c>
      <c r="P19" s="206">
        <v>12420452</v>
      </c>
      <c r="Q19" s="206">
        <v>21136596</v>
      </c>
      <c r="R19" s="206">
        <v>15436443</v>
      </c>
      <c r="S19" s="405">
        <v>0</v>
      </c>
      <c r="T19" s="405">
        <v>0</v>
      </c>
      <c r="U19" s="406">
        <v>0</v>
      </c>
      <c r="V19" s="406">
        <v>0</v>
      </c>
      <c r="W19" s="407">
        <f t="shared" si="32"/>
        <v>0</v>
      </c>
      <c r="X19" s="407">
        <f t="shared" si="33"/>
        <v>100</v>
      </c>
      <c r="Y19" s="408">
        <f t="shared" si="34"/>
        <v>3</v>
      </c>
      <c r="Z19" s="444" t="s">
        <v>3261</v>
      </c>
      <c r="AA19" s="442">
        <v>0</v>
      </c>
      <c r="AB19" s="406">
        <v>0</v>
      </c>
      <c r="AC19" s="406">
        <v>0</v>
      </c>
      <c r="AD19" s="407">
        <f t="shared" si="35"/>
        <v>0</v>
      </c>
      <c r="AE19" s="364" t="str">
        <f t="shared" si="36"/>
        <v>50</v>
      </c>
      <c r="AF19" s="349">
        <f t="shared" si="37"/>
        <v>0.25</v>
      </c>
      <c r="AG19" s="154">
        <v>370</v>
      </c>
      <c r="AH19" s="421"/>
      <c r="AI19" s="409">
        <f t="shared" si="13"/>
        <v>0</v>
      </c>
      <c r="AJ19" s="409">
        <f t="shared" si="14"/>
        <v>25</v>
      </c>
      <c r="AK19" s="408">
        <f t="shared" si="38"/>
        <v>0.25</v>
      </c>
      <c r="AL19" s="423"/>
      <c r="AM19" s="424">
        <v>0</v>
      </c>
      <c r="AN19" s="365">
        <f t="shared" si="16"/>
        <v>25</v>
      </c>
      <c r="AO19" s="320">
        <f t="shared" si="39"/>
        <v>0.25</v>
      </c>
      <c r="AP19" s="277">
        <f>_xlfn.XLOOKUP(C19, '1.건전성'!C:C, '1.건전성'!BE:BE)</f>
        <v>9353488</v>
      </c>
      <c r="AQ19" s="277">
        <f>_xlfn.XLOOKUP(C19, '1.건전성'!C:C, '1.건전성'!BF:BF)</f>
        <v>1016537</v>
      </c>
      <c r="AR19" s="410">
        <f t="shared" si="17"/>
        <v>10370025</v>
      </c>
      <c r="AS19" s="366">
        <f t="shared" si="8"/>
        <v>1.2238415432137779</v>
      </c>
      <c r="AT19" s="366">
        <f t="shared" si="18"/>
        <v>25.545609203427471</v>
      </c>
      <c r="AU19" s="321">
        <f t="shared" si="19"/>
        <v>0.25545609203427472</v>
      </c>
      <c r="AV19" s="15">
        <v>782121</v>
      </c>
      <c r="AW19" s="361">
        <f t="shared" si="9"/>
        <v>9.2303747736375105E-2</v>
      </c>
      <c r="AX19" s="361">
        <f t="shared" si="20"/>
        <v>25</v>
      </c>
      <c r="AY19" s="321">
        <f t="shared" si="40"/>
        <v>0.125</v>
      </c>
      <c r="AZ19" s="411">
        <v>8.8000000000000007</v>
      </c>
      <c r="BA19" s="412">
        <f t="shared" si="21"/>
        <v>80</v>
      </c>
      <c r="BB19" s="408">
        <f t="shared" si="41"/>
        <v>0.4</v>
      </c>
      <c r="BC19" s="204">
        <v>1</v>
      </c>
      <c r="BD19" s="407">
        <f t="shared" si="22"/>
        <v>100</v>
      </c>
      <c r="BE19" s="408">
        <f t="shared" si="42"/>
        <v>0.5</v>
      </c>
      <c r="BF19" s="204">
        <v>0</v>
      </c>
      <c r="BG19" s="204">
        <v>1</v>
      </c>
      <c r="BH19" s="204">
        <v>1</v>
      </c>
      <c r="BI19" s="272" t="str">
        <f t="shared" si="23"/>
        <v>D</v>
      </c>
      <c r="BJ19" s="247">
        <f t="shared" si="24"/>
        <v>25</v>
      </c>
      <c r="BK19" s="90">
        <f t="shared" si="25"/>
        <v>0.75</v>
      </c>
      <c r="BL19" s="406">
        <v>5</v>
      </c>
      <c r="BM19" s="413">
        <f t="shared" si="26"/>
        <v>1.3513513513513513</v>
      </c>
      <c r="BN19" s="414">
        <f t="shared" si="27"/>
        <v>60</v>
      </c>
      <c r="BO19" s="415">
        <f t="shared" si="28"/>
        <v>1.7999999999999998</v>
      </c>
      <c r="BP19" s="416">
        <v>0</v>
      </c>
      <c r="BQ19" s="417">
        <f t="shared" si="29"/>
        <v>33.333333333333336</v>
      </c>
      <c r="BR19" s="415">
        <f t="shared" si="30"/>
        <v>0.33333333333333337</v>
      </c>
      <c r="BS19" s="350">
        <f t="shared" si="31"/>
        <v>7.9137894253676082</v>
      </c>
    </row>
    <row r="20" spans="1:71" x14ac:dyDescent="0.6">
      <c r="A20" s="214" t="s">
        <v>1474</v>
      </c>
      <c r="B20" s="13" t="s">
        <v>1997</v>
      </c>
      <c r="C20" s="219" t="s">
        <v>1475</v>
      </c>
      <c r="D20" s="222" t="s">
        <v>285</v>
      </c>
      <c r="E20" s="217" t="s">
        <v>872</v>
      </c>
      <c r="F20" s="217" t="s">
        <v>1476</v>
      </c>
      <c r="G20" s="218">
        <v>43263</v>
      </c>
      <c r="H20" s="217" t="s">
        <v>830</v>
      </c>
      <c r="I20" s="217" t="s">
        <v>1477</v>
      </c>
      <c r="J20" s="217" t="s">
        <v>1478</v>
      </c>
      <c r="K20" s="217" t="s">
        <v>91</v>
      </c>
      <c r="L20" s="220">
        <v>7073844464</v>
      </c>
      <c r="M20" s="206">
        <v>4098482728</v>
      </c>
      <c r="N20" s="206">
        <v>2975361736</v>
      </c>
      <c r="O20" s="206">
        <v>3283542070</v>
      </c>
      <c r="P20" s="206">
        <v>110039015</v>
      </c>
      <c r="Q20" s="206">
        <v>105468581</v>
      </c>
      <c r="R20" s="206">
        <v>36587869</v>
      </c>
      <c r="S20" s="405">
        <v>0</v>
      </c>
      <c r="T20" s="405">
        <v>0</v>
      </c>
      <c r="U20" s="406">
        <v>0</v>
      </c>
      <c r="V20" s="406">
        <v>0</v>
      </c>
      <c r="W20" s="407">
        <f t="shared" si="32"/>
        <v>0</v>
      </c>
      <c r="X20" s="407">
        <f t="shared" si="33"/>
        <v>100</v>
      </c>
      <c r="Y20" s="408">
        <f t="shared" si="34"/>
        <v>3</v>
      </c>
      <c r="Z20" s="444" t="s">
        <v>3262</v>
      </c>
      <c r="AA20" s="442">
        <v>0</v>
      </c>
      <c r="AB20" s="406">
        <v>0</v>
      </c>
      <c r="AC20" s="406">
        <v>0</v>
      </c>
      <c r="AD20" s="407">
        <f t="shared" si="35"/>
        <v>0</v>
      </c>
      <c r="AE20" s="364" t="str">
        <f t="shared" si="36"/>
        <v>50</v>
      </c>
      <c r="AF20" s="349">
        <f t="shared" si="37"/>
        <v>0.25</v>
      </c>
      <c r="AG20" s="154">
        <v>1830</v>
      </c>
      <c r="AH20" s="421"/>
      <c r="AI20" s="409">
        <f t="shared" si="13"/>
        <v>0</v>
      </c>
      <c r="AJ20" s="409">
        <f t="shared" si="14"/>
        <v>25</v>
      </c>
      <c r="AK20" s="408">
        <f t="shared" si="38"/>
        <v>0.25</v>
      </c>
      <c r="AL20" s="423"/>
      <c r="AM20" s="424">
        <v>0</v>
      </c>
      <c r="AN20" s="365">
        <f t="shared" si="16"/>
        <v>25</v>
      </c>
      <c r="AO20" s="320">
        <f t="shared" si="39"/>
        <v>0.25</v>
      </c>
      <c r="AP20" s="277">
        <f>_xlfn.XLOOKUP(C20, '1.건전성'!C:C, '1.건전성'!BE:BE)</f>
        <v>47656000</v>
      </c>
      <c r="AQ20" s="277">
        <f>_xlfn.XLOOKUP(C20, '1.건전성'!C:C, '1.건전성'!BF:BF)</f>
        <v>3910000</v>
      </c>
      <c r="AR20" s="410">
        <f t="shared" si="17"/>
        <v>51566000</v>
      </c>
      <c r="AS20" s="366">
        <f t="shared" si="8"/>
        <v>1.5704382310533331</v>
      </c>
      <c r="AT20" s="366">
        <f t="shared" si="18"/>
        <v>25.806862988231156</v>
      </c>
      <c r="AU20" s="321">
        <f t="shared" si="19"/>
        <v>0.25806862988231155</v>
      </c>
      <c r="AV20" s="15">
        <v>4031000</v>
      </c>
      <c r="AW20" s="361">
        <f t="shared" si="9"/>
        <v>0.12276376894418776</v>
      </c>
      <c r="AX20" s="361">
        <f t="shared" si="20"/>
        <v>25.172452795031724</v>
      </c>
      <c r="AY20" s="321">
        <f t="shared" si="40"/>
        <v>0.12586226397515862</v>
      </c>
      <c r="AZ20" s="411">
        <v>9</v>
      </c>
      <c r="BA20" s="412">
        <f t="shared" si="21"/>
        <v>80</v>
      </c>
      <c r="BB20" s="408">
        <f t="shared" si="41"/>
        <v>0.4</v>
      </c>
      <c r="BC20" s="204">
        <v>1</v>
      </c>
      <c r="BD20" s="407">
        <f t="shared" si="22"/>
        <v>100</v>
      </c>
      <c r="BE20" s="408">
        <f t="shared" si="42"/>
        <v>0.5</v>
      </c>
      <c r="BF20" s="204">
        <v>1</v>
      </c>
      <c r="BG20" s="204">
        <v>1</v>
      </c>
      <c r="BH20" s="204">
        <v>1</v>
      </c>
      <c r="BI20" s="272" t="str">
        <f t="shared" si="23"/>
        <v>D</v>
      </c>
      <c r="BJ20" s="247">
        <f t="shared" si="24"/>
        <v>25</v>
      </c>
      <c r="BK20" s="90">
        <f t="shared" si="25"/>
        <v>0.75</v>
      </c>
      <c r="BL20" s="406">
        <v>766</v>
      </c>
      <c r="BM20" s="413">
        <f t="shared" si="26"/>
        <v>41.857923497267755</v>
      </c>
      <c r="BN20" s="414">
        <f t="shared" si="27"/>
        <v>20</v>
      </c>
      <c r="BO20" s="415">
        <f t="shared" si="28"/>
        <v>0.6</v>
      </c>
      <c r="BP20" s="416">
        <v>0</v>
      </c>
      <c r="BQ20" s="417">
        <f t="shared" si="29"/>
        <v>33.333333333333336</v>
      </c>
      <c r="BR20" s="415">
        <f t="shared" si="30"/>
        <v>0.33333333333333337</v>
      </c>
      <c r="BS20" s="350">
        <f t="shared" si="31"/>
        <v>6.7172642271908032</v>
      </c>
    </row>
    <row r="21" spans="1:71" x14ac:dyDescent="0.6">
      <c r="A21" s="214" t="s">
        <v>1479</v>
      </c>
      <c r="B21" s="13" t="s">
        <v>1998</v>
      </c>
      <c r="C21" s="219" t="s">
        <v>1480</v>
      </c>
      <c r="D21" s="14" t="s">
        <v>202</v>
      </c>
      <c r="E21" s="217" t="s">
        <v>950</v>
      </c>
      <c r="F21" s="217" t="s">
        <v>1481</v>
      </c>
      <c r="G21" s="218">
        <v>43788</v>
      </c>
      <c r="H21" s="217" t="s">
        <v>830</v>
      </c>
      <c r="I21" s="217" t="s">
        <v>1482</v>
      </c>
      <c r="J21" s="217" t="s">
        <v>1483</v>
      </c>
      <c r="K21" s="217" t="s">
        <v>690</v>
      </c>
      <c r="L21" s="220">
        <v>654805747</v>
      </c>
      <c r="M21" s="206">
        <v>269730556</v>
      </c>
      <c r="N21" s="206">
        <v>385075191</v>
      </c>
      <c r="O21" s="206">
        <v>1022975319</v>
      </c>
      <c r="P21" s="206">
        <v>95989545</v>
      </c>
      <c r="Q21" s="206">
        <v>80403526</v>
      </c>
      <c r="R21" s="206">
        <v>64390770</v>
      </c>
      <c r="S21" s="405">
        <v>0</v>
      </c>
      <c r="T21" s="405">
        <v>0</v>
      </c>
      <c r="U21" s="406">
        <v>0</v>
      </c>
      <c r="V21" s="406">
        <v>0</v>
      </c>
      <c r="W21" s="407">
        <f t="shared" si="32"/>
        <v>0</v>
      </c>
      <c r="X21" s="407">
        <f t="shared" si="33"/>
        <v>100</v>
      </c>
      <c r="Y21" s="408">
        <f t="shared" si="34"/>
        <v>3</v>
      </c>
      <c r="Z21" s="444" t="s">
        <v>3263</v>
      </c>
      <c r="AA21" s="442">
        <v>0</v>
      </c>
      <c r="AB21" s="406">
        <v>0</v>
      </c>
      <c r="AC21" s="406">
        <v>0</v>
      </c>
      <c r="AD21" s="407">
        <f t="shared" si="35"/>
        <v>0</v>
      </c>
      <c r="AE21" s="364" t="str">
        <f t="shared" si="36"/>
        <v>50</v>
      </c>
      <c r="AF21" s="349">
        <f t="shared" si="37"/>
        <v>0.25</v>
      </c>
      <c r="AG21" s="154">
        <v>248</v>
      </c>
      <c r="AH21" s="154">
        <v>27194</v>
      </c>
      <c r="AI21" s="409">
        <f t="shared" si="13"/>
        <v>109.65322580645162</v>
      </c>
      <c r="AJ21" s="409">
        <f t="shared" si="14"/>
        <v>100</v>
      </c>
      <c r="AK21" s="408">
        <f t="shared" si="38"/>
        <v>1</v>
      </c>
      <c r="AL21" s="45">
        <v>20677</v>
      </c>
      <c r="AM21" s="361">
        <f t="shared" si="15"/>
        <v>31.51811191178604</v>
      </c>
      <c r="AN21" s="365">
        <f t="shared" si="16"/>
        <v>30.909645983459882</v>
      </c>
      <c r="AO21" s="320">
        <f t="shared" si="39"/>
        <v>0.30909645983459882</v>
      </c>
      <c r="AP21" s="277">
        <f>_xlfn.XLOOKUP(C21, '1.건전성'!C:C, '1.건전성'!BE:BE)</f>
        <v>8793356</v>
      </c>
      <c r="AQ21" s="277">
        <f>_xlfn.XLOOKUP(C21, '1.건전성'!C:C, '1.건전성'!BF:BF)</f>
        <v>773974</v>
      </c>
      <c r="AR21" s="410">
        <f t="shared" si="17"/>
        <v>9567330</v>
      </c>
      <c r="AS21" s="366">
        <f t="shared" si="8"/>
        <v>0.93524543772497415</v>
      </c>
      <c r="AT21" s="366">
        <f t="shared" si="18"/>
        <v>25.328074450546463</v>
      </c>
      <c r="AU21" s="321">
        <f t="shared" si="19"/>
        <v>0.25328074450546462</v>
      </c>
      <c r="AV21" s="15">
        <v>1576231</v>
      </c>
      <c r="AW21" s="361">
        <f t="shared" si="9"/>
        <v>0.15408299405901893</v>
      </c>
      <c r="AX21" s="361">
        <f t="shared" si="20"/>
        <v>25.409719651962266</v>
      </c>
      <c r="AY21" s="321">
        <f t="shared" si="40"/>
        <v>0.12704859825981132</v>
      </c>
      <c r="AZ21" s="411">
        <v>7.9</v>
      </c>
      <c r="BA21" s="412">
        <f t="shared" si="21"/>
        <v>60</v>
      </c>
      <c r="BB21" s="408">
        <f t="shared" si="41"/>
        <v>0.3</v>
      </c>
      <c r="BC21" s="204">
        <v>1</v>
      </c>
      <c r="BD21" s="407">
        <f t="shared" si="22"/>
        <v>100</v>
      </c>
      <c r="BE21" s="408">
        <f t="shared" si="42"/>
        <v>0.5</v>
      </c>
      <c r="BF21" s="204">
        <v>0</v>
      </c>
      <c r="BG21" s="204">
        <v>1</v>
      </c>
      <c r="BH21" s="204">
        <v>1</v>
      </c>
      <c r="BI21" s="272" t="str">
        <f t="shared" si="23"/>
        <v>D</v>
      </c>
      <c r="BJ21" s="247">
        <f t="shared" si="24"/>
        <v>25</v>
      </c>
      <c r="BK21" s="90">
        <f t="shared" si="25"/>
        <v>0.75</v>
      </c>
      <c r="BL21" s="406">
        <v>58</v>
      </c>
      <c r="BM21" s="413">
        <f t="shared" si="26"/>
        <v>23.387096774193548</v>
      </c>
      <c r="BN21" s="414">
        <f t="shared" si="27"/>
        <v>20</v>
      </c>
      <c r="BO21" s="415">
        <f t="shared" si="28"/>
        <v>0.6</v>
      </c>
      <c r="BP21" s="416">
        <v>0</v>
      </c>
      <c r="BQ21" s="417">
        <f t="shared" si="29"/>
        <v>33.333333333333336</v>
      </c>
      <c r="BR21" s="415">
        <f t="shared" si="30"/>
        <v>0.33333333333333337</v>
      </c>
      <c r="BS21" s="350">
        <f t="shared" si="31"/>
        <v>7.4227591359332079</v>
      </c>
    </row>
    <row r="22" spans="1:71" x14ac:dyDescent="0.6">
      <c r="A22" s="214" t="s">
        <v>1484</v>
      </c>
      <c r="B22" s="13" t="s">
        <v>1999</v>
      </c>
      <c r="C22" s="219" t="s">
        <v>1485</v>
      </c>
      <c r="D22" s="222" t="s">
        <v>285</v>
      </c>
      <c r="E22" s="217" t="s">
        <v>867</v>
      </c>
      <c r="F22" s="217" t="s">
        <v>1486</v>
      </c>
      <c r="G22" s="218">
        <v>34558</v>
      </c>
      <c r="H22" s="217" t="s">
        <v>830</v>
      </c>
      <c r="I22" s="217" t="s">
        <v>1487</v>
      </c>
      <c r="J22" s="217" t="s">
        <v>1488</v>
      </c>
      <c r="K22" s="217" t="s">
        <v>91</v>
      </c>
      <c r="L22" s="220">
        <v>1405053368</v>
      </c>
      <c r="M22" s="206">
        <v>1006454557</v>
      </c>
      <c r="N22" s="206">
        <v>398598812</v>
      </c>
      <c r="O22" s="206">
        <v>1379461788</v>
      </c>
      <c r="P22" s="206">
        <v>37587942</v>
      </c>
      <c r="Q22" s="206">
        <v>27839730</v>
      </c>
      <c r="R22" s="206">
        <v>18200083</v>
      </c>
      <c r="S22" s="405">
        <v>0</v>
      </c>
      <c r="T22" s="405">
        <v>0</v>
      </c>
      <c r="U22" s="406">
        <v>0</v>
      </c>
      <c r="V22" s="406">
        <v>0</v>
      </c>
      <c r="W22" s="407">
        <f t="shared" si="32"/>
        <v>0</v>
      </c>
      <c r="X22" s="407">
        <f t="shared" si="33"/>
        <v>100</v>
      </c>
      <c r="Y22" s="408">
        <f t="shared" si="34"/>
        <v>3</v>
      </c>
      <c r="Z22" s="444" t="s">
        <v>3264</v>
      </c>
      <c r="AA22" s="442">
        <v>0</v>
      </c>
      <c r="AB22" s="406">
        <v>0</v>
      </c>
      <c r="AC22" s="406">
        <v>0</v>
      </c>
      <c r="AD22" s="407">
        <f t="shared" si="35"/>
        <v>0</v>
      </c>
      <c r="AE22" s="364" t="str">
        <f t="shared" si="36"/>
        <v>50</v>
      </c>
      <c r="AF22" s="349">
        <f t="shared" si="37"/>
        <v>0.25</v>
      </c>
      <c r="AG22" s="154">
        <v>1165</v>
      </c>
      <c r="AH22" s="154">
        <v>1153527</v>
      </c>
      <c r="AI22" s="409">
        <f t="shared" si="13"/>
        <v>990.15193133047205</v>
      </c>
      <c r="AJ22" s="409">
        <f t="shared" si="14"/>
        <v>100</v>
      </c>
      <c r="AK22" s="408">
        <f t="shared" si="38"/>
        <v>1</v>
      </c>
      <c r="AL22" s="45">
        <v>950283</v>
      </c>
      <c r="AM22" s="361">
        <f t="shared" si="15"/>
        <v>21.387733969775319</v>
      </c>
      <c r="AN22" s="365">
        <f t="shared" si="16"/>
        <v>29.010200119332872</v>
      </c>
      <c r="AO22" s="320">
        <f t="shared" si="39"/>
        <v>0.29010200119332874</v>
      </c>
      <c r="AP22" s="277">
        <f>_xlfn.XLOOKUP(C22, '1.건전성'!C:C, '1.건전성'!BE:BE)</f>
        <v>37627818</v>
      </c>
      <c r="AQ22" s="277">
        <f>_xlfn.XLOOKUP(C22, '1.건전성'!C:C, '1.건전성'!BF:BF)</f>
        <v>3211789</v>
      </c>
      <c r="AR22" s="410">
        <f t="shared" si="17"/>
        <v>40839607</v>
      </c>
      <c r="AS22" s="366">
        <f t="shared" si="8"/>
        <v>2.9605464504537622</v>
      </c>
      <c r="AT22" s="366">
        <f t="shared" si="18"/>
        <v>26.854683254110874</v>
      </c>
      <c r="AU22" s="321">
        <f t="shared" si="19"/>
        <v>0.26854683254110873</v>
      </c>
      <c r="AV22" s="15">
        <v>4516987</v>
      </c>
      <c r="AW22" s="361">
        <f t="shared" si="9"/>
        <v>0.32744560518409954</v>
      </c>
      <c r="AX22" s="361">
        <f t="shared" si="20"/>
        <v>26.72307276654621</v>
      </c>
      <c r="AY22" s="321">
        <f t="shared" si="40"/>
        <v>0.13361536383273104</v>
      </c>
      <c r="AZ22" s="411">
        <v>9.4</v>
      </c>
      <c r="BA22" s="412">
        <f t="shared" si="21"/>
        <v>80</v>
      </c>
      <c r="BB22" s="408">
        <f t="shared" si="41"/>
        <v>0.4</v>
      </c>
      <c r="BC22" s="204">
        <v>1</v>
      </c>
      <c r="BD22" s="407">
        <f t="shared" si="22"/>
        <v>100</v>
      </c>
      <c r="BE22" s="408">
        <f t="shared" si="42"/>
        <v>0.5</v>
      </c>
      <c r="BF22" s="204">
        <v>0</v>
      </c>
      <c r="BG22" s="204">
        <v>0</v>
      </c>
      <c r="BH22" s="204">
        <v>0</v>
      </c>
      <c r="BI22" s="272" t="str">
        <f t="shared" si="23"/>
        <v>A</v>
      </c>
      <c r="BJ22" s="247">
        <f t="shared" si="24"/>
        <v>100</v>
      </c>
      <c r="BK22" s="90">
        <f t="shared" si="25"/>
        <v>3</v>
      </c>
      <c r="BL22" s="406">
        <v>522</v>
      </c>
      <c r="BM22" s="413">
        <f t="shared" si="26"/>
        <v>44.806866952789697</v>
      </c>
      <c r="BN22" s="414">
        <f t="shared" si="27"/>
        <v>20</v>
      </c>
      <c r="BO22" s="415">
        <f t="shared" si="28"/>
        <v>0.6</v>
      </c>
      <c r="BP22" s="416">
        <v>1.89</v>
      </c>
      <c r="BQ22" s="417">
        <f t="shared" si="29"/>
        <v>66.666666666666671</v>
      </c>
      <c r="BR22" s="415">
        <f t="shared" si="30"/>
        <v>0.66666666666666674</v>
      </c>
      <c r="BS22" s="350">
        <f t="shared" si="31"/>
        <v>10.108930864233834</v>
      </c>
    </row>
    <row r="23" spans="1:71" x14ac:dyDescent="0.6">
      <c r="A23" s="214" t="s">
        <v>1489</v>
      </c>
      <c r="B23" s="13" t="s">
        <v>2000</v>
      </c>
      <c r="C23" s="219" t="s">
        <v>1490</v>
      </c>
      <c r="D23" s="14" t="s">
        <v>285</v>
      </c>
      <c r="E23" s="217" t="s">
        <v>534</v>
      </c>
      <c r="F23" s="217" t="s">
        <v>1491</v>
      </c>
      <c r="G23" s="218">
        <v>34977</v>
      </c>
      <c r="H23" s="217" t="s">
        <v>830</v>
      </c>
      <c r="I23" s="217" t="s">
        <v>1492</v>
      </c>
      <c r="J23" s="217" t="s">
        <v>1493</v>
      </c>
      <c r="K23" s="217" t="s">
        <v>91</v>
      </c>
      <c r="L23" s="220">
        <v>25684209000</v>
      </c>
      <c r="M23" s="206">
        <v>5067672000</v>
      </c>
      <c r="N23" s="206">
        <v>20616537000</v>
      </c>
      <c r="O23" s="206">
        <v>18429889000</v>
      </c>
      <c r="P23" s="206">
        <v>9919892000</v>
      </c>
      <c r="Q23" s="206">
        <v>10124753000</v>
      </c>
      <c r="R23" s="206">
        <v>10047898000</v>
      </c>
      <c r="S23" s="405">
        <v>0</v>
      </c>
      <c r="T23" s="405">
        <v>0</v>
      </c>
      <c r="U23" s="406">
        <v>0</v>
      </c>
      <c r="V23" s="406">
        <v>0</v>
      </c>
      <c r="W23" s="407">
        <f t="shared" si="32"/>
        <v>0</v>
      </c>
      <c r="X23" s="407">
        <f t="shared" si="33"/>
        <v>100</v>
      </c>
      <c r="Y23" s="408">
        <f t="shared" si="34"/>
        <v>3</v>
      </c>
      <c r="Z23" s="444" t="s">
        <v>3265</v>
      </c>
      <c r="AA23" s="442">
        <v>0</v>
      </c>
      <c r="AB23" s="406">
        <v>0</v>
      </c>
      <c r="AC23" s="406">
        <v>0</v>
      </c>
      <c r="AD23" s="407">
        <f t="shared" si="35"/>
        <v>0</v>
      </c>
      <c r="AE23" s="364" t="str">
        <f t="shared" si="36"/>
        <v>50</v>
      </c>
      <c r="AF23" s="349">
        <f t="shared" si="37"/>
        <v>0.25</v>
      </c>
      <c r="AG23" s="154">
        <v>1785</v>
      </c>
      <c r="AH23" s="421"/>
      <c r="AI23" s="409">
        <f t="shared" si="13"/>
        <v>0</v>
      </c>
      <c r="AJ23" s="409">
        <f t="shared" si="14"/>
        <v>25</v>
      </c>
      <c r="AK23" s="408">
        <f t="shared" si="38"/>
        <v>0.25</v>
      </c>
      <c r="AL23" s="423"/>
      <c r="AM23" s="424">
        <v>0</v>
      </c>
      <c r="AN23" s="365">
        <f t="shared" si="16"/>
        <v>25</v>
      </c>
      <c r="AO23" s="320">
        <f t="shared" si="39"/>
        <v>0.25</v>
      </c>
      <c r="AP23" s="277">
        <f>_xlfn.XLOOKUP(C23, '1.건전성'!C:C, '1.건전성'!BE:BE)</f>
        <v>149100000</v>
      </c>
      <c r="AQ23" s="277">
        <f>_xlfn.XLOOKUP(C23, '1.건전성'!C:C, '1.건전성'!BF:BF)</f>
        <v>12705000</v>
      </c>
      <c r="AR23" s="410">
        <f t="shared" si="17"/>
        <v>161805000</v>
      </c>
      <c r="AS23" s="366">
        <f t="shared" si="8"/>
        <v>0.87794885796653477</v>
      </c>
      <c r="AT23" s="366">
        <f t="shared" si="18"/>
        <v>25.28488607384412</v>
      </c>
      <c r="AU23" s="321">
        <f t="shared" si="19"/>
        <v>0.25284886073844121</v>
      </c>
      <c r="AV23" s="15">
        <v>16862000</v>
      </c>
      <c r="AW23" s="361">
        <f t="shared" si="9"/>
        <v>9.1492683433958819E-2</v>
      </c>
      <c r="AX23" s="361">
        <f t="shared" si="20"/>
        <v>25</v>
      </c>
      <c r="AY23" s="321">
        <f t="shared" si="40"/>
        <v>0.125</v>
      </c>
      <c r="AZ23" s="411">
        <v>8.48</v>
      </c>
      <c r="BA23" s="412">
        <f t="shared" si="21"/>
        <v>80</v>
      </c>
      <c r="BB23" s="408">
        <f t="shared" si="41"/>
        <v>0.4</v>
      </c>
      <c r="BC23" s="204">
        <v>1</v>
      </c>
      <c r="BD23" s="407">
        <f t="shared" si="22"/>
        <v>100</v>
      </c>
      <c r="BE23" s="408">
        <f t="shared" si="42"/>
        <v>0.5</v>
      </c>
      <c r="BF23" s="204">
        <v>1</v>
      </c>
      <c r="BG23" s="204">
        <v>1</v>
      </c>
      <c r="BH23" s="204">
        <v>0</v>
      </c>
      <c r="BI23" s="272" t="str">
        <f t="shared" si="23"/>
        <v>C</v>
      </c>
      <c r="BJ23" s="247">
        <f t="shared" si="24"/>
        <v>50</v>
      </c>
      <c r="BK23" s="90">
        <f t="shared" si="25"/>
        <v>1.5</v>
      </c>
      <c r="BL23" s="406">
        <v>108</v>
      </c>
      <c r="BM23" s="413">
        <f t="shared" si="26"/>
        <v>6.0504201680672267</v>
      </c>
      <c r="BN23" s="414">
        <f t="shared" si="27"/>
        <v>40</v>
      </c>
      <c r="BO23" s="415">
        <f t="shared" si="28"/>
        <v>1.2</v>
      </c>
      <c r="BP23" s="416">
        <v>0.04</v>
      </c>
      <c r="BQ23" s="417">
        <f t="shared" si="29"/>
        <v>66.666666666666671</v>
      </c>
      <c r="BR23" s="415">
        <f t="shared" si="30"/>
        <v>0.66666666666666674</v>
      </c>
      <c r="BS23" s="350">
        <f t="shared" si="31"/>
        <v>8.3945155274051082</v>
      </c>
    </row>
    <row r="24" spans="1:71" x14ac:dyDescent="0.6">
      <c r="A24" s="214" t="s">
        <v>1494</v>
      </c>
      <c r="B24" s="13" t="s">
        <v>2001</v>
      </c>
      <c r="C24" s="219" t="s">
        <v>306</v>
      </c>
      <c r="D24" s="216" t="s">
        <v>191</v>
      </c>
      <c r="E24" s="217" t="s">
        <v>34</v>
      </c>
      <c r="F24" s="217" t="s">
        <v>670</v>
      </c>
      <c r="G24" s="218">
        <v>42670</v>
      </c>
      <c r="H24" s="217" t="s">
        <v>830</v>
      </c>
      <c r="I24" s="217" t="s">
        <v>692</v>
      </c>
      <c r="J24" s="217" t="s">
        <v>639</v>
      </c>
      <c r="K24" s="217" t="s">
        <v>425</v>
      </c>
      <c r="L24" s="220">
        <v>254329814</v>
      </c>
      <c r="M24" s="206">
        <v>113155622</v>
      </c>
      <c r="N24" s="206">
        <v>141174193</v>
      </c>
      <c r="O24" s="206">
        <v>184874804</v>
      </c>
      <c r="P24" s="206">
        <v>26315611</v>
      </c>
      <c r="Q24" s="206">
        <v>24849352</v>
      </c>
      <c r="R24" s="206">
        <v>19163516</v>
      </c>
      <c r="S24" s="405">
        <v>0</v>
      </c>
      <c r="T24" s="405">
        <v>0</v>
      </c>
      <c r="U24" s="406">
        <v>0</v>
      </c>
      <c r="V24" s="406">
        <v>0</v>
      </c>
      <c r="W24" s="407">
        <f t="shared" si="32"/>
        <v>0</v>
      </c>
      <c r="X24" s="407">
        <f t="shared" si="33"/>
        <v>100</v>
      </c>
      <c r="Y24" s="408">
        <f t="shared" si="34"/>
        <v>3</v>
      </c>
      <c r="Z24" s="444" t="s">
        <v>3266</v>
      </c>
      <c r="AA24" s="442">
        <v>0</v>
      </c>
      <c r="AB24" s="406">
        <v>0</v>
      </c>
      <c r="AC24" s="406">
        <v>0</v>
      </c>
      <c r="AD24" s="407">
        <f t="shared" si="35"/>
        <v>0</v>
      </c>
      <c r="AE24" s="364" t="str">
        <f t="shared" si="36"/>
        <v>50</v>
      </c>
      <c r="AF24" s="349">
        <f t="shared" si="37"/>
        <v>0.25</v>
      </c>
      <c r="AG24" s="154">
        <v>271</v>
      </c>
      <c r="AH24" s="154">
        <v>9106</v>
      </c>
      <c r="AI24" s="409">
        <f t="shared" si="13"/>
        <v>33.601476014760145</v>
      </c>
      <c r="AJ24" s="409">
        <f t="shared" si="14"/>
        <v>50.201107011070107</v>
      </c>
      <c r="AK24" s="408">
        <f t="shared" si="38"/>
        <v>0.50201107011070112</v>
      </c>
      <c r="AL24" s="45">
        <v>5257</v>
      </c>
      <c r="AM24" s="361">
        <f t="shared" si="15"/>
        <v>73.216663496290664</v>
      </c>
      <c r="AN24" s="365">
        <f t="shared" si="16"/>
        <v>38.728124405554496</v>
      </c>
      <c r="AO24" s="320">
        <f t="shared" si="39"/>
        <v>0.38728124405554498</v>
      </c>
      <c r="AP24" s="277">
        <f>_xlfn.XLOOKUP(C24, '1.건전성'!C:C, '1.건전성'!BE:BE)</f>
        <v>3313157</v>
      </c>
      <c r="AQ24" s="277">
        <f>_xlfn.XLOOKUP(C24, '1.건전성'!C:C, '1.건전성'!BF:BF)</f>
        <v>318293</v>
      </c>
      <c r="AR24" s="410">
        <f t="shared" si="17"/>
        <v>3631450</v>
      </c>
      <c r="AS24" s="366">
        <f t="shared" si="8"/>
        <v>1.9642752400159409</v>
      </c>
      <c r="AT24" s="366">
        <f t="shared" si="18"/>
        <v>26.103725055288397</v>
      </c>
      <c r="AU24" s="321">
        <f t="shared" si="19"/>
        <v>0.26103725055288396</v>
      </c>
      <c r="AV24" s="15">
        <v>238058</v>
      </c>
      <c r="AW24" s="361">
        <f t="shared" si="9"/>
        <v>0.12876714124873392</v>
      </c>
      <c r="AX24" s="361">
        <f t="shared" si="20"/>
        <v>25.217932888247983</v>
      </c>
      <c r="AY24" s="321">
        <f t="shared" si="40"/>
        <v>0.12608966444123992</v>
      </c>
      <c r="AZ24" s="411">
        <v>10.68</v>
      </c>
      <c r="BA24" s="412">
        <f t="shared" si="21"/>
        <v>100</v>
      </c>
      <c r="BB24" s="408">
        <f t="shared" si="41"/>
        <v>0.5</v>
      </c>
      <c r="BC24" s="204">
        <v>1</v>
      </c>
      <c r="BD24" s="407">
        <f t="shared" si="22"/>
        <v>100</v>
      </c>
      <c r="BE24" s="408">
        <f t="shared" si="42"/>
        <v>0.5</v>
      </c>
      <c r="BF24" s="204">
        <v>0</v>
      </c>
      <c r="BG24" s="204">
        <v>0</v>
      </c>
      <c r="BH24" s="204">
        <v>0</v>
      </c>
      <c r="BI24" s="272" t="str">
        <f t="shared" si="23"/>
        <v>A</v>
      </c>
      <c r="BJ24" s="247">
        <f t="shared" si="24"/>
        <v>100</v>
      </c>
      <c r="BK24" s="90">
        <f t="shared" si="25"/>
        <v>3</v>
      </c>
      <c r="BL24" s="406">
        <v>11</v>
      </c>
      <c r="BM24" s="413">
        <f t="shared" si="26"/>
        <v>4.0590405904059041</v>
      </c>
      <c r="BN24" s="414">
        <f t="shared" si="27"/>
        <v>40</v>
      </c>
      <c r="BO24" s="415">
        <f t="shared" si="28"/>
        <v>1.2</v>
      </c>
      <c r="BP24" s="416">
        <v>0.62</v>
      </c>
      <c r="BQ24" s="417">
        <f t="shared" si="29"/>
        <v>66.666666666666671</v>
      </c>
      <c r="BR24" s="415">
        <f t="shared" si="30"/>
        <v>0.66666666666666674</v>
      </c>
      <c r="BS24" s="350">
        <f t="shared" si="31"/>
        <v>10.393085895827037</v>
      </c>
    </row>
    <row r="25" spans="1:71" x14ac:dyDescent="0.6">
      <c r="A25" s="214" t="s">
        <v>1495</v>
      </c>
      <c r="B25" s="13" t="s">
        <v>2002</v>
      </c>
      <c r="C25" s="219" t="s">
        <v>1496</v>
      </c>
      <c r="D25" s="14" t="s">
        <v>203</v>
      </c>
      <c r="E25" s="217" t="s">
        <v>195</v>
      </c>
      <c r="F25" s="217" t="s">
        <v>1497</v>
      </c>
      <c r="G25" s="218">
        <v>31446</v>
      </c>
      <c r="H25" s="217" t="s">
        <v>830</v>
      </c>
      <c r="I25" s="217" t="s">
        <v>1498</v>
      </c>
      <c r="J25" s="217" t="s">
        <v>1499</v>
      </c>
      <c r="K25" s="217" t="s">
        <v>91</v>
      </c>
      <c r="L25" s="220">
        <v>2935263009</v>
      </c>
      <c r="M25" s="206">
        <v>1282845349</v>
      </c>
      <c r="N25" s="206">
        <v>1652417660</v>
      </c>
      <c r="O25" s="206">
        <v>3676462979</v>
      </c>
      <c r="P25" s="206">
        <v>325853385</v>
      </c>
      <c r="Q25" s="206">
        <v>376778870</v>
      </c>
      <c r="R25" s="206">
        <v>526787734</v>
      </c>
      <c r="S25" s="405">
        <v>0</v>
      </c>
      <c r="T25" s="405">
        <v>0</v>
      </c>
      <c r="U25" s="406">
        <v>0</v>
      </c>
      <c r="V25" s="406">
        <v>0</v>
      </c>
      <c r="W25" s="407">
        <f t="shared" si="32"/>
        <v>0</v>
      </c>
      <c r="X25" s="407">
        <f t="shared" si="33"/>
        <v>100</v>
      </c>
      <c r="Y25" s="408">
        <f t="shared" si="34"/>
        <v>3</v>
      </c>
      <c r="Z25" s="444" t="s">
        <v>3267</v>
      </c>
      <c r="AA25" s="442">
        <v>1</v>
      </c>
      <c r="AB25" s="406">
        <v>0</v>
      </c>
      <c r="AC25" s="406">
        <v>0</v>
      </c>
      <c r="AD25" s="407">
        <f t="shared" si="35"/>
        <v>1</v>
      </c>
      <c r="AE25" s="364" t="str">
        <f t="shared" si="36"/>
        <v>100</v>
      </c>
      <c r="AF25" s="349">
        <f t="shared" si="37"/>
        <v>0.5</v>
      </c>
      <c r="AG25" s="154">
        <v>1139</v>
      </c>
      <c r="AH25" s="421"/>
      <c r="AI25" s="409">
        <f t="shared" si="13"/>
        <v>0</v>
      </c>
      <c r="AJ25" s="409">
        <f t="shared" si="14"/>
        <v>25</v>
      </c>
      <c r="AK25" s="408">
        <f t="shared" si="38"/>
        <v>0.25</v>
      </c>
      <c r="AL25" s="423"/>
      <c r="AM25" s="424">
        <v>0</v>
      </c>
      <c r="AN25" s="365">
        <f t="shared" si="16"/>
        <v>25</v>
      </c>
      <c r="AO25" s="320">
        <f t="shared" si="39"/>
        <v>0.25</v>
      </c>
      <c r="AP25" s="277">
        <f>_xlfn.XLOOKUP(C25, '1.건전성'!C:C, '1.건전성'!BE:BE)</f>
        <v>17067</v>
      </c>
      <c r="AQ25" s="277">
        <f>_xlfn.XLOOKUP(C25, '1.건전성'!C:C, '1.건전성'!BF:BF)</f>
        <v>1342</v>
      </c>
      <c r="AR25" s="410">
        <f t="shared" si="17"/>
        <v>18409</v>
      </c>
      <c r="AS25" s="366">
        <f t="shared" si="8"/>
        <v>5.0072583635827228E-4</v>
      </c>
      <c r="AT25" s="366">
        <f t="shared" si="18"/>
        <v>25</v>
      </c>
      <c r="AU25" s="321">
        <f t="shared" si="19"/>
        <v>0.25</v>
      </c>
      <c r="AV25" s="419"/>
      <c r="AW25" s="361">
        <f t="shared" si="9"/>
        <v>0</v>
      </c>
      <c r="AX25" s="361">
        <f t="shared" si="20"/>
        <v>25</v>
      </c>
      <c r="AY25" s="321">
        <f t="shared" si="40"/>
        <v>0.125</v>
      </c>
      <c r="AZ25" s="411">
        <v>14.9</v>
      </c>
      <c r="BA25" s="412">
        <f t="shared" si="21"/>
        <v>100</v>
      </c>
      <c r="BB25" s="408">
        <f t="shared" si="41"/>
        <v>0.5</v>
      </c>
      <c r="BC25" s="204">
        <v>1</v>
      </c>
      <c r="BD25" s="407">
        <f t="shared" si="22"/>
        <v>100</v>
      </c>
      <c r="BE25" s="408">
        <f t="shared" si="42"/>
        <v>0.5</v>
      </c>
      <c r="BF25" s="204">
        <v>0</v>
      </c>
      <c r="BG25" s="204">
        <v>1</v>
      </c>
      <c r="BH25" s="204">
        <v>0</v>
      </c>
      <c r="BI25" s="272" t="str">
        <f t="shared" si="23"/>
        <v>C</v>
      </c>
      <c r="BJ25" s="247">
        <f t="shared" si="24"/>
        <v>50</v>
      </c>
      <c r="BK25" s="90">
        <f t="shared" si="25"/>
        <v>1.5</v>
      </c>
      <c r="BL25" s="406">
        <v>38</v>
      </c>
      <c r="BM25" s="413">
        <f t="shared" si="26"/>
        <v>3.3362598770851628</v>
      </c>
      <c r="BN25" s="414">
        <f t="shared" si="27"/>
        <v>40</v>
      </c>
      <c r="BO25" s="415">
        <f t="shared" si="28"/>
        <v>1.2</v>
      </c>
      <c r="BP25" s="416">
        <v>0</v>
      </c>
      <c r="BQ25" s="417">
        <f t="shared" si="29"/>
        <v>33.333333333333336</v>
      </c>
      <c r="BR25" s="415">
        <f t="shared" si="30"/>
        <v>0.33333333333333337</v>
      </c>
      <c r="BS25" s="350">
        <f t="shared" si="31"/>
        <v>8.4083333333333332</v>
      </c>
    </row>
    <row r="26" spans="1:71" x14ac:dyDescent="0.6">
      <c r="A26" s="214" t="s">
        <v>313</v>
      </c>
      <c r="B26" s="13" t="s">
        <v>2003</v>
      </c>
      <c r="C26" s="219" t="s">
        <v>400</v>
      </c>
      <c r="D26" s="216" t="s">
        <v>203</v>
      </c>
      <c r="E26" s="217" t="s">
        <v>180</v>
      </c>
      <c r="F26" s="217" t="s">
        <v>115</v>
      </c>
      <c r="G26" s="218">
        <v>34695</v>
      </c>
      <c r="H26" s="217" t="s">
        <v>830</v>
      </c>
      <c r="I26" s="217" t="s">
        <v>1027</v>
      </c>
      <c r="J26" s="217" t="s">
        <v>1233</v>
      </c>
      <c r="K26" s="217" t="s">
        <v>91</v>
      </c>
      <c r="L26" s="220">
        <v>700649653</v>
      </c>
      <c r="M26" s="206">
        <v>158687185</v>
      </c>
      <c r="N26" s="206">
        <v>541962468</v>
      </c>
      <c r="O26" s="206">
        <v>797448219</v>
      </c>
      <c r="P26" s="206">
        <v>35898934</v>
      </c>
      <c r="Q26" s="206">
        <v>35959716</v>
      </c>
      <c r="R26" s="206">
        <v>29458044</v>
      </c>
      <c r="S26" s="405">
        <v>0</v>
      </c>
      <c r="T26" s="405">
        <v>0</v>
      </c>
      <c r="U26" s="406">
        <v>0</v>
      </c>
      <c r="V26" s="406">
        <v>0</v>
      </c>
      <c r="W26" s="407">
        <f t="shared" si="32"/>
        <v>0</v>
      </c>
      <c r="X26" s="407">
        <f t="shared" si="33"/>
        <v>100</v>
      </c>
      <c r="Y26" s="408">
        <f t="shared" si="34"/>
        <v>3</v>
      </c>
      <c r="Z26" s="444" t="s">
        <v>3268</v>
      </c>
      <c r="AA26" s="442">
        <v>0</v>
      </c>
      <c r="AB26" s="406">
        <v>0</v>
      </c>
      <c r="AC26" s="406">
        <v>0</v>
      </c>
      <c r="AD26" s="407">
        <f t="shared" si="35"/>
        <v>0</v>
      </c>
      <c r="AE26" s="364" t="str">
        <f t="shared" si="36"/>
        <v>50</v>
      </c>
      <c r="AF26" s="349">
        <f t="shared" si="37"/>
        <v>0.25</v>
      </c>
      <c r="AG26" s="154">
        <v>352</v>
      </c>
      <c r="AH26" s="421"/>
      <c r="AI26" s="409">
        <f t="shared" si="13"/>
        <v>0</v>
      </c>
      <c r="AJ26" s="409">
        <f t="shared" si="14"/>
        <v>25</v>
      </c>
      <c r="AK26" s="408">
        <f t="shared" si="38"/>
        <v>0.25</v>
      </c>
      <c r="AL26" s="423"/>
      <c r="AM26" s="424">
        <v>0</v>
      </c>
      <c r="AN26" s="365">
        <f t="shared" si="16"/>
        <v>25</v>
      </c>
      <c r="AO26" s="320">
        <f t="shared" si="39"/>
        <v>0.25</v>
      </c>
      <c r="AP26" s="277">
        <f>_xlfn.XLOOKUP(C26, '1.건전성'!C:C, '1.건전성'!BE:BE)</f>
        <v>6785886.6339999996</v>
      </c>
      <c r="AQ26" s="277">
        <f>_xlfn.XLOOKUP(C26, '1.건전성'!C:C, '1.건전성'!BF:BF)</f>
        <v>501528.96100000001</v>
      </c>
      <c r="AR26" s="410">
        <f t="shared" si="17"/>
        <v>7287415.5949999997</v>
      </c>
      <c r="AS26" s="366">
        <f t="shared" si="8"/>
        <v>0.91384185472737256</v>
      </c>
      <c r="AT26" s="366">
        <f t="shared" si="18"/>
        <v>25.311941096528169</v>
      </c>
      <c r="AU26" s="321">
        <f t="shared" si="19"/>
        <v>0.25311941096528168</v>
      </c>
      <c r="AV26" s="15">
        <v>1115950</v>
      </c>
      <c r="AW26" s="361">
        <f t="shared" si="9"/>
        <v>0.13994012067634953</v>
      </c>
      <c r="AX26" s="361">
        <f t="shared" si="20"/>
        <v>25.302576671790526</v>
      </c>
      <c r="AY26" s="321">
        <f t="shared" si="40"/>
        <v>0.12651288335895264</v>
      </c>
      <c r="AZ26" s="411">
        <v>13.5</v>
      </c>
      <c r="BA26" s="412">
        <f t="shared" si="21"/>
        <v>100</v>
      </c>
      <c r="BB26" s="408">
        <f t="shared" si="41"/>
        <v>0.5</v>
      </c>
      <c r="BC26" s="204">
        <v>1</v>
      </c>
      <c r="BD26" s="407">
        <f t="shared" si="22"/>
        <v>100</v>
      </c>
      <c r="BE26" s="408">
        <f t="shared" si="42"/>
        <v>0.5</v>
      </c>
      <c r="BF26" s="204">
        <v>0</v>
      </c>
      <c r="BG26" s="204">
        <v>0</v>
      </c>
      <c r="BH26" s="204">
        <v>0</v>
      </c>
      <c r="BI26" s="272" t="str">
        <f t="shared" si="23"/>
        <v>A</v>
      </c>
      <c r="BJ26" s="247">
        <f t="shared" si="24"/>
        <v>100</v>
      </c>
      <c r="BK26" s="90">
        <f t="shared" si="25"/>
        <v>3</v>
      </c>
      <c r="BL26" s="406">
        <v>20</v>
      </c>
      <c r="BM26" s="413">
        <f t="shared" si="26"/>
        <v>5.6818181818181817</v>
      </c>
      <c r="BN26" s="414">
        <f t="shared" si="27"/>
        <v>40</v>
      </c>
      <c r="BO26" s="415">
        <f t="shared" si="28"/>
        <v>1.2</v>
      </c>
      <c r="BP26" s="416">
        <v>0</v>
      </c>
      <c r="BQ26" s="417">
        <f t="shared" si="29"/>
        <v>33.333333333333336</v>
      </c>
      <c r="BR26" s="415">
        <f t="shared" si="30"/>
        <v>0.33333333333333337</v>
      </c>
      <c r="BS26" s="350">
        <f t="shared" si="31"/>
        <v>9.6629656276575684</v>
      </c>
    </row>
    <row r="27" spans="1:71" x14ac:dyDescent="0.6">
      <c r="A27" s="214" t="s">
        <v>1500</v>
      </c>
      <c r="B27" s="13" t="s">
        <v>2004</v>
      </c>
      <c r="C27" s="219" t="s">
        <v>74</v>
      </c>
      <c r="D27" s="216" t="s">
        <v>285</v>
      </c>
      <c r="E27" s="217" t="s">
        <v>534</v>
      </c>
      <c r="F27" s="217" t="s">
        <v>1501</v>
      </c>
      <c r="G27" s="218">
        <v>39381</v>
      </c>
      <c r="H27" s="217" t="s">
        <v>830</v>
      </c>
      <c r="I27" s="217" t="s">
        <v>1502</v>
      </c>
      <c r="J27" s="217" t="s">
        <v>1503</v>
      </c>
      <c r="K27" s="217" t="s">
        <v>91</v>
      </c>
      <c r="L27" s="220">
        <v>1612037798</v>
      </c>
      <c r="M27" s="206">
        <v>1209670390</v>
      </c>
      <c r="N27" s="206">
        <v>402367409</v>
      </c>
      <c r="O27" s="206">
        <v>403836166</v>
      </c>
      <c r="P27" s="206">
        <v>64029204</v>
      </c>
      <c r="Q27" s="206">
        <v>42678216</v>
      </c>
      <c r="R27" s="206">
        <v>42137473</v>
      </c>
      <c r="S27" s="405">
        <v>0</v>
      </c>
      <c r="T27" s="405">
        <v>0</v>
      </c>
      <c r="U27" s="406">
        <v>0</v>
      </c>
      <c r="V27" s="406">
        <v>0</v>
      </c>
      <c r="W27" s="407">
        <f t="shared" si="32"/>
        <v>0</v>
      </c>
      <c r="X27" s="407">
        <f t="shared" si="33"/>
        <v>100</v>
      </c>
      <c r="Y27" s="408">
        <f t="shared" si="34"/>
        <v>3</v>
      </c>
      <c r="Z27" s="444" t="s">
        <v>3269</v>
      </c>
      <c r="AA27" s="442">
        <v>0</v>
      </c>
      <c r="AB27" s="406">
        <v>0</v>
      </c>
      <c r="AC27" s="406">
        <v>0</v>
      </c>
      <c r="AD27" s="407">
        <f t="shared" si="35"/>
        <v>0</v>
      </c>
      <c r="AE27" s="364" t="str">
        <f t="shared" si="36"/>
        <v>50</v>
      </c>
      <c r="AF27" s="349">
        <f t="shared" si="37"/>
        <v>0.25</v>
      </c>
      <c r="AG27" s="154">
        <v>468</v>
      </c>
      <c r="AH27" s="154">
        <v>138503</v>
      </c>
      <c r="AI27" s="409">
        <f t="shared" si="13"/>
        <v>295.94658119658118</v>
      </c>
      <c r="AJ27" s="409">
        <f t="shared" si="14"/>
        <v>100</v>
      </c>
      <c r="AK27" s="408">
        <f t="shared" si="38"/>
        <v>1</v>
      </c>
      <c r="AL27" s="45">
        <v>88468</v>
      </c>
      <c r="AM27" s="361">
        <f t="shared" si="15"/>
        <v>56.557173215173847</v>
      </c>
      <c r="AN27" s="365">
        <f t="shared" si="16"/>
        <v>35.604469977845099</v>
      </c>
      <c r="AO27" s="320">
        <f t="shared" si="39"/>
        <v>0.35604469977845099</v>
      </c>
      <c r="AP27" s="277">
        <f>_xlfn.XLOOKUP(C27, '1.건전성'!C:C, '1.건전성'!BE:BE)</f>
        <v>34395298</v>
      </c>
      <c r="AQ27" s="277">
        <f>_xlfn.XLOOKUP(C27, '1.건전성'!C:C, '1.건전성'!BF:BF)</f>
        <v>2599484</v>
      </c>
      <c r="AR27" s="410">
        <f t="shared" si="17"/>
        <v>36994782</v>
      </c>
      <c r="AS27" s="366">
        <f t="shared" si="8"/>
        <v>9.1608392498456919</v>
      </c>
      <c r="AT27" s="366">
        <f t="shared" si="18"/>
        <v>31.528270791340972</v>
      </c>
      <c r="AU27" s="321">
        <f t="shared" si="19"/>
        <v>0.31528270791340973</v>
      </c>
      <c r="AV27" s="15">
        <v>4630316</v>
      </c>
      <c r="AW27" s="361">
        <f t="shared" si="9"/>
        <v>1.1465827951625314</v>
      </c>
      <c r="AX27" s="361">
        <f t="shared" si="20"/>
        <v>32.928657539110084</v>
      </c>
      <c r="AY27" s="321">
        <f t="shared" si="40"/>
        <v>0.16464328769555042</v>
      </c>
      <c r="AZ27" s="411">
        <v>3.2</v>
      </c>
      <c r="BA27" s="412">
        <f t="shared" si="21"/>
        <v>20</v>
      </c>
      <c r="BB27" s="408">
        <f t="shared" si="41"/>
        <v>0.1</v>
      </c>
      <c r="BC27" s="204">
        <v>1</v>
      </c>
      <c r="BD27" s="407">
        <f t="shared" si="22"/>
        <v>100</v>
      </c>
      <c r="BE27" s="408">
        <f t="shared" si="42"/>
        <v>0.5</v>
      </c>
      <c r="BF27" s="204">
        <v>0</v>
      </c>
      <c r="BG27" s="204">
        <v>0</v>
      </c>
      <c r="BH27" s="204">
        <v>0</v>
      </c>
      <c r="BI27" s="272" t="str">
        <f t="shared" si="23"/>
        <v>A</v>
      </c>
      <c r="BJ27" s="247">
        <f t="shared" si="24"/>
        <v>100</v>
      </c>
      <c r="BK27" s="90">
        <f t="shared" si="25"/>
        <v>3</v>
      </c>
      <c r="BL27" s="406">
        <v>5</v>
      </c>
      <c r="BM27" s="413">
        <f t="shared" si="26"/>
        <v>1.0683760683760684</v>
      </c>
      <c r="BN27" s="414">
        <f t="shared" si="27"/>
        <v>60</v>
      </c>
      <c r="BO27" s="415">
        <f t="shared" si="28"/>
        <v>1.7999999999999998</v>
      </c>
      <c r="BP27" s="416">
        <v>11.87</v>
      </c>
      <c r="BQ27" s="417">
        <f t="shared" si="29"/>
        <v>100</v>
      </c>
      <c r="BR27" s="415">
        <f t="shared" si="30"/>
        <v>1</v>
      </c>
      <c r="BS27" s="350">
        <f t="shared" si="31"/>
        <v>11.485970695387412</v>
      </c>
    </row>
    <row r="28" spans="1:71" x14ac:dyDescent="0.6">
      <c r="A28" s="214" t="s">
        <v>292</v>
      </c>
      <c r="B28" s="13" t="s">
        <v>2005</v>
      </c>
      <c r="C28" s="219" t="s">
        <v>398</v>
      </c>
      <c r="D28" s="216" t="s">
        <v>285</v>
      </c>
      <c r="E28" s="217" t="s">
        <v>283</v>
      </c>
      <c r="F28" s="217" t="s">
        <v>1008</v>
      </c>
      <c r="G28" s="218">
        <v>40437</v>
      </c>
      <c r="H28" s="217" t="s">
        <v>830</v>
      </c>
      <c r="I28" s="217" t="s">
        <v>686</v>
      </c>
      <c r="J28" s="217" t="s">
        <v>1025</v>
      </c>
      <c r="K28" s="217" t="s">
        <v>934</v>
      </c>
      <c r="L28" s="220">
        <v>302046228</v>
      </c>
      <c r="M28" s="206">
        <v>136864055</v>
      </c>
      <c r="N28" s="206">
        <v>165182173</v>
      </c>
      <c r="O28" s="206">
        <v>591580546</v>
      </c>
      <c r="P28" s="206">
        <v>16184660</v>
      </c>
      <c r="Q28" s="206">
        <v>17205979</v>
      </c>
      <c r="R28" s="206">
        <v>13158812</v>
      </c>
      <c r="S28" s="405">
        <v>0</v>
      </c>
      <c r="T28" s="405">
        <v>0</v>
      </c>
      <c r="U28" s="406">
        <v>0</v>
      </c>
      <c r="V28" s="406">
        <v>0</v>
      </c>
      <c r="W28" s="407">
        <f t="shared" si="32"/>
        <v>0</v>
      </c>
      <c r="X28" s="407">
        <f t="shared" si="33"/>
        <v>100</v>
      </c>
      <c r="Y28" s="408">
        <f t="shared" si="34"/>
        <v>3</v>
      </c>
      <c r="Z28" s="444" t="s">
        <v>3270</v>
      </c>
      <c r="AA28" s="442">
        <v>0</v>
      </c>
      <c r="AB28" s="406">
        <v>0</v>
      </c>
      <c r="AC28" s="406">
        <v>0</v>
      </c>
      <c r="AD28" s="407">
        <f t="shared" si="35"/>
        <v>0</v>
      </c>
      <c r="AE28" s="364" t="str">
        <f t="shared" si="36"/>
        <v>50</v>
      </c>
      <c r="AF28" s="349">
        <f t="shared" si="37"/>
        <v>0.25</v>
      </c>
      <c r="AG28" s="154">
        <v>8465</v>
      </c>
      <c r="AH28" s="154">
        <v>1848453</v>
      </c>
      <c r="AI28" s="409">
        <f t="shared" si="13"/>
        <v>218.36420555227406</v>
      </c>
      <c r="AJ28" s="409">
        <f t="shared" si="14"/>
        <v>100</v>
      </c>
      <c r="AK28" s="408">
        <f t="shared" si="38"/>
        <v>1</v>
      </c>
      <c r="AL28" s="45">
        <v>2045629</v>
      </c>
      <c r="AM28" s="361">
        <f t="shared" si="15"/>
        <v>-9.6388934650418037</v>
      </c>
      <c r="AN28" s="365">
        <f t="shared" si="16"/>
        <v>25</v>
      </c>
      <c r="AO28" s="320">
        <f t="shared" si="39"/>
        <v>0.25</v>
      </c>
      <c r="AP28" s="277">
        <f>_xlfn.XLOOKUP(C28, '1.건전성'!C:C, '1.건전성'!BE:BE)</f>
        <v>283163746</v>
      </c>
      <c r="AQ28" s="277">
        <f>_xlfn.XLOOKUP(C28, '1.건전성'!C:C, '1.건전성'!BF:BF)</f>
        <v>20441122</v>
      </c>
      <c r="AR28" s="410">
        <f t="shared" si="17"/>
        <v>303604868</v>
      </c>
      <c r="AS28" s="366">
        <f t="shared" si="8"/>
        <v>51.320968894741171</v>
      </c>
      <c r="AT28" s="366">
        <f t="shared" si="18"/>
        <v>63.307262985985808</v>
      </c>
      <c r="AU28" s="321">
        <f t="shared" si="19"/>
        <v>0.63307262985985813</v>
      </c>
      <c r="AV28" s="15">
        <v>45163552</v>
      </c>
      <c r="AW28" s="361">
        <f t="shared" si="9"/>
        <v>7.6343876257215531</v>
      </c>
      <c r="AX28" s="361">
        <f t="shared" si="20"/>
        <v>82.078694134254192</v>
      </c>
      <c r="AY28" s="321">
        <f t="shared" si="40"/>
        <v>0.41039347067127097</v>
      </c>
      <c r="AZ28" s="411">
        <v>5.8</v>
      </c>
      <c r="BA28" s="412">
        <f t="shared" si="21"/>
        <v>40</v>
      </c>
      <c r="BB28" s="408">
        <f t="shared" si="41"/>
        <v>0.2</v>
      </c>
      <c r="BC28" s="204">
        <v>1</v>
      </c>
      <c r="BD28" s="407">
        <f t="shared" si="22"/>
        <v>100</v>
      </c>
      <c r="BE28" s="408">
        <f t="shared" si="42"/>
        <v>0.5</v>
      </c>
      <c r="BF28" s="204">
        <v>0</v>
      </c>
      <c r="BG28" s="204">
        <v>1</v>
      </c>
      <c r="BH28" s="204">
        <v>0</v>
      </c>
      <c r="BI28" s="272" t="str">
        <f t="shared" si="23"/>
        <v>C</v>
      </c>
      <c r="BJ28" s="247">
        <f t="shared" si="24"/>
        <v>50</v>
      </c>
      <c r="BK28" s="90">
        <f t="shared" si="25"/>
        <v>1.5</v>
      </c>
      <c r="BL28" s="406">
        <v>1060</v>
      </c>
      <c r="BM28" s="413">
        <f t="shared" si="26"/>
        <v>12.522150029533371</v>
      </c>
      <c r="BN28" s="414">
        <f t="shared" si="27"/>
        <v>20</v>
      </c>
      <c r="BO28" s="415">
        <f t="shared" si="28"/>
        <v>0.6</v>
      </c>
      <c r="BP28" s="416">
        <v>0.22</v>
      </c>
      <c r="BQ28" s="417">
        <f t="shared" si="29"/>
        <v>66.666666666666671</v>
      </c>
      <c r="BR28" s="415">
        <f t="shared" si="30"/>
        <v>0.66666666666666674</v>
      </c>
      <c r="BS28" s="350">
        <f t="shared" si="31"/>
        <v>9.0101327671977955</v>
      </c>
    </row>
    <row r="29" spans="1:71" x14ac:dyDescent="0.6">
      <c r="A29" s="214" t="s">
        <v>1504</v>
      </c>
      <c r="B29" s="13" t="s">
        <v>2006</v>
      </c>
      <c r="C29" s="219" t="s">
        <v>1505</v>
      </c>
      <c r="D29" s="222" t="s">
        <v>285</v>
      </c>
      <c r="E29" s="217" t="s">
        <v>283</v>
      </c>
      <c r="F29" s="217" t="s">
        <v>1506</v>
      </c>
      <c r="G29" s="218">
        <v>40529</v>
      </c>
      <c r="H29" s="217" t="s">
        <v>830</v>
      </c>
      <c r="I29" s="217" t="s">
        <v>1507</v>
      </c>
      <c r="J29" s="217" t="s">
        <v>1508</v>
      </c>
      <c r="K29" s="217" t="s">
        <v>91</v>
      </c>
      <c r="L29" s="220">
        <v>396208069</v>
      </c>
      <c r="M29" s="206">
        <v>199203706</v>
      </c>
      <c r="N29" s="206">
        <v>197004363</v>
      </c>
      <c r="O29" s="206">
        <v>535783306</v>
      </c>
      <c r="P29" s="206">
        <v>19544619</v>
      </c>
      <c r="Q29" s="206">
        <v>19862607</v>
      </c>
      <c r="R29" s="206">
        <v>15916624</v>
      </c>
      <c r="S29" s="405">
        <v>0</v>
      </c>
      <c r="T29" s="405">
        <v>0</v>
      </c>
      <c r="U29" s="406">
        <v>0</v>
      </c>
      <c r="V29" s="406">
        <v>0</v>
      </c>
      <c r="W29" s="407">
        <f t="shared" si="32"/>
        <v>0</v>
      </c>
      <c r="X29" s="407">
        <f t="shared" si="33"/>
        <v>100</v>
      </c>
      <c r="Y29" s="408">
        <f t="shared" si="34"/>
        <v>3</v>
      </c>
      <c r="Z29" s="444" t="s">
        <v>3271</v>
      </c>
      <c r="AA29" s="442">
        <v>0</v>
      </c>
      <c r="AB29" s="406">
        <v>0</v>
      </c>
      <c r="AC29" s="406">
        <v>0</v>
      </c>
      <c r="AD29" s="407">
        <f t="shared" si="35"/>
        <v>0</v>
      </c>
      <c r="AE29" s="364" t="str">
        <f t="shared" si="36"/>
        <v>50</v>
      </c>
      <c r="AF29" s="349">
        <f t="shared" si="37"/>
        <v>0.25</v>
      </c>
      <c r="AG29" s="154">
        <v>7980</v>
      </c>
      <c r="AH29" s="421"/>
      <c r="AI29" s="409">
        <f t="shared" si="13"/>
        <v>0</v>
      </c>
      <c r="AJ29" s="409">
        <f t="shared" si="14"/>
        <v>25</v>
      </c>
      <c r="AK29" s="408">
        <f t="shared" si="38"/>
        <v>0.25</v>
      </c>
      <c r="AL29" s="423"/>
      <c r="AM29" s="424">
        <v>0</v>
      </c>
      <c r="AN29" s="365">
        <f t="shared" si="16"/>
        <v>25</v>
      </c>
      <c r="AO29" s="320">
        <f t="shared" si="39"/>
        <v>0.25</v>
      </c>
      <c r="AP29" s="277">
        <f>_xlfn.XLOOKUP(C29, '1.건전성'!C:C, '1.건전성'!BE:BE)</f>
        <v>255347461</v>
      </c>
      <c r="AQ29" s="277">
        <f>_xlfn.XLOOKUP(C29, '1.건전성'!C:C, '1.건전성'!BF:BF)</f>
        <v>20271510</v>
      </c>
      <c r="AR29" s="410">
        <f t="shared" si="17"/>
        <v>275618971</v>
      </c>
      <c r="AS29" s="366">
        <f t="shared" si="8"/>
        <v>51.442246877322454</v>
      </c>
      <c r="AT29" s="366">
        <f t="shared" si="18"/>
        <v>63.398678550745572</v>
      </c>
      <c r="AU29" s="321">
        <f t="shared" si="19"/>
        <v>0.63398678550745569</v>
      </c>
      <c r="AV29" s="15">
        <v>8750908</v>
      </c>
      <c r="AW29" s="361">
        <f t="shared" si="9"/>
        <v>1.6332923967586253</v>
      </c>
      <c r="AX29" s="361">
        <f t="shared" si="20"/>
        <v>36.615851490595645</v>
      </c>
      <c r="AY29" s="321">
        <f t="shared" si="40"/>
        <v>0.18307925745297823</v>
      </c>
      <c r="AZ29" s="411">
        <v>5.1100000000000003</v>
      </c>
      <c r="BA29" s="412">
        <f t="shared" si="21"/>
        <v>40</v>
      </c>
      <c r="BB29" s="408">
        <f t="shared" si="41"/>
        <v>0.2</v>
      </c>
      <c r="BC29" s="204">
        <v>1</v>
      </c>
      <c r="BD29" s="407">
        <f t="shared" si="22"/>
        <v>100</v>
      </c>
      <c r="BE29" s="408">
        <f t="shared" si="42"/>
        <v>0.5</v>
      </c>
      <c r="BF29" s="204">
        <v>0</v>
      </c>
      <c r="BG29" s="204">
        <v>0</v>
      </c>
      <c r="BH29" s="204">
        <v>0</v>
      </c>
      <c r="BI29" s="272" t="str">
        <f t="shared" si="23"/>
        <v>A</v>
      </c>
      <c r="BJ29" s="247">
        <f t="shared" si="24"/>
        <v>100</v>
      </c>
      <c r="BK29" s="90">
        <f t="shared" si="25"/>
        <v>3</v>
      </c>
      <c r="BL29" s="406">
        <v>891</v>
      </c>
      <c r="BM29" s="413">
        <f t="shared" si="26"/>
        <v>11.165413533834586</v>
      </c>
      <c r="BN29" s="414">
        <f t="shared" si="27"/>
        <v>20</v>
      </c>
      <c r="BO29" s="415">
        <f t="shared" si="28"/>
        <v>0.6</v>
      </c>
      <c r="BP29" s="416">
        <v>0.02</v>
      </c>
      <c r="BQ29" s="417">
        <f t="shared" si="29"/>
        <v>66.666666666666671</v>
      </c>
      <c r="BR29" s="415">
        <f t="shared" si="30"/>
        <v>0.66666666666666674</v>
      </c>
      <c r="BS29" s="350">
        <f t="shared" si="31"/>
        <v>9.533732709627099</v>
      </c>
    </row>
    <row r="30" spans="1:71" x14ac:dyDescent="0.6">
      <c r="A30" s="214" t="s">
        <v>709</v>
      </c>
      <c r="B30" s="13" t="s">
        <v>2007</v>
      </c>
      <c r="C30" s="219" t="s">
        <v>513</v>
      </c>
      <c r="D30" s="216" t="s">
        <v>191</v>
      </c>
      <c r="E30" s="217" t="s">
        <v>190</v>
      </c>
      <c r="F30" s="217" t="s">
        <v>618</v>
      </c>
      <c r="G30" s="218">
        <v>39052</v>
      </c>
      <c r="H30" s="217" t="s">
        <v>830</v>
      </c>
      <c r="I30" s="217" t="s">
        <v>970</v>
      </c>
      <c r="J30" s="217" t="s">
        <v>1047</v>
      </c>
      <c r="K30" s="217" t="s">
        <v>91</v>
      </c>
      <c r="L30" s="220">
        <v>1973686923</v>
      </c>
      <c r="M30" s="206">
        <v>455919080</v>
      </c>
      <c r="N30" s="206">
        <v>1517767844</v>
      </c>
      <c r="O30" s="206">
        <v>1271908968</v>
      </c>
      <c r="P30" s="206">
        <v>75779686</v>
      </c>
      <c r="Q30" s="206">
        <v>170929776</v>
      </c>
      <c r="R30" s="206">
        <v>155782948</v>
      </c>
      <c r="S30" s="405">
        <v>0</v>
      </c>
      <c r="T30" s="405">
        <v>0</v>
      </c>
      <c r="U30" s="406">
        <v>0</v>
      </c>
      <c r="V30" s="406">
        <v>0</v>
      </c>
      <c r="W30" s="407">
        <f t="shared" si="32"/>
        <v>0</v>
      </c>
      <c r="X30" s="407">
        <f t="shared" si="33"/>
        <v>100</v>
      </c>
      <c r="Y30" s="408">
        <f t="shared" si="34"/>
        <v>3</v>
      </c>
      <c r="Z30" s="444" t="s">
        <v>3272</v>
      </c>
      <c r="AA30" s="442">
        <v>0</v>
      </c>
      <c r="AB30" s="406">
        <v>0</v>
      </c>
      <c r="AC30" s="406">
        <v>0</v>
      </c>
      <c r="AD30" s="407">
        <f t="shared" si="35"/>
        <v>0</v>
      </c>
      <c r="AE30" s="364" t="str">
        <f t="shared" si="36"/>
        <v>50</v>
      </c>
      <c r="AF30" s="349">
        <f t="shared" si="37"/>
        <v>0.25</v>
      </c>
      <c r="AG30" s="154">
        <v>1225</v>
      </c>
      <c r="AH30" s="421"/>
      <c r="AI30" s="409">
        <f t="shared" si="13"/>
        <v>0</v>
      </c>
      <c r="AJ30" s="409">
        <f t="shared" si="14"/>
        <v>25</v>
      </c>
      <c r="AK30" s="408">
        <f t="shared" si="38"/>
        <v>0.25</v>
      </c>
      <c r="AL30" s="423"/>
      <c r="AM30" s="424">
        <v>0</v>
      </c>
      <c r="AN30" s="365">
        <f t="shared" si="16"/>
        <v>25</v>
      </c>
      <c r="AO30" s="320">
        <f t="shared" si="39"/>
        <v>0.25</v>
      </c>
      <c r="AP30" s="277">
        <f>_xlfn.XLOOKUP(C30, '1.건전성'!C:C, '1.건전성'!BE:BE)</f>
        <v>83467000</v>
      </c>
      <c r="AQ30" s="277">
        <f>_xlfn.XLOOKUP(C30, '1.건전성'!C:C, '1.건전성'!BF:BF)</f>
        <v>8849000</v>
      </c>
      <c r="AR30" s="410">
        <f t="shared" si="17"/>
        <v>92316000</v>
      </c>
      <c r="AS30" s="366">
        <f t="shared" si="8"/>
        <v>7.2580666008795687</v>
      </c>
      <c r="AT30" s="366">
        <f t="shared" si="18"/>
        <v>30.094020050914249</v>
      </c>
      <c r="AU30" s="321">
        <f t="shared" si="19"/>
        <v>0.3009402005091425</v>
      </c>
      <c r="AV30" s="15">
        <v>17735000</v>
      </c>
      <c r="AW30" s="361">
        <f t="shared" si="9"/>
        <v>1.3943607951665926</v>
      </c>
      <c r="AX30" s="361">
        <f t="shared" si="20"/>
        <v>34.805763599746911</v>
      </c>
      <c r="AY30" s="321">
        <f t="shared" si="40"/>
        <v>0.17402881799873457</v>
      </c>
      <c r="AZ30" s="411">
        <v>4.3</v>
      </c>
      <c r="BA30" s="412">
        <f t="shared" si="21"/>
        <v>40</v>
      </c>
      <c r="BB30" s="408">
        <f t="shared" si="41"/>
        <v>0.2</v>
      </c>
      <c r="BC30" s="204">
        <v>1</v>
      </c>
      <c r="BD30" s="407">
        <f t="shared" si="22"/>
        <v>100</v>
      </c>
      <c r="BE30" s="408">
        <f t="shared" si="42"/>
        <v>0.5</v>
      </c>
      <c r="BF30" s="204">
        <v>0</v>
      </c>
      <c r="BG30" s="204">
        <v>0</v>
      </c>
      <c r="BH30" s="204">
        <v>0</v>
      </c>
      <c r="BI30" s="272" t="str">
        <f t="shared" si="23"/>
        <v>A</v>
      </c>
      <c r="BJ30" s="247">
        <f t="shared" si="24"/>
        <v>100</v>
      </c>
      <c r="BK30" s="90">
        <f t="shared" si="25"/>
        <v>3</v>
      </c>
      <c r="BL30" s="406">
        <v>168</v>
      </c>
      <c r="BM30" s="413">
        <f t="shared" si="26"/>
        <v>13.714285714285715</v>
      </c>
      <c r="BN30" s="414">
        <f t="shared" si="27"/>
        <v>20</v>
      </c>
      <c r="BO30" s="415">
        <f t="shared" si="28"/>
        <v>0.6</v>
      </c>
      <c r="BP30" s="416">
        <v>0</v>
      </c>
      <c r="BQ30" s="417">
        <f t="shared" si="29"/>
        <v>33.333333333333336</v>
      </c>
      <c r="BR30" s="415">
        <f t="shared" si="30"/>
        <v>0.33333333333333337</v>
      </c>
      <c r="BS30" s="350">
        <f t="shared" si="31"/>
        <v>8.8583023518412105</v>
      </c>
    </row>
    <row r="31" spans="1:71" x14ac:dyDescent="0.6">
      <c r="A31" s="214" t="s">
        <v>1509</v>
      </c>
      <c r="B31" s="13" t="s">
        <v>2008</v>
      </c>
      <c r="C31" s="219" t="s">
        <v>1510</v>
      </c>
      <c r="D31" s="14" t="s">
        <v>191</v>
      </c>
      <c r="E31" s="217" t="s">
        <v>188</v>
      </c>
      <c r="F31" s="217" t="s">
        <v>1511</v>
      </c>
      <c r="G31" s="218">
        <v>37006</v>
      </c>
      <c r="H31" s="217" t="s">
        <v>830</v>
      </c>
      <c r="I31" s="217" t="s">
        <v>1512</v>
      </c>
      <c r="J31" s="217" t="s">
        <v>1513</v>
      </c>
      <c r="K31" s="217" t="s">
        <v>91</v>
      </c>
      <c r="L31" s="220">
        <v>4707323720</v>
      </c>
      <c r="M31" s="206">
        <v>579230693</v>
      </c>
      <c r="N31" s="206">
        <v>4128093027</v>
      </c>
      <c r="O31" s="206">
        <v>3783321412</v>
      </c>
      <c r="P31" s="206">
        <v>428276866</v>
      </c>
      <c r="Q31" s="206">
        <v>165920076</v>
      </c>
      <c r="R31" s="206">
        <v>76950845</v>
      </c>
      <c r="S31" s="405">
        <v>0</v>
      </c>
      <c r="T31" s="405">
        <v>0</v>
      </c>
      <c r="U31" s="406">
        <v>0</v>
      </c>
      <c r="V31" s="406">
        <v>0</v>
      </c>
      <c r="W31" s="407">
        <f t="shared" si="32"/>
        <v>0</v>
      </c>
      <c r="X31" s="407">
        <f t="shared" si="33"/>
        <v>100</v>
      </c>
      <c r="Y31" s="408">
        <f t="shared" si="34"/>
        <v>3</v>
      </c>
      <c r="Z31" s="444" t="s">
        <v>3273</v>
      </c>
      <c r="AA31" s="442">
        <v>1</v>
      </c>
      <c r="AB31" s="406">
        <v>0</v>
      </c>
      <c r="AC31" s="406">
        <v>0</v>
      </c>
      <c r="AD31" s="407">
        <f t="shared" si="35"/>
        <v>1</v>
      </c>
      <c r="AE31" s="364" t="str">
        <f t="shared" si="36"/>
        <v>100</v>
      </c>
      <c r="AF31" s="349">
        <f t="shared" si="37"/>
        <v>0.5</v>
      </c>
      <c r="AG31" s="154">
        <v>4469</v>
      </c>
      <c r="AH31" s="421"/>
      <c r="AI31" s="409">
        <f t="shared" si="13"/>
        <v>0</v>
      </c>
      <c r="AJ31" s="409">
        <f t="shared" si="14"/>
        <v>25</v>
      </c>
      <c r="AK31" s="408">
        <f t="shared" si="38"/>
        <v>0.25</v>
      </c>
      <c r="AL31" s="423"/>
      <c r="AM31" s="424">
        <v>0</v>
      </c>
      <c r="AN31" s="365">
        <f t="shared" si="16"/>
        <v>25</v>
      </c>
      <c r="AO31" s="320">
        <f t="shared" si="39"/>
        <v>0.25</v>
      </c>
      <c r="AP31" s="277">
        <f>_xlfn.XLOOKUP(C31, '1.건전성'!C:C, '1.건전성'!BE:BE)</f>
        <v>247963000</v>
      </c>
      <c r="AQ31" s="277">
        <f>_xlfn.XLOOKUP(C31, '1.건전성'!C:C, '1.건전성'!BF:BF)</f>
        <v>22285000</v>
      </c>
      <c r="AR31" s="410">
        <f t="shared" si="17"/>
        <v>270248000</v>
      </c>
      <c r="AS31" s="366">
        <f t="shared" si="8"/>
        <v>7.143141450864392</v>
      </c>
      <c r="AT31" s="366">
        <f t="shared" si="18"/>
        <v>30.00739305341537</v>
      </c>
      <c r="AU31" s="321">
        <f t="shared" si="19"/>
        <v>0.30007393053415371</v>
      </c>
      <c r="AV31" s="15">
        <v>47277000</v>
      </c>
      <c r="AW31" s="361">
        <f t="shared" si="9"/>
        <v>1.2496162723591511</v>
      </c>
      <c r="AX31" s="361">
        <f t="shared" si="20"/>
        <v>33.709214184539022</v>
      </c>
      <c r="AY31" s="321">
        <f t="shared" si="40"/>
        <v>0.16854607092269511</v>
      </c>
      <c r="AZ31" s="411">
        <v>13.5</v>
      </c>
      <c r="BA31" s="412">
        <f t="shared" si="21"/>
        <v>100</v>
      </c>
      <c r="BB31" s="408">
        <f t="shared" si="41"/>
        <v>0.5</v>
      </c>
      <c r="BC31" s="204">
        <v>1</v>
      </c>
      <c r="BD31" s="407">
        <f t="shared" si="22"/>
        <v>100</v>
      </c>
      <c r="BE31" s="408">
        <f t="shared" si="42"/>
        <v>0.5</v>
      </c>
      <c r="BF31" s="204">
        <v>1</v>
      </c>
      <c r="BG31" s="204">
        <v>1</v>
      </c>
      <c r="BH31" s="204">
        <v>1</v>
      </c>
      <c r="BI31" s="272" t="str">
        <f t="shared" si="23"/>
        <v>D</v>
      </c>
      <c r="BJ31" s="247">
        <f t="shared" si="24"/>
        <v>25</v>
      </c>
      <c r="BK31" s="90">
        <f t="shared" si="25"/>
        <v>0.75</v>
      </c>
      <c r="BL31" s="406">
        <v>43</v>
      </c>
      <c r="BM31" s="413">
        <f t="shared" si="26"/>
        <v>0.96218393376594313</v>
      </c>
      <c r="BN31" s="414">
        <f t="shared" si="27"/>
        <v>80</v>
      </c>
      <c r="BO31" s="415">
        <f t="shared" si="28"/>
        <v>2.4</v>
      </c>
      <c r="BP31" s="416">
        <v>0</v>
      </c>
      <c r="BQ31" s="417">
        <f t="shared" si="29"/>
        <v>33.333333333333336</v>
      </c>
      <c r="BR31" s="415">
        <f t="shared" si="30"/>
        <v>0.33333333333333337</v>
      </c>
      <c r="BS31" s="350">
        <f t="shared" si="31"/>
        <v>8.9519533347901827</v>
      </c>
    </row>
    <row r="32" spans="1:71" x14ac:dyDescent="0.6">
      <c r="A32" s="214" t="s">
        <v>67</v>
      </c>
      <c r="B32" s="13" t="s">
        <v>2009</v>
      </c>
      <c r="C32" s="219" t="s">
        <v>471</v>
      </c>
      <c r="D32" s="216" t="s">
        <v>285</v>
      </c>
      <c r="E32" s="217" t="s">
        <v>56</v>
      </c>
      <c r="F32" s="217" t="s">
        <v>148</v>
      </c>
      <c r="G32" s="218">
        <v>39559</v>
      </c>
      <c r="H32" s="217" t="s">
        <v>830</v>
      </c>
      <c r="I32" s="217" t="s">
        <v>806</v>
      </c>
      <c r="J32" s="217" t="s">
        <v>1042</v>
      </c>
      <c r="K32" s="217" t="s">
        <v>91</v>
      </c>
      <c r="L32" s="220">
        <v>18621116000</v>
      </c>
      <c r="M32" s="206">
        <v>10475153000</v>
      </c>
      <c r="N32" s="206">
        <v>8145963000</v>
      </c>
      <c r="O32" s="206">
        <v>12781569000</v>
      </c>
      <c r="P32" s="206">
        <v>1049830000</v>
      </c>
      <c r="Q32" s="206">
        <v>859263000</v>
      </c>
      <c r="R32" s="206">
        <v>661692000</v>
      </c>
      <c r="S32" s="405">
        <v>0</v>
      </c>
      <c r="T32" s="405">
        <v>0</v>
      </c>
      <c r="U32" s="406">
        <v>0</v>
      </c>
      <c r="V32" s="406">
        <v>0</v>
      </c>
      <c r="W32" s="407">
        <f t="shared" si="32"/>
        <v>0</v>
      </c>
      <c r="X32" s="407">
        <f t="shared" si="33"/>
        <v>100</v>
      </c>
      <c r="Y32" s="408">
        <f t="shared" si="34"/>
        <v>3</v>
      </c>
      <c r="Z32" s="444" t="s">
        <v>3274</v>
      </c>
      <c r="AA32" s="442">
        <v>0</v>
      </c>
      <c r="AB32" s="406">
        <v>0</v>
      </c>
      <c r="AC32" s="406">
        <v>0</v>
      </c>
      <c r="AD32" s="407">
        <f t="shared" si="35"/>
        <v>0</v>
      </c>
      <c r="AE32" s="364" t="str">
        <f t="shared" si="36"/>
        <v>50</v>
      </c>
      <c r="AF32" s="349">
        <f t="shared" si="37"/>
        <v>0.25</v>
      </c>
      <c r="AG32" s="154">
        <v>10433</v>
      </c>
      <c r="AH32" s="421"/>
      <c r="AI32" s="409">
        <f t="shared" si="13"/>
        <v>0</v>
      </c>
      <c r="AJ32" s="409">
        <f t="shared" si="14"/>
        <v>25</v>
      </c>
      <c r="AK32" s="408">
        <f t="shared" si="38"/>
        <v>0.25</v>
      </c>
      <c r="AL32" s="423"/>
      <c r="AM32" s="424">
        <v>0</v>
      </c>
      <c r="AN32" s="365">
        <f t="shared" si="16"/>
        <v>25</v>
      </c>
      <c r="AO32" s="320">
        <f t="shared" si="39"/>
        <v>0.25</v>
      </c>
      <c r="AP32" s="277">
        <f>_xlfn.XLOOKUP(C32, '1.건전성'!C:C, '1.건전성'!BE:BE)</f>
        <v>38420000</v>
      </c>
      <c r="AQ32" s="277">
        <f>_xlfn.XLOOKUP(C32, '1.건전성'!C:C, '1.건전성'!BF:BF)</f>
        <v>4751000</v>
      </c>
      <c r="AR32" s="410">
        <f t="shared" si="17"/>
        <v>43171000</v>
      </c>
      <c r="AS32" s="366">
        <f t="shared" si="8"/>
        <v>0.33775978520320943</v>
      </c>
      <c r="AT32" s="366">
        <f t="shared" si="18"/>
        <v>25</v>
      </c>
      <c r="AU32" s="321">
        <f t="shared" si="19"/>
        <v>0.25</v>
      </c>
      <c r="AV32" s="15">
        <v>196368000</v>
      </c>
      <c r="AW32" s="361">
        <f t="shared" si="9"/>
        <v>1.5363372055496474</v>
      </c>
      <c r="AX32" s="361">
        <f t="shared" si="20"/>
        <v>35.881342466285204</v>
      </c>
      <c r="AY32" s="321">
        <f t="shared" si="40"/>
        <v>0.17940671233142602</v>
      </c>
      <c r="AZ32" s="411">
        <v>9.3000000000000007</v>
      </c>
      <c r="BA32" s="412">
        <f t="shared" si="21"/>
        <v>80</v>
      </c>
      <c r="BB32" s="408">
        <f t="shared" si="41"/>
        <v>0.4</v>
      </c>
      <c r="BC32" s="204">
        <v>1</v>
      </c>
      <c r="BD32" s="407">
        <f t="shared" si="22"/>
        <v>100</v>
      </c>
      <c r="BE32" s="408">
        <f t="shared" si="42"/>
        <v>0.5</v>
      </c>
      <c r="BF32" s="204">
        <v>0</v>
      </c>
      <c r="BG32" s="204">
        <v>1</v>
      </c>
      <c r="BH32" s="204">
        <v>0</v>
      </c>
      <c r="BI32" s="272" t="str">
        <f t="shared" si="23"/>
        <v>C</v>
      </c>
      <c r="BJ32" s="247">
        <f t="shared" si="24"/>
        <v>50</v>
      </c>
      <c r="BK32" s="90">
        <f t="shared" si="25"/>
        <v>1.5</v>
      </c>
      <c r="BL32" s="406">
        <v>170</v>
      </c>
      <c r="BM32" s="413">
        <f t="shared" si="26"/>
        <v>1.629445030192658</v>
      </c>
      <c r="BN32" s="414">
        <f t="shared" si="27"/>
        <v>60</v>
      </c>
      <c r="BO32" s="415">
        <f t="shared" si="28"/>
        <v>1.7999999999999998</v>
      </c>
      <c r="BP32" s="416">
        <v>0</v>
      </c>
      <c r="BQ32" s="417">
        <f t="shared" si="29"/>
        <v>33.333333333333336</v>
      </c>
      <c r="BR32" s="415">
        <f t="shared" si="30"/>
        <v>0.33333333333333337</v>
      </c>
      <c r="BS32" s="350">
        <f t="shared" si="31"/>
        <v>8.712740045664761</v>
      </c>
    </row>
    <row r="33" spans="1:71" x14ac:dyDescent="0.6">
      <c r="A33" s="214" t="s">
        <v>850</v>
      </c>
      <c r="B33" s="13" t="s">
        <v>2010</v>
      </c>
      <c r="C33" s="219" t="s">
        <v>498</v>
      </c>
      <c r="D33" s="216" t="s">
        <v>202</v>
      </c>
      <c r="E33" s="217" t="s">
        <v>205</v>
      </c>
      <c r="F33" s="217" t="s">
        <v>183</v>
      </c>
      <c r="G33" s="218">
        <v>39653</v>
      </c>
      <c r="H33" s="217" t="s">
        <v>830</v>
      </c>
      <c r="I33" s="217" t="s">
        <v>737</v>
      </c>
      <c r="J33" s="217" t="s">
        <v>1229</v>
      </c>
      <c r="K33" s="217" t="s">
        <v>91</v>
      </c>
      <c r="L33" s="220">
        <v>8668015355</v>
      </c>
      <c r="M33" s="206">
        <v>5103993834</v>
      </c>
      <c r="N33" s="206">
        <v>3564021521</v>
      </c>
      <c r="O33" s="206">
        <v>19092897004</v>
      </c>
      <c r="P33" s="206">
        <v>1016233433</v>
      </c>
      <c r="Q33" s="206">
        <v>955882532</v>
      </c>
      <c r="R33" s="206">
        <v>720393793</v>
      </c>
      <c r="S33" s="405">
        <v>0</v>
      </c>
      <c r="T33" s="405">
        <v>0</v>
      </c>
      <c r="U33" s="406">
        <v>0</v>
      </c>
      <c r="V33" s="406">
        <v>0</v>
      </c>
      <c r="W33" s="407">
        <f t="shared" si="32"/>
        <v>0</v>
      </c>
      <c r="X33" s="407">
        <f t="shared" si="33"/>
        <v>100</v>
      </c>
      <c r="Y33" s="408">
        <f t="shared" si="34"/>
        <v>3</v>
      </c>
      <c r="Z33" s="444" t="s">
        <v>3275</v>
      </c>
      <c r="AA33" s="442">
        <v>0</v>
      </c>
      <c r="AB33" s="406">
        <v>1</v>
      </c>
      <c r="AC33" s="406">
        <v>1</v>
      </c>
      <c r="AD33" s="407">
        <f t="shared" si="35"/>
        <v>2</v>
      </c>
      <c r="AE33" s="364" t="str">
        <f t="shared" si="36"/>
        <v>100</v>
      </c>
      <c r="AF33" s="349">
        <f t="shared" si="37"/>
        <v>0.5</v>
      </c>
      <c r="AG33" s="154">
        <v>14907</v>
      </c>
      <c r="AH33" s="421"/>
      <c r="AI33" s="409">
        <f t="shared" si="13"/>
        <v>0</v>
      </c>
      <c r="AJ33" s="409">
        <f t="shared" si="14"/>
        <v>25</v>
      </c>
      <c r="AK33" s="408">
        <f t="shared" si="38"/>
        <v>0.25</v>
      </c>
      <c r="AL33" s="423"/>
      <c r="AM33" s="424">
        <v>0</v>
      </c>
      <c r="AN33" s="365">
        <f t="shared" si="16"/>
        <v>25</v>
      </c>
      <c r="AO33" s="320">
        <f t="shared" si="39"/>
        <v>0.25</v>
      </c>
      <c r="AP33" s="277">
        <f>_xlfn.XLOOKUP(C33, '1.건전성'!C:C, '1.건전성'!BE:BE)</f>
        <v>317359000</v>
      </c>
      <c r="AQ33" s="277">
        <f>_xlfn.XLOOKUP(C33, '1.건전성'!C:C, '1.건전성'!BF:BF)</f>
        <v>23138000</v>
      </c>
      <c r="AR33" s="410">
        <f t="shared" si="17"/>
        <v>340497000</v>
      </c>
      <c r="AS33" s="366">
        <f t="shared" si="8"/>
        <v>1.7833700141401547</v>
      </c>
      <c r="AT33" s="366">
        <f t="shared" si="18"/>
        <v>25.967364332266449</v>
      </c>
      <c r="AU33" s="321">
        <f t="shared" si="19"/>
        <v>0.25967364332266452</v>
      </c>
      <c r="AV33" s="15">
        <v>59548000</v>
      </c>
      <c r="AW33" s="361">
        <f t="shared" si="9"/>
        <v>0.31188561896879541</v>
      </c>
      <c r="AX33" s="361">
        <f t="shared" si="20"/>
        <v>26.605194083096936</v>
      </c>
      <c r="AY33" s="321">
        <f t="shared" si="40"/>
        <v>0.1330259704154847</v>
      </c>
      <c r="AZ33" s="411">
        <v>5.8</v>
      </c>
      <c r="BA33" s="412">
        <f t="shared" si="21"/>
        <v>40</v>
      </c>
      <c r="BB33" s="408">
        <f t="shared" si="41"/>
        <v>0.2</v>
      </c>
      <c r="BC33" s="204">
        <v>0</v>
      </c>
      <c r="BD33" s="407">
        <f t="shared" si="22"/>
        <v>50</v>
      </c>
      <c r="BE33" s="408">
        <f t="shared" si="42"/>
        <v>0.25</v>
      </c>
      <c r="BF33" s="204">
        <v>0</v>
      </c>
      <c r="BG33" s="204">
        <v>1</v>
      </c>
      <c r="BH33" s="204">
        <v>0</v>
      </c>
      <c r="BI33" s="272" t="str">
        <f t="shared" si="23"/>
        <v>C</v>
      </c>
      <c r="BJ33" s="247">
        <f t="shared" si="24"/>
        <v>50</v>
      </c>
      <c r="BK33" s="90">
        <f t="shared" si="25"/>
        <v>1.5</v>
      </c>
      <c r="BL33" s="406">
        <v>4751</v>
      </c>
      <c r="BM33" s="413">
        <f t="shared" si="26"/>
        <v>31.870933118669083</v>
      </c>
      <c r="BN33" s="414">
        <f t="shared" si="27"/>
        <v>20</v>
      </c>
      <c r="BO33" s="415">
        <f t="shared" si="28"/>
        <v>0.6</v>
      </c>
      <c r="BP33" s="416">
        <v>0</v>
      </c>
      <c r="BQ33" s="417">
        <f t="shared" si="29"/>
        <v>33.333333333333336</v>
      </c>
      <c r="BR33" s="415">
        <f t="shared" si="30"/>
        <v>0.33333333333333337</v>
      </c>
      <c r="BS33" s="350">
        <f t="shared" si="31"/>
        <v>7.2760329470714824</v>
      </c>
    </row>
    <row r="34" spans="1:71" x14ac:dyDescent="0.6">
      <c r="A34" s="214" t="s">
        <v>947</v>
      </c>
      <c r="B34" s="13" t="s">
        <v>2011</v>
      </c>
      <c r="C34" s="219" t="s">
        <v>895</v>
      </c>
      <c r="D34" s="216" t="s">
        <v>202</v>
      </c>
      <c r="E34" s="217" t="s">
        <v>606</v>
      </c>
      <c r="F34" s="217" t="s">
        <v>207</v>
      </c>
      <c r="G34" s="218">
        <v>42279</v>
      </c>
      <c r="H34" s="217" t="s">
        <v>830</v>
      </c>
      <c r="I34" s="217" t="s">
        <v>687</v>
      </c>
      <c r="J34" s="217" t="s">
        <v>1046</v>
      </c>
      <c r="K34" s="217" t="s">
        <v>690</v>
      </c>
      <c r="L34" s="220">
        <v>3007428048</v>
      </c>
      <c r="M34" s="206">
        <v>2072248980</v>
      </c>
      <c r="N34" s="206">
        <v>935179068</v>
      </c>
      <c r="O34" s="206">
        <v>2216162119</v>
      </c>
      <c r="P34" s="206">
        <v>178794933</v>
      </c>
      <c r="Q34" s="206">
        <v>157788508</v>
      </c>
      <c r="R34" s="206">
        <v>122939587</v>
      </c>
      <c r="S34" s="405">
        <v>0</v>
      </c>
      <c r="T34" s="405">
        <v>0</v>
      </c>
      <c r="U34" s="406">
        <v>0</v>
      </c>
      <c r="V34" s="406">
        <v>0</v>
      </c>
      <c r="W34" s="407">
        <f t="shared" si="32"/>
        <v>0</v>
      </c>
      <c r="X34" s="407">
        <f t="shared" si="33"/>
        <v>100</v>
      </c>
      <c r="Y34" s="408">
        <f t="shared" si="34"/>
        <v>3</v>
      </c>
      <c r="Z34" s="444" t="s">
        <v>3276</v>
      </c>
      <c r="AA34" s="442">
        <v>1</v>
      </c>
      <c r="AB34" s="406">
        <v>0</v>
      </c>
      <c r="AC34" s="406">
        <v>0</v>
      </c>
      <c r="AD34" s="407">
        <f t="shared" si="35"/>
        <v>1</v>
      </c>
      <c r="AE34" s="364" t="str">
        <f t="shared" si="36"/>
        <v>100</v>
      </c>
      <c r="AF34" s="349">
        <f t="shared" si="37"/>
        <v>0.5</v>
      </c>
      <c r="AG34" s="154">
        <v>3773</v>
      </c>
      <c r="AH34" s="421"/>
      <c r="AI34" s="409">
        <f t="shared" si="13"/>
        <v>0</v>
      </c>
      <c r="AJ34" s="409">
        <f t="shared" si="14"/>
        <v>25</v>
      </c>
      <c r="AK34" s="408">
        <f t="shared" si="38"/>
        <v>0.25</v>
      </c>
      <c r="AL34" s="423"/>
      <c r="AM34" s="424">
        <v>0</v>
      </c>
      <c r="AN34" s="365">
        <f t="shared" si="16"/>
        <v>25</v>
      </c>
      <c r="AO34" s="320">
        <f t="shared" si="39"/>
        <v>0.25</v>
      </c>
      <c r="AP34" s="277">
        <f>_xlfn.XLOOKUP(C34, '1.건전성'!C:C, '1.건전성'!BE:BE)</f>
        <v>49229911</v>
      </c>
      <c r="AQ34" s="277">
        <f>_xlfn.XLOOKUP(C34, '1.건전성'!C:C, '1.건전성'!BF:BF)</f>
        <v>4149778</v>
      </c>
      <c r="AR34" s="410">
        <f t="shared" si="17"/>
        <v>53379689</v>
      </c>
      <c r="AS34" s="366">
        <f t="shared" si="8"/>
        <v>2.4086545177519119</v>
      </c>
      <c r="AT34" s="366">
        <f t="shared" si="18"/>
        <v>26.438684309863248</v>
      </c>
      <c r="AU34" s="321">
        <f t="shared" si="19"/>
        <v>0.26438684309863247</v>
      </c>
      <c r="AV34" s="15">
        <v>13774182</v>
      </c>
      <c r="AW34" s="361">
        <f t="shared" si="9"/>
        <v>0.62153313974229163</v>
      </c>
      <c r="AX34" s="361">
        <f t="shared" si="20"/>
        <v>28.951008634411302</v>
      </c>
      <c r="AY34" s="321">
        <f t="shared" si="40"/>
        <v>0.14475504317205651</v>
      </c>
      <c r="AZ34" s="411">
        <v>12.87</v>
      </c>
      <c r="BA34" s="412">
        <f t="shared" si="21"/>
        <v>100</v>
      </c>
      <c r="BB34" s="408">
        <f t="shared" si="41"/>
        <v>0.5</v>
      </c>
      <c r="BC34" s="204">
        <v>1</v>
      </c>
      <c r="BD34" s="407">
        <f t="shared" si="22"/>
        <v>100</v>
      </c>
      <c r="BE34" s="408">
        <f t="shared" si="42"/>
        <v>0.5</v>
      </c>
      <c r="BF34" s="204">
        <v>0</v>
      </c>
      <c r="BG34" s="204">
        <v>1</v>
      </c>
      <c r="BH34" s="204">
        <v>0</v>
      </c>
      <c r="BI34" s="272" t="str">
        <f t="shared" si="23"/>
        <v>C</v>
      </c>
      <c r="BJ34" s="247">
        <f t="shared" si="24"/>
        <v>50</v>
      </c>
      <c r="BK34" s="90">
        <f t="shared" si="25"/>
        <v>1.5</v>
      </c>
      <c r="BL34" s="406">
        <v>114</v>
      </c>
      <c r="BM34" s="413">
        <f t="shared" si="26"/>
        <v>3.0214683275907763</v>
      </c>
      <c r="BN34" s="414">
        <f t="shared" si="27"/>
        <v>40</v>
      </c>
      <c r="BO34" s="415">
        <f t="shared" si="28"/>
        <v>1.2</v>
      </c>
      <c r="BP34" s="416">
        <v>0.72</v>
      </c>
      <c r="BQ34" s="417">
        <f t="shared" si="29"/>
        <v>66.666666666666671</v>
      </c>
      <c r="BR34" s="415">
        <f t="shared" si="30"/>
        <v>0.66666666666666674</v>
      </c>
      <c r="BS34" s="350">
        <f t="shared" si="31"/>
        <v>8.7758085529373542</v>
      </c>
    </row>
    <row r="35" spans="1:71" x14ac:dyDescent="0.6">
      <c r="A35" s="214" t="s">
        <v>1514</v>
      </c>
      <c r="B35" s="13" t="s">
        <v>2012</v>
      </c>
      <c r="C35" s="219" t="s">
        <v>436</v>
      </c>
      <c r="D35" s="216" t="s">
        <v>285</v>
      </c>
      <c r="E35" s="217" t="s">
        <v>444</v>
      </c>
      <c r="F35" s="217" t="s">
        <v>1158</v>
      </c>
      <c r="G35" s="218">
        <v>27789</v>
      </c>
      <c r="H35" s="217" t="s">
        <v>830</v>
      </c>
      <c r="I35" s="217" t="s">
        <v>720</v>
      </c>
      <c r="J35" s="217" t="s">
        <v>388</v>
      </c>
      <c r="K35" s="217" t="s">
        <v>91</v>
      </c>
      <c r="L35" s="220">
        <v>3782850589</v>
      </c>
      <c r="M35" s="206">
        <v>1473354089</v>
      </c>
      <c r="N35" s="206">
        <v>2309496500</v>
      </c>
      <c r="O35" s="206">
        <v>4108362284</v>
      </c>
      <c r="P35" s="206">
        <v>101552809</v>
      </c>
      <c r="Q35" s="206">
        <v>640421674</v>
      </c>
      <c r="R35" s="206">
        <v>528557910</v>
      </c>
      <c r="S35" s="405">
        <v>0</v>
      </c>
      <c r="T35" s="405">
        <v>0</v>
      </c>
      <c r="U35" s="406">
        <v>0</v>
      </c>
      <c r="V35" s="406">
        <v>0</v>
      </c>
      <c r="W35" s="407">
        <f t="shared" si="32"/>
        <v>0</v>
      </c>
      <c r="X35" s="407">
        <f t="shared" si="33"/>
        <v>100</v>
      </c>
      <c r="Y35" s="408">
        <f t="shared" si="34"/>
        <v>3</v>
      </c>
      <c r="Z35" s="444" t="s">
        <v>3277</v>
      </c>
      <c r="AA35" s="442">
        <v>0</v>
      </c>
      <c r="AB35" s="406">
        <v>0</v>
      </c>
      <c r="AC35" s="406">
        <v>0</v>
      </c>
      <c r="AD35" s="407">
        <f t="shared" si="35"/>
        <v>0</v>
      </c>
      <c r="AE35" s="364" t="str">
        <f t="shared" si="36"/>
        <v>50</v>
      </c>
      <c r="AF35" s="349">
        <f t="shared" si="37"/>
        <v>0.25</v>
      </c>
      <c r="AG35" s="154">
        <v>384</v>
      </c>
      <c r="AH35" s="421"/>
      <c r="AI35" s="409">
        <f t="shared" si="13"/>
        <v>0</v>
      </c>
      <c r="AJ35" s="409">
        <f t="shared" si="14"/>
        <v>25</v>
      </c>
      <c r="AK35" s="408">
        <f t="shared" si="38"/>
        <v>0.25</v>
      </c>
      <c r="AL35" s="423"/>
      <c r="AM35" s="424">
        <v>0</v>
      </c>
      <c r="AN35" s="365">
        <f t="shared" si="16"/>
        <v>25</v>
      </c>
      <c r="AO35" s="320">
        <f t="shared" si="39"/>
        <v>0.25</v>
      </c>
      <c r="AP35" s="277">
        <f>_xlfn.XLOOKUP(C35, '1.건전성'!C:C, '1.건전성'!BE:BE)</f>
        <v>53400000</v>
      </c>
      <c r="AQ35" s="277">
        <f>_xlfn.XLOOKUP(C35, '1.건전성'!C:C, '1.건전성'!BF:BF)</f>
        <v>5172000</v>
      </c>
      <c r="AR35" s="410">
        <f t="shared" si="17"/>
        <v>58572000</v>
      </c>
      <c r="AS35" s="366">
        <f t="shared" si="8"/>
        <v>1.4256775802880972</v>
      </c>
      <c r="AT35" s="366">
        <f t="shared" si="18"/>
        <v>25.697746919815149</v>
      </c>
      <c r="AU35" s="321">
        <f t="shared" si="19"/>
        <v>0.25697746919815151</v>
      </c>
      <c r="AV35" s="15">
        <v>9805000</v>
      </c>
      <c r="AW35" s="361">
        <f t="shared" si="9"/>
        <v>0.23865957581651287</v>
      </c>
      <c r="AX35" s="361">
        <f t="shared" si="20"/>
        <v>26.050451331943279</v>
      </c>
      <c r="AY35" s="321">
        <f t="shared" si="40"/>
        <v>0.1302522566597164</v>
      </c>
      <c r="AZ35" s="411">
        <v>8.1</v>
      </c>
      <c r="BA35" s="412">
        <f t="shared" si="21"/>
        <v>80</v>
      </c>
      <c r="BB35" s="408">
        <f t="shared" si="41"/>
        <v>0.4</v>
      </c>
      <c r="BC35" s="204">
        <v>1</v>
      </c>
      <c r="BD35" s="407">
        <f t="shared" si="22"/>
        <v>100</v>
      </c>
      <c r="BE35" s="408">
        <f t="shared" si="42"/>
        <v>0.5</v>
      </c>
      <c r="BF35" s="204">
        <v>0</v>
      </c>
      <c r="BG35" s="204">
        <v>1</v>
      </c>
      <c r="BH35" s="204">
        <v>0</v>
      </c>
      <c r="BI35" s="272" t="str">
        <f t="shared" si="23"/>
        <v>C</v>
      </c>
      <c r="BJ35" s="247">
        <f t="shared" si="24"/>
        <v>50</v>
      </c>
      <c r="BK35" s="90">
        <f t="shared" si="25"/>
        <v>1.5</v>
      </c>
      <c r="BL35" s="406">
        <v>5</v>
      </c>
      <c r="BM35" s="413">
        <f t="shared" si="26"/>
        <v>1.3020833333333335</v>
      </c>
      <c r="BN35" s="414">
        <f t="shared" si="27"/>
        <v>60</v>
      </c>
      <c r="BO35" s="415">
        <f t="shared" si="28"/>
        <v>1.7999999999999998</v>
      </c>
      <c r="BP35" s="416">
        <v>0</v>
      </c>
      <c r="BQ35" s="417">
        <f t="shared" si="29"/>
        <v>33.333333333333336</v>
      </c>
      <c r="BR35" s="415">
        <f t="shared" si="30"/>
        <v>0.33333333333333337</v>
      </c>
      <c r="BS35" s="350">
        <f t="shared" si="31"/>
        <v>8.6705630591912008</v>
      </c>
    </row>
    <row r="36" spans="1:71" x14ac:dyDescent="0.6">
      <c r="A36" s="214" t="s">
        <v>458</v>
      </c>
      <c r="B36" s="13" t="s">
        <v>2013</v>
      </c>
      <c r="C36" s="219" t="s">
        <v>410</v>
      </c>
      <c r="D36" s="221" t="s">
        <v>350</v>
      </c>
      <c r="E36" s="217" t="s">
        <v>179</v>
      </c>
      <c r="F36" s="217" t="s">
        <v>186</v>
      </c>
      <c r="G36" s="218">
        <v>27667</v>
      </c>
      <c r="H36" s="217" t="s">
        <v>830</v>
      </c>
      <c r="I36" s="217" t="s">
        <v>723</v>
      </c>
      <c r="J36" s="217" t="s">
        <v>1005</v>
      </c>
      <c r="K36" s="217" t="s">
        <v>91</v>
      </c>
      <c r="L36" s="220">
        <v>50402862000</v>
      </c>
      <c r="M36" s="206">
        <v>43550273000</v>
      </c>
      <c r="N36" s="206">
        <v>6852589000</v>
      </c>
      <c r="O36" s="206">
        <v>10731117000</v>
      </c>
      <c r="P36" s="206">
        <v>550151000</v>
      </c>
      <c r="Q36" s="206">
        <v>480268000</v>
      </c>
      <c r="R36" s="206">
        <v>338500000</v>
      </c>
      <c r="S36" s="275" t="s">
        <v>2326</v>
      </c>
      <c r="T36" s="275" t="s">
        <v>2326</v>
      </c>
      <c r="U36" s="275" t="s">
        <v>2326</v>
      </c>
      <c r="V36" s="275" t="s">
        <v>2326</v>
      </c>
      <c r="W36" s="275" t="s">
        <v>2326</v>
      </c>
      <c r="X36" s="275" t="s">
        <v>2326</v>
      </c>
      <c r="Y36" s="276"/>
      <c r="Z36" s="275" t="s">
        <v>2326</v>
      </c>
      <c r="AA36" s="275" t="s">
        <v>2326</v>
      </c>
      <c r="AB36" s="275" t="s">
        <v>2326</v>
      </c>
      <c r="AC36" s="275" t="s">
        <v>2326</v>
      </c>
      <c r="AD36" s="275" t="s">
        <v>2326</v>
      </c>
      <c r="AE36" s="275" t="s">
        <v>2326</v>
      </c>
      <c r="AF36" s="275"/>
      <c r="AG36" s="154">
        <v>3128</v>
      </c>
      <c r="AH36" s="421"/>
      <c r="AI36" s="409">
        <f t="shared" si="13"/>
        <v>0</v>
      </c>
      <c r="AJ36" s="409">
        <f t="shared" si="14"/>
        <v>25</v>
      </c>
      <c r="AK36" s="418">
        <f>AJ36*0.02</f>
        <v>0.5</v>
      </c>
      <c r="AL36" s="423"/>
      <c r="AM36" s="424">
        <v>0</v>
      </c>
      <c r="AN36" s="365">
        <f t="shared" si="16"/>
        <v>25</v>
      </c>
      <c r="AO36" s="322">
        <f>AN36*0.02</f>
        <v>0.5</v>
      </c>
      <c r="AP36" s="277">
        <f>_xlfn.XLOOKUP(C36, '1.건전성'!C:C, '1.건전성'!BE:BE)</f>
        <v>316982000</v>
      </c>
      <c r="AQ36" s="277">
        <f>_xlfn.XLOOKUP(C36, '1.건전성'!C:C, '1.건전성'!BF:BF)</f>
        <v>52377000</v>
      </c>
      <c r="AR36" s="410">
        <f t="shared" si="17"/>
        <v>369359000</v>
      </c>
      <c r="AS36" s="366">
        <f t="shared" si="8"/>
        <v>3.4419436485502857</v>
      </c>
      <c r="AT36" s="366">
        <f t="shared" si="18"/>
        <v>27.217545463731373</v>
      </c>
      <c r="AU36" s="321">
        <f t="shared" si="19"/>
        <v>0.27217545463731374</v>
      </c>
      <c r="AV36" s="15">
        <v>114347000</v>
      </c>
      <c r="AW36" s="361">
        <f t="shared" si="9"/>
        <v>1.0655647496900835</v>
      </c>
      <c r="AX36" s="361">
        <f t="shared" si="20"/>
        <v>32.314884467349117</v>
      </c>
      <c r="AY36" s="348">
        <f>AX36*0.01</f>
        <v>0.3231488446734912</v>
      </c>
      <c r="AZ36" s="411">
        <v>13.2</v>
      </c>
      <c r="BA36" s="412">
        <f t="shared" si="21"/>
        <v>100</v>
      </c>
      <c r="BB36" s="418">
        <f>BA36*0.01</f>
        <v>1</v>
      </c>
      <c r="BC36" s="204">
        <v>1</v>
      </c>
      <c r="BD36" s="407">
        <f t="shared" si="22"/>
        <v>100</v>
      </c>
      <c r="BE36" s="418">
        <f>BD36*0.01</f>
        <v>1</v>
      </c>
      <c r="BF36" s="204">
        <v>0</v>
      </c>
      <c r="BG36" s="204">
        <v>1</v>
      </c>
      <c r="BH36" s="204">
        <v>0</v>
      </c>
      <c r="BI36" s="272" t="str">
        <f t="shared" si="23"/>
        <v>C</v>
      </c>
      <c r="BJ36" s="247">
        <f t="shared" si="24"/>
        <v>50</v>
      </c>
      <c r="BK36" s="90">
        <f t="shared" si="25"/>
        <v>1.5</v>
      </c>
      <c r="BL36" s="406">
        <v>925</v>
      </c>
      <c r="BM36" s="413">
        <f t="shared" si="26"/>
        <v>29.571611253196934</v>
      </c>
      <c r="BN36" s="414">
        <f t="shared" si="27"/>
        <v>20</v>
      </c>
      <c r="BO36" s="415">
        <f t="shared" si="28"/>
        <v>0.6</v>
      </c>
      <c r="BP36" s="416">
        <v>3.28</v>
      </c>
      <c r="BQ36" s="417">
        <f t="shared" si="29"/>
        <v>66.666666666666671</v>
      </c>
      <c r="BR36" s="415">
        <f t="shared" si="30"/>
        <v>0.66666666666666674</v>
      </c>
      <c r="BS36" s="350">
        <f t="shared" si="31"/>
        <v>6.3619909659774718</v>
      </c>
    </row>
    <row r="37" spans="1:71" x14ac:dyDescent="0.6">
      <c r="A37" s="214" t="s">
        <v>307</v>
      </c>
      <c r="B37" s="13" t="s">
        <v>2014</v>
      </c>
      <c r="C37" s="219" t="s">
        <v>68</v>
      </c>
      <c r="D37" s="216" t="s">
        <v>203</v>
      </c>
      <c r="E37" s="217" t="s">
        <v>195</v>
      </c>
      <c r="F37" s="217" t="s">
        <v>967</v>
      </c>
      <c r="G37" s="218">
        <v>27573</v>
      </c>
      <c r="H37" s="217" t="s">
        <v>830</v>
      </c>
      <c r="I37" s="217" t="s">
        <v>1515</v>
      </c>
      <c r="J37" s="217" t="s">
        <v>1085</v>
      </c>
      <c r="K37" s="217" t="s">
        <v>91</v>
      </c>
      <c r="L37" s="220">
        <v>397444643</v>
      </c>
      <c r="M37" s="206">
        <v>209249323</v>
      </c>
      <c r="N37" s="206">
        <v>188195320</v>
      </c>
      <c r="O37" s="206">
        <v>355390202</v>
      </c>
      <c r="P37" s="206">
        <v>67734933</v>
      </c>
      <c r="Q37" s="206">
        <v>63871175</v>
      </c>
      <c r="R37" s="206">
        <v>48789612</v>
      </c>
      <c r="S37" s="405">
        <v>0</v>
      </c>
      <c r="T37" s="405">
        <v>0</v>
      </c>
      <c r="U37" s="406">
        <v>0</v>
      </c>
      <c r="V37" s="406">
        <v>0</v>
      </c>
      <c r="W37" s="407">
        <f t="shared" ref="W37:W45" si="43">SUM(S37:V37)</f>
        <v>0</v>
      </c>
      <c r="X37" s="407">
        <f t="shared" ref="X37:X45" si="44">IF(W37=0, 100, IF(W37=1, 80, IF(W37=2, 60, IF(W37=3, 40, IF(W37=4, 20)))))</f>
        <v>100</v>
      </c>
      <c r="Y37" s="408">
        <f t="shared" ref="Y37:Y45" si="45">X37*0.03</f>
        <v>3</v>
      </c>
      <c r="Z37" s="444" t="s">
        <v>3278</v>
      </c>
      <c r="AA37" s="442">
        <v>0</v>
      </c>
      <c r="AB37" s="406">
        <v>0</v>
      </c>
      <c r="AC37" s="406">
        <v>0</v>
      </c>
      <c r="AD37" s="407">
        <f t="shared" ref="AD37:AD45" si="46">SUM(AA37:AC37)</f>
        <v>0</v>
      </c>
      <c r="AE37" s="364" t="str">
        <f t="shared" ref="AE37:AE45" si="47">IF(AD37&gt;=1,"100","50")</f>
        <v>50</v>
      </c>
      <c r="AF37" s="349">
        <f t="shared" ref="AF37:AF45" si="48">AE37*0.005</f>
        <v>0.25</v>
      </c>
      <c r="AG37" s="154">
        <v>226</v>
      </c>
      <c r="AH37" s="154">
        <v>2513</v>
      </c>
      <c r="AI37" s="409">
        <f t="shared" si="13"/>
        <v>11.119469026548673</v>
      </c>
      <c r="AJ37" s="409">
        <f t="shared" si="14"/>
        <v>33.339601769911503</v>
      </c>
      <c r="AK37" s="408">
        <f t="shared" ref="AK37:AK45" si="49">AJ37*0.01</f>
        <v>0.33339601769911503</v>
      </c>
      <c r="AL37" s="45">
        <v>16105</v>
      </c>
      <c r="AM37" s="361">
        <f t="shared" si="15"/>
        <v>-84.396150263893205</v>
      </c>
      <c r="AN37" s="365">
        <f t="shared" si="16"/>
        <v>25</v>
      </c>
      <c r="AO37" s="320">
        <f t="shared" ref="AO37:AO45" si="50">AN37*0.01</f>
        <v>0.25</v>
      </c>
      <c r="AP37" s="277">
        <f>_xlfn.XLOOKUP(C37, '1.건전성'!C:C, '1.건전성'!BE:BE)</f>
        <v>4462443</v>
      </c>
      <c r="AQ37" s="277">
        <f>_xlfn.XLOOKUP(C37, '1.건전성'!C:C, '1.건전성'!BF:BF)</f>
        <v>1154379</v>
      </c>
      <c r="AR37" s="410">
        <f t="shared" si="17"/>
        <v>5616822</v>
      </c>
      <c r="AS37" s="366">
        <f t="shared" si="8"/>
        <v>1.5804661941693035</v>
      </c>
      <c r="AT37" s="366">
        <f t="shared" si="18"/>
        <v>25.814421754398971</v>
      </c>
      <c r="AU37" s="321">
        <f t="shared" si="19"/>
        <v>0.2581442175439897</v>
      </c>
      <c r="AV37" s="15">
        <v>601046</v>
      </c>
      <c r="AW37" s="361">
        <f t="shared" si="9"/>
        <v>0.16912283923910765</v>
      </c>
      <c r="AX37" s="361">
        <f t="shared" si="20"/>
        <v>25.523657873023541</v>
      </c>
      <c r="AY37" s="321">
        <f t="shared" ref="AY37:AY45" si="51">AX37*0.005</f>
        <v>0.12761828936511771</v>
      </c>
      <c r="AZ37" s="411">
        <v>8.6999999999999993</v>
      </c>
      <c r="BA37" s="412">
        <f t="shared" si="21"/>
        <v>80</v>
      </c>
      <c r="BB37" s="408">
        <f t="shared" ref="BB37:BB45" si="52">BA37*0.005</f>
        <v>0.4</v>
      </c>
      <c r="BC37" s="204">
        <v>1</v>
      </c>
      <c r="BD37" s="407">
        <f t="shared" si="22"/>
        <v>100</v>
      </c>
      <c r="BE37" s="408">
        <f t="shared" ref="BE37:BE45" si="53">BD37*0.005</f>
        <v>0.5</v>
      </c>
      <c r="BF37" s="204">
        <v>0</v>
      </c>
      <c r="BG37" s="204">
        <v>0</v>
      </c>
      <c r="BH37" s="204">
        <v>0</v>
      </c>
      <c r="BI37" s="272" t="str">
        <f t="shared" si="23"/>
        <v>A</v>
      </c>
      <c r="BJ37" s="247">
        <f t="shared" si="24"/>
        <v>100</v>
      </c>
      <c r="BK37" s="90">
        <f t="shared" si="25"/>
        <v>3</v>
      </c>
      <c r="BL37" s="406">
        <v>0</v>
      </c>
      <c r="BM37" s="413">
        <f t="shared" si="26"/>
        <v>0</v>
      </c>
      <c r="BN37" s="414">
        <f t="shared" si="27"/>
        <v>100</v>
      </c>
      <c r="BO37" s="415">
        <f t="shared" si="28"/>
        <v>3</v>
      </c>
      <c r="BP37" s="416">
        <v>0</v>
      </c>
      <c r="BQ37" s="417">
        <f t="shared" si="29"/>
        <v>33.333333333333336</v>
      </c>
      <c r="BR37" s="415">
        <f t="shared" si="30"/>
        <v>0.33333333333333337</v>
      </c>
      <c r="BS37" s="350">
        <f t="shared" si="31"/>
        <v>11.452491857941558</v>
      </c>
    </row>
    <row r="38" spans="1:71" x14ac:dyDescent="0.6">
      <c r="A38" s="214" t="s">
        <v>1516</v>
      </c>
      <c r="B38" s="13" t="s">
        <v>2015</v>
      </c>
      <c r="C38" s="219" t="s">
        <v>1517</v>
      </c>
      <c r="D38" s="14" t="s">
        <v>203</v>
      </c>
      <c r="E38" s="217" t="s">
        <v>246</v>
      </c>
      <c r="F38" s="217" t="s">
        <v>1518</v>
      </c>
      <c r="G38" s="218">
        <v>44417</v>
      </c>
      <c r="H38" s="217" t="s">
        <v>830</v>
      </c>
      <c r="I38" s="217" t="s">
        <v>1519</v>
      </c>
      <c r="J38" s="217" t="s">
        <v>1520</v>
      </c>
      <c r="K38" s="217" t="s">
        <v>317</v>
      </c>
      <c r="L38" s="220">
        <v>498996616</v>
      </c>
      <c r="M38" s="206">
        <v>157543399</v>
      </c>
      <c r="N38" s="206">
        <v>341453217</v>
      </c>
      <c r="O38" s="206">
        <v>276440430</v>
      </c>
      <c r="P38" s="206">
        <v>52135090</v>
      </c>
      <c r="Q38" s="206">
        <v>53978399</v>
      </c>
      <c r="R38" s="206">
        <v>45710486</v>
      </c>
      <c r="S38" s="405">
        <v>0</v>
      </c>
      <c r="T38" s="405">
        <v>0</v>
      </c>
      <c r="U38" s="406">
        <v>0</v>
      </c>
      <c r="V38" s="406">
        <v>0</v>
      </c>
      <c r="W38" s="407">
        <f t="shared" si="43"/>
        <v>0</v>
      </c>
      <c r="X38" s="407">
        <f t="shared" si="44"/>
        <v>100</v>
      </c>
      <c r="Y38" s="408">
        <f t="shared" si="45"/>
        <v>3</v>
      </c>
      <c r="Z38" s="444" t="s">
        <v>3279</v>
      </c>
      <c r="AA38" s="442">
        <v>0</v>
      </c>
      <c r="AB38" s="406">
        <v>0</v>
      </c>
      <c r="AC38" s="406">
        <v>0</v>
      </c>
      <c r="AD38" s="407">
        <f t="shared" si="46"/>
        <v>0</v>
      </c>
      <c r="AE38" s="364" t="str">
        <f t="shared" si="47"/>
        <v>50</v>
      </c>
      <c r="AF38" s="349">
        <f t="shared" si="48"/>
        <v>0.25</v>
      </c>
      <c r="AG38" s="154">
        <v>325</v>
      </c>
      <c r="AH38" s="154">
        <v>415122</v>
      </c>
      <c r="AI38" s="409">
        <f t="shared" si="13"/>
        <v>1277.2984615384617</v>
      </c>
      <c r="AJ38" s="409">
        <f t="shared" si="14"/>
        <v>100</v>
      </c>
      <c r="AK38" s="408">
        <f t="shared" si="49"/>
        <v>1</v>
      </c>
      <c r="AL38" s="45">
        <v>297339</v>
      </c>
      <c r="AM38" s="361">
        <f t="shared" si="15"/>
        <v>39.61236164781613</v>
      </c>
      <c r="AN38" s="365">
        <f t="shared" si="16"/>
        <v>32.427317808965526</v>
      </c>
      <c r="AO38" s="320">
        <f t="shared" si="50"/>
        <v>0.32427317808965528</v>
      </c>
      <c r="AP38" s="277">
        <f>_xlfn.XLOOKUP(C38, '1.건전성'!C:C, '1.건전성'!BE:BE)</f>
        <v>6383837</v>
      </c>
      <c r="AQ38" s="277">
        <f>_xlfn.XLOOKUP(C38, '1.건전성'!C:C, '1.건전성'!BF:BF)</f>
        <v>940896</v>
      </c>
      <c r="AR38" s="410">
        <f t="shared" si="17"/>
        <v>7324733</v>
      </c>
      <c r="AS38" s="366">
        <f t="shared" si="8"/>
        <v>2.6496605435029892</v>
      </c>
      <c r="AT38" s="366">
        <f t="shared" si="18"/>
        <v>26.620347143343963</v>
      </c>
      <c r="AU38" s="321">
        <f t="shared" si="19"/>
        <v>0.26620347143343964</v>
      </c>
      <c r="AV38" s="15">
        <v>1578233</v>
      </c>
      <c r="AW38" s="361">
        <f t="shared" si="9"/>
        <v>0.57091251087983041</v>
      </c>
      <c r="AX38" s="361">
        <f t="shared" si="20"/>
        <v>28.567519021816896</v>
      </c>
      <c r="AY38" s="321">
        <f t="shared" si="51"/>
        <v>0.14283759510908448</v>
      </c>
      <c r="AZ38" s="411">
        <v>12.8</v>
      </c>
      <c r="BA38" s="412">
        <f t="shared" si="21"/>
        <v>100</v>
      </c>
      <c r="BB38" s="408">
        <f t="shared" si="52"/>
        <v>0.5</v>
      </c>
      <c r="BC38" s="204">
        <v>1</v>
      </c>
      <c r="BD38" s="407">
        <f t="shared" si="22"/>
        <v>100</v>
      </c>
      <c r="BE38" s="408">
        <f t="shared" si="53"/>
        <v>0.5</v>
      </c>
      <c r="BF38" s="204">
        <v>0</v>
      </c>
      <c r="BG38" s="204">
        <v>0</v>
      </c>
      <c r="BH38" s="204">
        <v>0</v>
      </c>
      <c r="BI38" s="272" t="str">
        <f t="shared" si="23"/>
        <v>A</v>
      </c>
      <c r="BJ38" s="247">
        <f t="shared" si="24"/>
        <v>100</v>
      </c>
      <c r="BK38" s="90">
        <f t="shared" si="25"/>
        <v>3</v>
      </c>
      <c r="BL38" s="406">
        <v>6</v>
      </c>
      <c r="BM38" s="413">
        <f t="shared" si="26"/>
        <v>1.8461538461538463</v>
      </c>
      <c r="BN38" s="414">
        <f t="shared" si="27"/>
        <v>60</v>
      </c>
      <c r="BO38" s="415">
        <f t="shared" si="28"/>
        <v>1.7999999999999998</v>
      </c>
      <c r="BP38" s="416">
        <v>0.16</v>
      </c>
      <c r="BQ38" s="417">
        <f t="shared" si="29"/>
        <v>66.666666666666671</v>
      </c>
      <c r="BR38" s="415">
        <f t="shared" si="30"/>
        <v>0.66666666666666674</v>
      </c>
      <c r="BS38" s="350">
        <f t="shared" si="31"/>
        <v>11.449980911298846</v>
      </c>
    </row>
    <row r="39" spans="1:71" x14ac:dyDescent="0.6">
      <c r="A39" s="214" t="s">
        <v>1521</v>
      </c>
      <c r="B39" s="13" t="s">
        <v>2016</v>
      </c>
      <c r="C39" s="219" t="s">
        <v>1522</v>
      </c>
      <c r="D39" s="14" t="s">
        <v>202</v>
      </c>
      <c r="E39" s="217" t="s">
        <v>1523</v>
      </c>
      <c r="F39" s="217" t="s">
        <v>1524</v>
      </c>
      <c r="G39" s="218">
        <v>33975</v>
      </c>
      <c r="H39" s="217" t="s">
        <v>830</v>
      </c>
      <c r="I39" s="217" t="s">
        <v>1525</v>
      </c>
      <c r="J39" s="217" t="s">
        <v>1526</v>
      </c>
      <c r="K39" s="217" t="s">
        <v>91</v>
      </c>
      <c r="L39" s="220">
        <v>1689083868</v>
      </c>
      <c r="M39" s="206">
        <v>1058363402</v>
      </c>
      <c r="N39" s="206">
        <v>630720466</v>
      </c>
      <c r="O39" s="206">
        <v>903462137</v>
      </c>
      <c r="P39" s="206">
        <v>135794969</v>
      </c>
      <c r="Q39" s="206">
        <v>110455021</v>
      </c>
      <c r="R39" s="206">
        <v>82620907</v>
      </c>
      <c r="S39" s="405">
        <v>0</v>
      </c>
      <c r="T39" s="405">
        <v>0</v>
      </c>
      <c r="U39" s="406">
        <v>0</v>
      </c>
      <c r="V39" s="406">
        <v>0</v>
      </c>
      <c r="W39" s="407">
        <f t="shared" si="43"/>
        <v>0</v>
      </c>
      <c r="X39" s="407">
        <f t="shared" si="44"/>
        <v>100</v>
      </c>
      <c r="Y39" s="408">
        <f t="shared" si="45"/>
        <v>3</v>
      </c>
      <c r="Z39" s="444" t="s">
        <v>3280</v>
      </c>
      <c r="AA39" s="442">
        <v>0</v>
      </c>
      <c r="AB39" s="406">
        <v>1</v>
      </c>
      <c r="AC39" s="406">
        <v>0</v>
      </c>
      <c r="AD39" s="407">
        <f t="shared" si="46"/>
        <v>1</v>
      </c>
      <c r="AE39" s="364" t="str">
        <f t="shared" si="47"/>
        <v>100</v>
      </c>
      <c r="AF39" s="349">
        <f t="shared" si="48"/>
        <v>0.5</v>
      </c>
      <c r="AG39" s="154">
        <v>203</v>
      </c>
      <c r="AH39" s="154">
        <v>36164</v>
      </c>
      <c r="AI39" s="409">
        <f t="shared" si="13"/>
        <v>178.14778325123152</v>
      </c>
      <c r="AJ39" s="409">
        <f t="shared" si="14"/>
        <v>100</v>
      </c>
      <c r="AK39" s="408">
        <f t="shared" si="49"/>
        <v>1</v>
      </c>
      <c r="AL39" s="45">
        <v>24084</v>
      </c>
      <c r="AM39" s="361">
        <f t="shared" si="15"/>
        <v>50.157781099485135</v>
      </c>
      <c r="AN39" s="365">
        <f t="shared" si="16"/>
        <v>34.404583956153459</v>
      </c>
      <c r="AO39" s="320">
        <f t="shared" si="50"/>
        <v>0.34404583956153462</v>
      </c>
      <c r="AP39" s="277">
        <f>_xlfn.XLOOKUP(C39, '1.건전성'!C:C, '1.건전성'!BE:BE)</f>
        <v>3968983</v>
      </c>
      <c r="AQ39" s="277">
        <f>_xlfn.XLOOKUP(C39, '1.건전성'!C:C, '1.건전성'!BF:BF)</f>
        <v>319873</v>
      </c>
      <c r="AR39" s="410">
        <f t="shared" si="17"/>
        <v>4288856</v>
      </c>
      <c r="AS39" s="366">
        <f t="shared" si="8"/>
        <v>0.47471341900850461</v>
      </c>
      <c r="AT39" s="366">
        <f t="shared" si="18"/>
        <v>25</v>
      </c>
      <c r="AU39" s="321">
        <f t="shared" si="19"/>
        <v>0.25</v>
      </c>
      <c r="AV39" s="15">
        <v>8883666</v>
      </c>
      <c r="AW39" s="361">
        <f t="shared" si="9"/>
        <v>0.98329145585433642</v>
      </c>
      <c r="AX39" s="361">
        <f t="shared" si="20"/>
        <v>31.691601938290429</v>
      </c>
      <c r="AY39" s="321">
        <f t="shared" si="51"/>
        <v>0.15845800969145216</v>
      </c>
      <c r="AZ39" s="411">
        <v>7.9</v>
      </c>
      <c r="BA39" s="412">
        <f t="shared" si="21"/>
        <v>60</v>
      </c>
      <c r="BB39" s="408">
        <f t="shared" si="52"/>
        <v>0.3</v>
      </c>
      <c r="BC39" s="204">
        <v>1</v>
      </c>
      <c r="BD39" s="407">
        <f t="shared" si="22"/>
        <v>100</v>
      </c>
      <c r="BE39" s="408">
        <f t="shared" si="53"/>
        <v>0.5</v>
      </c>
      <c r="BF39" s="204">
        <v>0</v>
      </c>
      <c r="BG39" s="204">
        <v>1</v>
      </c>
      <c r="BH39" s="204">
        <v>0</v>
      </c>
      <c r="BI39" s="272" t="str">
        <f t="shared" si="23"/>
        <v>C</v>
      </c>
      <c r="BJ39" s="247">
        <f t="shared" si="24"/>
        <v>50</v>
      </c>
      <c r="BK39" s="90">
        <f t="shared" si="25"/>
        <v>1.5</v>
      </c>
      <c r="BL39" s="406">
        <v>6</v>
      </c>
      <c r="BM39" s="413">
        <f t="shared" si="26"/>
        <v>2.9556650246305418</v>
      </c>
      <c r="BN39" s="414">
        <f t="shared" si="27"/>
        <v>60</v>
      </c>
      <c r="BO39" s="415">
        <f t="shared" si="28"/>
        <v>1.7999999999999998</v>
      </c>
      <c r="BP39" s="416">
        <v>0</v>
      </c>
      <c r="BQ39" s="417">
        <f t="shared" si="29"/>
        <v>33.333333333333336</v>
      </c>
      <c r="BR39" s="415">
        <f t="shared" si="30"/>
        <v>0.33333333333333337</v>
      </c>
      <c r="BS39" s="350">
        <f t="shared" si="31"/>
        <v>9.6858371825863205</v>
      </c>
    </row>
    <row r="40" spans="1:71" x14ac:dyDescent="0.6">
      <c r="A40" s="214" t="s">
        <v>1527</v>
      </c>
      <c r="B40" s="13" t="s">
        <v>2017</v>
      </c>
      <c r="C40" s="219" t="s">
        <v>1528</v>
      </c>
      <c r="D40" s="14" t="s">
        <v>203</v>
      </c>
      <c r="E40" s="217" t="s">
        <v>195</v>
      </c>
      <c r="F40" s="217" t="s">
        <v>1529</v>
      </c>
      <c r="G40" s="218">
        <v>32470</v>
      </c>
      <c r="H40" s="217" t="s">
        <v>830</v>
      </c>
      <c r="I40" s="217" t="s">
        <v>1530</v>
      </c>
      <c r="J40" s="217" t="s">
        <v>1531</v>
      </c>
      <c r="K40" s="217" t="s">
        <v>690</v>
      </c>
      <c r="L40" s="220">
        <v>88291972</v>
      </c>
      <c r="M40" s="206">
        <v>36836002</v>
      </c>
      <c r="N40" s="206">
        <v>51455970</v>
      </c>
      <c r="O40" s="206">
        <v>125263993</v>
      </c>
      <c r="P40" s="206">
        <v>14179053</v>
      </c>
      <c r="Q40" s="206">
        <v>13787797</v>
      </c>
      <c r="R40" s="206">
        <v>10819014</v>
      </c>
      <c r="S40" s="405">
        <v>0</v>
      </c>
      <c r="T40" s="405">
        <v>0</v>
      </c>
      <c r="U40" s="406">
        <v>0</v>
      </c>
      <c r="V40" s="406">
        <v>0</v>
      </c>
      <c r="W40" s="407">
        <f t="shared" si="43"/>
        <v>0</v>
      </c>
      <c r="X40" s="407">
        <f t="shared" si="44"/>
        <v>100</v>
      </c>
      <c r="Y40" s="408">
        <f t="shared" si="45"/>
        <v>3</v>
      </c>
      <c r="Z40" s="444" t="s">
        <v>3281</v>
      </c>
      <c r="AA40" s="442">
        <v>0</v>
      </c>
      <c r="AB40" s="406">
        <v>0</v>
      </c>
      <c r="AC40" s="406">
        <v>0</v>
      </c>
      <c r="AD40" s="407">
        <f t="shared" si="46"/>
        <v>0</v>
      </c>
      <c r="AE40" s="364" t="str">
        <f t="shared" si="47"/>
        <v>50</v>
      </c>
      <c r="AF40" s="349">
        <f t="shared" si="48"/>
        <v>0.25</v>
      </c>
      <c r="AG40" s="154">
        <v>74</v>
      </c>
      <c r="AH40" s="154">
        <v>2913</v>
      </c>
      <c r="AI40" s="409">
        <f t="shared" si="13"/>
        <v>39.364864864864863</v>
      </c>
      <c r="AJ40" s="409">
        <f t="shared" si="14"/>
        <v>54.523648648648646</v>
      </c>
      <c r="AK40" s="408">
        <f t="shared" si="49"/>
        <v>0.54523648648648648</v>
      </c>
      <c r="AL40" s="45">
        <v>6175</v>
      </c>
      <c r="AM40" s="361">
        <f t="shared" si="15"/>
        <v>-52.825910931174093</v>
      </c>
      <c r="AN40" s="365">
        <f t="shared" si="16"/>
        <v>25</v>
      </c>
      <c r="AO40" s="320">
        <f t="shared" si="50"/>
        <v>0.25</v>
      </c>
      <c r="AP40" s="277">
        <f>_xlfn.XLOOKUP(C40, '1.건전성'!C:C, '1.건전성'!BE:BE)</f>
        <v>986702</v>
      </c>
      <c r="AQ40" s="277">
        <f>_xlfn.XLOOKUP(C40, '1.건전성'!C:C, '1.건전성'!BF:BF)</f>
        <v>52771</v>
      </c>
      <c r="AR40" s="410">
        <f t="shared" si="17"/>
        <v>1039473</v>
      </c>
      <c r="AS40" s="366">
        <f t="shared" si="8"/>
        <v>0.82982585426603794</v>
      </c>
      <c r="AT40" s="366">
        <f t="shared" si="18"/>
        <v>25.248612452964352</v>
      </c>
      <c r="AU40" s="321">
        <f t="shared" si="19"/>
        <v>0.25248612452964353</v>
      </c>
      <c r="AV40" s="15">
        <v>167771</v>
      </c>
      <c r="AW40" s="361">
        <f t="shared" si="9"/>
        <v>0.13393393902108805</v>
      </c>
      <c r="AX40" s="361">
        <f t="shared" si="20"/>
        <v>25.257075295614303</v>
      </c>
      <c r="AY40" s="321">
        <f t="shared" si="51"/>
        <v>0.12628537647807153</v>
      </c>
      <c r="AZ40" s="411">
        <v>13.5</v>
      </c>
      <c r="BA40" s="412">
        <f t="shared" si="21"/>
        <v>100</v>
      </c>
      <c r="BB40" s="408">
        <f t="shared" si="52"/>
        <v>0.5</v>
      </c>
      <c r="BC40" s="204">
        <v>1</v>
      </c>
      <c r="BD40" s="407">
        <f t="shared" si="22"/>
        <v>100</v>
      </c>
      <c r="BE40" s="408">
        <f t="shared" si="53"/>
        <v>0.5</v>
      </c>
      <c r="BF40" s="204">
        <v>0</v>
      </c>
      <c r="BG40" s="204">
        <v>1</v>
      </c>
      <c r="BH40" s="204">
        <v>1</v>
      </c>
      <c r="BI40" s="272" t="str">
        <f t="shared" si="23"/>
        <v>D</v>
      </c>
      <c r="BJ40" s="247">
        <f t="shared" si="24"/>
        <v>25</v>
      </c>
      <c r="BK40" s="90">
        <f t="shared" si="25"/>
        <v>0.75</v>
      </c>
      <c r="BL40" s="406">
        <v>9</v>
      </c>
      <c r="BM40" s="413">
        <f t="shared" si="26"/>
        <v>12.162162162162163</v>
      </c>
      <c r="BN40" s="414">
        <f t="shared" si="27"/>
        <v>20</v>
      </c>
      <c r="BO40" s="415">
        <f t="shared" si="28"/>
        <v>0.6</v>
      </c>
      <c r="BP40" s="416">
        <v>0</v>
      </c>
      <c r="BQ40" s="417">
        <f t="shared" si="29"/>
        <v>33.333333333333336</v>
      </c>
      <c r="BR40" s="415">
        <f t="shared" si="30"/>
        <v>0.33333333333333337</v>
      </c>
      <c r="BS40" s="350">
        <f t="shared" si="31"/>
        <v>7.1073413208275342</v>
      </c>
    </row>
    <row r="41" spans="1:71" x14ac:dyDescent="0.6">
      <c r="A41" s="214" t="s">
        <v>550</v>
      </c>
      <c r="B41" s="13" t="s">
        <v>2018</v>
      </c>
      <c r="C41" s="219" t="s">
        <v>892</v>
      </c>
      <c r="D41" s="216" t="s">
        <v>203</v>
      </c>
      <c r="E41" s="217" t="s">
        <v>195</v>
      </c>
      <c r="F41" s="217" t="s">
        <v>174</v>
      </c>
      <c r="G41" s="218">
        <v>32718</v>
      </c>
      <c r="H41" s="217" t="s">
        <v>830</v>
      </c>
      <c r="I41" s="217" t="s">
        <v>780</v>
      </c>
      <c r="J41" s="217" t="s">
        <v>1024</v>
      </c>
      <c r="K41" s="217" t="s">
        <v>346</v>
      </c>
      <c r="L41" s="220">
        <v>784010055</v>
      </c>
      <c r="M41" s="206">
        <v>266944685</v>
      </c>
      <c r="N41" s="206">
        <v>517065370</v>
      </c>
      <c r="O41" s="206">
        <v>504474738</v>
      </c>
      <c r="P41" s="206">
        <v>87061651</v>
      </c>
      <c r="Q41" s="206">
        <v>64111344</v>
      </c>
      <c r="R41" s="206">
        <v>47519888</v>
      </c>
      <c r="S41" s="405">
        <v>0</v>
      </c>
      <c r="T41" s="405">
        <v>0</v>
      </c>
      <c r="U41" s="406">
        <v>0</v>
      </c>
      <c r="V41" s="406">
        <v>0</v>
      </c>
      <c r="W41" s="407">
        <f t="shared" si="43"/>
        <v>0</v>
      </c>
      <c r="X41" s="407">
        <f t="shared" si="44"/>
        <v>100</v>
      </c>
      <c r="Y41" s="408">
        <f t="shared" si="45"/>
        <v>3</v>
      </c>
      <c r="Z41" s="444" t="s">
        <v>3282</v>
      </c>
      <c r="AA41" s="442">
        <v>0</v>
      </c>
      <c r="AB41" s="406">
        <v>0</v>
      </c>
      <c r="AC41" s="406">
        <v>0</v>
      </c>
      <c r="AD41" s="407">
        <f t="shared" si="46"/>
        <v>0</v>
      </c>
      <c r="AE41" s="364" t="str">
        <f t="shared" si="47"/>
        <v>50</v>
      </c>
      <c r="AF41" s="349">
        <f t="shared" si="48"/>
        <v>0.25</v>
      </c>
      <c r="AG41" s="154">
        <v>517</v>
      </c>
      <c r="AH41" s="421"/>
      <c r="AI41" s="409">
        <f t="shared" si="13"/>
        <v>0</v>
      </c>
      <c r="AJ41" s="409">
        <f t="shared" si="14"/>
        <v>25</v>
      </c>
      <c r="AK41" s="408">
        <f t="shared" si="49"/>
        <v>0.25</v>
      </c>
      <c r="AL41" s="423"/>
      <c r="AM41" s="424">
        <v>0</v>
      </c>
      <c r="AN41" s="365">
        <f t="shared" si="16"/>
        <v>25</v>
      </c>
      <c r="AO41" s="320">
        <f t="shared" si="50"/>
        <v>0.25</v>
      </c>
      <c r="AP41" s="277">
        <f>_xlfn.XLOOKUP(C41, '1.건전성'!C:C, '1.건전성'!BE:BE)</f>
        <v>14662400</v>
      </c>
      <c r="AQ41" s="277">
        <f>_xlfn.XLOOKUP(C41, '1.건전성'!C:C, '1.건전성'!BF:BF)</f>
        <v>1474308</v>
      </c>
      <c r="AR41" s="410">
        <f t="shared" si="17"/>
        <v>16136708</v>
      </c>
      <c r="AS41" s="366">
        <f t="shared" si="8"/>
        <v>3.198714778855785</v>
      </c>
      <c r="AT41" s="366">
        <f t="shared" si="18"/>
        <v>27.034207119740543</v>
      </c>
      <c r="AU41" s="321">
        <f t="shared" si="19"/>
        <v>0.27034207119740544</v>
      </c>
      <c r="AV41" s="15">
        <v>2782934</v>
      </c>
      <c r="AW41" s="361">
        <f t="shared" si="9"/>
        <v>0.55164982314733868</v>
      </c>
      <c r="AX41" s="361">
        <f t="shared" si="20"/>
        <v>28.421589569298021</v>
      </c>
      <c r="AY41" s="321">
        <f t="shared" si="51"/>
        <v>0.14210794784649011</v>
      </c>
      <c r="AZ41" s="411">
        <v>8</v>
      </c>
      <c r="BA41" s="412">
        <f t="shared" si="21"/>
        <v>80</v>
      </c>
      <c r="BB41" s="408">
        <f t="shared" si="52"/>
        <v>0.4</v>
      </c>
      <c r="BC41" s="204">
        <v>1</v>
      </c>
      <c r="BD41" s="407">
        <f t="shared" si="22"/>
        <v>100</v>
      </c>
      <c r="BE41" s="408">
        <f t="shared" si="53"/>
        <v>0.5</v>
      </c>
      <c r="BF41" s="204">
        <v>0</v>
      </c>
      <c r="BG41" s="204">
        <v>0</v>
      </c>
      <c r="BH41" s="204">
        <v>0</v>
      </c>
      <c r="BI41" s="272" t="str">
        <f t="shared" si="23"/>
        <v>A</v>
      </c>
      <c r="BJ41" s="247">
        <f t="shared" si="24"/>
        <v>100</v>
      </c>
      <c r="BK41" s="90">
        <f t="shared" si="25"/>
        <v>3</v>
      </c>
      <c r="BL41" s="406">
        <v>20</v>
      </c>
      <c r="BM41" s="413">
        <f t="shared" si="26"/>
        <v>3.8684719535783367</v>
      </c>
      <c r="BN41" s="414">
        <f t="shared" si="27"/>
        <v>40</v>
      </c>
      <c r="BO41" s="415">
        <f t="shared" si="28"/>
        <v>1.2</v>
      </c>
      <c r="BP41" s="416">
        <v>0</v>
      </c>
      <c r="BQ41" s="417">
        <f t="shared" si="29"/>
        <v>33.333333333333336</v>
      </c>
      <c r="BR41" s="415">
        <f t="shared" si="30"/>
        <v>0.33333333333333337</v>
      </c>
      <c r="BS41" s="350">
        <f t="shared" si="31"/>
        <v>9.5957833523772305</v>
      </c>
    </row>
    <row r="42" spans="1:71" x14ac:dyDescent="0.6">
      <c r="A42" s="214" t="s">
        <v>1532</v>
      </c>
      <c r="B42" s="13" t="s">
        <v>2019</v>
      </c>
      <c r="C42" s="219" t="s">
        <v>457</v>
      </c>
      <c r="D42" s="216" t="s">
        <v>285</v>
      </c>
      <c r="E42" s="217" t="s">
        <v>171</v>
      </c>
      <c r="F42" s="217" t="s">
        <v>1031</v>
      </c>
      <c r="G42" s="218">
        <v>35669</v>
      </c>
      <c r="H42" s="217" t="s">
        <v>830</v>
      </c>
      <c r="I42" s="217" t="s">
        <v>728</v>
      </c>
      <c r="J42" s="217" t="s">
        <v>1043</v>
      </c>
      <c r="K42" s="217" t="s">
        <v>690</v>
      </c>
      <c r="L42" s="220">
        <v>4987103374</v>
      </c>
      <c r="M42" s="206">
        <v>2920774145</v>
      </c>
      <c r="N42" s="206">
        <v>2066329229</v>
      </c>
      <c r="O42" s="206">
        <v>6978937449</v>
      </c>
      <c r="P42" s="206">
        <v>427890389</v>
      </c>
      <c r="Q42" s="206">
        <v>355031852</v>
      </c>
      <c r="R42" s="206">
        <v>268904384</v>
      </c>
      <c r="S42" s="405">
        <v>0</v>
      </c>
      <c r="T42" s="405">
        <v>0</v>
      </c>
      <c r="U42" s="406">
        <v>0</v>
      </c>
      <c r="V42" s="406">
        <v>0</v>
      </c>
      <c r="W42" s="407">
        <f t="shared" si="43"/>
        <v>0</v>
      </c>
      <c r="X42" s="407">
        <f t="shared" si="44"/>
        <v>100</v>
      </c>
      <c r="Y42" s="408">
        <f t="shared" si="45"/>
        <v>3</v>
      </c>
      <c r="Z42" s="444" t="s">
        <v>3283</v>
      </c>
      <c r="AA42" s="442">
        <v>0</v>
      </c>
      <c r="AB42" s="406">
        <v>0</v>
      </c>
      <c r="AC42" s="406">
        <v>0</v>
      </c>
      <c r="AD42" s="407">
        <f t="shared" si="46"/>
        <v>0</v>
      </c>
      <c r="AE42" s="364" t="str">
        <f t="shared" si="47"/>
        <v>50</v>
      </c>
      <c r="AF42" s="349">
        <f t="shared" si="48"/>
        <v>0.25</v>
      </c>
      <c r="AG42" s="154">
        <v>614</v>
      </c>
      <c r="AH42" s="154">
        <v>4508018</v>
      </c>
      <c r="AI42" s="409">
        <f t="shared" si="13"/>
        <v>7342.0488599348537</v>
      </c>
      <c r="AJ42" s="409">
        <f t="shared" si="14"/>
        <v>100</v>
      </c>
      <c r="AK42" s="408">
        <f t="shared" si="49"/>
        <v>1</v>
      </c>
      <c r="AL42" s="45">
        <v>3623474</v>
      </c>
      <c r="AM42" s="361">
        <f t="shared" si="15"/>
        <v>24.411490188697364</v>
      </c>
      <c r="AN42" s="365">
        <f t="shared" si="16"/>
        <v>29.577154410380757</v>
      </c>
      <c r="AO42" s="320">
        <f t="shared" si="50"/>
        <v>0.29577154410380757</v>
      </c>
      <c r="AP42" s="277">
        <f>_xlfn.XLOOKUP(C42, '1.건전성'!C:C, '1.건전성'!BE:BE)</f>
        <v>75219641</v>
      </c>
      <c r="AQ42" s="277">
        <f>_xlfn.XLOOKUP(C42, '1.건전성'!C:C, '1.건전성'!BF:BF)</f>
        <v>4259073</v>
      </c>
      <c r="AR42" s="410">
        <f t="shared" si="17"/>
        <v>79478714</v>
      </c>
      <c r="AS42" s="366">
        <f t="shared" si="8"/>
        <v>1.1388368871451682</v>
      </c>
      <c r="AT42" s="366">
        <f t="shared" si="18"/>
        <v>25.481535342069222</v>
      </c>
      <c r="AU42" s="321">
        <f t="shared" si="19"/>
        <v>0.25481535342069223</v>
      </c>
      <c r="AV42" s="15">
        <v>12943992</v>
      </c>
      <c r="AW42" s="361">
        <f t="shared" si="9"/>
        <v>0.18547224551861721</v>
      </c>
      <c r="AX42" s="361">
        <f t="shared" si="20"/>
        <v>25.647517011504675</v>
      </c>
      <c r="AY42" s="321">
        <f t="shared" si="51"/>
        <v>0.12823758505752339</v>
      </c>
      <c r="AZ42" s="411">
        <v>7.5</v>
      </c>
      <c r="BA42" s="412">
        <f t="shared" si="21"/>
        <v>60</v>
      </c>
      <c r="BB42" s="408">
        <f t="shared" si="52"/>
        <v>0.3</v>
      </c>
      <c r="BC42" s="204">
        <v>1</v>
      </c>
      <c r="BD42" s="407">
        <f t="shared" si="22"/>
        <v>100</v>
      </c>
      <c r="BE42" s="408">
        <f t="shared" si="53"/>
        <v>0.5</v>
      </c>
      <c r="BF42" s="204">
        <v>0</v>
      </c>
      <c r="BG42" s="204">
        <v>1</v>
      </c>
      <c r="BH42" s="204">
        <v>0</v>
      </c>
      <c r="BI42" s="272" t="str">
        <f t="shared" si="23"/>
        <v>C</v>
      </c>
      <c r="BJ42" s="247">
        <f t="shared" si="24"/>
        <v>50</v>
      </c>
      <c r="BK42" s="90">
        <f t="shared" si="25"/>
        <v>1.5</v>
      </c>
      <c r="BL42" s="406">
        <v>52</v>
      </c>
      <c r="BM42" s="413">
        <f t="shared" si="26"/>
        <v>8.4690553745928341</v>
      </c>
      <c r="BN42" s="414">
        <f t="shared" si="27"/>
        <v>20</v>
      </c>
      <c r="BO42" s="415">
        <f t="shared" si="28"/>
        <v>0.6</v>
      </c>
      <c r="BP42" s="416">
        <v>0.8</v>
      </c>
      <c r="BQ42" s="417">
        <f t="shared" si="29"/>
        <v>66.666666666666671</v>
      </c>
      <c r="BR42" s="415">
        <f t="shared" si="30"/>
        <v>0.66666666666666674</v>
      </c>
      <c r="BS42" s="350">
        <f t="shared" si="31"/>
        <v>8.4954911492486893</v>
      </c>
    </row>
    <row r="43" spans="1:71" x14ac:dyDescent="0.6">
      <c r="A43" s="214" t="s">
        <v>1533</v>
      </c>
      <c r="B43" s="13" t="s">
        <v>2020</v>
      </c>
      <c r="C43" s="219" t="s">
        <v>450</v>
      </c>
      <c r="D43" s="216" t="s">
        <v>285</v>
      </c>
      <c r="E43" s="217" t="s">
        <v>185</v>
      </c>
      <c r="F43" s="217" t="s">
        <v>175</v>
      </c>
      <c r="G43" s="218">
        <v>41117</v>
      </c>
      <c r="H43" s="217" t="s">
        <v>830</v>
      </c>
      <c r="I43" s="217" t="s">
        <v>732</v>
      </c>
      <c r="J43" s="217" t="s">
        <v>157</v>
      </c>
      <c r="K43" s="217" t="s">
        <v>91</v>
      </c>
      <c r="L43" s="220">
        <v>3341658508</v>
      </c>
      <c r="M43" s="206">
        <v>2823131632</v>
      </c>
      <c r="N43" s="206">
        <v>518526876</v>
      </c>
      <c r="O43" s="206">
        <v>1247543929</v>
      </c>
      <c r="P43" s="206">
        <v>94379336</v>
      </c>
      <c r="Q43" s="206">
        <v>30714021</v>
      </c>
      <c r="R43" s="206">
        <v>21213587</v>
      </c>
      <c r="S43" s="405">
        <v>0</v>
      </c>
      <c r="T43" s="405">
        <v>0</v>
      </c>
      <c r="U43" s="406">
        <v>0</v>
      </c>
      <c r="V43" s="406">
        <v>0</v>
      </c>
      <c r="W43" s="407">
        <f t="shared" si="43"/>
        <v>0</v>
      </c>
      <c r="X43" s="407">
        <f t="shared" si="44"/>
        <v>100</v>
      </c>
      <c r="Y43" s="408">
        <f t="shared" si="45"/>
        <v>3</v>
      </c>
      <c r="Z43" s="444" t="s">
        <v>3284</v>
      </c>
      <c r="AA43" s="442">
        <v>0</v>
      </c>
      <c r="AB43" s="406">
        <v>0</v>
      </c>
      <c r="AC43" s="406">
        <v>0</v>
      </c>
      <c r="AD43" s="407">
        <f t="shared" si="46"/>
        <v>0</v>
      </c>
      <c r="AE43" s="364" t="str">
        <f t="shared" si="47"/>
        <v>50</v>
      </c>
      <c r="AF43" s="349">
        <f t="shared" si="48"/>
        <v>0.25</v>
      </c>
      <c r="AG43" s="154">
        <v>652</v>
      </c>
      <c r="AH43" s="154">
        <v>1226538</v>
      </c>
      <c r="AI43" s="409">
        <f t="shared" si="13"/>
        <v>1881.1932515337423</v>
      </c>
      <c r="AJ43" s="409">
        <f t="shared" si="14"/>
        <v>100</v>
      </c>
      <c r="AK43" s="408">
        <f t="shared" si="49"/>
        <v>1</v>
      </c>
      <c r="AL43" s="45">
        <v>646598</v>
      </c>
      <c r="AM43" s="361">
        <f t="shared" si="15"/>
        <v>89.690967185175325</v>
      </c>
      <c r="AN43" s="365">
        <f t="shared" si="16"/>
        <v>41.817056347220372</v>
      </c>
      <c r="AO43" s="320">
        <f t="shared" si="50"/>
        <v>0.41817056347220372</v>
      </c>
      <c r="AP43" s="277">
        <f>_xlfn.XLOOKUP(C43, '1.건전성'!C:C, '1.건전성'!BE:BE)</f>
        <v>49661530</v>
      </c>
      <c r="AQ43" s="277">
        <f>_xlfn.XLOOKUP(C43, '1.건전성'!C:C, '1.건전성'!BF:BF)</f>
        <v>4037239</v>
      </c>
      <c r="AR43" s="410">
        <f t="shared" si="17"/>
        <v>53698769</v>
      </c>
      <c r="AS43" s="366">
        <f t="shared" si="8"/>
        <v>4.3043589689898614</v>
      </c>
      <c r="AT43" s="366">
        <f t="shared" si="18"/>
        <v>27.867607263057685</v>
      </c>
      <c r="AU43" s="321">
        <f t="shared" si="19"/>
        <v>0.27867607263057687</v>
      </c>
      <c r="AV43" s="15">
        <v>9931780</v>
      </c>
      <c r="AW43" s="361">
        <f t="shared" si="9"/>
        <v>0.79610663553635863</v>
      </c>
      <c r="AX43" s="361">
        <f t="shared" si="20"/>
        <v>30.273535117699687</v>
      </c>
      <c r="AY43" s="321">
        <f t="shared" si="51"/>
        <v>0.15136767558849845</v>
      </c>
      <c r="AZ43" s="411">
        <v>9.1</v>
      </c>
      <c r="BA43" s="412">
        <f t="shared" si="21"/>
        <v>80</v>
      </c>
      <c r="BB43" s="408">
        <f t="shared" si="52"/>
        <v>0.4</v>
      </c>
      <c r="BC43" s="204">
        <v>1</v>
      </c>
      <c r="BD43" s="407">
        <f t="shared" si="22"/>
        <v>100</v>
      </c>
      <c r="BE43" s="408">
        <f t="shared" si="53"/>
        <v>0.5</v>
      </c>
      <c r="BF43" s="204">
        <v>0</v>
      </c>
      <c r="BG43" s="204">
        <v>0</v>
      </c>
      <c r="BH43" s="204">
        <v>0</v>
      </c>
      <c r="BI43" s="272" t="str">
        <f t="shared" si="23"/>
        <v>A</v>
      </c>
      <c r="BJ43" s="247">
        <f t="shared" si="24"/>
        <v>100</v>
      </c>
      <c r="BK43" s="90">
        <f t="shared" si="25"/>
        <v>3</v>
      </c>
      <c r="BL43" s="406">
        <v>80</v>
      </c>
      <c r="BM43" s="413">
        <f t="shared" si="26"/>
        <v>12.269938650306749</v>
      </c>
      <c r="BN43" s="414">
        <f t="shared" si="27"/>
        <v>20</v>
      </c>
      <c r="BO43" s="415">
        <f t="shared" si="28"/>
        <v>0.6</v>
      </c>
      <c r="BP43" s="416">
        <v>0.01</v>
      </c>
      <c r="BQ43" s="417">
        <f t="shared" si="29"/>
        <v>66.666666666666671</v>
      </c>
      <c r="BR43" s="415">
        <f t="shared" si="30"/>
        <v>0.66666666666666674</v>
      </c>
      <c r="BS43" s="350">
        <f t="shared" si="31"/>
        <v>10.264880978357946</v>
      </c>
    </row>
    <row r="44" spans="1:71" x14ac:dyDescent="0.6">
      <c r="A44" s="214" t="s">
        <v>1534</v>
      </c>
      <c r="B44" s="13" t="s">
        <v>2021</v>
      </c>
      <c r="C44" s="219" t="s">
        <v>1535</v>
      </c>
      <c r="D44" s="14" t="s">
        <v>191</v>
      </c>
      <c r="E44" s="217" t="s">
        <v>1091</v>
      </c>
      <c r="F44" s="217" t="s">
        <v>1536</v>
      </c>
      <c r="G44" s="218">
        <v>44273</v>
      </c>
      <c r="H44" s="217" t="s">
        <v>830</v>
      </c>
      <c r="I44" s="217" t="s">
        <v>1537</v>
      </c>
      <c r="J44" s="217" t="s">
        <v>1538</v>
      </c>
      <c r="K44" s="217" t="s">
        <v>690</v>
      </c>
      <c r="L44" s="220">
        <v>2142189396</v>
      </c>
      <c r="M44" s="206">
        <v>399934106</v>
      </c>
      <c r="N44" s="206">
        <v>1742255291</v>
      </c>
      <c r="O44" s="206">
        <v>456725871</v>
      </c>
      <c r="P44" s="206">
        <v>115378989</v>
      </c>
      <c r="Q44" s="206">
        <v>142097807</v>
      </c>
      <c r="R44" s="206">
        <v>122816574</v>
      </c>
      <c r="S44" s="405">
        <v>0</v>
      </c>
      <c r="T44" s="405">
        <v>0</v>
      </c>
      <c r="U44" s="406">
        <v>0</v>
      </c>
      <c r="V44" s="406">
        <v>0</v>
      </c>
      <c r="W44" s="407">
        <f t="shared" si="43"/>
        <v>0</v>
      </c>
      <c r="X44" s="407">
        <f t="shared" si="44"/>
        <v>100</v>
      </c>
      <c r="Y44" s="408">
        <f t="shared" si="45"/>
        <v>3</v>
      </c>
      <c r="Z44" s="444" t="s">
        <v>3285</v>
      </c>
      <c r="AA44" s="442">
        <v>0</v>
      </c>
      <c r="AB44" s="406">
        <v>0</v>
      </c>
      <c r="AC44" s="406">
        <v>0</v>
      </c>
      <c r="AD44" s="407">
        <f t="shared" si="46"/>
        <v>0</v>
      </c>
      <c r="AE44" s="364" t="str">
        <f t="shared" si="47"/>
        <v>50</v>
      </c>
      <c r="AF44" s="349">
        <f t="shared" si="48"/>
        <v>0.25</v>
      </c>
      <c r="AG44" s="154">
        <v>1072</v>
      </c>
      <c r="AH44" s="420">
        <v>3067102</v>
      </c>
      <c r="AI44" s="409">
        <f t="shared" si="13"/>
        <v>2861.1026119402986</v>
      </c>
      <c r="AJ44" s="409">
        <f t="shared" si="14"/>
        <v>100</v>
      </c>
      <c r="AK44" s="408">
        <f t="shared" si="49"/>
        <v>1</v>
      </c>
      <c r="AL44" s="45">
        <v>1857435</v>
      </c>
      <c r="AM44" s="361">
        <f t="shared" si="15"/>
        <v>65.125670615660852</v>
      </c>
      <c r="AN44" s="365">
        <f t="shared" si="16"/>
        <v>37.21106324043641</v>
      </c>
      <c r="AO44" s="320">
        <f t="shared" si="50"/>
        <v>0.37211063240436409</v>
      </c>
      <c r="AP44" s="277">
        <f>_xlfn.XLOOKUP(C44, '1.건전성'!C:C, '1.건전성'!BE:BE)</f>
        <v>27333164</v>
      </c>
      <c r="AQ44" s="277">
        <f>_xlfn.XLOOKUP(C44, '1.건전성'!C:C, '1.건전성'!BF:BF)</f>
        <v>2578847</v>
      </c>
      <c r="AR44" s="410">
        <f t="shared" si="17"/>
        <v>29912011</v>
      </c>
      <c r="AS44" s="366">
        <f t="shared" si="8"/>
        <v>6.5492263301195823</v>
      </c>
      <c r="AT44" s="366">
        <f t="shared" si="18"/>
        <v>29.559718339286118</v>
      </c>
      <c r="AU44" s="321">
        <f t="shared" si="19"/>
        <v>0.29559718339286117</v>
      </c>
      <c r="AV44" s="15">
        <v>4127771</v>
      </c>
      <c r="AW44" s="361">
        <f t="shared" si="9"/>
        <v>0.9037742904649253</v>
      </c>
      <c r="AX44" s="361">
        <f t="shared" si="20"/>
        <v>31.089199170188827</v>
      </c>
      <c r="AY44" s="321">
        <f t="shared" si="51"/>
        <v>0.15544599585094415</v>
      </c>
      <c r="AZ44" s="411">
        <v>1.9</v>
      </c>
      <c r="BA44" s="412">
        <f t="shared" si="21"/>
        <v>20</v>
      </c>
      <c r="BB44" s="408">
        <f t="shared" si="52"/>
        <v>0.1</v>
      </c>
      <c r="BC44" s="204">
        <v>1</v>
      </c>
      <c r="BD44" s="407">
        <f t="shared" si="22"/>
        <v>100</v>
      </c>
      <c r="BE44" s="408">
        <f t="shared" si="53"/>
        <v>0.5</v>
      </c>
      <c r="BF44" s="204">
        <v>0</v>
      </c>
      <c r="BG44" s="204">
        <v>0</v>
      </c>
      <c r="BH44" s="204">
        <v>0</v>
      </c>
      <c r="BI44" s="272" t="str">
        <f t="shared" si="23"/>
        <v>A</v>
      </c>
      <c r="BJ44" s="247">
        <f t="shared" si="24"/>
        <v>100</v>
      </c>
      <c r="BK44" s="90">
        <f t="shared" si="25"/>
        <v>3</v>
      </c>
      <c r="BL44" s="406">
        <v>173</v>
      </c>
      <c r="BM44" s="413">
        <f t="shared" si="26"/>
        <v>16.138059701492537</v>
      </c>
      <c r="BN44" s="414">
        <f t="shared" si="27"/>
        <v>20</v>
      </c>
      <c r="BO44" s="415">
        <f t="shared" si="28"/>
        <v>0.6</v>
      </c>
      <c r="BP44" s="416">
        <v>0.81</v>
      </c>
      <c r="BQ44" s="417">
        <f t="shared" si="29"/>
        <v>66.666666666666671</v>
      </c>
      <c r="BR44" s="415">
        <f t="shared" si="30"/>
        <v>0.66666666666666674</v>
      </c>
      <c r="BS44" s="350">
        <f t="shared" si="31"/>
        <v>9.9398204783148341</v>
      </c>
    </row>
    <row r="45" spans="1:71" x14ac:dyDescent="0.6">
      <c r="A45" s="214" t="s">
        <v>1539</v>
      </c>
      <c r="B45" s="13" t="s">
        <v>2022</v>
      </c>
      <c r="C45" s="219" t="s">
        <v>1540</v>
      </c>
      <c r="D45" s="14" t="s">
        <v>203</v>
      </c>
      <c r="E45" s="217" t="s">
        <v>187</v>
      </c>
      <c r="F45" s="217" t="s">
        <v>1541</v>
      </c>
      <c r="G45" s="218">
        <v>39288</v>
      </c>
      <c r="H45" s="217" t="s">
        <v>830</v>
      </c>
      <c r="I45" s="217" t="s">
        <v>1542</v>
      </c>
      <c r="J45" s="217" t="s">
        <v>1543</v>
      </c>
      <c r="K45" s="217" t="s">
        <v>91</v>
      </c>
      <c r="L45" s="220">
        <v>19550742827</v>
      </c>
      <c r="M45" s="206">
        <v>3581307796</v>
      </c>
      <c r="N45" s="206">
        <v>15969435031</v>
      </c>
      <c r="O45" s="206">
        <v>1983533544</v>
      </c>
      <c r="P45" s="206">
        <v>611371885</v>
      </c>
      <c r="Q45" s="206">
        <v>602096059</v>
      </c>
      <c r="R45" s="206">
        <v>453183233</v>
      </c>
      <c r="S45" s="405">
        <v>0</v>
      </c>
      <c r="T45" s="405">
        <v>0</v>
      </c>
      <c r="U45" s="406">
        <v>0</v>
      </c>
      <c r="V45" s="406">
        <v>0</v>
      </c>
      <c r="W45" s="407">
        <f t="shared" si="43"/>
        <v>0</v>
      </c>
      <c r="X45" s="407">
        <f t="shared" si="44"/>
        <v>100</v>
      </c>
      <c r="Y45" s="408">
        <f t="shared" si="45"/>
        <v>3</v>
      </c>
      <c r="Z45" s="444" t="s">
        <v>3286</v>
      </c>
      <c r="AA45" s="442">
        <v>0</v>
      </c>
      <c r="AB45" s="406">
        <v>0</v>
      </c>
      <c r="AC45" s="406">
        <v>0</v>
      </c>
      <c r="AD45" s="407">
        <f t="shared" si="46"/>
        <v>0</v>
      </c>
      <c r="AE45" s="364" t="str">
        <f t="shared" si="47"/>
        <v>50</v>
      </c>
      <c r="AF45" s="349">
        <f t="shared" si="48"/>
        <v>0.25</v>
      </c>
      <c r="AG45" s="154">
        <v>1500</v>
      </c>
      <c r="AH45" s="421"/>
      <c r="AI45" s="409">
        <f t="shared" si="13"/>
        <v>0</v>
      </c>
      <c r="AJ45" s="409">
        <f t="shared" si="14"/>
        <v>25</v>
      </c>
      <c r="AK45" s="408">
        <f t="shared" si="49"/>
        <v>0.25</v>
      </c>
      <c r="AL45" s="423"/>
      <c r="AM45" s="424">
        <v>0</v>
      </c>
      <c r="AN45" s="365">
        <f t="shared" si="16"/>
        <v>25</v>
      </c>
      <c r="AO45" s="320">
        <f t="shared" si="50"/>
        <v>0.25</v>
      </c>
      <c r="AP45" s="277">
        <f>_xlfn.XLOOKUP(C45, '1.건전성'!C:C, '1.건전성'!BE:BE)</f>
        <v>58081000</v>
      </c>
      <c r="AQ45" s="277">
        <f>_xlfn.XLOOKUP(C45, '1.건전성'!C:C, '1.건전성'!BF:BF)</f>
        <v>10531000</v>
      </c>
      <c r="AR45" s="410">
        <f t="shared" si="17"/>
        <v>68612000</v>
      </c>
      <c r="AS45" s="366">
        <f t="shared" si="8"/>
        <v>3.4590793892820595</v>
      </c>
      <c r="AT45" s="366">
        <f t="shared" si="18"/>
        <v>27.230461851217633</v>
      </c>
      <c r="AU45" s="321">
        <f t="shared" si="19"/>
        <v>0.27230461851217636</v>
      </c>
      <c r="AV45" s="15">
        <v>25230000</v>
      </c>
      <c r="AW45" s="361">
        <f t="shared" si="9"/>
        <v>1.2719724391008334</v>
      </c>
      <c r="AX45" s="361">
        <f t="shared" si="20"/>
        <v>33.878579084097225</v>
      </c>
      <c r="AY45" s="321">
        <f t="shared" si="51"/>
        <v>0.16939289542048613</v>
      </c>
      <c r="AZ45" s="411">
        <v>11.69</v>
      </c>
      <c r="BA45" s="412">
        <f t="shared" si="21"/>
        <v>100</v>
      </c>
      <c r="BB45" s="408">
        <f t="shared" si="52"/>
        <v>0.5</v>
      </c>
      <c r="BC45" s="204">
        <v>1</v>
      </c>
      <c r="BD45" s="407">
        <f t="shared" si="22"/>
        <v>100</v>
      </c>
      <c r="BE45" s="408">
        <f t="shared" si="53"/>
        <v>0.5</v>
      </c>
      <c r="BF45" s="204">
        <v>1</v>
      </c>
      <c r="BG45" s="204">
        <v>1</v>
      </c>
      <c r="BH45" s="204">
        <v>1</v>
      </c>
      <c r="BI45" s="272" t="str">
        <f t="shared" si="23"/>
        <v>D</v>
      </c>
      <c r="BJ45" s="247">
        <f t="shared" si="24"/>
        <v>25</v>
      </c>
      <c r="BK45" s="90">
        <f t="shared" si="25"/>
        <v>0.75</v>
      </c>
      <c r="BL45" s="406">
        <v>72</v>
      </c>
      <c r="BM45" s="413">
        <f t="shared" si="26"/>
        <v>4.8</v>
      </c>
      <c r="BN45" s="414">
        <f t="shared" si="27"/>
        <v>40</v>
      </c>
      <c r="BO45" s="415">
        <f t="shared" si="28"/>
        <v>1.2</v>
      </c>
      <c r="BP45" s="416">
        <v>0</v>
      </c>
      <c r="BQ45" s="417">
        <f t="shared" si="29"/>
        <v>33.333333333333336</v>
      </c>
      <c r="BR45" s="415">
        <f t="shared" si="30"/>
        <v>0.33333333333333337</v>
      </c>
      <c r="BS45" s="350">
        <f t="shared" si="31"/>
        <v>7.4750308472659963</v>
      </c>
    </row>
    <row r="46" spans="1:71" x14ac:dyDescent="0.6">
      <c r="A46" s="214" t="s">
        <v>1544</v>
      </c>
      <c r="B46" s="13" t="s">
        <v>2023</v>
      </c>
      <c r="C46" s="219" t="s">
        <v>543</v>
      </c>
      <c r="D46" s="221" t="s">
        <v>350</v>
      </c>
      <c r="E46" s="217" t="s">
        <v>179</v>
      </c>
      <c r="F46" s="217" t="s">
        <v>199</v>
      </c>
      <c r="G46" s="218">
        <v>31675</v>
      </c>
      <c r="H46" s="217" t="s">
        <v>830</v>
      </c>
      <c r="I46" s="217" t="s">
        <v>1545</v>
      </c>
      <c r="J46" s="217" t="s">
        <v>1035</v>
      </c>
      <c r="K46" s="217" t="s">
        <v>91</v>
      </c>
      <c r="L46" s="220">
        <v>5612706908</v>
      </c>
      <c r="M46" s="206">
        <v>5005166436</v>
      </c>
      <c r="N46" s="206">
        <v>607540471</v>
      </c>
      <c r="O46" s="206">
        <v>1137658845</v>
      </c>
      <c r="P46" s="206">
        <v>12048913</v>
      </c>
      <c r="Q46" s="206">
        <v>5565314</v>
      </c>
      <c r="R46" s="206">
        <v>4440548</v>
      </c>
      <c r="S46" s="275" t="s">
        <v>2326</v>
      </c>
      <c r="T46" s="275" t="s">
        <v>2326</v>
      </c>
      <c r="U46" s="275" t="s">
        <v>2326</v>
      </c>
      <c r="V46" s="275" t="s">
        <v>2326</v>
      </c>
      <c r="W46" s="275" t="s">
        <v>2326</v>
      </c>
      <c r="X46" s="275" t="s">
        <v>2326</v>
      </c>
      <c r="Y46" s="276"/>
      <c r="Z46" s="275" t="s">
        <v>2326</v>
      </c>
      <c r="AA46" s="275" t="s">
        <v>2326</v>
      </c>
      <c r="AB46" s="275" t="s">
        <v>2326</v>
      </c>
      <c r="AC46" s="275" t="s">
        <v>2326</v>
      </c>
      <c r="AD46" s="275" t="s">
        <v>2326</v>
      </c>
      <c r="AE46" s="275" t="s">
        <v>2326</v>
      </c>
      <c r="AF46" s="275"/>
      <c r="AG46" s="154">
        <v>958</v>
      </c>
      <c r="AH46" s="421"/>
      <c r="AI46" s="409">
        <f t="shared" si="13"/>
        <v>0</v>
      </c>
      <c r="AJ46" s="409">
        <f t="shared" si="14"/>
        <v>25</v>
      </c>
      <c r="AK46" s="418">
        <f>AJ46*0.02</f>
        <v>0.5</v>
      </c>
      <c r="AL46" s="423"/>
      <c r="AM46" s="424">
        <v>0</v>
      </c>
      <c r="AN46" s="365">
        <f t="shared" si="16"/>
        <v>25</v>
      </c>
      <c r="AO46" s="322">
        <f>AN46*0.02</f>
        <v>0.5</v>
      </c>
      <c r="AP46" s="277">
        <f>_xlfn.XLOOKUP(C46, '1.건전성'!C:C, '1.건전성'!BE:BE)</f>
        <v>105515000</v>
      </c>
      <c r="AQ46" s="277">
        <f>_xlfn.XLOOKUP(C46, '1.건전성'!C:C, '1.건전성'!BF:BF)</f>
        <v>11294000</v>
      </c>
      <c r="AR46" s="410">
        <f t="shared" si="17"/>
        <v>116809000</v>
      </c>
      <c r="AS46" s="366">
        <f t="shared" si="8"/>
        <v>10.267489284100806</v>
      </c>
      <c r="AT46" s="366">
        <f t="shared" si="18"/>
        <v>32.362429108618699</v>
      </c>
      <c r="AU46" s="321">
        <f t="shared" si="19"/>
        <v>0.32362429108618701</v>
      </c>
      <c r="AV46" s="15">
        <v>22139000</v>
      </c>
      <c r="AW46" s="361">
        <f t="shared" si="9"/>
        <v>1.9460139651970976</v>
      </c>
      <c r="AX46" s="361">
        <f t="shared" si="20"/>
        <v>38.984954281796192</v>
      </c>
      <c r="AY46" s="348">
        <f>AX46*0.01</f>
        <v>0.38984954281796191</v>
      </c>
      <c r="AZ46" s="411">
        <v>11.2</v>
      </c>
      <c r="BA46" s="412">
        <f t="shared" si="21"/>
        <v>100</v>
      </c>
      <c r="BB46" s="418">
        <f>BA46*0.01</f>
        <v>1</v>
      </c>
      <c r="BC46" s="204">
        <v>1</v>
      </c>
      <c r="BD46" s="407">
        <f t="shared" si="22"/>
        <v>100</v>
      </c>
      <c r="BE46" s="418">
        <f>BD46*0.01</f>
        <v>1</v>
      </c>
      <c r="BF46" s="204">
        <v>1</v>
      </c>
      <c r="BG46" s="204">
        <v>1</v>
      </c>
      <c r="BH46" s="204">
        <v>0</v>
      </c>
      <c r="BI46" s="272" t="str">
        <f t="shared" si="23"/>
        <v>C</v>
      </c>
      <c r="BJ46" s="247">
        <f t="shared" si="24"/>
        <v>50</v>
      </c>
      <c r="BK46" s="90">
        <f t="shared" si="25"/>
        <v>1.5</v>
      </c>
      <c r="BL46" s="406">
        <v>150</v>
      </c>
      <c r="BM46" s="413">
        <f t="shared" si="26"/>
        <v>15.657620041753653</v>
      </c>
      <c r="BN46" s="414">
        <f t="shared" si="27"/>
        <v>20</v>
      </c>
      <c r="BO46" s="415">
        <f t="shared" si="28"/>
        <v>0.6</v>
      </c>
      <c r="BP46" s="416">
        <v>0.84</v>
      </c>
      <c r="BQ46" s="417">
        <f t="shared" si="29"/>
        <v>66.666666666666671</v>
      </c>
      <c r="BR46" s="415">
        <f t="shared" si="30"/>
        <v>0.66666666666666674</v>
      </c>
      <c r="BS46" s="350">
        <f t="shared" si="31"/>
        <v>6.4801405005708155</v>
      </c>
    </row>
    <row r="47" spans="1:71" x14ac:dyDescent="0.6">
      <c r="A47" s="214" t="s">
        <v>1546</v>
      </c>
      <c r="B47" s="13" t="s">
        <v>2024</v>
      </c>
      <c r="C47" s="219" t="s">
        <v>1547</v>
      </c>
      <c r="D47" s="14" t="s">
        <v>203</v>
      </c>
      <c r="E47" s="217" t="s">
        <v>1548</v>
      </c>
      <c r="F47" s="217" t="s">
        <v>1549</v>
      </c>
      <c r="G47" s="218">
        <v>43105</v>
      </c>
      <c r="H47" s="217" t="s">
        <v>830</v>
      </c>
      <c r="I47" s="217" t="s">
        <v>1550</v>
      </c>
      <c r="J47" s="217" t="s">
        <v>1551</v>
      </c>
      <c r="K47" s="217" t="s">
        <v>690</v>
      </c>
      <c r="L47" s="220">
        <v>1810477193</v>
      </c>
      <c r="M47" s="206">
        <v>690879147</v>
      </c>
      <c r="N47" s="206">
        <v>1119598046</v>
      </c>
      <c r="O47" s="206">
        <v>1256030179</v>
      </c>
      <c r="P47" s="206">
        <v>107526937</v>
      </c>
      <c r="Q47" s="206">
        <v>88400704</v>
      </c>
      <c r="R47" s="206">
        <v>69270430</v>
      </c>
      <c r="S47" s="405">
        <v>0</v>
      </c>
      <c r="T47" s="405">
        <v>0</v>
      </c>
      <c r="U47" s="406">
        <v>0</v>
      </c>
      <c r="V47" s="406">
        <v>0</v>
      </c>
      <c r="W47" s="407">
        <f t="shared" ref="W47:W62" si="54">SUM(S47:V47)</f>
        <v>0</v>
      </c>
      <c r="X47" s="407">
        <f t="shared" ref="X47:X62" si="55">IF(W47=0, 100, IF(W47=1, 80, IF(W47=2, 60, IF(W47=3, 40, IF(W47=4, 20)))))</f>
        <v>100</v>
      </c>
      <c r="Y47" s="408">
        <f t="shared" ref="Y47:Y62" si="56">X47*0.03</f>
        <v>3</v>
      </c>
      <c r="Z47" s="444" t="s">
        <v>3287</v>
      </c>
      <c r="AA47" s="442">
        <v>0</v>
      </c>
      <c r="AB47" s="406">
        <v>1</v>
      </c>
      <c r="AC47" s="406">
        <v>0</v>
      </c>
      <c r="AD47" s="407">
        <f t="shared" ref="AD47:AD62" si="57">SUM(AA47:AC47)</f>
        <v>1</v>
      </c>
      <c r="AE47" s="364" t="str">
        <f t="shared" ref="AE47:AE62" si="58">IF(AD47&gt;=1,"100","50")</f>
        <v>100</v>
      </c>
      <c r="AF47" s="349">
        <f t="shared" ref="AF47:AF62" si="59">AE47*0.005</f>
        <v>0.5</v>
      </c>
      <c r="AG47" s="154">
        <v>1425</v>
      </c>
      <c r="AH47" s="154">
        <v>2798774</v>
      </c>
      <c r="AI47" s="409">
        <f t="shared" si="13"/>
        <v>1964.0519298245615</v>
      </c>
      <c r="AJ47" s="409">
        <f t="shared" si="14"/>
        <v>100</v>
      </c>
      <c r="AK47" s="408">
        <f t="shared" ref="AK47:AK62" si="60">AJ47*0.01</f>
        <v>1</v>
      </c>
      <c r="AL47" s="45">
        <v>2053197</v>
      </c>
      <c r="AM47" s="361">
        <f t="shared" si="15"/>
        <v>36.312979222159392</v>
      </c>
      <c r="AN47" s="365">
        <f t="shared" si="16"/>
        <v>31.808683604154886</v>
      </c>
      <c r="AO47" s="320">
        <f t="shared" ref="AO47:AO62" si="61">AN47*0.01</f>
        <v>0.31808683604154886</v>
      </c>
      <c r="AP47" s="277">
        <f>_xlfn.XLOOKUP(C47, '1.건전성'!C:C, '1.건전성'!BE:BE)</f>
        <v>60629194</v>
      </c>
      <c r="AQ47" s="277">
        <f>_xlfn.XLOOKUP(C47, '1.건전성'!C:C, '1.건전성'!BF:BF)</f>
        <v>4824961</v>
      </c>
      <c r="AR47" s="410">
        <f t="shared" si="17"/>
        <v>65454155</v>
      </c>
      <c r="AS47" s="366">
        <f t="shared" si="8"/>
        <v>5.2111928594034209</v>
      </c>
      <c r="AT47" s="366">
        <f t="shared" si="18"/>
        <v>28.551150396535242</v>
      </c>
      <c r="AU47" s="321">
        <f t="shared" si="19"/>
        <v>0.28551150396535241</v>
      </c>
      <c r="AV47" s="15">
        <v>13070732</v>
      </c>
      <c r="AW47" s="361">
        <f t="shared" si="9"/>
        <v>1.0406383714765821</v>
      </c>
      <c r="AX47" s="361">
        <f t="shared" si="20"/>
        <v>32.126048268761984</v>
      </c>
      <c r="AY47" s="321">
        <f t="shared" ref="AY47:AY62" si="62">AX47*0.005</f>
        <v>0.16063024134380993</v>
      </c>
      <c r="AZ47" s="411">
        <v>3.82</v>
      </c>
      <c r="BA47" s="412">
        <f t="shared" si="21"/>
        <v>20</v>
      </c>
      <c r="BB47" s="408">
        <f t="shared" ref="BB47:BB62" si="63">BA47*0.005</f>
        <v>0.1</v>
      </c>
      <c r="BC47" s="204">
        <v>1</v>
      </c>
      <c r="BD47" s="407">
        <f t="shared" si="22"/>
        <v>100</v>
      </c>
      <c r="BE47" s="408">
        <f t="shared" ref="BE47:BE62" si="64">BD47*0.005</f>
        <v>0.5</v>
      </c>
      <c r="BF47" s="204">
        <v>1</v>
      </c>
      <c r="BG47" s="204">
        <v>1</v>
      </c>
      <c r="BH47" s="204">
        <v>1</v>
      </c>
      <c r="BI47" s="272" t="str">
        <f t="shared" si="23"/>
        <v>D</v>
      </c>
      <c r="BJ47" s="247">
        <f t="shared" si="24"/>
        <v>25</v>
      </c>
      <c r="BK47" s="90">
        <f t="shared" si="25"/>
        <v>0.75</v>
      </c>
      <c r="BL47" s="406">
        <v>88</v>
      </c>
      <c r="BM47" s="413">
        <f t="shared" si="26"/>
        <v>6.1754385964912286</v>
      </c>
      <c r="BN47" s="414">
        <f t="shared" si="27"/>
        <v>40</v>
      </c>
      <c r="BO47" s="415">
        <f t="shared" si="28"/>
        <v>1.2</v>
      </c>
      <c r="BP47" s="416">
        <v>0</v>
      </c>
      <c r="BQ47" s="417">
        <f t="shared" si="29"/>
        <v>33.333333333333336</v>
      </c>
      <c r="BR47" s="415">
        <f t="shared" si="30"/>
        <v>0.33333333333333337</v>
      </c>
      <c r="BS47" s="350">
        <f t="shared" si="31"/>
        <v>8.1475619146840454</v>
      </c>
    </row>
    <row r="48" spans="1:71" x14ac:dyDescent="0.6">
      <c r="A48" s="214" t="s">
        <v>1552</v>
      </c>
      <c r="B48" s="13" t="s">
        <v>2025</v>
      </c>
      <c r="C48" s="219" t="s">
        <v>1553</v>
      </c>
      <c r="D48" s="14" t="s">
        <v>285</v>
      </c>
      <c r="E48" s="217" t="s">
        <v>56</v>
      </c>
      <c r="F48" s="217" t="s">
        <v>1554</v>
      </c>
      <c r="G48" s="218">
        <v>32819</v>
      </c>
      <c r="H48" s="217" t="s">
        <v>830</v>
      </c>
      <c r="I48" s="217" t="s">
        <v>1555</v>
      </c>
      <c r="J48" s="217" t="s">
        <v>1556</v>
      </c>
      <c r="K48" s="217" t="s">
        <v>91</v>
      </c>
      <c r="L48" s="220">
        <v>26432121000</v>
      </c>
      <c r="M48" s="206">
        <v>16048739000</v>
      </c>
      <c r="N48" s="206">
        <v>10383382000</v>
      </c>
      <c r="O48" s="206">
        <v>12414588000</v>
      </c>
      <c r="P48" s="206">
        <v>1321131000</v>
      </c>
      <c r="Q48" s="206">
        <v>1146250000</v>
      </c>
      <c r="R48" s="206">
        <v>869490000</v>
      </c>
      <c r="S48" s="405">
        <v>0</v>
      </c>
      <c r="T48" s="405">
        <v>0</v>
      </c>
      <c r="U48" s="406">
        <v>0</v>
      </c>
      <c r="V48" s="406">
        <v>0</v>
      </c>
      <c r="W48" s="407">
        <f t="shared" si="54"/>
        <v>0</v>
      </c>
      <c r="X48" s="407">
        <f t="shared" si="55"/>
        <v>100</v>
      </c>
      <c r="Y48" s="408">
        <f t="shared" si="56"/>
        <v>3</v>
      </c>
      <c r="Z48" s="444" t="s">
        <v>3288</v>
      </c>
      <c r="AA48" s="442">
        <v>0</v>
      </c>
      <c r="AB48" s="406">
        <v>0</v>
      </c>
      <c r="AC48" s="406">
        <v>0</v>
      </c>
      <c r="AD48" s="407">
        <f t="shared" si="57"/>
        <v>0</v>
      </c>
      <c r="AE48" s="364" t="str">
        <f t="shared" si="58"/>
        <v>50</v>
      </c>
      <c r="AF48" s="349">
        <f t="shared" si="59"/>
        <v>0.25</v>
      </c>
      <c r="AG48" s="154">
        <v>5413</v>
      </c>
      <c r="AH48" s="421"/>
      <c r="AI48" s="409">
        <f t="shared" si="13"/>
        <v>0</v>
      </c>
      <c r="AJ48" s="409">
        <f t="shared" si="14"/>
        <v>25</v>
      </c>
      <c r="AK48" s="408">
        <f t="shared" si="60"/>
        <v>0.25</v>
      </c>
      <c r="AL48" s="423"/>
      <c r="AM48" s="424">
        <v>0</v>
      </c>
      <c r="AN48" s="365">
        <f t="shared" si="16"/>
        <v>25</v>
      </c>
      <c r="AO48" s="320">
        <f t="shared" si="61"/>
        <v>0.25</v>
      </c>
      <c r="AP48" s="277">
        <f>_xlfn.XLOOKUP(C48, '1.건전성'!C:C, '1.건전성'!BE:BE)</f>
        <v>992964000</v>
      </c>
      <c r="AQ48" s="277">
        <f>_xlfn.XLOOKUP(C48, '1.건전성'!C:C, '1.건전성'!BF:BF)</f>
        <v>28932000</v>
      </c>
      <c r="AR48" s="410">
        <f t="shared" si="17"/>
        <v>1021896000</v>
      </c>
      <c r="AS48" s="366">
        <f t="shared" si="8"/>
        <v>8.2314129151929976</v>
      </c>
      <c r="AT48" s="366">
        <f t="shared" si="18"/>
        <v>30.827698177281153</v>
      </c>
      <c r="AU48" s="321">
        <f t="shared" si="19"/>
        <v>0.30827698177281154</v>
      </c>
      <c r="AV48" s="419"/>
      <c r="AW48" s="361">
        <f t="shared" si="9"/>
        <v>0</v>
      </c>
      <c r="AX48" s="361">
        <f t="shared" si="20"/>
        <v>25</v>
      </c>
      <c r="AY48" s="321">
        <f t="shared" si="62"/>
        <v>0.125</v>
      </c>
      <c r="AZ48" s="411">
        <v>13.1</v>
      </c>
      <c r="BA48" s="412">
        <f t="shared" si="21"/>
        <v>100</v>
      </c>
      <c r="BB48" s="408">
        <f t="shared" si="63"/>
        <v>0.5</v>
      </c>
      <c r="BC48" s="204">
        <v>1</v>
      </c>
      <c r="BD48" s="407">
        <f t="shared" si="22"/>
        <v>100</v>
      </c>
      <c r="BE48" s="408">
        <f t="shared" si="64"/>
        <v>0.5</v>
      </c>
      <c r="BF48" s="204">
        <v>1</v>
      </c>
      <c r="BG48" s="204">
        <v>1</v>
      </c>
      <c r="BH48" s="204">
        <v>1</v>
      </c>
      <c r="BI48" s="272" t="str">
        <f t="shared" si="23"/>
        <v>D</v>
      </c>
      <c r="BJ48" s="247">
        <f t="shared" si="24"/>
        <v>25</v>
      </c>
      <c r="BK48" s="90">
        <f t="shared" si="25"/>
        <v>0.75</v>
      </c>
      <c r="BL48" s="406">
        <v>270</v>
      </c>
      <c r="BM48" s="413">
        <f t="shared" si="26"/>
        <v>4.9879918714206539</v>
      </c>
      <c r="BN48" s="414">
        <f t="shared" si="27"/>
        <v>40</v>
      </c>
      <c r="BO48" s="415">
        <f t="shared" si="28"/>
        <v>1.2</v>
      </c>
      <c r="BP48" s="416">
        <v>0</v>
      </c>
      <c r="BQ48" s="417">
        <f t="shared" si="29"/>
        <v>33.333333333333336</v>
      </c>
      <c r="BR48" s="415">
        <f t="shared" si="30"/>
        <v>0.33333333333333337</v>
      </c>
      <c r="BS48" s="350">
        <f t="shared" si="31"/>
        <v>7.4666103151061449</v>
      </c>
    </row>
    <row r="49" spans="1:71" x14ac:dyDescent="0.6">
      <c r="A49" s="214" t="s">
        <v>479</v>
      </c>
      <c r="B49" s="13" t="s">
        <v>2026</v>
      </c>
      <c r="C49" s="219" t="s">
        <v>907</v>
      </c>
      <c r="D49" s="216" t="s">
        <v>202</v>
      </c>
      <c r="E49" s="217" t="s">
        <v>950</v>
      </c>
      <c r="F49" s="217" t="s">
        <v>961</v>
      </c>
      <c r="G49" s="218">
        <v>35425</v>
      </c>
      <c r="H49" s="217" t="s">
        <v>830</v>
      </c>
      <c r="I49" s="217" t="s">
        <v>616</v>
      </c>
      <c r="J49" s="217" t="s">
        <v>1041</v>
      </c>
      <c r="K49" s="217" t="s">
        <v>690</v>
      </c>
      <c r="L49" s="220">
        <v>91800233000</v>
      </c>
      <c r="M49" s="206">
        <v>31637411000</v>
      </c>
      <c r="N49" s="206">
        <v>60162822000</v>
      </c>
      <c r="O49" s="206">
        <v>37878699000</v>
      </c>
      <c r="P49" s="206">
        <v>7660947000</v>
      </c>
      <c r="Q49" s="206">
        <v>4467040000</v>
      </c>
      <c r="R49" s="206">
        <v>2790457000</v>
      </c>
      <c r="S49" s="405">
        <v>0</v>
      </c>
      <c r="T49" s="405">
        <v>0</v>
      </c>
      <c r="U49" s="406">
        <v>0</v>
      </c>
      <c r="V49" s="406">
        <v>0</v>
      </c>
      <c r="W49" s="407">
        <f t="shared" si="54"/>
        <v>0</v>
      </c>
      <c r="X49" s="407">
        <f t="shared" si="55"/>
        <v>100</v>
      </c>
      <c r="Y49" s="408">
        <f t="shared" si="56"/>
        <v>3</v>
      </c>
      <c r="Z49" s="444" t="s">
        <v>3289</v>
      </c>
      <c r="AA49" s="442">
        <v>1</v>
      </c>
      <c r="AB49" s="406">
        <v>0</v>
      </c>
      <c r="AC49" s="406">
        <v>1</v>
      </c>
      <c r="AD49" s="407">
        <f t="shared" si="57"/>
        <v>2</v>
      </c>
      <c r="AE49" s="364" t="str">
        <f t="shared" si="58"/>
        <v>100</v>
      </c>
      <c r="AF49" s="349">
        <f t="shared" si="59"/>
        <v>0.5</v>
      </c>
      <c r="AG49" s="154">
        <v>31944</v>
      </c>
      <c r="AH49" s="421"/>
      <c r="AI49" s="409">
        <f t="shared" si="13"/>
        <v>0</v>
      </c>
      <c r="AJ49" s="409">
        <f t="shared" si="14"/>
        <v>25</v>
      </c>
      <c r="AK49" s="408">
        <f t="shared" si="60"/>
        <v>0.25</v>
      </c>
      <c r="AL49" s="423"/>
      <c r="AM49" s="424">
        <v>0</v>
      </c>
      <c r="AN49" s="365">
        <f t="shared" si="16"/>
        <v>25</v>
      </c>
      <c r="AO49" s="320">
        <f t="shared" si="61"/>
        <v>0.25</v>
      </c>
      <c r="AP49" s="277">
        <f>_xlfn.XLOOKUP(C49, '1.건전성'!C:C, '1.건전성'!BE:BE)</f>
        <v>560673000</v>
      </c>
      <c r="AQ49" s="277">
        <f>_xlfn.XLOOKUP(C49, '1.건전성'!C:C, '1.건전성'!BF:BF)</f>
        <v>37151000</v>
      </c>
      <c r="AR49" s="410">
        <f t="shared" si="17"/>
        <v>597824000</v>
      </c>
      <c r="AS49" s="366">
        <f t="shared" si="8"/>
        <v>1.5782590632270659</v>
      </c>
      <c r="AT49" s="366">
        <f t="shared" si="18"/>
        <v>25.812758087859596</v>
      </c>
      <c r="AU49" s="321">
        <f t="shared" si="19"/>
        <v>0.25812758087859594</v>
      </c>
      <c r="AV49" s="15">
        <v>15490900</v>
      </c>
      <c r="AW49" s="361">
        <f t="shared" si="9"/>
        <v>4.0896071958543244E-2</v>
      </c>
      <c r="AX49" s="361">
        <f t="shared" si="20"/>
        <v>25</v>
      </c>
      <c r="AY49" s="321">
        <f t="shared" si="62"/>
        <v>0.125</v>
      </c>
      <c r="AZ49" s="411">
        <v>11.84</v>
      </c>
      <c r="BA49" s="412">
        <f t="shared" si="21"/>
        <v>100</v>
      </c>
      <c r="BB49" s="408">
        <f t="shared" si="63"/>
        <v>0.5</v>
      </c>
      <c r="BC49" s="204">
        <v>1</v>
      </c>
      <c r="BD49" s="407">
        <f t="shared" si="22"/>
        <v>100</v>
      </c>
      <c r="BE49" s="408">
        <f t="shared" si="64"/>
        <v>0.5</v>
      </c>
      <c r="BF49" s="204">
        <v>0</v>
      </c>
      <c r="BG49" s="204">
        <v>1</v>
      </c>
      <c r="BH49" s="204">
        <v>1</v>
      </c>
      <c r="BI49" s="272" t="str">
        <f t="shared" si="23"/>
        <v>D</v>
      </c>
      <c r="BJ49" s="247">
        <f t="shared" si="24"/>
        <v>25</v>
      </c>
      <c r="BK49" s="90">
        <f t="shared" si="25"/>
        <v>0.75</v>
      </c>
      <c r="BL49" s="406">
        <v>88</v>
      </c>
      <c r="BM49" s="413">
        <f t="shared" si="26"/>
        <v>0.27548209366391185</v>
      </c>
      <c r="BN49" s="414">
        <f t="shared" si="27"/>
        <v>100</v>
      </c>
      <c r="BO49" s="415">
        <f t="shared" si="28"/>
        <v>3</v>
      </c>
      <c r="BP49" s="416">
        <v>0.47</v>
      </c>
      <c r="BQ49" s="417">
        <f t="shared" si="29"/>
        <v>66.666666666666671</v>
      </c>
      <c r="BR49" s="415">
        <f t="shared" si="30"/>
        <v>0.66666666666666674</v>
      </c>
      <c r="BS49" s="350">
        <f t="shared" si="31"/>
        <v>9.7997942475452628</v>
      </c>
    </row>
    <row r="50" spans="1:71" x14ac:dyDescent="0.6">
      <c r="A50" s="214" t="s">
        <v>1557</v>
      </c>
      <c r="B50" s="13" t="s">
        <v>2027</v>
      </c>
      <c r="C50" s="219" t="s">
        <v>1558</v>
      </c>
      <c r="D50" s="14" t="s">
        <v>202</v>
      </c>
      <c r="E50" s="217" t="s">
        <v>954</v>
      </c>
      <c r="F50" s="217" t="s">
        <v>1559</v>
      </c>
      <c r="G50" s="218">
        <v>27949</v>
      </c>
      <c r="H50" s="217" t="s">
        <v>830</v>
      </c>
      <c r="I50" s="217" t="s">
        <v>1560</v>
      </c>
      <c r="J50" s="217" t="s">
        <v>1561</v>
      </c>
      <c r="K50" s="217" t="s">
        <v>50</v>
      </c>
      <c r="L50" s="220">
        <v>913694578</v>
      </c>
      <c r="M50" s="206">
        <v>256815975</v>
      </c>
      <c r="N50" s="206">
        <v>656878603</v>
      </c>
      <c r="O50" s="206">
        <v>320369756</v>
      </c>
      <c r="P50" s="206">
        <v>25070424</v>
      </c>
      <c r="Q50" s="206">
        <v>28857902</v>
      </c>
      <c r="R50" s="206">
        <v>22824949</v>
      </c>
      <c r="S50" s="405">
        <v>0</v>
      </c>
      <c r="T50" s="405">
        <v>0</v>
      </c>
      <c r="U50" s="406">
        <v>0</v>
      </c>
      <c r="V50" s="406">
        <v>0</v>
      </c>
      <c r="W50" s="407">
        <f t="shared" si="54"/>
        <v>0</v>
      </c>
      <c r="X50" s="407">
        <f t="shared" si="55"/>
        <v>100</v>
      </c>
      <c r="Y50" s="408">
        <f t="shared" si="56"/>
        <v>3</v>
      </c>
      <c r="Z50" s="444" t="s">
        <v>3290</v>
      </c>
      <c r="AA50" s="442">
        <v>0</v>
      </c>
      <c r="AB50" s="406">
        <v>0</v>
      </c>
      <c r="AC50" s="406">
        <v>0</v>
      </c>
      <c r="AD50" s="407">
        <f t="shared" si="57"/>
        <v>0</v>
      </c>
      <c r="AE50" s="364" t="str">
        <f t="shared" si="58"/>
        <v>50</v>
      </c>
      <c r="AF50" s="349">
        <f t="shared" si="59"/>
        <v>0.25</v>
      </c>
      <c r="AG50" s="154">
        <v>558</v>
      </c>
      <c r="AH50" s="154">
        <v>72327</v>
      </c>
      <c r="AI50" s="409">
        <f t="shared" si="13"/>
        <v>129.61827956989248</v>
      </c>
      <c r="AJ50" s="409">
        <f t="shared" si="14"/>
        <v>100</v>
      </c>
      <c r="AK50" s="408">
        <f t="shared" si="60"/>
        <v>1</v>
      </c>
      <c r="AL50" s="45">
        <v>56545</v>
      </c>
      <c r="AM50" s="361">
        <f t="shared" si="15"/>
        <v>27.910513750110532</v>
      </c>
      <c r="AN50" s="365">
        <f t="shared" si="16"/>
        <v>30.233221328145724</v>
      </c>
      <c r="AO50" s="320">
        <f t="shared" si="61"/>
        <v>0.30233221328145726</v>
      </c>
      <c r="AP50" s="277">
        <f>_xlfn.XLOOKUP(C50, '1.건전성'!C:C, '1.건전성'!BE:BE)</f>
        <v>4807476</v>
      </c>
      <c r="AQ50" s="277">
        <f>_xlfn.XLOOKUP(C50, '1.건전성'!C:C, '1.건전성'!BF:BF)</f>
        <v>504311</v>
      </c>
      <c r="AR50" s="410">
        <f t="shared" si="17"/>
        <v>5311787</v>
      </c>
      <c r="AS50" s="366">
        <f t="shared" si="8"/>
        <v>1.65801761886662</v>
      </c>
      <c r="AT50" s="366">
        <f t="shared" si="18"/>
        <v>25.87287760216077</v>
      </c>
      <c r="AU50" s="321">
        <f t="shared" si="19"/>
        <v>0.25872877602160771</v>
      </c>
      <c r="AV50" s="15">
        <v>984017</v>
      </c>
      <c r="AW50" s="361">
        <f t="shared" si="9"/>
        <v>0.30715040404750316</v>
      </c>
      <c r="AX50" s="361">
        <f t="shared" si="20"/>
        <v>26.569321242784113</v>
      </c>
      <c r="AY50" s="321">
        <f t="shared" si="62"/>
        <v>0.13284660621392058</v>
      </c>
      <c r="AZ50" s="411">
        <v>27.9</v>
      </c>
      <c r="BA50" s="412">
        <f t="shared" si="21"/>
        <v>100</v>
      </c>
      <c r="BB50" s="408">
        <f t="shared" si="63"/>
        <v>0.5</v>
      </c>
      <c r="BC50" s="204">
        <v>1</v>
      </c>
      <c r="BD50" s="407">
        <f t="shared" si="22"/>
        <v>100</v>
      </c>
      <c r="BE50" s="408">
        <f t="shared" si="64"/>
        <v>0.5</v>
      </c>
      <c r="BF50" s="204">
        <v>0</v>
      </c>
      <c r="BG50" s="204">
        <v>0</v>
      </c>
      <c r="BH50" s="204">
        <v>0</v>
      </c>
      <c r="BI50" s="272" t="str">
        <f t="shared" si="23"/>
        <v>A</v>
      </c>
      <c r="BJ50" s="247">
        <f t="shared" si="24"/>
        <v>100</v>
      </c>
      <c r="BK50" s="90">
        <f t="shared" si="25"/>
        <v>3</v>
      </c>
      <c r="BL50" s="406">
        <v>2</v>
      </c>
      <c r="BM50" s="413">
        <f t="shared" si="26"/>
        <v>0.35842293906810035</v>
      </c>
      <c r="BN50" s="414">
        <f t="shared" si="27"/>
        <v>100</v>
      </c>
      <c r="BO50" s="415">
        <f t="shared" si="28"/>
        <v>3</v>
      </c>
      <c r="BP50" s="416">
        <v>0</v>
      </c>
      <c r="BQ50" s="417">
        <f t="shared" si="29"/>
        <v>33.333333333333336</v>
      </c>
      <c r="BR50" s="415">
        <f t="shared" si="30"/>
        <v>0.33333333333333337</v>
      </c>
      <c r="BS50" s="350">
        <f t="shared" si="31"/>
        <v>12.27724092885032</v>
      </c>
    </row>
    <row r="51" spans="1:71" x14ac:dyDescent="0.6">
      <c r="A51" s="214" t="s">
        <v>338</v>
      </c>
      <c r="B51" s="13" t="s">
        <v>2028</v>
      </c>
      <c r="C51" s="219" t="s">
        <v>80</v>
      </c>
      <c r="D51" s="216" t="s">
        <v>202</v>
      </c>
      <c r="E51" s="217" t="s">
        <v>954</v>
      </c>
      <c r="F51" s="217" t="s">
        <v>146</v>
      </c>
      <c r="G51" s="218">
        <v>37326</v>
      </c>
      <c r="H51" s="217" t="s">
        <v>830</v>
      </c>
      <c r="I51" s="217" t="s">
        <v>1562</v>
      </c>
      <c r="J51" s="217" t="s">
        <v>1239</v>
      </c>
      <c r="K51" s="217" t="s">
        <v>484</v>
      </c>
      <c r="L51" s="220">
        <v>1219422735</v>
      </c>
      <c r="M51" s="206">
        <v>343607691</v>
      </c>
      <c r="N51" s="206">
        <v>875815044</v>
      </c>
      <c r="O51" s="206">
        <v>1004821817</v>
      </c>
      <c r="P51" s="206">
        <v>113170594</v>
      </c>
      <c r="Q51" s="206">
        <v>122466158</v>
      </c>
      <c r="R51" s="206">
        <v>91032057</v>
      </c>
      <c r="S51" s="405">
        <v>0</v>
      </c>
      <c r="T51" s="405">
        <v>0</v>
      </c>
      <c r="U51" s="406">
        <v>0</v>
      </c>
      <c r="V51" s="406">
        <v>0</v>
      </c>
      <c r="W51" s="407">
        <f t="shared" si="54"/>
        <v>0</v>
      </c>
      <c r="X51" s="407">
        <f t="shared" si="55"/>
        <v>100</v>
      </c>
      <c r="Y51" s="408">
        <f t="shared" si="56"/>
        <v>3</v>
      </c>
      <c r="Z51" s="444" t="s">
        <v>3291</v>
      </c>
      <c r="AA51" s="442">
        <v>0</v>
      </c>
      <c r="AB51" s="406">
        <v>0</v>
      </c>
      <c r="AC51" s="406">
        <v>0</v>
      </c>
      <c r="AD51" s="407">
        <f t="shared" si="57"/>
        <v>0</v>
      </c>
      <c r="AE51" s="364" t="str">
        <f t="shared" si="58"/>
        <v>50</v>
      </c>
      <c r="AF51" s="349">
        <f t="shared" si="59"/>
        <v>0.25</v>
      </c>
      <c r="AG51" s="154">
        <v>716</v>
      </c>
      <c r="AH51" s="154">
        <v>9800</v>
      </c>
      <c r="AI51" s="409">
        <f t="shared" si="13"/>
        <v>13.687150837988828</v>
      </c>
      <c r="AJ51" s="409">
        <f t="shared" si="14"/>
        <v>35.265363128491622</v>
      </c>
      <c r="AK51" s="408">
        <f t="shared" si="60"/>
        <v>0.35265363128491622</v>
      </c>
      <c r="AL51" s="45">
        <v>5423</v>
      </c>
      <c r="AM51" s="361">
        <f t="shared" si="15"/>
        <v>80.711783145860224</v>
      </c>
      <c r="AN51" s="365">
        <f t="shared" si="16"/>
        <v>40.133459339848791</v>
      </c>
      <c r="AO51" s="320">
        <f t="shared" si="61"/>
        <v>0.40133459339848793</v>
      </c>
      <c r="AP51" s="277">
        <f>_xlfn.XLOOKUP(C51, '1.건전성'!C:C, '1.건전성'!BE:BE)</f>
        <v>3912241</v>
      </c>
      <c r="AQ51" s="277">
        <f>_xlfn.XLOOKUP(C51, '1.건전성'!C:C, '1.건전성'!BF:BF)</f>
        <v>270735</v>
      </c>
      <c r="AR51" s="410">
        <f t="shared" si="17"/>
        <v>4182976</v>
      </c>
      <c r="AS51" s="366">
        <f t="shared" si="8"/>
        <v>0.41629032423765538</v>
      </c>
      <c r="AT51" s="366">
        <f t="shared" si="18"/>
        <v>25</v>
      </c>
      <c r="AU51" s="321">
        <f t="shared" si="19"/>
        <v>0.25</v>
      </c>
      <c r="AV51" s="15">
        <v>719361</v>
      </c>
      <c r="AW51" s="361">
        <f t="shared" si="9"/>
        <v>7.1590901772786653E-2</v>
      </c>
      <c r="AX51" s="361">
        <f t="shared" si="20"/>
        <v>25</v>
      </c>
      <c r="AY51" s="321">
        <f t="shared" si="62"/>
        <v>0.125</v>
      </c>
      <c r="AZ51" s="411">
        <v>23.4</v>
      </c>
      <c r="BA51" s="412">
        <f t="shared" si="21"/>
        <v>100</v>
      </c>
      <c r="BB51" s="408">
        <f t="shared" si="63"/>
        <v>0.5</v>
      </c>
      <c r="BC51" s="204">
        <v>1</v>
      </c>
      <c r="BD51" s="407">
        <f t="shared" si="22"/>
        <v>100</v>
      </c>
      <c r="BE51" s="408">
        <f t="shared" si="64"/>
        <v>0.5</v>
      </c>
      <c r="BF51" s="204">
        <v>0</v>
      </c>
      <c r="BG51" s="204">
        <v>0</v>
      </c>
      <c r="BH51" s="204">
        <v>0</v>
      </c>
      <c r="BI51" s="272" t="str">
        <f t="shared" si="23"/>
        <v>A</v>
      </c>
      <c r="BJ51" s="247">
        <f t="shared" si="24"/>
        <v>100</v>
      </c>
      <c r="BK51" s="90">
        <f t="shared" si="25"/>
        <v>3</v>
      </c>
      <c r="BL51" s="406">
        <v>43</v>
      </c>
      <c r="BM51" s="413">
        <f t="shared" si="26"/>
        <v>6.005586592178771</v>
      </c>
      <c r="BN51" s="414">
        <f t="shared" si="27"/>
        <v>40</v>
      </c>
      <c r="BO51" s="415">
        <f t="shared" si="28"/>
        <v>1.2</v>
      </c>
      <c r="BP51" s="416">
        <v>0</v>
      </c>
      <c r="BQ51" s="417">
        <f t="shared" si="29"/>
        <v>33.333333333333336</v>
      </c>
      <c r="BR51" s="415">
        <f t="shared" si="30"/>
        <v>0.33333333333333337</v>
      </c>
      <c r="BS51" s="350">
        <f t="shared" si="31"/>
        <v>9.9123215580167372</v>
      </c>
    </row>
    <row r="52" spans="1:71" x14ac:dyDescent="0.6">
      <c r="A52" s="214" t="s">
        <v>519</v>
      </c>
      <c r="B52" s="13" t="s">
        <v>2029</v>
      </c>
      <c r="C52" s="219" t="s">
        <v>33</v>
      </c>
      <c r="D52" s="216" t="s">
        <v>202</v>
      </c>
      <c r="E52" s="217" t="s">
        <v>613</v>
      </c>
      <c r="F52" s="217" t="s">
        <v>956</v>
      </c>
      <c r="G52" s="218">
        <v>31936</v>
      </c>
      <c r="H52" s="217" t="s">
        <v>830</v>
      </c>
      <c r="I52" s="217" t="s">
        <v>1563</v>
      </c>
      <c r="J52" s="217" t="s">
        <v>1165</v>
      </c>
      <c r="K52" s="217" t="s">
        <v>690</v>
      </c>
      <c r="L52" s="220">
        <v>692740658</v>
      </c>
      <c r="M52" s="206">
        <v>395155324</v>
      </c>
      <c r="N52" s="206">
        <v>297585335</v>
      </c>
      <c r="O52" s="206">
        <v>1186678750</v>
      </c>
      <c r="P52" s="206">
        <v>24052569</v>
      </c>
      <c r="Q52" s="206">
        <v>10186256</v>
      </c>
      <c r="R52" s="206">
        <v>7026979</v>
      </c>
      <c r="S52" s="405">
        <v>0</v>
      </c>
      <c r="T52" s="405">
        <v>0</v>
      </c>
      <c r="U52" s="406">
        <v>0</v>
      </c>
      <c r="V52" s="406">
        <v>0</v>
      </c>
      <c r="W52" s="407">
        <f t="shared" si="54"/>
        <v>0</v>
      </c>
      <c r="X52" s="407">
        <f t="shared" si="55"/>
        <v>100</v>
      </c>
      <c r="Y52" s="408">
        <f t="shared" si="56"/>
        <v>3</v>
      </c>
      <c r="Z52" s="444" t="s">
        <v>3292</v>
      </c>
      <c r="AA52" s="442">
        <v>0</v>
      </c>
      <c r="AB52" s="406">
        <v>0</v>
      </c>
      <c r="AC52" s="406">
        <v>0</v>
      </c>
      <c r="AD52" s="407">
        <f t="shared" si="57"/>
        <v>0</v>
      </c>
      <c r="AE52" s="364" t="str">
        <f t="shared" si="58"/>
        <v>50</v>
      </c>
      <c r="AF52" s="349">
        <f t="shared" si="59"/>
        <v>0.25</v>
      </c>
      <c r="AG52" s="154">
        <v>448</v>
      </c>
      <c r="AH52" s="154">
        <v>363352</v>
      </c>
      <c r="AI52" s="409">
        <f t="shared" si="13"/>
        <v>811.05357142857144</v>
      </c>
      <c r="AJ52" s="409">
        <f t="shared" si="14"/>
        <v>100</v>
      </c>
      <c r="AK52" s="408">
        <f t="shared" si="60"/>
        <v>1</v>
      </c>
      <c r="AL52" s="45">
        <v>307101</v>
      </c>
      <c r="AM52" s="361">
        <f t="shared" si="15"/>
        <v>18.316775262861405</v>
      </c>
      <c r="AN52" s="365">
        <f t="shared" si="16"/>
        <v>28.434395361786514</v>
      </c>
      <c r="AO52" s="320">
        <f t="shared" si="61"/>
        <v>0.28434395361786513</v>
      </c>
      <c r="AP52" s="277">
        <f>_xlfn.XLOOKUP(C52, '1.건전성'!C:C, '1.건전성'!BE:BE)</f>
        <v>13771619</v>
      </c>
      <c r="AQ52" s="277">
        <f>_xlfn.XLOOKUP(C52, '1.건전성'!C:C, '1.건전성'!BF:BF)</f>
        <v>1031272</v>
      </c>
      <c r="AR52" s="410">
        <f t="shared" si="17"/>
        <v>14802891</v>
      </c>
      <c r="AS52" s="366">
        <f t="shared" si="8"/>
        <v>1.2474219328525096</v>
      </c>
      <c r="AT52" s="366">
        <f t="shared" si="18"/>
        <v>25.56338336647174</v>
      </c>
      <c r="AU52" s="321">
        <f t="shared" si="19"/>
        <v>0.25563383366471742</v>
      </c>
      <c r="AV52" s="15">
        <v>2716075</v>
      </c>
      <c r="AW52" s="361">
        <f t="shared" si="9"/>
        <v>0.22888039412520028</v>
      </c>
      <c r="AX52" s="361">
        <f t="shared" si="20"/>
        <v>25.976366622160608</v>
      </c>
      <c r="AY52" s="321">
        <f t="shared" si="62"/>
        <v>0.12988183311080304</v>
      </c>
      <c r="AZ52" s="411">
        <v>13.3</v>
      </c>
      <c r="BA52" s="412">
        <f t="shared" si="21"/>
        <v>100</v>
      </c>
      <c r="BB52" s="408">
        <f t="shared" si="63"/>
        <v>0.5</v>
      </c>
      <c r="BC52" s="204">
        <v>1</v>
      </c>
      <c r="BD52" s="407">
        <f t="shared" si="22"/>
        <v>100</v>
      </c>
      <c r="BE52" s="408">
        <f t="shared" si="64"/>
        <v>0.5</v>
      </c>
      <c r="BF52" s="204">
        <v>0</v>
      </c>
      <c r="BG52" s="204">
        <v>0</v>
      </c>
      <c r="BH52" s="204">
        <v>0</v>
      </c>
      <c r="BI52" s="272" t="str">
        <f t="shared" si="23"/>
        <v>A</v>
      </c>
      <c r="BJ52" s="247">
        <f t="shared" si="24"/>
        <v>100</v>
      </c>
      <c r="BK52" s="90">
        <f t="shared" si="25"/>
        <v>3</v>
      </c>
      <c r="BL52" s="406">
        <v>22</v>
      </c>
      <c r="BM52" s="413">
        <f t="shared" si="26"/>
        <v>4.9107142857142856</v>
      </c>
      <c r="BN52" s="414">
        <f t="shared" si="27"/>
        <v>40</v>
      </c>
      <c r="BO52" s="415">
        <f t="shared" si="28"/>
        <v>1.2</v>
      </c>
      <c r="BP52" s="416">
        <v>0</v>
      </c>
      <c r="BQ52" s="417">
        <f t="shared" si="29"/>
        <v>33.333333333333336</v>
      </c>
      <c r="BR52" s="415">
        <f t="shared" si="30"/>
        <v>0.33333333333333337</v>
      </c>
      <c r="BS52" s="350">
        <f t="shared" si="31"/>
        <v>10.453192953726719</v>
      </c>
    </row>
    <row r="53" spans="1:71" x14ac:dyDescent="0.6">
      <c r="A53" s="214" t="s">
        <v>1564</v>
      </c>
      <c r="B53" s="13" t="s">
        <v>2030</v>
      </c>
      <c r="C53" s="219" t="s">
        <v>1565</v>
      </c>
      <c r="D53" s="14" t="s">
        <v>285</v>
      </c>
      <c r="E53" s="217" t="s">
        <v>1566</v>
      </c>
      <c r="F53" s="217" t="s">
        <v>1567</v>
      </c>
      <c r="G53" s="218">
        <v>32826</v>
      </c>
      <c r="H53" s="217" t="s">
        <v>830</v>
      </c>
      <c r="I53" s="217" t="s">
        <v>1568</v>
      </c>
      <c r="J53" s="217" t="s">
        <v>1569</v>
      </c>
      <c r="K53" s="217" t="s">
        <v>91</v>
      </c>
      <c r="L53" s="220">
        <v>57863012</v>
      </c>
      <c r="M53" s="206">
        <v>24529480</v>
      </c>
      <c r="N53" s="206">
        <v>33333532</v>
      </c>
      <c r="O53" s="206">
        <v>30093883</v>
      </c>
      <c r="P53" s="206">
        <v>4174665</v>
      </c>
      <c r="Q53" s="206">
        <v>4390397</v>
      </c>
      <c r="R53" s="206">
        <v>4613111</v>
      </c>
      <c r="S53" s="405">
        <v>0</v>
      </c>
      <c r="T53" s="405">
        <v>0</v>
      </c>
      <c r="U53" s="406">
        <v>0</v>
      </c>
      <c r="V53" s="406">
        <v>0</v>
      </c>
      <c r="W53" s="407">
        <f t="shared" si="54"/>
        <v>0</v>
      </c>
      <c r="X53" s="407">
        <f t="shared" si="55"/>
        <v>100</v>
      </c>
      <c r="Y53" s="408">
        <f t="shared" si="56"/>
        <v>3</v>
      </c>
      <c r="Z53" s="444" t="s">
        <v>3293</v>
      </c>
      <c r="AA53" s="442">
        <v>0</v>
      </c>
      <c r="AB53" s="406">
        <v>0</v>
      </c>
      <c r="AC53" s="406">
        <v>0</v>
      </c>
      <c r="AD53" s="407">
        <f t="shared" si="57"/>
        <v>0</v>
      </c>
      <c r="AE53" s="364" t="str">
        <f t="shared" si="58"/>
        <v>50</v>
      </c>
      <c r="AF53" s="349">
        <f t="shared" si="59"/>
        <v>0.25</v>
      </c>
      <c r="AG53" s="154">
        <v>61</v>
      </c>
      <c r="AH53" s="154">
        <v>1418</v>
      </c>
      <c r="AI53" s="409">
        <f t="shared" si="13"/>
        <v>23.245901639344261</v>
      </c>
      <c r="AJ53" s="409">
        <f t="shared" si="14"/>
        <v>42.434426229508198</v>
      </c>
      <c r="AK53" s="408">
        <f t="shared" si="60"/>
        <v>0.42434426229508199</v>
      </c>
      <c r="AL53" s="45">
        <v>1040</v>
      </c>
      <c r="AM53" s="361">
        <f t="shared" si="15"/>
        <v>36.346153846153847</v>
      </c>
      <c r="AN53" s="365">
        <f t="shared" si="16"/>
        <v>31.814903846153847</v>
      </c>
      <c r="AO53" s="320">
        <f t="shared" si="61"/>
        <v>0.31814903846153847</v>
      </c>
      <c r="AP53" s="277">
        <f>_xlfn.XLOOKUP(C53, '1.건전성'!C:C, '1.건전성'!BE:BE)</f>
        <v>1497944</v>
      </c>
      <c r="AQ53" s="277">
        <f>_xlfn.XLOOKUP(C53, '1.건전성'!C:C, '1.건전성'!BF:BF)</f>
        <v>70537</v>
      </c>
      <c r="AR53" s="410">
        <f t="shared" si="17"/>
        <v>1568481</v>
      </c>
      <c r="AS53" s="366">
        <f t="shared" si="8"/>
        <v>5.2119595201456725</v>
      </c>
      <c r="AT53" s="366">
        <f t="shared" si="18"/>
        <v>28.551728281516837</v>
      </c>
      <c r="AU53" s="321">
        <f t="shared" si="19"/>
        <v>0.28551728281516836</v>
      </c>
      <c r="AV53" s="15">
        <v>193283</v>
      </c>
      <c r="AW53" s="361">
        <f t="shared" si="9"/>
        <v>0.64226673573496651</v>
      </c>
      <c r="AX53" s="361">
        <f t="shared" si="20"/>
        <v>29.108081331325504</v>
      </c>
      <c r="AY53" s="321">
        <f t="shared" si="62"/>
        <v>0.14554040665662751</v>
      </c>
      <c r="AZ53" s="411">
        <v>2.66</v>
      </c>
      <c r="BA53" s="412">
        <f t="shared" si="21"/>
        <v>20</v>
      </c>
      <c r="BB53" s="408">
        <f t="shared" si="63"/>
        <v>0.1</v>
      </c>
      <c r="BC53" s="204">
        <v>1</v>
      </c>
      <c r="BD53" s="407">
        <f t="shared" si="22"/>
        <v>100</v>
      </c>
      <c r="BE53" s="408">
        <f t="shared" si="64"/>
        <v>0.5</v>
      </c>
      <c r="BF53" s="204">
        <v>0</v>
      </c>
      <c r="BG53" s="204">
        <v>0</v>
      </c>
      <c r="BH53" s="204">
        <v>0</v>
      </c>
      <c r="BI53" s="272" t="str">
        <f t="shared" si="23"/>
        <v>A</v>
      </c>
      <c r="BJ53" s="247">
        <f t="shared" si="24"/>
        <v>100</v>
      </c>
      <c r="BK53" s="90">
        <f t="shared" si="25"/>
        <v>3</v>
      </c>
      <c r="BL53" s="406">
        <v>9</v>
      </c>
      <c r="BM53" s="413">
        <f t="shared" si="26"/>
        <v>14.754098360655737</v>
      </c>
      <c r="BN53" s="414">
        <f t="shared" si="27"/>
        <v>20</v>
      </c>
      <c r="BO53" s="415">
        <f t="shared" si="28"/>
        <v>0.6</v>
      </c>
      <c r="BP53" s="416">
        <v>0.14000000000000001</v>
      </c>
      <c r="BQ53" s="417">
        <f t="shared" si="29"/>
        <v>66.666666666666671</v>
      </c>
      <c r="BR53" s="415">
        <f t="shared" si="30"/>
        <v>0.66666666666666674</v>
      </c>
      <c r="BS53" s="350">
        <f t="shared" si="31"/>
        <v>9.2902176568950825</v>
      </c>
    </row>
    <row r="54" spans="1:71" x14ac:dyDescent="0.6">
      <c r="A54" s="214" t="s">
        <v>1570</v>
      </c>
      <c r="B54" s="13" t="s">
        <v>2031</v>
      </c>
      <c r="C54" s="219" t="s">
        <v>1571</v>
      </c>
      <c r="D54" s="14" t="s">
        <v>203</v>
      </c>
      <c r="E54" s="217" t="s">
        <v>1067</v>
      </c>
      <c r="F54" s="217" t="s">
        <v>1572</v>
      </c>
      <c r="G54" s="218">
        <v>28306</v>
      </c>
      <c r="H54" s="217" t="s">
        <v>830</v>
      </c>
      <c r="I54" s="217" t="s">
        <v>1573</v>
      </c>
      <c r="J54" s="217" t="s">
        <v>1574</v>
      </c>
      <c r="K54" s="217" t="s">
        <v>91</v>
      </c>
      <c r="L54" s="220">
        <v>342108581</v>
      </c>
      <c r="M54" s="206">
        <v>116198537</v>
      </c>
      <c r="N54" s="206">
        <v>225910045</v>
      </c>
      <c r="O54" s="206">
        <v>202589425</v>
      </c>
      <c r="P54" s="206">
        <v>26820420</v>
      </c>
      <c r="Q54" s="206">
        <v>25169767</v>
      </c>
      <c r="R54" s="206">
        <v>18699263</v>
      </c>
      <c r="S54" s="405">
        <v>0</v>
      </c>
      <c r="T54" s="405">
        <v>0</v>
      </c>
      <c r="U54" s="406">
        <v>0</v>
      </c>
      <c r="V54" s="406">
        <v>0</v>
      </c>
      <c r="W54" s="407">
        <f t="shared" si="54"/>
        <v>0</v>
      </c>
      <c r="X54" s="407">
        <f t="shared" si="55"/>
        <v>100</v>
      </c>
      <c r="Y54" s="408">
        <f t="shared" si="56"/>
        <v>3</v>
      </c>
      <c r="Z54" s="444" t="s">
        <v>3294</v>
      </c>
      <c r="AA54" s="442">
        <v>0</v>
      </c>
      <c r="AB54" s="406">
        <v>0</v>
      </c>
      <c r="AC54" s="406">
        <v>0</v>
      </c>
      <c r="AD54" s="407">
        <f t="shared" si="57"/>
        <v>0</v>
      </c>
      <c r="AE54" s="364" t="str">
        <f t="shared" si="58"/>
        <v>50</v>
      </c>
      <c r="AF54" s="349">
        <f t="shared" si="59"/>
        <v>0.25</v>
      </c>
      <c r="AG54" s="154">
        <v>346</v>
      </c>
      <c r="AH54" s="421"/>
      <c r="AI54" s="409">
        <f t="shared" si="13"/>
        <v>0</v>
      </c>
      <c r="AJ54" s="409">
        <f t="shared" si="14"/>
        <v>25</v>
      </c>
      <c r="AK54" s="408">
        <f t="shared" si="60"/>
        <v>0.25</v>
      </c>
      <c r="AL54" s="423"/>
      <c r="AM54" s="424">
        <v>0</v>
      </c>
      <c r="AN54" s="365">
        <f t="shared" si="16"/>
        <v>25</v>
      </c>
      <c r="AO54" s="320">
        <f t="shared" si="61"/>
        <v>0.25</v>
      </c>
      <c r="AP54" s="277">
        <f>_xlfn.XLOOKUP(C54, '1.건전성'!C:C, '1.건전성'!BE:BE)</f>
        <v>16693447</v>
      </c>
      <c r="AQ54" s="277">
        <f>_xlfn.XLOOKUP(C54, '1.건전성'!C:C, '1.건전성'!BF:BF)</f>
        <v>1288283</v>
      </c>
      <c r="AR54" s="410">
        <f t="shared" si="17"/>
        <v>17981730</v>
      </c>
      <c r="AS54" s="366">
        <f t="shared" si="8"/>
        <v>8.875947004637581</v>
      </c>
      <c r="AT54" s="366">
        <f t="shared" si="18"/>
        <v>31.313527892942901</v>
      </c>
      <c r="AU54" s="321">
        <f t="shared" si="19"/>
        <v>0.313135278929429</v>
      </c>
      <c r="AV54" s="15">
        <v>2523752</v>
      </c>
      <c r="AW54" s="361">
        <f t="shared" si="9"/>
        <v>1.2457471558547542</v>
      </c>
      <c r="AX54" s="361">
        <f t="shared" si="20"/>
        <v>33.679902695869345</v>
      </c>
      <c r="AY54" s="321">
        <f t="shared" si="62"/>
        <v>0.16839951347934673</v>
      </c>
      <c r="AZ54" s="411">
        <v>9.5</v>
      </c>
      <c r="BA54" s="412">
        <f t="shared" si="21"/>
        <v>80</v>
      </c>
      <c r="BB54" s="408">
        <f t="shared" si="63"/>
        <v>0.4</v>
      </c>
      <c r="BC54" s="204">
        <v>1</v>
      </c>
      <c r="BD54" s="407">
        <f t="shared" si="22"/>
        <v>100</v>
      </c>
      <c r="BE54" s="408">
        <f t="shared" si="64"/>
        <v>0.5</v>
      </c>
      <c r="BF54" s="204">
        <v>0</v>
      </c>
      <c r="BG54" s="204">
        <v>1</v>
      </c>
      <c r="BH54" s="204">
        <v>0</v>
      </c>
      <c r="BI54" s="272" t="str">
        <f t="shared" si="23"/>
        <v>C</v>
      </c>
      <c r="BJ54" s="247">
        <f t="shared" si="24"/>
        <v>50</v>
      </c>
      <c r="BK54" s="90">
        <f t="shared" si="25"/>
        <v>1.5</v>
      </c>
      <c r="BL54" s="406">
        <v>18</v>
      </c>
      <c r="BM54" s="413">
        <f t="shared" si="26"/>
        <v>5.202312138728324</v>
      </c>
      <c r="BN54" s="414">
        <f t="shared" si="27"/>
        <v>40</v>
      </c>
      <c r="BO54" s="415">
        <f t="shared" si="28"/>
        <v>1.2</v>
      </c>
      <c r="BP54" s="416">
        <v>0.45</v>
      </c>
      <c r="BQ54" s="417">
        <f t="shared" si="29"/>
        <v>66.666666666666671</v>
      </c>
      <c r="BR54" s="415">
        <f t="shared" si="30"/>
        <v>0.66666666666666674</v>
      </c>
      <c r="BS54" s="350">
        <f t="shared" si="31"/>
        <v>8.4982014590754424</v>
      </c>
    </row>
    <row r="55" spans="1:71" x14ac:dyDescent="0.6">
      <c r="A55" s="214" t="s">
        <v>464</v>
      </c>
      <c r="B55" s="13" t="s">
        <v>2032</v>
      </c>
      <c r="C55" s="219" t="s">
        <v>314</v>
      </c>
      <c r="D55" s="216" t="s">
        <v>285</v>
      </c>
      <c r="E55" s="217" t="s">
        <v>978</v>
      </c>
      <c r="F55" s="217" t="s">
        <v>332</v>
      </c>
      <c r="G55" s="218">
        <v>42867</v>
      </c>
      <c r="H55" s="217" t="s">
        <v>830</v>
      </c>
      <c r="I55" s="217" t="s">
        <v>206</v>
      </c>
      <c r="J55" s="217" t="s">
        <v>1023</v>
      </c>
      <c r="K55" s="217" t="s">
        <v>407</v>
      </c>
      <c r="L55" s="220">
        <v>1064615087</v>
      </c>
      <c r="M55" s="206">
        <v>672093137</v>
      </c>
      <c r="N55" s="206">
        <v>392521950</v>
      </c>
      <c r="O55" s="206">
        <v>2304288140</v>
      </c>
      <c r="P55" s="206">
        <v>25053659</v>
      </c>
      <c r="Q55" s="206">
        <v>30627192</v>
      </c>
      <c r="R55" s="206">
        <v>23488574</v>
      </c>
      <c r="S55" s="405">
        <v>0</v>
      </c>
      <c r="T55" s="405">
        <v>0</v>
      </c>
      <c r="U55" s="406">
        <v>0</v>
      </c>
      <c r="V55" s="406">
        <v>0</v>
      </c>
      <c r="W55" s="407">
        <f t="shared" si="54"/>
        <v>0</v>
      </c>
      <c r="X55" s="407">
        <f t="shared" si="55"/>
        <v>100</v>
      </c>
      <c r="Y55" s="408">
        <f t="shared" si="56"/>
        <v>3</v>
      </c>
      <c r="Z55" s="444" t="s">
        <v>3295</v>
      </c>
      <c r="AA55" s="442">
        <v>0</v>
      </c>
      <c r="AB55" s="406">
        <v>0</v>
      </c>
      <c r="AC55" s="406">
        <v>0</v>
      </c>
      <c r="AD55" s="407">
        <f t="shared" si="57"/>
        <v>0</v>
      </c>
      <c r="AE55" s="364" t="str">
        <f t="shared" si="58"/>
        <v>50</v>
      </c>
      <c r="AF55" s="349">
        <f t="shared" si="59"/>
        <v>0.25</v>
      </c>
      <c r="AG55" s="154">
        <v>295</v>
      </c>
      <c r="AH55" s="421"/>
      <c r="AI55" s="409">
        <f t="shared" si="13"/>
        <v>0</v>
      </c>
      <c r="AJ55" s="409">
        <f t="shared" si="14"/>
        <v>25</v>
      </c>
      <c r="AK55" s="408">
        <f t="shared" si="60"/>
        <v>0.25</v>
      </c>
      <c r="AL55" s="423"/>
      <c r="AM55" s="424">
        <v>0</v>
      </c>
      <c r="AN55" s="365">
        <f t="shared" si="16"/>
        <v>25</v>
      </c>
      <c r="AO55" s="320">
        <f t="shared" si="61"/>
        <v>0.25</v>
      </c>
      <c r="AP55" s="277">
        <f>_xlfn.XLOOKUP(C55, '1.건전성'!C:C, '1.건전성'!BE:BE)</f>
        <v>27598502</v>
      </c>
      <c r="AQ55" s="277">
        <f>_xlfn.XLOOKUP(C55, '1.건전성'!C:C, '1.건전성'!BF:BF)</f>
        <v>2170286</v>
      </c>
      <c r="AR55" s="410">
        <f t="shared" si="17"/>
        <v>29768788</v>
      </c>
      <c r="AS55" s="366">
        <f t="shared" si="8"/>
        <v>1.2918865259619832</v>
      </c>
      <c r="AT55" s="366">
        <f t="shared" si="18"/>
        <v>25.596899391428629</v>
      </c>
      <c r="AU55" s="321">
        <f t="shared" si="19"/>
        <v>0.25596899391428629</v>
      </c>
      <c r="AV55" s="15">
        <v>3702292</v>
      </c>
      <c r="AW55" s="361">
        <f t="shared" si="9"/>
        <v>0.16066966347359665</v>
      </c>
      <c r="AX55" s="361">
        <f t="shared" si="20"/>
        <v>25.459618662678764</v>
      </c>
      <c r="AY55" s="321">
        <f t="shared" si="62"/>
        <v>0.12729809331339381</v>
      </c>
      <c r="AZ55" s="411">
        <v>17.11</v>
      </c>
      <c r="BA55" s="412">
        <f t="shared" si="21"/>
        <v>100</v>
      </c>
      <c r="BB55" s="408">
        <f t="shared" si="63"/>
        <v>0.5</v>
      </c>
      <c r="BC55" s="204">
        <v>1</v>
      </c>
      <c r="BD55" s="407">
        <f t="shared" si="22"/>
        <v>100</v>
      </c>
      <c r="BE55" s="408">
        <f t="shared" si="64"/>
        <v>0.5</v>
      </c>
      <c r="BF55" s="204">
        <v>0</v>
      </c>
      <c r="BG55" s="204">
        <v>0</v>
      </c>
      <c r="BH55" s="204">
        <v>1</v>
      </c>
      <c r="BI55" s="272" t="str">
        <f t="shared" si="23"/>
        <v>D</v>
      </c>
      <c r="BJ55" s="247">
        <f t="shared" si="24"/>
        <v>25</v>
      </c>
      <c r="BK55" s="90">
        <f t="shared" si="25"/>
        <v>0.75</v>
      </c>
      <c r="BL55" s="406">
        <v>33</v>
      </c>
      <c r="BM55" s="413">
        <f t="shared" si="26"/>
        <v>11.186440677966102</v>
      </c>
      <c r="BN55" s="414">
        <f t="shared" si="27"/>
        <v>20</v>
      </c>
      <c r="BO55" s="415">
        <f t="shared" si="28"/>
        <v>0.6</v>
      </c>
      <c r="BP55" s="416">
        <v>0</v>
      </c>
      <c r="BQ55" s="417">
        <f t="shared" si="29"/>
        <v>33.333333333333336</v>
      </c>
      <c r="BR55" s="415">
        <f t="shared" si="30"/>
        <v>0.33333333333333337</v>
      </c>
      <c r="BS55" s="350">
        <f t="shared" si="31"/>
        <v>6.8166004205610129</v>
      </c>
    </row>
    <row r="56" spans="1:71" x14ac:dyDescent="0.6">
      <c r="A56" s="214" t="s">
        <v>489</v>
      </c>
      <c r="B56" s="13" t="s">
        <v>2033</v>
      </c>
      <c r="C56" s="219" t="s">
        <v>474</v>
      </c>
      <c r="D56" s="216" t="s">
        <v>285</v>
      </c>
      <c r="E56" s="217" t="s">
        <v>867</v>
      </c>
      <c r="F56" s="217" t="s">
        <v>1225</v>
      </c>
      <c r="G56" s="218">
        <v>35094</v>
      </c>
      <c r="H56" s="217" t="s">
        <v>830</v>
      </c>
      <c r="I56" s="217" t="s">
        <v>1575</v>
      </c>
      <c r="J56" s="217" t="s">
        <v>1065</v>
      </c>
      <c r="K56" s="217" t="s">
        <v>934</v>
      </c>
      <c r="L56" s="220">
        <v>1800240035</v>
      </c>
      <c r="M56" s="206">
        <v>1098232792</v>
      </c>
      <c r="N56" s="206">
        <v>702007244</v>
      </c>
      <c r="O56" s="206">
        <v>2052333741</v>
      </c>
      <c r="P56" s="206">
        <v>96367097</v>
      </c>
      <c r="Q56" s="206">
        <v>87514929</v>
      </c>
      <c r="R56" s="206">
        <v>58220411</v>
      </c>
      <c r="S56" s="405">
        <v>0</v>
      </c>
      <c r="T56" s="405">
        <v>0</v>
      </c>
      <c r="U56" s="406">
        <v>0</v>
      </c>
      <c r="V56" s="406">
        <v>0</v>
      </c>
      <c r="W56" s="407">
        <f t="shared" si="54"/>
        <v>0</v>
      </c>
      <c r="X56" s="407">
        <f t="shared" si="55"/>
        <v>100</v>
      </c>
      <c r="Y56" s="408">
        <f t="shared" si="56"/>
        <v>3</v>
      </c>
      <c r="Z56" s="444" t="s">
        <v>3296</v>
      </c>
      <c r="AA56" s="442">
        <v>0</v>
      </c>
      <c r="AB56" s="406">
        <v>0</v>
      </c>
      <c r="AC56" s="406">
        <v>0</v>
      </c>
      <c r="AD56" s="407">
        <f t="shared" si="57"/>
        <v>0</v>
      </c>
      <c r="AE56" s="364" t="str">
        <f t="shared" si="58"/>
        <v>50</v>
      </c>
      <c r="AF56" s="349">
        <f t="shared" si="59"/>
        <v>0.25</v>
      </c>
      <c r="AG56" s="154">
        <v>1649</v>
      </c>
      <c r="AH56" s="154">
        <v>354151</v>
      </c>
      <c r="AI56" s="409">
        <f t="shared" si="13"/>
        <v>214.767131594906</v>
      </c>
      <c r="AJ56" s="409">
        <f t="shared" si="14"/>
        <v>100</v>
      </c>
      <c r="AK56" s="408">
        <f t="shared" si="60"/>
        <v>1</v>
      </c>
      <c r="AL56" s="45">
        <v>152423</v>
      </c>
      <c r="AM56" s="361">
        <f t="shared" si="15"/>
        <v>132.3474803671362</v>
      </c>
      <c r="AN56" s="365">
        <f t="shared" si="16"/>
        <v>49.815152568838037</v>
      </c>
      <c r="AO56" s="320">
        <f t="shared" si="61"/>
        <v>0.49815152568838039</v>
      </c>
      <c r="AP56" s="277">
        <f>_xlfn.XLOOKUP(C56, '1.건전성'!C:C, '1.건전성'!BE:BE)</f>
        <v>28364632</v>
      </c>
      <c r="AQ56" s="277">
        <f>_xlfn.XLOOKUP(C56, '1.건전성'!C:C, '1.건전성'!BF:BF)</f>
        <v>1812693</v>
      </c>
      <c r="AR56" s="410">
        <f t="shared" si="17"/>
        <v>30177325</v>
      </c>
      <c r="AS56" s="366">
        <f t="shared" si="8"/>
        <v>1.4703907262810039</v>
      </c>
      <c r="AT56" s="366">
        <f t="shared" si="18"/>
        <v>25.73145029619171</v>
      </c>
      <c r="AU56" s="321">
        <f t="shared" si="19"/>
        <v>0.2573145029619171</v>
      </c>
      <c r="AV56" s="15">
        <v>6628479</v>
      </c>
      <c r="AW56" s="361">
        <f t="shared" si="9"/>
        <v>0.32297276352189541</v>
      </c>
      <c r="AX56" s="361">
        <f t="shared" si="20"/>
        <v>26.689187602438601</v>
      </c>
      <c r="AY56" s="321">
        <f t="shared" si="62"/>
        <v>0.13344593801219301</v>
      </c>
      <c r="AZ56" s="411">
        <v>6.69</v>
      </c>
      <c r="BA56" s="412">
        <f t="shared" si="21"/>
        <v>60</v>
      </c>
      <c r="BB56" s="408">
        <f t="shared" si="63"/>
        <v>0.3</v>
      </c>
      <c r="BC56" s="204">
        <v>1</v>
      </c>
      <c r="BD56" s="407">
        <f t="shared" si="22"/>
        <v>100</v>
      </c>
      <c r="BE56" s="408">
        <f t="shared" si="64"/>
        <v>0.5</v>
      </c>
      <c r="BF56" s="204">
        <v>1</v>
      </c>
      <c r="BG56" s="204">
        <v>0</v>
      </c>
      <c r="BH56" s="204">
        <v>0</v>
      </c>
      <c r="BI56" s="272" t="str">
        <f t="shared" si="23"/>
        <v>B</v>
      </c>
      <c r="BJ56" s="247">
        <f t="shared" si="24"/>
        <v>75</v>
      </c>
      <c r="BK56" s="90">
        <f t="shared" si="25"/>
        <v>2.25</v>
      </c>
      <c r="BL56" s="406">
        <v>622</v>
      </c>
      <c r="BM56" s="413">
        <f t="shared" si="26"/>
        <v>37.719830200121287</v>
      </c>
      <c r="BN56" s="414">
        <f t="shared" si="27"/>
        <v>20</v>
      </c>
      <c r="BO56" s="415">
        <f t="shared" si="28"/>
        <v>0.6</v>
      </c>
      <c r="BP56" s="416">
        <v>0</v>
      </c>
      <c r="BQ56" s="417">
        <f t="shared" si="29"/>
        <v>33.333333333333336</v>
      </c>
      <c r="BR56" s="415">
        <f t="shared" si="30"/>
        <v>0.33333333333333337</v>
      </c>
      <c r="BS56" s="350">
        <f t="shared" si="31"/>
        <v>9.122245299995825</v>
      </c>
    </row>
    <row r="57" spans="1:71" x14ac:dyDescent="0.6">
      <c r="A57" s="214" t="s">
        <v>5</v>
      </c>
      <c r="B57" s="13" t="s">
        <v>2034</v>
      </c>
      <c r="C57" s="219" t="s">
        <v>514</v>
      </c>
      <c r="D57" s="216" t="s">
        <v>191</v>
      </c>
      <c r="E57" s="217" t="s">
        <v>1020</v>
      </c>
      <c r="F57" s="217" t="s">
        <v>1078</v>
      </c>
      <c r="G57" s="218">
        <v>33252</v>
      </c>
      <c r="H57" s="217" t="s">
        <v>830</v>
      </c>
      <c r="I57" s="217" t="s">
        <v>994</v>
      </c>
      <c r="J57" s="217" t="s">
        <v>1021</v>
      </c>
      <c r="K57" s="217" t="s">
        <v>484</v>
      </c>
      <c r="L57" s="220">
        <v>252929703</v>
      </c>
      <c r="M57" s="206">
        <v>156846243</v>
      </c>
      <c r="N57" s="206">
        <v>96083460</v>
      </c>
      <c r="O57" s="206">
        <v>272260521</v>
      </c>
      <c r="P57" s="206">
        <v>5775173</v>
      </c>
      <c r="Q57" s="206">
        <v>1931650</v>
      </c>
      <c r="R57" s="206">
        <v>1853171</v>
      </c>
      <c r="S57" s="405">
        <v>0</v>
      </c>
      <c r="T57" s="405">
        <v>0</v>
      </c>
      <c r="U57" s="406">
        <v>0</v>
      </c>
      <c r="V57" s="406">
        <v>0</v>
      </c>
      <c r="W57" s="407">
        <f t="shared" si="54"/>
        <v>0</v>
      </c>
      <c r="X57" s="407">
        <f t="shared" si="55"/>
        <v>100</v>
      </c>
      <c r="Y57" s="408">
        <f t="shared" si="56"/>
        <v>3</v>
      </c>
      <c r="Z57" s="444" t="s">
        <v>3297</v>
      </c>
      <c r="AA57" s="442">
        <v>0</v>
      </c>
      <c r="AB57" s="406">
        <v>1</v>
      </c>
      <c r="AC57" s="406">
        <v>0</v>
      </c>
      <c r="AD57" s="407">
        <f t="shared" si="57"/>
        <v>1</v>
      </c>
      <c r="AE57" s="364" t="str">
        <f t="shared" si="58"/>
        <v>100</v>
      </c>
      <c r="AF57" s="349">
        <f t="shared" si="59"/>
        <v>0.5</v>
      </c>
      <c r="AG57" s="154">
        <v>120</v>
      </c>
      <c r="AH57" s="154">
        <v>28143</v>
      </c>
      <c r="AI57" s="409">
        <f t="shared" si="13"/>
        <v>234.52500000000001</v>
      </c>
      <c r="AJ57" s="409">
        <f t="shared" si="14"/>
        <v>100</v>
      </c>
      <c r="AK57" s="408">
        <f t="shared" si="60"/>
        <v>1</v>
      </c>
      <c r="AL57" s="45">
        <v>15860</v>
      </c>
      <c r="AM57" s="361">
        <f t="shared" si="15"/>
        <v>77.446406052963439</v>
      </c>
      <c r="AN57" s="365">
        <f t="shared" si="16"/>
        <v>39.521201134930649</v>
      </c>
      <c r="AO57" s="320">
        <f t="shared" si="61"/>
        <v>0.3952120113493065</v>
      </c>
      <c r="AP57" s="277">
        <f>_xlfn.XLOOKUP(C57, '1.건전성'!C:C, '1.건전성'!BE:BE)</f>
        <v>6106597</v>
      </c>
      <c r="AQ57" s="277">
        <f>_xlfn.XLOOKUP(C57, '1.건전성'!C:C, '1.건전성'!BF:BF)</f>
        <v>691565</v>
      </c>
      <c r="AR57" s="410">
        <f t="shared" si="17"/>
        <v>6798162</v>
      </c>
      <c r="AS57" s="366">
        <f t="shared" si="8"/>
        <v>2.4969327080660362</v>
      </c>
      <c r="AT57" s="366">
        <f t="shared" si="18"/>
        <v>26.505225659346259</v>
      </c>
      <c r="AU57" s="321">
        <f t="shared" si="19"/>
        <v>0.2650522565934626</v>
      </c>
      <c r="AV57" s="15">
        <v>611978</v>
      </c>
      <c r="AW57" s="361">
        <f t="shared" si="9"/>
        <v>0.22477662121273911</v>
      </c>
      <c r="AX57" s="361">
        <f t="shared" si="20"/>
        <v>25.94527743342984</v>
      </c>
      <c r="AY57" s="321">
        <f t="shared" si="62"/>
        <v>0.12972638716714921</v>
      </c>
      <c r="AZ57" s="411">
        <v>10</v>
      </c>
      <c r="BA57" s="412">
        <f t="shared" si="21"/>
        <v>100</v>
      </c>
      <c r="BB57" s="408">
        <f t="shared" si="63"/>
        <v>0.5</v>
      </c>
      <c r="BC57" s="204">
        <v>1</v>
      </c>
      <c r="BD57" s="407">
        <f t="shared" si="22"/>
        <v>100</v>
      </c>
      <c r="BE57" s="408">
        <f t="shared" si="64"/>
        <v>0.5</v>
      </c>
      <c r="BF57" s="204">
        <v>0</v>
      </c>
      <c r="BG57" s="204">
        <v>0</v>
      </c>
      <c r="BH57" s="204">
        <v>0</v>
      </c>
      <c r="BI57" s="272" t="str">
        <f t="shared" si="23"/>
        <v>A</v>
      </c>
      <c r="BJ57" s="247">
        <f t="shared" si="24"/>
        <v>100</v>
      </c>
      <c r="BK57" s="90">
        <f t="shared" si="25"/>
        <v>3</v>
      </c>
      <c r="BL57" s="406">
        <v>3</v>
      </c>
      <c r="BM57" s="413">
        <f t="shared" si="26"/>
        <v>2.5</v>
      </c>
      <c r="BN57" s="414">
        <f t="shared" si="27"/>
        <v>60</v>
      </c>
      <c r="BO57" s="415">
        <f t="shared" si="28"/>
        <v>1.7999999999999998</v>
      </c>
      <c r="BP57" s="416">
        <v>0.01</v>
      </c>
      <c r="BQ57" s="417">
        <f t="shared" si="29"/>
        <v>66.666666666666671</v>
      </c>
      <c r="BR57" s="415">
        <f t="shared" si="30"/>
        <v>0.66666666666666674</v>
      </c>
      <c r="BS57" s="350">
        <f t="shared" si="31"/>
        <v>11.756657321776585</v>
      </c>
    </row>
    <row r="58" spans="1:71" x14ac:dyDescent="0.6">
      <c r="A58" s="214" t="s">
        <v>896</v>
      </c>
      <c r="B58" s="13" t="s">
        <v>2035</v>
      </c>
      <c r="C58" s="219" t="s">
        <v>501</v>
      </c>
      <c r="D58" s="216" t="s">
        <v>203</v>
      </c>
      <c r="E58" s="217" t="s">
        <v>200</v>
      </c>
      <c r="F58" s="217" t="s">
        <v>173</v>
      </c>
      <c r="G58" s="218">
        <v>33082</v>
      </c>
      <c r="H58" s="217" t="s">
        <v>830</v>
      </c>
      <c r="I58" s="217" t="s">
        <v>1576</v>
      </c>
      <c r="J58" s="217" t="s">
        <v>1237</v>
      </c>
      <c r="K58" s="217" t="s">
        <v>91</v>
      </c>
      <c r="L58" s="220">
        <v>10091235345</v>
      </c>
      <c r="M58" s="206">
        <v>1690777750</v>
      </c>
      <c r="N58" s="206">
        <v>8400457595</v>
      </c>
      <c r="O58" s="206">
        <v>8081377635</v>
      </c>
      <c r="P58" s="206">
        <v>931364084</v>
      </c>
      <c r="Q58" s="206">
        <v>876898600</v>
      </c>
      <c r="R58" s="206">
        <v>656193706</v>
      </c>
      <c r="S58" s="405">
        <v>0</v>
      </c>
      <c r="T58" s="405">
        <v>0</v>
      </c>
      <c r="U58" s="406">
        <v>0</v>
      </c>
      <c r="V58" s="406">
        <v>0</v>
      </c>
      <c r="W58" s="407">
        <f t="shared" si="54"/>
        <v>0</v>
      </c>
      <c r="X58" s="407">
        <f t="shared" si="55"/>
        <v>100</v>
      </c>
      <c r="Y58" s="408">
        <f t="shared" si="56"/>
        <v>3</v>
      </c>
      <c r="Z58" s="444" t="s">
        <v>3298</v>
      </c>
      <c r="AA58" s="442">
        <v>0</v>
      </c>
      <c r="AB58" s="406">
        <v>1</v>
      </c>
      <c r="AC58" s="406">
        <v>0</v>
      </c>
      <c r="AD58" s="407">
        <f t="shared" si="57"/>
        <v>1</v>
      </c>
      <c r="AE58" s="364" t="str">
        <f t="shared" si="58"/>
        <v>100</v>
      </c>
      <c r="AF58" s="349">
        <f t="shared" si="59"/>
        <v>0.5</v>
      </c>
      <c r="AG58" s="154">
        <v>1720</v>
      </c>
      <c r="AH58" s="154">
        <v>586093</v>
      </c>
      <c r="AI58" s="409">
        <f t="shared" si="13"/>
        <v>340.75174418604649</v>
      </c>
      <c r="AJ58" s="409">
        <f t="shared" si="14"/>
        <v>100</v>
      </c>
      <c r="AK58" s="408">
        <f t="shared" si="60"/>
        <v>1</v>
      </c>
      <c r="AL58" s="45">
        <v>77416</v>
      </c>
      <c r="AM58" s="361">
        <f t="shared" si="15"/>
        <v>657.06959801591404</v>
      </c>
      <c r="AN58" s="365">
        <f t="shared" si="16"/>
        <v>100</v>
      </c>
      <c r="AO58" s="320">
        <f t="shared" si="61"/>
        <v>1</v>
      </c>
      <c r="AP58" s="277">
        <f>_xlfn.XLOOKUP(C58, '1.건전성'!C:C, '1.건전성'!BE:BE)</f>
        <v>29796731</v>
      </c>
      <c r="AQ58" s="277">
        <f>_xlfn.XLOOKUP(C58, '1.건전성'!C:C, '1.건전성'!BF:BF)</f>
        <v>13220413</v>
      </c>
      <c r="AR58" s="410">
        <f t="shared" si="17"/>
        <v>43017144</v>
      </c>
      <c r="AS58" s="366">
        <f t="shared" si="8"/>
        <v>0.53229963928049995</v>
      </c>
      <c r="AT58" s="366">
        <f t="shared" si="18"/>
        <v>25.02434646176922</v>
      </c>
      <c r="AU58" s="321">
        <f t="shared" si="19"/>
        <v>0.2502434646176922</v>
      </c>
      <c r="AV58" s="15">
        <v>2393318</v>
      </c>
      <c r="AW58" s="361">
        <f t="shared" si="9"/>
        <v>2.9615222900049514E-2</v>
      </c>
      <c r="AX58" s="361">
        <f t="shared" si="20"/>
        <v>25</v>
      </c>
      <c r="AY58" s="321">
        <f t="shared" si="62"/>
        <v>0.125</v>
      </c>
      <c r="AZ58" s="411">
        <v>12.11</v>
      </c>
      <c r="BA58" s="412">
        <f t="shared" si="21"/>
        <v>100</v>
      </c>
      <c r="BB58" s="408">
        <f t="shared" si="63"/>
        <v>0.5</v>
      </c>
      <c r="BC58" s="204">
        <v>1</v>
      </c>
      <c r="BD58" s="407">
        <f t="shared" si="22"/>
        <v>100</v>
      </c>
      <c r="BE58" s="408">
        <f t="shared" si="64"/>
        <v>0.5</v>
      </c>
      <c r="BF58" s="204">
        <v>0</v>
      </c>
      <c r="BG58" s="204">
        <v>0</v>
      </c>
      <c r="BH58" s="204">
        <v>0</v>
      </c>
      <c r="BI58" s="272" t="str">
        <f t="shared" si="23"/>
        <v>A</v>
      </c>
      <c r="BJ58" s="247">
        <f t="shared" si="24"/>
        <v>100</v>
      </c>
      <c r="BK58" s="90">
        <f t="shared" si="25"/>
        <v>3</v>
      </c>
      <c r="BL58" s="406">
        <v>184</v>
      </c>
      <c r="BM58" s="413">
        <f t="shared" si="26"/>
        <v>10.697674418604651</v>
      </c>
      <c r="BN58" s="414">
        <f t="shared" si="27"/>
        <v>20</v>
      </c>
      <c r="BO58" s="415">
        <f t="shared" si="28"/>
        <v>0.6</v>
      </c>
      <c r="BP58" s="416">
        <v>0</v>
      </c>
      <c r="BQ58" s="417">
        <f t="shared" si="29"/>
        <v>33.333333333333336</v>
      </c>
      <c r="BR58" s="415">
        <f t="shared" si="30"/>
        <v>0.33333333333333337</v>
      </c>
      <c r="BS58" s="350">
        <f t="shared" si="31"/>
        <v>10.808576797951027</v>
      </c>
    </row>
    <row r="59" spans="1:71" x14ac:dyDescent="0.6">
      <c r="A59" s="214" t="s">
        <v>520</v>
      </c>
      <c r="B59" s="13" t="s">
        <v>2036</v>
      </c>
      <c r="C59" s="219" t="s">
        <v>401</v>
      </c>
      <c r="D59" s="216" t="s">
        <v>203</v>
      </c>
      <c r="E59" s="217" t="s">
        <v>195</v>
      </c>
      <c r="F59" s="217" t="s">
        <v>636</v>
      </c>
      <c r="G59" s="218">
        <v>27905</v>
      </c>
      <c r="H59" s="217" t="s">
        <v>830</v>
      </c>
      <c r="I59" s="217" t="s">
        <v>591</v>
      </c>
      <c r="J59" s="217" t="s">
        <v>1028</v>
      </c>
      <c r="K59" s="217" t="s">
        <v>484</v>
      </c>
      <c r="L59" s="220">
        <v>1426860291</v>
      </c>
      <c r="M59" s="206">
        <v>243570816</v>
      </c>
      <c r="N59" s="206">
        <v>1183289475</v>
      </c>
      <c r="O59" s="206">
        <v>559167200</v>
      </c>
      <c r="P59" s="206">
        <v>43001257</v>
      </c>
      <c r="Q59" s="206">
        <v>60233515</v>
      </c>
      <c r="R59" s="206">
        <v>45128788</v>
      </c>
      <c r="S59" s="405">
        <v>0</v>
      </c>
      <c r="T59" s="405">
        <v>0</v>
      </c>
      <c r="U59" s="406">
        <v>0</v>
      </c>
      <c r="V59" s="406">
        <v>0</v>
      </c>
      <c r="W59" s="407">
        <f t="shared" si="54"/>
        <v>0</v>
      </c>
      <c r="X59" s="407">
        <f t="shared" si="55"/>
        <v>100</v>
      </c>
      <c r="Y59" s="408">
        <f t="shared" si="56"/>
        <v>3</v>
      </c>
      <c r="Z59" s="444" t="s">
        <v>3299</v>
      </c>
      <c r="AA59" s="442">
        <v>0</v>
      </c>
      <c r="AB59" s="406">
        <v>1</v>
      </c>
      <c r="AC59" s="406">
        <v>0</v>
      </c>
      <c r="AD59" s="407">
        <f t="shared" si="57"/>
        <v>1</v>
      </c>
      <c r="AE59" s="364" t="str">
        <f t="shared" si="58"/>
        <v>100</v>
      </c>
      <c r="AF59" s="349">
        <f t="shared" si="59"/>
        <v>0.5</v>
      </c>
      <c r="AG59" s="154">
        <v>805</v>
      </c>
      <c r="AH59" s="421"/>
      <c r="AI59" s="409">
        <f t="shared" si="13"/>
        <v>0</v>
      </c>
      <c r="AJ59" s="409">
        <f t="shared" si="14"/>
        <v>25</v>
      </c>
      <c r="AK59" s="408">
        <f t="shared" si="60"/>
        <v>0.25</v>
      </c>
      <c r="AL59" s="423"/>
      <c r="AM59" s="424">
        <v>0</v>
      </c>
      <c r="AN59" s="365">
        <f t="shared" si="16"/>
        <v>25</v>
      </c>
      <c r="AO59" s="320">
        <f t="shared" si="61"/>
        <v>0.25</v>
      </c>
      <c r="AP59" s="277">
        <f>_xlfn.XLOOKUP(C59, '1.건전성'!C:C, '1.건전성'!BE:BE)</f>
        <v>14868000</v>
      </c>
      <c r="AQ59" s="277">
        <f>_xlfn.XLOOKUP(C59, '1.건전성'!C:C, '1.건전성'!BF:BF)</f>
        <v>1336000</v>
      </c>
      <c r="AR59" s="410">
        <f t="shared" si="17"/>
        <v>16204000</v>
      </c>
      <c r="AS59" s="366">
        <f t="shared" si="8"/>
        <v>2.8978809915889201</v>
      </c>
      <c r="AT59" s="366">
        <f t="shared" si="18"/>
        <v>26.807447983609737</v>
      </c>
      <c r="AU59" s="321">
        <f t="shared" si="19"/>
        <v>0.26807447983609739</v>
      </c>
      <c r="AV59" s="15">
        <v>2882000</v>
      </c>
      <c r="AW59" s="361">
        <f t="shared" si="9"/>
        <v>0.51540934446798736</v>
      </c>
      <c r="AX59" s="361">
        <f t="shared" si="20"/>
        <v>28.147040488393845</v>
      </c>
      <c r="AY59" s="321">
        <f t="shared" si="62"/>
        <v>0.14073520244196921</v>
      </c>
      <c r="AZ59" s="411">
        <v>11.53</v>
      </c>
      <c r="BA59" s="412">
        <f t="shared" si="21"/>
        <v>100</v>
      </c>
      <c r="BB59" s="408">
        <f t="shared" si="63"/>
        <v>0.5</v>
      </c>
      <c r="BC59" s="204">
        <v>1</v>
      </c>
      <c r="BD59" s="407">
        <f t="shared" si="22"/>
        <v>100</v>
      </c>
      <c r="BE59" s="408">
        <f t="shared" si="64"/>
        <v>0.5</v>
      </c>
      <c r="BF59" s="204">
        <v>0</v>
      </c>
      <c r="BG59" s="204">
        <v>0</v>
      </c>
      <c r="BH59" s="204">
        <v>0</v>
      </c>
      <c r="BI59" s="272" t="str">
        <f t="shared" si="23"/>
        <v>A</v>
      </c>
      <c r="BJ59" s="247">
        <f t="shared" si="24"/>
        <v>100</v>
      </c>
      <c r="BK59" s="90">
        <f t="shared" si="25"/>
        <v>3</v>
      </c>
      <c r="BL59" s="406">
        <v>56</v>
      </c>
      <c r="BM59" s="413">
        <f t="shared" si="26"/>
        <v>6.9565217391304346</v>
      </c>
      <c r="BN59" s="414">
        <f t="shared" si="27"/>
        <v>40</v>
      </c>
      <c r="BO59" s="415">
        <f t="shared" si="28"/>
        <v>1.2</v>
      </c>
      <c r="BP59" s="416">
        <v>0</v>
      </c>
      <c r="BQ59" s="417">
        <f t="shared" si="29"/>
        <v>33.333333333333336</v>
      </c>
      <c r="BR59" s="415">
        <f t="shared" si="30"/>
        <v>0.33333333333333337</v>
      </c>
      <c r="BS59" s="350">
        <f t="shared" si="31"/>
        <v>9.9421430156113999</v>
      </c>
    </row>
    <row r="60" spans="1:71" x14ac:dyDescent="0.6">
      <c r="A60" s="214" t="s">
        <v>549</v>
      </c>
      <c r="B60" s="13" t="s">
        <v>2037</v>
      </c>
      <c r="C60" s="219" t="s">
        <v>365</v>
      </c>
      <c r="D60" s="216" t="s">
        <v>191</v>
      </c>
      <c r="E60" s="217" t="s">
        <v>34</v>
      </c>
      <c r="F60" s="217" t="s">
        <v>566</v>
      </c>
      <c r="G60" s="218">
        <v>32829</v>
      </c>
      <c r="H60" s="217" t="s">
        <v>830</v>
      </c>
      <c r="I60" s="217" t="s">
        <v>693</v>
      </c>
      <c r="J60" s="217" t="s">
        <v>974</v>
      </c>
      <c r="K60" s="217" t="s">
        <v>91</v>
      </c>
      <c r="L60" s="220">
        <v>767629606</v>
      </c>
      <c r="M60" s="206">
        <v>261642769</v>
      </c>
      <c r="N60" s="206">
        <v>505986838</v>
      </c>
      <c r="O60" s="206">
        <v>850526444</v>
      </c>
      <c r="P60" s="206">
        <v>33566313</v>
      </c>
      <c r="Q60" s="206">
        <v>31909767</v>
      </c>
      <c r="R60" s="206">
        <v>23739402</v>
      </c>
      <c r="S60" s="405">
        <v>0</v>
      </c>
      <c r="T60" s="405">
        <v>0</v>
      </c>
      <c r="U60" s="406">
        <v>0</v>
      </c>
      <c r="V60" s="406">
        <v>0</v>
      </c>
      <c r="W60" s="407">
        <f t="shared" si="54"/>
        <v>0</v>
      </c>
      <c r="X60" s="407">
        <f t="shared" si="55"/>
        <v>100</v>
      </c>
      <c r="Y60" s="408">
        <f t="shared" si="56"/>
        <v>3</v>
      </c>
      <c r="Z60" s="444" t="s">
        <v>3300</v>
      </c>
      <c r="AA60" s="442">
        <v>0</v>
      </c>
      <c r="AB60" s="406">
        <v>1</v>
      </c>
      <c r="AC60" s="406">
        <v>0</v>
      </c>
      <c r="AD60" s="407">
        <f t="shared" si="57"/>
        <v>1</v>
      </c>
      <c r="AE60" s="364" t="str">
        <f t="shared" si="58"/>
        <v>100</v>
      </c>
      <c r="AF60" s="349">
        <f t="shared" si="59"/>
        <v>0.5</v>
      </c>
      <c r="AG60" s="154">
        <v>1056</v>
      </c>
      <c r="AH60" s="154">
        <v>702301</v>
      </c>
      <c r="AI60" s="409">
        <f t="shared" si="13"/>
        <v>665.05776515151513</v>
      </c>
      <c r="AJ60" s="409">
        <f t="shared" si="14"/>
        <v>100</v>
      </c>
      <c r="AK60" s="408">
        <f t="shared" si="60"/>
        <v>1</v>
      </c>
      <c r="AL60" s="45">
        <v>314358</v>
      </c>
      <c r="AM60" s="361">
        <f t="shared" si="15"/>
        <v>123.40802524510272</v>
      </c>
      <c r="AN60" s="365">
        <f t="shared" si="16"/>
        <v>48.139004733456758</v>
      </c>
      <c r="AO60" s="320">
        <f t="shared" si="61"/>
        <v>0.48139004733456758</v>
      </c>
      <c r="AP60" s="277">
        <f>_xlfn.XLOOKUP(C60, '1.건전성'!C:C, '1.건전성'!BE:BE)</f>
        <v>50827189</v>
      </c>
      <c r="AQ60" s="277">
        <f>_xlfn.XLOOKUP(C60, '1.건전성'!C:C, '1.건전성'!BF:BF)</f>
        <v>6590842</v>
      </c>
      <c r="AR60" s="410">
        <f t="shared" si="17"/>
        <v>57418031</v>
      </c>
      <c r="AS60" s="366">
        <f t="shared" si="8"/>
        <v>6.7508813400280347</v>
      </c>
      <c r="AT60" s="366">
        <f t="shared" si="18"/>
        <v>29.711719603036208</v>
      </c>
      <c r="AU60" s="321">
        <f t="shared" si="19"/>
        <v>0.29711719603036207</v>
      </c>
      <c r="AV60" s="15">
        <v>10196075</v>
      </c>
      <c r="AW60" s="361">
        <f t="shared" si="9"/>
        <v>1.1987957660726185</v>
      </c>
      <c r="AX60" s="361">
        <f t="shared" si="20"/>
        <v>33.324210349034985</v>
      </c>
      <c r="AY60" s="321">
        <f t="shared" si="62"/>
        <v>0.16662105174517491</v>
      </c>
      <c r="AZ60" s="411">
        <v>10.1</v>
      </c>
      <c r="BA60" s="412">
        <f t="shared" si="21"/>
        <v>100</v>
      </c>
      <c r="BB60" s="408">
        <f t="shared" si="63"/>
        <v>0.5</v>
      </c>
      <c r="BC60" s="204">
        <v>1</v>
      </c>
      <c r="BD60" s="407">
        <f t="shared" si="22"/>
        <v>100</v>
      </c>
      <c r="BE60" s="408">
        <f t="shared" si="64"/>
        <v>0.5</v>
      </c>
      <c r="BF60" s="204">
        <v>1</v>
      </c>
      <c r="BG60" s="204">
        <v>0</v>
      </c>
      <c r="BH60" s="204">
        <v>0</v>
      </c>
      <c r="BI60" s="272" t="str">
        <f t="shared" si="23"/>
        <v>B</v>
      </c>
      <c r="BJ60" s="247">
        <f t="shared" si="24"/>
        <v>75</v>
      </c>
      <c r="BK60" s="90">
        <f t="shared" si="25"/>
        <v>2.25</v>
      </c>
      <c r="BL60" s="406">
        <v>50</v>
      </c>
      <c r="BM60" s="413">
        <f t="shared" si="26"/>
        <v>4.7348484848484844</v>
      </c>
      <c r="BN60" s="414">
        <f t="shared" si="27"/>
        <v>40</v>
      </c>
      <c r="BO60" s="415">
        <f t="shared" si="28"/>
        <v>1.2</v>
      </c>
      <c r="BP60" s="416">
        <v>0.63</v>
      </c>
      <c r="BQ60" s="417">
        <f t="shared" si="29"/>
        <v>66.666666666666671</v>
      </c>
      <c r="BR60" s="415">
        <f t="shared" si="30"/>
        <v>0.66666666666666674</v>
      </c>
      <c r="BS60" s="350">
        <f t="shared" si="31"/>
        <v>10.561794961776769</v>
      </c>
    </row>
    <row r="61" spans="1:71" x14ac:dyDescent="0.6">
      <c r="A61" s="214" t="s">
        <v>1577</v>
      </c>
      <c r="B61" s="13" t="s">
        <v>2038</v>
      </c>
      <c r="C61" s="219" t="s">
        <v>101</v>
      </c>
      <c r="D61" s="216" t="s">
        <v>202</v>
      </c>
      <c r="E61" s="217" t="s">
        <v>382</v>
      </c>
      <c r="F61" s="217" t="s">
        <v>127</v>
      </c>
      <c r="G61" s="218">
        <v>33130</v>
      </c>
      <c r="H61" s="217" t="s">
        <v>830</v>
      </c>
      <c r="I61" s="217" t="s">
        <v>369</v>
      </c>
      <c r="J61" s="217" t="s">
        <v>1032</v>
      </c>
      <c r="K61" s="217" t="s">
        <v>690</v>
      </c>
      <c r="L61" s="220">
        <v>153664335</v>
      </c>
      <c r="M61" s="206">
        <v>48649816</v>
      </c>
      <c r="N61" s="206">
        <v>105014518</v>
      </c>
      <c r="O61" s="206">
        <v>130228176</v>
      </c>
      <c r="P61" s="206">
        <v>4340165</v>
      </c>
      <c r="Q61" s="206">
        <v>4654301</v>
      </c>
      <c r="R61" s="206">
        <v>4153557</v>
      </c>
      <c r="S61" s="405">
        <v>0</v>
      </c>
      <c r="T61" s="405">
        <v>0</v>
      </c>
      <c r="U61" s="406">
        <v>0</v>
      </c>
      <c r="V61" s="406">
        <v>0</v>
      </c>
      <c r="W61" s="407">
        <f t="shared" si="54"/>
        <v>0</v>
      </c>
      <c r="X61" s="407">
        <f t="shared" si="55"/>
        <v>100</v>
      </c>
      <c r="Y61" s="408">
        <f t="shared" si="56"/>
        <v>3</v>
      </c>
      <c r="Z61" s="444" t="s">
        <v>3301</v>
      </c>
      <c r="AA61" s="442">
        <v>0</v>
      </c>
      <c r="AB61" s="406">
        <v>1</v>
      </c>
      <c r="AC61" s="406">
        <v>0</v>
      </c>
      <c r="AD61" s="407">
        <f t="shared" si="57"/>
        <v>1</v>
      </c>
      <c r="AE61" s="364" t="str">
        <f t="shared" si="58"/>
        <v>100</v>
      </c>
      <c r="AF61" s="349">
        <f t="shared" si="59"/>
        <v>0.5</v>
      </c>
      <c r="AG61" s="154">
        <v>195</v>
      </c>
      <c r="AH61" s="154">
        <v>53337</v>
      </c>
      <c r="AI61" s="409">
        <f t="shared" si="13"/>
        <v>273.52307692307693</v>
      </c>
      <c r="AJ61" s="409">
        <f t="shared" si="14"/>
        <v>100</v>
      </c>
      <c r="AK61" s="408">
        <f t="shared" si="60"/>
        <v>1</v>
      </c>
      <c r="AL61" s="45">
        <v>3925</v>
      </c>
      <c r="AM61" s="361">
        <f t="shared" si="15"/>
        <v>1258.9044585987263</v>
      </c>
      <c r="AN61" s="365">
        <f t="shared" si="16"/>
        <v>100</v>
      </c>
      <c r="AO61" s="320">
        <f t="shared" si="61"/>
        <v>1</v>
      </c>
      <c r="AP61" s="277">
        <f>_xlfn.XLOOKUP(C61, '1.건전성'!C:C, '1.건전성'!BE:BE)</f>
        <v>3186085.1060000001</v>
      </c>
      <c r="AQ61" s="277">
        <f>_xlfn.XLOOKUP(C61, '1.건전성'!C:C, '1.건전성'!BF:BF)</f>
        <v>308417.06300000002</v>
      </c>
      <c r="AR61" s="410">
        <f t="shared" si="17"/>
        <v>3494502.1690000002</v>
      </c>
      <c r="AS61" s="366">
        <f t="shared" si="8"/>
        <v>2.6833687427212376</v>
      </c>
      <c r="AT61" s="366">
        <f t="shared" si="18"/>
        <v>26.645755333709477</v>
      </c>
      <c r="AU61" s="321">
        <f t="shared" si="19"/>
        <v>0.26645755333709475</v>
      </c>
      <c r="AV61" s="15">
        <v>382804</v>
      </c>
      <c r="AW61" s="361">
        <f t="shared" si="9"/>
        <v>0.29394867666732888</v>
      </c>
      <c r="AX61" s="361">
        <f t="shared" si="20"/>
        <v>26.469308156570673</v>
      </c>
      <c r="AY61" s="321">
        <f t="shared" si="62"/>
        <v>0.13234654078285338</v>
      </c>
      <c r="AZ61" s="411">
        <v>9.1199999999999992</v>
      </c>
      <c r="BA61" s="412">
        <f t="shared" si="21"/>
        <v>80</v>
      </c>
      <c r="BB61" s="408">
        <f t="shared" si="63"/>
        <v>0.4</v>
      </c>
      <c r="BC61" s="204">
        <v>1</v>
      </c>
      <c r="BD61" s="407">
        <f t="shared" si="22"/>
        <v>100</v>
      </c>
      <c r="BE61" s="408">
        <f t="shared" si="64"/>
        <v>0.5</v>
      </c>
      <c r="BF61" s="204">
        <v>1</v>
      </c>
      <c r="BG61" s="204">
        <v>0</v>
      </c>
      <c r="BH61" s="204">
        <v>0</v>
      </c>
      <c r="BI61" s="272" t="str">
        <f t="shared" si="23"/>
        <v>B</v>
      </c>
      <c r="BJ61" s="247">
        <f t="shared" si="24"/>
        <v>75</v>
      </c>
      <c r="BK61" s="90">
        <f t="shared" si="25"/>
        <v>2.25</v>
      </c>
      <c r="BL61" s="406">
        <v>8</v>
      </c>
      <c r="BM61" s="413">
        <f t="shared" si="26"/>
        <v>4.1025641025641022</v>
      </c>
      <c r="BN61" s="414">
        <f t="shared" si="27"/>
        <v>40</v>
      </c>
      <c r="BO61" s="415">
        <f t="shared" si="28"/>
        <v>1.2</v>
      </c>
      <c r="BP61" s="416">
        <v>0</v>
      </c>
      <c r="BQ61" s="417">
        <f t="shared" si="29"/>
        <v>33.333333333333336</v>
      </c>
      <c r="BR61" s="415">
        <f t="shared" si="30"/>
        <v>0.33333333333333337</v>
      </c>
      <c r="BS61" s="350">
        <f t="shared" si="31"/>
        <v>10.582137427453281</v>
      </c>
    </row>
    <row r="62" spans="1:71" x14ac:dyDescent="0.6">
      <c r="A62" s="214" t="s">
        <v>353</v>
      </c>
      <c r="B62" s="13" t="s">
        <v>2039</v>
      </c>
      <c r="C62" s="219" t="s">
        <v>492</v>
      </c>
      <c r="D62" s="216" t="s">
        <v>285</v>
      </c>
      <c r="E62" s="217" t="s">
        <v>504</v>
      </c>
      <c r="F62" s="217" t="s">
        <v>713</v>
      </c>
      <c r="G62" s="218">
        <v>37294</v>
      </c>
      <c r="H62" s="217" t="s">
        <v>830</v>
      </c>
      <c r="I62" s="217" t="s">
        <v>727</v>
      </c>
      <c r="J62" s="217" t="s">
        <v>1250</v>
      </c>
      <c r="K62" s="217" t="s">
        <v>487</v>
      </c>
      <c r="L62" s="220">
        <v>913454051</v>
      </c>
      <c r="M62" s="206">
        <v>123544315</v>
      </c>
      <c r="N62" s="206">
        <v>789909736</v>
      </c>
      <c r="O62" s="206">
        <v>184873955</v>
      </c>
      <c r="P62" s="206">
        <v>65584851</v>
      </c>
      <c r="Q62" s="206">
        <v>76860200</v>
      </c>
      <c r="R62" s="206">
        <v>56946615</v>
      </c>
      <c r="S62" s="405">
        <v>0</v>
      </c>
      <c r="T62" s="405">
        <v>0</v>
      </c>
      <c r="U62" s="406">
        <v>0</v>
      </c>
      <c r="V62" s="406">
        <v>0</v>
      </c>
      <c r="W62" s="407">
        <f t="shared" si="54"/>
        <v>0</v>
      </c>
      <c r="X62" s="407">
        <f t="shared" si="55"/>
        <v>100</v>
      </c>
      <c r="Y62" s="408">
        <f t="shared" si="56"/>
        <v>3</v>
      </c>
      <c r="Z62" s="444" t="s">
        <v>3302</v>
      </c>
      <c r="AA62" s="442">
        <v>0</v>
      </c>
      <c r="AB62" s="406">
        <v>0</v>
      </c>
      <c r="AC62" s="406">
        <v>0</v>
      </c>
      <c r="AD62" s="407">
        <f t="shared" si="57"/>
        <v>0</v>
      </c>
      <c r="AE62" s="364" t="str">
        <f t="shared" si="58"/>
        <v>50</v>
      </c>
      <c r="AF62" s="349">
        <f t="shared" si="59"/>
        <v>0.25</v>
      </c>
      <c r="AG62" s="154">
        <v>170</v>
      </c>
      <c r="AH62" s="421"/>
      <c r="AI62" s="409">
        <f t="shared" si="13"/>
        <v>0</v>
      </c>
      <c r="AJ62" s="409">
        <f t="shared" si="14"/>
        <v>25</v>
      </c>
      <c r="AK62" s="408">
        <f t="shared" si="60"/>
        <v>0.25</v>
      </c>
      <c r="AL62" s="423"/>
      <c r="AM62" s="424">
        <v>0</v>
      </c>
      <c r="AN62" s="365">
        <f t="shared" si="16"/>
        <v>25</v>
      </c>
      <c r="AO62" s="320">
        <f t="shared" si="61"/>
        <v>0.25</v>
      </c>
      <c r="AP62" s="277">
        <f>_xlfn.XLOOKUP(C62, '1.건전성'!C:C, '1.건전성'!BE:BE)</f>
        <v>10532812</v>
      </c>
      <c r="AQ62" s="277">
        <f>_xlfn.XLOOKUP(C62, '1.건전성'!C:C, '1.건전성'!BF:BF)</f>
        <v>755843</v>
      </c>
      <c r="AR62" s="410">
        <f t="shared" si="17"/>
        <v>11288655</v>
      </c>
      <c r="AS62" s="366">
        <f t="shared" si="8"/>
        <v>6.1061359346155601</v>
      </c>
      <c r="AT62" s="366">
        <f t="shared" si="18"/>
        <v>29.225730603981578</v>
      </c>
      <c r="AU62" s="321">
        <f t="shared" si="19"/>
        <v>0.29225730603981581</v>
      </c>
      <c r="AV62" s="15">
        <v>1381753</v>
      </c>
      <c r="AW62" s="361">
        <f t="shared" si="9"/>
        <v>0.74740273717841976</v>
      </c>
      <c r="AX62" s="361">
        <f t="shared" si="20"/>
        <v>29.904566190745605</v>
      </c>
      <c r="AY62" s="321">
        <f t="shared" si="62"/>
        <v>0.14952283095372804</v>
      </c>
      <c r="AZ62" s="411">
        <v>16.02</v>
      </c>
      <c r="BA62" s="412">
        <f t="shared" si="21"/>
        <v>100</v>
      </c>
      <c r="BB62" s="408">
        <f t="shared" si="63"/>
        <v>0.5</v>
      </c>
      <c r="BC62" s="204">
        <v>1</v>
      </c>
      <c r="BD62" s="407">
        <f t="shared" si="22"/>
        <v>100</v>
      </c>
      <c r="BE62" s="408">
        <f t="shared" si="64"/>
        <v>0.5</v>
      </c>
      <c r="BF62" s="204">
        <v>0</v>
      </c>
      <c r="BG62" s="204">
        <v>0</v>
      </c>
      <c r="BH62" s="204">
        <v>0</v>
      </c>
      <c r="BI62" s="272" t="str">
        <f t="shared" si="23"/>
        <v>A</v>
      </c>
      <c r="BJ62" s="247">
        <f t="shared" si="24"/>
        <v>100</v>
      </c>
      <c r="BK62" s="90">
        <f t="shared" si="25"/>
        <v>3</v>
      </c>
      <c r="BL62" s="406">
        <v>0</v>
      </c>
      <c r="BM62" s="413">
        <f t="shared" si="26"/>
        <v>0</v>
      </c>
      <c r="BN62" s="414">
        <f t="shared" si="27"/>
        <v>100</v>
      </c>
      <c r="BO62" s="415">
        <f t="shared" si="28"/>
        <v>3</v>
      </c>
      <c r="BP62" s="416">
        <v>0</v>
      </c>
      <c r="BQ62" s="417">
        <f t="shared" si="29"/>
        <v>33.333333333333336</v>
      </c>
      <c r="BR62" s="415">
        <f t="shared" si="30"/>
        <v>0.33333333333333337</v>
      </c>
      <c r="BS62" s="350">
        <f t="shared" si="31"/>
        <v>11.525113470326877</v>
      </c>
    </row>
    <row r="63" spans="1:71" x14ac:dyDescent="0.6">
      <c r="A63" s="214" t="s">
        <v>1578</v>
      </c>
      <c r="B63" s="13" t="s">
        <v>2040</v>
      </c>
      <c r="C63" s="219" t="s">
        <v>1579</v>
      </c>
      <c r="D63" s="79" t="s">
        <v>350</v>
      </c>
      <c r="E63" s="217" t="s">
        <v>179</v>
      </c>
      <c r="F63" s="217" t="s">
        <v>992</v>
      </c>
      <c r="G63" s="218">
        <v>37455</v>
      </c>
      <c r="H63" s="217" t="s">
        <v>830</v>
      </c>
      <c r="I63" s="217" t="s">
        <v>1580</v>
      </c>
      <c r="J63" s="217" t="s">
        <v>1581</v>
      </c>
      <c r="K63" s="217" t="s">
        <v>91</v>
      </c>
      <c r="L63" s="220">
        <v>12149139534</v>
      </c>
      <c r="M63" s="206">
        <v>10584274049</v>
      </c>
      <c r="N63" s="206">
        <v>1564865485</v>
      </c>
      <c r="O63" s="206">
        <v>4036211805</v>
      </c>
      <c r="P63" s="206">
        <v>90025670</v>
      </c>
      <c r="Q63" s="206">
        <v>63262018</v>
      </c>
      <c r="R63" s="206">
        <v>44599774</v>
      </c>
      <c r="S63" s="275" t="s">
        <v>2326</v>
      </c>
      <c r="T63" s="275" t="s">
        <v>2326</v>
      </c>
      <c r="U63" s="275" t="s">
        <v>2326</v>
      </c>
      <c r="V63" s="275" t="s">
        <v>2326</v>
      </c>
      <c r="W63" s="275" t="s">
        <v>2326</v>
      </c>
      <c r="X63" s="275" t="s">
        <v>2326</v>
      </c>
      <c r="Y63" s="276"/>
      <c r="Z63" s="275" t="s">
        <v>2326</v>
      </c>
      <c r="AA63" s="275" t="s">
        <v>2326</v>
      </c>
      <c r="AB63" s="275" t="s">
        <v>2326</v>
      </c>
      <c r="AC63" s="275" t="s">
        <v>2326</v>
      </c>
      <c r="AD63" s="275" t="s">
        <v>2326</v>
      </c>
      <c r="AE63" s="275" t="s">
        <v>2326</v>
      </c>
      <c r="AF63" s="275"/>
      <c r="AG63" s="154">
        <v>1010</v>
      </c>
      <c r="AH63" s="421"/>
      <c r="AI63" s="409">
        <f t="shared" si="13"/>
        <v>0</v>
      </c>
      <c r="AJ63" s="409">
        <f t="shared" si="14"/>
        <v>25</v>
      </c>
      <c r="AK63" s="418">
        <f>AJ63*0.02</f>
        <v>0.5</v>
      </c>
      <c r="AL63" s="423"/>
      <c r="AM63" s="424">
        <v>0</v>
      </c>
      <c r="AN63" s="365">
        <f t="shared" si="16"/>
        <v>25</v>
      </c>
      <c r="AO63" s="322">
        <f>AN63*0.02</f>
        <v>0.5</v>
      </c>
      <c r="AP63" s="277">
        <f>_xlfn.XLOOKUP(C63, '1.건전성'!C:C, '1.건전성'!BE:BE)</f>
        <v>125523598</v>
      </c>
      <c r="AQ63" s="277">
        <f>_xlfn.XLOOKUP(C63, '1.건전성'!C:C, '1.건전성'!BF:BF)</f>
        <v>8153982</v>
      </c>
      <c r="AR63" s="410">
        <f t="shared" si="17"/>
        <v>133677580</v>
      </c>
      <c r="AS63" s="366">
        <f t="shared" si="8"/>
        <v>3.311956519090554</v>
      </c>
      <c r="AT63" s="366">
        <f t="shared" si="18"/>
        <v>27.119565215394889</v>
      </c>
      <c r="AU63" s="321">
        <f t="shared" si="19"/>
        <v>0.27119565215394892</v>
      </c>
      <c r="AV63" s="15">
        <v>28424386</v>
      </c>
      <c r="AW63" s="361">
        <f t="shared" si="9"/>
        <v>0.70423425165122122</v>
      </c>
      <c r="AX63" s="361">
        <f t="shared" si="20"/>
        <v>29.577532209478949</v>
      </c>
      <c r="AY63" s="348">
        <f>AX63*0.01</f>
        <v>0.29577532209478952</v>
      </c>
      <c r="AZ63" s="411">
        <v>12.07</v>
      </c>
      <c r="BA63" s="412">
        <f t="shared" si="21"/>
        <v>100</v>
      </c>
      <c r="BB63" s="418">
        <f>BA63*0.01</f>
        <v>1</v>
      </c>
      <c r="BC63" s="204">
        <v>1</v>
      </c>
      <c r="BD63" s="407">
        <f t="shared" si="22"/>
        <v>100</v>
      </c>
      <c r="BE63" s="418">
        <f>BD63*0.01</f>
        <v>1</v>
      </c>
      <c r="BF63" s="204">
        <v>0</v>
      </c>
      <c r="BG63" s="204">
        <v>1</v>
      </c>
      <c r="BH63" s="204">
        <v>0</v>
      </c>
      <c r="BI63" s="272" t="str">
        <f t="shared" si="23"/>
        <v>C</v>
      </c>
      <c r="BJ63" s="247">
        <f t="shared" si="24"/>
        <v>50</v>
      </c>
      <c r="BK63" s="90">
        <f t="shared" si="25"/>
        <v>1.5</v>
      </c>
      <c r="BL63" s="406">
        <v>231</v>
      </c>
      <c r="BM63" s="413">
        <f t="shared" si="26"/>
        <v>22.871287128712872</v>
      </c>
      <c r="BN63" s="414">
        <f t="shared" si="27"/>
        <v>20</v>
      </c>
      <c r="BO63" s="415">
        <f t="shared" si="28"/>
        <v>0.6</v>
      </c>
      <c r="BP63" s="416">
        <v>0.09</v>
      </c>
      <c r="BQ63" s="417">
        <f t="shared" si="29"/>
        <v>66.666666666666671</v>
      </c>
      <c r="BR63" s="415">
        <f t="shared" si="30"/>
        <v>0.66666666666666674</v>
      </c>
      <c r="BS63" s="350">
        <f t="shared" si="31"/>
        <v>6.3336376409154047</v>
      </c>
    </row>
    <row r="64" spans="1:71" x14ac:dyDescent="0.6">
      <c r="A64" s="214" t="s">
        <v>1582</v>
      </c>
      <c r="B64" s="13" t="s">
        <v>2041</v>
      </c>
      <c r="C64" s="219" t="s">
        <v>322</v>
      </c>
      <c r="D64" s="216" t="s">
        <v>191</v>
      </c>
      <c r="E64" s="217" t="s">
        <v>568</v>
      </c>
      <c r="F64" s="217" t="s">
        <v>176</v>
      </c>
      <c r="G64" s="218">
        <v>44147</v>
      </c>
      <c r="H64" s="217" t="s">
        <v>830</v>
      </c>
      <c r="I64" s="217" t="s">
        <v>719</v>
      </c>
      <c r="J64" s="217" t="s">
        <v>1045</v>
      </c>
      <c r="K64" s="217" t="s">
        <v>31</v>
      </c>
      <c r="L64" s="220">
        <v>262827323</v>
      </c>
      <c r="M64" s="206">
        <v>108764144</v>
      </c>
      <c r="N64" s="206">
        <v>154063179</v>
      </c>
      <c r="O64" s="206">
        <v>498874562</v>
      </c>
      <c r="P64" s="206">
        <v>2862765</v>
      </c>
      <c r="Q64" s="206">
        <v>2792639</v>
      </c>
      <c r="R64" s="206">
        <v>2643471</v>
      </c>
      <c r="S64" s="405">
        <v>0</v>
      </c>
      <c r="T64" s="405">
        <v>0</v>
      </c>
      <c r="U64" s="406">
        <v>0</v>
      </c>
      <c r="V64" s="406">
        <v>0</v>
      </c>
      <c r="W64" s="407">
        <f t="shared" ref="W64:W75" si="65">SUM(S64:V64)</f>
        <v>0</v>
      </c>
      <c r="X64" s="407">
        <f t="shared" ref="X64:X75" si="66">IF(W64=0, 100, IF(W64=1, 80, IF(W64=2, 60, IF(W64=3, 40, IF(W64=4, 20)))))</f>
        <v>100</v>
      </c>
      <c r="Y64" s="408">
        <f t="shared" ref="Y64:Y75" si="67">X64*0.03</f>
        <v>3</v>
      </c>
      <c r="Z64" s="444" t="s">
        <v>3303</v>
      </c>
      <c r="AA64" s="442">
        <v>0</v>
      </c>
      <c r="AB64" s="406">
        <v>0</v>
      </c>
      <c r="AC64" s="406">
        <v>0</v>
      </c>
      <c r="AD64" s="407">
        <f t="shared" ref="AD64:AD75" si="68">SUM(AA64:AC64)</f>
        <v>0</v>
      </c>
      <c r="AE64" s="364" t="str">
        <f t="shared" ref="AE64:AE75" si="69">IF(AD64&gt;=1,"100","50")</f>
        <v>50</v>
      </c>
      <c r="AF64" s="349">
        <f t="shared" ref="AF64:AF75" si="70">AE64*0.005</f>
        <v>0.25</v>
      </c>
      <c r="AG64" s="154">
        <v>351</v>
      </c>
      <c r="AH64" s="154">
        <v>21727</v>
      </c>
      <c r="AI64" s="409">
        <f t="shared" si="13"/>
        <v>61.900284900284902</v>
      </c>
      <c r="AJ64" s="409">
        <f t="shared" si="14"/>
        <v>71.425213675213669</v>
      </c>
      <c r="AK64" s="408">
        <f t="shared" ref="AK64:AK75" si="71">AJ64*0.01</f>
        <v>0.71425213675213672</v>
      </c>
      <c r="AL64" s="45">
        <v>48194</v>
      </c>
      <c r="AM64" s="361">
        <f t="shared" si="15"/>
        <v>-54.917624600572687</v>
      </c>
      <c r="AN64" s="365">
        <f t="shared" si="16"/>
        <v>25</v>
      </c>
      <c r="AO64" s="320">
        <f t="shared" ref="AO64:AO75" si="72">AN64*0.01</f>
        <v>0.25</v>
      </c>
      <c r="AP64" s="277">
        <f>_xlfn.XLOOKUP(C64, '1.건전성'!C:C, '1.건전성'!BE:BE)</f>
        <v>24136257</v>
      </c>
      <c r="AQ64" s="277">
        <f>_xlfn.XLOOKUP(C64, '1.건전성'!C:C, '1.건전성'!BF:BF)</f>
        <v>1675787</v>
      </c>
      <c r="AR64" s="410">
        <f t="shared" si="17"/>
        <v>25812044</v>
      </c>
      <c r="AS64" s="366">
        <f t="shared" si="8"/>
        <v>5.1740549561234195</v>
      </c>
      <c r="AT64" s="366">
        <f t="shared" si="18"/>
        <v>28.52315700210308</v>
      </c>
      <c r="AU64" s="321">
        <f t="shared" si="19"/>
        <v>0.28523157002103078</v>
      </c>
      <c r="AV64" s="15">
        <v>3368934</v>
      </c>
      <c r="AW64" s="361">
        <f t="shared" si="9"/>
        <v>0.67530683194065122</v>
      </c>
      <c r="AX64" s="361">
        <f t="shared" si="20"/>
        <v>29.358385090459478</v>
      </c>
      <c r="AY64" s="321">
        <f t="shared" ref="AY64:AY75" si="73">AX64*0.005</f>
        <v>0.14679192545229738</v>
      </c>
      <c r="AZ64" s="411">
        <v>5.8</v>
      </c>
      <c r="BA64" s="412">
        <f t="shared" si="21"/>
        <v>40</v>
      </c>
      <c r="BB64" s="408">
        <f t="shared" ref="BB64:BB75" si="74">BA64*0.005</f>
        <v>0.2</v>
      </c>
      <c r="BC64" s="204">
        <v>1</v>
      </c>
      <c r="BD64" s="407">
        <f t="shared" si="22"/>
        <v>100</v>
      </c>
      <c r="BE64" s="408">
        <f t="shared" ref="BE64:BE75" si="75">BD64*0.005</f>
        <v>0.5</v>
      </c>
      <c r="BF64" s="204">
        <v>0</v>
      </c>
      <c r="BG64" s="204">
        <v>1</v>
      </c>
      <c r="BH64" s="204">
        <v>0</v>
      </c>
      <c r="BI64" s="272" t="str">
        <f t="shared" si="23"/>
        <v>C</v>
      </c>
      <c r="BJ64" s="247">
        <f t="shared" si="24"/>
        <v>50</v>
      </c>
      <c r="BK64" s="90">
        <f t="shared" si="25"/>
        <v>1.5</v>
      </c>
      <c r="BL64" s="406">
        <v>27</v>
      </c>
      <c r="BM64" s="413">
        <f t="shared" si="26"/>
        <v>7.6923076923076925</v>
      </c>
      <c r="BN64" s="414">
        <f t="shared" si="27"/>
        <v>20</v>
      </c>
      <c r="BO64" s="415">
        <f t="shared" si="28"/>
        <v>0.6</v>
      </c>
      <c r="BP64" s="416">
        <v>2.36</v>
      </c>
      <c r="BQ64" s="417">
        <f t="shared" si="29"/>
        <v>66.666666666666671</v>
      </c>
      <c r="BR64" s="415">
        <f t="shared" si="30"/>
        <v>0.66666666666666674</v>
      </c>
      <c r="BS64" s="350">
        <f t="shared" si="31"/>
        <v>8.1129422988921309</v>
      </c>
    </row>
    <row r="65" spans="1:71" x14ac:dyDescent="0.6">
      <c r="A65" s="214" t="s">
        <v>512</v>
      </c>
      <c r="B65" s="13" t="s">
        <v>2042</v>
      </c>
      <c r="C65" s="219" t="s">
        <v>14</v>
      </c>
      <c r="D65" s="216" t="s">
        <v>203</v>
      </c>
      <c r="E65" s="217" t="s">
        <v>188</v>
      </c>
      <c r="F65" s="217" t="s">
        <v>582</v>
      </c>
      <c r="G65" s="218">
        <v>38645</v>
      </c>
      <c r="H65" s="217" t="s">
        <v>830</v>
      </c>
      <c r="I65" s="217" t="s">
        <v>703</v>
      </c>
      <c r="J65" s="217" t="s">
        <v>1055</v>
      </c>
      <c r="K65" s="217" t="s">
        <v>425</v>
      </c>
      <c r="L65" s="220">
        <v>196645335</v>
      </c>
      <c r="M65" s="206">
        <v>74168153</v>
      </c>
      <c r="N65" s="206">
        <v>122477182</v>
      </c>
      <c r="O65" s="206">
        <v>324927356</v>
      </c>
      <c r="P65" s="206">
        <v>17219652</v>
      </c>
      <c r="Q65" s="206">
        <v>5989331</v>
      </c>
      <c r="R65" s="206">
        <v>2870341</v>
      </c>
      <c r="S65" s="405">
        <v>0</v>
      </c>
      <c r="T65" s="405">
        <v>0</v>
      </c>
      <c r="U65" s="406">
        <v>0</v>
      </c>
      <c r="V65" s="406">
        <v>0</v>
      </c>
      <c r="W65" s="407">
        <f t="shared" si="65"/>
        <v>0</v>
      </c>
      <c r="X65" s="407">
        <f t="shared" si="66"/>
        <v>100</v>
      </c>
      <c r="Y65" s="408">
        <f t="shared" si="67"/>
        <v>3</v>
      </c>
      <c r="Z65" s="444" t="s">
        <v>3304</v>
      </c>
      <c r="AA65" s="442">
        <v>0</v>
      </c>
      <c r="AB65" s="406">
        <v>0</v>
      </c>
      <c r="AC65" s="406">
        <v>0</v>
      </c>
      <c r="AD65" s="407">
        <f t="shared" si="68"/>
        <v>0</v>
      </c>
      <c r="AE65" s="364" t="str">
        <f t="shared" si="69"/>
        <v>50</v>
      </c>
      <c r="AF65" s="349">
        <f t="shared" si="70"/>
        <v>0.25</v>
      </c>
      <c r="AG65" s="154">
        <v>174</v>
      </c>
      <c r="AH65" s="421"/>
      <c r="AI65" s="409">
        <f t="shared" si="13"/>
        <v>0</v>
      </c>
      <c r="AJ65" s="409">
        <f t="shared" si="14"/>
        <v>25</v>
      </c>
      <c r="AK65" s="408">
        <f t="shared" si="71"/>
        <v>0.25</v>
      </c>
      <c r="AL65" s="423"/>
      <c r="AM65" s="424">
        <v>0</v>
      </c>
      <c r="AN65" s="365">
        <f t="shared" si="16"/>
        <v>25</v>
      </c>
      <c r="AO65" s="320">
        <f t="shared" si="72"/>
        <v>0.25</v>
      </c>
      <c r="AP65" s="277">
        <f>_xlfn.XLOOKUP(C65, '1.건전성'!C:C, '1.건전성'!BE:BE)</f>
        <v>3158313.9709999999</v>
      </c>
      <c r="AQ65" s="277">
        <f>_xlfn.XLOOKUP(C65, '1.건전성'!C:C, '1.건전성'!BF:BF)</f>
        <v>330370.95799999998</v>
      </c>
      <c r="AR65" s="410">
        <f t="shared" si="17"/>
        <v>3488684.929</v>
      </c>
      <c r="AS65" s="366">
        <f t="shared" si="8"/>
        <v>1.0736815059055846</v>
      </c>
      <c r="AT65" s="366">
        <f t="shared" si="18"/>
        <v>25.432423245657475</v>
      </c>
      <c r="AU65" s="321">
        <f t="shared" si="19"/>
        <v>0.25432423245657476</v>
      </c>
      <c r="AV65" s="15">
        <v>412743</v>
      </c>
      <c r="AW65" s="361">
        <f t="shared" si="9"/>
        <v>0.12702623905880059</v>
      </c>
      <c r="AX65" s="361">
        <f t="shared" si="20"/>
        <v>25.204744235293944</v>
      </c>
      <c r="AY65" s="321">
        <f t="shared" si="73"/>
        <v>0.12602372117646973</v>
      </c>
      <c r="AZ65" s="411">
        <v>7.8</v>
      </c>
      <c r="BA65" s="412">
        <f t="shared" si="21"/>
        <v>60</v>
      </c>
      <c r="BB65" s="408">
        <f t="shared" si="74"/>
        <v>0.3</v>
      </c>
      <c r="BC65" s="204">
        <v>1</v>
      </c>
      <c r="BD65" s="407">
        <f t="shared" si="22"/>
        <v>100</v>
      </c>
      <c r="BE65" s="408">
        <f t="shared" si="75"/>
        <v>0.5</v>
      </c>
      <c r="BF65" s="204">
        <v>0</v>
      </c>
      <c r="BG65" s="204">
        <v>0</v>
      </c>
      <c r="BH65" s="204">
        <v>0</v>
      </c>
      <c r="BI65" s="272" t="str">
        <f t="shared" si="23"/>
        <v>A</v>
      </c>
      <c r="BJ65" s="247">
        <f t="shared" si="24"/>
        <v>100</v>
      </c>
      <c r="BK65" s="90">
        <f t="shared" si="25"/>
        <v>3</v>
      </c>
      <c r="BL65" s="406">
        <v>3</v>
      </c>
      <c r="BM65" s="413">
        <f t="shared" si="26"/>
        <v>1.7241379310344827</v>
      </c>
      <c r="BN65" s="414">
        <f t="shared" si="27"/>
        <v>60</v>
      </c>
      <c r="BO65" s="415">
        <f t="shared" si="28"/>
        <v>1.7999999999999998</v>
      </c>
      <c r="BP65" s="416">
        <v>0</v>
      </c>
      <c r="BQ65" s="417">
        <f t="shared" si="29"/>
        <v>33.333333333333336</v>
      </c>
      <c r="BR65" s="415">
        <f t="shared" si="30"/>
        <v>0.33333333333333337</v>
      </c>
      <c r="BS65" s="350">
        <f t="shared" si="31"/>
        <v>10.063681286966377</v>
      </c>
    </row>
    <row r="66" spans="1:71" x14ac:dyDescent="0.6">
      <c r="A66" s="214" t="s">
        <v>863</v>
      </c>
      <c r="B66" s="13" t="s">
        <v>2043</v>
      </c>
      <c r="C66" s="219" t="s">
        <v>106</v>
      </c>
      <c r="D66" s="216" t="s">
        <v>203</v>
      </c>
      <c r="E66" s="217" t="s">
        <v>187</v>
      </c>
      <c r="F66" s="217" t="s">
        <v>143</v>
      </c>
      <c r="G66" s="218">
        <v>33269</v>
      </c>
      <c r="H66" s="217" t="s">
        <v>830</v>
      </c>
      <c r="I66" s="217" t="s">
        <v>570</v>
      </c>
      <c r="J66" s="217" t="s">
        <v>1054</v>
      </c>
      <c r="K66" s="217" t="s">
        <v>50</v>
      </c>
      <c r="L66" s="220">
        <v>315529254</v>
      </c>
      <c r="M66" s="206">
        <v>128655873</v>
      </c>
      <c r="N66" s="206">
        <v>186873382</v>
      </c>
      <c r="O66" s="206">
        <v>1220548455</v>
      </c>
      <c r="P66" s="206">
        <v>27189227</v>
      </c>
      <c r="Q66" s="206">
        <v>23861778</v>
      </c>
      <c r="R66" s="206">
        <v>17593831</v>
      </c>
      <c r="S66" s="405">
        <v>0</v>
      </c>
      <c r="T66" s="405">
        <v>0</v>
      </c>
      <c r="U66" s="406">
        <v>0</v>
      </c>
      <c r="V66" s="406">
        <v>0</v>
      </c>
      <c r="W66" s="407">
        <f t="shared" si="65"/>
        <v>0</v>
      </c>
      <c r="X66" s="407">
        <f t="shared" si="66"/>
        <v>100</v>
      </c>
      <c r="Y66" s="408">
        <f t="shared" si="67"/>
        <v>3</v>
      </c>
      <c r="Z66" s="444" t="s">
        <v>3305</v>
      </c>
      <c r="AA66" s="442">
        <v>0</v>
      </c>
      <c r="AB66" s="406">
        <v>0</v>
      </c>
      <c r="AC66" s="406">
        <v>0</v>
      </c>
      <c r="AD66" s="407">
        <f t="shared" si="68"/>
        <v>0</v>
      </c>
      <c r="AE66" s="364" t="str">
        <f t="shared" si="69"/>
        <v>50</v>
      </c>
      <c r="AF66" s="349">
        <f t="shared" si="70"/>
        <v>0.25</v>
      </c>
      <c r="AG66" s="154">
        <v>109</v>
      </c>
      <c r="AH66" s="154">
        <v>40936</v>
      </c>
      <c r="AI66" s="409">
        <f t="shared" si="13"/>
        <v>375.55963302752292</v>
      </c>
      <c r="AJ66" s="409">
        <f t="shared" si="14"/>
        <v>100</v>
      </c>
      <c r="AK66" s="408">
        <f t="shared" si="71"/>
        <v>1</v>
      </c>
      <c r="AL66" s="45">
        <v>33889</v>
      </c>
      <c r="AM66" s="361">
        <f t="shared" si="15"/>
        <v>20.794358051285077</v>
      </c>
      <c r="AN66" s="365">
        <f t="shared" si="16"/>
        <v>28.89894213461595</v>
      </c>
      <c r="AO66" s="320">
        <f t="shared" si="72"/>
        <v>0.28898942134615951</v>
      </c>
      <c r="AP66" s="277">
        <f>_xlfn.XLOOKUP(C66, '1.건전성'!C:C, '1.건전성'!BE:BE)</f>
        <v>7523588</v>
      </c>
      <c r="AQ66" s="277">
        <f>_xlfn.XLOOKUP(C66, '1.건전성'!C:C, '1.건전성'!BF:BF)</f>
        <v>704282</v>
      </c>
      <c r="AR66" s="410">
        <f t="shared" si="17"/>
        <v>8227870</v>
      </c>
      <c r="AS66" s="366">
        <f t="shared" ref="AS66:AS128" si="76">(AR66/O66)*100</f>
        <v>0.67411252427499901</v>
      </c>
      <c r="AT66" s="366">
        <f t="shared" si="18"/>
        <v>25.131240596187187</v>
      </c>
      <c r="AU66" s="321">
        <f t="shared" si="19"/>
        <v>0.25131240596187188</v>
      </c>
      <c r="AV66" s="15">
        <v>757517</v>
      </c>
      <c r="AW66" s="361">
        <f t="shared" ref="AW66:AW128" si="77">(AV66/O66)*100</f>
        <v>6.2063656456801626E-2</v>
      </c>
      <c r="AX66" s="361">
        <f t="shared" si="20"/>
        <v>25</v>
      </c>
      <c r="AY66" s="321">
        <f t="shared" si="73"/>
        <v>0.125</v>
      </c>
      <c r="AZ66" s="411">
        <v>10.62</v>
      </c>
      <c r="BA66" s="412">
        <f t="shared" si="21"/>
        <v>100</v>
      </c>
      <c r="BB66" s="408">
        <f t="shared" si="74"/>
        <v>0.5</v>
      </c>
      <c r="BC66" s="204">
        <v>1</v>
      </c>
      <c r="BD66" s="407">
        <f t="shared" si="22"/>
        <v>100</v>
      </c>
      <c r="BE66" s="408">
        <f t="shared" si="75"/>
        <v>0.5</v>
      </c>
      <c r="BF66" s="204">
        <v>0</v>
      </c>
      <c r="BG66" s="204">
        <v>0</v>
      </c>
      <c r="BH66" s="204">
        <v>0</v>
      </c>
      <c r="BI66" s="272" t="str">
        <f t="shared" si="23"/>
        <v>A</v>
      </c>
      <c r="BJ66" s="247">
        <f t="shared" si="24"/>
        <v>100</v>
      </c>
      <c r="BK66" s="90">
        <f t="shared" si="25"/>
        <v>3</v>
      </c>
      <c r="BL66" s="406">
        <v>2</v>
      </c>
      <c r="BM66" s="413">
        <f t="shared" si="26"/>
        <v>1.834862385321101</v>
      </c>
      <c r="BN66" s="414">
        <f t="shared" si="27"/>
        <v>60</v>
      </c>
      <c r="BO66" s="415">
        <f t="shared" si="28"/>
        <v>1.7999999999999998</v>
      </c>
      <c r="BP66" s="416">
        <v>0</v>
      </c>
      <c r="BQ66" s="417">
        <f t="shared" si="29"/>
        <v>33.333333333333336</v>
      </c>
      <c r="BR66" s="415">
        <f t="shared" si="30"/>
        <v>0.33333333333333337</v>
      </c>
      <c r="BS66" s="350">
        <f t="shared" si="31"/>
        <v>11.048635160641366</v>
      </c>
    </row>
    <row r="67" spans="1:71" x14ac:dyDescent="0.6">
      <c r="A67" s="214" t="s">
        <v>941</v>
      </c>
      <c r="B67" s="13" t="s">
        <v>2044</v>
      </c>
      <c r="C67" s="219" t="s">
        <v>866</v>
      </c>
      <c r="D67" s="216" t="s">
        <v>285</v>
      </c>
      <c r="E67" s="217" t="s">
        <v>872</v>
      </c>
      <c r="F67" s="217" t="s">
        <v>1106</v>
      </c>
      <c r="G67" s="218">
        <v>27937</v>
      </c>
      <c r="H67" s="217" t="s">
        <v>830</v>
      </c>
      <c r="I67" s="217" t="s">
        <v>779</v>
      </c>
      <c r="J67" s="217" t="s">
        <v>1030</v>
      </c>
      <c r="K67" s="217" t="s">
        <v>341</v>
      </c>
      <c r="L67" s="220">
        <v>1690618825</v>
      </c>
      <c r="M67" s="206">
        <v>1132886300</v>
      </c>
      <c r="N67" s="206">
        <v>557732525</v>
      </c>
      <c r="O67" s="206">
        <v>2041695477</v>
      </c>
      <c r="P67" s="206">
        <v>55276798</v>
      </c>
      <c r="Q67" s="206">
        <v>60210595</v>
      </c>
      <c r="R67" s="206">
        <v>23918674</v>
      </c>
      <c r="S67" s="405">
        <v>1</v>
      </c>
      <c r="T67" s="405">
        <v>0</v>
      </c>
      <c r="U67" s="406">
        <v>0</v>
      </c>
      <c r="V67" s="406">
        <v>0</v>
      </c>
      <c r="W67" s="407">
        <f t="shared" si="65"/>
        <v>1</v>
      </c>
      <c r="X67" s="407">
        <f t="shared" si="66"/>
        <v>80</v>
      </c>
      <c r="Y67" s="408">
        <f t="shared" si="67"/>
        <v>2.4</v>
      </c>
      <c r="Z67" s="444" t="s">
        <v>3306</v>
      </c>
      <c r="AA67" s="442">
        <v>1</v>
      </c>
      <c r="AB67" s="406">
        <v>0</v>
      </c>
      <c r="AC67" s="406">
        <v>0</v>
      </c>
      <c r="AD67" s="407">
        <f t="shared" si="68"/>
        <v>1</v>
      </c>
      <c r="AE67" s="364" t="str">
        <f t="shared" si="69"/>
        <v>100</v>
      </c>
      <c r="AF67" s="349">
        <f t="shared" si="70"/>
        <v>0.5</v>
      </c>
      <c r="AG67" s="154">
        <v>1228</v>
      </c>
      <c r="AH67" s="421"/>
      <c r="AI67" s="409">
        <f t="shared" ref="AI67:AI129" si="78">AH67/AG67</f>
        <v>0</v>
      </c>
      <c r="AJ67" s="409">
        <f t="shared" ref="AJ67:AJ129" si="79">IF((25+((75*(AI67-0)/(100-0))))&gt;100, 100, IF((25+((75*(AI67-0)/(100-0))))&lt;25, 25, (25+((75*(AI67-0)/(100-0))))))</f>
        <v>25</v>
      </c>
      <c r="AK67" s="408">
        <f t="shared" si="71"/>
        <v>0.25</v>
      </c>
      <c r="AL67" s="423"/>
      <c r="AM67" s="424">
        <v>0</v>
      </c>
      <c r="AN67" s="365">
        <f t="shared" ref="AN67:AN130" si="80">IF((25+((75*(AM67-0)/(400-0))))&gt;100, 100, IF((25+((75*(AM67-0)/(400-0))))&lt;25, 25, (25+((75*(AM67-0)/(400-0))))))</f>
        <v>25</v>
      </c>
      <c r="AO67" s="320">
        <f t="shared" si="72"/>
        <v>0.25</v>
      </c>
      <c r="AP67" s="277">
        <f>_xlfn.XLOOKUP(C67, '1.건전성'!C:C, '1.건전성'!BE:BE)</f>
        <v>30995000</v>
      </c>
      <c r="AQ67" s="277">
        <f>_xlfn.XLOOKUP(C67, '1.건전성'!C:C, '1.건전성'!BF:BF)</f>
        <v>2325000</v>
      </c>
      <c r="AR67" s="410">
        <f t="shared" ref="AR67:AR129" si="81">AP67+AQ67</f>
        <v>33320000</v>
      </c>
      <c r="AS67" s="366">
        <f t="shared" si="76"/>
        <v>1.631976970873213</v>
      </c>
      <c r="AT67" s="366">
        <f t="shared" ref="AT67:AT129" si="82">IF((25+(75*(AS67-0.5)/(100-0.5)))&gt;100, 100, IF((25+(75*(AS67-0.5)/(100-0.5)))&lt;25, 25, (25+(75*(AS67-0.5)/(100-0.5)))))</f>
        <v>25.853248973020008</v>
      </c>
      <c r="AU67" s="321">
        <f t="shared" ref="AU67:AU129" si="83">AT67*0.01</f>
        <v>0.2585324897302001</v>
      </c>
      <c r="AV67" s="15">
        <v>26832000</v>
      </c>
      <c r="AW67" s="361">
        <f t="shared" si="77"/>
        <v>1.3142018632193895</v>
      </c>
      <c r="AX67" s="361">
        <f t="shared" ref="AX67:AX129" si="84">IF((25+((75*(AW67-0.1))/(10-0.1)))&gt;100, 100, IF((25+((75*(AW67-0.1))/(10-0.1)))&lt;25, 25, (25+((75*(AW67-0.1))/(10-0.1)))))</f>
        <v>34.198498963783251</v>
      </c>
      <c r="AY67" s="321">
        <f t="shared" si="73"/>
        <v>0.17099249481891626</v>
      </c>
      <c r="AZ67" s="411">
        <v>13</v>
      </c>
      <c r="BA67" s="412">
        <f t="shared" ref="BA67:BA129" si="85">IF(AZ67&lt;4, 20, IF(AZ67&lt;6, 40, IF(AZ67&lt;8, 60, IF(AZ67&lt;10, 80, IF(AZ67&gt;=10, 100)))))</f>
        <v>100</v>
      </c>
      <c r="BB67" s="408">
        <f t="shared" si="74"/>
        <v>0.5</v>
      </c>
      <c r="BC67" s="204">
        <v>1</v>
      </c>
      <c r="BD67" s="407">
        <f t="shared" ref="BD67:BD130" si="86">IF(BC67=1, 100, 50)</f>
        <v>100</v>
      </c>
      <c r="BE67" s="408">
        <f t="shared" si="75"/>
        <v>0.5</v>
      </c>
      <c r="BF67" s="204">
        <v>0</v>
      </c>
      <c r="BG67" s="204">
        <v>1</v>
      </c>
      <c r="BH67" s="204">
        <v>1</v>
      </c>
      <c r="BI67" s="272" t="str">
        <f t="shared" ref="BI67:BI129" si="87">IF(BH67=1, "D", IF(BG67=1, "C", IF(BF67=1, "B", "A")))</f>
        <v>D</v>
      </c>
      <c r="BJ67" s="247">
        <f t="shared" ref="BJ67:BJ129" si="88">IF(BI67="A", 100, IF(BI67="B", 75, IF(BI67="C", 50, IF(BI67="D", 25))))</f>
        <v>25</v>
      </c>
      <c r="BK67" s="90">
        <f t="shared" ref="BK67:BK129" si="89">BJ67*0.03</f>
        <v>0.75</v>
      </c>
      <c r="BL67" s="406">
        <v>364</v>
      </c>
      <c r="BM67" s="413">
        <f t="shared" ref="BM67:BM129" si="90">(BL67/AG67)*100</f>
        <v>29.641693811074919</v>
      </c>
      <c r="BN67" s="414">
        <f t="shared" ref="BN67:BN129" si="91">IF(BM67&lt;0.5, 100, IF(BM67&lt;1, 80, IF(BM67&lt;3, 60, IF(BM67&lt;7, 40, IF(BM67&gt;=7, 20)))))</f>
        <v>20</v>
      </c>
      <c r="BO67" s="415">
        <f t="shared" ref="BO67:BO129" si="92">BN67*0.03</f>
        <v>0.6</v>
      </c>
      <c r="BP67" s="416">
        <v>0.28000000000000003</v>
      </c>
      <c r="BQ67" s="417">
        <f t="shared" ref="BQ67:BQ129" si="93">IF(BP67=0, 100/3, IF(BP67&lt;5, 200/3, 100))</f>
        <v>66.666666666666671</v>
      </c>
      <c r="BR67" s="415">
        <f t="shared" ref="BR67:BR129" si="94">BQ67*0.01</f>
        <v>0.66666666666666674</v>
      </c>
      <c r="BS67" s="350">
        <f t="shared" ref="BS67:BS129" si="95">Y67+AF67+AK67+AO67+AU67+AY67+BB67+BE67+BK67+BO67+BR67</f>
        <v>6.8461916512157828</v>
      </c>
    </row>
    <row r="68" spans="1:71" x14ac:dyDescent="0.6">
      <c r="A68" s="214" t="s">
        <v>1583</v>
      </c>
      <c r="B68" s="13" t="s">
        <v>2045</v>
      </c>
      <c r="C68" s="219" t="s">
        <v>870</v>
      </c>
      <c r="D68" s="216" t="s">
        <v>203</v>
      </c>
      <c r="E68" s="217" t="s">
        <v>180</v>
      </c>
      <c r="F68" s="217" t="s">
        <v>141</v>
      </c>
      <c r="G68" s="218">
        <v>32164</v>
      </c>
      <c r="H68" s="217" t="s">
        <v>830</v>
      </c>
      <c r="I68" s="217" t="s">
        <v>735</v>
      </c>
      <c r="J68" s="217" t="s">
        <v>982</v>
      </c>
      <c r="K68" s="217" t="s">
        <v>91</v>
      </c>
      <c r="L68" s="220">
        <v>4278839838</v>
      </c>
      <c r="M68" s="206">
        <v>1085433049</v>
      </c>
      <c r="N68" s="206">
        <v>3193406789</v>
      </c>
      <c r="O68" s="206">
        <v>5086855586</v>
      </c>
      <c r="P68" s="206">
        <v>656205503</v>
      </c>
      <c r="Q68" s="206">
        <v>747318671</v>
      </c>
      <c r="R68" s="206">
        <v>575138552</v>
      </c>
      <c r="S68" s="405">
        <v>0</v>
      </c>
      <c r="T68" s="405">
        <v>0</v>
      </c>
      <c r="U68" s="406">
        <v>0</v>
      </c>
      <c r="V68" s="406">
        <v>0</v>
      </c>
      <c r="W68" s="407">
        <f t="shared" si="65"/>
        <v>0</v>
      </c>
      <c r="X68" s="407">
        <f t="shared" si="66"/>
        <v>100</v>
      </c>
      <c r="Y68" s="408">
        <f t="shared" si="67"/>
        <v>3</v>
      </c>
      <c r="Z68" s="444" t="s">
        <v>3307</v>
      </c>
      <c r="AA68" s="442">
        <v>0</v>
      </c>
      <c r="AB68" s="406">
        <v>1</v>
      </c>
      <c r="AC68" s="406">
        <v>0</v>
      </c>
      <c r="AD68" s="407">
        <f t="shared" si="68"/>
        <v>1</v>
      </c>
      <c r="AE68" s="364" t="str">
        <f t="shared" si="69"/>
        <v>100</v>
      </c>
      <c r="AF68" s="349">
        <f t="shared" si="70"/>
        <v>0.5</v>
      </c>
      <c r="AG68" s="154">
        <v>1453</v>
      </c>
      <c r="AH68" s="154">
        <v>1902000</v>
      </c>
      <c r="AI68" s="409">
        <f t="shared" si="78"/>
        <v>1309.015829318651</v>
      </c>
      <c r="AJ68" s="409">
        <f t="shared" si="79"/>
        <v>100</v>
      </c>
      <c r="AK68" s="408">
        <f t="shared" si="71"/>
        <v>1</v>
      </c>
      <c r="AL68" s="45">
        <v>1649000</v>
      </c>
      <c r="AM68" s="361">
        <f t="shared" ref="AM68:AM129" si="96">((AH68-AL68)/AL68)*100</f>
        <v>15.342631898120073</v>
      </c>
      <c r="AN68" s="365">
        <f t="shared" si="80"/>
        <v>27.876743480897513</v>
      </c>
      <c r="AO68" s="320">
        <f t="shared" si="72"/>
        <v>0.27876743480897515</v>
      </c>
      <c r="AP68" s="277">
        <f>_xlfn.XLOOKUP(C68, '1.건전성'!C:C, '1.건전성'!BE:BE)</f>
        <v>48404000</v>
      </c>
      <c r="AQ68" s="277">
        <f>_xlfn.XLOOKUP(C68, '1.건전성'!C:C, '1.건전성'!BF:BF)</f>
        <v>5991000</v>
      </c>
      <c r="AR68" s="410">
        <f t="shared" si="81"/>
        <v>54395000</v>
      </c>
      <c r="AS68" s="366">
        <f t="shared" si="76"/>
        <v>1.0693246364159708</v>
      </c>
      <c r="AT68" s="366">
        <f t="shared" si="82"/>
        <v>25.429139173177866</v>
      </c>
      <c r="AU68" s="321">
        <f t="shared" si="83"/>
        <v>0.25429139173177867</v>
      </c>
      <c r="AV68" s="15">
        <v>13276000</v>
      </c>
      <c r="AW68" s="361">
        <f t="shared" si="77"/>
        <v>0.26098637509069633</v>
      </c>
      <c r="AX68" s="361">
        <f t="shared" si="84"/>
        <v>26.219593750687093</v>
      </c>
      <c r="AY68" s="321">
        <f t="shared" si="73"/>
        <v>0.13109796875343546</v>
      </c>
      <c r="AZ68" s="411">
        <v>14</v>
      </c>
      <c r="BA68" s="412">
        <f t="shared" si="85"/>
        <v>100</v>
      </c>
      <c r="BB68" s="408">
        <f t="shared" si="74"/>
        <v>0.5</v>
      </c>
      <c r="BC68" s="204">
        <v>1</v>
      </c>
      <c r="BD68" s="407">
        <f t="shared" si="86"/>
        <v>100</v>
      </c>
      <c r="BE68" s="408">
        <f t="shared" si="75"/>
        <v>0.5</v>
      </c>
      <c r="BF68" s="204">
        <v>1</v>
      </c>
      <c r="BG68" s="204">
        <v>1</v>
      </c>
      <c r="BH68" s="204">
        <v>1</v>
      </c>
      <c r="BI68" s="272" t="str">
        <f t="shared" si="87"/>
        <v>D</v>
      </c>
      <c r="BJ68" s="247">
        <f t="shared" si="88"/>
        <v>25</v>
      </c>
      <c r="BK68" s="90">
        <f t="shared" si="89"/>
        <v>0.75</v>
      </c>
      <c r="BL68" s="406">
        <v>68</v>
      </c>
      <c r="BM68" s="413">
        <f t="shared" si="90"/>
        <v>4.6799724707501715</v>
      </c>
      <c r="BN68" s="414">
        <f t="shared" si="91"/>
        <v>40</v>
      </c>
      <c r="BO68" s="415">
        <f t="shared" si="92"/>
        <v>1.2</v>
      </c>
      <c r="BP68" s="416">
        <v>0</v>
      </c>
      <c r="BQ68" s="417">
        <f t="shared" si="93"/>
        <v>33.333333333333336</v>
      </c>
      <c r="BR68" s="415">
        <f t="shared" si="94"/>
        <v>0.33333333333333337</v>
      </c>
      <c r="BS68" s="350">
        <f t="shared" si="95"/>
        <v>8.447490128627523</v>
      </c>
    </row>
    <row r="69" spans="1:71" x14ac:dyDescent="0.6">
      <c r="A69" s="214" t="s">
        <v>1584</v>
      </c>
      <c r="B69" s="13" t="s">
        <v>2046</v>
      </c>
      <c r="C69" s="219" t="s">
        <v>485</v>
      </c>
      <c r="D69" s="216" t="s">
        <v>202</v>
      </c>
      <c r="E69" s="217" t="s">
        <v>572</v>
      </c>
      <c r="F69" s="217" t="s">
        <v>1235</v>
      </c>
      <c r="G69" s="218">
        <v>39385</v>
      </c>
      <c r="H69" s="217" t="s">
        <v>746</v>
      </c>
      <c r="I69" s="217" t="s">
        <v>726</v>
      </c>
      <c r="J69" s="217" t="s">
        <v>1062</v>
      </c>
      <c r="K69" s="217" t="s">
        <v>346</v>
      </c>
      <c r="L69" s="220">
        <v>270299658</v>
      </c>
      <c r="M69" s="206">
        <v>18481909</v>
      </c>
      <c r="N69" s="206">
        <v>251817749</v>
      </c>
      <c r="O69" s="206">
        <v>116116871</v>
      </c>
      <c r="P69" s="206">
        <v>9240856</v>
      </c>
      <c r="Q69" s="206">
        <v>9598370</v>
      </c>
      <c r="R69" s="206">
        <v>7492215</v>
      </c>
      <c r="S69" s="405">
        <v>0</v>
      </c>
      <c r="T69" s="405">
        <v>0</v>
      </c>
      <c r="U69" s="406">
        <v>0</v>
      </c>
      <c r="V69" s="406">
        <v>0</v>
      </c>
      <c r="W69" s="407">
        <f t="shared" si="65"/>
        <v>0</v>
      </c>
      <c r="X69" s="407">
        <f t="shared" si="66"/>
        <v>100</v>
      </c>
      <c r="Y69" s="408">
        <f t="shared" si="67"/>
        <v>3</v>
      </c>
      <c r="Z69" s="444" t="s">
        <v>3308</v>
      </c>
      <c r="AA69" s="442">
        <v>0</v>
      </c>
      <c r="AB69" s="406">
        <v>1</v>
      </c>
      <c r="AC69" s="406">
        <v>0</v>
      </c>
      <c r="AD69" s="407">
        <f t="shared" si="68"/>
        <v>1</v>
      </c>
      <c r="AE69" s="364" t="str">
        <f t="shared" si="69"/>
        <v>100</v>
      </c>
      <c r="AF69" s="349">
        <f t="shared" si="70"/>
        <v>0.5</v>
      </c>
      <c r="AG69" s="154">
        <v>443</v>
      </c>
      <c r="AH69" s="421"/>
      <c r="AI69" s="409">
        <f t="shared" si="78"/>
        <v>0</v>
      </c>
      <c r="AJ69" s="409">
        <f t="shared" si="79"/>
        <v>25</v>
      </c>
      <c r="AK69" s="408">
        <f t="shared" si="71"/>
        <v>0.25</v>
      </c>
      <c r="AL69" s="423"/>
      <c r="AM69" s="424">
        <v>0</v>
      </c>
      <c r="AN69" s="365">
        <f t="shared" si="80"/>
        <v>25</v>
      </c>
      <c r="AO69" s="320">
        <f t="shared" si="72"/>
        <v>0.25</v>
      </c>
      <c r="AP69" s="277">
        <f>_xlfn.XLOOKUP(C69, '1.건전성'!C:C, '1.건전성'!BE:BE)</f>
        <v>5104143</v>
      </c>
      <c r="AQ69" s="277">
        <f>_xlfn.XLOOKUP(C69, '1.건전성'!C:C, '1.건전성'!BF:BF)</f>
        <v>681241</v>
      </c>
      <c r="AR69" s="410">
        <f t="shared" si="81"/>
        <v>5785384</v>
      </c>
      <c r="AS69" s="366">
        <f t="shared" si="76"/>
        <v>4.982380208987891</v>
      </c>
      <c r="AT69" s="366">
        <f t="shared" si="82"/>
        <v>28.37867854948836</v>
      </c>
      <c r="AU69" s="321">
        <f t="shared" si="83"/>
        <v>0.28378678549488362</v>
      </c>
      <c r="AV69" s="15">
        <v>629496</v>
      </c>
      <c r="AW69" s="361">
        <f t="shared" si="77"/>
        <v>0.54212277215082727</v>
      </c>
      <c r="AX69" s="361">
        <f t="shared" si="84"/>
        <v>28.349414940536569</v>
      </c>
      <c r="AY69" s="321">
        <f t="shared" si="73"/>
        <v>0.14174707470268286</v>
      </c>
      <c r="AZ69" s="411">
        <v>11.8</v>
      </c>
      <c r="BA69" s="412">
        <f t="shared" si="85"/>
        <v>100</v>
      </c>
      <c r="BB69" s="408">
        <f t="shared" si="74"/>
        <v>0.5</v>
      </c>
      <c r="BC69" s="204">
        <v>0</v>
      </c>
      <c r="BD69" s="407">
        <f t="shared" si="86"/>
        <v>50</v>
      </c>
      <c r="BE69" s="408">
        <f t="shared" si="75"/>
        <v>0.25</v>
      </c>
      <c r="BF69" s="204">
        <v>0</v>
      </c>
      <c r="BG69" s="204">
        <v>0</v>
      </c>
      <c r="BH69" s="204">
        <v>0</v>
      </c>
      <c r="BI69" s="272" t="str">
        <f t="shared" si="87"/>
        <v>A</v>
      </c>
      <c r="BJ69" s="247">
        <f t="shared" si="88"/>
        <v>100</v>
      </c>
      <c r="BK69" s="90">
        <f t="shared" si="89"/>
        <v>3</v>
      </c>
      <c r="BL69" s="406">
        <v>8</v>
      </c>
      <c r="BM69" s="413">
        <f t="shared" si="90"/>
        <v>1.8058690744920991</v>
      </c>
      <c r="BN69" s="414">
        <f t="shared" si="91"/>
        <v>60</v>
      </c>
      <c r="BO69" s="415">
        <f t="shared" si="92"/>
        <v>1.7999999999999998</v>
      </c>
      <c r="BP69" s="416">
        <v>0.14000000000000001</v>
      </c>
      <c r="BQ69" s="417">
        <f t="shared" si="93"/>
        <v>66.666666666666671</v>
      </c>
      <c r="BR69" s="415">
        <f t="shared" si="94"/>
        <v>0.66666666666666674</v>
      </c>
      <c r="BS69" s="350">
        <f t="shared" si="95"/>
        <v>10.642200526864231</v>
      </c>
    </row>
    <row r="70" spans="1:71" x14ac:dyDescent="0.6">
      <c r="A70" s="214" t="s">
        <v>781</v>
      </c>
      <c r="B70" s="13" t="s">
        <v>2047</v>
      </c>
      <c r="C70" s="219" t="s">
        <v>503</v>
      </c>
      <c r="D70" s="216" t="s">
        <v>202</v>
      </c>
      <c r="E70" s="217" t="s">
        <v>996</v>
      </c>
      <c r="F70" s="217" t="s">
        <v>389</v>
      </c>
      <c r="G70" s="218">
        <v>26866</v>
      </c>
      <c r="H70" s="217" t="s">
        <v>830</v>
      </c>
      <c r="I70" s="217" t="s">
        <v>988</v>
      </c>
      <c r="J70" s="217" t="s">
        <v>1060</v>
      </c>
      <c r="K70" s="217" t="s">
        <v>91</v>
      </c>
      <c r="L70" s="220">
        <v>46715448000</v>
      </c>
      <c r="M70" s="206">
        <v>20245275000</v>
      </c>
      <c r="N70" s="206">
        <v>26470173000</v>
      </c>
      <c r="O70" s="206">
        <v>46409721000</v>
      </c>
      <c r="P70" s="206">
        <v>3000886000</v>
      </c>
      <c r="Q70" s="206">
        <v>2639370000</v>
      </c>
      <c r="R70" s="206">
        <v>1953513000</v>
      </c>
      <c r="S70" s="405">
        <v>0</v>
      </c>
      <c r="T70" s="405">
        <v>0</v>
      </c>
      <c r="U70" s="406">
        <v>0</v>
      </c>
      <c r="V70" s="406">
        <v>0</v>
      </c>
      <c r="W70" s="407">
        <f t="shared" si="65"/>
        <v>0</v>
      </c>
      <c r="X70" s="407">
        <f t="shared" si="66"/>
        <v>100</v>
      </c>
      <c r="Y70" s="408">
        <f t="shared" si="67"/>
        <v>3</v>
      </c>
      <c r="Z70" s="444" t="s">
        <v>3309</v>
      </c>
      <c r="AA70" s="442">
        <v>0</v>
      </c>
      <c r="AB70" s="406">
        <v>1</v>
      </c>
      <c r="AC70" s="406">
        <v>0</v>
      </c>
      <c r="AD70" s="407">
        <f t="shared" si="68"/>
        <v>1</v>
      </c>
      <c r="AE70" s="364" t="str">
        <f t="shared" si="69"/>
        <v>100</v>
      </c>
      <c r="AF70" s="349">
        <f t="shared" si="70"/>
        <v>0.5</v>
      </c>
      <c r="AG70" s="154">
        <v>35847</v>
      </c>
      <c r="AH70" s="154">
        <v>31785000</v>
      </c>
      <c r="AI70" s="409">
        <f t="shared" si="78"/>
        <v>886.68507824922585</v>
      </c>
      <c r="AJ70" s="409">
        <f t="shared" si="79"/>
        <v>100</v>
      </c>
      <c r="AK70" s="408">
        <f t="shared" si="71"/>
        <v>1</v>
      </c>
      <c r="AL70" s="45">
        <v>25399000</v>
      </c>
      <c r="AM70" s="361">
        <f t="shared" si="96"/>
        <v>25.142722154415527</v>
      </c>
      <c r="AN70" s="365">
        <f t="shared" si="80"/>
        <v>29.714260403952913</v>
      </c>
      <c r="AO70" s="320">
        <f t="shared" si="72"/>
        <v>0.29714260403952913</v>
      </c>
      <c r="AP70" s="277">
        <f>_xlfn.XLOOKUP(C70, '1.건전성'!C:C, '1.건전성'!BE:BE)</f>
        <v>874980000</v>
      </c>
      <c r="AQ70" s="277">
        <f>_xlfn.XLOOKUP(C70, '1.건전성'!C:C, '1.건전성'!BF:BF)</f>
        <v>76477000</v>
      </c>
      <c r="AR70" s="410">
        <f t="shared" si="81"/>
        <v>951457000</v>
      </c>
      <c r="AS70" s="366">
        <f t="shared" si="76"/>
        <v>2.0501243694182087</v>
      </c>
      <c r="AT70" s="366">
        <f t="shared" si="82"/>
        <v>26.168435454335334</v>
      </c>
      <c r="AU70" s="321">
        <f t="shared" si="83"/>
        <v>0.26168435454335337</v>
      </c>
      <c r="AV70" s="15">
        <v>150803000</v>
      </c>
      <c r="AW70" s="361">
        <f t="shared" si="77"/>
        <v>0.32493838952403958</v>
      </c>
      <c r="AX70" s="361">
        <f t="shared" si="84"/>
        <v>26.70407870851545</v>
      </c>
      <c r="AY70" s="321">
        <f t="shared" si="73"/>
        <v>0.13352039354257725</v>
      </c>
      <c r="AZ70" s="411">
        <v>22.4</v>
      </c>
      <c r="BA70" s="412">
        <f t="shared" si="85"/>
        <v>100</v>
      </c>
      <c r="BB70" s="408">
        <f t="shared" si="74"/>
        <v>0.5</v>
      </c>
      <c r="BC70" s="204">
        <v>1</v>
      </c>
      <c r="BD70" s="407">
        <f t="shared" si="86"/>
        <v>100</v>
      </c>
      <c r="BE70" s="408">
        <f t="shared" si="75"/>
        <v>0.5</v>
      </c>
      <c r="BF70" s="204">
        <v>0</v>
      </c>
      <c r="BG70" s="204">
        <v>1</v>
      </c>
      <c r="BH70" s="204">
        <v>0</v>
      </c>
      <c r="BI70" s="272" t="str">
        <f t="shared" si="87"/>
        <v>C</v>
      </c>
      <c r="BJ70" s="247">
        <f t="shared" si="88"/>
        <v>50</v>
      </c>
      <c r="BK70" s="90">
        <f t="shared" si="89"/>
        <v>1.5</v>
      </c>
      <c r="BL70" s="406">
        <v>1587</v>
      </c>
      <c r="BM70" s="413">
        <f t="shared" si="90"/>
        <v>4.4271487153736713</v>
      </c>
      <c r="BN70" s="414">
        <f t="shared" si="91"/>
        <v>40</v>
      </c>
      <c r="BO70" s="415">
        <f t="shared" si="92"/>
        <v>1.2</v>
      </c>
      <c r="BP70" s="416">
        <v>1.82</v>
      </c>
      <c r="BQ70" s="417">
        <f t="shared" si="93"/>
        <v>66.666666666666671</v>
      </c>
      <c r="BR70" s="415">
        <f t="shared" si="94"/>
        <v>0.66666666666666674</v>
      </c>
      <c r="BS70" s="350">
        <f t="shared" si="95"/>
        <v>9.5590140187921264</v>
      </c>
    </row>
    <row r="71" spans="1:71" x14ac:dyDescent="0.6">
      <c r="A71" s="214" t="s">
        <v>99</v>
      </c>
      <c r="B71" s="13" t="s">
        <v>2048</v>
      </c>
      <c r="C71" s="219" t="s">
        <v>309</v>
      </c>
      <c r="D71" s="216" t="s">
        <v>285</v>
      </c>
      <c r="E71" s="217" t="s">
        <v>867</v>
      </c>
      <c r="F71" s="217" t="s">
        <v>397</v>
      </c>
      <c r="G71" s="218">
        <v>28122</v>
      </c>
      <c r="H71" s="217" t="s">
        <v>830</v>
      </c>
      <c r="I71" s="217" t="s">
        <v>725</v>
      </c>
      <c r="J71" s="217" t="s">
        <v>1249</v>
      </c>
      <c r="K71" s="217" t="s">
        <v>690</v>
      </c>
      <c r="L71" s="220">
        <v>345786655</v>
      </c>
      <c r="M71" s="206">
        <v>238784577</v>
      </c>
      <c r="N71" s="206">
        <v>107002078</v>
      </c>
      <c r="O71" s="206">
        <v>450379452</v>
      </c>
      <c r="P71" s="206">
        <v>11115820</v>
      </c>
      <c r="Q71" s="206">
        <v>15758165</v>
      </c>
      <c r="R71" s="206">
        <v>19332576</v>
      </c>
      <c r="S71" s="405">
        <v>0</v>
      </c>
      <c r="T71" s="405">
        <v>0</v>
      </c>
      <c r="U71" s="406">
        <v>0</v>
      </c>
      <c r="V71" s="406">
        <v>0</v>
      </c>
      <c r="W71" s="407">
        <f t="shared" si="65"/>
        <v>0</v>
      </c>
      <c r="X71" s="407">
        <f t="shared" si="66"/>
        <v>100</v>
      </c>
      <c r="Y71" s="408">
        <f t="shared" si="67"/>
        <v>3</v>
      </c>
      <c r="Z71" s="444" t="s">
        <v>3310</v>
      </c>
      <c r="AA71" s="442">
        <v>0</v>
      </c>
      <c r="AB71" s="406">
        <v>1</v>
      </c>
      <c r="AC71" s="406">
        <v>0</v>
      </c>
      <c r="AD71" s="407">
        <f t="shared" si="68"/>
        <v>1</v>
      </c>
      <c r="AE71" s="364" t="str">
        <f t="shared" si="69"/>
        <v>100</v>
      </c>
      <c r="AF71" s="349">
        <f t="shared" si="70"/>
        <v>0.5</v>
      </c>
      <c r="AG71" s="154">
        <v>544</v>
      </c>
      <c r="AH71" s="154">
        <v>8886</v>
      </c>
      <c r="AI71" s="409">
        <f t="shared" si="78"/>
        <v>16.334558823529413</v>
      </c>
      <c r="AJ71" s="409">
        <f t="shared" si="79"/>
        <v>37.250919117647058</v>
      </c>
      <c r="AK71" s="408">
        <f t="shared" si="71"/>
        <v>0.37250919117647058</v>
      </c>
      <c r="AL71" s="45">
        <v>13477</v>
      </c>
      <c r="AM71" s="361">
        <f t="shared" si="96"/>
        <v>-34.065444831935892</v>
      </c>
      <c r="AN71" s="365">
        <f t="shared" si="80"/>
        <v>25</v>
      </c>
      <c r="AO71" s="320">
        <f t="shared" si="72"/>
        <v>0.25</v>
      </c>
      <c r="AP71" s="277">
        <f>_xlfn.XLOOKUP(C71, '1.건전성'!C:C, '1.건전성'!BE:BE)</f>
        <v>11357889</v>
      </c>
      <c r="AQ71" s="277">
        <f>_xlfn.XLOOKUP(C71, '1.건전성'!C:C, '1.건전성'!BF:BF)</f>
        <v>842318</v>
      </c>
      <c r="AR71" s="410">
        <f t="shared" si="81"/>
        <v>12200207</v>
      </c>
      <c r="AS71" s="366">
        <f t="shared" si="76"/>
        <v>2.7088729172306909</v>
      </c>
      <c r="AT71" s="366">
        <f t="shared" si="82"/>
        <v>26.664979585852279</v>
      </c>
      <c r="AU71" s="321">
        <f t="shared" si="83"/>
        <v>0.26664979585852278</v>
      </c>
      <c r="AV71" s="15">
        <v>1118080</v>
      </c>
      <c r="AW71" s="361">
        <f t="shared" si="77"/>
        <v>0.24825288876633742</v>
      </c>
      <c r="AX71" s="361">
        <f t="shared" si="84"/>
        <v>26.123127945199528</v>
      </c>
      <c r="AY71" s="321">
        <f t="shared" si="73"/>
        <v>0.13061563972599763</v>
      </c>
      <c r="AZ71" s="411">
        <v>2.48</v>
      </c>
      <c r="BA71" s="412">
        <f t="shared" si="85"/>
        <v>20</v>
      </c>
      <c r="BB71" s="408">
        <f t="shared" si="74"/>
        <v>0.1</v>
      </c>
      <c r="BC71" s="204">
        <v>1</v>
      </c>
      <c r="BD71" s="407">
        <f t="shared" si="86"/>
        <v>100</v>
      </c>
      <c r="BE71" s="408">
        <f t="shared" si="75"/>
        <v>0.5</v>
      </c>
      <c r="BF71" s="204">
        <v>0</v>
      </c>
      <c r="BG71" s="204">
        <v>0</v>
      </c>
      <c r="BH71" s="204">
        <v>0</v>
      </c>
      <c r="BI71" s="272" t="str">
        <f t="shared" si="87"/>
        <v>A</v>
      </c>
      <c r="BJ71" s="247">
        <f t="shared" si="88"/>
        <v>100</v>
      </c>
      <c r="BK71" s="90">
        <f t="shared" si="89"/>
        <v>3</v>
      </c>
      <c r="BL71" s="406">
        <v>175</v>
      </c>
      <c r="BM71" s="413">
        <f t="shared" si="90"/>
        <v>32.169117647058826</v>
      </c>
      <c r="BN71" s="414">
        <f t="shared" si="91"/>
        <v>20</v>
      </c>
      <c r="BO71" s="415">
        <f t="shared" si="92"/>
        <v>0.6</v>
      </c>
      <c r="BP71" s="416">
        <v>0</v>
      </c>
      <c r="BQ71" s="417">
        <f t="shared" si="93"/>
        <v>33.333333333333336</v>
      </c>
      <c r="BR71" s="415">
        <f t="shared" si="94"/>
        <v>0.33333333333333337</v>
      </c>
      <c r="BS71" s="350">
        <f t="shared" si="95"/>
        <v>9.0531079600943247</v>
      </c>
    </row>
    <row r="72" spans="1:71" x14ac:dyDescent="0.6">
      <c r="A72" s="214" t="s">
        <v>81</v>
      </c>
      <c r="B72" s="13" t="s">
        <v>2049</v>
      </c>
      <c r="C72" s="219" t="s">
        <v>857</v>
      </c>
      <c r="D72" s="216" t="s">
        <v>203</v>
      </c>
      <c r="E72" s="217" t="s">
        <v>1067</v>
      </c>
      <c r="F72" s="217" t="s">
        <v>1246</v>
      </c>
      <c r="G72" s="218">
        <v>35013</v>
      </c>
      <c r="H72" s="217" t="s">
        <v>830</v>
      </c>
      <c r="I72" s="217" t="s">
        <v>701</v>
      </c>
      <c r="J72" s="217" t="s">
        <v>1080</v>
      </c>
      <c r="K72" s="217" t="s">
        <v>91</v>
      </c>
      <c r="L72" s="220">
        <v>883470621</v>
      </c>
      <c r="M72" s="206">
        <v>371844780</v>
      </c>
      <c r="N72" s="206">
        <v>511625841</v>
      </c>
      <c r="O72" s="206">
        <v>2169565871</v>
      </c>
      <c r="P72" s="206">
        <v>63633740</v>
      </c>
      <c r="Q72" s="206">
        <v>65632977</v>
      </c>
      <c r="R72" s="206">
        <v>47307536</v>
      </c>
      <c r="S72" s="405">
        <v>0</v>
      </c>
      <c r="T72" s="405">
        <v>0</v>
      </c>
      <c r="U72" s="406">
        <v>0</v>
      </c>
      <c r="V72" s="406">
        <v>0</v>
      </c>
      <c r="W72" s="407">
        <f t="shared" si="65"/>
        <v>0</v>
      </c>
      <c r="X72" s="407">
        <f t="shared" si="66"/>
        <v>100</v>
      </c>
      <c r="Y72" s="408">
        <f t="shared" si="67"/>
        <v>3</v>
      </c>
      <c r="Z72" s="444" t="s">
        <v>3311</v>
      </c>
      <c r="AA72" s="442">
        <v>0</v>
      </c>
      <c r="AB72" s="406">
        <v>1</v>
      </c>
      <c r="AC72" s="406">
        <v>0</v>
      </c>
      <c r="AD72" s="407">
        <f t="shared" si="68"/>
        <v>1</v>
      </c>
      <c r="AE72" s="364" t="str">
        <f t="shared" si="69"/>
        <v>100</v>
      </c>
      <c r="AF72" s="349">
        <f t="shared" si="70"/>
        <v>0.5</v>
      </c>
      <c r="AG72" s="154">
        <v>512</v>
      </c>
      <c r="AH72" s="421"/>
      <c r="AI72" s="409">
        <f t="shared" si="78"/>
        <v>0</v>
      </c>
      <c r="AJ72" s="409">
        <f t="shared" si="79"/>
        <v>25</v>
      </c>
      <c r="AK72" s="408">
        <f t="shared" si="71"/>
        <v>0.25</v>
      </c>
      <c r="AL72" s="423"/>
      <c r="AM72" s="424">
        <v>0</v>
      </c>
      <c r="AN72" s="365">
        <f t="shared" si="80"/>
        <v>25</v>
      </c>
      <c r="AO72" s="320">
        <f t="shared" si="72"/>
        <v>0.25</v>
      </c>
      <c r="AP72" s="277">
        <f>_xlfn.XLOOKUP(C72, '1.건전성'!C:C, '1.건전성'!BE:BE)</f>
        <v>13038735.244000001</v>
      </c>
      <c r="AQ72" s="277">
        <f>_xlfn.XLOOKUP(C72, '1.건전성'!C:C, '1.건전성'!BF:BF)</f>
        <v>1586982.145</v>
      </c>
      <c r="AR72" s="410">
        <f t="shared" si="81"/>
        <v>14625717.389</v>
      </c>
      <c r="AS72" s="366">
        <f t="shared" si="76"/>
        <v>0.67413105932841255</v>
      </c>
      <c r="AT72" s="366">
        <f t="shared" si="82"/>
        <v>25.131254567332974</v>
      </c>
      <c r="AU72" s="321">
        <f t="shared" si="83"/>
        <v>0.25131254567332972</v>
      </c>
      <c r="AV72" s="15">
        <v>4539967</v>
      </c>
      <c r="AW72" s="361">
        <f t="shared" si="77"/>
        <v>0.20925693295071199</v>
      </c>
      <c r="AX72" s="361">
        <f t="shared" si="84"/>
        <v>25.827704037505395</v>
      </c>
      <c r="AY72" s="321">
        <f t="shared" si="73"/>
        <v>0.12913852018752697</v>
      </c>
      <c r="AZ72" s="411">
        <v>15.3</v>
      </c>
      <c r="BA72" s="412">
        <f t="shared" si="85"/>
        <v>100</v>
      </c>
      <c r="BB72" s="408">
        <f t="shared" si="74"/>
        <v>0.5</v>
      </c>
      <c r="BC72" s="204">
        <v>1</v>
      </c>
      <c r="BD72" s="407">
        <f t="shared" si="86"/>
        <v>100</v>
      </c>
      <c r="BE72" s="408">
        <f t="shared" si="75"/>
        <v>0.5</v>
      </c>
      <c r="BF72" s="204">
        <v>0</v>
      </c>
      <c r="BG72" s="204">
        <v>0</v>
      </c>
      <c r="BH72" s="204">
        <v>0</v>
      </c>
      <c r="BI72" s="272" t="str">
        <f t="shared" si="87"/>
        <v>A</v>
      </c>
      <c r="BJ72" s="247">
        <f t="shared" si="88"/>
        <v>100</v>
      </c>
      <c r="BK72" s="90">
        <f t="shared" si="89"/>
        <v>3</v>
      </c>
      <c r="BL72" s="406">
        <v>23</v>
      </c>
      <c r="BM72" s="413">
        <f t="shared" si="90"/>
        <v>4.4921875</v>
      </c>
      <c r="BN72" s="414">
        <f t="shared" si="91"/>
        <v>40</v>
      </c>
      <c r="BO72" s="415">
        <f t="shared" si="92"/>
        <v>1.2</v>
      </c>
      <c r="BP72" s="416">
        <v>0</v>
      </c>
      <c r="BQ72" s="417">
        <f t="shared" si="93"/>
        <v>33.333333333333336</v>
      </c>
      <c r="BR72" s="415">
        <f t="shared" si="94"/>
        <v>0.33333333333333337</v>
      </c>
      <c r="BS72" s="350">
        <f t="shared" si="95"/>
        <v>9.9137843991941903</v>
      </c>
    </row>
    <row r="73" spans="1:71" x14ac:dyDescent="0.6">
      <c r="A73" s="214" t="s">
        <v>1586</v>
      </c>
      <c r="B73" s="13" t="s">
        <v>2050</v>
      </c>
      <c r="C73" s="219" t="s">
        <v>102</v>
      </c>
      <c r="D73" s="216" t="s">
        <v>203</v>
      </c>
      <c r="E73" s="217" t="s">
        <v>197</v>
      </c>
      <c r="F73" s="217" t="s">
        <v>117</v>
      </c>
      <c r="G73" s="218">
        <v>32130</v>
      </c>
      <c r="H73" s="217" t="s">
        <v>830</v>
      </c>
      <c r="I73" s="217" t="s">
        <v>951</v>
      </c>
      <c r="J73" s="217" t="s">
        <v>1157</v>
      </c>
      <c r="K73" s="217" t="s">
        <v>50</v>
      </c>
      <c r="L73" s="220">
        <v>736767227</v>
      </c>
      <c r="M73" s="206">
        <v>105463213</v>
      </c>
      <c r="N73" s="206">
        <v>631304014</v>
      </c>
      <c r="O73" s="206">
        <v>737876931</v>
      </c>
      <c r="P73" s="206">
        <v>30653869</v>
      </c>
      <c r="Q73" s="206">
        <v>35607383</v>
      </c>
      <c r="R73" s="206">
        <v>31223584</v>
      </c>
      <c r="S73" s="405">
        <v>0</v>
      </c>
      <c r="T73" s="405">
        <v>0</v>
      </c>
      <c r="U73" s="406">
        <v>0</v>
      </c>
      <c r="V73" s="406">
        <v>0</v>
      </c>
      <c r="W73" s="407">
        <f t="shared" si="65"/>
        <v>0</v>
      </c>
      <c r="X73" s="407">
        <f t="shared" si="66"/>
        <v>100</v>
      </c>
      <c r="Y73" s="408">
        <f t="shared" si="67"/>
        <v>3</v>
      </c>
      <c r="Z73" s="444" t="s">
        <v>3312</v>
      </c>
      <c r="AA73" s="442">
        <v>1</v>
      </c>
      <c r="AB73" s="406">
        <v>1</v>
      </c>
      <c r="AC73" s="406">
        <v>0</v>
      </c>
      <c r="AD73" s="407">
        <f t="shared" si="68"/>
        <v>2</v>
      </c>
      <c r="AE73" s="364" t="str">
        <f t="shared" si="69"/>
        <v>100</v>
      </c>
      <c r="AF73" s="349">
        <f t="shared" si="70"/>
        <v>0.5</v>
      </c>
      <c r="AG73" s="154">
        <v>880</v>
      </c>
      <c r="AH73" s="154">
        <v>89934</v>
      </c>
      <c r="AI73" s="409">
        <f t="shared" si="78"/>
        <v>102.19772727272728</v>
      </c>
      <c r="AJ73" s="409">
        <f t="shared" si="79"/>
        <v>100</v>
      </c>
      <c r="AK73" s="408">
        <f t="shared" si="71"/>
        <v>1</v>
      </c>
      <c r="AL73" s="45">
        <v>117886</v>
      </c>
      <c r="AM73" s="361">
        <f t="shared" si="96"/>
        <v>-23.711042871927116</v>
      </c>
      <c r="AN73" s="365">
        <f t="shared" si="80"/>
        <v>25</v>
      </c>
      <c r="AO73" s="320">
        <f t="shared" si="72"/>
        <v>0.25</v>
      </c>
      <c r="AP73" s="277">
        <f>_xlfn.XLOOKUP(C73, '1.건전성'!C:C, '1.건전성'!BE:BE)</f>
        <v>11883939</v>
      </c>
      <c r="AQ73" s="277">
        <f>_xlfn.XLOOKUP(C73, '1.건전성'!C:C, '1.건전성'!BF:BF)</f>
        <v>1178878</v>
      </c>
      <c r="AR73" s="410">
        <f t="shared" si="81"/>
        <v>13062817</v>
      </c>
      <c r="AS73" s="366">
        <f t="shared" si="76"/>
        <v>1.7703246234160963</v>
      </c>
      <c r="AT73" s="366">
        <f t="shared" si="82"/>
        <v>25.957531123177962</v>
      </c>
      <c r="AU73" s="321">
        <f t="shared" si="83"/>
        <v>0.25957531123177963</v>
      </c>
      <c r="AV73" s="15">
        <v>1508412</v>
      </c>
      <c r="AW73" s="361">
        <f t="shared" si="77"/>
        <v>0.20442596002503297</v>
      </c>
      <c r="AX73" s="361">
        <f t="shared" si="84"/>
        <v>25.791105757765401</v>
      </c>
      <c r="AY73" s="321">
        <f t="shared" si="73"/>
        <v>0.12895552878882702</v>
      </c>
      <c r="AZ73" s="411">
        <v>7</v>
      </c>
      <c r="BA73" s="412">
        <f t="shared" si="85"/>
        <v>60</v>
      </c>
      <c r="BB73" s="408">
        <f t="shared" si="74"/>
        <v>0.3</v>
      </c>
      <c r="BC73" s="204">
        <v>1</v>
      </c>
      <c r="BD73" s="407">
        <f t="shared" si="86"/>
        <v>100</v>
      </c>
      <c r="BE73" s="408">
        <f>BD73*0.005</f>
        <v>0.5</v>
      </c>
      <c r="BF73" s="204">
        <v>0</v>
      </c>
      <c r="BG73" s="204">
        <v>0</v>
      </c>
      <c r="BH73" s="204">
        <v>0</v>
      </c>
      <c r="BI73" s="272" t="str">
        <f t="shared" si="87"/>
        <v>A</v>
      </c>
      <c r="BJ73" s="247">
        <f t="shared" si="88"/>
        <v>100</v>
      </c>
      <c r="BK73" s="90">
        <f t="shared" si="89"/>
        <v>3</v>
      </c>
      <c r="BL73" s="406">
        <v>91</v>
      </c>
      <c r="BM73" s="413">
        <f t="shared" si="90"/>
        <v>10.340909090909092</v>
      </c>
      <c r="BN73" s="414">
        <f t="shared" si="91"/>
        <v>20</v>
      </c>
      <c r="BO73" s="415">
        <f t="shared" si="92"/>
        <v>0.6</v>
      </c>
      <c r="BP73" s="416">
        <v>0</v>
      </c>
      <c r="BQ73" s="417">
        <f t="shared" si="93"/>
        <v>33.333333333333336</v>
      </c>
      <c r="BR73" s="415">
        <f t="shared" si="94"/>
        <v>0.33333333333333337</v>
      </c>
      <c r="BS73" s="350">
        <f t="shared" si="95"/>
        <v>9.8718641733539414</v>
      </c>
    </row>
    <row r="74" spans="1:71" x14ac:dyDescent="0.6">
      <c r="A74" s="214" t="s">
        <v>28</v>
      </c>
      <c r="B74" s="13" t="s">
        <v>2051</v>
      </c>
      <c r="C74" s="219" t="s">
        <v>849</v>
      </c>
      <c r="D74" s="216" t="s">
        <v>203</v>
      </c>
      <c r="E74" s="217" t="s">
        <v>188</v>
      </c>
      <c r="F74" s="217" t="s">
        <v>442</v>
      </c>
      <c r="G74" s="218">
        <v>38901</v>
      </c>
      <c r="H74" s="217" t="s">
        <v>830</v>
      </c>
      <c r="I74" s="217" t="s">
        <v>738</v>
      </c>
      <c r="J74" s="13" t="s">
        <v>2052</v>
      </c>
      <c r="K74" s="217" t="s">
        <v>690</v>
      </c>
      <c r="L74" s="220">
        <v>593723438</v>
      </c>
      <c r="M74" s="206">
        <v>279635129</v>
      </c>
      <c r="N74" s="206">
        <v>314088309</v>
      </c>
      <c r="O74" s="206">
        <v>667825639</v>
      </c>
      <c r="P74" s="206">
        <v>18091323</v>
      </c>
      <c r="Q74" s="206">
        <v>10916465</v>
      </c>
      <c r="R74" s="206">
        <v>7428246</v>
      </c>
      <c r="S74" s="405">
        <v>0</v>
      </c>
      <c r="T74" s="405">
        <v>0</v>
      </c>
      <c r="U74" s="406">
        <v>0</v>
      </c>
      <c r="V74" s="406">
        <v>0</v>
      </c>
      <c r="W74" s="407">
        <f t="shared" si="65"/>
        <v>0</v>
      </c>
      <c r="X74" s="407">
        <f t="shared" si="66"/>
        <v>100</v>
      </c>
      <c r="Y74" s="408">
        <f t="shared" si="67"/>
        <v>3</v>
      </c>
      <c r="Z74" s="444" t="s">
        <v>3313</v>
      </c>
      <c r="AA74" s="442">
        <v>1</v>
      </c>
      <c r="AB74" s="406">
        <v>1</v>
      </c>
      <c r="AC74" s="406">
        <v>0</v>
      </c>
      <c r="AD74" s="407">
        <f t="shared" si="68"/>
        <v>2</v>
      </c>
      <c r="AE74" s="364" t="str">
        <f t="shared" si="69"/>
        <v>100</v>
      </c>
      <c r="AF74" s="349">
        <f t="shared" si="70"/>
        <v>0.5</v>
      </c>
      <c r="AG74" s="154">
        <v>768</v>
      </c>
      <c r="AH74" s="154">
        <v>19831</v>
      </c>
      <c r="AI74" s="409">
        <f t="shared" si="78"/>
        <v>25.821614583333332</v>
      </c>
      <c r="AJ74" s="409">
        <f t="shared" si="79"/>
        <v>44.3662109375</v>
      </c>
      <c r="AK74" s="408">
        <f t="shared" si="71"/>
        <v>0.443662109375</v>
      </c>
      <c r="AL74" s="45">
        <v>7393</v>
      </c>
      <c r="AM74" s="361">
        <f t="shared" si="96"/>
        <v>168.24022724198565</v>
      </c>
      <c r="AN74" s="365">
        <f t="shared" si="80"/>
        <v>56.545042607872311</v>
      </c>
      <c r="AO74" s="320">
        <f t="shared" si="72"/>
        <v>0.56545042607872309</v>
      </c>
      <c r="AP74" s="277">
        <f>_xlfn.XLOOKUP(C74, '1.건전성'!C:C, '1.건전성'!BE:BE)</f>
        <v>30641560</v>
      </c>
      <c r="AQ74" s="277">
        <f>_xlfn.XLOOKUP(C74, '1.건전성'!C:C, '1.건전성'!BF:BF)</f>
        <v>3859934</v>
      </c>
      <c r="AR74" s="410">
        <f t="shared" si="81"/>
        <v>34501494</v>
      </c>
      <c r="AS74" s="366">
        <f t="shared" si="76"/>
        <v>5.1662428012890356</v>
      </c>
      <c r="AT74" s="366">
        <f t="shared" si="82"/>
        <v>28.51726844318269</v>
      </c>
      <c r="AU74" s="321">
        <f t="shared" si="83"/>
        <v>0.28517268443182692</v>
      </c>
      <c r="AV74" s="15">
        <v>4217126</v>
      </c>
      <c r="AW74" s="361">
        <f t="shared" si="77"/>
        <v>0.63147111367492736</v>
      </c>
      <c r="AX74" s="361">
        <f t="shared" si="84"/>
        <v>29.026296315719147</v>
      </c>
      <c r="AY74" s="321">
        <f t="shared" si="73"/>
        <v>0.14513148157859573</v>
      </c>
      <c r="AZ74" s="411">
        <v>12.7</v>
      </c>
      <c r="BA74" s="412">
        <f t="shared" si="85"/>
        <v>100</v>
      </c>
      <c r="BB74" s="408">
        <f t="shared" si="74"/>
        <v>0.5</v>
      </c>
      <c r="BC74" s="204">
        <v>1</v>
      </c>
      <c r="BD74" s="407">
        <f t="shared" si="86"/>
        <v>100</v>
      </c>
      <c r="BE74" s="408">
        <f t="shared" si="75"/>
        <v>0.5</v>
      </c>
      <c r="BF74" s="204">
        <v>0</v>
      </c>
      <c r="BG74" s="204">
        <v>0</v>
      </c>
      <c r="BH74" s="204">
        <v>0</v>
      </c>
      <c r="BI74" s="272" t="str">
        <f t="shared" si="87"/>
        <v>A</v>
      </c>
      <c r="BJ74" s="247">
        <f t="shared" si="88"/>
        <v>100</v>
      </c>
      <c r="BK74" s="90">
        <f t="shared" si="89"/>
        <v>3</v>
      </c>
      <c r="BL74" s="406">
        <v>16</v>
      </c>
      <c r="BM74" s="413">
        <f t="shared" si="90"/>
        <v>2.083333333333333</v>
      </c>
      <c r="BN74" s="414">
        <f t="shared" si="91"/>
        <v>60</v>
      </c>
      <c r="BO74" s="415">
        <f t="shared" si="92"/>
        <v>1.7999999999999998</v>
      </c>
      <c r="BP74" s="416">
        <v>0</v>
      </c>
      <c r="BQ74" s="417">
        <f t="shared" si="93"/>
        <v>33.333333333333336</v>
      </c>
      <c r="BR74" s="415">
        <f t="shared" si="94"/>
        <v>0.33333333333333337</v>
      </c>
      <c r="BS74" s="350">
        <f t="shared" si="95"/>
        <v>11.072750034797481</v>
      </c>
    </row>
    <row r="75" spans="1:71" x14ac:dyDescent="0.6">
      <c r="A75" s="214" t="s">
        <v>729</v>
      </c>
      <c r="B75" s="13" t="s">
        <v>2053</v>
      </c>
      <c r="C75" s="219" t="s">
        <v>493</v>
      </c>
      <c r="D75" s="216" t="s">
        <v>191</v>
      </c>
      <c r="E75" s="217" t="s">
        <v>34</v>
      </c>
      <c r="F75" s="217" t="s">
        <v>184</v>
      </c>
      <c r="G75" s="218">
        <v>32721</v>
      </c>
      <c r="H75" s="217" t="s">
        <v>830</v>
      </c>
      <c r="I75" s="217" t="s">
        <v>776</v>
      </c>
      <c r="J75" s="217" t="s">
        <v>1058</v>
      </c>
      <c r="K75" s="217" t="s">
        <v>690</v>
      </c>
      <c r="L75" s="220">
        <v>1943161484</v>
      </c>
      <c r="M75" s="206">
        <v>692777309</v>
      </c>
      <c r="N75" s="206">
        <v>1250384175</v>
      </c>
      <c r="O75" s="206">
        <v>1244928840</v>
      </c>
      <c r="P75" s="206">
        <v>70305248</v>
      </c>
      <c r="Q75" s="206">
        <v>56807679</v>
      </c>
      <c r="R75" s="206">
        <v>54307547</v>
      </c>
      <c r="S75" s="405">
        <v>0</v>
      </c>
      <c r="T75" s="405">
        <v>0</v>
      </c>
      <c r="U75" s="406">
        <v>0</v>
      </c>
      <c r="V75" s="406">
        <v>0</v>
      </c>
      <c r="W75" s="407">
        <f t="shared" si="65"/>
        <v>0</v>
      </c>
      <c r="X75" s="407">
        <f t="shared" si="66"/>
        <v>100</v>
      </c>
      <c r="Y75" s="408">
        <f t="shared" si="67"/>
        <v>3</v>
      </c>
      <c r="Z75" s="444" t="s">
        <v>3314</v>
      </c>
      <c r="AA75" s="442">
        <v>0</v>
      </c>
      <c r="AB75" s="406">
        <v>1</v>
      </c>
      <c r="AC75" s="406">
        <v>0</v>
      </c>
      <c r="AD75" s="407">
        <f t="shared" si="68"/>
        <v>1</v>
      </c>
      <c r="AE75" s="364" t="str">
        <f t="shared" si="69"/>
        <v>100</v>
      </c>
      <c r="AF75" s="349">
        <f t="shared" si="70"/>
        <v>0.5</v>
      </c>
      <c r="AG75" s="154">
        <v>2302</v>
      </c>
      <c r="AH75" s="421"/>
      <c r="AI75" s="409">
        <f t="shared" si="78"/>
        <v>0</v>
      </c>
      <c r="AJ75" s="409">
        <f t="shared" si="79"/>
        <v>25</v>
      </c>
      <c r="AK75" s="408">
        <f t="shared" si="71"/>
        <v>0.25</v>
      </c>
      <c r="AL75" s="423"/>
      <c r="AM75" s="424">
        <v>0</v>
      </c>
      <c r="AN75" s="365">
        <f t="shared" si="80"/>
        <v>25</v>
      </c>
      <c r="AO75" s="320">
        <f t="shared" si="72"/>
        <v>0.25</v>
      </c>
      <c r="AP75" s="277">
        <f>_xlfn.XLOOKUP(C75, '1.건전성'!C:C, '1.건전성'!BE:BE)</f>
        <v>58067000</v>
      </c>
      <c r="AQ75" s="277">
        <f>_xlfn.XLOOKUP(C75, '1.건전성'!C:C, '1.건전성'!BF:BF)</f>
        <v>5592000</v>
      </c>
      <c r="AR75" s="410">
        <f t="shared" si="81"/>
        <v>63659000</v>
      </c>
      <c r="AS75" s="366">
        <f t="shared" si="76"/>
        <v>5.1134649591698746</v>
      </c>
      <c r="AT75" s="366">
        <f t="shared" si="82"/>
        <v>28.477486150128048</v>
      </c>
      <c r="AU75" s="321">
        <f t="shared" si="83"/>
        <v>0.28477486150128051</v>
      </c>
      <c r="AV75" s="15">
        <v>5898000</v>
      </c>
      <c r="AW75" s="361">
        <f t="shared" si="77"/>
        <v>0.47376201839777443</v>
      </c>
      <c r="AX75" s="361">
        <f t="shared" si="84"/>
        <v>27.831530442407381</v>
      </c>
      <c r="AY75" s="321">
        <f t="shared" si="73"/>
        <v>0.13915765221203691</v>
      </c>
      <c r="AZ75" s="411">
        <v>9.1</v>
      </c>
      <c r="BA75" s="412">
        <f t="shared" si="85"/>
        <v>80</v>
      </c>
      <c r="BB75" s="408">
        <f t="shared" si="74"/>
        <v>0.4</v>
      </c>
      <c r="BC75" s="204">
        <v>1</v>
      </c>
      <c r="BD75" s="407">
        <f t="shared" si="86"/>
        <v>100</v>
      </c>
      <c r="BE75" s="408">
        <f t="shared" si="75"/>
        <v>0.5</v>
      </c>
      <c r="BF75" s="204">
        <v>1</v>
      </c>
      <c r="BG75" s="204">
        <v>1</v>
      </c>
      <c r="BH75" s="204">
        <v>1</v>
      </c>
      <c r="BI75" s="272" t="str">
        <f t="shared" si="87"/>
        <v>D</v>
      </c>
      <c r="BJ75" s="247">
        <f t="shared" si="88"/>
        <v>25</v>
      </c>
      <c r="BK75" s="90">
        <f t="shared" si="89"/>
        <v>0.75</v>
      </c>
      <c r="BL75" s="406">
        <v>197</v>
      </c>
      <c r="BM75" s="413">
        <f t="shared" si="90"/>
        <v>8.557775847089486</v>
      </c>
      <c r="BN75" s="414">
        <f t="shared" si="91"/>
        <v>20</v>
      </c>
      <c r="BO75" s="415">
        <f t="shared" si="92"/>
        <v>0.6</v>
      </c>
      <c r="BP75" s="416">
        <v>0.03</v>
      </c>
      <c r="BQ75" s="417">
        <f t="shared" si="93"/>
        <v>66.666666666666671</v>
      </c>
      <c r="BR75" s="415">
        <f t="shared" si="94"/>
        <v>0.66666666666666674</v>
      </c>
      <c r="BS75" s="350">
        <f t="shared" si="95"/>
        <v>7.3405991803799848</v>
      </c>
    </row>
    <row r="76" spans="1:71" x14ac:dyDescent="0.6">
      <c r="A76" s="214" t="s">
        <v>97</v>
      </c>
      <c r="B76" s="13" t="s">
        <v>2054</v>
      </c>
      <c r="C76" s="219" t="s">
        <v>404</v>
      </c>
      <c r="D76" s="221" t="s">
        <v>350</v>
      </c>
      <c r="E76" s="217" t="s">
        <v>179</v>
      </c>
      <c r="F76" s="217" t="s">
        <v>578</v>
      </c>
      <c r="G76" s="218">
        <v>35388</v>
      </c>
      <c r="H76" s="217" t="s">
        <v>830</v>
      </c>
      <c r="I76" s="217" t="s">
        <v>1587</v>
      </c>
      <c r="J76" s="217" t="s">
        <v>1038</v>
      </c>
      <c r="K76" s="217" t="s">
        <v>91</v>
      </c>
      <c r="L76" s="220">
        <v>3939974802</v>
      </c>
      <c r="M76" s="206">
        <v>3279267721</v>
      </c>
      <c r="N76" s="206">
        <v>660707081</v>
      </c>
      <c r="O76" s="206">
        <v>1268326077</v>
      </c>
      <c r="P76" s="206">
        <v>46098647</v>
      </c>
      <c r="Q76" s="206">
        <v>67910650</v>
      </c>
      <c r="R76" s="206">
        <v>48368439</v>
      </c>
      <c r="S76" s="275" t="s">
        <v>2326</v>
      </c>
      <c r="T76" s="275" t="s">
        <v>2326</v>
      </c>
      <c r="U76" s="275" t="s">
        <v>2326</v>
      </c>
      <c r="V76" s="275" t="s">
        <v>2326</v>
      </c>
      <c r="W76" s="275" t="s">
        <v>2326</v>
      </c>
      <c r="X76" s="275" t="s">
        <v>2326</v>
      </c>
      <c r="Y76" s="276"/>
      <c r="Z76" s="275" t="s">
        <v>2326</v>
      </c>
      <c r="AA76" s="275" t="s">
        <v>2326</v>
      </c>
      <c r="AB76" s="275" t="s">
        <v>2326</v>
      </c>
      <c r="AC76" s="275" t="s">
        <v>2326</v>
      </c>
      <c r="AD76" s="275" t="s">
        <v>2326</v>
      </c>
      <c r="AE76" s="275" t="s">
        <v>2326</v>
      </c>
      <c r="AF76" s="275"/>
      <c r="AG76" s="154">
        <v>502</v>
      </c>
      <c r="AH76" s="421"/>
      <c r="AI76" s="409">
        <f t="shared" si="78"/>
        <v>0</v>
      </c>
      <c r="AJ76" s="409">
        <f t="shared" si="79"/>
        <v>25</v>
      </c>
      <c r="AK76" s="418">
        <f>AJ76*0.02</f>
        <v>0.5</v>
      </c>
      <c r="AL76" s="423"/>
      <c r="AM76" s="424">
        <v>0</v>
      </c>
      <c r="AN76" s="365">
        <f t="shared" si="80"/>
        <v>25</v>
      </c>
      <c r="AO76" s="322">
        <f>AN76*0.02</f>
        <v>0.5</v>
      </c>
      <c r="AP76" s="277">
        <f>_xlfn.XLOOKUP(C76, '1.건전성'!C:C, '1.건전성'!BE:BE)</f>
        <v>83113000</v>
      </c>
      <c r="AQ76" s="277">
        <f>_xlfn.XLOOKUP(C76, '1.건전성'!C:C, '1.건전성'!BF:BF)</f>
        <v>10059000</v>
      </c>
      <c r="AR76" s="410">
        <f t="shared" si="81"/>
        <v>93172000</v>
      </c>
      <c r="AS76" s="366">
        <f t="shared" si="76"/>
        <v>7.3460604248066721</v>
      </c>
      <c r="AT76" s="366">
        <f t="shared" si="82"/>
        <v>30.160347053874375</v>
      </c>
      <c r="AU76" s="321">
        <f t="shared" si="83"/>
        <v>0.30160347053874376</v>
      </c>
      <c r="AV76" s="15">
        <v>11225000</v>
      </c>
      <c r="AW76" s="361">
        <f t="shared" si="77"/>
        <v>0.88502477427182957</v>
      </c>
      <c r="AX76" s="361">
        <f t="shared" si="84"/>
        <v>30.947157380847194</v>
      </c>
      <c r="AY76" s="348">
        <f>AX76*0.01</f>
        <v>0.30947157380847196</v>
      </c>
      <c r="AZ76" s="411">
        <v>4.0999999999999996</v>
      </c>
      <c r="BA76" s="412">
        <f t="shared" si="85"/>
        <v>40</v>
      </c>
      <c r="BB76" s="418">
        <f>BA76*0.01</f>
        <v>0.4</v>
      </c>
      <c r="BC76" s="204">
        <v>0</v>
      </c>
      <c r="BD76" s="407">
        <f t="shared" si="86"/>
        <v>50</v>
      </c>
      <c r="BE76" s="418">
        <f>BD76*0.01</f>
        <v>0.5</v>
      </c>
      <c r="BF76" s="204">
        <v>1</v>
      </c>
      <c r="BG76" s="204">
        <v>1</v>
      </c>
      <c r="BH76" s="204">
        <v>0</v>
      </c>
      <c r="BI76" s="272" t="str">
        <f t="shared" si="87"/>
        <v>C</v>
      </c>
      <c r="BJ76" s="247">
        <f t="shared" si="88"/>
        <v>50</v>
      </c>
      <c r="BK76" s="90">
        <f t="shared" si="89"/>
        <v>1.5</v>
      </c>
      <c r="BL76" s="406">
        <v>292</v>
      </c>
      <c r="BM76" s="413">
        <f t="shared" si="90"/>
        <v>58.167330677290842</v>
      </c>
      <c r="BN76" s="414">
        <f t="shared" si="91"/>
        <v>20</v>
      </c>
      <c r="BO76" s="415">
        <f t="shared" si="92"/>
        <v>0.6</v>
      </c>
      <c r="BP76" s="416">
        <v>0</v>
      </c>
      <c r="BQ76" s="417">
        <f t="shared" si="93"/>
        <v>33.333333333333336</v>
      </c>
      <c r="BR76" s="415">
        <f t="shared" si="94"/>
        <v>0.33333333333333337</v>
      </c>
      <c r="BS76" s="350">
        <f t="shared" si="95"/>
        <v>4.9444083776805483</v>
      </c>
    </row>
    <row r="77" spans="1:71" x14ac:dyDescent="0.6">
      <c r="A77" s="214" t="s">
        <v>1588</v>
      </c>
      <c r="B77" s="13" t="s">
        <v>2055</v>
      </c>
      <c r="C77" s="219" t="s">
        <v>1589</v>
      </c>
      <c r="D77" s="14" t="s">
        <v>202</v>
      </c>
      <c r="E77" s="217" t="s">
        <v>572</v>
      </c>
      <c r="F77" s="217" t="s">
        <v>1590</v>
      </c>
      <c r="G77" s="218">
        <v>27572</v>
      </c>
      <c r="H77" s="217" t="s">
        <v>830</v>
      </c>
      <c r="I77" s="217" t="s">
        <v>1591</v>
      </c>
      <c r="J77" s="217" t="s">
        <v>1592</v>
      </c>
      <c r="K77" s="217" t="s">
        <v>308</v>
      </c>
      <c r="L77" s="220">
        <v>1037444849</v>
      </c>
      <c r="M77" s="206">
        <v>756037859</v>
      </c>
      <c r="N77" s="206">
        <v>281406990</v>
      </c>
      <c r="O77" s="206">
        <v>1020419354</v>
      </c>
      <c r="P77" s="206">
        <v>62957426</v>
      </c>
      <c r="Q77" s="206">
        <v>23841777</v>
      </c>
      <c r="R77" s="206">
        <v>11209133</v>
      </c>
      <c r="S77" s="405">
        <v>0</v>
      </c>
      <c r="T77" s="405">
        <v>0</v>
      </c>
      <c r="U77" s="406">
        <v>0</v>
      </c>
      <c r="V77" s="406">
        <v>0</v>
      </c>
      <c r="W77" s="407">
        <f t="shared" ref="W77:W101" si="97">SUM(S77:V77)</f>
        <v>0</v>
      </c>
      <c r="X77" s="407">
        <f t="shared" ref="X77:X101" si="98">IF(W77=0, 100, IF(W77=1, 80, IF(W77=2, 60, IF(W77=3, 40, IF(W77=4, 20)))))</f>
        <v>100</v>
      </c>
      <c r="Y77" s="408">
        <f t="shared" ref="Y77:Y101" si="99">X77*0.03</f>
        <v>3</v>
      </c>
      <c r="Z77" s="444" t="s">
        <v>3315</v>
      </c>
      <c r="AA77" s="442">
        <v>0</v>
      </c>
      <c r="AB77" s="406">
        <v>1</v>
      </c>
      <c r="AC77" s="406">
        <v>0</v>
      </c>
      <c r="AD77" s="407">
        <f t="shared" ref="AD77:AD101" si="100">SUM(AA77:AC77)</f>
        <v>1</v>
      </c>
      <c r="AE77" s="364" t="str">
        <f t="shared" ref="AE77:AE101" si="101">IF(AD77&gt;=1,"100","50")</f>
        <v>100</v>
      </c>
      <c r="AF77" s="349">
        <f t="shared" ref="AF77:AF101" si="102">AE77*0.005</f>
        <v>0.5</v>
      </c>
      <c r="AG77" s="154">
        <v>1337</v>
      </c>
      <c r="AH77" s="154">
        <v>382616</v>
      </c>
      <c r="AI77" s="409">
        <f t="shared" si="78"/>
        <v>286.17501869857892</v>
      </c>
      <c r="AJ77" s="409">
        <f t="shared" si="79"/>
        <v>100</v>
      </c>
      <c r="AK77" s="408">
        <f t="shared" ref="AK77:AK101" si="103">AJ77*0.01</f>
        <v>1</v>
      </c>
      <c r="AL77" s="45">
        <v>202528</v>
      </c>
      <c r="AM77" s="361">
        <f t="shared" si="96"/>
        <v>88.920050560910084</v>
      </c>
      <c r="AN77" s="365">
        <f t="shared" si="80"/>
        <v>41.672509480170639</v>
      </c>
      <c r="AO77" s="320">
        <f t="shared" ref="AO77:AO101" si="104">AN77*0.01</f>
        <v>0.41672509480170639</v>
      </c>
      <c r="AP77" s="277">
        <f>_xlfn.XLOOKUP(C77, '1.건전성'!C:C, '1.건전성'!BE:BE)</f>
        <v>39861204</v>
      </c>
      <c r="AQ77" s="277">
        <f>_xlfn.XLOOKUP(C77, '1.건전성'!C:C, '1.건전성'!BF:BF)</f>
        <v>4306457</v>
      </c>
      <c r="AR77" s="410">
        <f t="shared" si="81"/>
        <v>44167661</v>
      </c>
      <c r="AS77" s="366">
        <f t="shared" si="76"/>
        <v>4.3283833089665213</v>
      </c>
      <c r="AT77" s="366">
        <f t="shared" si="82"/>
        <v>27.885716062035065</v>
      </c>
      <c r="AU77" s="321">
        <f t="shared" si="83"/>
        <v>0.27885716062035065</v>
      </c>
      <c r="AV77" s="15">
        <v>5900267</v>
      </c>
      <c r="AW77" s="361">
        <f t="shared" si="77"/>
        <v>0.57821982470944</v>
      </c>
      <c r="AX77" s="361">
        <f t="shared" si="84"/>
        <v>28.622877459920002</v>
      </c>
      <c r="AY77" s="321">
        <f t="shared" ref="AY77:AY101" si="105">AX77*0.005</f>
        <v>0.14311438729960002</v>
      </c>
      <c r="AZ77" s="411">
        <v>10.4</v>
      </c>
      <c r="BA77" s="412">
        <f t="shared" si="85"/>
        <v>100</v>
      </c>
      <c r="BB77" s="408">
        <f t="shared" ref="BB77:BB101" si="106">BA77*0.005</f>
        <v>0.5</v>
      </c>
      <c r="BC77" s="204">
        <v>1</v>
      </c>
      <c r="BD77" s="407">
        <f t="shared" si="86"/>
        <v>100</v>
      </c>
      <c r="BE77" s="408">
        <f t="shared" ref="BE77:BE101" si="107">BD77*0.005</f>
        <v>0.5</v>
      </c>
      <c r="BF77" s="204">
        <v>0</v>
      </c>
      <c r="BG77" s="204">
        <v>0</v>
      </c>
      <c r="BH77" s="204">
        <v>1</v>
      </c>
      <c r="BI77" s="272" t="str">
        <f t="shared" si="87"/>
        <v>D</v>
      </c>
      <c r="BJ77" s="247">
        <f t="shared" si="88"/>
        <v>25</v>
      </c>
      <c r="BK77" s="90">
        <f t="shared" si="89"/>
        <v>0.75</v>
      </c>
      <c r="BL77" s="406">
        <v>412</v>
      </c>
      <c r="BM77" s="413">
        <f t="shared" si="90"/>
        <v>30.815258040388933</v>
      </c>
      <c r="BN77" s="414">
        <f t="shared" si="91"/>
        <v>20</v>
      </c>
      <c r="BO77" s="415">
        <f t="shared" si="92"/>
        <v>0.6</v>
      </c>
      <c r="BP77" s="416">
        <v>0</v>
      </c>
      <c r="BQ77" s="417">
        <f t="shared" si="93"/>
        <v>33.333333333333336</v>
      </c>
      <c r="BR77" s="415">
        <f t="shared" si="94"/>
        <v>0.33333333333333337</v>
      </c>
      <c r="BS77" s="350">
        <f t="shared" si="95"/>
        <v>8.0220299760549896</v>
      </c>
    </row>
    <row r="78" spans="1:71" x14ac:dyDescent="0.6">
      <c r="A78" s="214" t="s">
        <v>700</v>
      </c>
      <c r="B78" s="13" t="s">
        <v>2056</v>
      </c>
      <c r="C78" s="219" t="s">
        <v>545</v>
      </c>
      <c r="D78" s="216" t="s">
        <v>191</v>
      </c>
      <c r="E78" s="217" t="s">
        <v>178</v>
      </c>
      <c r="F78" s="217" t="s">
        <v>137</v>
      </c>
      <c r="G78" s="218">
        <v>25659</v>
      </c>
      <c r="H78" s="217" t="s">
        <v>830</v>
      </c>
      <c r="I78" s="217" t="s">
        <v>716</v>
      </c>
      <c r="J78" s="217" t="s">
        <v>1228</v>
      </c>
      <c r="K78" s="217" t="s">
        <v>91</v>
      </c>
      <c r="L78" s="220">
        <v>2858930432</v>
      </c>
      <c r="M78" s="206">
        <v>1570209001</v>
      </c>
      <c r="N78" s="206">
        <v>1288721432</v>
      </c>
      <c r="O78" s="206">
        <v>3289633814</v>
      </c>
      <c r="P78" s="206">
        <v>129259533</v>
      </c>
      <c r="Q78" s="206">
        <v>115619859</v>
      </c>
      <c r="R78" s="206">
        <v>84739843</v>
      </c>
      <c r="S78" s="405">
        <v>0</v>
      </c>
      <c r="T78" s="405">
        <v>0</v>
      </c>
      <c r="U78" s="406">
        <v>0</v>
      </c>
      <c r="V78" s="406">
        <v>1</v>
      </c>
      <c r="W78" s="407">
        <f t="shared" si="97"/>
        <v>1</v>
      </c>
      <c r="X78" s="407">
        <f t="shared" si="98"/>
        <v>80</v>
      </c>
      <c r="Y78" s="408">
        <f t="shared" si="99"/>
        <v>2.4</v>
      </c>
      <c r="Z78" s="444" t="s">
        <v>3316</v>
      </c>
      <c r="AA78" s="442">
        <v>0</v>
      </c>
      <c r="AB78" s="406">
        <v>1</v>
      </c>
      <c r="AC78" s="406">
        <v>0</v>
      </c>
      <c r="AD78" s="407">
        <f t="shared" si="100"/>
        <v>1</v>
      </c>
      <c r="AE78" s="364" t="str">
        <f t="shared" si="101"/>
        <v>100</v>
      </c>
      <c r="AF78" s="349">
        <f t="shared" si="102"/>
        <v>0.5</v>
      </c>
      <c r="AG78" s="154">
        <v>5720</v>
      </c>
      <c r="AH78" s="154">
        <v>2399000</v>
      </c>
      <c r="AI78" s="409">
        <f t="shared" si="78"/>
        <v>419.4055944055944</v>
      </c>
      <c r="AJ78" s="409">
        <f t="shared" si="79"/>
        <v>100</v>
      </c>
      <c r="AK78" s="408">
        <f t="shared" si="103"/>
        <v>1</v>
      </c>
      <c r="AL78" s="45">
        <v>1881000</v>
      </c>
      <c r="AM78" s="361">
        <f t="shared" si="96"/>
        <v>27.538543328017013</v>
      </c>
      <c r="AN78" s="365">
        <f t="shared" si="80"/>
        <v>30.163476874003191</v>
      </c>
      <c r="AO78" s="320">
        <f t="shared" si="104"/>
        <v>0.30163476874003192</v>
      </c>
      <c r="AP78" s="277">
        <f>_xlfn.XLOOKUP(C78, '1.건전성'!C:C, '1.건전성'!BE:BE)</f>
        <v>213002000</v>
      </c>
      <c r="AQ78" s="277">
        <f>_xlfn.XLOOKUP(C78, '1.건전성'!C:C, '1.건전성'!BF:BF)</f>
        <v>21538000</v>
      </c>
      <c r="AR78" s="410">
        <f t="shared" si="81"/>
        <v>234540000</v>
      </c>
      <c r="AS78" s="366">
        <f t="shared" si="76"/>
        <v>7.1296689315949502</v>
      </c>
      <c r="AT78" s="366">
        <f t="shared" si="82"/>
        <v>29.997237888136898</v>
      </c>
      <c r="AU78" s="321">
        <f t="shared" si="83"/>
        <v>0.29997237888136896</v>
      </c>
      <c r="AV78" s="15">
        <v>26103000</v>
      </c>
      <c r="AW78" s="361">
        <f t="shared" si="77"/>
        <v>0.793492573213196</v>
      </c>
      <c r="AX78" s="361">
        <f t="shared" si="84"/>
        <v>30.253731615251485</v>
      </c>
      <c r="AY78" s="321">
        <f t="shared" si="105"/>
        <v>0.15126865807625742</v>
      </c>
      <c r="AZ78" s="411">
        <v>10.9</v>
      </c>
      <c r="BA78" s="412">
        <f t="shared" si="85"/>
        <v>100</v>
      </c>
      <c r="BB78" s="408">
        <f t="shared" si="106"/>
        <v>0.5</v>
      </c>
      <c r="BC78" s="204">
        <v>1</v>
      </c>
      <c r="BD78" s="407">
        <f t="shared" si="86"/>
        <v>100</v>
      </c>
      <c r="BE78" s="408">
        <f t="shared" si="107"/>
        <v>0.5</v>
      </c>
      <c r="BF78" s="204">
        <v>1</v>
      </c>
      <c r="BG78" s="204">
        <v>0</v>
      </c>
      <c r="BH78" s="204">
        <v>0</v>
      </c>
      <c r="BI78" s="272" t="str">
        <f t="shared" si="87"/>
        <v>B</v>
      </c>
      <c r="BJ78" s="247">
        <f t="shared" si="88"/>
        <v>75</v>
      </c>
      <c r="BK78" s="90">
        <f t="shared" si="89"/>
        <v>2.25</v>
      </c>
      <c r="BL78" s="406">
        <v>807</v>
      </c>
      <c r="BM78" s="413">
        <f t="shared" si="90"/>
        <v>14.108391608391607</v>
      </c>
      <c r="BN78" s="414">
        <f t="shared" si="91"/>
        <v>20</v>
      </c>
      <c r="BO78" s="415">
        <f t="shared" si="92"/>
        <v>0.6</v>
      </c>
      <c r="BP78" s="416">
        <v>0</v>
      </c>
      <c r="BQ78" s="417">
        <f t="shared" si="93"/>
        <v>33.333333333333336</v>
      </c>
      <c r="BR78" s="415">
        <f t="shared" si="94"/>
        <v>0.33333333333333337</v>
      </c>
      <c r="BS78" s="350">
        <f t="shared" si="95"/>
        <v>8.8362091390309931</v>
      </c>
    </row>
    <row r="79" spans="1:71" x14ac:dyDescent="0.6">
      <c r="A79" s="214" t="s">
        <v>1593</v>
      </c>
      <c r="B79" s="13" t="s">
        <v>2057</v>
      </c>
      <c r="C79" s="219" t="s">
        <v>1594</v>
      </c>
      <c r="D79" s="14" t="s">
        <v>203</v>
      </c>
      <c r="E79" s="217" t="s">
        <v>1595</v>
      </c>
      <c r="F79" s="217" t="s">
        <v>1596</v>
      </c>
      <c r="G79" s="218">
        <v>40389</v>
      </c>
      <c r="H79" s="217" t="s">
        <v>830</v>
      </c>
      <c r="I79" s="217" t="s">
        <v>1597</v>
      </c>
      <c r="J79" s="13" t="s">
        <v>2058</v>
      </c>
      <c r="K79" s="217" t="s">
        <v>91</v>
      </c>
      <c r="L79" s="220">
        <v>991695975</v>
      </c>
      <c r="M79" s="206">
        <v>405389777</v>
      </c>
      <c r="N79" s="206">
        <v>586306198</v>
      </c>
      <c r="O79" s="206">
        <v>881208064</v>
      </c>
      <c r="P79" s="206">
        <v>14182419</v>
      </c>
      <c r="Q79" s="206">
        <v>20162956</v>
      </c>
      <c r="R79" s="206">
        <v>20025770</v>
      </c>
      <c r="S79" s="405">
        <v>0</v>
      </c>
      <c r="T79" s="405">
        <v>0</v>
      </c>
      <c r="U79" s="406">
        <v>0</v>
      </c>
      <c r="V79" s="406">
        <v>0</v>
      </c>
      <c r="W79" s="407">
        <f t="shared" si="97"/>
        <v>0</v>
      </c>
      <c r="X79" s="407">
        <f t="shared" si="98"/>
        <v>100</v>
      </c>
      <c r="Y79" s="408">
        <f t="shared" si="99"/>
        <v>3</v>
      </c>
      <c r="Z79" s="444" t="s">
        <v>3317</v>
      </c>
      <c r="AA79" s="442">
        <v>0</v>
      </c>
      <c r="AB79" s="406">
        <v>1</v>
      </c>
      <c r="AC79" s="406">
        <v>0</v>
      </c>
      <c r="AD79" s="407">
        <f t="shared" si="100"/>
        <v>1</v>
      </c>
      <c r="AE79" s="364" t="str">
        <f t="shared" si="101"/>
        <v>100</v>
      </c>
      <c r="AF79" s="349">
        <f t="shared" si="102"/>
        <v>0.5</v>
      </c>
      <c r="AG79" s="154">
        <v>371</v>
      </c>
      <c r="AH79" s="421"/>
      <c r="AI79" s="409">
        <f t="shared" si="78"/>
        <v>0</v>
      </c>
      <c r="AJ79" s="409">
        <f t="shared" si="79"/>
        <v>25</v>
      </c>
      <c r="AK79" s="408">
        <f t="shared" si="103"/>
        <v>0.25</v>
      </c>
      <c r="AL79" s="423"/>
      <c r="AM79" s="424">
        <v>0</v>
      </c>
      <c r="AN79" s="365">
        <f t="shared" si="80"/>
        <v>25</v>
      </c>
      <c r="AO79" s="320">
        <f t="shared" si="104"/>
        <v>0.25</v>
      </c>
      <c r="AP79" s="277">
        <f>_xlfn.XLOOKUP(C79, '1.건전성'!C:C, '1.건전성'!BE:BE)</f>
        <v>18414825</v>
      </c>
      <c r="AQ79" s="277">
        <f>_xlfn.XLOOKUP(C79, '1.건전성'!C:C, '1.건전성'!BF:BF)</f>
        <v>1421015</v>
      </c>
      <c r="AR79" s="410">
        <f t="shared" si="81"/>
        <v>19835840</v>
      </c>
      <c r="AS79" s="366">
        <f t="shared" si="76"/>
        <v>2.2509825783891149</v>
      </c>
      <c r="AT79" s="366">
        <f t="shared" si="82"/>
        <v>26.319836114363653</v>
      </c>
      <c r="AU79" s="321">
        <f t="shared" si="83"/>
        <v>0.26319836114363654</v>
      </c>
      <c r="AV79" s="15">
        <v>3582515</v>
      </c>
      <c r="AW79" s="361">
        <f t="shared" si="77"/>
        <v>0.40654587110087997</v>
      </c>
      <c r="AX79" s="361">
        <f t="shared" si="84"/>
        <v>27.322317205309695</v>
      </c>
      <c r="AY79" s="321">
        <f t="shared" si="105"/>
        <v>0.13661158602654846</v>
      </c>
      <c r="AZ79" s="411">
        <v>11.7</v>
      </c>
      <c r="BA79" s="412">
        <f t="shared" si="85"/>
        <v>100</v>
      </c>
      <c r="BB79" s="408">
        <f t="shared" si="106"/>
        <v>0.5</v>
      </c>
      <c r="BC79" s="204">
        <v>1</v>
      </c>
      <c r="BD79" s="407">
        <f t="shared" si="86"/>
        <v>100</v>
      </c>
      <c r="BE79" s="408">
        <f t="shared" si="107"/>
        <v>0.5</v>
      </c>
      <c r="BF79" s="204">
        <v>0</v>
      </c>
      <c r="BG79" s="204">
        <v>0</v>
      </c>
      <c r="BH79" s="204">
        <v>0</v>
      </c>
      <c r="BI79" s="272" t="str">
        <f t="shared" si="87"/>
        <v>A</v>
      </c>
      <c r="BJ79" s="247">
        <f t="shared" si="88"/>
        <v>100</v>
      </c>
      <c r="BK79" s="90">
        <f t="shared" si="89"/>
        <v>3</v>
      </c>
      <c r="BL79" s="406">
        <v>69</v>
      </c>
      <c r="BM79" s="413">
        <f t="shared" si="90"/>
        <v>18.598382749326145</v>
      </c>
      <c r="BN79" s="414">
        <f t="shared" si="91"/>
        <v>20</v>
      </c>
      <c r="BO79" s="415">
        <f t="shared" si="92"/>
        <v>0.6</v>
      </c>
      <c r="BP79" s="416">
        <v>2.0099999999999998</v>
      </c>
      <c r="BQ79" s="417">
        <f t="shared" si="93"/>
        <v>66.666666666666671</v>
      </c>
      <c r="BR79" s="415">
        <f t="shared" si="94"/>
        <v>0.66666666666666674</v>
      </c>
      <c r="BS79" s="350">
        <f t="shared" si="95"/>
        <v>9.666476613836851</v>
      </c>
    </row>
    <row r="80" spans="1:71" x14ac:dyDescent="0.6">
      <c r="A80" s="214" t="s">
        <v>82</v>
      </c>
      <c r="B80" s="13" t="s">
        <v>2059</v>
      </c>
      <c r="C80" s="219" t="s">
        <v>427</v>
      </c>
      <c r="D80" s="14" t="s">
        <v>203</v>
      </c>
      <c r="E80" s="217" t="s">
        <v>978</v>
      </c>
      <c r="F80" s="217" t="s">
        <v>556</v>
      </c>
      <c r="G80" s="218">
        <v>40536</v>
      </c>
      <c r="H80" s="217" t="s">
        <v>830</v>
      </c>
      <c r="I80" s="217" t="s">
        <v>972</v>
      </c>
      <c r="J80" s="217" t="s">
        <v>638</v>
      </c>
      <c r="K80" s="217" t="s">
        <v>308</v>
      </c>
      <c r="L80" s="220">
        <v>838882273</v>
      </c>
      <c r="M80" s="206">
        <v>521359056</v>
      </c>
      <c r="N80" s="206">
        <v>317523216</v>
      </c>
      <c r="O80" s="206">
        <v>1019977255</v>
      </c>
      <c r="P80" s="206">
        <v>1019269</v>
      </c>
      <c r="Q80" s="206">
        <v>1770357</v>
      </c>
      <c r="R80" s="206">
        <v>1219262</v>
      </c>
      <c r="S80" s="405">
        <v>0</v>
      </c>
      <c r="T80" s="405">
        <v>0</v>
      </c>
      <c r="U80" s="406">
        <v>1</v>
      </c>
      <c r="V80" s="406">
        <v>0</v>
      </c>
      <c r="W80" s="407">
        <f t="shared" si="97"/>
        <v>1</v>
      </c>
      <c r="X80" s="407">
        <f t="shared" si="98"/>
        <v>80</v>
      </c>
      <c r="Y80" s="408">
        <f t="shared" si="99"/>
        <v>2.4</v>
      </c>
      <c r="Z80" s="444" t="s">
        <v>3318</v>
      </c>
      <c r="AA80" s="442">
        <v>0</v>
      </c>
      <c r="AB80" s="406">
        <v>0</v>
      </c>
      <c r="AC80" s="406">
        <v>0</v>
      </c>
      <c r="AD80" s="407">
        <f t="shared" si="100"/>
        <v>0</v>
      </c>
      <c r="AE80" s="364" t="str">
        <f t="shared" si="101"/>
        <v>50</v>
      </c>
      <c r="AF80" s="349">
        <f t="shared" si="102"/>
        <v>0.25</v>
      </c>
      <c r="AG80" s="154">
        <v>406</v>
      </c>
      <c r="AH80" s="154">
        <v>70323</v>
      </c>
      <c r="AI80" s="409">
        <f t="shared" si="78"/>
        <v>173.20935960591132</v>
      </c>
      <c r="AJ80" s="409">
        <f t="shared" si="79"/>
        <v>100</v>
      </c>
      <c r="AK80" s="408">
        <f t="shared" si="103"/>
        <v>1</v>
      </c>
      <c r="AL80" s="45">
        <v>59642</v>
      </c>
      <c r="AM80" s="361">
        <f t="shared" si="96"/>
        <v>17.908520841018074</v>
      </c>
      <c r="AN80" s="365">
        <f t="shared" si="80"/>
        <v>28.35784765769089</v>
      </c>
      <c r="AO80" s="320">
        <f t="shared" si="104"/>
        <v>0.28357847657690888</v>
      </c>
      <c r="AP80" s="277">
        <f>_xlfn.XLOOKUP(C80, '1.건전성'!C:C, '1.건전성'!BE:BE)</f>
        <v>9182725.1490000002</v>
      </c>
      <c r="AQ80" s="277">
        <f>_xlfn.XLOOKUP(C80, '1.건전성'!C:C, '1.건전성'!BF:BF)</f>
        <v>747345.43</v>
      </c>
      <c r="AR80" s="410">
        <f t="shared" si="81"/>
        <v>9930070.5789999999</v>
      </c>
      <c r="AS80" s="366">
        <f t="shared" si="76"/>
        <v>0.97355804066434803</v>
      </c>
      <c r="AT80" s="366">
        <f t="shared" si="82"/>
        <v>25.356953296983178</v>
      </c>
      <c r="AU80" s="321">
        <f t="shared" si="83"/>
        <v>0.25356953296983181</v>
      </c>
      <c r="AV80" s="15">
        <v>1294757</v>
      </c>
      <c r="AW80" s="361">
        <f t="shared" si="77"/>
        <v>0.12693979141721157</v>
      </c>
      <c r="AX80" s="361">
        <f t="shared" si="84"/>
        <v>25.204089328918268</v>
      </c>
      <c r="AY80" s="321">
        <f t="shared" si="105"/>
        <v>0.12602044664459133</v>
      </c>
      <c r="AZ80" s="411">
        <v>18.11</v>
      </c>
      <c r="BA80" s="412">
        <f t="shared" si="85"/>
        <v>100</v>
      </c>
      <c r="BB80" s="408">
        <f t="shared" si="106"/>
        <v>0.5</v>
      </c>
      <c r="BC80" s="204">
        <v>1</v>
      </c>
      <c r="BD80" s="407">
        <f t="shared" si="86"/>
        <v>100</v>
      </c>
      <c r="BE80" s="408">
        <f t="shared" si="107"/>
        <v>0.5</v>
      </c>
      <c r="BF80" s="204">
        <v>0</v>
      </c>
      <c r="BG80" s="204">
        <v>0</v>
      </c>
      <c r="BH80" s="204">
        <v>0</v>
      </c>
      <c r="BI80" s="272" t="str">
        <f t="shared" si="87"/>
        <v>A</v>
      </c>
      <c r="BJ80" s="247">
        <f t="shared" si="88"/>
        <v>100</v>
      </c>
      <c r="BK80" s="90">
        <f t="shared" si="89"/>
        <v>3</v>
      </c>
      <c r="BL80" s="406">
        <v>10</v>
      </c>
      <c r="BM80" s="413">
        <f t="shared" si="90"/>
        <v>2.4630541871921183</v>
      </c>
      <c r="BN80" s="414">
        <f t="shared" si="91"/>
        <v>60</v>
      </c>
      <c r="BO80" s="415">
        <f t="shared" si="92"/>
        <v>1.7999999999999998</v>
      </c>
      <c r="BP80" s="416">
        <v>0.06</v>
      </c>
      <c r="BQ80" s="417">
        <f t="shared" si="93"/>
        <v>66.666666666666671</v>
      </c>
      <c r="BR80" s="415">
        <f t="shared" si="94"/>
        <v>0.66666666666666674</v>
      </c>
      <c r="BS80" s="350">
        <f t="shared" si="95"/>
        <v>10.779835122857998</v>
      </c>
    </row>
    <row r="81" spans="1:71" x14ac:dyDescent="0.6">
      <c r="A81" s="214" t="s">
        <v>932</v>
      </c>
      <c r="B81" s="13" t="s">
        <v>2060</v>
      </c>
      <c r="C81" s="219" t="s">
        <v>452</v>
      </c>
      <c r="D81" s="216" t="s">
        <v>285</v>
      </c>
      <c r="E81" s="217" t="s">
        <v>872</v>
      </c>
      <c r="F81" s="217" t="s">
        <v>286</v>
      </c>
      <c r="G81" s="218">
        <v>36973</v>
      </c>
      <c r="H81" s="217" t="s">
        <v>830</v>
      </c>
      <c r="I81" s="217" t="s">
        <v>771</v>
      </c>
      <c r="J81" s="217" t="s">
        <v>1598</v>
      </c>
      <c r="K81" s="217" t="s">
        <v>91</v>
      </c>
      <c r="L81" s="220">
        <v>9668849513</v>
      </c>
      <c r="M81" s="206">
        <v>6674852812</v>
      </c>
      <c r="N81" s="206">
        <v>2993996701</v>
      </c>
      <c r="O81" s="206">
        <v>9318914840</v>
      </c>
      <c r="P81" s="206">
        <v>433402928</v>
      </c>
      <c r="Q81" s="206">
        <v>364861645</v>
      </c>
      <c r="R81" s="206">
        <v>254741243</v>
      </c>
      <c r="S81" s="405">
        <v>1</v>
      </c>
      <c r="T81" s="405">
        <v>0</v>
      </c>
      <c r="U81" s="406">
        <v>0</v>
      </c>
      <c r="V81" s="406">
        <v>0</v>
      </c>
      <c r="W81" s="407">
        <f t="shared" si="97"/>
        <v>1</v>
      </c>
      <c r="X81" s="407">
        <f t="shared" si="98"/>
        <v>80</v>
      </c>
      <c r="Y81" s="408">
        <f t="shared" si="99"/>
        <v>2.4</v>
      </c>
      <c r="Z81" s="444" t="s">
        <v>3319</v>
      </c>
      <c r="AA81" s="442">
        <v>1</v>
      </c>
      <c r="AB81" s="406">
        <v>1</v>
      </c>
      <c r="AC81" s="406">
        <v>0</v>
      </c>
      <c r="AD81" s="407">
        <f t="shared" si="100"/>
        <v>2</v>
      </c>
      <c r="AE81" s="364" t="str">
        <f t="shared" si="101"/>
        <v>100</v>
      </c>
      <c r="AF81" s="349">
        <f t="shared" si="102"/>
        <v>0.5</v>
      </c>
      <c r="AG81" s="154">
        <v>5842</v>
      </c>
      <c r="AH81" s="421"/>
      <c r="AI81" s="409">
        <f t="shared" si="78"/>
        <v>0</v>
      </c>
      <c r="AJ81" s="409">
        <f t="shared" si="79"/>
        <v>25</v>
      </c>
      <c r="AK81" s="408">
        <f t="shared" si="103"/>
        <v>0.25</v>
      </c>
      <c r="AL81" s="423"/>
      <c r="AM81" s="424">
        <v>0</v>
      </c>
      <c r="AN81" s="365">
        <f t="shared" si="80"/>
        <v>25</v>
      </c>
      <c r="AO81" s="320">
        <f t="shared" si="104"/>
        <v>0.25</v>
      </c>
      <c r="AP81" s="277">
        <f>_xlfn.XLOOKUP(C81, '1.건전성'!C:C, '1.건전성'!BE:BE)</f>
        <v>201601000</v>
      </c>
      <c r="AQ81" s="277">
        <f>_xlfn.XLOOKUP(C81, '1.건전성'!C:C, '1.건전성'!BF:BF)</f>
        <v>17705000</v>
      </c>
      <c r="AR81" s="410">
        <f t="shared" si="81"/>
        <v>219306000</v>
      </c>
      <c r="AS81" s="366">
        <f t="shared" si="76"/>
        <v>2.3533426773969746</v>
      </c>
      <c r="AT81" s="366">
        <f t="shared" si="82"/>
        <v>26.396991967887168</v>
      </c>
      <c r="AU81" s="321">
        <f t="shared" si="83"/>
        <v>0.26396991967887168</v>
      </c>
      <c r="AV81" s="419"/>
      <c r="AW81" s="361">
        <f t="shared" si="77"/>
        <v>0</v>
      </c>
      <c r="AX81" s="361">
        <f t="shared" si="84"/>
        <v>25</v>
      </c>
      <c r="AY81" s="321">
        <f t="shared" si="105"/>
        <v>0.125</v>
      </c>
      <c r="AZ81" s="411">
        <v>15.3</v>
      </c>
      <c r="BA81" s="412">
        <f t="shared" si="85"/>
        <v>100</v>
      </c>
      <c r="BB81" s="408">
        <f t="shared" si="106"/>
        <v>0.5</v>
      </c>
      <c r="BC81" s="204">
        <v>1</v>
      </c>
      <c r="BD81" s="407">
        <f t="shared" si="86"/>
        <v>100</v>
      </c>
      <c r="BE81" s="408">
        <f t="shared" si="107"/>
        <v>0.5</v>
      </c>
      <c r="BF81" s="204">
        <v>1</v>
      </c>
      <c r="BG81" s="204">
        <v>0</v>
      </c>
      <c r="BH81" s="204">
        <v>1</v>
      </c>
      <c r="BI81" s="272" t="str">
        <f t="shared" si="87"/>
        <v>D</v>
      </c>
      <c r="BJ81" s="247">
        <f t="shared" si="88"/>
        <v>25</v>
      </c>
      <c r="BK81" s="90">
        <f t="shared" si="89"/>
        <v>0.75</v>
      </c>
      <c r="BL81" s="406">
        <v>2167</v>
      </c>
      <c r="BM81" s="413">
        <f t="shared" si="90"/>
        <v>37.093461143444031</v>
      </c>
      <c r="BN81" s="414">
        <f t="shared" si="91"/>
        <v>20</v>
      </c>
      <c r="BO81" s="415">
        <f t="shared" si="92"/>
        <v>0.6</v>
      </c>
      <c r="BP81" s="416">
        <v>0.21</v>
      </c>
      <c r="BQ81" s="417">
        <f t="shared" si="93"/>
        <v>66.666666666666671</v>
      </c>
      <c r="BR81" s="415">
        <f t="shared" si="94"/>
        <v>0.66666666666666674</v>
      </c>
      <c r="BS81" s="350">
        <f t="shared" si="95"/>
        <v>6.8056365863455381</v>
      </c>
    </row>
    <row r="82" spans="1:71" x14ac:dyDescent="0.6">
      <c r="A82" s="214" t="s">
        <v>761</v>
      </c>
      <c r="B82" s="13" t="s">
        <v>2061</v>
      </c>
      <c r="C82" s="219" t="s">
        <v>552</v>
      </c>
      <c r="D82" s="216" t="s">
        <v>191</v>
      </c>
      <c r="E82" s="217" t="s">
        <v>34</v>
      </c>
      <c r="F82" s="217" t="s">
        <v>131</v>
      </c>
      <c r="G82" s="218">
        <v>26841</v>
      </c>
      <c r="H82" s="217" t="s">
        <v>830</v>
      </c>
      <c r="I82" s="217" t="s">
        <v>739</v>
      </c>
      <c r="J82" s="217" t="s">
        <v>1247</v>
      </c>
      <c r="K82" s="217" t="s">
        <v>690</v>
      </c>
      <c r="L82" s="220">
        <v>467020461</v>
      </c>
      <c r="M82" s="206">
        <v>22242291</v>
      </c>
      <c r="N82" s="206">
        <v>444778170</v>
      </c>
      <c r="O82" s="206">
        <v>102401976</v>
      </c>
      <c r="P82" s="206">
        <v>54478995</v>
      </c>
      <c r="Q82" s="206">
        <v>56254195</v>
      </c>
      <c r="R82" s="206">
        <v>53906527</v>
      </c>
      <c r="S82" s="405">
        <v>0</v>
      </c>
      <c r="T82" s="405">
        <v>0</v>
      </c>
      <c r="U82" s="406">
        <v>0</v>
      </c>
      <c r="V82" s="406">
        <v>0</v>
      </c>
      <c r="W82" s="407">
        <f t="shared" si="97"/>
        <v>0</v>
      </c>
      <c r="X82" s="407">
        <f t="shared" si="98"/>
        <v>100</v>
      </c>
      <c r="Y82" s="408">
        <f t="shared" si="99"/>
        <v>3</v>
      </c>
      <c r="Z82" s="444" t="s">
        <v>3320</v>
      </c>
      <c r="AA82" s="442">
        <v>0</v>
      </c>
      <c r="AB82" s="406">
        <v>1</v>
      </c>
      <c r="AC82" s="406">
        <v>0</v>
      </c>
      <c r="AD82" s="407">
        <f t="shared" si="100"/>
        <v>1</v>
      </c>
      <c r="AE82" s="364" t="str">
        <f t="shared" si="101"/>
        <v>100</v>
      </c>
      <c r="AF82" s="349">
        <f t="shared" si="102"/>
        <v>0.5</v>
      </c>
      <c r="AG82" s="154">
        <v>323</v>
      </c>
      <c r="AH82" s="154">
        <v>1576129</v>
      </c>
      <c r="AI82" s="409">
        <f t="shared" si="78"/>
        <v>4879.656346749226</v>
      </c>
      <c r="AJ82" s="409">
        <f t="shared" si="79"/>
        <v>100</v>
      </c>
      <c r="AK82" s="408">
        <f t="shared" si="103"/>
        <v>1</v>
      </c>
      <c r="AL82" s="45">
        <v>1264051</v>
      </c>
      <c r="AM82" s="361">
        <f t="shared" si="96"/>
        <v>24.688719046937187</v>
      </c>
      <c r="AN82" s="365">
        <f t="shared" si="80"/>
        <v>29.629134821300724</v>
      </c>
      <c r="AO82" s="320">
        <f t="shared" si="104"/>
        <v>0.29629134821300723</v>
      </c>
      <c r="AP82" s="277">
        <f>_xlfn.XLOOKUP(C82, '1.건전성'!C:C, '1.건전성'!BE:BE)</f>
        <v>9110111</v>
      </c>
      <c r="AQ82" s="277">
        <f>_xlfn.XLOOKUP(C82, '1.건전성'!C:C, '1.건전성'!BF:BF)</f>
        <v>706133</v>
      </c>
      <c r="AR82" s="410">
        <f t="shared" si="81"/>
        <v>9816244</v>
      </c>
      <c r="AS82" s="366">
        <f t="shared" si="76"/>
        <v>9.5859908015837512</v>
      </c>
      <c r="AT82" s="366">
        <f t="shared" si="82"/>
        <v>31.848736785113381</v>
      </c>
      <c r="AU82" s="321">
        <f t="shared" si="83"/>
        <v>0.3184873678511338</v>
      </c>
      <c r="AV82" s="15">
        <v>1667999</v>
      </c>
      <c r="AW82" s="361">
        <f t="shared" si="77"/>
        <v>1.6288738412625945</v>
      </c>
      <c r="AX82" s="361">
        <f t="shared" si="84"/>
        <v>36.582377585322689</v>
      </c>
      <c r="AY82" s="321">
        <f t="shared" si="105"/>
        <v>0.18291188792661345</v>
      </c>
      <c r="AZ82" s="411">
        <v>4</v>
      </c>
      <c r="BA82" s="412">
        <f t="shared" si="85"/>
        <v>40</v>
      </c>
      <c r="BB82" s="408">
        <f t="shared" si="106"/>
        <v>0.2</v>
      </c>
      <c r="BC82" s="204">
        <v>1</v>
      </c>
      <c r="BD82" s="407">
        <f t="shared" si="86"/>
        <v>100</v>
      </c>
      <c r="BE82" s="408">
        <f t="shared" si="107"/>
        <v>0.5</v>
      </c>
      <c r="BF82" s="204">
        <v>1</v>
      </c>
      <c r="BG82" s="204">
        <v>1</v>
      </c>
      <c r="BH82" s="204">
        <v>0</v>
      </c>
      <c r="BI82" s="272" t="str">
        <f t="shared" si="87"/>
        <v>C</v>
      </c>
      <c r="BJ82" s="247">
        <f t="shared" si="88"/>
        <v>50</v>
      </c>
      <c r="BK82" s="90">
        <f t="shared" si="89"/>
        <v>1.5</v>
      </c>
      <c r="BL82" s="406">
        <v>5</v>
      </c>
      <c r="BM82" s="413">
        <f t="shared" si="90"/>
        <v>1.5479876160990713</v>
      </c>
      <c r="BN82" s="414">
        <f t="shared" si="91"/>
        <v>60</v>
      </c>
      <c r="BO82" s="415">
        <f t="shared" si="92"/>
        <v>1.7999999999999998</v>
      </c>
      <c r="BP82" s="416">
        <v>0.31</v>
      </c>
      <c r="BQ82" s="417">
        <f t="shared" si="93"/>
        <v>66.666666666666671</v>
      </c>
      <c r="BR82" s="415">
        <f t="shared" si="94"/>
        <v>0.66666666666666674</v>
      </c>
      <c r="BS82" s="350">
        <f t="shared" si="95"/>
        <v>9.9643572706574215</v>
      </c>
    </row>
    <row r="83" spans="1:71" x14ac:dyDescent="0.6">
      <c r="A83" s="214" t="s">
        <v>1599</v>
      </c>
      <c r="B83" s="13" t="s">
        <v>2062</v>
      </c>
      <c r="C83" s="219" t="s">
        <v>1600</v>
      </c>
      <c r="D83" s="14" t="s">
        <v>191</v>
      </c>
      <c r="E83" s="217" t="s">
        <v>34</v>
      </c>
      <c r="F83" s="217" t="s">
        <v>1601</v>
      </c>
      <c r="G83" s="218">
        <v>37561</v>
      </c>
      <c r="H83" s="217" t="s">
        <v>830</v>
      </c>
      <c r="I83" s="217" t="s">
        <v>1602</v>
      </c>
      <c r="J83" s="217" t="s">
        <v>1603</v>
      </c>
      <c r="K83" s="217" t="s">
        <v>690</v>
      </c>
      <c r="L83" s="220">
        <v>1374022214</v>
      </c>
      <c r="M83" s="206">
        <v>714171561</v>
      </c>
      <c r="N83" s="206">
        <v>659850653</v>
      </c>
      <c r="O83" s="206">
        <v>1161253630</v>
      </c>
      <c r="P83" s="206">
        <v>105963323</v>
      </c>
      <c r="Q83" s="206">
        <v>44624254</v>
      </c>
      <c r="R83" s="206">
        <v>48561673</v>
      </c>
      <c r="S83" s="405">
        <v>0</v>
      </c>
      <c r="T83" s="405">
        <v>0</v>
      </c>
      <c r="U83" s="406">
        <v>0</v>
      </c>
      <c r="V83" s="406">
        <v>0</v>
      </c>
      <c r="W83" s="407">
        <f t="shared" si="97"/>
        <v>0</v>
      </c>
      <c r="X83" s="407">
        <f t="shared" si="98"/>
        <v>100</v>
      </c>
      <c r="Y83" s="408">
        <f t="shared" si="99"/>
        <v>3</v>
      </c>
      <c r="Z83" s="444" t="s">
        <v>3321</v>
      </c>
      <c r="AA83" s="442">
        <v>0</v>
      </c>
      <c r="AB83" s="406">
        <v>1</v>
      </c>
      <c r="AC83" s="406">
        <v>1</v>
      </c>
      <c r="AD83" s="407">
        <f t="shared" si="100"/>
        <v>2</v>
      </c>
      <c r="AE83" s="364" t="str">
        <f t="shared" si="101"/>
        <v>100</v>
      </c>
      <c r="AF83" s="349">
        <f t="shared" si="102"/>
        <v>0.5</v>
      </c>
      <c r="AG83" s="154">
        <v>1644</v>
      </c>
      <c r="AH83" s="154">
        <v>325901</v>
      </c>
      <c r="AI83" s="409">
        <f t="shared" si="78"/>
        <v>198.23661800486619</v>
      </c>
      <c r="AJ83" s="409">
        <f t="shared" si="79"/>
        <v>100</v>
      </c>
      <c r="AK83" s="408">
        <f t="shared" si="103"/>
        <v>1</v>
      </c>
      <c r="AL83" s="45">
        <v>560522</v>
      </c>
      <c r="AM83" s="361">
        <f t="shared" si="96"/>
        <v>-41.857589889424503</v>
      </c>
      <c r="AN83" s="365">
        <f t="shared" si="80"/>
        <v>25</v>
      </c>
      <c r="AO83" s="320">
        <f t="shared" si="104"/>
        <v>0.25</v>
      </c>
      <c r="AP83" s="277">
        <f>_xlfn.XLOOKUP(C83, '1.건전성'!C:C, '1.건전성'!BE:BE)</f>
        <v>71723804</v>
      </c>
      <c r="AQ83" s="277">
        <f>_xlfn.XLOOKUP(C83, '1.건전성'!C:C, '1.건전성'!BF:BF)</f>
        <v>4743521</v>
      </c>
      <c r="AR83" s="410">
        <f t="shared" si="81"/>
        <v>76467325</v>
      </c>
      <c r="AS83" s="366">
        <f t="shared" si="76"/>
        <v>6.5848943783280145</v>
      </c>
      <c r="AT83" s="366">
        <f t="shared" si="82"/>
        <v>29.586603802759811</v>
      </c>
      <c r="AU83" s="321">
        <f t="shared" si="83"/>
        <v>0.29586603802759809</v>
      </c>
      <c r="AV83" s="15">
        <v>16425628</v>
      </c>
      <c r="AW83" s="361">
        <f t="shared" si="77"/>
        <v>1.4144737700410892</v>
      </c>
      <c r="AX83" s="361">
        <f t="shared" si="84"/>
        <v>34.958134621523399</v>
      </c>
      <c r="AY83" s="321">
        <f t="shared" si="105"/>
        <v>0.17479067310761701</v>
      </c>
      <c r="AZ83" s="411">
        <v>6.6</v>
      </c>
      <c r="BA83" s="412">
        <f t="shared" si="85"/>
        <v>60</v>
      </c>
      <c r="BB83" s="408">
        <f t="shared" si="106"/>
        <v>0.3</v>
      </c>
      <c r="BC83" s="204">
        <v>1</v>
      </c>
      <c r="BD83" s="407">
        <f t="shared" si="86"/>
        <v>100</v>
      </c>
      <c r="BE83" s="408">
        <f t="shared" si="107"/>
        <v>0.5</v>
      </c>
      <c r="BF83" s="204">
        <v>1</v>
      </c>
      <c r="BG83" s="204">
        <v>1</v>
      </c>
      <c r="BH83" s="204">
        <v>0</v>
      </c>
      <c r="BI83" s="272" t="str">
        <f t="shared" si="87"/>
        <v>C</v>
      </c>
      <c r="BJ83" s="247">
        <f t="shared" si="88"/>
        <v>50</v>
      </c>
      <c r="BK83" s="90">
        <f t="shared" si="89"/>
        <v>1.5</v>
      </c>
      <c r="BL83" s="406">
        <v>20</v>
      </c>
      <c r="BM83" s="413">
        <f t="shared" si="90"/>
        <v>1.2165450121654502</v>
      </c>
      <c r="BN83" s="414">
        <f t="shared" si="91"/>
        <v>60</v>
      </c>
      <c r="BO83" s="415">
        <f t="shared" si="92"/>
        <v>1.7999999999999998</v>
      </c>
      <c r="BP83" s="416">
        <v>0.16</v>
      </c>
      <c r="BQ83" s="417">
        <f t="shared" si="93"/>
        <v>66.666666666666671</v>
      </c>
      <c r="BR83" s="415">
        <f t="shared" si="94"/>
        <v>0.66666666666666674</v>
      </c>
      <c r="BS83" s="350">
        <f t="shared" si="95"/>
        <v>9.9873233778018804</v>
      </c>
    </row>
    <row r="84" spans="1:71" x14ac:dyDescent="0.6">
      <c r="A84" s="214" t="s">
        <v>559</v>
      </c>
      <c r="B84" s="13" t="s">
        <v>2063</v>
      </c>
      <c r="C84" s="219" t="s">
        <v>89</v>
      </c>
      <c r="D84" s="216" t="s">
        <v>202</v>
      </c>
      <c r="E84" s="217" t="s">
        <v>954</v>
      </c>
      <c r="F84" s="217" t="s">
        <v>122</v>
      </c>
      <c r="G84" s="218">
        <v>28298</v>
      </c>
      <c r="H84" s="217" t="s">
        <v>830</v>
      </c>
      <c r="I84" s="217" t="s">
        <v>1604</v>
      </c>
      <c r="J84" s="217" t="s">
        <v>1014</v>
      </c>
      <c r="K84" s="217" t="s">
        <v>425</v>
      </c>
      <c r="L84" s="220">
        <v>688386355</v>
      </c>
      <c r="M84" s="206">
        <v>261400791</v>
      </c>
      <c r="N84" s="206">
        <v>426985565</v>
      </c>
      <c r="O84" s="206">
        <v>696217415</v>
      </c>
      <c r="P84" s="206">
        <v>16849939</v>
      </c>
      <c r="Q84" s="206">
        <v>6695668</v>
      </c>
      <c r="R84" s="206">
        <v>10606180</v>
      </c>
      <c r="S84" s="405">
        <v>0</v>
      </c>
      <c r="T84" s="405">
        <v>0</v>
      </c>
      <c r="U84" s="406">
        <v>0</v>
      </c>
      <c r="V84" s="406">
        <v>0</v>
      </c>
      <c r="W84" s="407">
        <f t="shared" si="97"/>
        <v>0</v>
      </c>
      <c r="X84" s="407">
        <f t="shared" si="98"/>
        <v>100</v>
      </c>
      <c r="Y84" s="408">
        <f t="shared" si="99"/>
        <v>3</v>
      </c>
      <c r="Z84" s="444" t="s">
        <v>3322</v>
      </c>
      <c r="AA84" s="442">
        <v>0</v>
      </c>
      <c r="AB84" s="406">
        <v>1</v>
      </c>
      <c r="AC84" s="406">
        <v>0</v>
      </c>
      <c r="AD84" s="407">
        <f t="shared" si="100"/>
        <v>1</v>
      </c>
      <c r="AE84" s="364" t="str">
        <f t="shared" si="101"/>
        <v>100</v>
      </c>
      <c r="AF84" s="349">
        <f t="shared" si="102"/>
        <v>0.5</v>
      </c>
      <c r="AG84" s="154">
        <v>714</v>
      </c>
      <c r="AH84" s="154">
        <v>19850</v>
      </c>
      <c r="AI84" s="409">
        <f t="shared" si="78"/>
        <v>27.801120448179272</v>
      </c>
      <c r="AJ84" s="409">
        <f t="shared" si="79"/>
        <v>45.850840336134453</v>
      </c>
      <c r="AK84" s="408">
        <f t="shared" si="103"/>
        <v>0.45850840336134452</v>
      </c>
      <c r="AL84" s="45">
        <v>9556</v>
      </c>
      <c r="AM84" s="361">
        <f t="shared" si="96"/>
        <v>107.72289660946002</v>
      </c>
      <c r="AN84" s="365">
        <f t="shared" si="80"/>
        <v>45.198043114273759</v>
      </c>
      <c r="AO84" s="320">
        <f t="shared" si="104"/>
        <v>0.45198043114273762</v>
      </c>
      <c r="AP84" s="277">
        <f>_xlfn.XLOOKUP(C84, '1.건전성'!C:C, '1.건전성'!BE:BE)</f>
        <v>11974273</v>
      </c>
      <c r="AQ84" s="277">
        <f>_xlfn.XLOOKUP(C84, '1.건전성'!C:C, '1.건전성'!BF:BF)</f>
        <v>1439877</v>
      </c>
      <c r="AR84" s="410">
        <f t="shared" si="81"/>
        <v>13414150</v>
      </c>
      <c r="AS84" s="366">
        <f t="shared" si="76"/>
        <v>1.9267185380589766</v>
      </c>
      <c r="AT84" s="366">
        <f t="shared" si="82"/>
        <v>26.075415983461539</v>
      </c>
      <c r="AU84" s="321">
        <f t="shared" si="83"/>
        <v>0.26075415983461542</v>
      </c>
      <c r="AV84" s="15">
        <v>1973462</v>
      </c>
      <c r="AW84" s="361">
        <f t="shared" si="77"/>
        <v>0.28345484578262092</v>
      </c>
      <c r="AX84" s="361">
        <f t="shared" si="84"/>
        <v>26.389809437747129</v>
      </c>
      <c r="AY84" s="321">
        <f t="shared" si="105"/>
        <v>0.13194904718873565</v>
      </c>
      <c r="AZ84" s="411">
        <v>20.5</v>
      </c>
      <c r="BA84" s="412">
        <f t="shared" si="85"/>
        <v>100</v>
      </c>
      <c r="BB84" s="408">
        <f t="shared" si="106"/>
        <v>0.5</v>
      </c>
      <c r="BC84" s="204">
        <v>1</v>
      </c>
      <c r="BD84" s="407">
        <f t="shared" si="86"/>
        <v>100</v>
      </c>
      <c r="BE84" s="408">
        <f t="shared" si="107"/>
        <v>0.5</v>
      </c>
      <c r="BF84" s="204">
        <v>0</v>
      </c>
      <c r="BG84" s="204">
        <v>1</v>
      </c>
      <c r="BH84" s="204">
        <v>1</v>
      </c>
      <c r="BI84" s="272" t="str">
        <f t="shared" si="87"/>
        <v>D</v>
      </c>
      <c r="BJ84" s="247">
        <f t="shared" si="88"/>
        <v>25</v>
      </c>
      <c r="BK84" s="90">
        <f t="shared" si="89"/>
        <v>0.75</v>
      </c>
      <c r="BL84" s="406">
        <v>12</v>
      </c>
      <c r="BM84" s="413">
        <f t="shared" si="90"/>
        <v>1.680672268907563</v>
      </c>
      <c r="BN84" s="414">
        <f t="shared" si="91"/>
        <v>60</v>
      </c>
      <c r="BO84" s="415">
        <f t="shared" si="92"/>
        <v>1.7999999999999998</v>
      </c>
      <c r="BP84" s="416">
        <v>0.74</v>
      </c>
      <c r="BQ84" s="417">
        <f t="shared" si="93"/>
        <v>66.666666666666671</v>
      </c>
      <c r="BR84" s="415">
        <f t="shared" si="94"/>
        <v>0.66666666666666674</v>
      </c>
      <c r="BS84" s="350">
        <f t="shared" si="95"/>
        <v>9.0198587081940982</v>
      </c>
    </row>
    <row r="85" spans="1:71" x14ac:dyDescent="0.6">
      <c r="A85" s="214" t="s">
        <v>333</v>
      </c>
      <c r="B85" s="13" t="s">
        <v>2064</v>
      </c>
      <c r="C85" s="219" t="s">
        <v>40</v>
      </c>
      <c r="D85" s="216" t="s">
        <v>191</v>
      </c>
      <c r="E85" s="217" t="s">
        <v>34</v>
      </c>
      <c r="F85" s="217" t="s">
        <v>139</v>
      </c>
      <c r="G85" s="218">
        <v>36509</v>
      </c>
      <c r="H85" s="217" t="s">
        <v>830</v>
      </c>
      <c r="I85" s="217" t="s">
        <v>451</v>
      </c>
      <c r="J85" s="217" t="s">
        <v>1227</v>
      </c>
      <c r="K85" s="217" t="s">
        <v>91</v>
      </c>
      <c r="L85" s="220">
        <v>424552601</v>
      </c>
      <c r="M85" s="206">
        <v>177887391</v>
      </c>
      <c r="N85" s="206">
        <v>246665210</v>
      </c>
      <c r="O85" s="206">
        <v>452801417</v>
      </c>
      <c r="P85" s="206">
        <v>47688591</v>
      </c>
      <c r="Q85" s="206">
        <v>39855973</v>
      </c>
      <c r="R85" s="206">
        <v>31496020</v>
      </c>
      <c r="S85" s="405">
        <v>0</v>
      </c>
      <c r="T85" s="405">
        <v>0</v>
      </c>
      <c r="U85" s="406">
        <v>0</v>
      </c>
      <c r="V85" s="406">
        <v>0</v>
      </c>
      <c r="W85" s="407">
        <f t="shared" si="97"/>
        <v>0</v>
      </c>
      <c r="X85" s="407">
        <f t="shared" si="98"/>
        <v>100</v>
      </c>
      <c r="Y85" s="408">
        <f t="shared" si="99"/>
        <v>3</v>
      </c>
      <c r="Z85" s="444" t="s">
        <v>3323</v>
      </c>
      <c r="AA85" s="442">
        <v>0</v>
      </c>
      <c r="AB85" s="406">
        <v>0</v>
      </c>
      <c r="AC85" s="406">
        <v>0</v>
      </c>
      <c r="AD85" s="407">
        <f t="shared" si="100"/>
        <v>0</v>
      </c>
      <c r="AE85" s="364" t="str">
        <f t="shared" si="101"/>
        <v>50</v>
      </c>
      <c r="AF85" s="349">
        <f t="shared" si="102"/>
        <v>0.25</v>
      </c>
      <c r="AG85" s="154">
        <v>1132</v>
      </c>
      <c r="AH85" s="154">
        <v>1788333</v>
      </c>
      <c r="AI85" s="409">
        <f t="shared" si="78"/>
        <v>1579.7994699646642</v>
      </c>
      <c r="AJ85" s="409">
        <f t="shared" si="79"/>
        <v>100</v>
      </c>
      <c r="AK85" s="408">
        <f t="shared" si="103"/>
        <v>1</v>
      </c>
      <c r="AL85" s="45">
        <v>996284</v>
      </c>
      <c r="AM85" s="361">
        <f t="shared" si="96"/>
        <v>79.500323201014965</v>
      </c>
      <c r="AN85" s="365">
        <f t="shared" si="80"/>
        <v>39.906310600190309</v>
      </c>
      <c r="AO85" s="320">
        <f t="shared" si="104"/>
        <v>0.39906310600190309</v>
      </c>
      <c r="AP85" s="277">
        <f>_xlfn.XLOOKUP(C85, '1.건전성'!C:C, '1.건전성'!BE:BE)</f>
        <v>67310138</v>
      </c>
      <c r="AQ85" s="277">
        <f>_xlfn.XLOOKUP(C85, '1.건전성'!C:C, '1.건전성'!BF:BF)</f>
        <v>5612362</v>
      </c>
      <c r="AR85" s="410">
        <f t="shared" si="81"/>
        <v>72922500</v>
      </c>
      <c r="AS85" s="366">
        <f t="shared" si="76"/>
        <v>16.104742004374074</v>
      </c>
      <c r="AT85" s="366">
        <f t="shared" si="82"/>
        <v>36.762368345005584</v>
      </c>
      <c r="AU85" s="321">
        <f t="shared" si="83"/>
        <v>0.36762368345005586</v>
      </c>
      <c r="AV85" s="15">
        <v>6865108</v>
      </c>
      <c r="AW85" s="361">
        <f t="shared" si="77"/>
        <v>1.5161410150799064</v>
      </c>
      <c r="AX85" s="361">
        <f t="shared" si="84"/>
        <v>35.728341023332625</v>
      </c>
      <c r="AY85" s="321">
        <f t="shared" si="105"/>
        <v>0.17864170511666314</v>
      </c>
      <c r="AZ85" s="411">
        <v>6</v>
      </c>
      <c r="BA85" s="412">
        <f t="shared" si="85"/>
        <v>60</v>
      </c>
      <c r="BB85" s="408">
        <f t="shared" si="106"/>
        <v>0.3</v>
      </c>
      <c r="BC85" s="204">
        <v>1</v>
      </c>
      <c r="BD85" s="407">
        <f t="shared" si="86"/>
        <v>100</v>
      </c>
      <c r="BE85" s="408">
        <f t="shared" si="107"/>
        <v>0.5</v>
      </c>
      <c r="BF85" s="204">
        <v>0</v>
      </c>
      <c r="BG85" s="204">
        <v>1</v>
      </c>
      <c r="BH85" s="204">
        <v>1</v>
      </c>
      <c r="BI85" s="272" t="str">
        <f t="shared" si="87"/>
        <v>D</v>
      </c>
      <c r="BJ85" s="247">
        <f t="shared" si="88"/>
        <v>25</v>
      </c>
      <c r="BK85" s="90">
        <f t="shared" si="89"/>
        <v>0.75</v>
      </c>
      <c r="BL85" s="406">
        <v>45</v>
      </c>
      <c r="BM85" s="413">
        <f t="shared" si="90"/>
        <v>3.9752650176678443</v>
      </c>
      <c r="BN85" s="414">
        <f t="shared" si="91"/>
        <v>40</v>
      </c>
      <c r="BO85" s="415">
        <f t="shared" si="92"/>
        <v>1.2</v>
      </c>
      <c r="BP85" s="416">
        <v>0</v>
      </c>
      <c r="BQ85" s="417">
        <f t="shared" si="93"/>
        <v>33.333333333333336</v>
      </c>
      <c r="BR85" s="415">
        <f t="shared" si="94"/>
        <v>0.33333333333333337</v>
      </c>
      <c r="BS85" s="350">
        <f t="shared" si="95"/>
        <v>8.2786618279019564</v>
      </c>
    </row>
    <row r="86" spans="1:71" x14ac:dyDescent="0.6">
      <c r="A86" s="214" t="s">
        <v>423</v>
      </c>
      <c r="B86" s="13" t="s">
        <v>2065</v>
      </c>
      <c r="C86" s="219" t="s">
        <v>316</v>
      </c>
      <c r="D86" s="216" t="s">
        <v>202</v>
      </c>
      <c r="E86" s="217" t="s">
        <v>954</v>
      </c>
      <c r="F86" s="217" t="s">
        <v>118</v>
      </c>
      <c r="G86" s="218">
        <v>32714</v>
      </c>
      <c r="H86" s="217" t="s">
        <v>830</v>
      </c>
      <c r="I86" s="217" t="s">
        <v>751</v>
      </c>
      <c r="J86" s="217" t="s">
        <v>1056</v>
      </c>
      <c r="K86" s="217" t="s">
        <v>50</v>
      </c>
      <c r="L86" s="220">
        <v>250352084</v>
      </c>
      <c r="M86" s="206">
        <v>48446955</v>
      </c>
      <c r="N86" s="206">
        <v>201905129</v>
      </c>
      <c r="O86" s="206">
        <v>318979683</v>
      </c>
      <c r="P86" s="206">
        <v>34727495</v>
      </c>
      <c r="Q86" s="206">
        <v>41272114</v>
      </c>
      <c r="R86" s="206">
        <v>31646295</v>
      </c>
      <c r="S86" s="405">
        <v>0</v>
      </c>
      <c r="T86" s="405">
        <v>0</v>
      </c>
      <c r="U86" s="406">
        <v>0</v>
      </c>
      <c r="V86" s="406">
        <v>0</v>
      </c>
      <c r="W86" s="407">
        <f t="shared" si="97"/>
        <v>0</v>
      </c>
      <c r="X86" s="407">
        <f t="shared" si="98"/>
        <v>100</v>
      </c>
      <c r="Y86" s="408">
        <f t="shared" si="99"/>
        <v>3</v>
      </c>
      <c r="Z86" s="444" t="s">
        <v>3324</v>
      </c>
      <c r="AA86" s="442">
        <v>0</v>
      </c>
      <c r="AB86" s="406">
        <v>0</v>
      </c>
      <c r="AC86" s="406">
        <v>0</v>
      </c>
      <c r="AD86" s="407">
        <f t="shared" si="100"/>
        <v>0</v>
      </c>
      <c r="AE86" s="364" t="str">
        <f t="shared" si="101"/>
        <v>50</v>
      </c>
      <c r="AF86" s="349">
        <f t="shared" si="102"/>
        <v>0.25</v>
      </c>
      <c r="AG86" s="154">
        <v>103</v>
      </c>
      <c r="AH86" s="154">
        <v>7435</v>
      </c>
      <c r="AI86" s="409">
        <f t="shared" si="78"/>
        <v>72.184466019417471</v>
      </c>
      <c r="AJ86" s="409">
        <f t="shared" si="79"/>
        <v>79.138349514563103</v>
      </c>
      <c r="AK86" s="408">
        <f t="shared" si="103"/>
        <v>0.791383495145631</v>
      </c>
      <c r="AL86" s="45">
        <v>3467</v>
      </c>
      <c r="AM86" s="361">
        <f t="shared" si="96"/>
        <v>114.4505336025382</v>
      </c>
      <c r="AN86" s="365">
        <f t="shared" si="80"/>
        <v>46.459475050475916</v>
      </c>
      <c r="AO86" s="320">
        <f t="shared" si="104"/>
        <v>0.46459475050475918</v>
      </c>
      <c r="AP86" s="277">
        <f>_xlfn.XLOOKUP(C86, '1.건전성'!C:C, '1.건전성'!BE:BE)</f>
        <v>2701656</v>
      </c>
      <c r="AQ86" s="277">
        <f>_xlfn.XLOOKUP(C86, '1.건전성'!C:C, '1.건전성'!BF:BF)</f>
        <v>234110</v>
      </c>
      <c r="AR86" s="410">
        <f t="shared" si="81"/>
        <v>2935766</v>
      </c>
      <c r="AS86" s="366">
        <f t="shared" si="76"/>
        <v>0.92036143881928678</v>
      </c>
      <c r="AT86" s="366">
        <f t="shared" si="82"/>
        <v>25.316855355893935</v>
      </c>
      <c r="AU86" s="321">
        <f t="shared" si="83"/>
        <v>0.25316855355893936</v>
      </c>
      <c r="AV86" s="15">
        <v>233237</v>
      </c>
      <c r="AW86" s="361">
        <f t="shared" si="77"/>
        <v>7.3119703990677049E-2</v>
      </c>
      <c r="AX86" s="361">
        <f t="shared" si="84"/>
        <v>25</v>
      </c>
      <c r="AY86" s="321">
        <f t="shared" si="105"/>
        <v>0.125</v>
      </c>
      <c r="AZ86" s="411">
        <v>18.53</v>
      </c>
      <c r="BA86" s="412">
        <f t="shared" si="85"/>
        <v>100</v>
      </c>
      <c r="BB86" s="408">
        <f t="shared" si="106"/>
        <v>0.5</v>
      </c>
      <c r="BC86" s="204">
        <v>1</v>
      </c>
      <c r="BD86" s="407">
        <f t="shared" si="86"/>
        <v>100</v>
      </c>
      <c r="BE86" s="408">
        <f t="shared" si="107"/>
        <v>0.5</v>
      </c>
      <c r="BF86" s="204">
        <v>0</v>
      </c>
      <c r="BG86" s="204">
        <v>0</v>
      </c>
      <c r="BH86" s="204">
        <v>0</v>
      </c>
      <c r="BI86" s="272" t="str">
        <f t="shared" si="87"/>
        <v>A</v>
      </c>
      <c r="BJ86" s="247">
        <f t="shared" si="88"/>
        <v>100</v>
      </c>
      <c r="BK86" s="90">
        <f t="shared" si="89"/>
        <v>3</v>
      </c>
      <c r="BL86" s="406">
        <v>3</v>
      </c>
      <c r="BM86" s="413">
        <f t="shared" si="90"/>
        <v>2.912621359223301</v>
      </c>
      <c r="BN86" s="414">
        <f t="shared" si="91"/>
        <v>60</v>
      </c>
      <c r="BO86" s="415">
        <f t="shared" si="92"/>
        <v>1.7999999999999998</v>
      </c>
      <c r="BP86" s="416">
        <v>0</v>
      </c>
      <c r="BQ86" s="417">
        <f t="shared" si="93"/>
        <v>33.333333333333336</v>
      </c>
      <c r="BR86" s="415">
        <f t="shared" si="94"/>
        <v>0.33333333333333337</v>
      </c>
      <c r="BS86" s="350">
        <f t="shared" si="95"/>
        <v>11.017480132542664</v>
      </c>
    </row>
    <row r="87" spans="1:71" x14ac:dyDescent="0.6">
      <c r="A87" s="214" t="s">
        <v>1605</v>
      </c>
      <c r="B87" s="13" t="s">
        <v>2066</v>
      </c>
      <c r="C87" s="219" t="s">
        <v>1606</v>
      </c>
      <c r="D87" s="14" t="s">
        <v>202</v>
      </c>
      <c r="E87" s="217" t="s">
        <v>613</v>
      </c>
      <c r="F87" s="217" t="s">
        <v>1607</v>
      </c>
      <c r="G87" s="218">
        <v>25199</v>
      </c>
      <c r="H87" s="217" t="s">
        <v>830</v>
      </c>
      <c r="I87" s="217" t="s">
        <v>1608</v>
      </c>
      <c r="J87" s="217" t="s">
        <v>1609</v>
      </c>
      <c r="K87" s="217" t="s">
        <v>690</v>
      </c>
      <c r="L87" s="220">
        <v>1552592143</v>
      </c>
      <c r="M87" s="206">
        <v>682188473</v>
      </c>
      <c r="N87" s="206">
        <v>870403670</v>
      </c>
      <c r="O87" s="206">
        <v>2199525188</v>
      </c>
      <c r="P87" s="206">
        <v>28784541</v>
      </c>
      <c r="Q87" s="206">
        <v>14593912</v>
      </c>
      <c r="R87" s="206">
        <v>8438935</v>
      </c>
      <c r="S87" s="405">
        <v>0</v>
      </c>
      <c r="T87" s="405">
        <v>0</v>
      </c>
      <c r="U87" s="406">
        <v>0</v>
      </c>
      <c r="V87" s="406">
        <v>0</v>
      </c>
      <c r="W87" s="407">
        <f t="shared" si="97"/>
        <v>0</v>
      </c>
      <c r="X87" s="407">
        <f t="shared" si="98"/>
        <v>100</v>
      </c>
      <c r="Y87" s="408">
        <f t="shared" si="99"/>
        <v>3</v>
      </c>
      <c r="Z87" s="444" t="s">
        <v>3325</v>
      </c>
      <c r="AA87" s="442">
        <v>0</v>
      </c>
      <c r="AB87" s="406">
        <v>0</v>
      </c>
      <c r="AC87" s="406">
        <v>0</v>
      </c>
      <c r="AD87" s="407">
        <f t="shared" si="100"/>
        <v>0</v>
      </c>
      <c r="AE87" s="364" t="str">
        <f t="shared" si="101"/>
        <v>50</v>
      </c>
      <c r="AF87" s="349">
        <f t="shared" si="102"/>
        <v>0.25</v>
      </c>
      <c r="AG87" s="154">
        <v>5842</v>
      </c>
      <c r="AH87" s="421"/>
      <c r="AI87" s="409">
        <f t="shared" si="78"/>
        <v>0</v>
      </c>
      <c r="AJ87" s="409">
        <f t="shared" si="79"/>
        <v>25</v>
      </c>
      <c r="AK87" s="408">
        <f t="shared" si="103"/>
        <v>0.25</v>
      </c>
      <c r="AL87" s="423"/>
      <c r="AM87" s="424">
        <v>0</v>
      </c>
      <c r="AN87" s="365">
        <f t="shared" si="80"/>
        <v>25</v>
      </c>
      <c r="AO87" s="320">
        <f t="shared" si="104"/>
        <v>0.25</v>
      </c>
      <c r="AP87" s="277">
        <f>_xlfn.XLOOKUP(C87, '1.건전성'!C:C, '1.건전성'!BE:BE)</f>
        <v>18090000</v>
      </c>
      <c r="AQ87" s="277">
        <f>_xlfn.XLOOKUP(C87, '1.건전성'!C:C, '1.건전성'!BF:BF)</f>
        <v>2050000</v>
      </c>
      <c r="AR87" s="410">
        <f t="shared" si="81"/>
        <v>20140000</v>
      </c>
      <c r="AS87" s="366">
        <f t="shared" si="76"/>
        <v>0.91565216483440426</v>
      </c>
      <c r="AT87" s="366">
        <f t="shared" si="82"/>
        <v>25.31330565188523</v>
      </c>
      <c r="AU87" s="321">
        <f t="shared" si="83"/>
        <v>0.25313305651885232</v>
      </c>
      <c r="AV87" s="15">
        <v>4447000</v>
      </c>
      <c r="AW87" s="361">
        <f t="shared" si="77"/>
        <v>0.20217999885891735</v>
      </c>
      <c r="AX87" s="361">
        <f t="shared" si="84"/>
        <v>25.774090900446343</v>
      </c>
      <c r="AY87" s="321">
        <f t="shared" si="105"/>
        <v>0.12887045450223172</v>
      </c>
      <c r="AZ87" s="411">
        <v>11.8</v>
      </c>
      <c r="BA87" s="412">
        <f t="shared" si="85"/>
        <v>100</v>
      </c>
      <c r="BB87" s="408">
        <f t="shared" si="106"/>
        <v>0.5</v>
      </c>
      <c r="BC87" s="204">
        <v>1</v>
      </c>
      <c r="BD87" s="407">
        <f t="shared" si="86"/>
        <v>100</v>
      </c>
      <c r="BE87" s="408">
        <f t="shared" si="107"/>
        <v>0.5</v>
      </c>
      <c r="BF87" s="204">
        <v>1</v>
      </c>
      <c r="BG87" s="204">
        <v>0</v>
      </c>
      <c r="BH87" s="204">
        <v>0</v>
      </c>
      <c r="BI87" s="272" t="str">
        <f t="shared" si="87"/>
        <v>B</v>
      </c>
      <c r="BJ87" s="247">
        <f t="shared" si="88"/>
        <v>75</v>
      </c>
      <c r="BK87" s="90">
        <f t="shared" si="89"/>
        <v>2.25</v>
      </c>
      <c r="BL87" s="406">
        <v>18</v>
      </c>
      <c r="BM87" s="413">
        <f t="shared" si="90"/>
        <v>0.3081136597055803</v>
      </c>
      <c r="BN87" s="414">
        <f t="shared" si="91"/>
        <v>100</v>
      </c>
      <c r="BO87" s="415">
        <f t="shared" si="92"/>
        <v>3</v>
      </c>
      <c r="BP87" s="416">
        <v>0</v>
      </c>
      <c r="BQ87" s="417">
        <f t="shared" si="93"/>
        <v>33.333333333333336</v>
      </c>
      <c r="BR87" s="415">
        <f t="shared" si="94"/>
        <v>0.33333333333333337</v>
      </c>
      <c r="BS87" s="350">
        <f t="shared" si="95"/>
        <v>10.715336844354416</v>
      </c>
    </row>
    <row r="88" spans="1:71" x14ac:dyDescent="0.6">
      <c r="A88" s="214" t="s">
        <v>1610</v>
      </c>
      <c r="B88" s="13" t="s">
        <v>2067</v>
      </c>
      <c r="C88" s="219" t="s">
        <v>1611</v>
      </c>
      <c r="D88" s="14" t="s">
        <v>203</v>
      </c>
      <c r="E88" s="217" t="s">
        <v>195</v>
      </c>
      <c r="F88" s="217" t="s">
        <v>1612</v>
      </c>
      <c r="G88" s="218">
        <v>38656</v>
      </c>
      <c r="H88" s="217" t="s">
        <v>830</v>
      </c>
      <c r="I88" s="217" t="s">
        <v>1613</v>
      </c>
      <c r="J88" s="217" t="s">
        <v>1614</v>
      </c>
      <c r="K88" s="217" t="s">
        <v>484</v>
      </c>
      <c r="L88" s="220">
        <v>970387263</v>
      </c>
      <c r="M88" s="206">
        <v>262154054</v>
      </c>
      <c r="N88" s="206">
        <v>708233209</v>
      </c>
      <c r="O88" s="206">
        <v>1283527751</v>
      </c>
      <c r="P88" s="206">
        <v>140978130</v>
      </c>
      <c r="Q88" s="206">
        <v>164027486</v>
      </c>
      <c r="R88" s="206">
        <v>128769206</v>
      </c>
      <c r="S88" s="405">
        <v>0</v>
      </c>
      <c r="T88" s="405">
        <v>0</v>
      </c>
      <c r="U88" s="406">
        <v>0</v>
      </c>
      <c r="V88" s="406">
        <v>0</v>
      </c>
      <c r="W88" s="407">
        <f t="shared" si="97"/>
        <v>0</v>
      </c>
      <c r="X88" s="407">
        <f t="shared" si="98"/>
        <v>100</v>
      </c>
      <c r="Y88" s="408">
        <f t="shared" si="99"/>
        <v>3</v>
      </c>
      <c r="Z88" s="444" t="s">
        <v>3326</v>
      </c>
      <c r="AA88" s="442">
        <v>0</v>
      </c>
      <c r="AB88" s="406">
        <v>0</v>
      </c>
      <c r="AC88" s="406">
        <v>0</v>
      </c>
      <c r="AD88" s="407">
        <f t="shared" si="100"/>
        <v>0</v>
      </c>
      <c r="AE88" s="364" t="str">
        <f t="shared" si="101"/>
        <v>50</v>
      </c>
      <c r="AF88" s="349">
        <f t="shared" si="102"/>
        <v>0.25</v>
      </c>
      <c r="AG88" s="154">
        <v>406</v>
      </c>
      <c r="AH88" s="154">
        <v>221726</v>
      </c>
      <c r="AI88" s="409">
        <f t="shared" si="78"/>
        <v>546.1231527093596</v>
      </c>
      <c r="AJ88" s="409">
        <f t="shared" si="79"/>
        <v>100</v>
      </c>
      <c r="AK88" s="408">
        <f t="shared" si="103"/>
        <v>1</v>
      </c>
      <c r="AL88" s="45">
        <v>289021</v>
      </c>
      <c r="AM88" s="361">
        <f t="shared" si="96"/>
        <v>-23.28377522740562</v>
      </c>
      <c r="AN88" s="365">
        <f t="shared" si="80"/>
        <v>25</v>
      </c>
      <c r="AO88" s="320">
        <f t="shared" si="104"/>
        <v>0.25</v>
      </c>
      <c r="AP88" s="277">
        <f>_xlfn.XLOOKUP(C88, '1.건전성'!C:C, '1.건전성'!BE:BE)</f>
        <v>12437859</v>
      </c>
      <c r="AQ88" s="277">
        <f>_xlfn.XLOOKUP(C88, '1.건전성'!C:C, '1.건전성'!BF:BF)</f>
        <v>765263</v>
      </c>
      <c r="AR88" s="410">
        <f t="shared" si="81"/>
        <v>13203122</v>
      </c>
      <c r="AS88" s="366">
        <f t="shared" si="76"/>
        <v>1.0286588653586501</v>
      </c>
      <c r="AT88" s="366">
        <f t="shared" si="82"/>
        <v>25.39848658192863</v>
      </c>
      <c r="AU88" s="321">
        <f t="shared" si="83"/>
        <v>0.25398486581928631</v>
      </c>
      <c r="AV88" s="419"/>
      <c r="AW88" s="361">
        <f t="shared" si="77"/>
        <v>0</v>
      </c>
      <c r="AX88" s="361">
        <f t="shared" si="84"/>
        <v>25</v>
      </c>
      <c r="AY88" s="321">
        <f t="shared" si="105"/>
        <v>0.125</v>
      </c>
      <c r="AZ88" s="411">
        <v>11</v>
      </c>
      <c r="BA88" s="412">
        <f t="shared" si="85"/>
        <v>100</v>
      </c>
      <c r="BB88" s="408">
        <f t="shared" si="106"/>
        <v>0.5</v>
      </c>
      <c r="BC88" s="204">
        <v>1</v>
      </c>
      <c r="BD88" s="407">
        <f t="shared" si="86"/>
        <v>100</v>
      </c>
      <c r="BE88" s="408">
        <f t="shared" si="107"/>
        <v>0.5</v>
      </c>
      <c r="BF88" s="204">
        <v>1</v>
      </c>
      <c r="BG88" s="204">
        <v>1</v>
      </c>
      <c r="BH88" s="204">
        <v>1</v>
      </c>
      <c r="BI88" s="272" t="str">
        <f t="shared" si="87"/>
        <v>D</v>
      </c>
      <c r="BJ88" s="247">
        <f t="shared" si="88"/>
        <v>25</v>
      </c>
      <c r="BK88" s="90">
        <f t="shared" si="89"/>
        <v>0.75</v>
      </c>
      <c r="BL88" s="406">
        <v>5</v>
      </c>
      <c r="BM88" s="413">
        <f t="shared" si="90"/>
        <v>1.2315270935960592</v>
      </c>
      <c r="BN88" s="414">
        <f t="shared" si="91"/>
        <v>60</v>
      </c>
      <c r="BO88" s="415">
        <f t="shared" si="92"/>
        <v>1.7999999999999998</v>
      </c>
      <c r="BP88" s="416">
        <v>0</v>
      </c>
      <c r="BQ88" s="417">
        <f t="shared" si="93"/>
        <v>33.333333333333336</v>
      </c>
      <c r="BR88" s="415">
        <f t="shared" si="94"/>
        <v>0.33333333333333337</v>
      </c>
      <c r="BS88" s="350">
        <f t="shared" si="95"/>
        <v>8.7623181991526202</v>
      </c>
    </row>
    <row r="89" spans="1:71" x14ac:dyDescent="0.6">
      <c r="A89" s="214" t="s">
        <v>913</v>
      </c>
      <c r="B89" s="13" t="s">
        <v>2068</v>
      </c>
      <c r="C89" s="219" t="s">
        <v>486</v>
      </c>
      <c r="D89" s="216" t="s">
        <v>191</v>
      </c>
      <c r="E89" s="217" t="s">
        <v>1020</v>
      </c>
      <c r="F89" s="217" t="s">
        <v>156</v>
      </c>
      <c r="G89" s="218">
        <v>25897</v>
      </c>
      <c r="H89" s="217" t="s">
        <v>830</v>
      </c>
      <c r="I89" s="217" t="s">
        <v>204</v>
      </c>
      <c r="J89" s="217" t="s">
        <v>1238</v>
      </c>
      <c r="K89" s="217" t="s">
        <v>91</v>
      </c>
      <c r="L89" s="220">
        <v>891133540</v>
      </c>
      <c r="M89" s="206">
        <v>131474747</v>
      </c>
      <c r="N89" s="206">
        <v>759658793</v>
      </c>
      <c r="O89" s="206">
        <v>462786649</v>
      </c>
      <c r="P89" s="206">
        <v>21452774</v>
      </c>
      <c r="Q89" s="206">
        <v>31309680</v>
      </c>
      <c r="R89" s="206">
        <v>23472409</v>
      </c>
      <c r="S89" s="405">
        <v>0</v>
      </c>
      <c r="T89" s="405">
        <v>0</v>
      </c>
      <c r="U89" s="406">
        <v>0</v>
      </c>
      <c r="V89" s="406">
        <v>0</v>
      </c>
      <c r="W89" s="407">
        <f t="shared" si="97"/>
        <v>0</v>
      </c>
      <c r="X89" s="407">
        <f t="shared" si="98"/>
        <v>100</v>
      </c>
      <c r="Y89" s="408">
        <f t="shared" si="99"/>
        <v>3</v>
      </c>
      <c r="Z89" s="444" t="s">
        <v>3327</v>
      </c>
      <c r="AA89" s="442">
        <v>0</v>
      </c>
      <c r="AB89" s="406">
        <v>1</v>
      </c>
      <c r="AC89" s="406">
        <v>0</v>
      </c>
      <c r="AD89" s="407">
        <f t="shared" si="100"/>
        <v>1</v>
      </c>
      <c r="AE89" s="364" t="str">
        <f t="shared" si="101"/>
        <v>100</v>
      </c>
      <c r="AF89" s="349">
        <f t="shared" si="102"/>
        <v>0.5</v>
      </c>
      <c r="AG89" s="154">
        <v>344</v>
      </c>
      <c r="AH89" s="154">
        <v>294132</v>
      </c>
      <c r="AI89" s="409">
        <f t="shared" si="78"/>
        <v>855.03488372093022</v>
      </c>
      <c r="AJ89" s="409">
        <f t="shared" si="79"/>
        <v>100</v>
      </c>
      <c r="AK89" s="408">
        <f t="shared" si="103"/>
        <v>1</v>
      </c>
      <c r="AL89" s="45">
        <v>27310</v>
      </c>
      <c r="AM89" s="361">
        <f t="shared" si="96"/>
        <v>977.01208348590262</v>
      </c>
      <c r="AN89" s="365">
        <f t="shared" si="80"/>
        <v>100</v>
      </c>
      <c r="AO89" s="320">
        <f t="shared" si="104"/>
        <v>1</v>
      </c>
      <c r="AP89" s="277">
        <f>_xlfn.XLOOKUP(C89, '1.건전성'!C:C, '1.건전성'!BE:BE)</f>
        <v>11733518</v>
      </c>
      <c r="AQ89" s="277">
        <f>_xlfn.XLOOKUP(C89, '1.건전성'!C:C, '1.건전성'!BF:BF)</f>
        <v>1635128</v>
      </c>
      <c r="AR89" s="410">
        <f t="shared" si="81"/>
        <v>13368646</v>
      </c>
      <c r="AS89" s="366">
        <f t="shared" si="76"/>
        <v>2.8887276737320051</v>
      </c>
      <c r="AT89" s="366">
        <f t="shared" si="82"/>
        <v>26.800548497787943</v>
      </c>
      <c r="AU89" s="321">
        <f t="shared" si="83"/>
        <v>0.26800548497787946</v>
      </c>
      <c r="AV89" s="15">
        <v>6218507</v>
      </c>
      <c r="AW89" s="361">
        <f t="shared" si="77"/>
        <v>1.343709247757491</v>
      </c>
      <c r="AX89" s="361">
        <f t="shared" si="84"/>
        <v>34.422039755738567</v>
      </c>
      <c r="AY89" s="321">
        <f t="shared" si="105"/>
        <v>0.17211019877869282</v>
      </c>
      <c r="AZ89" s="411">
        <v>14.9</v>
      </c>
      <c r="BA89" s="412">
        <f t="shared" si="85"/>
        <v>100</v>
      </c>
      <c r="BB89" s="408">
        <f t="shared" si="106"/>
        <v>0.5</v>
      </c>
      <c r="BC89" s="204">
        <v>1</v>
      </c>
      <c r="BD89" s="407">
        <f t="shared" si="86"/>
        <v>100</v>
      </c>
      <c r="BE89" s="408">
        <f t="shared" si="107"/>
        <v>0.5</v>
      </c>
      <c r="BF89" s="204">
        <v>0</v>
      </c>
      <c r="BG89" s="204">
        <v>0</v>
      </c>
      <c r="BH89" s="204">
        <v>0</v>
      </c>
      <c r="BI89" s="272" t="str">
        <f t="shared" si="87"/>
        <v>A</v>
      </c>
      <c r="BJ89" s="247">
        <f t="shared" si="88"/>
        <v>100</v>
      </c>
      <c r="BK89" s="90">
        <f t="shared" si="89"/>
        <v>3</v>
      </c>
      <c r="BL89" s="406">
        <v>0</v>
      </c>
      <c r="BM89" s="413">
        <f t="shared" si="90"/>
        <v>0</v>
      </c>
      <c r="BN89" s="414">
        <f t="shared" si="91"/>
        <v>100</v>
      </c>
      <c r="BO89" s="415">
        <f t="shared" si="92"/>
        <v>3</v>
      </c>
      <c r="BP89" s="416">
        <v>1.19</v>
      </c>
      <c r="BQ89" s="417">
        <f t="shared" si="93"/>
        <v>66.666666666666671</v>
      </c>
      <c r="BR89" s="415">
        <f t="shared" si="94"/>
        <v>0.66666666666666674</v>
      </c>
      <c r="BS89" s="350">
        <f t="shared" si="95"/>
        <v>13.60678235042324</v>
      </c>
    </row>
    <row r="90" spans="1:71" x14ac:dyDescent="0.6">
      <c r="A90" s="214" t="s">
        <v>1615</v>
      </c>
      <c r="B90" s="13" t="s">
        <v>2069</v>
      </c>
      <c r="C90" s="219" t="s">
        <v>1616</v>
      </c>
      <c r="D90" s="14" t="s">
        <v>191</v>
      </c>
      <c r="E90" s="217" t="s">
        <v>240</v>
      </c>
      <c r="F90" s="217" t="s">
        <v>1617</v>
      </c>
      <c r="G90" s="218">
        <v>31404</v>
      </c>
      <c r="H90" s="217" t="s">
        <v>830</v>
      </c>
      <c r="I90" s="217" t="s">
        <v>1618</v>
      </c>
      <c r="J90" s="217" t="s">
        <v>1619</v>
      </c>
      <c r="K90" s="217" t="s">
        <v>91</v>
      </c>
      <c r="L90" s="220">
        <v>836764532</v>
      </c>
      <c r="M90" s="206">
        <v>122779865</v>
      </c>
      <c r="N90" s="206">
        <v>713984667</v>
      </c>
      <c r="O90" s="206">
        <v>150864212</v>
      </c>
      <c r="P90" s="206">
        <v>6382962</v>
      </c>
      <c r="Q90" s="206">
        <v>23763677</v>
      </c>
      <c r="R90" s="206">
        <v>33439084</v>
      </c>
      <c r="S90" s="405">
        <v>0</v>
      </c>
      <c r="T90" s="405">
        <v>0</v>
      </c>
      <c r="U90" s="406">
        <v>0</v>
      </c>
      <c r="V90" s="406">
        <v>0</v>
      </c>
      <c r="W90" s="407">
        <f t="shared" si="97"/>
        <v>0</v>
      </c>
      <c r="X90" s="407">
        <f t="shared" si="98"/>
        <v>100</v>
      </c>
      <c r="Y90" s="408">
        <f t="shared" si="99"/>
        <v>3</v>
      </c>
      <c r="Z90" s="444" t="s">
        <v>3328</v>
      </c>
      <c r="AA90" s="442">
        <v>0</v>
      </c>
      <c r="AB90" s="406">
        <v>0</v>
      </c>
      <c r="AC90" s="406">
        <v>0</v>
      </c>
      <c r="AD90" s="407">
        <f t="shared" si="100"/>
        <v>0</v>
      </c>
      <c r="AE90" s="364" t="str">
        <f t="shared" si="101"/>
        <v>50</v>
      </c>
      <c r="AF90" s="349">
        <f t="shared" si="102"/>
        <v>0.25</v>
      </c>
      <c r="AG90" s="154">
        <v>170</v>
      </c>
      <c r="AH90" s="154">
        <v>32755</v>
      </c>
      <c r="AI90" s="409">
        <f t="shared" si="78"/>
        <v>192.6764705882353</v>
      </c>
      <c r="AJ90" s="409">
        <f t="shared" si="79"/>
        <v>100</v>
      </c>
      <c r="AK90" s="408">
        <f t="shared" si="103"/>
        <v>1</v>
      </c>
      <c r="AL90" s="45">
        <v>24993</v>
      </c>
      <c r="AM90" s="361">
        <f t="shared" si="96"/>
        <v>31.056695874844959</v>
      </c>
      <c r="AN90" s="365">
        <f t="shared" si="80"/>
        <v>30.823130476533429</v>
      </c>
      <c r="AO90" s="320">
        <f t="shared" si="104"/>
        <v>0.30823130476533428</v>
      </c>
      <c r="AP90" s="277">
        <f>_xlfn.XLOOKUP(C90, '1.건전성'!C:C, '1.건전성'!BE:BE)</f>
        <v>1444870</v>
      </c>
      <c r="AQ90" s="277">
        <f>_xlfn.XLOOKUP(C90, '1.건전성'!C:C, '1.건전성'!BF:BF)</f>
        <v>168821</v>
      </c>
      <c r="AR90" s="410">
        <f t="shared" si="81"/>
        <v>1613691</v>
      </c>
      <c r="AS90" s="366">
        <f t="shared" si="76"/>
        <v>1.0696314113250398</v>
      </c>
      <c r="AT90" s="366">
        <f t="shared" si="82"/>
        <v>25.429370410546511</v>
      </c>
      <c r="AU90" s="321">
        <f t="shared" si="83"/>
        <v>0.25429370410546509</v>
      </c>
      <c r="AV90" s="419"/>
      <c r="AW90" s="361">
        <f t="shared" si="77"/>
        <v>0</v>
      </c>
      <c r="AX90" s="361">
        <f t="shared" si="84"/>
        <v>25</v>
      </c>
      <c r="AY90" s="321">
        <f t="shared" si="105"/>
        <v>0.125</v>
      </c>
      <c r="AZ90" s="411">
        <v>9.3000000000000007</v>
      </c>
      <c r="BA90" s="412">
        <f t="shared" si="85"/>
        <v>80</v>
      </c>
      <c r="BB90" s="408">
        <f t="shared" si="106"/>
        <v>0.4</v>
      </c>
      <c r="BC90" s="204">
        <v>1</v>
      </c>
      <c r="BD90" s="407">
        <f t="shared" si="86"/>
        <v>100</v>
      </c>
      <c r="BE90" s="408">
        <f t="shared" si="107"/>
        <v>0.5</v>
      </c>
      <c r="BF90" s="204">
        <v>1</v>
      </c>
      <c r="BG90" s="204">
        <v>1</v>
      </c>
      <c r="BH90" s="204">
        <v>0</v>
      </c>
      <c r="BI90" s="272" t="str">
        <f t="shared" si="87"/>
        <v>C</v>
      </c>
      <c r="BJ90" s="247">
        <f t="shared" si="88"/>
        <v>50</v>
      </c>
      <c r="BK90" s="90">
        <f t="shared" si="89"/>
        <v>1.5</v>
      </c>
      <c r="BL90" s="406">
        <v>9</v>
      </c>
      <c r="BM90" s="413">
        <f t="shared" si="90"/>
        <v>5.2941176470588234</v>
      </c>
      <c r="BN90" s="414">
        <f t="shared" si="91"/>
        <v>40</v>
      </c>
      <c r="BO90" s="415">
        <f t="shared" si="92"/>
        <v>1.2</v>
      </c>
      <c r="BP90" s="416">
        <v>0</v>
      </c>
      <c r="BQ90" s="417">
        <f t="shared" si="93"/>
        <v>33.333333333333336</v>
      </c>
      <c r="BR90" s="415">
        <f t="shared" si="94"/>
        <v>0.33333333333333337</v>
      </c>
      <c r="BS90" s="350">
        <f t="shared" si="95"/>
        <v>8.8708583422041336</v>
      </c>
    </row>
    <row r="91" spans="1:71" x14ac:dyDescent="0.6">
      <c r="A91" s="214" t="s">
        <v>721</v>
      </c>
      <c r="B91" s="13" t="s">
        <v>2070</v>
      </c>
      <c r="C91" s="219" t="s">
        <v>875</v>
      </c>
      <c r="D91" s="216" t="s">
        <v>191</v>
      </c>
      <c r="E91" s="217" t="s">
        <v>190</v>
      </c>
      <c r="F91" s="217" t="s">
        <v>1241</v>
      </c>
      <c r="G91" s="218">
        <v>33136</v>
      </c>
      <c r="H91" s="217" t="s">
        <v>830</v>
      </c>
      <c r="I91" s="217" t="s">
        <v>736</v>
      </c>
      <c r="J91" s="217" t="s">
        <v>1150</v>
      </c>
      <c r="K91" s="217" t="s">
        <v>91</v>
      </c>
      <c r="L91" s="220">
        <v>297649820</v>
      </c>
      <c r="M91" s="206">
        <v>54998742</v>
      </c>
      <c r="N91" s="206">
        <v>242651079</v>
      </c>
      <c r="O91" s="206">
        <v>319305280</v>
      </c>
      <c r="P91" s="206">
        <v>30195182</v>
      </c>
      <c r="Q91" s="206">
        <v>31995216</v>
      </c>
      <c r="R91" s="206">
        <v>25431135</v>
      </c>
      <c r="S91" s="405">
        <v>0</v>
      </c>
      <c r="T91" s="405">
        <v>0</v>
      </c>
      <c r="U91" s="406">
        <v>0</v>
      </c>
      <c r="V91" s="406">
        <v>0</v>
      </c>
      <c r="W91" s="407">
        <f t="shared" si="97"/>
        <v>0</v>
      </c>
      <c r="X91" s="407">
        <f t="shared" si="98"/>
        <v>100</v>
      </c>
      <c r="Y91" s="408">
        <f t="shared" si="99"/>
        <v>3</v>
      </c>
      <c r="Z91" s="444" t="s">
        <v>3329</v>
      </c>
      <c r="AA91" s="442">
        <v>0</v>
      </c>
      <c r="AB91" s="406">
        <v>1</v>
      </c>
      <c r="AC91" s="406">
        <v>0</v>
      </c>
      <c r="AD91" s="407">
        <f t="shared" si="100"/>
        <v>1</v>
      </c>
      <c r="AE91" s="364" t="str">
        <f t="shared" si="101"/>
        <v>100</v>
      </c>
      <c r="AF91" s="349">
        <f t="shared" si="102"/>
        <v>0.5</v>
      </c>
      <c r="AG91" s="154">
        <v>460</v>
      </c>
      <c r="AH91" s="421"/>
      <c r="AI91" s="409">
        <f t="shared" si="78"/>
        <v>0</v>
      </c>
      <c r="AJ91" s="409">
        <f t="shared" si="79"/>
        <v>25</v>
      </c>
      <c r="AK91" s="408">
        <f t="shared" si="103"/>
        <v>0.25</v>
      </c>
      <c r="AL91" s="423"/>
      <c r="AM91" s="424">
        <v>0</v>
      </c>
      <c r="AN91" s="365">
        <f t="shared" si="80"/>
        <v>25</v>
      </c>
      <c r="AO91" s="320">
        <f t="shared" si="104"/>
        <v>0.25</v>
      </c>
      <c r="AP91" s="277">
        <f>_xlfn.XLOOKUP(C91, '1.건전성'!C:C, '1.건전성'!BE:BE)</f>
        <v>13582266</v>
      </c>
      <c r="AQ91" s="277">
        <f>_xlfn.XLOOKUP(C91, '1.건전성'!C:C, '1.건전성'!BF:BF)</f>
        <v>1228552</v>
      </c>
      <c r="AR91" s="410">
        <f t="shared" si="81"/>
        <v>14810818</v>
      </c>
      <c r="AS91" s="366">
        <f t="shared" si="76"/>
        <v>4.6384507014728973</v>
      </c>
      <c r="AT91" s="366">
        <f t="shared" si="82"/>
        <v>28.119435202115248</v>
      </c>
      <c r="AU91" s="321">
        <f t="shared" si="83"/>
        <v>0.2811943520211525</v>
      </c>
      <c r="AV91" s="15">
        <v>1176322</v>
      </c>
      <c r="AW91" s="361">
        <f t="shared" si="77"/>
        <v>0.36840042231684988</v>
      </c>
      <c r="AX91" s="361">
        <f t="shared" si="84"/>
        <v>27.033336532703409</v>
      </c>
      <c r="AY91" s="321">
        <f t="shared" si="105"/>
        <v>0.13516668266351706</v>
      </c>
      <c r="AZ91" s="411">
        <v>6.3</v>
      </c>
      <c r="BA91" s="412">
        <f t="shared" si="85"/>
        <v>60</v>
      </c>
      <c r="BB91" s="408">
        <f t="shared" si="106"/>
        <v>0.3</v>
      </c>
      <c r="BC91" s="204">
        <v>1</v>
      </c>
      <c r="BD91" s="407">
        <f t="shared" si="86"/>
        <v>100</v>
      </c>
      <c r="BE91" s="408">
        <f t="shared" si="107"/>
        <v>0.5</v>
      </c>
      <c r="BF91" s="204">
        <v>0</v>
      </c>
      <c r="BG91" s="204">
        <v>0</v>
      </c>
      <c r="BH91" s="204">
        <v>0</v>
      </c>
      <c r="BI91" s="272" t="str">
        <f t="shared" si="87"/>
        <v>A</v>
      </c>
      <c r="BJ91" s="247">
        <f t="shared" si="88"/>
        <v>100</v>
      </c>
      <c r="BK91" s="90">
        <f t="shared" si="89"/>
        <v>3</v>
      </c>
      <c r="BL91" s="406">
        <v>15</v>
      </c>
      <c r="BM91" s="413">
        <f t="shared" si="90"/>
        <v>3.2608695652173911</v>
      </c>
      <c r="BN91" s="414">
        <f t="shared" si="91"/>
        <v>40</v>
      </c>
      <c r="BO91" s="415">
        <f t="shared" si="92"/>
        <v>1.2</v>
      </c>
      <c r="BP91" s="416">
        <v>0.02</v>
      </c>
      <c r="BQ91" s="417">
        <f t="shared" si="93"/>
        <v>66.666666666666671</v>
      </c>
      <c r="BR91" s="415">
        <f t="shared" si="94"/>
        <v>0.66666666666666674</v>
      </c>
      <c r="BS91" s="350">
        <f t="shared" si="95"/>
        <v>10.083027701351336</v>
      </c>
    </row>
    <row r="92" spans="1:71" x14ac:dyDescent="0.6">
      <c r="A92" s="214" t="s">
        <v>408</v>
      </c>
      <c r="B92" s="13" t="s">
        <v>2071</v>
      </c>
      <c r="C92" s="219" t="s">
        <v>874</v>
      </c>
      <c r="D92" s="216" t="s">
        <v>285</v>
      </c>
      <c r="E92" s="217" t="s">
        <v>1034</v>
      </c>
      <c r="F92" s="217" t="s">
        <v>987</v>
      </c>
      <c r="G92" s="218">
        <v>32444</v>
      </c>
      <c r="H92" s="217" t="s">
        <v>830</v>
      </c>
      <c r="I92" s="217" t="s">
        <v>752</v>
      </c>
      <c r="J92" s="217" t="s">
        <v>1059</v>
      </c>
      <c r="K92" s="217" t="s">
        <v>1620</v>
      </c>
      <c r="L92" s="220">
        <v>823154130</v>
      </c>
      <c r="M92" s="206">
        <v>397729314</v>
      </c>
      <c r="N92" s="206">
        <v>425424816</v>
      </c>
      <c r="O92" s="206">
        <v>297680162</v>
      </c>
      <c r="P92" s="206">
        <v>45164807</v>
      </c>
      <c r="Q92" s="206">
        <v>31718775</v>
      </c>
      <c r="R92" s="206">
        <v>23212712</v>
      </c>
      <c r="S92" s="405">
        <v>0</v>
      </c>
      <c r="T92" s="405">
        <v>0</v>
      </c>
      <c r="U92" s="406">
        <v>0</v>
      </c>
      <c r="V92" s="406">
        <v>0</v>
      </c>
      <c r="W92" s="407">
        <f t="shared" si="97"/>
        <v>0</v>
      </c>
      <c r="X92" s="407">
        <f t="shared" si="98"/>
        <v>100</v>
      </c>
      <c r="Y92" s="408">
        <f t="shared" si="99"/>
        <v>3</v>
      </c>
      <c r="Z92" s="444" t="s">
        <v>3330</v>
      </c>
      <c r="AA92" s="442">
        <v>0</v>
      </c>
      <c r="AB92" s="406">
        <v>0</v>
      </c>
      <c r="AC92" s="406">
        <v>0</v>
      </c>
      <c r="AD92" s="407">
        <f t="shared" si="100"/>
        <v>0</v>
      </c>
      <c r="AE92" s="364" t="str">
        <f t="shared" si="101"/>
        <v>50</v>
      </c>
      <c r="AF92" s="349">
        <f t="shared" si="102"/>
        <v>0.25</v>
      </c>
      <c r="AG92" s="154">
        <v>1758</v>
      </c>
      <c r="AH92" s="154">
        <v>478813</v>
      </c>
      <c r="AI92" s="409">
        <f t="shared" si="78"/>
        <v>272.36234357224117</v>
      </c>
      <c r="AJ92" s="409">
        <f t="shared" si="79"/>
        <v>100</v>
      </c>
      <c r="AK92" s="408">
        <f t="shared" si="103"/>
        <v>1</v>
      </c>
      <c r="AL92" s="45">
        <v>241617</v>
      </c>
      <c r="AM92" s="361">
        <f t="shared" si="96"/>
        <v>98.170244643381878</v>
      </c>
      <c r="AN92" s="365">
        <f t="shared" si="80"/>
        <v>43.406920870634096</v>
      </c>
      <c r="AO92" s="320">
        <f t="shared" si="104"/>
        <v>0.43406920870634097</v>
      </c>
      <c r="AP92" s="277">
        <f>_xlfn.XLOOKUP(C92, '1.건전성'!C:C, '1.건전성'!BE:BE)</f>
        <v>28423184</v>
      </c>
      <c r="AQ92" s="277">
        <f>_xlfn.XLOOKUP(C92, '1.건전성'!C:C, '1.건전성'!BF:BF)</f>
        <v>2908372</v>
      </c>
      <c r="AR92" s="410">
        <f t="shared" si="81"/>
        <v>31331556</v>
      </c>
      <c r="AS92" s="366">
        <f t="shared" si="76"/>
        <v>10.525241517437765</v>
      </c>
      <c r="AT92" s="366">
        <f t="shared" si="82"/>
        <v>32.556714711636509</v>
      </c>
      <c r="AU92" s="321">
        <f t="shared" si="83"/>
        <v>0.32556714711636509</v>
      </c>
      <c r="AV92" s="15">
        <v>15184561</v>
      </c>
      <c r="AW92" s="361">
        <f t="shared" si="77"/>
        <v>5.1009650418021479</v>
      </c>
      <c r="AX92" s="361">
        <f t="shared" si="84"/>
        <v>62.886098801531425</v>
      </c>
      <c r="AY92" s="321">
        <f t="shared" si="105"/>
        <v>0.31443049400765716</v>
      </c>
      <c r="AZ92" s="411">
        <v>5.5</v>
      </c>
      <c r="BA92" s="412">
        <f t="shared" si="85"/>
        <v>40</v>
      </c>
      <c r="BB92" s="408">
        <f t="shared" si="106"/>
        <v>0.2</v>
      </c>
      <c r="BC92" s="204">
        <v>1</v>
      </c>
      <c r="BD92" s="407">
        <f t="shared" si="86"/>
        <v>100</v>
      </c>
      <c r="BE92" s="408">
        <f t="shared" si="107"/>
        <v>0.5</v>
      </c>
      <c r="BF92" s="204">
        <v>0</v>
      </c>
      <c r="BG92" s="204">
        <v>1</v>
      </c>
      <c r="BH92" s="204">
        <v>0</v>
      </c>
      <c r="BI92" s="272" t="str">
        <f t="shared" si="87"/>
        <v>C</v>
      </c>
      <c r="BJ92" s="247">
        <f t="shared" si="88"/>
        <v>50</v>
      </c>
      <c r="BK92" s="90">
        <f t="shared" si="89"/>
        <v>1.5</v>
      </c>
      <c r="BL92" s="406">
        <v>44</v>
      </c>
      <c r="BM92" s="413">
        <f t="shared" si="90"/>
        <v>2.5028441410693971</v>
      </c>
      <c r="BN92" s="414">
        <f t="shared" si="91"/>
        <v>60</v>
      </c>
      <c r="BO92" s="415">
        <f t="shared" si="92"/>
        <v>1.7999999999999998</v>
      </c>
      <c r="BP92" s="416">
        <v>0</v>
      </c>
      <c r="BQ92" s="417">
        <f t="shared" si="93"/>
        <v>33.333333333333336</v>
      </c>
      <c r="BR92" s="415">
        <f t="shared" si="94"/>
        <v>0.33333333333333337</v>
      </c>
      <c r="BS92" s="350">
        <f t="shared" si="95"/>
        <v>9.6574001831636966</v>
      </c>
    </row>
    <row r="93" spans="1:71" x14ac:dyDescent="0.6">
      <c r="A93" s="214" t="s">
        <v>1621</v>
      </c>
      <c r="B93" s="13" t="s">
        <v>2072</v>
      </c>
      <c r="C93" s="219" t="s">
        <v>1622</v>
      </c>
      <c r="D93" s="14" t="s">
        <v>203</v>
      </c>
      <c r="E93" s="217" t="s">
        <v>246</v>
      </c>
      <c r="F93" s="217" t="s">
        <v>1623</v>
      </c>
      <c r="G93" s="218">
        <v>32045</v>
      </c>
      <c r="H93" s="217" t="s">
        <v>830</v>
      </c>
      <c r="I93" s="217" t="s">
        <v>1624</v>
      </c>
      <c r="J93" s="217" t="s">
        <v>1625</v>
      </c>
      <c r="K93" s="217" t="s">
        <v>690</v>
      </c>
      <c r="L93" s="220">
        <v>120573135</v>
      </c>
      <c r="M93" s="206">
        <v>37891105</v>
      </c>
      <c r="N93" s="206">
        <v>82682030</v>
      </c>
      <c r="O93" s="206">
        <v>116399706</v>
      </c>
      <c r="P93" s="206">
        <v>4903685</v>
      </c>
      <c r="Q93" s="206">
        <v>6345779</v>
      </c>
      <c r="R93" s="206">
        <v>5059159</v>
      </c>
      <c r="S93" s="405">
        <v>0</v>
      </c>
      <c r="T93" s="405">
        <v>0</v>
      </c>
      <c r="U93" s="406">
        <v>0</v>
      </c>
      <c r="V93" s="406">
        <v>0</v>
      </c>
      <c r="W93" s="407">
        <f t="shared" si="97"/>
        <v>0</v>
      </c>
      <c r="X93" s="407">
        <f t="shared" si="98"/>
        <v>100</v>
      </c>
      <c r="Y93" s="408">
        <f t="shared" si="99"/>
        <v>3</v>
      </c>
      <c r="Z93" s="444" t="s">
        <v>3331</v>
      </c>
      <c r="AA93" s="442">
        <v>0</v>
      </c>
      <c r="AB93" s="406">
        <v>1</v>
      </c>
      <c r="AC93" s="406">
        <v>0</v>
      </c>
      <c r="AD93" s="407">
        <f t="shared" si="100"/>
        <v>1</v>
      </c>
      <c r="AE93" s="364" t="str">
        <f t="shared" si="101"/>
        <v>100</v>
      </c>
      <c r="AF93" s="349">
        <f t="shared" si="102"/>
        <v>0.5</v>
      </c>
      <c r="AG93" s="154">
        <v>171</v>
      </c>
      <c r="AH93" s="154">
        <v>9805</v>
      </c>
      <c r="AI93" s="409">
        <f t="shared" si="78"/>
        <v>57.33918128654971</v>
      </c>
      <c r="AJ93" s="409">
        <f t="shared" si="79"/>
        <v>68.004385964912274</v>
      </c>
      <c r="AK93" s="408">
        <f t="shared" si="103"/>
        <v>0.68004385964912273</v>
      </c>
      <c r="AL93" s="45">
        <v>5173</v>
      </c>
      <c r="AM93" s="361">
        <f t="shared" si="96"/>
        <v>89.541851923448675</v>
      </c>
      <c r="AN93" s="365">
        <f t="shared" si="80"/>
        <v>41.789097235646622</v>
      </c>
      <c r="AO93" s="320">
        <f t="shared" si="104"/>
        <v>0.41789097235646622</v>
      </c>
      <c r="AP93" s="277">
        <f>_xlfn.XLOOKUP(C93, '1.건전성'!C:C, '1.건전성'!BE:BE)</f>
        <v>2355619</v>
      </c>
      <c r="AQ93" s="277">
        <f>_xlfn.XLOOKUP(C93, '1.건전성'!C:C, '1.건전성'!BF:BF)</f>
        <v>219882</v>
      </c>
      <c r="AR93" s="410">
        <f t="shared" si="81"/>
        <v>2575501</v>
      </c>
      <c r="AS93" s="366">
        <f t="shared" si="76"/>
        <v>2.2126353137008783</v>
      </c>
      <c r="AT93" s="366">
        <f t="shared" si="82"/>
        <v>26.290931140980561</v>
      </c>
      <c r="AU93" s="321">
        <f t="shared" si="83"/>
        <v>0.26290931140980561</v>
      </c>
      <c r="AV93" s="15">
        <v>813008</v>
      </c>
      <c r="AW93" s="361">
        <f t="shared" si="77"/>
        <v>0.69846224525687384</v>
      </c>
      <c r="AX93" s="361">
        <f t="shared" si="84"/>
        <v>29.53380488830965</v>
      </c>
      <c r="AY93" s="321">
        <f t="shared" si="105"/>
        <v>0.14766902444154825</v>
      </c>
      <c r="AZ93" s="411">
        <v>14.6</v>
      </c>
      <c r="BA93" s="412">
        <f t="shared" si="85"/>
        <v>100</v>
      </c>
      <c r="BB93" s="408">
        <f t="shared" si="106"/>
        <v>0.5</v>
      </c>
      <c r="BC93" s="204">
        <v>1</v>
      </c>
      <c r="BD93" s="407">
        <f t="shared" si="86"/>
        <v>100</v>
      </c>
      <c r="BE93" s="408">
        <f t="shared" si="107"/>
        <v>0.5</v>
      </c>
      <c r="BF93" s="204">
        <v>0</v>
      </c>
      <c r="BG93" s="204">
        <v>0</v>
      </c>
      <c r="BH93" s="204">
        <v>0</v>
      </c>
      <c r="BI93" s="272" t="str">
        <f t="shared" si="87"/>
        <v>A</v>
      </c>
      <c r="BJ93" s="247">
        <f t="shared" si="88"/>
        <v>100</v>
      </c>
      <c r="BK93" s="90">
        <f t="shared" si="89"/>
        <v>3</v>
      </c>
      <c r="BL93" s="406">
        <v>15</v>
      </c>
      <c r="BM93" s="413">
        <f t="shared" si="90"/>
        <v>8.7719298245614024</v>
      </c>
      <c r="BN93" s="414">
        <f t="shared" si="91"/>
        <v>20</v>
      </c>
      <c r="BO93" s="415">
        <f t="shared" si="92"/>
        <v>0.6</v>
      </c>
      <c r="BP93" s="416">
        <v>0.03</v>
      </c>
      <c r="BQ93" s="417">
        <f t="shared" si="93"/>
        <v>66.666666666666671</v>
      </c>
      <c r="BR93" s="415">
        <f t="shared" si="94"/>
        <v>0.66666666666666674</v>
      </c>
      <c r="BS93" s="350">
        <f t="shared" si="95"/>
        <v>10.275179834523609</v>
      </c>
    </row>
    <row r="94" spans="1:71" x14ac:dyDescent="0.6">
      <c r="A94" s="214" t="s">
        <v>767</v>
      </c>
      <c r="B94" s="13" t="s">
        <v>2073</v>
      </c>
      <c r="C94" s="219" t="s">
        <v>297</v>
      </c>
      <c r="D94" s="216" t="s">
        <v>202</v>
      </c>
      <c r="E94" s="217" t="s">
        <v>189</v>
      </c>
      <c r="F94" s="217" t="s">
        <v>177</v>
      </c>
      <c r="G94" s="218">
        <v>42809</v>
      </c>
      <c r="H94" s="217" t="s">
        <v>830</v>
      </c>
      <c r="I94" s="217" t="s">
        <v>714</v>
      </c>
      <c r="J94" s="217" t="s">
        <v>1154</v>
      </c>
      <c r="K94" s="217" t="s">
        <v>91</v>
      </c>
      <c r="L94" s="220">
        <v>605644843</v>
      </c>
      <c r="M94" s="206">
        <v>281549415</v>
      </c>
      <c r="N94" s="206">
        <v>324095428</v>
      </c>
      <c r="O94" s="206">
        <v>285310921</v>
      </c>
      <c r="P94" s="206">
        <v>109357470</v>
      </c>
      <c r="Q94" s="206">
        <v>87471331</v>
      </c>
      <c r="R94" s="206">
        <v>61496044</v>
      </c>
      <c r="S94" s="405">
        <v>0</v>
      </c>
      <c r="T94" s="405">
        <v>0</v>
      </c>
      <c r="U94" s="406">
        <v>0</v>
      </c>
      <c r="V94" s="406">
        <v>0</v>
      </c>
      <c r="W94" s="407">
        <f t="shared" si="97"/>
        <v>0</v>
      </c>
      <c r="X94" s="407">
        <f t="shared" si="98"/>
        <v>100</v>
      </c>
      <c r="Y94" s="408">
        <f t="shared" si="99"/>
        <v>3</v>
      </c>
      <c r="Z94" s="444" t="s">
        <v>3332</v>
      </c>
      <c r="AA94" s="442">
        <v>0</v>
      </c>
      <c r="AB94" s="406">
        <v>0</v>
      </c>
      <c r="AC94" s="406">
        <v>0</v>
      </c>
      <c r="AD94" s="407">
        <f t="shared" si="100"/>
        <v>0</v>
      </c>
      <c r="AE94" s="364" t="str">
        <f t="shared" si="101"/>
        <v>50</v>
      </c>
      <c r="AF94" s="349">
        <f t="shared" si="102"/>
        <v>0.25</v>
      </c>
      <c r="AG94" s="154">
        <v>741</v>
      </c>
      <c r="AH94" s="154">
        <v>24721</v>
      </c>
      <c r="AI94" s="409">
        <f t="shared" si="78"/>
        <v>33.361673414304995</v>
      </c>
      <c r="AJ94" s="409">
        <f t="shared" si="79"/>
        <v>50.021255060728748</v>
      </c>
      <c r="AK94" s="408">
        <f t="shared" si="103"/>
        <v>0.50021255060728753</v>
      </c>
      <c r="AL94" s="45">
        <v>6627</v>
      </c>
      <c r="AM94" s="361">
        <f t="shared" si="96"/>
        <v>273.03455560585485</v>
      </c>
      <c r="AN94" s="365">
        <f t="shared" si="80"/>
        <v>76.193979176097784</v>
      </c>
      <c r="AO94" s="320">
        <f t="shared" si="104"/>
        <v>0.76193979176097781</v>
      </c>
      <c r="AP94" s="277">
        <f>_xlfn.XLOOKUP(C94, '1.건전성'!C:C, '1.건전성'!BE:BE)</f>
        <v>24305019</v>
      </c>
      <c r="AQ94" s="277">
        <f>_xlfn.XLOOKUP(C94, '1.건전성'!C:C, '1.건전성'!BF:BF)</f>
        <v>1414829</v>
      </c>
      <c r="AR94" s="410">
        <f t="shared" si="81"/>
        <v>25719848</v>
      </c>
      <c r="AS94" s="366">
        <f t="shared" si="76"/>
        <v>9.0146735042084138</v>
      </c>
      <c r="AT94" s="366">
        <f t="shared" si="82"/>
        <v>31.418095606187247</v>
      </c>
      <c r="AU94" s="321">
        <f t="shared" si="83"/>
        <v>0.31418095606187246</v>
      </c>
      <c r="AV94" s="15">
        <v>3361300</v>
      </c>
      <c r="AW94" s="361">
        <f t="shared" si="77"/>
        <v>1.1781182396449521</v>
      </c>
      <c r="AX94" s="361">
        <f t="shared" si="84"/>
        <v>33.167562421552667</v>
      </c>
      <c r="AY94" s="321">
        <f t="shared" si="105"/>
        <v>0.16583781210776333</v>
      </c>
      <c r="AZ94" s="411">
        <v>3.5</v>
      </c>
      <c r="BA94" s="412">
        <f t="shared" si="85"/>
        <v>20</v>
      </c>
      <c r="BB94" s="408">
        <f t="shared" si="106"/>
        <v>0.1</v>
      </c>
      <c r="BC94" s="204">
        <v>1</v>
      </c>
      <c r="BD94" s="407">
        <f t="shared" si="86"/>
        <v>100</v>
      </c>
      <c r="BE94" s="408">
        <f t="shared" si="107"/>
        <v>0.5</v>
      </c>
      <c r="BF94" s="204">
        <v>0</v>
      </c>
      <c r="BG94" s="204">
        <v>0</v>
      </c>
      <c r="BH94" s="204">
        <v>0</v>
      </c>
      <c r="BI94" s="272" t="str">
        <f t="shared" si="87"/>
        <v>A</v>
      </c>
      <c r="BJ94" s="247">
        <f t="shared" si="88"/>
        <v>100</v>
      </c>
      <c r="BK94" s="90">
        <f t="shared" si="89"/>
        <v>3</v>
      </c>
      <c r="BL94" s="406">
        <v>21</v>
      </c>
      <c r="BM94" s="413">
        <f t="shared" si="90"/>
        <v>2.834008097165992</v>
      </c>
      <c r="BN94" s="414">
        <f t="shared" si="91"/>
        <v>60</v>
      </c>
      <c r="BO94" s="415">
        <f t="shared" si="92"/>
        <v>1.7999999999999998</v>
      </c>
      <c r="BP94" s="416">
        <v>0.08</v>
      </c>
      <c r="BQ94" s="417">
        <f t="shared" si="93"/>
        <v>66.666666666666671</v>
      </c>
      <c r="BR94" s="415">
        <f t="shared" si="94"/>
        <v>0.66666666666666674</v>
      </c>
      <c r="BS94" s="350">
        <f t="shared" si="95"/>
        <v>11.058837777204568</v>
      </c>
    </row>
    <row r="95" spans="1:71" x14ac:dyDescent="0.6">
      <c r="A95" s="214" t="s">
        <v>468</v>
      </c>
      <c r="B95" s="13" t="s">
        <v>2074</v>
      </c>
      <c r="C95" s="219" t="s">
        <v>527</v>
      </c>
      <c r="D95" s="216" t="s">
        <v>285</v>
      </c>
      <c r="E95" s="217" t="s">
        <v>1167</v>
      </c>
      <c r="F95" s="217" t="s">
        <v>646</v>
      </c>
      <c r="G95" s="218">
        <v>40402</v>
      </c>
      <c r="H95" s="217" t="s">
        <v>830</v>
      </c>
      <c r="I95" s="217" t="s">
        <v>1626</v>
      </c>
      <c r="J95" s="217" t="s">
        <v>1063</v>
      </c>
      <c r="K95" s="217" t="s">
        <v>91</v>
      </c>
      <c r="L95" s="220">
        <v>495800634</v>
      </c>
      <c r="M95" s="206">
        <v>219426512</v>
      </c>
      <c r="N95" s="206">
        <v>276374122</v>
      </c>
      <c r="O95" s="206">
        <v>550919165</v>
      </c>
      <c r="P95" s="206">
        <v>10121946</v>
      </c>
      <c r="Q95" s="206">
        <v>5248704</v>
      </c>
      <c r="R95" s="206">
        <v>3912437</v>
      </c>
      <c r="S95" s="405">
        <v>0</v>
      </c>
      <c r="T95" s="405">
        <v>0</v>
      </c>
      <c r="U95" s="406">
        <v>0</v>
      </c>
      <c r="V95" s="406">
        <v>0</v>
      </c>
      <c r="W95" s="407">
        <f t="shared" si="97"/>
        <v>0</v>
      </c>
      <c r="X95" s="407">
        <f t="shared" si="98"/>
        <v>100</v>
      </c>
      <c r="Y95" s="408">
        <f t="shared" si="99"/>
        <v>3</v>
      </c>
      <c r="Z95" s="444" t="s">
        <v>3333</v>
      </c>
      <c r="AA95" s="442">
        <v>0</v>
      </c>
      <c r="AB95" s="406">
        <v>0</v>
      </c>
      <c r="AC95" s="406">
        <v>0</v>
      </c>
      <c r="AD95" s="407">
        <f t="shared" si="100"/>
        <v>0</v>
      </c>
      <c r="AE95" s="364" t="str">
        <f t="shared" si="101"/>
        <v>50</v>
      </c>
      <c r="AF95" s="349">
        <f t="shared" si="102"/>
        <v>0.25</v>
      </c>
      <c r="AG95" s="154">
        <v>2495</v>
      </c>
      <c r="AH95" s="154">
        <v>613661</v>
      </c>
      <c r="AI95" s="409">
        <f t="shared" si="78"/>
        <v>245.95631262525049</v>
      </c>
      <c r="AJ95" s="409">
        <f t="shared" si="79"/>
        <v>100</v>
      </c>
      <c r="AK95" s="408">
        <f t="shared" si="103"/>
        <v>1</v>
      </c>
      <c r="AL95" s="45">
        <v>514549</v>
      </c>
      <c r="AM95" s="361">
        <f t="shared" si="96"/>
        <v>19.26191674651005</v>
      </c>
      <c r="AN95" s="365">
        <f t="shared" si="80"/>
        <v>28.611609389970635</v>
      </c>
      <c r="AO95" s="320">
        <f t="shared" si="104"/>
        <v>0.28611609389970638</v>
      </c>
      <c r="AP95" s="277">
        <f>_xlfn.XLOOKUP(C95, '1.건전성'!C:C, '1.건전성'!BE:BE)</f>
        <v>183417546</v>
      </c>
      <c r="AQ95" s="277">
        <f>_xlfn.XLOOKUP(C95, '1.건전성'!C:C, '1.건전성'!BF:BF)</f>
        <v>13724230</v>
      </c>
      <c r="AR95" s="410">
        <f t="shared" si="81"/>
        <v>197141776</v>
      </c>
      <c r="AS95" s="366">
        <f t="shared" si="76"/>
        <v>35.784156465132234</v>
      </c>
      <c r="AT95" s="366">
        <f t="shared" si="82"/>
        <v>51.59609783803937</v>
      </c>
      <c r="AU95" s="321">
        <f t="shared" si="83"/>
        <v>0.51596097838039368</v>
      </c>
      <c r="AV95" s="15">
        <v>23374494</v>
      </c>
      <c r="AW95" s="361">
        <f t="shared" si="77"/>
        <v>4.242817365048464</v>
      </c>
      <c r="AX95" s="361">
        <f t="shared" si="84"/>
        <v>56.384980038245942</v>
      </c>
      <c r="AY95" s="321">
        <f t="shared" si="105"/>
        <v>0.28192490019122973</v>
      </c>
      <c r="AZ95" s="411">
        <v>9.4</v>
      </c>
      <c r="BA95" s="412">
        <f t="shared" si="85"/>
        <v>80</v>
      </c>
      <c r="BB95" s="408">
        <f t="shared" si="106"/>
        <v>0.4</v>
      </c>
      <c r="BC95" s="204">
        <v>1</v>
      </c>
      <c r="BD95" s="407">
        <f t="shared" si="86"/>
        <v>100</v>
      </c>
      <c r="BE95" s="408">
        <f t="shared" si="107"/>
        <v>0.5</v>
      </c>
      <c r="BF95" s="204">
        <v>0</v>
      </c>
      <c r="BG95" s="204">
        <v>0</v>
      </c>
      <c r="BH95" s="204">
        <v>0</v>
      </c>
      <c r="BI95" s="272" t="str">
        <f t="shared" si="87"/>
        <v>A</v>
      </c>
      <c r="BJ95" s="247">
        <f t="shared" si="88"/>
        <v>100</v>
      </c>
      <c r="BK95" s="90">
        <f t="shared" si="89"/>
        <v>3</v>
      </c>
      <c r="BL95" s="406">
        <v>550</v>
      </c>
      <c r="BM95" s="413">
        <f t="shared" si="90"/>
        <v>22.044088176352705</v>
      </c>
      <c r="BN95" s="414">
        <f t="shared" si="91"/>
        <v>20</v>
      </c>
      <c r="BO95" s="415">
        <f t="shared" si="92"/>
        <v>0.6</v>
      </c>
      <c r="BP95" s="416">
        <v>0.5</v>
      </c>
      <c r="BQ95" s="417">
        <f t="shared" si="93"/>
        <v>66.666666666666671</v>
      </c>
      <c r="BR95" s="415">
        <f t="shared" si="94"/>
        <v>0.66666666666666674</v>
      </c>
      <c r="BS95" s="350">
        <f t="shared" si="95"/>
        <v>10.500668639137995</v>
      </c>
    </row>
    <row r="96" spans="1:71" x14ac:dyDescent="0.6">
      <c r="A96" s="214" t="s">
        <v>507</v>
      </c>
      <c r="B96" s="13" t="s">
        <v>2075</v>
      </c>
      <c r="C96" s="219" t="s">
        <v>548</v>
      </c>
      <c r="D96" s="216" t="s">
        <v>203</v>
      </c>
      <c r="E96" s="217" t="s">
        <v>180</v>
      </c>
      <c r="F96" s="217" t="s">
        <v>1176</v>
      </c>
      <c r="G96" s="218">
        <v>35423</v>
      </c>
      <c r="H96" s="217" t="s">
        <v>830</v>
      </c>
      <c r="I96" s="217" t="s">
        <v>571</v>
      </c>
      <c r="J96" s="217" t="s">
        <v>1163</v>
      </c>
      <c r="K96" s="217" t="s">
        <v>425</v>
      </c>
      <c r="L96" s="220">
        <v>92085226</v>
      </c>
      <c r="M96" s="206">
        <v>42058880</v>
      </c>
      <c r="N96" s="206">
        <v>50026346</v>
      </c>
      <c r="O96" s="206">
        <v>193400697</v>
      </c>
      <c r="P96" s="206">
        <v>13461075</v>
      </c>
      <c r="Q96" s="206">
        <v>12948368</v>
      </c>
      <c r="R96" s="206">
        <v>10621743</v>
      </c>
      <c r="S96" s="405">
        <v>0</v>
      </c>
      <c r="T96" s="405">
        <v>0</v>
      </c>
      <c r="U96" s="406">
        <v>0</v>
      </c>
      <c r="V96" s="406">
        <v>0</v>
      </c>
      <c r="W96" s="407">
        <f t="shared" si="97"/>
        <v>0</v>
      </c>
      <c r="X96" s="407">
        <f t="shared" si="98"/>
        <v>100</v>
      </c>
      <c r="Y96" s="408">
        <f t="shared" si="99"/>
        <v>3</v>
      </c>
      <c r="Z96" s="444" t="s">
        <v>3334</v>
      </c>
      <c r="AA96" s="442">
        <v>0</v>
      </c>
      <c r="AB96" s="406">
        <v>0</v>
      </c>
      <c r="AC96" s="406">
        <v>0</v>
      </c>
      <c r="AD96" s="407">
        <f t="shared" si="100"/>
        <v>0</v>
      </c>
      <c r="AE96" s="364" t="str">
        <f t="shared" si="101"/>
        <v>50</v>
      </c>
      <c r="AF96" s="349">
        <f t="shared" si="102"/>
        <v>0.25</v>
      </c>
      <c r="AG96" s="154">
        <v>172</v>
      </c>
      <c r="AH96" s="154">
        <v>6310</v>
      </c>
      <c r="AI96" s="409">
        <f t="shared" si="78"/>
        <v>36.686046511627907</v>
      </c>
      <c r="AJ96" s="409">
        <f t="shared" si="79"/>
        <v>52.514534883720927</v>
      </c>
      <c r="AK96" s="408">
        <f t="shared" si="103"/>
        <v>0.52514534883720931</v>
      </c>
      <c r="AL96" s="45">
        <v>5187</v>
      </c>
      <c r="AM96" s="361">
        <f t="shared" si="96"/>
        <v>21.650279545016389</v>
      </c>
      <c r="AN96" s="365">
        <f t="shared" si="80"/>
        <v>29.059427414690575</v>
      </c>
      <c r="AO96" s="320">
        <f t="shared" si="104"/>
        <v>0.29059427414690575</v>
      </c>
      <c r="AP96" s="277">
        <f>_xlfn.XLOOKUP(C96, '1.건전성'!C:C, '1.건전성'!BE:BE)</f>
        <v>11646184</v>
      </c>
      <c r="AQ96" s="277">
        <f>_xlfn.XLOOKUP(C96, '1.건전성'!C:C, '1.건전성'!BF:BF)</f>
        <v>849698</v>
      </c>
      <c r="AR96" s="410">
        <f t="shared" si="81"/>
        <v>12495882</v>
      </c>
      <c r="AS96" s="366">
        <f t="shared" si="76"/>
        <v>6.4611359699494777</v>
      </c>
      <c r="AT96" s="366">
        <f t="shared" si="82"/>
        <v>29.493318570313676</v>
      </c>
      <c r="AU96" s="321">
        <f t="shared" si="83"/>
        <v>0.29493318570313676</v>
      </c>
      <c r="AV96" s="15">
        <v>370385</v>
      </c>
      <c r="AW96" s="361">
        <f t="shared" si="77"/>
        <v>0.1915117193191915</v>
      </c>
      <c r="AX96" s="361">
        <f t="shared" si="84"/>
        <v>25.693270600902967</v>
      </c>
      <c r="AY96" s="321">
        <f t="shared" si="105"/>
        <v>0.12846635300451484</v>
      </c>
      <c r="AZ96" s="411">
        <v>5.7</v>
      </c>
      <c r="BA96" s="412">
        <f t="shared" si="85"/>
        <v>40</v>
      </c>
      <c r="BB96" s="408">
        <f t="shared" si="106"/>
        <v>0.2</v>
      </c>
      <c r="BC96" s="204">
        <v>1</v>
      </c>
      <c r="BD96" s="407">
        <f t="shared" si="86"/>
        <v>100</v>
      </c>
      <c r="BE96" s="408">
        <f t="shared" si="107"/>
        <v>0.5</v>
      </c>
      <c r="BF96" s="204">
        <v>0</v>
      </c>
      <c r="BG96" s="204">
        <v>0</v>
      </c>
      <c r="BH96" s="204">
        <v>0</v>
      </c>
      <c r="BI96" s="272" t="str">
        <f t="shared" si="87"/>
        <v>A</v>
      </c>
      <c r="BJ96" s="247">
        <f t="shared" si="88"/>
        <v>100</v>
      </c>
      <c r="BK96" s="90">
        <f t="shared" si="89"/>
        <v>3</v>
      </c>
      <c r="BL96" s="406">
        <v>17</v>
      </c>
      <c r="BM96" s="413">
        <f t="shared" si="90"/>
        <v>9.8837209302325579</v>
      </c>
      <c r="BN96" s="414">
        <f t="shared" si="91"/>
        <v>20</v>
      </c>
      <c r="BO96" s="415">
        <f t="shared" si="92"/>
        <v>0.6</v>
      </c>
      <c r="BP96" s="416">
        <v>8.3699999999999992</v>
      </c>
      <c r="BQ96" s="417">
        <f t="shared" si="93"/>
        <v>100</v>
      </c>
      <c r="BR96" s="415">
        <f t="shared" si="94"/>
        <v>1</v>
      </c>
      <c r="BS96" s="350">
        <f t="shared" si="95"/>
        <v>9.7891391616917662</v>
      </c>
    </row>
    <row r="97" spans="1:71" x14ac:dyDescent="0.6">
      <c r="A97" s="214" t="s">
        <v>1627</v>
      </c>
      <c r="B97" s="13" t="s">
        <v>2076</v>
      </c>
      <c r="C97" s="219" t="s">
        <v>856</v>
      </c>
      <c r="D97" s="216" t="s">
        <v>203</v>
      </c>
      <c r="E97" s="217" t="s">
        <v>1067</v>
      </c>
      <c r="F97" s="217" t="s">
        <v>154</v>
      </c>
      <c r="G97" s="218">
        <v>28305</v>
      </c>
      <c r="H97" s="217" t="s">
        <v>830</v>
      </c>
      <c r="I97" s="217" t="s">
        <v>194</v>
      </c>
      <c r="J97" s="217" t="s">
        <v>665</v>
      </c>
      <c r="K97" s="217" t="s">
        <v>91</v>
      </c>
      <c r="L97" s="220">
        <v>215451170</v>
      </c>
      <c r="M97" s="206">
        <v>65681714</v>
      </c>
      <c r="N97" s="206">
        <v>149769456</v>
      </c>
      <c r="O97" s="206">
        <v>146246080</v>
      </c>
      <c r="P97" s="206">
        <v>9308222</v>
      </c>
      <c r="Q97" s="206">
        <v>8741705</v>
      </c>
      <c r="R97" s="206">
        <v>6752046</v>
      </c>
      <c r="S97" s="405">
        <v>0</v>
      </c>
      <c r="T97" s="405">
        <v>0</v>
      </c>
      <c r="U97" s="406">
        <v>0</v>
      </c>
      <c r="V97" s="406">
        <v>0</v>
      </c>
      <c r="W97" s="407">
        <f t="shared" si="97"/>
        <v>0</v>
      </c>
      <c r="X97" s="407">
        <f t="shared" si="98"/>
        <v>100</v>
      </c>
      <c r="Y97" s="408">
        <f t="shared" si="99"/>
        <v>3</v>
      </c>
      <c r="Z97" s="444" t="s">
        <v>3335</v>
      </c>
      <c r="AA97" s="442">
        <v>0</v>
      </c>
      <c r="AB97" s="406">
        <v>0</v>
      </c>
      <c r="AC97" s="406">
        <v>0</v>
      </c>
      <c r="AD97" s="407">
        <f t="shared" si="100"/>
        <v>0</v>
      </c>
      <c r="AE97" s="364" t="str">
        <f t="shared" si="101"/>
        <v>50</v>
      </c>
      <c r="AF97" s="349">
        <f t="shared" si="102"/>
        <v>0.25</v>
      </c>
      <c r="AG97" s="154">
        <v>232</v>
      </c>
      <c r="AH97" s="154">
        <v>167174</v>
      </c>
      <c r="AI97" s="409">
        <f t="shared" si="78"/>
        <v>720.57758620689651</v>
      </c>
      <c r="AJ97" s="409">
        <f t="shared" si="79"/>
        <v>100</v>
      </c>
      <c r="AK97" s="408">
        <f t="shared" si="103"/>
        <v>1</v>
      </c>
      <c r="AL97" s="45">
        <v>101007</v>
      </c>
      <c r="AM97" s="361">
        <f t="shared" si="96"/>
        <v>65.507341075371016</v>
      </c>
      <c r="AN97" s="365">
        <f t="shared" si="80"/>
        <v>37.282626451632069</v>
      </c>
      <c r="AO97" s="320">
        <f t="shared" si="104"/>
        <v>0.37282626451632073</v>
      </c>
      <c r="AP97" s="277">
        <f>_xlfn.XLOOKUP(C97, '1.건전성'!C:C, '1.건전성'!BE:BE)</f>
        <v>13620420</v>
      </c>
      <c r="AQ97" s="277">
        <f>_xlfn.XLOOKUP(C97, '1.건전성'!C:C, '1.건전성'!BF:BF)</f>
        <v>1124088</v>
      </c>
      <c r="AR97" s="410">
        <f t="shared" si="81"/>
        <v>14744508</v>
      </c>
      <c r="AS97" s="366">
        <f t="shared" si="76"/>
        <v>10.081985103463969</v>
      </c>
      <c r="AT97" s="366">
        <f t="shared" si="82"/>
        <v>32.222601836781884</v>
      </c>
      <c r="AU97" s="321">
        <f t="shared" si="83"/>
        <v>0.32222601836781883</v>
      </c>
      <c r="AV97" s="15">
        <v>1884885</v>
      </c>
      <c r="AW97" s="361">
        <f t="shared" si="77"/>
        <v>1.2888448018572534</v>
      </c>
      <c r="AX97" s="361">
        <f t="shared" si="84"/>
        <v>34.006400014070103</v>
      </c>
      <c r="AY97" s="321">
        <f t="shared" si="105"/>
        <v>0.17003200007035052</v>
      </c>
      <c r="AZ97" s="411">
        <v>13.3</v>
      </c>
      <c r="BA97" s="412">
        <f t="shared" si="85"/>
        <v>100</v>
      </c>
      <c r="BB97" s="408">
        <f t="shared" si="106"/>
        <v>0.5</v>
      </c>
      <c r="BC97" s="204">
        <v>1</v>
      </c>
      <c r="BD97" s="407">
        <f t="shared" si="86"/>
        <v>100</v>
      </c>
      <c r="BE97" s="408">
        <f t="shared" si="107"/>
        <v>0.5</v>
      </c>
      <c r="BF97" s="204">
        <v>0</v>
      </c>
      <c r="BG97" s="204">
        <v>0</v>
      </c>
      <c r="BH97" s="204">
        <v>0</v>
      </c>
      <c r="BI97" s="272" t="str">
        <f t="shared" si="87"/>
        <v>A</v>
      </c>
      <c r="BJ97" s="247">
        <f t="shared" si="88"/>
        <v>100</v>
      </c>
      <c r="BK97" s="90">
        <f t="shared" si="89"/>
        <v>3</v>
      </c>
      <c r="BL97" s="406">
        <v>12</v>
      </c>
      <c r="BM97" s="413">
        <f t="shared" si="90"/>
        <v>5.1724137931034484</v>
      </c>
      <c r="BN97" s="414">
        <f t="shared" si="91"/>
        <v>40</v>
      </c>
      <c r="BO97" s="415">
        <f t="shared" si="92"/>
        <v>1.2</v>
      </c>
      <c r="BP97" s="416">
        <v>3.13</v>
      </c>
      <c r="BQ97" s="417">
        <f t="shared" si="93"/>
        <v>66.666666666666671</v>
      </c>
      <c r="BR97" s="415">
        <f t="shared" si="94"/>
        <v>0.66666666666666674</v>
      </c>
      <c r="BS97" s="350">
        <f t="shared" si="95"/>
        <v>10.981750949621157</v>
      </c>
    </row>
    <row r="98" spans="1:71" x14ac:dyDescent="0.6">
      <c r="A98" s="214" t="s">
        <v>868</v>
      </c>
      <c r="B98" s="13" t="s">
        <v>2077</v>
      </c>
      <c r="C98" s="219" t="s">
        <v>538</v>
      </c>
      <c r="D98" s="216" t="s">
        <v>285</v>
      </c>
      <c r="E98" s="217" t="s">
        <v>867</v>
      </c>
      <c r="F98" s="217" t="s">
        <v>149</v>
      </c>
      <c r="G98" s="218">
        <v>28793</v>
      </c>
      <c r="H98" s="217" t="s">
        <v>830</v>
      </c>
      <c r="I98" s="217" t="s">
        <v>1628</v>
      </c>
      <c r="J98" s="217" t="s">
        <v>1155</v>
      </c>
      <c r="K98" s="217" t="s">
        <v>91</v>
      </c>
      <c r="L98" s="220">
        <v>1256174707</v>
      </c>
      <c r="M98" s="206">
        <v>687867321</v>
      </c>
      <c r="N98" s="206">
        <v>568307386</v>
      </c>
      <c r="O98" s="206">
        <v>1300137418</v>
      </c>
      <c r="P98" s="206">
        <v>26971265</v>
      </c>
      <c r="Q98" s="206">
        <v>57193340</v>
      </c>
      <c r="R98" s="206">
        <v>46104412</v>
      </c>
      <c r="S98" s="405">
        <v>0</v>
      </c>
      <c r="T98" s="405">
        <v>0</v>
      </c>
      <c r="U98" s="406">
        <v>0</v>
      </c>
      <c r="V98" s="406">
        <v>0</v>
      </c>
      <c r="W98" s="407">
        <f t="shared" si="97"/>
        <v>0</v>
      </c>
      <c r="X98" s="407">
        <f t="shared" si="98"/>
        <v>100</v>
      </c>
      <c r="Y98" s="408">
        <f t="shared" si="99"/>
        <v>3</v>
      </c>
      <c r="Z98" s="444" t="s">
        <v>3336</v>
      </c>
      <c r="AA98" s="442">
        <v>1</v>
      </c>
      <c r="AB98" s="406">
        <v>0</v>
      </c>
      <c r="AC98" s="406">
        <v>0</v>
      </c>
      <c r="AD98" s="407">
        <f t="shared" si="100"/>
        <v>1</v>
      </c>
      <c r="AE98" s="364" t="str">
        <f t="shared" si="101"/>
        <v>100</v>
      </c>
      <c r="AF98" s="349">
        <f t="shared" si="102"/>
        <v>0.5</v>
      </c>
      <c r="AG98" s="154">
        <v>1080</v>
      </c>
      <c r="AH98" s="154">
        <v>293000</v>
      </c>
      <c r="AI98" s="409">
        <f t="shared" si="78"/>
        <v>271.2962962962963</v>
      </c>
      <c r="AJ98" s="409">
        <f t="shared" si="79"/>
        <v>100</v>
      </c>
      <c r="AK98" s="408">
        <f t="shared" si="103"/>
        <v>1</v>
      </c>
      <c r="AL98" s="45">
        <v>170000</v>
      </c>
      <c r="AM98" s="361">
        <f t="shared" si="96"/>
        <v>72.35294117647058</v>
      </c>
      <c r="AN98" s="365">
        <f t="shared" si="80"/>
        <v>38.566176470588232</v>
      </c>
      <c r="AO98" s="320">
        <f t="shared" si="104"/>
        <v>0.38566176470588232</v>
      </c>
      <c r="AP98" s="277">
        <f>_xlfn.XLOOKUP(C98, '1.건전성'!C:C, '1.건전성'!BE:BE)</f>
        <v>29574000</v>
      </c>
      <c r="AQ98" s="277">
        <f>_xlfn.XLOOKUP(C98, '1.건전성'!C:C, '1.건전성'!BF:BF)</f>
        <v>2094000</v>
      </c>
      <c r="AR98" s="410">
        <f t="shared" si="81"/>
        <v>31668000</v>
      </c>
      <c r="AS98" s="366">
        <f t="shared" si="76"/>
        <v>2.4357425270257087</v>
      </c>
      <c r="AT98" s="366">
        <f t="shared" si="82"/>
        <v>26.45910240730581</v>
      </c>
      <c r="AU98" s="321">
        <f t="shared" si="83"/>
        <v>0.26459102407305812</v>
      </c>
      <c r="AV98" s="419"/>
      <c r="AW98" s="361">
        <f t="shared" si="77"/>
        <v>0</v>
      </c>
      <c r="AX98" s="361">
        <f t="shared" si="84"/>
        <v>25</v>
      </c>
      <c r="AY98" s="321">
        <f t="shared" si="105"/>
        <v>0.125</v>
      </c>
      <c r="AZ98" s="411">
        <v>7</v>
      </c>
      <c r="BA98" s="412">
        <f t="shared" si="85"/>
        <v>60</v>
      </c>
      <c r="BB98" s="408">
        <f t="shared" si="106"/>
        <v>0.3</v>
      </c>
      <c r="BC98" s="204">
        <v>1</v>
      </c>
      <c r="BD98" s="407">
        <f t="shared" si="86"/>
        <v>100</v>
      </c>
      <c r="BE98" s="408">
        <f t="shared" si="107"/>
        <v>0.5</v>
      </c>
      <c r="BF98" s="204">
        <v>1</v>
      </c>
      <c r="BG98" s="204">
        <v>0</v>
      </c>
      <c r="BH98" s="204">
        <v>1</v>
      </c>
      <c r="BI98" s="272" t="str">
        <f t="shared" si="87"/>
        <v>D</v>
      </c>
      <c r="BJ98" s="247">
        <f t="shared" si="88"/>
        <v>25</v>
      </c>
      <c r="BK98" s="90">
        <f t="shared" si="89"/>
        <v>0.75</v>
      </c>
      <c r="BL98" s="406">
        <v>365</v>
      </c>
      <c r="BM98" s="413">
        <f t="shared" si="90"/>
        <v>33.796296296296298</v>
      </c>
      <c r="BN98" s="414">
        <f t="shared" si="91"/>
        <v>20</v>
      </c>
      <c r="BO98" s="415">
        <f t="shared" si="92"/>
        <v>0.6</v>
      </c>
      <c r="BP98" s="416">
        <v>0</v>
      </c>
      <c r="BQ98" s="417">
        <f t="shared" si="93"/>
        <v>33.333333333333336</v>
      </c>
      <c r="BR98" s="415">
        <f t="shared" si="94"/>
        <v>0.33333333333333337</v>
      </c>
      <c r="BS98" s="350">
        <f t="shared" si="95"/>
        <v>7.7585861221122734</v>
      </c>
    </row>
    <row r="99" spans="1:71" x14ac:dyDescent="0.6">
      <c r="A99" s="214" t="s">
        <v>782</v>
      </c>
      <c r="B99" s="13" t="s">
        <v>2078</v>
      </c>
      <c r="C99" s="219" t="s">
        <v>431</v>
      </c>
      <c r="D99" s="216" t="s">
        <v>285</v>
      </c>
      <c r="E99" s="217" t="s">
        <v>568</v>
      </c>
      <c r="F99" s="217" t="s">
        <v>1036</v>
      </c>
      <c r="G99" s="218">
        <v>42566</v>
      </c>
      <c r="H99" s="217" t="s">
        <v>830</v>
      </c>
      <c r="I99" s="217" t="s">
        <v>699</v>
      </c>
      <c r="J99" s="217" t="s">
        <v>1022</v>
      </c>
      <c r="K99" s="217" t="s">
        <v>91</v>
      </c>
      <c r="L99" s="220">
        <v>1605210800</v>
      </c>
      <c r="M99" s="206">
        <v>74995068</v>
      </c>
      <c r="N99" s="206">
        <v>1530215732</v>
      </c>
      <c r="O99" s="206">
        <v>516898546</v>
      </c>
      <c r="P99" s="206">
        <v>34700109</v>
      </c>
      <c r="Q99" s="206">
        <v>126366266</v>
      </c>
      <c r="R99" s="206">
        <v>167855852</v>
      </c>
      <c r="S99" s="405">
        <v>0</v>
      </c>
      <c r="T99" s="405">
        <v>0</v>
      </c>
      <c r="U99" s="406">
        <v>0</v>
      </c>
      <c r="V99" s="406">
        <v>0</v>
      </c>
      <c r="W99" s="407">
        <f t="shared" si="97"/>
        <v>0</v>
      </c>
      <c r="X99" s="407">
        <f t="shared" si="98"/>
        <v>100</v>
      </c>
      <c r="Y99" s="408">
        <f t="shared" si="99"/>
        <v>3</v>
      </c>
      <c r="Z99" s="444" t="s">
        <v>3337</v>
      </c>
      <c r="AA99" s="442">
        <v>0</v>
      </c>
      <c r="AB99" s="406">
        <v>0</v>
      </c>
      <c r="AC99" s="406">
        <v>0</v>
      </c>
      <c r="AD99" s="407">
        <f t="shared" si="100"/>
        <v>0</v>
      </c>
      <c r="AE99" s="364" t="str">
        <f t="shared" si="101"/>
        <v>50</v>
      </c>
      <c r="AF99" s="349">
        <f t="shared" si="102"/>
        <v>0.25</v>
      </c>
      <c r="AG99" s="154">
        <v>285</v>
      </c>
      <c r="AH99" s="421"/>
      <c r="AI99" s="409">
        <f t="shared" si="78"/>
        <v>0</v>
      </c>
      <c r="AJ99" s="409">
        <f t="shared" si="79"/>
        <v>25</v>
      </c>
      <c r="AK99" s="408">
        <f t="shared" si="103"/>
        <v>0.25</v>
      </c>
      <c r="AL99" s="423"/>
      <c r="AM99" s="424">
        <v>0</v>
      </c>
      <c r="AN99" s="365">
        <f t="shared" si="80"/>
        <v>25</v>
      </c>
      <c r="AO99" s="320">
        <f t="shared" si="104"/>
        <v>0.25</v>
      </c>
      <c r="AP99" s="277">
        <f>_xlfn.XLOOKUP(C99, '1.건전성'!C:C, '1.건전성'!BE:BE)</f>
        <v>12402915</v>
      </c>
      <c r="AQ99" s="277">
        <f>_xlfn.XLOOKUP(C99, '1.건전성'!C:C, '1.건전성'!BF:BF)</f>
        <v>773963</v>
      </c>
      <c r="AR99" s="410">
        <f t="shared" si="81"/>
        <v>13176878</v>
      </c>
      <c r="AS99" s="366">
        <f t="shared" si="76"/>
        <v>2.5492193974946877</v>
      </c>
      <c r="AT99" s="366">
        <f t="shared" si="82"/>
        <v>26.54463773680504</v>
      </c>
      <c r="AU99" s="321">
        <f t="shared" si="83"/>
        <v>0.26544637736805038</v>
      </c>
      <c r="AV99" s="15">
        <v>1909820</v>
      </c>
      <c r="AW99" s="361">
        <f t="shared" si="77"/>
        <v>0.36947675995203905</v>
      </c>
      <c r="AX99" s="361">
        <f t="shared" si="84"/>
        <v>27.041490605697266</v>
      </c>
      <c r="AY99" s="321">
        <f t="shared" si="105"/>
        <v>0.13520745302848633</v>
      </c>
      <c r="AZ99" s="411">
        <v>14.71</v>
      </c>
      <c r="BA99" s="412">
        <f t="shared" si="85"/>
        <v>100</v>
      </c>
      <c r="BB99" s="408">
        <f t="shared" si="106"/>
        <v>0.5</v>
      </c>
      <c r="BC99" s="204">
        <v>1</v>
      </c>
      <c r="BD99" s="407">
        <f t="shared" si="86"/>
        <v>100</v>
      </c>
      <c r="BE99" s="408">
        <f t="shared" si="107"/>
        <v>0.5</v>
      </c>
      <c r="BF99" s="204">
        <v>0</v>
      </c>
      <c r="BG99" s="204">
        <v>0</v>
      </c>
      <c r="BH99" s="204">
        <v>0</v>
      </c>
      <c r="BI99" s="272" t="str">
        <f t="shared" si="87"/>
        <v>A</v>
      </c>
      <c r="BJ99" s="247">
        <f t="shared" si="88"/>
        <v>100</v>
      </c>
      <c r="BK99" s="90">
        <f t="shared" si="89"/>
        <v>3</v>
      </c>
      <c r="BL99" s="406">
        <v>11</v>
      </c>
      <c r="BM99" s="413">
        <f t="shared" si="90"/>
        <v>3.8596491228070176</v>
      </c>
      <c r="BN99" s="414">
        <f t="shared" si="91"/>
        <v>40</v>
      </c>
      <c r="BO99" s="415">
        <f t="shared" si="92"/>
        <v>1.2</v>
      </c>
      <c r="BP99" s="416">
        <v>1.19</v>
      </c>
      <c r="BQ99" s="417">
        <f t="shared" si="93"/>
        <v>66.666666666666671</v>
      </c>
      <c r="BR99" s="415">
        <f t="shared" si="94"/>
        <v>0.66666666666666674</v>
      </c>
      <c r="BS99" s="350">
        <f t="shared" si="95"/>
        <v>10.017320497063201</v>
      </c>
    </row>
    <row r="100" spans="1:71" x14ac:dyDescent="0.6">
      <c r="A100" s="214" t="s">
        <v>440</v>
      </c>
      <c r="B100" s="13" t="s">
        <v>2079</v>
      </c>
      <c r="C100" s="219" t="s">
        <v>108</v>
      </c>
      <c r="D100" s="216" t="s">
        <v>191</v>
      </c>
      <c r="E100" s="217" t="s">
        <v>34</v>
      </c>
      <c r="F100" s="217" t="s">
        <v>242</v>
      </c>
      <c r="G100" s="218">
        <v>41372</v>
      </c>
      <c r="H100" s="217" t="s">
        <v>830</v>
      </c>
      <c r="I100" s="217" t="s">
        <v>768</v>
      </c>
      <c r="J100" s="217" t="s">
        <v>1057</v>
      </c>
      <c r="K100" s="217" t="s">
        <v>91</v>
      </c>
      <c r="L100" s="220">
        <v>1135143086</v>
      </c>
      <c r="M100" s="206">
        <v>463178728</v>
      </c>
      <c r="N100" s="206">
        <v>671964358</v>
      </c>
      <c r="O100" s="206">
        <v>635839633</v>
      </c>
      <c r="P100" s="206">
        <v>30527351</v>
      </c>
      <c r="Q100" s="206">
        <v>13547054</v>
      </c>
      <c r="R100" s="206">
        <v>9019750</v>
      </c>
      <c r="S100" s="405">
        <v>0</v>
      </c>
      <c r="T100" s="405">
        <v>0</v>
      </c>
      <c r="U100" s="406">
        <v>0</v>
      </c>
      <c r="V100" s="406">
        <v>0</v>
      </c>
      <c r="W100" s="407">
        <f t="shared" si="97"/>
        <v>0</v>
      </c>
      <c r="X100" s="407">
        <f t="shared" si="98"/>
        <v>100</v>
      </c>
      <c r="Y100" s="408">
        <f t="shared" si="99"/>
        <v>3</v>
      </c>
      <c r="Z100" s="444" t="s">
        <v>3338</v>
      </c>
      <c r="AA100" s="442">
        <v>0</v>
      </c>
      <c r="AB100" s="406">
        <v>1</v>
      </c>
      <c r="AC100" s="406">
        <v>0</v>
      </c>
      <c r="AD100" s="407">
        <f t="shared" si="100"/>
        <v>1</v>
      </c>
      <c r="AE100" s="364" t="str">
        <f t="shared" si="101"/>
        <v>100</v>
      </c>
      <c r="AF100" s="349">
        <f t="shared" si="102"/>
        <v>0.5</v>
      </c>
      <c r="AG100" s="154">
        <v>1653</v>
      </c>
      <c r="AH100" s="154">
        <v>340833</v>
      </c>
      <c r="AI100" s="409">
        <f t="shared" si="78"/>
        <v>206.19056261343013</v>
      </c>
      <c r="AJ100" s="409">
        <f t="shared" si="79"/>
        <v>100</v>
      </c>
      <c r="AK100" s="408">
        <f t="shared" si="103"/>
        <v>1</v>
      </c>
      <c r="AL100" s="45">
        <v>301984</v>
      </c>
      <c r="AM100" s="361">
        <f t="shared" si="96"/>
        <v>12.864588852389531</v>
      </c>
      <c r="AN100" s="365">
        <f t="shared" si="80"/>
        <v>27.412110409823036</v>
      </c>
      <c r="AO100" s="320">
        <f t="shared" si="104"/>
        <v>0.27412110409823037</v>
      </c>
      <c r="AP100" s="277">
        <f>_xlfn.XLOOKUP(C100, '1.건전성'!C:C, '1.건전성'!BE:BE)</f>
        <v>74563786</v>
      </c>
      <c r="AQ100" s="277">
        <f>_xlfn.XLOOKUP(C100, '1.건전성'!C:C, '1.건전성'!BF:BF)</f>
        <v>8616675</v>
      </c>
      <c r="AR100" s="410">
        <f t="shared" si="81"/>
        <v>83180461</v>
      </c>
      <c r="AS100" s="366">
        <f t="shared" si="76"/>
        <v>13.08198745138619</v>
      </c>
      <c r="AT100" s="366">
        <f t="shared" si="82"/>
        <v>34.483910139235824</v>
      </c>
      <c r="AU100" s="321">
        <f t="shared" si="83"/>
        <v>0.34483910139235824</v>
      </c>
      <c r="AV100" s="15">
        <v>18753007</v>
      </c>
      <c r="AW100" s="361">
        <f t="shared" si="77"/>
        <v>2.9493296779126696</v>
      </c>
      <c r="AX100" s="361">
        <f t="shared" si="84"/>
        <v>46.585830893277802</v>
      </c>
      <c r="AY100" s="321">
        <f t="shared" si="105"/>
        <v>0.23292915446638901</v>
      </c>
      <c r="AZ100" s="411">
        <v>12.2</v>
      </c>
      <c r="BA100" s="412">
        <f t="shared" si="85"/>
        <v>100</v>
      </c>
      <c r="BB100" s="408">
        <f t="shared" si="106"/>
        <v>0.5</v>
      </c>
      <c r="BC100" s="204">
        <v>1</v>
      </c>
      <c r="BD100" s="407">
        <f t="shared" si="86"/>
        <v>100</v>
      </c>
      <c r="BE100" s="408">
        <f t="shared" si="107"/>
        <v>0.5</v>
      </c>
      <c r="BF100" s="204">
        <v>0</v>
      </c>
      <c r="BG100" s="204">
        <v>1</v>
      </c>
      <c r="BH100" s="204">
        <v>0</v>
      </c>
      <c r="BI100" s="272" t="str">
        <f t="shared" si="87"/>
        <v>C</v>
      </c>
      <c r="BJ100" s="247">
        <f t="shared" si="88"/>
        <v>50</v>
      </c>
      <c r="BK100" s="90">
        <f t="shared" si="89"/>
        <v>1.5</v>
      </c>
      <c r="BL100" s="406">
        <v>10</v>
      </c>
      <c r="BM100" s="413">
        <f t="shared" si="90"/>
        <v>0.60496067755595884</v>
      </c>
      <c r="BN100" s="414">
        <f t="shared" si="91"/>
        <v>80</v>
      </c>
      <c r="BO100" s="415">
        <f t="shared" si="92"/>
        <v>2.4</v>
      </c>
      <c r="BP100" s="416">
        <v>6.9</v>
      </c>
      <c r="BQ100" s="417">
        <f t="shared" si="93"/>
        <v>100</v>
      </c>
      <c r="BR100" s="415">
        <f t="shared" si="94"/>
        <v>1</v>
      </c>
      <c r="BS100" s="350">
        <f t="shared" si="95"/>
        <v>11.251889359956978</v>
      </c>
    </row>
    <row r="101" spans="1:71" x14ac:dyDescent="0.6">
      <c r="A101" s="214" t="s">
        <v>59</v>
      </c>
      <c r="B101" s="13" t="s">
        <v>2080</v>
      </c>
      <c r="C101" s="219" t="s">
        <v>521</v>
      </c>
      <c r="D101" s="216" t="s">
        <v>203</v>
      </c>
      <c r="E101" s="217" t="s">
        <v>197</v>
      </c>
      <c r="F101" s="217" t="s">
        <v>221</v>
      </c>
      <c r="G101" s="218">
        <v>43068</v>
      </c>
      <c r="H101" s="217" t="s">
        <v>830</v>
      </c>
      <c r="I101" s="217" t="s">
        <v>416</v>
      </c>
      <c r="J101" s="217" t="s">
        <v>1232</v>
      </c>
      <c r="K101" s="217" t="s">
        <v>50</v>
      </c>
      <c r="L101" s="220">
        <v>455083382</v>
      </c>
      <c r="M101" s="206">
        <v>77689901</v>
      </c>
      <c r="N101" s="206">
        <v>377393482</v>
      </c>
      <c r="O101" s="206">
        <v>201504926</v>
      </c>
      <c r="P101" s="206">
        <v>20813521</v>
      </c>
      <c r="Q101" s="206">
        <v>29530469</v>
      </c>
      <c r="R101" s="206">
        <v>23064473</v>
      </c>
      <c r="S101" s="405">
        <v>0</v>
      </c>
      <c r="T101" s="405">
        <v>0</v>
      </c>
      <c r="U101" s="406">
        <v>0</v>
      </c>
      <c r="V101" s="406">
        <v>0</v>
      </c>
      <c r="W101" s="407">
        <f t="shared" si="97"/>
        <v>0</v>
      </c>
      <c r="X101" s="407">
        <f t="shared" si="98"/>
        <v>100</v>
      </c>
      <c r="Y101" s="408">
        <f t="shared" si="99"/>
        <v>3</v>
      </c>
      <c r="Z101" s="444" t="s">
        <v>3339</v>
      </c>
      <c r="AA101" s="442">
        <v>0</v>
      </c>
      <c r="AB101" s="406">
        <v>0</v>
      </c>
      <c r="AC101" s="406">
        <v>0</v>
      </c>
      <c r="AD101" s="407">
        <f t="shared" si="100"/>
        <v>0</v>
      </c>
      <c r="AE101" s="364" t="str">
        <f t="shared" si="101"/>
        <v>50</v>
      </c>
      <c r="AF101" s="349">
        <f t="shared" si="102"/>
        <v>0.25</v>
      </c>
      <c r="AG101" s="154">
        <v>516</v>
      </c>
      <c r="AH101" s="154">
        <v>33776</v>
      </c>
      <c r="AI101" s="409">
        <f t="shared" si="78"/>
        <v>65.457364341085267</v>
      </c>
      <c r="AJ101" s="409">
        <f t="shared" si="79"/>
        <v>74.093023255813961</v>
      </c>
      <c r="AK101" s="408">
        <f t="shared" si="103"/>
        <v>0.74093023255813961</v>
      </c>
      <c r="AL101" s="45">
        <v>2379</v>
      </c>
      <c r="AM101" s="361">
        <f t="shared" si="96"/>
        <v>1319.756200084069</v>
      </c>
      <c r="AN101" s="365">
        <f t="shared" si="80"/>
        <v>100</v>
      </c>
      <c r="AO101" s="320">
        <f t="shared" si="104"/>
        <v>1</v>
      </c>
      <c r="AP101" s="277">
        <f>_xlfn.XLOOKUP(C101, '1.건전성'!C:C, '1.건전성'!BE:BE)</f>
        <v>4334350</v>
      </c>
      <c r="AQ101" s="277">
        <f>_xlfn.XLOOKUP(C101, '1.건전성'!C:C, '1.건전성'!BF:BF)</f>
        <v>346770</v>
      </c>
      <c r="AR101" s="410">
        <f t="shared" si="81"/>
        <v>4681120</v>
      </c>
      <c r="AS101" s="366">
        <f t="shared" si="76"/>
        <v>2.3230796849105317</v>
      </c>
      <c r="AT101" s="366">
        <f t="shared" si="82"/>
        <v>26.374180667017988</v>
      </c>
      <c r="AU101" s="321">
        <f t="shared" si="83"/>
        <v>0.26374180667017988</v>
      </c>
      <c r="AV101" s="15">
        <v>300552</v>
      </c>
      <c r="AW101" s="361">
        <f t="shared" si="77"/>
        <v>0.14915367379157768</v>
      </c>
      <c r="AX101" s="361">
        <f t="shared" si="84"/>
        <v>25.37237631660286</v>
      </c>
      <c r="AY101" s="321">
        <f t="shared" si="105"/>
        <v>0.12686188158301431</v>
      </c>
      <c r="AZ101" s="411">
        <v>7.03</v>
      </c>
      <c r="BA101" s="412">
        <f t="shared" si="85"/>
        <v>60</v>
      </c>
      <c r="BB101" s="408">
        <f t="shared" si="106"/>
        <v>0.3</v>
      </c>
      <c r="BC101" s="204">
        <v>1</v>
      </c>
      <c r="BD101" s="407">
        <f t="shared" si="86"/>
        <v>100</v>
      </c>
      <c r="BE101" s="408">
        <f t="shared" si="107"/>
        <v>0.5</v>
      </c>
      <c r="BF101" s="204">
        <v>0</v>
      </c>
      <c r="BG101" s="204">
        <v>0</v>
      </c>
      <c r="BH101" s="204">
        <v>0</v>
      </c>
      <c r="BI101" s="272" t="str">
        <f t="shared" si="87"/>
        <v>A</v>
      </c>
      <c r="BJ101" s="247">
        <f t="shared" si="88"/>
        <v>100</v>
      </c>
      <c r="BK101" s="90">
        <f t="shared" si="89"/>
        <v>3</v>
      </c>
      <c r="BL101" s="406">
        <v>0</v>
      </c>
      <c r="BM101" s="413">
        <f t="shared" si="90"/>
        <v>0</v>
      </c>
      <c r="BN101" s="414">
        <f t="shared" si="91"/>
        <v>100</v>
      </c>
      <c r="BO101" s="415">
        <f t="shared" si="92"/>
        <v>3</v>
      </c>
      <c r="BP101" s="416">
        <v>0.96</v>
      </c>
      <c r="BQ101" s="417">
        <f t="shared" si="93"/>
        <v>66.666666666666671</v>
      </c>
      <c r="BR101" s="415">
        <f t="shared" si="94"/>
        <v>0.66666666666666674</v>
      </c>
      <c r="BS101" s="350">
        <f t="shared" si="95"/>
        <v>12.848200587477999</v>
      </c>
    </row>
    <row r="102" spans="1:71" x14ac:dyDescent="0.6">
      <c r="A102" s="214" t="s">
        <v>100</v>
      </c>
      <c r="B102" s="13" t="s">
        <v>2081</v>
      </c>
      <c r="C102" s="219" t="s">
        <v>32</v>
      </c>
      <c r="D102" s="221" t="s">
        <v>481</v>
      </c>
      <c r="E102" s="217" t="s">
        <v>704</v>
      </c>
      <c r="F102" s="217" t="s">
        <v>360</v>
      </c>
      <c r="G102" s="218">
        <v>40094</v>
      </c>
      <c r="H102" s="217" t="s">
        <v>830</v>
      </c>
      <c r="I102" s="217" t="s">
        <v>971</v>
      </c>
      <c r="J102" s="217" t="s">
        <v>1160</v>
      </c>
      <c r="K102" s="217" t="s">
        <v>91</v>
      </c>
      <c r="L102" s="220">
        <v>37434509044</v>
      </c>
      <c r="M102" s="206">
        <v>35502248501</v>
      </c>
      <c r="N102" s="206">
        <v>1932260544</v>
      </c>
      <c r="O102" s="206">
        <v>10262246106</v>
      </c>
      <c r="P102" s="206">
        <v>152919076</v>
      </c>
      <c r="Q102" s="206">
        <v>119769829</v>
      </c>
      <c r="R102" s="206">
        <v>97027738</v>
      </c>
      <c r="S102" s="275" t="s">
        <v>2326</v>
      </c>
      <c r="T102" s="275" t="s">
        <v>2326</v>
      </c>
      <c r="U102" s="275" t="s">
        <v>2326</v>
      </c>
      <c r="V102" s="275" t="s">
        <v>2326</v>
      </c>
      <c r="W102" s="275" t="s">
        <v>2326</v>
      </c>
      <c r="X102" s="275" t="s">
        <v>2326</v>
      </c>
      <c r="Y102" s="276"/>
      <c r="Z102" s="275" t="s">
        <v>2326</v>
      </c>
      <c r="AA102" s="275" t="s">
        <v>2326</v>
      </c>
      <c r="AB102" s="275" t="s">
        <v>2326</v>
      </c>
      <c r="AC102" s="275" t="s">
        <v>2326</v>
      </c>
      <c r="AD102" s="275" t="s">
        <v>2326</v>
      </c>
      <c r="AE102" s="275" t="s">
        <v>2326</v>
      </c>
      <c r="AF102" s="275"/>
      <c r="AG102" s="154">
        <v>921</v>
      </c>
      <c r="AH102" s="154">
        <v>356000</v>
      </c>
      <c r="AI102" s="409">
        <f t="shared" si="78"/>
        <v>386.53637350705753</v>
      </c>
      <c r="AJ102" s="409">
        <f t="shared" si="79"/>
        <v>100</v>
      </c>
      <c r="AK102" s="418">
        <f>AJ102*0.02</f>
        <v>2</v>
      </c>
      <c r="AL102" s="45">
        <v>193000</v>
      </c>
      <c r="AM102" s="361">
        <f t="shared" si="96"/>
        <v>84.4559585492228</v>
      </c>
      <c r="AN102" s="365">
        <f t="shared" si="80"/>
        <v>40.835492227979273</v>
      </c>
      <c r="AO102" s="322">
        <f>AN102*0.02</f>
        <v>0.81670984455958551</v>
      </c>
      <c r="AP102" s="277">
        <f>_xlfn.XLOOKUP(C102, '1.건전성'!C:C, '1.건전성'!BE:BE)</f>
        <v>7885000</v>
      </c>
      <c r="AQ102" s="277">
        <f>_xlfn.XLOOKUP(C102, '1.건전성'!C:C, '1.건전성'!BF:BF)</f>
        <v>562000</v>
      </c>
      <c r="AR102" s="410">
        <f t="shared" si="81"/>
        <v>8447000</v>
      </c>
      <c r="AS102" s="366">
        <f t="shared" si="76"/>
        <v>8.2311415188740356E-2</v>
      </c>
      <c r="AT102" s="366">
        <f t="shared" si="82"/>
        <v>25</v>
      </c>
      <c r="AU102" s="321">
        <f t="shared" si="83"/>
        <v>0.25</v>
      </c>
      <c r="AV102" s="15">
        <v>11886000</v>
      </c>
      <c r="AW102" s="361">
        <f t="shared" si="77"/>
        <v>0.11582259748234495</v>
      </c>
      <c r="AX102" s="361">
        <f t="shared" si="84"/>
        <v>25.119868162745039</v>
      </c>
      <c r="AY102" s="348">
        <f>AX102*0.01</f>
        <v>0.2511986816274504</v>
      </c>
      <c r="AZ102" s="411">
        <v>14.1</v>
      </c>
      <c r="BA102" s="412">
        <f t="shared" si="85"/>
        <v>100</v>
      </c>
      <c r="BB102" s="418">
        <f>BA102*0.01</f>
        <v>1</v>
      </c>
      <c r="BC102" s="204">
        <v>1</v>
      </c>
      <c r="BD102" s="407">
        <f t="shared" si="86"/>
        <v>100</v>
      </c>
      <c r="BE102" s="418">
        <f>BD102*0.01</f>
        <v>1</v>
      </c>
      <c r="BF102" s="204">
        <v>0</v>
      </c>
      <c r="BG102" s="204">
        <v>1</v>
      </c>
      <c r="BH102" s="204">
        <v>0</v>
      </c>
      <c r="BI102" s="272" t="str">
        <f t="shared" si="87"/>
        <v>C</v>
      </c>
      <c r="BJ102" s="247">
        <f t="shared" si="88"/>
        <v>50</v>
      </c>
      <c r="BK102" s="90">
        <f t="shared" si="89"/>
        <v>1.5</v>
      </c>
      <c r="BL102" s="406">
        <v>53</v>
      </c>
      <c r="BM102" s="413">
        <f t="shared" si="90"/>
        <v>5.7546145494028229</v>
      </c>
      <c r="BN102" s="414">
        <f t="shared" si="91"/>
        <v>40</v>
      </c>
      <c r="BO102" s="415">
        <f t="shared" si="92"/>
        <v>1.2</v>
      </c>
      <c r="BP102" s="416">
        <v>0.3</v>
      </c>
      <c r="BQ102" s="417">
        <f t="shared" si="93"/>
        <v>66.666666666666671</v>
      </c>
      <c r="BR102" s="415">
        <f t="shared" si="94"/>
        <v>0.66666666666666674</v>
      </c>
      <c r="BS102" s="350">
        <f t="shared" si="95"/>
        <v>8.6845751928537016</v>
      </c>
    </row>
    <row r="103" spans="1:71" x14ac:dyDescent="0.6">
      <c r="A103" s="214" t="s">
        <v>1629</v>
      </c>
      <c r="B103" s="13" t="s">
        <v>2082</v>
      </c>
      <c r="C103" s="219" t="s">
        <v>1630</v>
      </c>
      <c r="D103" s="14" t="s">
        <v>191</v>
      </c>
      <c r="E103" s="217" t="s">
        <v>178</v>
      </c>
      <c r="F103" s="217" t="s">
        <v>1631</v>
      </c>
      <c r="G103" s="218">
        <v>36853</v>
      </c>
      <c r="H103" s="217" t="s">
        <v>830</v>
      </c>
      <c r="I103" s="217" t="s">
        <v>1632</v>
      </c>
      <c r="J103" s="217" t="s">
        <v>1633</v>
      </c>
      <c r="K103" s="217" t="s">
        <v>91</v>
      </c>
      <c r="L103" s="220">
        <v>1442896840</v>
      </c>
      <c r="M103" s="206">
        <v>718936776</v>
      </c>
      <c r="N103" s="206">
        <v>723960064</v>
      </c>
      <c r="O103" s="206">
        <v>1876232243</v>
      </c>
      <c r="P103" s="206">
        <v>86186465</v>
      </c>
      <c r="Q103" s="206">
        <v>91831146</v>
      </c>
      <c r="R103" s="206">
        <v>73560010</v>
      </c>
      <c r="S103" s="405">
        <v>0</v>
      </c>
      <c r="T103" s="405">
        <v>0</v>
      </c>
      <c r="U103" s="406">
        <v>0</v>
      </c>
      <c r="V103" s="406">
        <v>0</v>
      </c>
      <c r="W103" s="407">
        <f t="shared" ref="W103:W120" si="108">SUM(S103:V103)</f>
        <v>0</v>
      </c>
      <c r="X103" s="407">
        <f t="shared" ref="X103:X120" si="109">IF(W103=0, 100, IF(W103=1, 80, IF(W103=2, 60, IF(W103=3, 40, IF(W103=4, 20)))))</f>
        <v>100</v>
      </c>
      <c r="Y103" s="408">
        <f t="shared" ref="Y103:Y120" si="110">X103*0.03</f>
        <v>3</v>
      </c>
      <c r="Z103" s="444" t="s">
        <v>3340</v>
      </c>
      <c r="AA103" s="442">
        <v>0</v>
      </c>
      <c r="AB103" s="406">
        <v>0</v>
      </c>
      <c r="AC103" s="406">
        <v>0</v>
      </c>
      <c r="AD103" s="407">
        <f t="shared" ref="AD103:AD120" si="111">SUM(AA103:AC103)</f>
        <v>0</v>
      </c>
      <c r="AE103" s="364" t="str">
        <f t="shared" ref="AE103:AE120" si="112">IF(AD103&gt;=1,"100","50")</f>
        <v>50</v>
      </c>
      <c r="AF103" s="349">
        <f t="shared" ref="AF103:AF120" si="113">AE103*0.005</f>
        <v>0.25</v>
      </c>
      <c r="AG103" s="154">
        <v>3211</v>
      </c>
      <c r="AH103" s="154">
        <v>1097210</v>
      </c>
      <c r="AI103" s="409">
        <f t="shared" si="78"/>
        <v>341.70351915291184</v>
      </c>
      <c r="AJ103" s="409">
        <f t="shared" si="79"/>
        <v>100</v>
      </c>
      <c r="AK103" s="408">
        <f t="shared" ref="AK103:AK120" si="114">AJ103*0.01</f>
        <v>1</v>
      </c>
      <c r="AL103" s="45">
        <v>561351</v>
      </c>
      <c r="AM103" s="361">
        <f t="shared" si="96"/>
        <v>95.458812757080693</v>
      </c>
      <c r="AN103" s="365">
        <f t="shared" si="80"/>
        <v>42.898527391952626</v>
      </c>
      <c r="AO103" s="320">
        <f t="shared" ref="AO103:AO120" si="115">AN103*0.01</f>
        <v>0.42898527391952629</v>
      </c>
      <c r="AP103" s="277">
        <f>_xlfn.XLOOKUP(C103, '1.건전성'!C:C, '1.건전성'!BE:BE)</f>
        <v>99864199</v>
      </c>
      <c r="AQ103" s="277">
        <f>_xlfn.XLOOKUP(C103, '1.건전성'!C:C, '1.건전성'!BF:BF)</f>
        <v>6368091</v>
      </c>
      <c r="AR103" s="410">
        <f t="shared" si="81"/>
        <v>106232290</v>
      </c>
      <c r="AS103" s="366">
        <f t="shared" si="76"/>
        <v>5.6620010873568596</v>
      </c>
      <c r="AT103" s="366">
        <f t="shared" si="82"/>
        <v>28.890955593485071</v>
      </c>
      <c r="AU103" s="321">
        <f t="shared" si="83"/>
        <v>0.28890955593485074</v>
      </c>
      <c r="AV103" s="15">
        <v>15416935</v>
      </c>
      <c r="AW103" s="361">
        <f t="shared" si="77"/>
        <v>0.82169651744973238</v>
      </c>
      <c r="AX103" s="361">
        <f t="shared" si="84"/>
        <v>30.46739785946767</v>
      </c>
      <c r="AY103" s="321">
        <f t="shared" ref="AY103:AY120" si="116">AX103*0.005</f>
        <v>0.15233698929733835</v>
      </c>
      <c r="AZ103" s="411">
        <v>8.8000000000000007</v>
      </c>
      <c r="BA103" s="412">
        <f t="shared" si="85"/>
        <v>80</v>
      </c>
      <c r="BB103" s="408">
        <f t="shared" ref="BB103:BB120" si="117">BA103*0.005</f>
        <v>0.4</v>
      </c>
      <c r="BC103" s="204">
        <v>1</v>
      </c>
      <c r="BD103" s="407">
        <f t="shared" si="86"/>
        <v>100</v>
      </c>
      <c r="BE103" s="408">
        <f t="shared" ref="BE103:BE120" si="118">BD103*0.005</f>
        <v>0.5</v>
      </c>
      <c r="BF103" s="204">
        <v>0</v>
      </c>
      <c r="BG103" s="204">
        <v>0</v>
      </c>
      <c r="BH103" s="204">
        <v>0</v>
      </c>
      <c r="BI103" s="272" t="str">
        <f t="shared" si="87"/>
        <v>A</v>
      </c>
      <c r="BJ103" s="247">
        <f t="shared" si="88"/>
        <v>100</v>
      </c>
      <c r="BK103" s="90">
        <f t="shared" si="89"/>
        <v>3</v>
      </c>
      <c r="BL103" s="406">
        <v>127</v>
      </c>
      <c r="BM103" s="413">
        <f t="shared" si="90"/>
        <v>3.9551541575833071</v>
      </c>
      <c r="BN103" s="414">
        <f t="shared" si="91"/>
        <v>40</v>
      </c>
      <c r="BO103" s="415">
        <f t="shared" si="92"/>
        <v>1.2</v>
      </c>
      <c r="BP103" s="416">
        <v>0</v>
      </c>
      <c r="BQ103" s="417">
        <f t="shared" si="93"/>
        <v>33.333333333333336</v>
      </c>
      <c r="BR103" s="415">
        <f t="shared" si="94"/>
        <v>0.33333333333333337</v>
      </c>
      <c r="BS103" s="350">
        <f t="shared" si="95"/>
        <v>10.553565152485048</v>
      </c>
    </row>
    <row r="104" spans="1:71" x14ac:dyDescent="0.6">
      <c r="A104" s="214" t="s">
        <v>1634</v>
      </c>
      <c r="B104" s="13" t="s">
        <v>2083</v>
      </c>
      <c r="C104" s="219" t="s">
        <v>1635</v>
      </c>
      <c r="D104" s="14" t="s">
        <v>203</v>
      </c>
      <c r="E104" s="217" t="s">
        <v>246</v>
      </c>
      <c r="F104" s="217" t="s">
        <v>1636</v>
      </c>
      <c r="G104" s="218">
        <v>34422</v>
      </c>
      <c r="H104" s="217" t="s">
        <v>830</v>
      </c>
      <c r="I104" s="217" t="s">
        <v>1637</v>
      </c>
      <c r="J104" s="217" t="s">
        <v>1638</v>
      </c>
      <c r="K104" s="217" t="s">
        <v>425</v>
      </c>
      <c r="L104" s="220">
        <v>1380267325</v>
      </c>
      <c r="M104" s="206">
        <v>678125020</v>
      </c>
      <c r="N104" s="206">
        <v>702142305</v>
      </c>
      <c r="O104" s="206">
        <v>1300951533</v>
      </c>
      <c r="P104" s="206">
        <v>82521356</v>
      </c>
      <c r="Q104" s="206">
        <v>74612978</v>
      </c>
      <c r="R104" s="206">
        <v>59394229</v>
      </c>
      <c r="S104" s="405">
        <v>0</v>
      </c>
      <c r="T104" s="405">
        <v>0</v>
      </c>
      <c r="U104" s="406">
        <v>0</v>
      </c>
      <c r="V104" s="406">
        <v>0</v>
      </c>
      <c r="W104" s="407">
        <f t="shared" si="108"/>
        <v>0</v>
      </c>
      <c r="X104" s="407">
        <f t="shared" si="109"/>
        <v>100</v>
      </c>
      <c r="Y104" s="408">
        <f t="shared" si="110"/>
        <v>3</v>
      </c>
      <c r="Z104" s="444" t="s">
        <v>3341</v>
      </c>
      <c r="AA104" s="442">
        <v>0</v>
      </c>
      <c r="AB104" s="406">
        <v>1</v>
      </c>
      <c r="AC104" s="406">
        <v>0</v>
      </c>
      <c r="AD104" s="407">
        <f t="shared" si="111"/>
        <v>1</v>
      </c>
      <c r="AE104" s="364" t="str">
        <f t="shared" si="112"/>
        <v>100</v>
      </c>
      <c r="AF104" s="349">
        <f t="shared" si="113"/>
        <v>0.5</v>
      </c>
      <c r="AG104" s="154">
        <v>1601</v>
      </c>
      <c r="AH104" s="154">
        <v>183642</v>
      </c>
      <c r="AI104" s="409">
        <f t="shared" si="78"/>
        <v>114.70455965021861</v>
      </c>
      <c r="AJ104" s="409">
        <f t="shared" si="79"/>
        <v>100</v>
      </c>
      <c r="AK104" s="408">
        <f t="shared" si="114"/>
        <v>1</v>
      </c>
      <c r="AL104" s="45">
        <v>93103</v>
      </c>
      <c r="AM104" s="361">
        <f t="shared" si="96"/>
        <v>97.246060814366885</v>
      </c>
      <c r="AN104" s="365">
        <f t="shared" si="80"/>
        <v>43.23363640269379</v>
      </c>
      <c r="AO104" s="320">
        <f t="shared" si="115"/>
        <v>0.43233636402693792</v>
      </c>
      <c r="AP104" s="277">
        <f>_xlfn.XLOOKUP(C104, '1.건전성'!C:C, '1.건전성'!BE:BE)</f>
        <v>10685445</v>
      </c>
      <c r="AQ104" s="277">
        <f>_xlfn.XLOOKUP(C104, '1.건전성'!C:C, '1.건전성'!BF:BF)</f>
        <v>1108672</v>
      </c>
      <c r="AR104" s="410">
        <f t="shared" si="81"/>
        <v>11794117</v>
      </c>
      <c r="AS104" s="366">
        <f t="shared" si="76"/>
        <v>0.90657620217432044</v>
      </c>
      <c r="AT104" s="366">
        <f t="shared" si="82"/>
        <v>25.306464474000745</v>
      </c>
      <c r="AU104" s="321">
        <f t="shared" si="83"/>
        <v>0.25306464474000745</v>
      </c>
      <c r="AV104" s="15">
        <v>1712973</v>
      </c>
      <c r="AW104" s="361">
        <f t="shared" si="77"/>
        <v>0.13167077762304308</v>
      </c>
      <c r="AX104" s="361">
        <f t="shared" si="84"/>
        <v>25.239930133507901</v>
      </c>
      <c r="AY104" s="321">
        <f t="shared" si="116"/>
        <v>0.12619965066753952</v>
      </c>
      <c r="AZ104" s="411">
        <v>11.8</v>
      </c>
      <c r="BA104" s="412">
        <f t="shared" si="85"/>
        <v>100</v>
      </c>
      <c r="BB104" s="408">
        <f t="shared" si="117"/>
        <v>0.5</v>
      </c>
      <c r="BC104" s="204">
        <v>1</v>
      </c>
      <c r="BD104" s="407">
        <f t="shared" si="86"/>
        <v>100</v>
      </c>
      <c r="BE104" s="408">
        <f t="shared" si="118"/>
        <v>0.5</v>
      </c>
      <c r="BF104" s="204">
        <v>0</v>
      </c>
      <c r="BG104" s="204">
        <v>1</v>
      </c>
      <c r="BH104" s="204">
        <v>0</v>
      </c>
      <c r="BI104" s="272" t="str">
        <f t="shared" si="87"/>
        <v>C</v>
      </c>
      <c r="BJ104" s="247">
        <f t="shared" si="88"/>
        <v>50</v>
      </c>
      <c r="BK104" s="90">
        <f t="shared" si="89"/>
        <v>1.5</v>
      </c>
      <c r="BL104" s="406">
        <v>25</v>
      </c>
      <c r="BM104" s="413">
        <f t="shared" si="90"/>
        <v>1.5615240474703311</v>
      </c>
      <c r="BN104" s="414">
        <f t="shared" si="91"/>
        <v>60</v>
      </c>
      <c r="BO104" s="415">
        <f t="shared" si="92"/>
        <v>1.7999999999999998</v>
      </c>
      <c r="BP104" s="416">
        <v>0</v>
      </c>
      <c r="BQ104" s="417">
        <f t="shared" si="93"/>
        <v>33.333333333333336</v>
      </c>
      <c r="BR104" s="415">
        <f t="shared" si="94"/>
        <v>0.33333333333333337</v>
      </c>
      <c r="BS104" s="350">
        <f t="shared" si="95"/>
        <v>9.9449339927678171</v>
      </c>
    </row>
    <row r="105" spans="1:71" x14ac:dyDescent="0.6">
      <c r="A105" s="214" t="s">
        <v>865</v>
      </c>
      <c r="B105" s="13" t="s">
        <v>2084</v>
      </c>
      <c r="C105" s="219" t="s">
        <v>852</v>
      </c>
      <c r="D105" s="216" t="s">
        <v>203</v>
      </c>
      <c r="E105" s="217" t="s">
        <v>197</v>
      </c>
      <c r="F105" s="217" t="s">
        <v>357</v>
      </c>
      <c r="G105" s="218">
        <v>41201</v>
      </c>
      <c r="H105" s="217" t="s">
        <v>830</v>
      </c>
      <c r="I105" s="217" t="s">
        <v>774</v>
      </c>
      <c r="J105" s="217" t="s">
        <v>1048</v>
      </c>
      <c r="K105" s="217" t="s">
        <v>484</v>
      </c>
      <c r="L105" s="220">
        <v>372451008</v>
      </c>
      <c r="M105" s="206">
        <v>160285008</v>
      </c>
      <c r="N105" s="206">
        <v>212166000</v>
      </c>
      <c r="O105" s="206">
        <v>382323241</v>
      </c>
      <c r="P105" s="206">
        <v>10643381</v>
      </c>
      <c r="Q105" s="206">
        <v>10453576</v>
      </c>
      <c r="R105" s="206">
        <v>9587170</v>
      </c>
      <c r="S105" s="405">
        <v>0</v>
      </c>
      <c r="T105" s="405">
        <v>0</v>
      </c>
      <c r="U105" s="406">
        <v>0</v>
      </c>
      <c r="V105" s="406">
        <v>0</v>
      </c>
      <c r="W105" s="407">
        <f t="shared" si="108"/>
        <v>0</v>
      </c>
      <c r="X105" s="407">
        <f t="shared" si="109"/>
        <v>100</v>
      </c>
      <c r="Y105" s="408">
        <f t="shared" si="110"/>
        <v>3</v>
      </c>
      <c r="Z105" s="444" t="s">
        <v>3342</v>
      </c>
      <c r="AA105" s="442">
        <v>0</v>
      </c>
      <c r="AB105" s="406">
        <v>1</v>
      </c>
      <c r="AC105" s="406">
        <v>0</v>
      </c>
      <c r="AD105" s="407">
        <f t="shared" si="111"/>
        <v>1</v>
      </c>
      <c r="AE105" s="364" t="str">
        <f t="shared" si="112"/>
        <v>100</v>
      </c>
      <c r="AF105" s="349">
        <f t="shared" si="113"/>
        <v>0.5</v>
      </c>
      <c r="AG105" s="154">
        <v>574</v>
      </c>
      <c r="AH105" s="154">
        <v>5710</v>
      </c>
      <c r="AI105" s="409">
        <f t="shared" si="78"/>
        <v>9.94773519163763</v>
      </c>
      <c r="AJ105" s="409">
        <f t="shared" si="79"/>
        <v>32.460801393728225</v>
      </c>
      <c r="AK105" s="408">
        <f t="shared" si="114"/>
        <v>0.32460801393728228</v>
      </c>
      <c r="AL105" s="45">
        <v>37376</v>
      </c>
      <c r="AM105" s="361">
        <f t="shared" si="96"/>
        <v>-84.722816780821915</v>
      </c>
      <c r="AN105" s="365">
        <f t="shared" si="80"/>
        <v>25</v>
      </c>
      <c r="AO105" s="320">
        <f t="shared" si="115"/>
        <v>0.25</v>
      </c>
      <c r="AP105" s="277">
        <f>_xlfn.XLOOKUP(C105, '1.건전성'!C:C, '1.건전성'!BE:BE)</f>
        <v>8794390</v>
      </c>
      <c r="AQ105" s="277">
        <f>_xlfn.XLOOKUP(C105, '1.건전성'!C:C, '1.건전성'!BF:BF)</f>
        <v>795255</v>
      </c>
      <c r="AR105" s="410">
        <f t="shared" si="81"/>
        <v>9589645</v>
      </c>
      <c r="AS105" s="366">
        <f t="shared" si="76"/>
        <v>2.5082558347531902</v>
      </c>
      <c r="AT105" s="366">
        <f t="shared" si="82"/>
        <v>26.513760679462205</v>
      </c>
      <c r="AU105" s="321">
        <f t="shared" si="83"/>
        <v>0.26513760679462206</v>
      </c>
      <c r="AV105" s="15">
        <v>1506397</v>
      </c>
      <c r="AW105" s="361">
        <f t="shared" si="77"/>
        <v>0.39401135961807771</v>
      </c>
      <c r="AX105" s="361">
        <f t="shared" si="84"/>
        <v>27.227358784985437</v>
      </c>
      <c r="AY105" s="321">
        <f t="shared" si="116"/>
        <v>0.1361367939249272</v>
      </c>
      <c r="AZ105" s="411">
        <v>16.3</v>
      </c>
      <c r="BA105" s="412">
        <f t="shared" si="85"/>
        <v>100</v>
      </c>
      <c r="BB105" s="408">
        <f t="shared" si="117"/>
        <v>0.5</v>
      </c>
      <c r="BC105" s="204">
        <v>1</v>
      </c>
      <c r="BD105" s="407">
        <f t="shared" si="86"/>
        <v>100</v>
      </c>
      <c r="BE105" s="408">
        <f t="shared" si="118"/>
        <v>0.5</v>
      </c>
      <c r="BF105" s="204">
        <v>0</v>
      </c>
      <c r="BG105" s="204">
        <v>1</v>
      </c>
      <c r="BH105" s="204">
        <v>0</v>
      </c>
      <c r="BI105" s="272" t="str">
        <f t="shared" si="87"/>
        <v>C</v>
      </c>
      <c r="BJ105" s="247">
        <f t="shared" si="88"/>
        <v>50</v>
      </c>
      <c r="BK105" s="90">
        <f t="shared" si="89"/>
        <v>1.5</v>
      </c>
      <c r="BL105" s="406">
        <v>24</v>
      </c>
      <c r="BM105" s="413">
        <f t="shared" si="90"/>
        <v>4.1811846689895473</v>
      </c>
      <c r="BN105" s="414">
        <f t="shared" si="91"/>
        <v>40</v>
      </c>
      <c r="BO105" s="415">
        <f t="shared" si="92"/>
        <v>1.2</v>
      </c>
      <c r="BP105" s="416">
        <v>0</v>
      </c>
      <c r="BQ105" s="417">
        <f t="shared" si="93"/>
        <v>33.333333333333336</v>
      </c>
      <c r="BR105" s="415">
        <f t="shared" si="94"/>
        <v>0.33333333333333337</v>
      </c>
      <c r="BS105" s="350">
        <f t="shared" si="95"/>
        <v>8.5092157479901651</v>
      </c>
    </row>
    <row r="106" spans="1:71" x14ac:dyDescent="0.6">
      <c r="A106" s="214" t="s">
        <v>48</v>
      </c>
      <c r="B106" s="13" t="s">
        <v>2085</v>
      </c>
      <c r="C106" s="219" t="s">
        <v>432</v>
      </c>
      <c r="D106" s="216" t="s">
        <v>203</v>
      </c>
      <c r="E106" s="217" t="s">
        <v>195</v>
      </c>
      <c r="F106" s="217" t="s">
        <v>128</v>
      </c>
      <c r="G106" s="218">
        <v>38533</v>
      </c>
      <c r="H106" s="217" t="s">
        <v>830</v>
      </c>
      <c r="I106" s="217" t="s">
        <v>193</v>
      </c>
      <c r="J106" s="217" t="s">
        <v>1044</v>
      </c>
      <c r="K106" s="217" t="s">
        <v>31</v>
      </c>
      <c r="L106" s="220">
        <v>457877289</v>
      </c>
      <c r="M106" s="206">
        <v>52176470</v>
      </c>
      <c r="N106" s="206">
        <v>405700820</v>
      </c>
      <c r="O106" s="206">
        <v>441052792</v>
      </c>
      <c r="P106" s="206">
        <v>20091259</v>
      </c>
      <c r="Q106" s="206">
        <v>24421805</v>
      </c>
      <c r="R106" s="206">
        <v>18622026</v>
      </c>
      <c r="S106" s="405">
        <v>0</v>
      </c>
      <c r="T106" s="405">
        <v>0</v>
      </c>
      <c r="U106" s="406">
        <v>0</v>
      </c>
      <c r="V106" s="406">
        <v>0</v>
      </c>
      <c r="W106" s="407">
        <f t="shared" si="108"/>
        <v>0</v>
      </c>
      <c r="X106" s="407">
        <f t="shared" si="109"/>
        <v>100</v>
      </c>
      <c r="Y106" s="408">
        <f t="shared" si="110"/>
        <v>3</v>
      </c>
      <c r="Z106" s="444" t="s">
        <v>3343</v>
      </c>
      <c r="AA106" s="442">
        <v>0</v>
      </c>
      <c r="AB106" s="406">
        <v>1</v>
      </c>
      <c r="AC106" s="406">
        <v>0</v>
      </c>
      <c r="AD106" s="407">
        <f t="shared" si="111"/>
        <v>1</v>
      </c>
      <c r="AE106" s="364" t="str">
        <f t="shared" si="112"/>
        <v>100</v>
      </c>
      <c r="AF106" s="349">
        <f t="shared" si="113"/>
        <v>0.5</v>
      </c>
      <c r="AG106" s="154">
        <v>256</v>
      </c>
      <c r="AH106" s="154">
        <v>915</v>
      </c>
      <c r="AI106" s="409">
        <f t="shared" si="78"/>
        <v>3.57421875</v>
      </c>
      <c r="AJ106" s="409">
        <f t="shared" si="79"/>
        <v>27.6806640625</v>
      </c>
      <c r="AK106" s="408">
        <f t="shared" si="114"/>
        <v>0.27680664062499999</v>
      </c>
      <c r="AL106" s="45">
        <v>2061</v>
      </c>
      <c r="AM106" s="361">
        <f t="shared" si="96"/>
        <v>-55.604075691411936</v>
      </c>
      <c r="AN106" s="365">
        <f t="shared" si="80"/>
        <v>25</v>
      </c>
      <c r="AO106" s="320">
        <f t="shared" si="115"/>
        <v>0.25</v>
      </c>
      <c r="AP106" s="277">
        <f>_xlfn.XLOOKUP(C106, '1.건전성'!C:C, '1.건전성'!BE:BE)</f>
        <v>5033498.3420000002</v>
      </c>
      <c r="AQ106" s="277">
        <f>_xlfn.XLOOKUP(C106, '1.건전성'!C:C, '1.건전성'!BF:BF)</f>
        <v>521088.913</v>
      </c>
      <c r="AR106" s="410">
        <f t="shared" si="81"/>
        <v>5554587.2549999999</v>
      </c>
      <c r="AS106" s="366">
        <f t="shared" si="76"/>
        <v>1.2593928336361149</v>
      </c>
      <c r="AT106" s="366">
        <f t="shared" si="82"/>
        <v>25.572406658519686</v>
      </c>
      <c r="AU106" s="321">
        <f t="shared" si="83"/>
        <v>0.25572406658519686</v>
      </c>
      <c r="AV106" s="15">
        <v>699652</v>
      </c>
      <c r="AW106" s="361">
        <f t="shared" si="77"/>
        <v>0.15863225733757513</v>
      </c>
      <c r="AX106" s="361">
        <f t="shared" si="84"/>
        <v>25.444183767708903</v>
      </c>
      <c r="AY106" s="321">
        <f t="shared" si="116"/>
        <v>0.12722091883854453</v>
      </c>
      <c r="AZ106" s="411">
        <v>14.3</v>
      </c>
      <c r="BA106" s="412">
        <f t="shared" si="85"/>
        <v>100</v>
      </c>
      <c r="BB106" s="408">
        <f t="shared" si="117"/>
        <v>0.5</v>
      </c>
      <c r="BC106" s="204">
        <v>1</v>
      </c>
      <c r="BD106" s="407">
        <f t="shared" si="86"/>
        <v>100</v>
      </c>
      <c r="BE106" s="408">
        <f t="shared" si="118"/>
        <v>0.5</v>
      </c>
      <c r="BF106" s="204">
        <v>0</v>
      </c>
      <c r="BG106" s="204">
        <v>0</v>
      </c>
      <c r="BH106" s="204">
        <v>0</v>
      </c>
      <c r="BI106" s="272" t="str">
        <f t="shared" si="87"/>
        <v>A</v>
      </c>
      <c r="BJ106" s="247">
        <f t="shared" si="88"/>
        <v>100</v>
      </c>
      <c r="BK106" s="90">
        <f t="shared" si="89"/>
        <v>3</v>
      </c>
      <c r="BL106" s="406">
        <v>19</v>
      </c>
      <c r="BM106" s="413">
        <f t="shared" si="90"/>
        <v>7.421875</v>
      </c>
      <c r="BN106" s="414">
        <f t="shared" si="91"/>
        <v>20</v>
      </c>
      <c r="BO106" s="415">
        <f t="shared" si="92"/>
        <v>0.6</v>
      </c>
      <c r="BP106" s="416">
        <v>0.04</v>
      </c>
      <c r="BQ106" s="417">
        <f t="shared" si="93"/>
        <v>66.666666666666671</v>
      </c>
      <c r="BR106" s="415">
        <f t="shared" si="94"/>
        <v>0.66666666666666674</v>
      </c>
      <c r="BS106" s="350">
        <f t="shared" si="95"/>
        <v>9.6764182927154074</v>
      </c>
    </row>
    <row r="107" spans="1:71" x14ac:dyDescent="0.6">
      <c r="A107" s="214" t="s">
        <v>1639</v>
      </c>
      <c r="B107" s="13" t="s">
        <v>2086</v>
      </c>
      <c r="C107" s="219" t="s">
        <v>873</v>
      </c>
      <c r="D107" s="216" t="s">
        <v>203</v>
      </c>
      <c r="E107" s="217" t="s">
        <v>195</v>
      </c>
      <c r="F107" s="217" t="s">
        <v>1075</v>
      </c>
      <c r="G107" s="218">
        <v>42271</v>
      </c>
      <c r="H107" s="217" t="s">
        <v>830</v>
      </c>
      <c r="I107" s="217" t="s">
        <v>1640</v>
      </c>
      <c r="J107" s="217" t="s">
        <v>1172</v>
      </c>
      <c r="K107" s="217" t="s">
        <v>690</v>
      </c>
      <c r="L107" s="220">
        <v>179708719</v>
      </c>
      <c r="M107" s="206">
        <v>22028248</v>
      </c>
      <c r="N107" s="206">
        <v>157680471</v>
      </c>
      <c r="O107" s="206">
        <v>196757615</v>
      </c>
      <c r="P107" s="206">
        <v>2456930</v>
      </c>
      <c r="Q107" s="206">
        <v>3926033</v>
      </c>
      <c r="R107" s="206">
        <v>3345149</v>
      </c>
      <c r="S107" s="405">
        <v>0</v>
      </c>
      <c r="T107" s="405">
        <v>0</v>
      </c>
      <c r="U107" s="406">
        <v>0</v>
      </c>
      <c r="V107" s="406">
        <v>0</v>
      </c>
      <c r="W107" s="407">
        <f t="shared" si="108"/>
        <v>0</v>
      </c>
      <c r="X107" s="407">
        <f t="shared" si="109"/>
        <v>100</v>
      </c>
      <c r="Y107" s="408">
        <f t="shared" si="110"/>
        <v>3</v>
      </c>
      <c r="Z107" s="444" t="s">
        <v>3344</v>
      </c>
      <c r="AA107" s="442">
        <v>0</v>
      </c>
      <c r="AB107" s="406">
        <v>1</v>
      </c>
      <c r="AC107" s="406">
        <v>0</v>
      </c>
      <c r="AD107" s="407">
        <f t="shared" si="111"/>
        <v>1</v>
      </c>
      <c r="AE107" s="364" t="str">
        <f t="shared" si="112"/>
        <v>100</v>
      </c>
      <c r="AF107" s="349">
        <f t="shared" si="113"/>
        <v>0.5</v>
      </c>
      <c r="AG107" s="154">
        <v>160</v>
      </c>
      <c r="AH107" s="154">
        <v>1055</v>
      </c>
      <c r="AI107" s="409">
        <f t="shared" si="78"/>
        <v>6.59375</v>
      </c>
      <c r="AJ107" s="409">
        <f t="shared" si="79"/>
        <v>29.9453125</v>
      </c>
      <c r="AK107" s="408">
        <f t="shared" si="114"/>
        <v>0.29945312499999999</v>
      </c>
      <c r="AL107" s="45">
        <v>1245</v>
      </c>
      <c r="AM107" s="361">
        <f t="shared" si="96"/>
        <v>-15.261044176706829</v>
      </c>
      <c r="AN107" s="365">
        <f t="shared" si="80"/>
        <v>25</v>
      </c>
      <c r="AO107" s="320">
        <f t="shared" si="115"/>
        <v>0.25</v>
      </c>
      <c r="AP107" s="277">
        <f>_xlfn.XLOOKUP(C107, '1.건전성'!C:C, '1.건전성'!BE:BE)</f>
        <v>2615556</v>
      </c>
      <c r="AQ107" s="277">
        <f>_xlfn.XLOOKUP(C107, '1.건전성'!C:C, '1.건전성'!BF:BF)</f>
        <v>356189</v>
      </c>
      <c r="AR107" s="410">
        <f t="shared" si="81"/>
        <v>2971745</v>
      </c>
      <c r="AS107" s="366">
        <f t="shared" si="76"/>
        <v>1.5103583157378686</v>
      </c>
      <c r="AT107" s="366">
        <f t="shared" si="82"/>
        <v>25.761576619902915</v>
      </c>
      <c r="AU107" s="321">
        <f t="shared" si="83"/>
        <v>0.25761576619902915</v>
      </c>
      <c r="AV107" s="15">
        <v>324620</v>
      </c>
      <c r="AW107" s="361">
        <f t="shared" si="77"/>
        <v>0.1649847199052499</v>
      </c>
      <c r="AX107" s="361">
        <f t="shared" si="84"/>
        <v>25.492308484130682</v>
      </c>
      <c r="AY107" s="321">
        <f t="shared" si="116"/>
        <v>0.12746154242065341</v>
      </c>
      <c r="AZ107" s="411">
        <v>6</v>
      </c>
      <c r="BA107" s="412">
        <f t="shared" si="85"/>
        <v>60</v>
      </c>
      <c r="BB107" s="408">
        <f t="shared" si="117"/>
        <v>0.3</v>
      </c>
      <c r="BC107" s="204">
        <v>1</v>
      </c>
      <c r="BD107" s="407">
        <f t="shared" si="86"/>
        <v>100</v>
      </c>
      <c r="BE107" s="408">
        <f t="shared" si="118"/>
        <v>0.5</v>
      </c>
      <c r="BF107" s="204">
        <v>0</v>
      </c>
      <c r="BG107" s="204">
        <v>0</v>
      </c>
      <c r="BH107" s="204">
        <v>0</v>
      </c>
      <c r="BI107" s="272" t="str">
        <f t="shared" si="87"/>
        <v>A</v>
      </c>
      <c r="BJ107" s="247">
        <f t="shared" si="88"/>
        <v>100</v>
      </c>
      <c r="BK107" s="90">
        <f t="shared" si="89"/>
        <v>3</v>
      </c>
      <c r="BL107" s="406">
        <v>0</v>
      </c>
      <c r="BM107" s="413">
        <f t="shared" si="90"/>
        <v>0</v>
      </c>
      <c r="BN107" s="414">
        <f t="shared" si="91"/>
        <v>100</v>
      </c>
      <c r="BO107" s="415">
        <f t="shared" si="92"/>
        <v>3</v>
      </c>
      <c r="BP107" s="416">
        <v>0</v>
      </c>
      <c r="BQ107" s="417">
        <f t="shared" si="93"/>
        <v>33.333333333333336</v>
      </c>
      <c r="BR107" s="415">
        <f t="shared" si="94"/>
        <v>0.33333333333333337</v>
      </c>
      <c r="BS107" s="350">
        <f t="shared" si="95"/>
        <v>11.567863766953016</v>
      </c>
    </row>
    <row r="108" spans="1:71" x14ac:dyDescent="0.6">
      <c r="A108" s="214" t="s">
        <v>370</v>
      </c>
      <c r="B108" s="13" t="s">
        <v>2087</v>
      </c>
      <c r="C108" s="219" t="s">
        <v>319</v>
      </c>
      <c r="D108" s="216" t="s">
        <v>191</v>
      </c>
      <c r="E108" s="217" t="s">
        <v>34</v>
      </c>
      <c r="F108" s="217" t="s">
        <v>567</v>
      </c>
      <c r="G108" s="218">
        <v>27843</v>
      </c>
      <c r="H108" s="217" t="s">
        <v>830</v>
      </c>
      <c r="I108" s="217" t="s">
        <v>1641</v>
      </c>
      <c r="J108" s="217" t="s">
        <v>1191</v>
      </c>
      <c r="K108" s="217" t="s">
        <v>91</v>
      </c>
      <c r="L108" s="220">
        <v>429874042</v>
      </c>
      <c r="M108" s="206">
        <v>70083130</v>
      </c>
      <c r="N108" s="206">
        <v>359790911</v>
      </c>
      <c r="O108" s="206">
        <v>315927932</v>
      </c>
      <c r="P108" s="206">
        <v>26579957</v>
      </c>
      <c r="Q108" s="206">
        <v>20948525</v>
      </c>
      <c r="R108" s="206">
        <v>18208234</v>
      </c>
      <c r="S108" s="405">
        <v>0</v>
      </c>
      <c r="T108" s="405">
        <v>0</v>
      </c>
      <c r="U108" s="406">
        <v>0</v>
      </c>
      <c r="V108" s="406">
        <v>0</v>
      </c>
      <c r="W108" s="407">
        <f t="shared" si="108"/>
        <v>0</v>
      </c>
      <c r="X108" s="407">
        <f t="shared" si="109"/>
        <v>100</v>
      </c>
      <c r="Y108" s="408">
        <f t="shared" si="110"/>
        <v>3</v>
      </c>
      <c r="Z108" s="444" t="s">
        <v>3345</v>
      </c>
      <c r="AA108" s="442">
        <v>0</v>
      </c>
      <c r="AB108" s="406">
        <v>1</v>
      </c>
      <c r="AC108" s="406">
        <v>0</v>
      </c>
      <c r="AD108" s="407">
        <f t="shared" si="111"/>
        <v>1</v>
      </c>
      <c r="AE108" s="364" t="str">
        <f t="shared" si="112"/>
        <v>100</v>
      </c>
      <c r="AF108" s="349">
        <f t="shared" si="113"/>
        <v>0.5</v>
      </c>
      <c r="AG108" s="154">
        <v>776</v>
      </c>
      <c r="AH108" s="421"/>
      <c r="AI108" s="409">
        <f t="shared" si="78"/>
        <v>0</v>
      </c>
      <c r="AJ108" s="409">
        <f t="shared" si="79"/>
        <v>25</v>
      </c>
      <c r="AK108" s="408">
        <f t="shared" si="114"/>
        <v>0.25</v>
      </c>
      <c r="AL108" s="423"/>
      <c r="AM108" s="424">
        <v>0</v>
      </c>
      <c r="AN108" s="365">
        <f t="shared" si="80"/>
        <v>25</v>
      </c>
      <c r="AO108" s="320">
        <f t="shared" si="115"/>
        <v>0.25</v>
      </c>
      <c r="AP108" s="277">
        <f>_xlfn.XLOOKUP(C108, '1.건전성'!C:C, '1.건전성'!BE:BE)</f>
        <v>37904626</v>
      </c>
      <c r="AQ108" s="277">
        <f>_xlfn.XLOOKUP(C108, '1.건전성'!C:C, '1.건전성'!BF:BF)</f>
        <v>3965621</v>
      </c>
      <c r="AR108" s="410">
        <f t="shared" si="81"/>
        <v>41870247</v>
      </c>
      <c r="AS108" s="366">
        <f t="shared" si="76"/>
        <v>13.253100710322757</v>
      </c>
      <c r="AT108" s="366">
        <f t="shared" si="82"/>
        <v>34.612889982655346</v>
      </c>
      <c r="AU108" s="321">
        <f t="shared" si="83"/>
        <v>0.34612889982655348</v>
      </c>
      <c r="AV108" s="15">
        <v>2840702</v>
      </c>
      <c r="AW108" s="361">
        <f t="shared" si="77"/>
        <v>0.89916139482089219</v>
      </c>
      <c r="AX108" s="361">
        <f t="shared" si="84"/>
        <v>31.054252991067365</v>
      </c>
      <c r="AY108" s="321">
        <f t="shared" si="116"/>
        <v>0.15527126495533683</v>
      </c>
      <c r="AZ108" s="411">
        <v>12.8</v>
      </c>
      <c r="BA108" s="412">
        <f t="shared" si="85"/>
        <v>100</v>
      </c>
      <c r="BB108" s="408">
        <f t="shared" si="117"/>
        <v>0.5</v>
      </c>
      <c r="BC108" s="204">
        <v>1</v>
      </c>
      <c r="BD108" s="407">
        <f t="shared" si="86"/>
        <v>100</v>
      </c>
      <c r="BE108" s="408">
        <f t="shared" si="118"/>
        <v>0.5</v>
      </c>
      <c r="BF108" s="204">
        <v>0</v>
      </c>
      <c r="BG108" s="204">
        <v>0</v>
      </c>
      <c r="BH108" s="204">
        <v>0</v>
      </c>
      <c r="BI108" s="272" t="str">
        <f t="shared" si="87"/>
        <v>A</v>
      </c>
      <c r="BJ108" s="247">
        <f t="shared" si="88"/>
        <v>100</v>
      </c>
      <c r="BK108" s="90">
        <f t="shared" si="89"/>
        <v>3</v>
      </c>
      <c r="BL108" s="406">
        <v>19</v>
      </c>
      <c r="BM108" s="413">
        <f t="shared" si="90"/>
        <v>2.4484536082474229</v>
      </c>
      <c r="BN108" s="414">
        <f t="shared" si="91"/>
        <v>60</v>
      </c>
      <c r="BO108" s="415">
        <f t="shared" si="92"/>
        <v>1.7999999999999998</v>
      </c>
      <c r="BP108" s="416">
        <v>3.18</v>
      </c>
      <c r="BQ108" s="417">
        <f t="shared" si="93"/>
        <v>66.666666666666671</v>
      </c>
      <c r="BR108" s="415">
        <f t="shared" si="94"/>
        <v>0.66666666666666674</v>
      </c>
      <c r="BS108" s="350">
        <f t="shared" si="95"/>
        <v>10.968066831448555</v>
      </c>
    </row>
    <row r="109" spans="1:71" x14ac:dyDescent="0.6">
      <c r="A109" s="214" t="s">
        <v>446</v>
      </c>
      <c r="B109" s="13" t="s">
        <v>2088</v>
      </c>
      <c r="C109" s="219" t="s">
        <v>523</v>
      </c>
      <c r="D109" s="216" t="s">
        <v>202</v>
      </c>
      <c r="E109" s="217" t="s">
        <v>382</v>
      </c>
      <c r="F109" s="217" t="s">
        <v>443</v>
      </c>
      <c r="G109" s="218">
        <v>43756</v>
      </c>
      <c r="H109" s="217" t="s">
        <v>830</v>
      </c>
      <c r="I109" s="217" t="s">
        <v>1001</v>
      </c>
      <c r="J109" s="217" t="s">
        <v>676</v>
      </c>
      <c r="K109" s="217" t="s">
        <v>320</v>
      </c>
      <c r="L109" s="220">
        <v>1026929716</v>
      </c>
      <c r="M109" s="206">
        <v>503865290</v>
      </c>
      <c r="N109" s="206">
        <v>523064426</v>
      </c>
      <c r="O109" s="206">
        <v>312148721</v>
      </c>
      <c r="P109" s="206">
        <v>7221936</v>
      </c>
      <c r="Q109" s="206">
        <v>4276527</v>
      </c>
      <c r="R109" s="206">
        <v>3863590</v>
      </c>
      <c r="S109" s="405">
        <v>0</v>
      </c>
      <c r="T109" s="405">
        <v>0</v>
      </c>
      <c r="U109" s="406">
        <v>0</v>
      </c>
      <c r="V109" s="406">
        <v>0</v>
      </c>
      <c r="W109" s="407">
        <f t="shared" si="108"/>
        <v>0</v>
      </c>
      <c r="X109" s="407">
        <f t="shared" si="109"/>
        <v>100</v>
      </c>
      <c r="Y109" s="408">
        <f t="shared" si="110"/>
        <v>3</v>
      </c>
      <c r="Z109" s="444" t="s">
        <v>3346</v>
      </c>
      <c r="AA109" s="442">
        <v>0</v>
      </c>
      <c r="AB109" s="406">
        <v>0</v>
      </c>
      <c r="AC109" s="406">
        <v>0</v>
      </c>
      <c r="AD109" s="407">
        <f t="shared" si="111"/>
        <v>0</v>
      </c>
      <c r="AE109" s="364" t="str">
        <f t="shared" si="112"/>
        <v>50</v>
      </c>
      <c r="AF109" s="349">
        <f t="shared" si="113"/>
        <v>0.25</v>
      </c>
      <c r="AG109" s="154">
        <v>460</v>
      </c>
      <c r="AH109" s="154">
        <v>916740</v>
      </c>
      <c r="AI109" s="409">
        <f t="shared" si="78"/>
        <v>1992.9130434782608</v>
      </c>
      <c r="AJ109" s="409">
        <f t="shared" si="79"/>
        <v>100</v>
      </c>
      <c r="AK109" s="408">
        <f t="shared" si="114"/>
        <v>1</v>
      </c>
      <c r="AL109" s="45">
        <v>729363</v>
      </c>
      <c r="AM109" s="361">
        <f t="shared" si="96"/>
        <v>25.690499792284498</v>
      </c>
      <c r="AN109" s="365">
        <f t="shared" si="80"/>
        <v>29.816968711053342</v>
      </c>
      <c r="AO109" s="320">
        <f t="shared" si="115"/>
        <v>0.29816968711053343</v>
      </c>
      <c r="AP109" s="277">
        <f>_xlfn.XLOOKUP(C109, '1.건전성'!C:C, '1.건전성'!BE:BE)</f>
        <v>11509683.782</v>
      </c>
      <c r="AQ109" s="277">
        <f>_xlfn.XLOOKUP(C109, '1.건전성'!C:C, '1.건전성'!BF:BF)</f>
        <v>2601424.0010000002</v>
      </c>
      <c r="AR109" s="410">
        <f t="shared" si="81"/>
        <v>14111107.783</v>
      </c>
      <c r="AS109" s="366">
        <f t="shared" si="76"/>
        <v>4.5206361050571147</v>
      </c>
      <c r="AT109" s="366">
        <f t="shared" si="82"/>
        <v>28.030630229942549</v>
      </c>
      <c r="AU109" s="321">
        <f t="shared" si="83"/>
        <v>0.28030630229942549</v>
      </c>
      <c r="AV109" s="15">
        <v>2900701</v>
      </c>
      <c r="AW109" s="361">
        <f t="shared" si="77"/>
        <v>0.92926890448479538</v>
      </c>
      <c r="AX109" s="361">
        <f t="shared" si="84"/>
        <v>31.282340185490874</v>
      </c>
      <c r="AY109" s="321">
        <f t="shared" si="116"/>
        <v>0.15641170092745438</v>
      </c>
      <c r="AZ109" s="411">
        <v>2.5</v>
      </c>
      <c r="BA109" s="412">
        <f t="shared" si="85"/>
        <v>20</v>
      </c>
      <c r="BB109" s="408">
        <f t="shared" si="117"/>
        <v>0.1</v>
      </c>
      <c r="BC109" s="204">
        <v>1</v>
      </c>
      <c r="BD109" s="407">
        <f t="shared" si="86"/>
        <v>100</v>
      </c>
      <c r="BE109" s="408">
        <f t="shared" si="118"/>
        <v>0.5</v>
      </c>
      <c r="BF109" s="204">
        <v>0</v>
      </c>
      <c r="BG109" s="204">
        <v>1</v>
      </c>
      <c r="BH109" s="204">
        <v>0</v>
      </c>
      <c r="BI109" s="272" t="str">
        <f t="shared" si="87"/>
        <v>C</v>
      </c>
      <c r="BJ109" s="247">
        <f t="shared" si="88"/>
        <v>50</v>
      </c>
      <c r="BK109" s="90">
        <f t="shared" si="89"/>
        <v>1.5</v>
      </c>
      <c r="BL109" s="406">
        <v>13</v>
      </c>
      <c r="BM109" s="413">
        <f t="shared" si="90"/>
        <v>2.8260869565217392</v>
      </c>
      <c r="BN109" s="414">
        <f t="shared" si="91"/>
        <v>60</v>
      </c>
      <c r="BO109" s="415">
        <f t="shared" si="92"/>
        <v>1.7999999999999998</v>
      </c>
      <c r="BP109" s="416">
        <v>0.4</v>
      </c>
      <c r="BQ109" s="417">
        <f t="shared" si="93"/>
        <v>66.666666666666671</v>
      </c>
      <c r="BR109" s="415">
        <f t="shared" si="94"/>
        <v>0.66666666666666674</v>
      </c>
      <c r="BS109" s="350">
        <f t="shared" si="95"/>
        <v>9.5515543570040791</v>
      </c>
    </row>
    <row r="110" spans="1:71" x14ac:dyDescent="0.6">
      <c r="A110" s="214" t="s">
        <v>748</v>
      </c>
      <c r="B110" s="13" t="s">
        <v>2089</v>
      </c>
      <c r="C110" s="219" t="s">
        <v>98</v>
      </c>
      <c r="D110" s="216" t="s">
        <v>202</v>
      </c>
      <c r="E110" s="217" t="s">
        <v>954</v>
      </c>
      <c r="F110" s="217" t="s">
        <v>625</v>
      </c>
      <c r="G110" s="218">
        <v>42580</v>
      </c>
      <c r="H110" s="217" t="s">
        <v>830</v>
      </c>
      <c r="I110" s="217" t="s">
        <v>261</v>
      </c>
      <c r="J110" s="217" t="s">
        <v>1053</v>
      </c>
      <c r="K110" s="217" t="s">
        <v>91</v>
      </c>
      <c r="L110" s="220">
        <v>287289681</v>
      </c>
      <c r="M110" s="206">
        <v>116203289</v>
      </c>
      <c r="N110" s="206">
        <v>171086392</v>
      </c>
      <c r="O110" s="206">
        <v>227240330</v>
      </c>
      <c r="P110" s="206">
        <v>10840684</v>
      </c>
      <c r="Q110" s="206">
        <v>18488363</v>
      </c>
      <c r="R110" s="206">
        <v>14109027</v>
      </c>
      <c r="S110" s="405">
        <v>0</v>
      </c>
      <c r="T110" s="405">
        <v>0</v>
      </c>
      <c r="U110" s="406">
        <v>0</v>
      </c>
      <c r="V110" s="406">
        <v>0</v>
      </c>
      <c r="W110" s="407">
        <f t="shared" si="108"/>
        <v>0</v>
      </c>
      <c r="X110" s="407">
        <f t="shared" si="109"/>
        <v>100</v>
      </c>
      <c r="Y110" s="408">
        <f t="shared" si="110"/>
        <v>3</v>
      </c>
      <c r="Z110" s="444" t="s">
        <v>3347</v>
      </c>
      <c r="AA110" s="442">
        <v>0</v>
      </c>
      <c r="AB110" s="406">
        <v>0</v>
      </c>
      <c r="AC110" s="406">
        <v>0</v>
      </c>
      <c r="AD110" s="407">
        <f t="shared" si="111"/>
        <v>0</v>
      </c>
      <c r="AE110" s="364" t="str">
        <f t="shared" si="112"/>
        <v>50</v>
      </c>
      <c r="AF110" s="349">
        <f t="shared" si="113"/>
        <v>0.25</v>
      </c>
      <c r="AG110" s="154">
        <v>548</v>
      </c>
      <c r="AH110" s="154">
        <v>36605</v>
      </c>
      <c r="AI110" s="409">
        <f t="shared" si="78"/>
        <v>66.797445255474457</v>
      </c>
      <c r="AJ110" s="409">
        <f t="shared" si="79"/>
        <v>75.098083941605836</v>
      </c>
      <c r="AK110" s="408">
        <f t="shared" si="114"/>
        <v>0.75098083941605842</v>
      </c>
      <c r="AL110" s="45">
        <v>15741</v>
      </c>
      <c r="AM110" s="361">
        <f t="shared" si="96"/>
        <v>132.54558160218536</v>
      </c>
      <c r="AN110" s="365">
        <f t="shared" si="80"/>
        <v>49.852296550409754</v>
      </c>
      <c r="AO110" s="320">
        <f t="shared" si="115"/>
        <v>0.49852296550409753</v>
      </c>
      <c r="AP110" s="277">
        <f>_xlfn.XLOOKUP(C110, '1.건전성'!C:C, '1.건전성'!BE:BE)</f>
        <v>8807718</v>
      </c>
      <c r="AQ110" s="277">
        <f>_xlfn.XLOOKUP(C110, '1.건전성'!C:C, '1.건전성'!BF:BF)</f>
        <v>1501970</v>
      </c>
      <c r="AR110" s="410">
        <f t="shared" si="81"/>
        <v>10309688</v>
      </c>
      <c r="AS110" s="366">
        <f t="shared" si="76"/>
        <v>4.5369094473679032</v>
      </c>
      <c r="AT110" s="366">
        <f t="shared" si="82"/>
        <v>28.042896568367766</v>
      </c>
      <c r="AU110" s="321">
        <f t="shared" si="83"/>
        <v>0.28042896568367764</v>
      </c>
      <c r="AV110" s="15">
        <v>1334546</v>
      </c>
      <c r="AW110" s="361">
        <f t="shared" si="77"/>
        <v>0.58728395615338169</v>
      </c>
      <c r="AX110" s="361">
        <f t="shared" si="84"/>
        <v>28.691545122374105</v>
      </c>
      <c r="AY110" s="321">
        <f t="shared" si="116"/>
        <v>0.14345772561187053</v>
      </c>
      <c r="AZ110" s="411">
        <v>6.3</v>
      </c>
      <c r="BA110" s="412">
        <f t="shared" si="85"/>
        <v>60</v>
      </c>
      <c r="BB110" s="408">
        <f t="shared" si="117"/>
        <v>0.3</v>
      </c>
      <c r="BC110" s="204">
        <v>1</v>
      </c>
      <c r="BD110" s="407">
        <f t="shared" si="86"/>
        <v>100</v>
      </c>
      <c r="BE110" s="408">
        <f t="shared" si="118"/>
        <v>0.5</v>
      </c>
      <c r="BF110" s="204">
        <v>0</v>
      </c>
      <c r="BG110" s="204">
        <v>0</v>
      </c>
      <c r="BH110" s="204">
        <v>0</v>
      </c>
      <c r="BI110" s="272" t="str">
        <f t="shared" si="87"/>
        <v>A</v>
      </c>
      <c r="BJ110" s="247">
        <f t="shared" si="88"/>
        <v>100</v>
      </c>
      <c r="BK110" s="90">
        <f t="shared" si="89"/>
        <v>3</v>
      </c>
      <c r="BL110" s="406">
        <v>22</v>
      </c>
      <c r="BM110" s="413">
        <f t="shared" si="90"/>
        <v>4.0145985401459852</v>
      </c>
      <c r="BN110" s="414">
        <f t="shared" si="91"/>
        <v>40</v>
      </c>
      <c r="BO110" s="415">
        <f t="shared" si="92"/>
        <v>1.2</v>
      </c>
      <c r="BP110" s="416">
        <v>0.97</v>
      </c>
      <c r="BQ110" s="417">
        <f t="shared" si="93"/>
        <v>66.666666666666671</v>
      </c>
      <c r="BR110" s="415">
        <f t="shared" si="94"/>
        <v>0.66666666666666674</v>
      </c>
      <c r="BS110" s="350">
        <f t="shared" si="95"/>
        <v>10.590057162882369</v>
      </c>
    </row>
    <row r="111" spans="1:71" x14ac:dyDescent="0.6">
      <c r="A111" s="214" t="s">
        <v>688</v>
      </c>
      <c r="B111" s="13" t="s">
        <v>2090</v>
      </c>
      <c r="C111" s="219" t="s">
        <v>21</v>
      </c>
      <c r="D111" s="216" t="s">
        <v>203</v>
      </c>
      <c r="E111" s="217" t="s">
        <v>195</v>
      </c>
      <c r="F111" s="217" t="s">
        <v>640</v>
      </c>
      <c r="G111" s="218">
        <v>36390</v>
      </c>
      <c r="H111" s="217" t="s">
        <v>830</v>
      </c>
      <c r="I111" s="217" t="s">
        <v>621</v>
      </c>
      <c r="J111" s="217" t="s">
        <v>1193</v>
      </c>
      <c r="K111" s="217" t="s">
        <v>50</v>
      </c>
      <c r="L111" s="220">
        <v>306956323</v>
      </c>
      <c r="M111" s="206">
        <v>41595074</v>
      </c>
      <c r="N111" s="206">
        <v>265361249</v>
      </c>
      <c r="O111" s="206">
        <v>240604203</v>
      </c>
      <c r="P111" s="206">
        <v>24501432</v>
      </c>
      <c r="Q111" s="206">
        <v>44413864</v>
      </c>
      <c r="R111" s="206">
        <v>37642494</v>
      </c>
      <c r="S111" s="405">
        <v>0</v>
      </c>
      <c r="T111" s="405">
        <v>0</v>
      </c>
      <c r="U111" s="406">
        <v>0</v>
      </c>
      <c r="V111" s="406">
        <v>0</v>
      </c>
      <c r="W111" s="407">
        <f t="shared" si="108"/>
        <v>0</v>
      </c>
      <c r="X111" s="407">
        <f t="shared" si="109"/>
        <v>100</v>
      </c>
      <c r="Y111" s="408">
        <f t="shared" si="110"/>
        <v>3</v>
      </c>
      <c r="Z111" s="444" t="s">
        <v>3348</v>
      </c>
      <c r="AA111" s="442">
        <v>0</v>
      </c>
      <c r="AB111" s="406">
        <v>1</v>
      </c>
      <c r="AC111" s="406">
        <v>0</v>
      </c>
      <c r="AD111" s="407">
        <f t="shared" si="111"/>
        <v>1</v>
      </c>
      <c r="AE111" s="364" t="str">
        <f t="shared" si="112"/>
        <v>100</v>
      </c>
      <c r="AF111" s="349">
        <f t="shared" si="113"/>
        <v>0.5</v>
      </c>
      <c r="AG111" s="154">
        <v>184</v>
      </c>
      <c r="AH111" s="154">
        <v>1000</v>
      </c>
      <c r="AI111" s="409">
        <f t="shared" si="78"/>
        <v>5.4347826086956523</v>
      </c>
      <c r="AJ111" s="409">
        <f t="shared" si="79"/>
        <v>29.076086956521738</v>
      </c>
      <c r="AK111" s="408">
        <f t="shared" si="114"/>
        <v>0.29076086956521741</v>
      </c>
      <c r="AL111" s="45">
        <v>1000</v>
      </c>
      <c r="AM111" s="361">
        <f t="shared" si="96"/>
        <v>0</v>
      </c>
      <c r="AN111" s="365">
        <f t="shared" si="80"/>
        <v>25</v>
      </c>
      <c r="AO111" s="320">
        <f t="shared" si="115"/>
        <v>0.25</v>
      </c>
      <c r="AP111" s="277">
        <f>_xlfn.XLOOKUP(C111, '1.건전성'!C:C, '1.건전성'!BE:BE)</f>
        <v>4324000</v>
      </c>
      <c r="AQ111" s="277">
        <f>_xlfn.XLOOKUP(C111, '1.건전성'!C:C, '1.건전성'!BF:BF)</f>
        <v>417000</v>
      </c>
      <c r="AR111" s="410">
        <f t="shared" si="81"/>
        <v>4741000</v>
      </c>
      <c r="AS111" s="366">
        <f t="shared" si="76"/>
        <v>1.9704560190081135</v>
      </c>
      <c r="AT111" s="366">
        <f t="shared" si="82"/>
        <v>26.108383933925715</v>
      </c>
      <c r="AU111" s="321">
        <f t="shared" si="83"/>
        <v>0.26108383933925716</v>
      </c>
      <c r="AV111" s="15">
        <v>447000</v>
      </c>
      <c r="AW111" s="361">
        <f t="shared" si="77"/>
        <v>0.18578229076073122</v>
      </c>
      <c r="AX111" s="361">
        <f t="shared" si="84"/>
        <v>25.649865839096449</v>
      </c>
      <c r="AY111" s="321">
        <f t="shared" si="116"/>
        <v>0.12824932919548224</v>
      </c>
      <c r="AZ111" s="411">
        <v>9.4</v>
      </c>
      <c r="BA111" s="412">
        <f t="shared" si="85"/>
        <v>80</v>
      </c>
      <c r="BB111" s="408">
        <f t="shared" si="117"/>
        <v>0.4</v>
      </c>
      <c r="BC111" s="204">
        <v>1</v>
      </c>
      <c r="BD111" s="407">
        <f t="shared" si="86"/>
        <v>100</v>
      </c>
      <c r="BE111" s="408">
        <f t="shared" si="118"/>
        <v>0.5</v>
      </c>
      <c r="BF111" s="204">
        <v>0</v>
      </c>
      <c r="BG111" s="204">
        <v>0</v>
      </c>
      <c r="BH111" s="204">
        <v>0</v>
      </c>
      <c r="BI111" s="272" t="str">
        <f t="shared" si="87"/>
        <v>A</v>
      </c>
      <c r="BJ111" s="247">
        <f t="shared" si="88"/>
        <v>100</v>
      </c>
      <c r="BK111" s="90">
        <f t="shared" si="89"/>
        <v>3</v>
      </c>
      <c r="BL111" s="406">
        <v>0</v>
      </c>
      <c r="BM111" s="413">
        <f t="shared" si="90"/>
        <v>0</v>
      </c>
      <c r="BN111" s="414">
        <f t="shared" si="91"/>
        <v>100</v>
      </c>
      <c r="BO111" s="415">
        <f t="shared" si="92"/>
        <v>3</v>
      </c>
      <c r="BP111" s="416">
        <v>0</v>
      </c>
      <c r="BQ111" s="417">
        <f t="shared" si="93"/>
        <v>33.333333333333336</v>
      </c>
      <c r="BR111" s="415">
        <f t="shared" si="94"/>
        <v>0.33333333333333337</v>
      </c>
      <c r="BS111" s="350">
        <f t="shared" si="95"/>
        <v>11.66342737143329</v>
      </c>
    </row>
    <row r="112" spans="1:71" x14ac:dyDescent="0.6">
      <c r="A112" s="214" t="s">
        <v>681</v>
      </c>
      <c r="B112" s="13" t="s">
        <v>2091</v>
      </c>
      <c r="C112" s="219" t="s">
        <v>321</v>
      </c>
      <c r="D112" s="216" t="s">
        <v>202</v>
      </c>
      <c r="E112" s="217" t="s">
        <v>161</v>
      </c>
      <c r="F112" s="217" t="s">
        <v>158</v>
      </c>
      <c r="G112" s="218">
        <v>35277</v>
      </c>
      <c r="H112" s="217" t="s">
        <v>830</v>
      </c>
      <c r="I112" s="217" t="s">
        <v>77</v>
      </c>
      <c r="J112" s="217" t="s">
        <v>958</v>
      </c>
      <c r="K112" s="217" t="s">
        <v>91</v>
      </c>
      <c r="L112" s="220">
        <v>217873583</v>
      </c>
      <c r="M112" s="206">
        <v>87027381</v>
      </c>
      <c r="N112" s="206">
        <v>130846203</v>
      </c>
      <c r="O112" s="206">
        <v>151824315</v>
      </c>
      <c r="P112" s="206">
        <v>7759514</v>
      </c>
      <c r="Q112" s="206">
        <v>12802990</v>
      </c>
      <c r="R112" s="206">
        <v>10828940</v>
      </c>
      <c r="S112" s="405">
        <v>0</v>
      </c>
      <c r="T112" s="405">
        <v>0</v>
      </c>
      <c r="U112" s="406">
        <v>0</v>
      </c>
      <c r="V112" s="406">
        <v>0</v>
      </c>
      <c r="W112" s="407">
        <f t="shared" si="108"/>
        <v>0</v>
      </c>
      <c r="X112" s="407">
        <f t="shared" si="109"/>
        <v>100</v>
      </c>
      <c r="Y112" s="408">
        <f t="shared" si="110"/>
        <v>3</v>
      </c>
      <c r="Z112" s="444" t="s">
        <v>3349</v>
      </c>
      <c r="AA112" s="442">
        <v>0</v>
      </c>
      <c r="AB112" s="406">
        <v>0</v>
      </c>
      <c r="AC112" s="406">
        <v>0</v>
      </c>
      <c r="AD112" s="407">
        <f t="shared" si="111"/>
        <v>0</v>
      </c>
      <c r="AE112" s="364" t="str">
        <f t="shared" si="112"/>
        <v>50</v>
      </c>
      <c r="AF112" s="349">
        <f t="shared" si="113"/>
        <v>0.25</v>
      </c>
      <c r="AG112" s="154">
        <v>187</v>
      </c>
      <c r="AH112" s="421"/>
      <c r="AI112" s="409">
        <f t="shared" si="78"/>
        <v>0</v>
      </c>
      <c r="AJ112" s="409">
        <f t="shared" si="79"/>
        <v>25</v>
      </c>
      <c r="AK112" s="408">
        <f t="shared" si="114"/>
        <v>0.25</v>
      </c>
      <c r="AL112" s="423"/>
      <c r="AM112" s="424">
        <v>0</v>
      </c>
      <c r="AN112" s="365">
        <f t="shared" si="80"/>
        <v>25</v>
      </c>
      <c r="AO112" s="320">
        <f t="shared" si="115"/>
        <v>0.25</v>
      </c>
      <c r="AP112" s="277">
        <f>_xlfn.XLOOKUP(C112, '1.건전성'!C:C, '1.건전성'!BE:BE)</f>
        <v>15267446</v>
      </c>
      <c r="AQ112" s="277">
        <f>_xlfn.XLOOKUP(C112, '1.건전성'!C:C, '1.건전성'!BF:BF)</f>
        <v>460347</v>
      </c>
      <c r="AR112" s="410">
        <f t="shared" si="81"/>
        <v>15727793</v>
      </c>
      <c r="AS112" s="366">
        <f t="shared" si="76"/>
        <v>10.359205638438084</v>
      </c>
      <c r="AT112" s="366">
        <f t="shared" si="82"/>
        <v>32.431562039023682</v>
      </c>
      <c r="AU112" s="321">
        <f t="shared" si="83"/>
        <v>0.32431562039023681</v>
      </c>
      <c r="AV112" s="15">
        <v>1397273</v>
      </c>
      <c r="AW112" s="361">
        <f t="shared" si="77"/>
        <v>0.92032228171093666</v>
      </c>
      <c r="AX112" s="361">
        <f t="shared" si="84"/>
        <v>31.214562740234371</v>
      </c>
      <c r="AY112" s="321">
        <f t="shared" si="116"/>
        <v>0.15607281370117185</v>
      </c>
      <c r="AZ112" s="411">
        <v>7.55</v>
      </c>
      <c r="BA112" s="412">
        <f t="shared" si="85"/>
        <v>60</v>
      </c>
      <c r="BB112" s="408">
        <f t="shared" si="117"/>
        <v>0.3</v>
      </c>
      <c r="BC112" s="204">
        <v>1</v>
      </c>
      <c r="BD112" s="407">
        <f t="shared" si="86"/>
        <v>100</v>
      </c>
      <c r="BE112" s="408">
        <f t="shared" si="118"/>
        <v>0.5</v>
      </c>
      <c r="BF112" s="204">
        <v>0</v>
      </c>
      <c r="BG112" s="204">
        <v>0</v>
      </c>
      <c r="BH112" s="204">
        <v>0</v>
      </c>
      <c r="BI112" s="272" t="str">
        <f t="shared" si="87"/>
        <v>A</v>
      </c>
      <c r="BJ112" s="247">
        <f t="shared" si="88"/>
        <v>100</v>
      </c>
      <c r="BK112" s="90">
        <f t="shared" si="89"/>
        <v>3</v>
      </c>
      <c r="BL112" s="406">
        <v>2</v>
      </c>
      <c r="BM112" s="413">
        <f t="shared" si="90"/>
        <v>1.0695187165775399</v>
      </c>
      <c r="BN112" s="414">
        <f t="shared" si="91"/>
        <v>60</v>
      </c>
      <c r="BO112" s="415">
        <f t="shared" si="92"/>
        <v>1.7999999999999998</v>
      </c>
      <c r="BP112" s="416">
        <v>0</v>
      </c>
      <c r="BQ112" s="417">
        <f t="shared" si="93"/>
        <v>33.333333333333336</v>
      </c>
      <c r="BR112" s="415">
        <f t="shared" si="94"/>
        <v>0.33333333333333337</v>
      </c>
      <c r="BS112" s="350">
        <f t="shared" si="95"/>
        <v>10.163721767424741</v>
      </c>
    </row>
    <row r="113" spans="1:71" x14ac:dyDescent="0.6">
      <c r="A113" s="214" t="s">
        <v>898</v>
      </c>
      <c r="B113" s="13" t="s">
        <v>2092</v>
      </c>
      <c r="C113" s="219" t="s">
        <v>342</v>
      </c>
      <c r="D113" s="216" t="s">
        <v>202</v>
      </c>
      <c r="E113" s="217" t="s">
        <v>572</v>
      </c>
      <c r="F113" s="217" t="s">
        <v>557</v>
      </c>
      <c r="G113" s="218">
        <v>42019</v>
      </c>
      <c r="H113" s="217" t="s">
        <v>830</v>
      </c>
      <c r="I113" s="217" t="s">
        <v>745</v>
      </c>
      <c r="J113" s="217" t="s">
        <v>1049</v>
      </c>
      <c r="K113" s="217" t="s">
        <v>50</v>
      </c>
      <c r="L113" s="220">
        <v>254037930</v>
      </c>
      <c r="M113" s="206">
        <v>46334209</v>
      </c>
      <c r="N113" s="206">
        <v>207703722</v>
      </c>
      <c r="O113" s="206">
        <v>296998154</v>
      </c>
      <c r="P113" s="206">
        <v>11495556</v>
      </c>
      <c r="Q113" s="206">
        <v>30484094</v>
      </c>
      <c r="R113" s="206">
        <v>29253768</v>
      </c>
      <c r="S113" s="405">
        <v>0</v>
      </c>
      <c r="T113" s="405">
        <v>0</v>
      </c>
      <c r="U113" s="406">
        <v>0</v>
      </c>
      <c r="V113" s="406">
        <v>0</v>
      </c>
      <c r="W113" s="407">
        <f t="shared" si="108"/>
        <v>0</v>
      </c>
      <c r="X113" s="407">
        <f t="shared" si="109"/>
        <v>100</v>
      </c>
      <c r="Y113" s="408">
        <f t="shared" si="110"/>
        <v>3</v>
      </c>
      <c r="Z113" s="444" t="s">
        <v>3350</v>
      </c>
      <c r="AA113" s="442">
        <v>0</v>
      </c>
      <c r="AB113" s="406">
        <v>0</v>
      </c>
      <c r="AC113" s="406">
        <v>0</v>
      </c>
      <c r="AD113" s="407">
        <f t="shared" si="111"/>
        <v>0</v>
      </c>
      <c r="AE113" s="364" t="str">
        <f t="shared" si="112"/>
        <v>50</v>
      </c>
      <c r="AF113" s="349">
        <f t="shared" si="113"/>
        <v>0.25</v>
      </c>
      <c r="AG113" s="154">
        <v>429</v>
      </c>
      <c r="AH113" s="421"/>
      <c r="AI113" s="409">
        <f t="shared" si="78"/>
        <v>0</v>
      </c>
      <c r="AJ113" s="409">
        <f t="shared" si="79"/>
        <v>25</v>
      </c>
      <c r="AK113" s="408">
        <f t="shared" si="114"/>
        <v>0.25</v>
      </c>
      <c r="AL113" s="423"/>
      <c r="AM113" s="424">
        <v>0</v>
      </c>
      <c r="AN113" s="365">
        <f t="shared" si="80"/>
        <v>25</v>
      </c>
      <c r="AO113" s="320">
        <f t="shared" si="115"/>
        <v>0.25</v>
      </c>
      <c r="AP113" s="277">
        <f>_xlfn.XLOOKUP(C113, '1.건전성'!C:C, '1.건전성'!BE:BE)</f>
        <v>3021396</v>
      </c>
      <c r="AQ113" s="277">
        <f>_xlfn.XLOOKUP(C113, '1.건전성'!C:C, '1.건전성'!BF:BF)</f>
        <v>283344</v>
      </c>
      <c r="AR113" s="410">
        <f t="shared" si="81"/>
        <v>3304740</v>
      </c>
      <c r="AS113" s="366">
        <f t="shared" si="76"/>
        <v>1.1127139867677427</v>
      </c>
      <c r="AT113" s="366">
        <f t="shared" si="82"/>
        <v>25.461844713644027</v>
      </c>
      <c r="AU113" s="321">
        <f t="shared" si="83"/>
        <v>0.25461844713644027</v>
      </c>
      <c r="AV113" s="15">
        <v>439815</v>
      </c>
      <c r="AW113" s="361">
        <f t="shared" si="77"/>
        <v>0.14808677901748843</v>
      </c>
      <c r="AX113" s="361">
        <f t="shared" si="84"/>
        <v>25.364293780435517</v>
      </c>
      <c r="AY113" s="321">
        <f t="shared" si="116"/>
        <v>0.12682146890217758</v>
      </c>
      <c r="AZ113" s="411">
        <v>14.1</v>
      </c>
      <c r="BA113" s="412">
        <f t="shared" si="85"/>
        <v>100</v>
      </c>
      <c r="BB113" s="408">
        <f t="shared" si="117"/>
        <v>0.5</v>
      </c>
      <c r="BC113" s="204">
        <v>1</v>
      </c>
      <c r="BD113" s="407">
        <f t="shared" si="86"/>
        <v>100</v>
      </c>
      <c r="BE113" s="408">
        <f t="shared" si="118"/>
        <v>0.5</v>
      </c>
      <c r="BF113" s="204">
        <v>0</v>
      </c>
      <c r="BG113" s="204">
        <v>0</v>
      </c>
      <c r="BH113" s="204">
        <v>0</v>
      </c>
      <c r="BI113" s="272" t="str">
        <f t="shared" si="87"/>
        <v>A</v>
      </c>
      <c r="BJ113" s="247">
        <f t="shared" si="88"/>
        <v>100</v>
      </c>
      <c r="BK113" s="90">
        <f t="shared" si="89"/>
        <v>3</v>
      </c>
      <c r="BL113" s="406">
        <v>64</v>
      </c>
      <c r="BM113" s="413">
        <f t="shared" si="90"/>
        <v>14.918414918414918</v>
      </c>
      <c r="BN113" s="414">
        <f t="shared" si="91"/>
        <v>20</v>
      </c>
      <c r="BO113" s="415">
        <f t="shared" si="92"/>
        <v>0.6</v>
      </c>
      <c r="BP113" s="416">
        <v>0</v>
      </c>
      <c r="BQ113" s="417">
        <f t="shared" si="93"/>
        <v>33.333333333333336</v>
      </c>
      <c r="BR113" s="415">
        <f t="shared" si="94"/>
        <v>0.33333333333333337</v>
      </c>
      <c r="BS113" s="350">
        <f t="shared" si="95"/>
        <v>9.0647732493719513</v>
      </c>
    </row>
    <row r="114" spans="1:71" x14ac:dyDescent="0.6">
      <c r="A114" s="214" t="s">
        <v>1642</v>
      </c>
      <c r="B114" s="13" t="s">
        <v>2093</v>
      </c>
      <c r="C114" s="219" t="s">
        <v>1643</v>
      </c>
      <c r="D114" s="14" t="s">
        <v>285</v>
      </c>
      <c r="E114" s="217" t="s">
        <v>185</v>
      </c>
      <c r="F114" s="217" t="s">
        <v>1644</v>
      </c>
      <c r="G114" s="218">
        <v>44427</v>
      </c>
      <c r="H114" s="217" t="s">
        <v>830</v>
      </c>
      <c r="I114" s="217" t="s">
        <v>1645</v>
      </c>
      <c r="J114" s="217" t="s">
        <v>1646</v>
      </c>
      <c r="K114" s="217" t="s">
        <v>690</v>
      </c>
      <c r="L114" s="220">
        <v>6047349340</v>
      </c>
      <c r="M114" s="206">
        <v>4946497236</v>
      </c>
      <c r="N114" s="206">
        <v>1100852104</v>
      </c>
      <c r="O114" s="206">
        <v>2522065710</v>
      </c>
      <c r="P114" s="206">
        <v>286357383</v>
      </c>
      <c r="Q114" s="206">
        <v>120975036</v>
      </c>
      <c r="R114" s="206">
        <v>78010954</v>
      </c>
      <c r="S114" s="405">
        <v>0</v>
      </c>
      <c r="T114" s="405">
        <v>0</v>
      </c>
      <c r="U114" s="406">
        <v>0</v>
      </c>
      <c r="V114" s="406">
        <v>0</v>
      </c>
      <c r="W114" s="407">
        <f t="shared" si="108"/>
        <v>0</v>
      </c>
      <c r="X114" s="407">
        <f t="shared" si="109"/>
        <v>100</v>
      </c>
      <c r="Y114" s="408">
        <f t="shared" si="110"/>
        <v>3</v>
      </c>
      <c r="Z114" s="444" t="s">
        <v>3351</v>
      </c>
      <c r="AA114" s="442">
        <v>0</v>
      </c>
      <c r="AB114" s="406">
        <v>1</v>
      </c>
      <c r="AC114" s="406">
        <v>0</v>
      </c>
      <c r="AD114" s="407">
        <f t="shared" si="111"/>
        <v>1</v>
      </c>
      <c r="AE114" s="364" t="str">
        <f t="shared" si="112"/>
        <v>100</v>
      </c>
      <c r="AF114" s="349">
        <f t="shared" si="113"/>
        <v>0.5</v>
      </c>
      <c r="AG114" s="154">
        <v>1175</v>
      </c>
      <c r="AH114" s="154">
        <v>1360928</v>
      </c>
      <c r="AI114" s="409">
        <f t="shared" si="78"/>
        <v>1158.2365957446809</v>
      </c>
      <c r="AJ114" s="409">
        <f t="shared" si="79"/>
        <v>100</v>
      </c>
      <c r="AK114" s="408">
        <f t="shared" si="114"/>
        <v>1</v>
      </c>
      <c r="AL114" s="45">
        <v>1047637</v>
      </c>
      <c r="AM114" s="361">
        <f t="shared" si="96"/>
        <v>29.90453754497025</v>
      </c>
      <c r="AN114" s="365">
        <f t="shared" si="80"/>
        <v>30.607100789681922</v>
      </c>
      <c r="AO114" s="320">
        <f t="shared" si="115"/>
        <v>0.30607100789681924</v>
      </c>
      <c r="AP114" s="277">
        <f>_xlfn.XLOOKUP(C114, '1.건전성'!C:C, '1.건전성'!BE:BE)</f>
        <v>73931442</v>
      </c>
      <c r="AQ114" s="277">
        <f>_xlfn.XLOOKUP(C114, '1.건전성'!C:C, '1.건전성'!BF:BF)</f>
        <v>7327875</v>
      </c>
      <c r="AR114" s="410">
        <f t="shared" si="81"/>
        <v>81259317</v>
      </c>
      <c r="AS114" s="366">
        <f t="shared" si="76"/>
        <v>3.2219349669521495</v>
      </c>
      <c r="AT114" s="366">
        <f t="shared" si="82"/>
        <v>27.051709774084536</v>
      </c>
      <c r="AU114" s="321">
        <f t="shared" si="83"/>
        <v>0.27051709774084537</v>
      </c>
      <c r="AV114" s="15">
        <v>12129184</v>
      </c>
      <c r="AW114" s="361">
        <f t="shared" si="77"/>
        <v>0.48092260054556624</v>
      </c>
      <c r="AX114" s="361">
        <f t="shared" si="84"/>
        <v>27.885777276860352</v>
      </c>
      <c r="AY114" s="321">
        <f t="shared" si="116"/>
        <v>0.13942888638430176</v>
      </c>
      <c r="AZ114" s="411">
        <v>8.4</v>
      </c>
      <c r="BA114" s="412">
        <f t="shared" si="85"/>
        <v>80</v>
      </c>
      <c r="BB114" s="408">
        <f t="shared" si="117"/>
        <v>0.4</v>
      </c>
      <c r="BC114" s="204">
        <v>1</v>
      </c>
      <c r="BD114" s="407">
        <f t="shared" si="86"/>
        <v>100</v>
      </c>
      <c r="BE114" s="408">
        <f t="shared" si="118"/>
        <v>0.5</v>
      </c>
      <c r="BF114" s="204">
        <v>0</v>
      </c>
      <c r="BG114" s="204">
        <v>1</v>
      </c>
      <c r="BH114" s="204">
        <v>0</v>
      </c>
      <c r="BI114" s="272" t="str">
        <f t="shared" si="87"/>
        <v>C</v>
      </c>
      <c r="BJ114" s="247">
        <f t="shared" si="88"/>
        <v>50</v>
      </c>
      <c r="BK114" s="90">
        <f t="shared" si="89"/>
        <v>1.5</v>
      </c>
      <c r="BL114" s="406">
        <v>224</v>
      </c>
      <c r="BM114" s="413">
        <f t="shared" si="90"/>
        <v>19.063829787234042</v>
      </c>
      <c r="BN114" s="414">
        <f t="shared" si="91"/>
        <v>20</v>
      </c>
      <c r="BO114" s="415">
        <f t="shared" si="92"/>
        <v>0.6</v>
      </c>
      <c r="BP114" s="416">
        <v>3.12</v>
      </c>
      <c r="BQ114" s="417">
        <f t="shared" si="93"/>
        <v>66.666666666666671</v>
      </c>
      <c r="BR114" s="415">
        <f t="shared" si="94"/>
        <v>0.66666666666666674</v>
      </c>
      <c r="BS114" s="350">
        <f t="shared" si="95"/>
        <v>8.8826836586886326</v>
      </c>
    </row>
    <row r="115" spans="1:71" x14ac:dyDescent="0.6">
      <c r="A115" s="214" t="s">
        <v>1647</v>
      </c>
      <c r="B115" s="13" t="s">
        <v>2094</v>
      </c>
      <c r="C115" s="219" t="s">
        <v>303</v>
      </c>
      <c r="D115" s="216" t="s">
        <v>202</v>
      </c>
      <c r="E115" s="217" t="s">
        <v>205</v>
      </c>
      <c r="F115" s="217" t="s">
        <v>136</v>
      </c>
      <c r="G115" s="218">
        <v>40606</v>
      </c>
      <c r="H115" s="217" t="s">
        <v>830</v>
      </c>
      <c r="I115" s="217" t="s">
        <v>1648</v>
      </c>
      <c r="J115" s="217" t="s">
        <v>1649</v>
      </c>
      <c r="K115" s="217" t="s">
        <v>320</v>
      </c>
      <c r="L115" s="220">
        <v>835420294</v>
      </c>
      <c r="M115" s="206">
        <v>225524201</v>
      </c>
      <c r="N115" s="206">
        <v>609896093</v>
      </c>
      <c r="O115" s="206">
        <v>312422244</v>
      </c>
      <c r="P115" s="206">
        <v>22539859</v>
      </c>
      <c r="Q115" s="206">
        <v>7001542</v>
      </c>
      <c r="R115" s="206">
        <v>4884512</v>
      </c>
      <c r="S115" s="405">
        <v>0</v>
      </c>
      <c r="T115" s="405">
        <v>0</v>
      </c>
      <c r="U115" s="406">
        <v>0</v>
      </c>
      <c r="V115" s="406">
        <v>0</v>
      </c>
      <c r="W115" s="407">
        <f t="shared" si="108"/>
        <v>0</v>
      </c>
      <c r="X115" s="407">
        <f t="shared" si="109"/>
        <v>100</v>
      </c>
      <c r="Y115" s="408">
        <f t="shared" si="110"/>
        <v>3</v>
      </c>
      <c r="Z115" s="444" t="s">
        <v>3352</v>
      </c>
      <c r="AA115" s="442">
        <v>0</v>
      </c>
      <c r="AB115" s="406">
        <v>0</v>
      </c>
      <c r="AC115" s="406">
        <v>0</v>
      </c>
      <c r="AD115" s="407">
        <f t="shared" si="111"/>
        <v>0</v>
      </c>
      <c r="AE115" s="364" t="str">
        <f t="shared" si="112"/>
        <v>50</v>
      </c>
      <c r="AF115" s="349">
        <f t="shared" si="113"/>
        <v>0.25</v>
      </c>
      <c r="AG115" s="154">
        <v>573</v>
      </c>
      <c r="AH115" s="421"/>
      <c r="AI115" s="409">
        <f t="shared" si="78"/>
        <v>0</v>
      </c>
      <c r="AJ115" s="409">
        <f t="shared" si="79"/>
        <v>25</v>
      </c>
      <c r="AK115" s="408">
        <f t="shared" si="114"/>
        <v>0.25</v>
      </c>
      <c r="AL115" s="423"/>
      <c r="AM115" s="424">
        <v>0</v>
      </c>
      <c r="AN115" s="365">
        <f t="shared" si="80"/>
        <v>25</v>
      </c>
      <c r="AO115" s="320">
        <f t="shared" si="115"/>
        <v>0.25</v>
      </c>
      <c r="AP115" s="277">
        <f>_xlfn.XLOOKUP(C115, '1.건전성'!C:C, '1.건전성'!BE:BE)</f>
        <v>7486468</v>
      </c>
      <c r="AQ115" s="277">
        <f>_xlfn.XLOOKUP(C115, '1.건전성'!C:C, '1.건전성'!BF:BF)</f>
        <v>1305491</v>
      </c>
      <c r="AR115" s="410">
        <f t="shared" si="81"/>
        <v>8791959</v>
      </c>
      <c r="AS115" s="366">
        <f t="shared" si="76"/>
        <v>2.8141270888509462</v>
      </c>
      <c r="AT115" s="366">
        <f t="shared" si="82"/>
        <v>26.744316901143929</v>
      </c>
      <c r="AU115" s="321">
        <f t="shared" si="83"/>
        <v>0.26744316901143927</v>
      </c>
      <c r="AV115" s="15">
        <v>1219040</v>
      </c>
      <c r="AW115" s="361">
        <f t="shared" si="77"/>
        <v>0.39018988673546562</v>
      </c>
      <c r="AX115" s="361">
        <f t="shared" si="84"/>
        <v>27.198408232844436</v>
      </c>
      <c r="AY115" s="321">
        <f t="shared" si="116"/>
        <v>0.13599204116422217</v>
      </c>
      <c r="AZ115" s="411">
        <v>12</v>
      </c>
      <c r="BA115" s="412">
        <f t="shared" si="85"/>
        <v>100</v>
      </c>
      <c r="BB115" s="408">
        <f t="shared" si="117"/>
        <v>0.5</v>
      </c>
      <c r="BC115" s="204">
        <v>1</v>
      </c>
      <c r="BD115" s="407">
        <f t="shared" si="86"/>
        <v>100</v>
      </c>
      <c r="BE115" s="408">
        <f t="shared" si="118"/>
        <v>0.5</v>
      </c>
      <c r="BF115" s="204">
        <v>1</v>
      </c>
      <c r="BG115" s="204">
        <v>1</v>
      </c>
      <c r="BH115" s="204">
        <v>0</v>
      </c>
      <c r="BI115" s="272" t="str">
        <f t="shared" si="87"/>
        <v>C</v>
      </c>
      <c r="BJ115" s="247">
        <f t="shared" si="88"/>
        <v>50</v>
      </c>
      <c r="BK115" s="90">
        <f t="shared" si="89"/>
        <v>1.5</v>
      </c>
      <c r="BL115" s="406">
        <v>52</v>
      </c>
      <c r="BM115" s="413">
        <f t="shared" si="90"/>
        <v>9.0750436300174506</v>
      </c>
      <c r="BN115" s="414">
        <f t="shared" si="91"/>
        <v>20</v>
      </c>
      <c r="BO115" s="415">
        <f t="shared" si="92"/>
        <v>0.6</v>
      </c>
      <c r="BP115" s="416">
        <v>0.02</v>
      </c>
      <c r="BQ115" s="417">
        <f t="shared" si="93"/>
        <v>66.666666666666671</v>
      </c>
      <c r="BR115" s="415">
        <f t="shared" si="94"/>
        <v>0.66666666666666674</v>
      </c>
      <c r="BS115" s="350">
        <f t="shared" si="95"/>
        <v>7.9201018768423284</v>
      </c>
    </row>
    <row r="116" spans="1:71" x14ac:dyDescent="0.6">
      <c r="A116" s="214" t="s">
        <v>1650</v>
      </c>
      <c r="B116" s="13" t="s">
        <v>2095</v>
      </c>
      <c r="C116" s="219" t="s">
        <v>375</v>
      </c>
      <c r="D116" s="216" t="s">
        <v>191</v>
      </c>
      <c r="E116" s="217" t="s">
        <v>178</v>
      </c>
      <c r="F116" s="217" t="s">
        <v>635</v>
      </c>
      <c r="G116" s="218">
        <v>43038</v>
      </c>
      <c r="H116" s="217" t="s">
        <v>830</v>
      </c>
      <c r="I116" s="217" t="s">
        <v>1651</v>
      </c>
      <c r="J116" s="217" t="s">
        <v>1652</v>
      </c>
      <c r="K116" s="217" t="s">
        <v>91</v>
      </c>
      <c r="L116" s="220">
        <v>3758489001</v>
      </c>
      <c r="M116" s="206">
        <v>1736640152</v>
      </c>
      <c r="N116" s="206">
        <v>2021848848</v>
      </c>
      <c r="O116" s="206">
        <v>2443855289</v>
      </c>
      <c r="P116" s="206">
        <v>80897560</v>
      </c>
      <c r="Q116" s="206">
        <v>19509459</v>
      </c>
      <c r="R116" s="206">
        <v>18708119</v>
      </c>
      <c r="S116" s="405">
        <v>0</v>
      </c>
      <c r="T116" s="405">
        <v>0</v>
      </c>
      <c r="U116" s="406">
        <v>0</v>
      </c>
      <c r="V116" s="406">
        <v>0</v>
      </c>
      <c r="W116" s="407">
        <f t="shared" si="108"/>
        <v>0</v>
      </c>
      <c r="X116" s="407">
        <f t="shared" si="109"/>
        <v>100</v>
      </c>
      <c r="Y116" s="408">
        <f t="shared" si="110"/>
        <v>3</v>
      </c>
      <c r="Z116" s="444" t="s">
        <v>3353</v>
      </c>
      <c r="AA116" s="442">
        <v>0</v>
      </c>
      <c r="AB116" s="406">
        <v>0</v>
      </c>
      <c r="AC116" s="406">
        <v>0</v>
      </c>
      <c r="AD116" s="407">
        <f t="shared" si="111"/>
        <v>0</v>
      </c>
      <c r="AE116" s="364" t="str">
        <f t="shared" si="112"/>
        <v>50</v>
      </c>
      <c r="AF116" s="349">
        <f t="shared" si="113"/>
        <v>0.25</v>
      </c>
      <c r="AG116" s="154">
        <v>6795</v>
      </c>
      <c r="AH116" s="421"/>
      <c r="AI116" s="409">
        <f t="shared" si="78"/>
        <v>0</v>
      </c>
      <c r="AJ116" s="409">
        <f t="shared" si="79"/>
        <v>25</v>
      </c>
      <c r="AK116" s="408">
        <f t="shared" si="114"/>
        <v>0.25</v>
      </c>
      <c r="AL116" s="423"/>
      <c r="AM116" s="424">
        <v>0</v>
      </c>
      <c r="AN116" s="365">
        <f t="shared" si="80"/>
        <v>25</v>
      </c>
      <c r="AO116" s="320">
        <f t="shared" si="115"/>
        <v>0.25</v>
      </c>
      <c r="AP116" s="277">
        <f>_xlfn.XLOOKUP(C116, '1.건전성'!C:C, '1.건전성'!BE:BE)</f>
        <v>162394000</v>
      </c>
      <c r="AQ116" s="277">
        <f>_xlfn.XLOOKUP(C116, '1.건전성'!C:C, '1.건전성'!BF:BF)</f>
        <v>14691000</v>
      </c>
      <c r="AR116" s="410">
        <f t="shared" si="81"/>
        <v>177085000</v>
      </c>
      <c r="AS116" s="366">
        <f t="shared" si="76"/>
        <v>7.2461328130628111</v>
      </c>
      <c r="AT116" s="366">
        <f t="shared" si="82"/>
        <v>30.085024733464429</v>
      </c>
      <c r="AU116" s="321">
        <f t="shared" si="83"/>
        <v>0.30085024733464433</v>
      </c>
      <c r="AV116" s="15">
        <v>36159000</v>
      </c>
      <c r="AW116" s="361">
        <f t="shared" si="77"/>
        <v>1.4795884258267962</v>
      </c>
      <c r="AX116" s="361">
        <f t="shared" si="84"/>
        <v>35.451427468384821</v>
      </c>
      <c r="AY116" s="321">
        <f t="shared" si="116"/>
        <v>0.17725713734192411</v>
      </c>
      <c r="AZ116" s="411">
        <v>12.4</v>
      </c>
      <c r="BA116" s="412">
        <f t="shared" si="85"/>
        <v>100</v>
      </c>
      <c r="BB116" s="408">
        <f t="shared" si="117"/>
        <v>0.5</v>
      </c>
      <c r="BC116" s="204">
        <v>1</v>
      </c>
      <c r="BD116" s="407">
        <f t="shared" si="86"/>
        <v>100</v>
      </c>
      <c r="BE116" s="408">
        <f t="shared" si="118"/>
        <v>0.5</v>
      </c>
      <c r="BF116" s="204">
        <v>0</v>
      </c>
      <c r="BG116" s="204">
        <v>0</v>
      </c>
      <c r="BH116" s="204">
        <v>0</v>
      </c>
      <c r="BI116" s="272" t="str">
        <f t="shared" si="87"/>
        <v>A</v>
      </c>
      <c r="BJ116" s="247">
        <f t="shared" si="88"/>
        <v>100</v>
      </c>
      <c r="BK116" s="90">
        <f t="shared" si="89"/>
        <v>3</v>
      </c>
      <c r="BL116" s="406">
        <v>1092</v>
      </c>
      <c r="BM116" s="413">
        <f t="shared" si="90"/>
        <v>16.070640176600442</v>
      </c>
      <c r="BN116" s="414">
        <f t="shared" si="91"/>
        <v>20</v>
      </c>
      <c r="BO116" s="415">
        <f t="shared" si="92"/>
        <v>0.6</v>
      </c>
      <c r="BP116" s="416">
        <v>0</v>
      </c>
      <c r="BQ116" s="417">
        <f t="shared" si="93"/>
        <v>33.333333333333336</v>
      </c>
      <c r="BR116" s="415">
        <f t="shared" si="94"/>
        <v>0.33333333333333337</v>
      </c>
      <c r="BS116" s="350">
        <f t="shared" si="95"/>
        <v>9.1614407180099029</v>
      </c>
    </row>
    <row r="117" spans="1:71" x14ac:dyDescent="0.6">
      <c r="A117" s="214" t="s">
        <v>511</v>
      </c>
      <c r="B117" s="13" t="s">
        <v>2096</v>
      </c>
      <c r="C117" s="219" t="s">
        <v>515</v>
      </c>
      <c r="D117" s="216" t="s">
        <v>203</v>
      </c>
      <c r="E117" s="217" t="s">
        <v>180</v>
      </c>
      <c r="F117" s="217" t="s">
        <v>391</v>
      </c>
      <c r="G117" s="218">
        <v>27865</v>
      </c>
      <c r="H117" s="217" t="s">
        <v>830</v>
      </c>
      <c r="I117" s="217" t="s">
        <v>742</v>
      </c>
      <c r="J117" s="217" t="s">
        <v>671</v>
      </c>
      <c r="K117" s="217" t="s">
        <v>407</v>
      </c>
      <c r="L117" s="220">
        <v>2511638063</v>
      </c>
      <c r="M117" s="206">
        <v>407361084</v>
      </c>
      <c r="N117" s="206">
        <v>2104276979</v>
      </c>
      <c r="O117" s="206">
        <v>2461065167</v>
      </c>
      <c r="P117" s="206">
        <v>406388582</v>
      </c>
      <c r="Q117" s="206">
        <v>513833216</v>
      </c>
      <c r="R117" s="206">
        <v>386538587</v>
      </c>
      <c r="S117" s="405">
        <v>0</v>
      </c>
      <c r="T117" s="405">
        <v>0</v>
      </c>
      <c r="U117" s="406">
        <v>0</v>
      </c>
      <c r="V117" s="406">
        <v>0</v>
      </c>
      <c r="W117" s="407">
        <f t="shared" si="108"/>
        <v>0</v>
      </c>
      <c r="X117" s="407">
        <f t="shared" si="109"/>
        <v>100</v>
      </c>
      <c r="Y117" s="408">
        <f t="shared" si="110"/>
        <v>3</v>
      </c>
      <c r="Z117" s="444" t="s">
        <v>3354</v>
      </c>
      <c r="AA117" s="442">
        <v>0</v>
      </c>
      <c r="AB117" s="406">
        <v>0</v>
      </c>
      <c r="AC117" s="406">
        <v>0</v>
      </c>
      <c r="AD117" s="407">
        <f t="shared" si="111"/>
        <v>0</v>
      </c>
      <c r="AE117" s="364" t="str">
        <f t="shared" si="112"/>
        <v>50</v>
      </c>
      <c r="AF117" s="349">
        <f t="shared" si="113"/>
        <v>0.25</v>
      </c>
      <c r="AG117" s="154">
        <v>917</v>
      </c>
      <c r="AH117" s="421"/>
      <c r="AI117" s="409">
        <f t="shared" si="78"/>
        <v>0</v>
      </c>
      <c r="AJ117" s="409">
        <f t="shared" si="79"/>
        <v>25</v>
      </c>
      <c r="AK117" s="408">
        <f t="shared" si="114"/>
        <v>0.25</v>
      </c>
      <c r="AL117" s="423"/>
      <c r="AM117" s="424">
        <v>0</v>
      </c>
      <c r="AN117" s="365">
        <f t="shared" si="80"/>
        <v>25</v>
      </c>
      <c r="AO117" s="320">
        <f t="shared" si="115"/>
        <v>0.25</v>
      </c>
      <c r="AP117" s="277">
        <f>_xlfn.XLOOKUP(C117, '1.건전성'!C:C, '1.건전성'!BE:BE)</f>
        <v>23433689</v>
      </c>
      <c r="AQ117" s="277">
        <f>_xlfn.XLOOKUP(C117, '1.건전성'!C:C, '1.건전성'!BF:BF)</f>
        <v>1543250</v>
      </c>
      <c r="AR117" s="410">
        <f t="shared" si="81"/>
        <v>24976939</v>
      </c>
      <c r="AS117" s="366">
        <f t="shared" si="76"/>
        <v>1.0148832844782609</v>
      </c>
      <c r="AT117" s="366">
        <f t="shared" si="82"/>
        <v>25.388102978249947</v>
      </c>
      <c r="AU117" s="321">
        <f t="shared" si="83"/>
        <v>0.25388102978249949</v>
      </c>
      <c r="AV117" s="15">
        <v>1732153</v>
      </c>
      <c r="AW117" s="361">
        <f t="shared" si="77"/>
        <v>7.0382248435601868E-2</v>
      </c>
      <c r="AX117" s="361">
        <f t="shared" si="84"/>
        <v>25</v>
      </c>
      <c r="AY117" s="321">
        <f t="shared" si="116"/>
        <v>0.125</v>
      </c>
      <c r="AZ117" s="411">
        <v>15.8</v>
      </c>
      <c r="BA117" s="412">
        <f t="shared" si="85"/>
        <v>100</v>
      </c>
      <c r="BB117" s="408">
        <f t="shared" si="117"/>
        <v>0.5</v>
      </c>
      <c r="BC117" s="204">
        <v>1</v>
      </c>
      <c r="BD117" s="407">
        <f t="shared" si="86"/>
        <v>100</v>
      </c>
      <c r="BE117" s="408">
        <f t="shared" si="118"/>
        <v>0.5</v>
      </c>
      <c r="BF117" s="204">
        <v>0</v>
      </c>
      <c r="BG117" s="204">
        <v>0</v>
      </c>
      <c r="BH117" s="204">
        <v>0</v>
      </c>
      <c r="BI117" s="272" t="str">
        <f t="shared" si="87"/>
        <v>A</v>
      </c>
      <c r="BJ117" s="247">
        <f t="shared" si="88"/>
        <v>100</v>
      </c>
      <c r="BK117" s="90">
        <f t="shared" si="89"/>
        <v>3</v>
      </c>
      <c r="BL117" s="406">
        <v>9</v>
      </c>
      <c r="BM117" s="413">
        <f t="shared" si="90"/>
        <v>0.98146128680479827</v>
      </c>
      <c r="BN117" s="414">
        <f t="shared" si="91"/>
        <v>80</v>
      </c>
      <c r="BO117" s="415">
        <f t="shared" si="92"/>
        <v>2.4</v>
      </c>
      <c r="BP117" s="416">
        <v>0</v>
      </c>
      <c r="BQ117" s="417">
        <f t="shared" si="93"/>
        <v>33.333333333333336</v>
      </c>
      <c r="BR117" s="415">
        <f t="shared" si="94"/>
        <v>0.33333333333333337</v>
      </c>
      <c r="BS117" s="350">
        <f t="shared" si="95"/>
        <v>10.862214363115834</v>
      </c>
    </row>
    <row r="118" spans="1:71" x14ac:dyDescent="0.6">
      <c r="A118" s="214" t="s">
        <v>15</v>
      </c>
      <c r="B118" s="13" t="s">
        <v>2097</v>
      </c>
      <c r="C118" s="219" t="s">
        <v>71</v>
      </c>
      <c r="D118" s="216" t="s">
        <v>203</v>
      </c>
      <c r="E118" s="217" t="s">
        <v>195</v>
      </c>
      <c r="F118" s="217" t="s">
        <v>1162</v>
      </c>
      <c r="G118" s="218">
        <v>28294</v>
      </c>
      <c r="H118" s="217" t="s">
        <v>755</v>
      </c>
      <c r="I118" s="217" t="s">
        <v>765</v>
      </c>
      <c r="J118" s="217" t="s">
        <v>1159</v>
      </c>
      <c r="K118" s="217" t="s">
        <v>484</v>
      </c>
      <c r="L118" s="220">
        <v>257003015</v>
      </c>
      <c r="M118" s="206">
        <v>25657000</v>
      </c>
      <c r="N118" s="206">
        <v>231346015</v>
      </c>
      <c r="O118" s="206">
        <v>253705017</v>
      </c>
      <c r="P118" s="206">
        <v>209474</v>
      </c>
      <c r="Q118" s="206">
        <v>8220332</v>
      </c>
      <c r="R118" s="206">
        <v>6363937</v>
      </c>
      <c r="S118" s="405">
        <v>0</v>
      </c>
      <c r="T118" s="405">
        <v>0</v>
      </c>
      <c r="U118" s="406">
        <v>0</v>
      </c>
      <c r="V118" s="406">
        <v>0</v>
      </c>
      <c r="W118" s="407">
        <f t="shared" si="108"/>
        <v>0</v>
      </c>
      <c r="X118" s="407">
        <f t="shared" si="109"/>
        <v>100</v>
      </c>
      <c r="Y118" s="408">
        <f t="shared" si="110"/>
        <v>3</v>
      </c>
      <c r="Z118" s="444" t="s">
        <v>3355</v>
      </c>
      <c r="AA118" s="442">
        <v>0</v>
      </c>
      <c r="AB118" s="406">
        <v>0</v>
      </c>
      <c r="AC118" s="406">
        <v>0</v>
      </c>
      <c r="AD118" s="407">
        <f t="shared" si="111"/>
        <v>0</v>
      </c>
      <c r="AE118" s="364" t="str">
        <f t="shared" si="112"/>
        <v>50</v>
      </c>
      <c r="AF118" s="349">
        <f t="shared" si="113"/>
        <v>0.25</v>
      </c>
      <c r="AG118" s="154">
        <v>165</v>
      </c>
      <c r="AH118" s="421"/>
      <c r="AI118" s="409">
        <f t="shared" si="78"/>
        <v>0</v>
      </c>
      <c r="AJ118" s="409">
        <f t="shared" si="79"/>
        <v>25</v>
      </c>
      <c r="AK118" s="408">
        <f t="shared" si="114"/>
        <v>0.25</v>
      </c>
      <c r="AL118" s="423"/>
      <c r="AM118" s="424">
        <v>0</v>
      </c>
      <c r="AN118" s="365">
        <f t="shared" si="80"/>
        <v>25</v>
      </c>
      <c r="AO118" s="320">
        <f t="shared" si="115"/>
        <v>0.25</v>
      </c>
      <c r="AP118" s="277">
        <f>_xlfn.XLOOKUP(C118, '1.건전성'!C:C, '1.건전성'!BE:BE)</f>
        <v>4875359</v>
      </c>
      <c r="AQ118" s="277">
        <f>_xlfn.XLOOKUP(C118, '1.건전성'!C:C, '1.건전성'!BF:BF)</f>
        <v>381091</v>
      </c>
      <c r="AR118" s="410">
        <f t="shared" si="81"/>
        <v>5256450</v>
      </c>
      <c r="AS118" s="366">
        <f t="shared" si="76"/>
        <v>2.0718746764081528</v>
      </c>
      <c r="AT118" s="366">
        <f t="shared" si="82"/>
        <v>26.184830158096599</v>
      </c>
      <c r="AU118" s="321">
        <f t="shared" si="83"/>
        <v>0.261848301580966</v>
      </c>
      <c r="AV118" s="15">
        <v>787492</v>
      </c>
      <c r="AW118" s="361">
        <f t="shared" si="77"/>
        <v>0.31039669980195939</v>
      </c>
      <c r="AX118" s="361">
        <f t="shared" si="84"/>
        <v>26.593914392439086</v>
      </c>
      <c r="AY118" s="321">
        <f t="shared" si="116"/>
        <v>0.13296957196219544</v>
      </c>
      <c r="AZ118" s="411">
        <v>8.41</v>
      </c>
      <c r="BA118" s="412">
        <f t="shared" si="85"/>
        <v>80</v>
      </c>
      <c r="BB118" s="408">
        <f t="shared" si="117"/>
        <v>0.4</v>
      </c>
      <c r="BC118" s="204">
        <v>1</v>
      </c>
      <c r="BD118" s="407">
        <f t="shared" si="86"/>
        <v>100</v>
      </c>
      <c r="BE118" s="408">
        <f t="shared" si="118"/>
        <v>0.5</v>
      </c>
      <c r="BF118" s="204">
        <v>0</v>
      </c>
      <c r="BG118" s="204">
        <v>0</v>
      </c>
      <c r="BH118" s="204">
        <v>0</v>
      </c>
      <c r="BI118" s="272" t="str">
        <f t="shared" si="87"/>
        <v>A</v>
      </c>
      <c r="BJ118" s="247">
        <f t="shared" si="88"/>
        <v>100</v>
      </c>
      <c r="BK118" s="90">
        <f t="shared" si="89"/>
        <v>3</v>
      </c>
      <c r="BL118" s="406">
        <v>0</v>
      </c>
      <c r="BM118" s="413">
        <f t="shared" si="90"/>
        <v>0</v>
      </c>
      <c r="BN118" s="414">
        <f t="shared" si="91"/>
        <v>100</v>
      </c>
      <c r="BO118" s="415">
        <f t="shared" si="92"/>
        <v>3</v>
      </c>
      <c r="BP118" s="416">
        <v>5.2</v>
      </c>
      <c r="BQ118" s="417">
        <f t="shared" si="93"/>
        <v>100</v>
      </c>
      <c r="BR118" s="415">
        <f t="shared" si="94"/>
        <v>1</v>
      </c>
      <c r="BS118" s="350">
        <f t="shared" si="95"/>
        <v>12.044817873543161</v>
      </c>
    </row>
    <row r="119" spans="1:71" x14ac:dyDescent="0.6">
      <c r="A119" s="214" t="s">
        <v>753</v>
      </c>
      <c r="B119" s="13" t="s">
        <v>2098</v>
      </c>
      <c r="C119" s="219" t="s">
        <v>430</v>
      </c>
      <c r="D119" s="216" t="s">
        <v>202</v>
      </c>
      <c r="E119" s="217" t="s">
        <v>954</v>
      </c>
      <c r="F119" s="217" t="s">
        <v>647</v>
      </c>
      <c r="G119" s="218">
        <v>34348</v>
      </c>
      <c r="H119" s="217" t="s">
        <v>830</v>
      </c>
      <c r="I119" s="217" t="s">
        <v>966</v>
      </c>
      <c r="J119" s="217" t="s">
        <v>1151</v>
      </c>
      <c r="K119" s="217" t="s">
        <v>91</v>
      </c>
      <c r="L119" s="220">
        <v>463199227</v>
      </c>
      <c r="M119" s="206">
        <v>33561119</v>
      </c>
      <c r="N119" s="206">
        <v>429638109</v>
      </c>
      <c r="O119" s="206">
        <v>223860213</v>
      </c>
      <c r="P119" s="206">
        <v>14271412</v>
      </c>
      <c r="Q119" s="206">
        <v>23103260</v>
      </c>
      <c r="R119" s="206">
        <v>17789582</v>
      </c>
      <c r="S119" s="405">
        <v>0</v>
      </c>
      <c r="T119" s="405">
        <v>0</v>
      </c>
      <c r="U119" s="406">
        <v>0</v>
      </c>
      <c r="V119" s="406">
        <v>0</v>
      </c>
      <c r="W119" s="407">
        <f t="shared" si="108"/>
        <v>0</v>
      </c>
      <c r="X119" s="407">
        <f t="shared" si="109"/>
        <v>100</v>
      </c>
      <c r="Y119" s="408">
        <f t="shared" si="110"/>
        <v>3</v>
      </c>
      <c r="Z119" s="444" t="s">
        <v>3356</v>
      </c>
      <c r="AA119" s="442">
        <v>0</v>
      </c>
      <c r="AB119" s="406">
        <v>1</v>
      </c>
      <c r="AC119" s="406">
        <v>0</v>
      </c>
      <c r="AD119" s="407">
        <f t="shared" si="111"/>
        <v>1</v>
      </c>
      <c r="AE119" s="364" t="str">
        <f t="shared" si="112"/>
        <v>100</v>
      </c>
      <c r="AF119" s="349">
        <f t="shared" si="113"/>
        <v>0.5</v>
      </c>
      <c r="AG119" s="154">
        <v>270</v>
      </c>
      <c r="AH119" s="421"/>
      <c r="AI119" s="409">
        <f t="shared" si="78"/>
        <v>0</v>
      </c>
      <c r="AJ119" s="409">
        <f t="shared" si="79"/>
        <v>25</v>
      </c>
      <c r="AK119" s="408">
        <f t="shared" si="114"/>
        <v>0.25</v>
      </c>
      <c r="AL119" s="423"/>
      <c r="AM119" s="424">
        <v>0</v>
      </c>
      <c r="AN119" s="365">
        <f t="shared" si="80"/>
        <v>25</v>
      </c>
      <c r="AO119" s="320">
        <f t="shared" si="115"/>
        <v>0.25</v>
      </c>
      <c r="AP119" s="277">
        <f>_xlfn.XLOOKUP(C119, '1.건전성'!C:C, '1.건전성'!BE:BE)</f>
        <v>3534821</v>
      </c>
      <c r="AQ119" s="277">
        <f>_xlfn.XLOOKUP(C119, '1.건전성'!C:C, '1.건전성'!BF:BF)</f>
        <v>354838</v>
      </c>
      <c r="AR119" s="410">
        <f t="shared" si="81"/>
        <v>3889659</v>
      </c>
      <c r="AS119" s="366">
        <f t="shared" si="76"/>
        <v>1.7375392205134728</v>
      </c>
      <c r="AT119" s="366">
        <f t="shared" si="82"/>
        <v>25.932818507924729</v>
      </c>
      <c r="AU119" s="321">
        <f t="shared" si="83"/>
        <v>0.25932818507924732</v>
      </c>
      <c r="AV119" s="15">
        <v>117477</v>
      </c>
      <c r="AW119" s="361">
        <f t="shared" si="77"/>
        <v>5.2477838033683999E-2</v>
      </c>
      <c r="AX119" s="361">
        <f t="shared" si="84"/>
        <v>25</v>
      </c>
      <c r="AY119" s="321">
        <f t="shared" si="116"/>
        <v>0.125</v>
      </c>
      <c r="AZ119" s="411">
        <v>19.7</v>
      </c>
      <c r="BA119" s="412">
        <f t="shared" si="85"/>
        <v>100</v>
      </c>
      <c r="BB119" s="408">
        <f t="shared" si="117"/>
        <v>0.5</v>
      </c>
      <c r="BC119" s="204">
        <v>1</v>
      </c>
      <c r="BD119" s="407">
        <f t="shared" si="86"/>
        <v>100</v>
      </c>
      <c r="BE119" s="408">
        <f t="shared" si="118"/>
        <v>0.5</v>
      </c>
      <c r="BF119" s="204">
        <v>0</v>
      </c>
      <c r="BG119" s="204">
        <v>0</v>
      </c>
      <c r="BH119" s="204">
        <v>0</v>
      </c>
      <c r="BI119" s="272" t="str">
        <f t="shared" si="87"/>
        <v>A</v>
      </c>
      <c r="BJ119" s="247">
        <f t="shared" si="88"/>
        <v>100</v>
      </c>
      <c r="BK119" s="90">
        <f t="shared" si="89"/>
        <v>3</v>
      </c>
      <c r="BL119" s="406">
        <v>0</v>
      </c>
      <c r="BM119" s="413">
        <f t="shared" si="90"/>
        <v>0</v>
      </c>
      <c r="BN119" s="414">
        <f t="shared" si="91"/>
        <v>100</v>
      </c>
      <c r="BO119" s="415">
        <f t="shared" si="92"/>
        <v>3</v>
      </c>
      <c r="BP119" s="416">
        <v>0</v>
      </c>
      <c r="BQ119" s="417">
        <f t="shared" si="93"/>
        <v>33.333333333333336</v>
      </c>
      <c r="BR119" s="415">
        <f t="shared" si="94"/>
        <v>0.33333333333333337</v>
      </c>
      <c r="BS119" s="350">
        <f t="shared" si="95"/>
        <v>11.717661518412582</v>
      </c>
    </row>
    <row r="120" spans="1:71" x14ac:dyDescent="0.6">
      <c r="A120" s="214" t="s">
        <v>1658</v>
      </c>
      <c r="B120" s="13" t="s">
        <v>2099</v>
      </c>
      <c r="C120" s="219" t="s">
        <v>420</v>
      </c>
      <c r="D120" s="216" t="s">
        <v>203</v>
      </c>
      <c r="E120" s="217" t="s">
        <v>195</v>
      </c>
      <c r="F120" s="217" t="s">
        <v>1188</v>
      </c>
      <c r="G120" s="218">
        <v>34643</v>
      </c>
      <c r="H120" s="217" t="s">
        <v>830</v>
      </c>
      <c r="I120" s="217" t="s">
        <v>1515</v>
      </c>
      <c r="J120" s="217" t="s">
        <v>673</v>
      </c>
      <c r="K120" s="217" t="s">
        <v>91</v>
      </c>
      <c r="L120" s="220">
        <v>206906858</v>
      </c>
      <c r="M120" s="206">
        <v>39013430</v>
      </c>
      <c r="N120" s="206">
        <v>167893428</v>
      </c>
      <c r="O120" s="206">
        <v>192206731</v>
      </c>
      <c r="P120" s="206">
        <v>3006102</v>
      </c>
      <c r="Q120" s="206">
        <v>24358747</v>
      </c>
      <c r="R120" s="206">
        <v>26217228</v>
      </c>
      <c r="S120" s="405">
        <v>0</v>
      </c>
      <c r="T120" s="405">
        <v>0</v>
      </c>
      <c r="U120" s="406">
        <v>0</v>
      </c>
      <c r="V120" s="406">
        <v>0</v>
      </c>
      <c r="W120" s="407">
        <f t="shared" si="108"/>
        <v>0</v>
      </c>
      <c r="X120" s="407">
        <f t="shared" si="109"/>
        <v>100</v>
      </c>
      <c r="Y120" s="408">
        <f t="shared" si="110"/>
        <v>3</v>
      </c>
      <c r="Z120" s="444" t="s">
        <v>3357</v>
      </c>
      <c r="AA120" s="442">
        <v>0</v>
      </c>
      <c r="AB120" s="406">
        <v>0</v>
      </c>
      <c r="AC120" s="406">
        <v>0</v>
      </c>
      <c r="AD120" s="407">
        <f t="shared" si="111"/>
        <v>0</v>
      </c>
      <c r="AE120" s="364" t="str">
        <f t="shared" si="112"/>
        <v>50</v>
      </c>
      <c r="AF120" s="349">
        <f t="shared" si="113"/>
        <v>0.25</v>
      </c>
      <c r="AG120" s="154">
        <v>65</v>
      </c>
      <c r="AH120" s="154">
        <v>571</v>
      </c>
      <c r="AI120" s="409">
        <f t="shared" si="78"/>
        <v>8.7846153846153854</v>
      </c>
      <c r="AJ120" s="409">
        <f t="shared" si="79"/>
        <v>31.588461538461537</v>
      </c>
      <c r="AK120" s="408">
        <f t="shared" si="114"/>
        <v>0.31588461538461537</v>
      </c>
      <c r="AL120" s="45">
        <v>6313</v>
      </c>
      <c r="AM120" s="361">
        <f t="shared" si="96"/>
        <v>-90.955171867574848</v>
      </c>
      <c r="AN120" s="365">
        <f t="shared" si="80"/>
        <v>25</v>
      </c>
      <c r="AO120" s="320">
        <f t="shared" si="115"/>
        <v>0.25</v>
      </c>
      <c r="AP120" s="277">
        <f>_xlfn.XLOOKUP(C120, '1.건전성'!C:C, '1.건전성'!BE:BE)</f>
        <v>3045463</v>
      </c>
      <c r="AQ120" s="277">
        <f>_xlfn.XLOOKUP(C120, '1.건전성'!C:C, '1.건전성'!BF:BF)</f>
        <v>549904</v>
      </c>
      <c r="AR120" s="410">
        <f t="shared" si="81"/>
        <v>3595367</v>
      </c>
      <c r="AS120" s="366">
        <f t="shared" si="76"/>
        <v>1.8705728885217865</v>
      </c>
      <c r="AT120" s="366">
        <f t="shared" si="82"/>
        <v>26.03309514210185</v>
      </c>
      <c r="AU120" s="321">
        <f t="shared" si="83"/>
        <v>0.26033095142101847</v>
      </c>
      <c r="AV120" s="15">
        <v>310836</v>
      </c>
      <c r="AW120" s="361">
        <f t="shared" si="77"/>
        <v>0.16171962260780556</v>
      </c>
      <c r="AX120" s="361">
        <f t="shared" si="84"/>
        <v>25.467572898543981</v>
      </c>
      <c r="AY120" s="321">
        <f t="shared" si="116"/>
        <v>0.12733786449271992</v>
      </c>
      <c r="AZ120" s="411">
        <v>14.6</v>
      </c>
      <c r="BA120" s="412">
        <f t="shared" si="85"/>
        <v>100</v>
      </c>
      <c r="BB120" s="408">
        <f t="shared" si="117"/>
        <v>0.5</v>
      </c>
      <c r="BC120" s="204">
        <v>1</v>
      </c>
      <c r="BD120" s="407">
        <f t="shared" si="86"/>
        <v>100</v>
      </c>
      <c r="BE120" s="408">
        <f t="shared" si="118"/>
        <v>0.5</v>
      </c>
      <c r="BF120" s="204">
        <v>0</v>
      </c>
      <c r="BG120" s="204">
        <v>0</v>
      </c>
      <c r="BH120" s="204">
        <v>0</v>
      </c>
      <c r="BI120" s="272" t="str">
        <f t="shared" si="87"/>
        <v>A</v>
      </c>
      <c r="BJ120" s="247">
        <f t="shared" si="88"/>
        <v>100</v>
      </c>
      <c r="BK120" s="90">
        <f t="shared" si="89"/>
        <v>3</v>
      </c>
      <c r="BL120" s="406">
        <v>1</v>
      </c>
      <c r="BM120" s="413">
        <f t="shared" si="90"/>
        <v>1.5384615384615385</v>
      </c>
      <c r="BN120" s="414">
        <f t="shared" si="91"/>
        <v>60</v>
      </c>
      <c r="BO120" s="415">
        <f t="shared" si="92"/>
        <v>1.7999999999999998</v>
      </c>
      <c r="BP120" s="416">
        <v>0</v>
      </c>
      <c r="BQ120" s="417">
        <f t="shared" si="93"/>
        <v>33.333333333333336</v>
      </c>
      <c r="BR120" s="415">
        <f t="shared" si="94"/>
        <v>0.33333333333333337</v>
      </c>
      <c r="BS120" s="350">
        <f t="shared" si="95"/>
        <v>10.336886764631688</v>
      </c>
    </row>
    <row r="121" spans="1:71" x14ac:dyDescent="0.6">
      <c r="A121" s="214" t="s">
        <v>1659</v>
      </c>
      <c r="B121" s="13" t="s">
        <v>2100</v>
      </c>
      <c r="C121" s="219" t="s">
        <v>476</v>
      </c>
      <c r="D121" s="221" t="s">
        <v>481</v>
      </c>
      <c r="E121" s="217" t="s">
        <v>704</v>
      </c>
      <c r="F121" s="217" t="s">
        <v>57</v>
      </c>
      <c r="G121" s="218">
        <v>42193</v>
      </c>
      <c r="H121" s="217" t="s">
        <v>830</v>
      </c>
      <c r="I121" s="217" t="s">
        <v>271</v>
      </c>
      <c r="J121" s="217" t="s">
        <v>1171</v>
      </c>
      <c r="K121" s="217" t="s">
        <v>91</v>
      </c>
      <c r="L121" s="220">
        <v>37208616897</v>
      </c>
      <c r="M121" s="206">
        <v>35852992352</v>
      </c>
      <c r="N121" s="206">
        <v>1355624545</v>
      </c>
      <c r="O121" s="206">
        <v>3209343241</v>
      </c>
      <c r="P121" s="206">
        <v>76354621</v>
      </c>
      <c r="Q121" s="206">
        <v>78489213</v>
      </c>
      <c r="R121" s="206">
        <v>56143790</v>
      </c>
      <c r="S121" s="275" t="s">
        <v>2326</v>
      </c>
      <c r="T121" s="275" t="s">
        <v>2326</v>
      </c>
      <c r="U121" s="275" t="s">
        <v>2326</v>
      </c>
      <c r="V121" s="275" t="s">
        <v>2326</v>
      </c>
      <c r="W121" s="275" t="s">
        <v>2326</v>
      </c>
      <c r="X121" s="275" t="s">
        <v>2326</v>
      </c>
      <c r="Y121" s="276"/>
      <c r="Z121" s="275" t="s">
        <v>2326</v>
      </c>
      <c r="AA121" s="275" t="s">
        <v>2326</v>
      </c>
      <c r="AB121" s="275" t="s">
        <v>2326</v>
      </c>
      <c r="AC121" s="275" t="s">
        <v>2326</v>
      </c>
      <c r="AD121" s="275" t="s">
        <v>2326</v>
      </c>
      <c r="AE121" s="275" t="s">
        <v>2326</v>
      </c>
      <c r="AF121" s="275"/>
      <c r="AG121" s="154">
        <v>813</v>
      </c>
      <c r="AH121" s="154">
        <v>463000</v>
      </c>
      <c r="AI121" s="409">
        <f t="shared" si="78"/>
        <v>569.49569495694959</v>
      </c>
      <c r="AJ121" s="409">
        <f t="shared" si="79"/>
        <v>100</v>
      </c>
      <c r="AK121" s="418">
        <f>AJ121*0.02</f>
        <v>2</v>
      </c>
      <c r="AL121" s="45">
        <v>610000</v>
      </c>
      <c r="AM121" s="361">
        <f t="shared" si="96"/>
        <v>-24.098360655737704</v>
      </c>
      <c r="AN121" s="365">
        <f t="shared" si="80"/>
        <v>25</v>
      </c>
      <c r="AO121" s="322">
        <f>AN121*0.02</f>
        <v>0.5</v>
      </c>
      <c r="AP121" s="277">
        <f>_xlfn.XLOOKUP(C121, '1.건전성'!C:C, '1.건전성'!BE:BE)</f>
        <v>6429000</v>
      </c>
      <c r="AQ121" s="277">
        <f>_xlfn.XLOOKUP(C121, '1.건전성'!C:C, '1.건전성'!BF:BF)</f>
        <v>2249000</v>
      </c>
      <c r="AR121" s="410">
        <f t="shared" si="81"/>
        <v>8678000</v>
      </c>
      <c r="AS121" s="366">
        <f t="shared" si="76"/>
        <v>0.27039800196927583</v>
      </c>
      <c r="AT121" s="366">
        <f t="shared" si="82"/>
        <v>25</v>
      </c>
      <c r="AU121" s="321">
        <f t="shared" si="83"/>
        <v>0.25</v>
      </c>
      <c r="AV121" s="15">
        <v>9991000</v>
      </c>
      <c r="AW121" s="361">
        <f t="shared" si="77"/>
        <v>0.31130979922505581</v>
      </c>
      <c r="AX121" s="361">
        <f t="shared" si="84"/>
        <v>26.600831812311029</v>
      </c>
      <c r="AY121" s="348">
        <f>AX121*0.01</f>
        <v>0.26600831812311027</v>
      </c>
      <c r="AZ121" s="411">
        <v>16.399999999999999</v>
      </c>
      <c r="BA121" s="412">
        <f t="shared" si="85"/>
        <v>100</v>
      </c>
      <c r="BB121" s="418">
        <f>BA121*0.01</f>
        <v>1</v>
      </c>
      <c r="BC121" s="204">
        <v>1</v>
      </c>
      <c r="BD121" s="407">
        <f t="shared" si="86"/>
        <v>100</v>
      </c>
      <c r="BE121" s="418">
        <f>BD121*0.01</f>
        <v>1</v>
      </c>
      <c r="BF121" s="204">
        <v>1</v>
      </c>
      <c r="BG121" s="204">
        <v>1</v>
      </c>
      <c r="BH121" s="204">
        <v>1</v>
      </c>
      <c r="BI121" s="272" t="str">
        <f t="shared" si="87"/>
        <v>D</v>
      </c>
      <c r="BJ121" s="247">
        <f t="shared" si="88"/>
        <v>25</v>
      </c>
      <c r="BK121" s="90">
        <f t="shared" si="89"/>
        <v>0.75</v>
      </c>
      <c r="BL121" s="406">
        <v>65</v>
      </c>
      <c r="BM121" s="413">
        <f t="shared" si="90"/>
        <v>7.9950799507995081</v>
      </c>
      <c r="BN121" s="414">
        <f t="shared" si="91"/>
        <v>20</v>
      </c>
      <c r="BO121" s="415">
        <f t="shared" si="92"/>
        <v>0.6</v>
      </c>
      <c r="BP121" s="416">
        <v>1.47</v>
      </c>
      <c r="BQ121" s="417">
        <f t="shared" si="93"/>
        <v>66.666666666666671</v>
      </c>
      <c r="BR121" s="415">
        <f t="shared" si="94"/>
        <v>0.66666666666666674</v>
      </c>
      <c r="BS121" s="350">
        <f t="shared" si="95"/>
        <v>7.0326749847897769</v>
      </c>
    </row>
    <row r="122" spans="1:71" x14ac:dyDescent="0.6">
      <c r="A122" s="214" t="s">
        <v>92</v>
      </c>
      <c r="B122" s="13" t="s">
        <v>2101</v>
      </c>
      <c r="C122" s="219" t="s">
        <v>900</v>
      </c>
      <c r="D122" s="221" t="s">
        <v>350</v>
      </c>
      <c r="E122" s="217" t="s">
        <v>179</v>
      </c>
      <c r="F122" s="217" t="s">
        <v>1076</v>
      </c>
      <c r="G122" s="218">
        <v>27667</v>
      </c>
      <c r="H122" s="217" t="s">
        <v>830</v>
      </c>
      <c r="I122" s="217" t="s">
        <v>217</v>
      </c>
      <c r="J122" s="217" t="s">
        <v>289</v>
      </c>
      <c r="K122" s="217" t="s">
        <v>91</v>
      </c>
      <c r="L122" s="220">
        <v>77528737937</v>
      </c>
      <c r="M122" s="206">
        <v>68433158478</v>
      </c>
      <c r="N122" s="206">
        <v>9095579460</v>
      </c>
      <c r="O122" s="206">
        <v>16761431115</v>
      </c>
      <c r="P122" s="206">
        <v>548389982</v>
      </c>
      <c r="Q122" s="206">
        <v>553208432</v>
      </c>
      <c r="R122" s="206">
        <v>397574440</v>
      </c>
      <c r="S122" s="275" t="s">
        <v>2326</v>
      </c>
      <c r="T122" s="275" t="s">
        <v>2326</v>
      </c>
      <c r="U122" s="275" t="s">
        <v>2326</v>
      </c>
      <c r="V122" s="275" t="s">
        <v>2326</v>
      </c>
      <c r="W122" s="275" t="s">
        <v>2326</v>
      </c>
      <c r="X122" s="275" t="s">
        <v>2326</v>
      </c>
      <c r="Y122" s="276"/>
      <c r="Z122" s="275" t="s">
        <v>2326</v>
      </c>
      <c r="AA122" s="275" t="s">
        <v>2326</v>
      </c>
      <c r="AB122" s="275" t="s">
        <v>2326</v>
      </c>
      <c r="AC122" s="275" t="s">
        <v>2326</v>
      </c>
      <c r="AD122" s="275" t="s">
        <v>2326</v>
      </c>
      <c r="AE122" s="275" t="s">
        <v>2326</v>
      </c>
      <c r="AF122" s="275"/>
      <c r="AG122" s="154">
        <v>3585</v>
      </c>
      <c r="AH122" s="421"/>
      <c r="AI122" s="409">
        <f t="shared" si="78"/>
        <v>0</v>
      </c>
      <c r="AJ122" s="409">
        <f t="shared" si="79"/>
        <v>25</v>
      </c>
      <c r="AK122" s="418">
        <f>AJ122*0.02</f>
        <v>0.5</v>
      </c>
      <c r="AL122" s="423"/>
      <c r="AM122" s="424">
        <v>0</v>
      </c>
      <c r="AN122" s="365">
        <f t="shared" si="80"/>
        <v>25</v>
      </c>
      <c r="AO122" s="322">
        <f>AN122*0.02</f>
        <v>0.5</v>
      </c>
      <c r="AP122" s="277">
        <f>_xlfn.XLOOKUP(C122, '1.건전성'!C:C, '1.건전성'!BE:BE)</f>
        <v>441899000</v>
      </c>
      <c r="AQ122" s="277">
        <f>_xlfn.XLOOKUP(C122, '1.건전성'!C:C, '1.건전성'!BF:BF)</f>
        <v>50194000</v>
      </c>
      <c r="AR122" s="410">
        <f t="shared" si="81"/>
        <v>492093000</v>
      </c>
      <c r="AS122" s="366">
        <f t="shared" si="76"/>
        <v>2.9358650620209885</v>
      </c>
      <c r="AT122" s="366">
        <f t="shared" si="82"/>
        <v>26.836079192478131</v>
      </c>
      <c r="AU122" s="321">
        <f t="shared" si="83"/>
        <v>0.26836079192478129</v>
      </c>
      <c r="AV122" s="15">
        <v>95187000</v>
      </c>
      <c r="AW122" s="361">
        <f t="shared" si="77"/>
        <v>0.5678930357850891</v>
      </c>
      <c r="AX122" s="361">
        <f t="shared" si="84"/>
        <v>28.5446442104931</v>
      </c>
      <c r="AY122" s="348">
        <f>AX122*0.01</f>
        <v>0.28544644210493103</v>
      </c>
      <c r="AZ122" s="411">
        <v>14.76</v>
      </c>
      <c r="BA122" s="412">
        <f t="shared" si="85"/>
        <v>100</v>
      </c>
      <c r="BB122" s="418">
        <f>BA122*0.01</f>
        <v>1</v>
      </c>
      <c r="BC122" s="204">
        <v>1</v>
      </c>
      <c r="BD122" s="407">
        <f t="shared" si="86"/>
        <v>100</v>
      </c>
      <c r="BE122" s="418">
        <f>BD122*0.01</f>
        <v>1</v>
      </c>
      <c r="BF122" s="204">
        <v>1</v>
      </c>
      <c r="BG122" s="204">
        <v>1</v>
      </c>
      <c r="BH122" s="204">
        <v>0</v>
      </c>
      <c r="BI122" s="272" t="str">
        <f t="shared" si="87"/>
        <v>C</v>
      </c>
      <c r="BJ122" s="247">
        <f t="shared" si="88"/>
        <v>50</v>
      </c>
      <c r="BK122" s="90">
        <f t="shared" si="89"/>
        <v>1.5</v>
      </c>
      <c r="BL122" s="406">
        <v>713</v>
      </c>
      <c r="BM122" s="413">
        <f t="shared" si="90"/>
        <v>19.888423988842398</v>
      </c>
      <c r="BN122" s="414">
        <f t="shared" si="91"/>
        <v>20</v>
      </c>
      <c r="BO122" s="415">
        <f t="shared" si="92"/>
        <v>0.6</v>
      </c>
      <c r="BP122" s="416">
        <v>0.12</v>
      </c>
      <c r="BQ122" s="417">
        <f t="shared" si="93"/>
        <v>66.666666666666671</v>
      </c>
      <c r="BR122" s="415">
        <f t="shared" si="94"/>
        <v>0.66666666666666674</v>
      </c>
      <c r="BS122" s="350">
        <f t="shared" si="95"/>
        <v>6.3204739006963786</v>
      </c>
    </row>
    <row r="123" spans="1:71" x14ac:dyDescent="0.6">
      <c r="A123" s="214" t="s">
        <v>339</v>
      </c>
      <c r="B123" s="13" t="s">
        <v>2102</v>
      </c>
      <c r="C123" s="219" t="s">
        <v>461</v>
      </c>
      <c r="D123" s="216" t="s">
        <v>203</v>
      </c>
      <c r="E123" s="217" t="s">
        <v>188</v>
      </c>
      <c r="F123" s="217" t="s">
        <v>652</v>
      </c>
      <c r="G123" s="218">
        <v>32776</v>
      </c>
      <c r="H123" s="217" t="s">
        <v>830</v>
      </c>
      <c r="I123" s="217" t="s">
        <v>1660</v>
      </c>
      <c r="J123" s="217" t="s">
        <v>1052</v>
      </c>
      <c r="K123" s="217" t="s">
        <v>690</v>
      </c>
      <c r="L123" s="220">
        <v>391399991</v>
      </c>
      <c r="M123" s="206">
        <v>70411675</v>
      </c>
      <c r="N123" s="206">
        <v>320988317</v>
      </c>
      <c r="O123" s="206">
        <v>425547908</v>
      </c>
      <c r="P123" s="206">
        <v>77084280</v>
      </c>
      <c r="Q123" s="206">
        <v>83250609</v>
      </c>
      <c r="R123" s="206">
        <v>65769136</v>
      </c>
      <c r="S123" s="405">
        <v>0</v>
      </c>
      <c r="T123" s="405">
        <v>0</v>
      </c>
      <c r="U123" s="406">
        <v>0</v>
      </c>
      <c r="V123" s="406">
        <v>0</v>
      </c>
      <c r="W123" s="407">
        <f t="shared" ref="W123:W129" si="119">SUM(S123:V123)</f>
        <v>0</v>
      </c>
      <c r="X123" s="407">
        <f t="shared" ref="X123:X129" si="120">IF(W123=0, 100, IF(W123=1, 80, IF(W123=2, 60, IF(W123=3, 40, IF(W123=4, 20)))))</f>
        <v>100</v>
      </c>
      <c r="Y123" s="408">
        <f t="shared" ref="Y123:Y129" si="121">X123*0.03</f>
        <v>3</v>
      </c>
      <c r="Z123" s="444" t="s">
        <v>3358</v>
      </c>
      <c r="AA123" s="442">
        <v>0</v>
      </c>
      <c r="AB123" s="406">
        <v>1</v>
      </c>
      <c r="AC123" s="406">
        <v>0</v>
      </c>
      <c r="AD123" s="407">
        <f t="shared" ref="AD123:AD129" si="122">SUM(AA123:AC123)</f>
        <v>1</v>
      </c>
      <c r="AE123" s="364" t="str">
        <f t="shared" ref="AE123:AE129" si="123">IF(AD123&gt;=1,"100","50")</f>
        <v>100</v>
      </c>
      <c r="AF123" s="349">
        <f t="shared" ref="AF123:AF129" si="124">AE123*0.005</f>
        <v>0.5</v>
      </c>
      <c r="AG123" s="154">
        <v>653</v>
      </c>
      <c r="AH123" s="154">
        <v>112244</v>
      </c>
      <c r="AI123" s="409">
        <f t="shared" si="78"/>
        <v>171.88973966309342</v>
      </c>
      <c r="AJ123" s="409">
        <f t="shared" si="79"/>
        <v>100</v>
      </c>
      <c r="AK123" s="408">
        <f t="shared" ref="AK123:AK129" si="125">AJ123*0.01</f>
        <v>1</v>
      </c>
      <c r="AL123" s="45">
        <v>20253</v>
      </c>
      <c r="AM123" s="361">
        <f t="shared" si="96"/>
        <v>454.20925295018026</v>
      </c>
      <c r="AN123" s="365">
        <f t="shared" si="80"/>
        <v>100</v>
      </c>
      <c r="AO123" s="320">
        <f t="shared" ref="AO123:AO129" si="126">AN123*0.01</f>
        <v>1</v>
      </c>
      <c r="AP123" s="277">
        <f>_xlfn.XLOOKUP(C123, '1.건전성'!C:C, '1.건전성'!BE:BE)</f>
        <v>7222666.8140000002</v>
      </c>
      <c r="AQ123" s="277">
        <f>_xlfn.XLOOKUP(C123, '1.건전성'!C:C, '1.건전성'!BF:BF)</f>
        <v>586873.49399999995</v>
      </c>
      <c r="AR123" s="410">
        <f t="shared" si="81"/>
        <v>7809540.3080000002</v>
      </c>
      <c r="AS123" s="366">
        <f t="shared" si="76"/>
        <v>1.8351729996050175</v>
      </c>
      <c r="AT123" s="366">
        <f t="shared" si="82"/>
        <v>26.006411808747501</v>
      </c>
      <c r="AU123" s="321">
        <f t="shared" si="83"/>
        <v>0.26006411808747504</v>
      </c>
      <c r="AV123" s="15">
        <v>1411052</v>
      </c>
      <c r="AW123" s="361">
        <f t="shared" si="77"/>
        <v>0.33158475778478036</v>
      </c>
      <c r="AX123" s="361">
        <f t="shared" si="84"/>
        <v>26.754429983218031</v>
      </c>
      <c r="AY123" s="321">
        <f t="shared" ref="AY123:AY129" si="127">AX123*0.005</f>
        <v>0.13377214991609016</v>
      </c>
      <c r="AZ123" s="411">
        <v>6.7</v>
      </c>
      <c r="BA123" s="412">
        <f t="shared" si="85"/>
        <v>60</v>
      </c>
      <c r="BB123" s="408">
        <f t="shared" ref="BB123:BB129" si="128">BA123*0.005</f>
        <v>0.3</v>
      </c>
      <c r="BC123" s="204">
        <v>1</v>
      </c>
      <c r="BD123" s="407">
        <f t="shared" si="86"/>
        <v>100</v>
      </c>
      <c r="BE123" s="408">
        <f t="shared" ref="BE123:BE129" si="129">BD123*0.005</f>
        <v>0.5</v>
      </c>
      <c r="BF123" s="204">
        <v>0</v>
      </c>
      <c r="BG123" s="204">
        <v>0</v>
      </c>
      <c r="BH123" s="204">
        <v>0</v>
      </c>
      <c r="BI123" s="272" t="str">
        <f t="shared" si="87"/>
        <v>A</v>
      </c>
      <c r="BJ123" s="247">
        <f t="shared" si="88"/>
        <v>100</v>
      </c>
      <c r="BK123" s="90">
        <f t="shared" si="89"/>
        <v>3</v>
      </c>
      <c r="BL123" s="406">
        <v>0</v>
      </c>
      <c r="BM123" s="413">
        <f t="shared" si="90"/>
        <v>0</v>
      </c>
      <c r="BN123" s="414">
        <f t="shared" si="91"/>
        <v>100</v>
      </c>
      <c r="BO123" s="415">
        <f t="shared" si="92"/>
        <v>3</v>
      </c>
      <c r="BP123" s="416">
        <v>13.5</v>
      </c>
      <c r="BQ123" s="417">
        <f t="shared" si="93"/>
        <v>100</v>
      </c>
      <c r="BR123" s="415">
        <f t="shared" si="94"/>
        <v>1</v>
      </c>
      <c r="BS123" s="350">
        <f t="shared" si="95"/>
        <v>13.693836268003565</v>
      </c>
    </row>
    <row r="124" spans="1:71" x14ac:dyDescent="0.6">
      <c r="A124" s="214" t="s">
        <v>1661</v>
      </c>
      <c r="B124" s="13" t="s">
        <v>2103</v>
      </c>
      <c r="C124" s="219" t="s">
        <v>933</v>
      </c>
      <c r="D124" s="216" t="s">
        <v>203</v>
      </c>
      <c r="E124" s="217" t="s">
        <v>180</v>
      </c>
      <c r="F124" s="217" t="s">
        <v>87</v>
      </c>
      <c r="G124" s="218">
        <v>42877</v>
      </c>
      <c r="H124" s="217" t="s">
        <v>830</v>
      </c>
      <c r="I124" s="217" t="s">
        <v>921</v>
      </c>
      <c r="J124" s="217" t="s">
        <v>1161</v>
      </c>
      <c r="K124" s="217" t="s">
        <v>320</v>
      </c>
      <c r="L124" s="220">
        <v>448351412</v>
      </c>
      <c r="M124" s="206">
        <v>63280350</v>
      </c>
      <c r="N124" s="206">
        <v>385071063</v>
      </c>
      <c r="O124" s="206">
        <v>611355371</v>
      </c>
      <c r="P124" s="206">
        <v>85525773</v>
      </c>
      <c r="Q124" s="206">
        <v>90825472</v>
      </c>
      <c r="R124" s="206">
        <v>70423830</v>
      </c>
      <c r="S124" s="405">
        <v>0</v>
      </c>
      <c r="T124" s="405">
        <v>0</v>
      </c>
      <c r="U124" s="406">
        <v>0</v>
      </c>
      <c r="V124" s="406">
        <v>0</v>
      </c>
      <c r="W124" s="407">
        <f t="shared" si="119"/>
        <v>0</v>
      </c>
      <c r="X124" s="407">
        <f t="shared" si="120"/>
        <v>100</v>
      </c>
      <c r="Y124" s="408">
        <f t="shared" si="121"/>
        <v>3</v>
      </c>
      <c r="Z124" s="444" t="s">
        <v>3359</v>
      </c>
      <c r="AA124" s="442">
        <v>0</v>
      </c>
      <c r="AB124" s="406">
        <v>0</v>
      </c>
      <c r="AC124" s="406">
        <v>0</v>
      </c>
      <c r="AD124" s="407">
        <f t="shared" si="122"/>
        <v>0</v>
      </c>
      <c r="AE124" s="364" t="str">
        <f t="shared" si="123"/>
        <v>50</v>
      </c>
      <c r="AF124" s="349">
        <f t="shared" si="124"/>
        <v>0.25</v>
      </c>
      <c r="AG124" s="154">
        <v>478</v>
      </c>
      <c r="AH124" s="154">
        <v>32874</v>
      </c>
      <c r="AI124" s="409">
        <f t="shared" si="78"/>
        <v>68.774058577405853</v>
      </c>
      <c r="AJ124" s="409">
        <f t="shared" si="79"/>
        <v>76.580543933054386</v>
      </c>
      <c r="AK124" s="408">
        <f t="shared" si="125"/>
        <v>0.7658054393305439</v>
      </c>
      <c r="AL124" s="45">
        <v>31301</v>
      </c>
      <c r="AM124" s="361">
        <f t="shared" si="96"/>
        <v>5.0253985495671065</v>
      </c>
      <c r="AN124" s="365">
        <f t="shared" si="80"/>
        <v>25.942262228043834</v>
      </c>
      <c r="AO124" s="320">
        <f t="shared" si="126"/>
        <v>0.25942262228043833</v>
      </c>
      <c r="AP124" s="277">
        <f>_xlfn.XLOOKUP(C124, '1.건전성'!C:C, '1.건전성'!BE:BE)</f>
        <v>5593702.5439999998</v>
      </c>
      <c r="AQ124" s="277">
        <f>_xlfn.XLOOKUP(C124, '1.건전성'!C:C, '1.건전성'!BF:BF)</f>
        <v>441893.24</v>
      </c>
      <c r="AR124" s="410">
        <f t="shared" si="81"/>
        <v>6035595.784</v>
      </c>
      <c r="AS124" s="366">
        <f t="shared" si="76"/>
        <v>0.98724834528361416</v>
      </c>
      <c r="AT124" s="366">
        <f t="shared" si="82"/>
        <v>25.367272622073077</v>
      </c>
      <c r="AU124" s="321">
        <f t="shared" si="83"/>
        <v>0.25367272622073078</v>
      </c>
      <c r="AV124" s="15">
        <v>790497</v>
      </c>
      <c r="AW124" s="361">
        <f t="shared" si="77"/>
        <v>0.12930237264571282</v>
      </c>
      <c r="AX124" s="361">
        <f t="shared" si="84"/>
        <v>25.221987671558431</v>
      </c>
      <c r="AY124" s="321">
        <f t="shared" si="127"/>
        <v>0.12610993835779216</v>
      </c>
      <c r="AZ124" s="411">
        <v>8.1999999999999993</v>
      </c>
      <c r="BA124" s="412">
        <f t="shared" si="85"/>
        <v>80</v>
      </c>
      <c r="BB124" s="408">
        <f t="shared" si="128"/>
        <v>0.4</v>
      </c>
      <c r="BC124" s="204">
        <v>1</v>
      </c>
      <c r="BD124" s="407">
        <f t="shared" si="86"/>
        <v>100</v>
      </c>
      <c r="BE124" s="408">
        <f t="shared" si="129"/>
        <v>0.5</v>
      </c>
      <c r="BF124" s="204">
        <v>0</v>
      </c>
      <c r="BG124" s="204">
        <v>0</v>
      </c>
      <c r="BH124" s="204">
        <v>0</v>
      </c>
      <c r="BI124" s="272" t="str">
        <f t="shared" si="87"/>
        <v>A</v>
      </c>
      <c r="BJ124" s="247">
        <f t="shared" si="88"/>
        <v>100</v>
      </c>
      <c r="BK124" s="90">
        <f t="shared" si="89"/>
        <v>3</v>
      </c>
      <c r="BL124" s="406">
        <v>3</v>
      </c>
      <c r="BM124" s="413">
        <f t="shared" si="90"/>
        <v>0.62761506276150625</v>
      </c>
      <c r="BN124" s="414">
        <f t="shared" si="91"/>
        <v>80</v>
      </c>
      <c r="BO124" s="415">
        <f t="shared" si="92"/>
        <v>2.4</v>
      </c>
      <c r="BP124" s="416">
        <v>10.43</v>
      </c>
      <c r="BQ124" s="417">
        <f t="shared" si="93"/>
        <v>100</v>
      </c>
      <c r="BR124" s="415">
        <f t="shared" si="94"/>
        <v>1</v>
      </c>
      <c r="BS124" s="350">
        <f t="shared" si="95"/>
        <v>11.955010726189505</v>
      </c>
    </row>
    <row r="125" spans="1:71" x14ac:dyDescent="0.6">
      <c r="A125" s="214" t="s">
        <v>878</v>
      </c>
      <c r="B125" s="13" t="s">
        <v>2104</v>
      </c>
      <c r="C125" s="219" t="s">
        <v>437</v>
      </c>
      <c r="D125" s="216" t="s">
        <v>203</v>
      </c>
      <c r="E125" s="217" t="s">
        <v>188</v>
      </c>
      <c r="F125" s="217" t="s">
        <v>376</v>
      </c>
      <c r="G125" s="218">
        <v>40589</v>
      </c>
      <c r="H125" s="217" t="s">
        <v>830</v>
      </c>
      <c r="I125" s="217" t="s">
        <v>1662</v>
      </c>
      <c r="J125" s="217" t="s">
        <v>672</v>
      </c>
      <c r="K125" s="217" t="s">
        <v>407</v>
      </c>
      <c r="L125" s="220">
        <v>147864036</v>
      </c>
      <c r="M125" s="206">
        <v>15155439</v>
      </c>
      <c r="N125" s="206">
        <v>132708596</v>
      </c>
      <c r="O125" s="206">
        <v>235165568</v>
      </c>
      <c r="P125" s="206">
        <v>18983200</v>
      </c>
      <c r="Q125" s="206">
        <v>20938723</v>
      </c>
      <c r="R125" s="206">
        <v>16260515</v>
      </c>
      <c r="S125" s="405">
        <v>0</v>
      </c>
      <c r="T125" s="405">
        <v>0</v>
      </c>
      <c r="U125" s="406">
        <v>0</v>
      </c>
      <c r="V125" s="406">
        <v>0</v>
      </c>
      <c r="W125" s="407">
        <f t="shared" si="119"/>
        <v>0</v>
      </c>
      <c r="X125" s="407">
        <f t="shared" si="120"/>
        <v>100</v>
      </c>
      <c r="Y125" s="408">
        <f t="shared" si="121"/>
        <v>3</v>
      </c>
      <c r="Z125" s="444" t="s">
        <v>3360</v>
      </c>
      <c r="AA125" s="442">
        <v>0</v>
      </c>
      <c r="AB125" s="406">
        <v>1</v>
      </c>
      <c r="AC125" s="406">
        <v>0</v>
      </c>
      <c r="AD125" s="407">
        <f t="shared" si="122"/>
        <v>1</v>
      </c>
      <c r="AE125" s="364" t="str">
        <f t="shared" si="123"/>
        <v>100</v>
      </c>
      <c r="AF125" s="349">
        <f t="shared" si="124"/>
        <v>0.5</v>
      </c>
      <c r="AG125" s="154">
        <v>204</v>
      </c>
      <c r="AH125" s="154">
        <v>3827</v>
      </c>
      <c r="AI125" s="409">
        <f t="shared" si="78"/>
        <v>18.759803921568629</v>
      </c>
      <c r="AJ125" s="409">
        <f t="shared" si="79"/>
        <v>39.069852941176471</v>
      </c>
      <c r="AK125" s="408">
        <f t="shared" si="125"/>
        <v>0.39069852941176469</v>
      </c>
      <c r="AL125" s="45">
        <v>14489</v>
      </c>
      <c r="AM125" s="361">
        <f t="shared" si="96"/>
        <v>-73.586858996480089</v>
      </c>
      <c r="AN125" s="365">
        <f t="shared" si="80"/>
        <v>25</v>
      </c>
      <c r="AO125" s="320">
        <f t="shared" si="126"/>
        <v>0.25</v>
      </c>
      <c r="AP125" s="277">
        <f>_xlfn.XLOOKUP(C125, '1.건전성'!C:C, '1.건전성'!BE:BE)</f>
        <v>2910683.5890000002</v>
      </c>
      <c r="AQ125" s="277">
        <f>_xlfn.XLOOKUP(C125, '1.건전성'!C:C, '1.건전성'!BF:BF)</f>
        <v>217944.98300000001</v>
      </c>
      <c r="AR125" s="410">
        <f t="shared" si="81"/>
        <v>3128628.5720000002</v>
      </c>
      <c r="AS125" s="366">
        <f t="shared" si="76"/>
        <v>1.3303939852283138</v>
      </c>
      <c r="AT125" s="366">
        <f t="shared" si="82"/>
        <v>25.625925114493704</v>
      </c>
      <c r="AU125" s="321">
        <f t="shared" si="83"/>
        <v>0.25625925114493703</v>
      </c>
      <c r="AV125" s="15">
        <v>433526</v>
      </c>
      <c r="AW125" s="361">
        <f t="shared" si="77"/>
        <v>0.18434926664093956</v>
      </c>
      <c r="AX125" s="361">
        <f t="shared" si="84"/>
        <v>25.639009595764694</v>
      </c>
      <c r="AY125" s="321">
        <f t="shared" si="127"/>
        <v>0.12819504797882347</v>
      </c>
      <c r="AZ125" s="411">
        <v>9.9</v>
      </c>
      <c r="BA125" s="412">
        <f t="shared" si="85"/>
        <v>80</v>
      </c>
      <c r="BB125" s="408">
        <f t="shared" si="128"/>
        <v>0.4</v>
      </c>
      <c r="BC125" s="204">
        <v>1</v>
      </c>
      <c r="BD125" s="407">
        <f t="shared" si="86"/>
        <v>100</v>
      </c>
      <c r="BE125" s="408">
        <f t="shared" si="129"/>
        <v>0.5</v>
      </c>
      <c r="BF125" s="204">
        <v>0</v>
      </c>
      <c r="BG125" s="204">
        <v>0</v>
      </c>
      <c r="BH125" s="204">
        <v>0</v>
      </c>
      <c r="BI125" s="272" t="str">
        <f t="shared" si="87"/>
        <v>A</v>
      </c>
      <c r="BJ125" s="247">
        <f t="shared" si="88"/>
        <v>100</v>
      </c>
      <c r="BK125" s="90">
        <f t="shared" si="89"/>
        <v>3</v>
      </c>
      <c r="BL125" s="406">
        <v>1</v>
      </c>
      <c r="BM125" s="413">
        <f t="shared" si="90"/>
        <v>0.49019607843137253</v>
      </c>
      <c r="BN125" s="414">
        <f t="shared" si="91"/>
        <v>100</v>
      </c>
      <c r="BO125" s="415">
        <f t="shared" si="92"/>
        <v>3</v>
      </c>
      <c r="BP125" s="416">
        <v>9.34</v>
      </c>
      <c r="BQ125" s="417">
        <f t="shared" si="93"/>
        <v>100</v>
      </c>
      <c r="BR125" s="415">
        <f t="shared" si="94"/>
        <v>1</v>
      </c>
      <c r="BS125" s="350">
        <f t="shared" si="95"/>
        <v>12.425152828535525</v>
      </c>
    </row>
    <row r="126" spans="1:71" x14ac:dyDescent="0.6">
      <c r="A126" s="214" t="s">
        <v>938</v>
      </c>
      <c r="B126" s="13" t="s">
        <v>2105</v>
      </c>
      <c r="C126" s="219" t="s">
        <v>52</v>
      </c>
      <c r="D126" s="216" t="s">
        <v>203</v>
      </c>
      <c r="E126" s="217" t="s">
        <v>187</v>
      </c>
      <c r="F126" s="217" t="s">
        <v>1170</v>
      </c>
      <c r="G126" s="218">
        <v>32778</v>
      </c>
      <c r="H126" s="217" t="s">
        <v>830</v>
      </c>
      <c r="I126" s="217" t="s">
        <v>708</v>
      </c>
      <c r="J126" s="217" t="s">
        <v>1173</v>
      </c>
      <c r="K126" s="217" t="s">
        <v>484</v>
      </c>
      <c r="L126" s="220">
        <v>342398880</v>
      </c>
      <c r="M126" s="206">
        <v>36181307</v>
      </c>
      <c r="N126" s="206">
        <v>306217573</v>
      </c>
      <c r="O126" s="206">
        <v>418789690</v>
      </c>
      <c r="P126" s="206">
        <v>44057917</v>
      </c>
      <c r="Q126" s="206">
        <v>28817308</v>
      </c>
      <c r="R126" s="206">
        <v>20885280</v>
      </c>
      <c r="S126" s="405">
        <v>0</v>
      </c>
      <c r="T126" s="405">
        <v>0</v>
      </c>
      <c r="U126" s="406">
        <v>0</v>
      </c>
      <c r="V126" s="406">
        <v>0</v>
      </c>
      <c r="W126" s="407">
        <f t="shared" si="119"/>
        <v>0</v>
      </c>
      <c r="X126" s="407">
        <f t="shared" si="120"/>
        <v>100</v>
      </c>
      <c r="Y126" s="408">
        <f t="shared" si="121"/>
        <v>3</v>
      </c>
      <c r="Z126" s="444" t="s">
        <v>3361</v>
      </c>
      <c r="AA126" s="442">
        <v>0</v>
      </c>
      <c r="AB126" s="406">
        <v>0</v>
      </c>
      <c r="AC126" s="406">
        <v>0</v>
      </c>
      <c r="AD126" s="407">
        <f t="shared" si="122"/>
        <v>0</v>
      </c>
      <c r="AE126" s="364" t="str">
        <f t="shared" si="123"/>
        <v>50</v>
      </c>
      <c r="AF126" s="349">
        <f t="shared" si="124"/>
        <v>0.25</v>
      </c>
      <c r="AG126" s="154">
        <v>78</v>
      </c>
      <c r="AH126" s="154">
        <v>17623</v>
      </c>
      <c r="AI126" s="409">
        <f t="shared" si="78"/>
        <v>225.93589743589743</v>
      </c>
      <c r="AJ126" s="409">
        <f t="shared" si="79"/>
        <v>100</v>
      </c>
      <c r="AK126" s="408">
        <f t="shared" si="125"/>
        <v>1</v>
      </c>
      <c r="AL126" s="45">
        <v>19402</v>
      </c>
      <c r="AM126" s="361">
        <f t="shared" si="96"/>
        <v>-9.169157818781569</v>
      </c>
      <c r="AN126" s="365">
        <f t="shared" si="80"/>
        <v>25</v>
      </c>
      <c r="AO126" s="320">
        <f t="shared" si="126"/>
        <v>0.25</v>
      </c>
      <c r="AP126" s="277">
        <f>_xlfn.XLOOKUP(C126, '1.건전성'!C:C, '1.건전성'!BE:BE)</f>
        <v>3533431</v>
      </c>
      <c r="AQ126" s="277">
        <f>_xlfn.XLOOKUP(C126, '1.건전성'!C:C, '1.건전성'!BF:BF)</f>
        <v>524442</v>
      </c>
      <c r="AR126" s="410">
        <f t="shared" si="81"/>
        <v>4057873</v>
      </c>
      <c r="AS126" s="366">
        <f t="shared" si="76"/>
        <v>0.96895245916870587</v>
      </c>
      <c r="AT126" s="366">
        <f t="shared" si="82"/>
        <v>25.353481753142241</v>
      </c>
      <c r="AU126" s="321">
        <f t="shared" si="83"/>
        <v>0.25353481753142243</v>
      </c>
      <c r="AV126" s="15">
        <v>84002</v>
      </c>
      <c r="AW126" s="361">
        <f t="shared" si="77"/>
        <v>2.0058277938981735E-2</v>
      </c>
      <c r="AX126" s="361">
        <f t="shared" si="84"/>
        <v>25</v>
      </c>
      <c r="AY126" s="321">
        <f t="shared" si="127"/>
        <v>0.125</v>
      </c>
      <c r="AZ126" s="411">
        <v>19</v>
      </c>
      <c r="BA126" s="412">
        <f t="shared" si="85"/>
        <v>100</v>
      </c>
      <c r="BB126" s="408">
        <f t="shared" si="128"/>
        <v>0.5</v>
      </c>
      <c r="BC126" s="204">
        <v>1</v>
      </c>
      <c r="BD126" s="407">
        <f t="shared" si="86"/>
        <v>100</v>
      </c>
      <c r="BE126" s="408">
        <f t="shared" si="129"/>
        <v>0.5</v>
      </c>
      <c r="BF126" s="204">
        <v>0</v>
      </c>
      <c r="BG126" s="204">
        <v>0</v>
      </c>
      <c r="BH126" s="204">
        <v>0</v>
      </c>
      <c r="BI126" s="272" t="str">
        <f t="shared" si="87"/>
        <v>A</v>
      </c>
      <c r="BJ126" s="247">
        <f t="shared" si="88"/>
        <v>100</v>
      </c>
      <c r="BK126" s="90">
        <f t="shared" si="89"/>
        <v>3</v>
      </c>
      <c r="BL126" s="406">
        <v>0</v>
      </c>
      <c r="BM126" s="413">
        <f t="shared" si="90"/>
        <v>0</v>
      </c>
      <c r="BN126" s="414">
        <f t="shared" si="91"/>
        <v>100</v>
      </c>
      <c r="BO126" s="415">
        <f t="shared" si="92"/>
        <v>3</v>
      </c>
      <c r="BP126" s="416">
        <v>0</v>
      </c>
      <c r="BQ126" s="417">
        <f t="shared" si="93"/>
        <v>33.333333333333336</v>
      </c>
      <c r="BR126" s="415">
        <f t="shared" si="94"/>
        <v>0.33333333333333337</v>
      </c>
      <c r="BS126" s="350">
        <f t="shared" si="95"/>
        <v>12.211868150864756</v>
      </c>
    </row>
    <row r="127" spans="1:71" x14ac:dyDescent="0.6">
      <c r="A127" s="214" t="s">
        <v>743</v>
      </c>
      <c r="B127" s="13" t="s">
        <v>2106</v>
      </c>
      <c r="C127" s="219" t="s">
        <v>880</v>
      </c>
      <c r="D127" s="216" t="s">
        <v>191</v>
      </c>
      <c r="E127" s="217" t="s">
        <v>633</v>
      </c>
      <c r="F127" s="217" t="s">
        <v>1156</v>
      </c>
      <c r="G127" s="218">
        <v>32658</v>
      </c>
      <c r="H127" s="217" t="s">
        <v>712</v>
      </c>
      <c r="I127" s="217" t="s">
        <v>264</v>
      </c>
      <c r="J127" s="217" t="s">
        <v>1109</v>
      </c>
      <c r="K127" s="217" t="s">
        <v>91</v>
      </c>
      <c r="L127" s="220">
        <v>241989773</v>
      </c>
      <c r="M127" s="206">
        <v>40624252</v>
      </c>
      <c r="N127" s="206">
        <v>201365521</v>
      </c>
      <c r="O127" s="206">
        <v>93315362</v>
      </c>
      <c r="P127" s="206">
        <v>2071431</v>
      </c>
      <c r="Q127" s="206">
        <v>7052481</v>
      </c>
      <c r="R127" s="206">
        <v>5569068</v>
      </c>
      <c r="S127" s="405">
        <v>0</v>
      </c>
      <c r="T127" s="405">
        <v>0</v>
      </c>
      <c r="U127" s="406">
        <v>0</v>
      </c>
      <c r="V127" s="406">
        <v>0</v>
      </c>
      <c r="W127" s="407">
        <f t="shared" si="119"/>
        <v>0</v>
      </c>
      <c r="X127" s="407">
        <f t="shared" si="120"/>
        <v>100</v>
      </c>
      <c r="Y127" s="408">
        <f t="shared" si="121"/>
        <v>3</v>
      </c>
      <c r="Z127" s="444" t="s">
        <v>3362</v>
      </c>
      <c r="AA127" s="442">
        <v>0</v>
      </c>
      <c r="AB127" s="406">
        <v>0</v>
      </c>
      <c r="AC127" s="406">
        <v>0</v>
      </c>
      <c r="AD127" s="407">
        <f t="shared" si="122"/>
        <v>0</v>
      </c>
      <c r="AE127" s="364" t="str">
        <f t="shared" si="123"/>
        <v>50</v>
      </c>
      <c r="AF127" s="349">
        <f t="shared" si="124"/>
        <v>0.25</v>
      </c>
      <c r="AG127" s="154">
        <v>245</v>
      </c>
      <c r="AH127" s="421"/>
      <c r="AI127" s="409">
        <f t="shared" si="78"/>
        <v>0</v>
      </c>
      <c r="AJ127" s="409">
        <f t="shared" si="79"/>
        <v>25</v>
      </c>
      <c r="AK127" s="408">
        <f t="shared" si="125"/>
        <v>0.25</v>
      </c>
      <c r="AL127" s="423"/>
      <c r="AM127" s="424">
        <v>0</v>
      </c>
      <c r="AN127" s="365">
        <f t="shared" si="80"/>
        <v>25</v>
      </c>
      <c r="AO127" s="320">
        <f t="shared" si="126"/>
        <v>0.25</v>
      </c>
      <c r="AP127" s="277">
        <f>_xlfn.XLOOKUP(C127, '1.건전성'!C:C, '1.건전성'!BE:BE)</f>
        <v>3671895</v>
      </c>
      <c r="AQ127" s="277">
        <f>_xlfn.XLOOKUP(C127, '1.건전성'!C:C, '1.건전성'!BF:BF)</f>
        <v>463624</v>
      </c>
      <c r="AR127" s="410">
        <f t="shared" si="81"/>
        <v>4135519</v>
      </c>
      <c r="AS127" s="366">
        <f t="shared" si="76"/>
        <v>4.4317665509350972</v>
      </c>
      <c r="AT127" s="366">
        <f t="shared" si="82"/>
        <v>27.96364312884555</v>
      </c>
      <c r="AU127" s="321">
        <f t="shared" si="83"/>
        <v>0.2796364312884555</v>
      </c>
      <c r="AV127" s="15">
        <v>567452</v>
      </c>
      <c r="AW127" s="361">
        <f t="shared" si="77"/>
        <v>0.60810137563416411</v>
      </c>
      <c r="AX127" s="361">
        <f t="shared" si="84"/>
        <v>28.849252845713366</v>
      </c>
      <c r="AY127" s="321">
        <f t="shared" si="127"/>
        <v>0.14424626422856685</v>
      </c>
      <c r="AZ127" s="411">
        <v>10.5</v>
      </c>
      <c r="BA127" s="412">
        <f t="shared" si="85"/>
        <v>100</v>
      </c>
      <c r="BB127" s="408">
        <f t="shared" si="128"/>
        <v>0.5</v>
      </c>
      <c r="BC127" s="204">
        <v>0</v>
      </c>
      <c r="BD127" s="407">
        <f t="shared" si="86"/>
        <v>50</v>
      </c>
      <c r="BE127" s="408">
        <f t="shared" si="129"/>
        <v>0.25</v>
      </c>
      <c r="BF127" s="204">
        <v>0</v>
      </c>
      <c r="BG127" s="204">
        <v>0</v>
      </c>
      <c r="BH127" s="204">
        <v>0</v>
      </c>
      <c r="BI127" s="272" t="str">
        <f t="shared" si="87"/>
        <v>A</v>
      </c>
      <c r="BJ127" s="247">
        <f t="shared" si="88"/>
        <v>100</v>
      </c>
      <c r="BK127" s="90">
        <f t="shared" si="89"/>
        <v>3</v>
      </c>
      <c r="BL127" s="406">
        <v>0</v>
      </c>
      <c r="BM127" s="413">
        <f t="shared" si="90"/>
        <v>0</v>
      </c>
      <c r="BN127" s="414">
        <f t="shared" si="91"/>
        <v>100</v>
      </c>
      <c r="BO127" s="415">
        <f t="shared" si="92"/>
        <v>3</v>
      </c>
      <c r="BP127" s="416">
        <v>0.05</v>
      </c>
      <c r="BQ127" s="417">
        <f t="shared" si="93"/>
        <v>66.666666666666671</v>
      </c>
      <c r="BR127" s="415">
        <f t="shared" si="94"/>
        <v>0.66666666666666674</v>
      </c>
      <c r="BS127" s="350">
        <f t="shared" si="95"/>
        <v>11.590549362183689</v>
      </c>
    </row>
    <row r="128" spans="1:71" x14ac:dyDescent="0.6">
      <c r="A128" s="214" t="s">
        <v>883</v>
      </c>
      <c r="B128" s="13" t="s">
        <v>2107</v>
      </c>
      <c r="C128" s="219" t="s">
        <v>937</v>
      </c>
      <c r="D128" s="216" t="s">
        <v>203</v>
      </c>
      <c r="E128" s="217" t="s">
        <v>180</v>
      </c>
      <c r="F128" s="217" t="s">
        <v>565</v>
      </c>
      <c r="G128" s="218">
        <v>27921</v>
      </c>
      <c r="H128" s="217" t="s">
        <v>830</v>
      </c>
      <c r="I128" s="217" t="s">
        <v>1663</v>
      </c>
      <c r="J128" s="217" t="s">
        <v>1051</v>
      </c>
      <c r="K128" s="217" t="s">
        <v>320</v>
      </c>
      <c r="L128" s="220">
        <v>404942084</v>
      </c>
      <c r="M128" s="206">
        <v>194159798</v>
      </c>
      <c r="N128" s="206">
        <v>210782285</v>
      </c>
      <c r="O128" s="206">
        <v>232326917</v>
      </c>
      <c r="P128" s="206">
        <v>28484556</v>
      </c>
      <c r="Q128" s="206">
        <v>25121503</v>
      </c>
      <c r="R128" s="206">
        <v>22437303</v>
      </c>
      <c r="S128" s="405">
        <v>0</v>
      </c>
      <c r="T128" s="405">
        <v>0</v>
      </c>
      <c r="U128" s="406">
        <v>0</v>
      </c>
      <c r="V128" s="406">
        <v>0</v>
      </c>
      <c r="W128" s="407">
        <f t="shared" si="119"/>
        <v>0</v>
      </c>
      <c r="X128" s="407">
        <f t="shared" si="120"/>
        <v>100</v>
      </c>
      <c r="Y128" s="408">
        <f t="shared" si="121"/>
        <v>3</v>
      </c>
      <c r="Z128" s="444" t="s">
        <v>3363</v>
      </c>
      <c r="AA128" s="442">
        <v>1</v>
      </c>
      <c r="AB128" s="406">
        <v>0</v>
      </c>
      <c r="AC128" s="406">
        <v>0</v>
      </c>
      <c r="AD128" s="407">
        <f t="shared" si="122"/>
        <v>1</v>
      </c>
      <c r="AE128" s="364" t="str">
        <f t="shared" si="123"/>
        <v>100</v>
      </c>
      <c r="AF128" s="349">
        <f t="shared" si="124"/>
        <v>0.5</v>
      </c>
      <c r="AG128" s="154">
        <v>207</v>
      </c>
      <c r="AH128" s="421"/>
      <c r="AI128" s="409">
        <f t="shared" si="78"/>
        <v>0</v>
      </c>
      <c r="AJ128" s="409">
        <f t="shared" si="79"/>
        <v>25</v>
      </c>
      <c r="AK128" s="408">
        <f t="shared" si="125"/>
        <v>0.25</v>
      </c>
      <c r="AL128" s="423"/>
      <c r="AM128" s="424">
        <v>0</v>
      </c>
      <c r="AN128" s="365">
        <f t="shared" si="80"/>
        <v>25</v>
      </c>
      <c r="AO128" s="320">
        <f t="shared" si="126"/>
        <v>0.25</v>
      </c>
      <c r="AP128" s="277">
        <f>_xlfn.XLOOKUP(C128, '1.건전성'!C:C, '1.건전성'!BE:BE)</f>
        <v>3735832</v>
      </c>
      <c r="AQ128" s="277">
        <f>_xlfn.XLOOKUP(C128, '1.건전성'!C:C, '1.건전성'!BF:BF)</f>
        <v>777465</v>
      </c>
      <c r="AR128" s="410">
        <f t="shared" si="81"/>
        <v>4513297</v>
      </c>
      <c r="AS128" s="366">
        <f t="shared" si="76"/>
        <v>1.9426492023737398</v>
      </c>
      <c r="AT128" s="366">
        <f t="shared" si="82"/>
        <v>26.087424021889753</v>
      </c>
      <c r="AU128" s="321">
        <f t="shared" si="83"/>
        <v>0.26087424021889755</v>
      </c>
      <c r="AV128" s="15">
        <v>651535</v>
      </c>
      <c r="AW128" s="361">
        <f t="shared" si="77"/>
        <v>0.28043887828976788</v>
      </c>
      <c r="AX128" s="361">
        <f t="shared" si="84"/>
        <v>26.366961199164908</v>
      </c>
      <c r="AY128" s="321">
        <f t="shared" si="127"/>
        <v>0.13183480599582453</v>
      </c>
      <c r="AZ128" s="411">
        <v>10.1</v>
      </c>
      <c r="BA128" s="412">
        <f t="shared" si="85"/>
        <v>100</v>
      </c>
      <c r="BB128" s="408">
        <f t="shared" si="128"/>
        <v>0.5</v>
      </c>
      <c r="BC128" s="204">
        <v>1</v>
      </c>
      <c r="BD128" s="407">
        <f t="shared" si="86"/>
        <v>100</v>
      </c>
      <c r="BE128" s="408">
        <f t="shared" si="129"/>
        <v>0.5</v>
      </c>
      <c r="BF128" s="204">
        <v>0</v>
      </c>
      <c r="BG128" s="204">
        <v>1</v>
      </c>
      <c r="BH128" s="204">
        <v>0</v>
      </c>
      <c r="BI128" s="272" t="str">
        <f t="shared" si="87"/>
        <v>C</v>
      </c>
      <c r="BJ128" s="247">
        <f t="shared" si="88"/>
        <v>50</v>
      </c>
      <c r="BK128" s="90">
        <f t="shared" si="89"/>
        <v>1.5</v>
      </c>
      <c r="BL128" s="406">
        <v>6</v>
      </c>
      <c r="BM128" s="413">
        <f t="shared" si="90"/>
        <v>2.8985507246376812</v>
      </c>
      <c r="BN128" s="414">
        <f t="shared" si="91"/>
        <v>60</v>
      </c>
      <c r="BO128" s="415">
        <f t="shared" si="92"/>
        <v>1.7999999999999998</v>
      </c>
      <c r="BP128" s="416">
        <v>0</v>
      </c>
      <c r="BQ128" s="417">
        <f t="shared" si="93"/>
        <v>33.333333333333336</v>
      </c>
      <c r="BR128" s="415">
        <f t="shared" si="94"/>
        <v>0.33333333333333337</v>
      </c>
      <c r="BS128" s="350">
        <f t="shared" si="95"/>
        <v>9.0260423795480555</v>
      </c>
    </row>
    <row r="129" spans="1:71" x14ac:dyDescent="0.6">
      <c r="A129" s="214" t="s">
        <v>689</v>
      </c>
      <c r="B129" s="13" t="s">
        <v>2108</v>
      </c>
      <c r="C129" s="219" t="s">
        <v>46</v>
      </c>
      <c r="D129" s="216" t="s">
        <v>203</v>
      </c>
      <c r="E129" s="217" t="s">
        <v>188</v>
      </c>
      <c r="F129" s="217" t="s">
        <v>119</v>
      </c>
      <c r="G129" s="218">
        <v>32842</v>
      </c>
      <c r="H129" s="217" t="s">
        <v>830</v>
      </c>
      <c r="I129" s="217" t="s">
        <v>717</v>
      </c>
      <c r="J129" s="217" t="s">
        <v>1088</v>
      </c>
      <c r="K129" s="217" t="s">
        <v>690</v>
      </c>
      <c r="L129" s="220">
        <v>60912252</v>
      </c>
      <c r="M129" s="206">
        <v>12528504</v>
      </c>
      <c r="N129" s="206">
        <v>48383747</v>
      </c>
      <c r="O129" s="206">
        <v>48434716</v>
      </c>
      <c r="P129" s="206">
        <v>3282892</v>
      </c>
      <c r="Q129" s="206">
        <v>3389050</v>
      </c>
      <c r="R129" s="206">
        <v>3069106</v>
      </c>
      <c r="S129" s="405">
        <v>0</v>
      </c>
      <c r="T129" s="405">
        <v>0</v>
      </c>
      <c r="U129" s="406">
        <v>0</v>
      </c>
      <c r="V129" s="406">
        <v>0</v>
      </c>
      <c r="W129" s="407">
        <f t="shared" si="119"/>
        <v>0</v>
      </c>
      <c r="X129" s="407">
        <f t="shared" si="120"/>
        <v>100</v>
      </c>
      <c r="Y129" s="408">
        <f t="shared" si="121"/>
        <v>3</v>
      </c>
      <c r="Z129" s="444" t="s">
        <v>3364</v>
      </c>
      <c r="AA129" s="442">
        <v>0</v>
      </c>
      <c r="AB129" s="406">
        <v>0</v>
      </c>
      <c r="AC129" s="406">
        <v>0</v>
      </c>
      <c r="AD129" s="407">
        <f t="shared" si="122"/>
        <v>0</v>
      </c>
      <c r="AE129" s="364" t="str">
        <f t="shared" si="123"/>
        <v>50</v>
      </c>
      <c r="AF129" s="349">
        <f t="shared" si="124"/>
        <v>0.25</v>
      </c>
      <c r="AG129" s="154">
        <v>139</v>
      </c>
      <c r="AH129" s="154">
        <v>2202</v>
      </c>
      <c r="AI129" s="409">
        <f t="shared" si="78"/>
        <v>15.841726618705035</v>
      </c>
      <c r="AJ129" s="409">
        <f t="shared" si="79"/>
        <v>36.881294964028775</v>
      </c>
      <c r="AK129" s="408">
        <f t="shared" si="125"/>
        <v>0.36881294964028777</v>
      </c>
      <c r="AL129" s="45">
        <v>930</v>
      </c>
      <c r="AM129" s="361">
        <f t="shared" si="96"/>
        <v>136.7741935483871</v>
      </c>
      <c r="AN129" s="365">
        <f t="shared" si="80"/>
        <v>50.645161290322577</v>
      </c>
      <c r="AO129" s="320">
        <f t="shared" si="126"/>
        <v>0.50645161290322582</v>
      </c>
      <c r="AP129" s="277">
        <f>_xlfn.XLOOKUP(C129, '1.건전성'!C:C, '1.건전성'!BE:BE)</f>
        <v>2476771</v>
      </c>
      <c r="AQ129" s="277">
        <f>_xlfn.XLOOKUP(C129, '1.건전성'!C:C, '1.건전성'!BF:BF)</f>
        <v>60383</v>
      </c>
      <c r="AR129" s="410">
        <f t="shared" si="81"/>
        <v>2537154</v>
      </c>
      <c r="AS129" s="366">
        <f t="shared" ref="AS129:AS192" si="130">(AR129/O129)*100</f>
        <v>5.238296431840336</v>
      </c>
      <c r="AT129" s="366">
        <f t="shared" si="82"/>
        <v>28.571580225005277</v>
      </c>
      <c r="AU129" s="321">
        <f t="shared" si="83"/>
        <v>0.28571580225005277</v>
      </c>
      <c r="AV129" s="15">
        <v>40105</v>
      </c>
      <c r="AW129" s="361">
        <f t="shared" ref="AW129:AW192" si="131">(AV129/O129)*100</f>
        <v>8.2802178503534524E-2</v>
      </c>
      <c r="AX129" s="361">
        <f t="shared" si="84"/>
        <v>25</v>
      </c>
      <c r="AY129" s="321">
        <f t="shared" si="127"/>
        <v>0.125</v>
      </c>
      <c r="AZ129" s="411">
        <v>13.35</v>
      </c>
      <c r="BA129" s="412">
        <f t="shared" si="85"/>
        <v>100</v>
      </c>
      <c r="BB129" s="408">
        <f t="shared" si="128"/>
        <v>0.5</v>
      </c>
      <c r="BC129" s="204">
        <v>1</v>
      </c>
      <c r="BD129" s="407">
        <f t="shared" si="86"/>
        <v>100</v>
      </c>
      <c r="BE129" s="408">
        <f t="shared" si="129"/>
        <v>0.5</v>
      </c>
      <c r="BF129" s="204">
        <v>0</v>
      </c>
      <c r="BG129" s="204">
        <v>0</v>
      </c>
      <c r="BH129" s="204">
        <v>0</v>
      </c>
      <c r="BI129" s="272" t="str">
        <f t="shared" si="87"/>
        <v>A</v>
      </c>
      <c r="BJ129" s="247">
        <f t="shared" si="88"/>
        <v>100</v>
      </c>
      <c r="BK129" s="90">
        <f t="shared" si="89"/>
        <v>3</v>
      </c>
      <c r="BL129" s="406">
        <v>2</v>
      </c>
      <c r="BM129" s="413">
        <f t="shared" si="90"/>
        <v>1.4388489208633095</v>
      </c>
      <c r="BN129" s="414">
        <f t="shared" si="91"/>
        <v>60</v>
      </c>
      <c r="BO129" s="415">
        <f t="shared" si="92"/>
        <v>1.7999999999999998</v>
      </c>
      <c r="BP129" s="416">
        <v>0</v>
      </c>
      <c r="BQ129" s="417">
        <f t="shared" si="93"/>
        <v>33.333333333333336</v>
      </c>
      <c r="BR129" s="415">
        <f t="shared" si="94"/>
        <v>0.33333333333333337</v>
      </c>
      <c r="BS129" s="350">
        <f t="shared" si="95"/>
        <v>10.669313698126901</v>
      </c>
    </row>
    <row r="130" spans="1:71" x14ac:dyDescent="0.6">
      <c r="A130" s="214" t="s">
        <v>1664</v>
      </c>
      <c r="B130" s="13" t="s">
        <v>2109</v>
      </c>
      <c r="C130" s="219" t="s">
        <v>79</v>
      </c>
      <c r="D130" s="221" t="s">
        <v>350</v>
      </c>
      <c r="E130" s="217" t="s">
        <v>179</v>
      </c>
      <c r="F130" s="217" t="s">
        <v>965</v>
      </c>
      <c r="G130" s="218">
        <v>32343</v>
      </c>
      <c r="H130" s="217" t="s">
        <v>830</v>
      </c>
      <c r="I130" s="217" t="s">
        <v>763</v>
      </c>
      <c r="J130" s="217" t="s">
        <v>1169</v>
      </c>
      <c r="K130" s="217" t="s">
        <v>91</v>
      </c>
      <c r="L130" s="220">
        <v>1427244316</v>
      </c>
      <c r="M130" s="206">
        <v>761201192</v>
      </c>
      <c r="N130" s="206">
        <v>666043124</v>
      </c>
      <c r="O130" s="206">
        <v>962455644</v>
      </c>
      <c r="P130" s="206">
        <v>61833345</v>
      </c>
      <c r="Q130" s="206">
        <v>63808418</v>
      </c>
      <c r="R130" s="206">
        <v>45756353</v>
      </c>
      <c r="S130" s="275" t="s">
        <v>2326</v>
      </c>
      <c r="T130" s="275" t="s">
        <v>2326</v>
      </c>
      <c r="U130" s="275" t="s">
        <v>2326</v>
      </c>
      <c r="V130" s="275" t="s">
        <v>2326</v>
      </c>
      <c r="W130" s="275" t="s">
        <v>2326</v>
      </c>
      <c r="X130" s="275" t="s">
        <v>2326</v>
      </c>
      <c r="Y130" s="276"/>
      <c r="Z130" s="275" t="s">
        <v>2326</v>
      </c>
      <c r="AA130" s="275" t="s">
        <v>2326</v>
      </c>
      <c r="AB130" s="275" t="s">
        <v>2326</v>
      </c>
      <c r="AC130" s="275" t="s">
        <v>2326</v>
      </c>
      <c r="AD130" s="275" t="s">
        <v>2326</v>
      </c>
      <c r="AE130" s="275" t="s">
        <v>2326</v>
      </c>
      <c r="AF130" s="275"/>
      <c r="AG130" s="154">
        <v>327</v>
      </c>
      <c r="AH130" s="421"/>
      <c r="AI130" s="409">
        <f t="shared" ref="AI130:AI193" si="132">AH130/AG130</f>
        <v>0</v>
      </c>
      <c r="AJ130" s="409">
        <f t="shared" ref="AJ130:AJ193" si="133">IF((25+((75*(AI130-0)/(100-0))))&gt;100, 100, IF((25+((75*(AI130-0)/(100-0))))&lt;25, 25, (25+((75*(AI130-0)/(100-0))))))</f>
        <v>25</v>
      </c>
      <c r="AK130" s="418">
        <f>AJ130*0.02</f>
        <v>0.5</v>
      </c>
      <c r="AL130" s="423"/>
      <c r="AM130" s="424">
        <v>0</v>
      </c>
      <c r="AN130" s="365">
        <f t="shared" si="80"/>
        <v>25</v>
      </c>
      <c r="AO130" s="322">
        <f>AN130*0.02</f>
        <v>0.5</v>
      </c>
      <c r="AP130" s="277">
        <f>_xlfn.XLOOKUP(C130, '1.건전성'!C:C, '1.건전성'!BE:BE)</f>
        <v>81487049</v>
      </c>
      <c r="AQ130" s="277">
        <f>_xlfn.XLOOKUP(C130, '1.건전성'!C:C, '1.건전성'!BF:BF)</f>
        <v>3741473</v>
      </c>
      <c r="AR130" s="410">
        <f t="shared" ref="AR130:AR193" si="134">AP130+AQ130</f>
        <v>85228522</v>
      </c>
      <c r="AS130" s="366">
        <f t="shared" si="130"/>
        <v>8.8553194665457227</v>
      </c>
      <c r="AT130" s="366">
        <f t="shared" ref="AT130:AT193" si="135">IF((25+(75*(AS130-0.5)/(100-0.5)))&gt;100, 100, IF((25+(75*(AS130-0.5)/(100-0.5)))&lt;25, 25, (25+(75*(AS130-0.5)/(100-0.5)))))</f>
        <v>31.297979497396273</v>
      </c>
      <c r="AU130" s="321">
        <f t="shared" ref="AU130:AU193" si="136">AT130*0.01</f>
        <v>0.31297979497396272</v>
      </c>
      <c r="AV130" s="15">
        <v>1631179</v>
      </c>
      <c r="AW130" s="361">
        <f t="shared" si="131"/>
        <v>0.16948095324380477</v>
      </c>
      <c r="AX130" s="361">
        <f t="shared" ref="AX130:AX193" si="137">IF((25+((75*(AW130-0.1))/(10-0.1)))&gt;100, 100, IF((25+((75*(AW130-0.1))/(10-0.1)))&lt;25, 25, (25+((75*(AW130-0.1))/(10-0.1)))))</f>
        <v>25.526370857907612</v>
      </c>
      <c r="AY130" s="348">
        <f>AX130*0.01</f>
        <v>0.2552637085790761</v>
      </c>
      <c r="AZ130" s="411">
        <v>6.6</v>
      </c>
      <c r="BA130" s="412">
        <f t="shared" ref="BA130:BA193" si="138">IF(AZ130&lt;4, 20, IF(AZ130&lt;6, 40, IF(AZ130&lt;8, 60, IF(AZ130&lt;10, 80, IF(AZ130&gt;=10, 100)))))</f>
        <v>60</v>
      </c>
      <c r="BB130" s="418">
        <f>BA130*0.01</f>
        <v>0.6</v>
      </c>
      <c r="BC130" s="204">
        <v>1</v>
      </c>
      <c r="BD130" s="407">
        <f t="shared" si="86"/>
        <v>100</v>
      </c>
      <c r="BE130" s="418">
        <f>BD130*0.01</f>
        <v>1</v>
      </c>
      <c r="BF130" s="204">
        <v>1</v>
      </c>
      <c r="BG130" s="204">
        <v>1</v>
      </c>
      <c r="BH130" s="204">
        <v>1</v>
      </c>
      <c r="BI130" s="272" t="str">
        <f t="shared" ref="BI130:BI193" si="139">IF(BH130=1, "D", IF(BG130=1, "C", IF(BF130=1, "B", "A")))</f>
        <v>D</v>
      </c>
      <c r="BJ130" s="247">
        <f t="shared" ref="BJ130:BJ193" si="140">IF(BI130="A", 100, IF(BI130="B", 75, IF(BI130="C", 50, IF(BI130="D", 25))))</f>
        <v>25</v>
      </c>
      <c r="BK130" s="90">
        <f t="shared" ref="BK130:BK193" si="141">BJ130*0.03</f>
        <v>0.75</v>
      </c>
      <c r="BL130" s="406">
        <v>215</v>
      </c>
      <c r="BM130" s="413">
        <f t="shared" ref="BM130:BM193" si="142">(BL130/AG130)*100</f>
        <v>65.749235474006113</v>
      </c>
      <c r="BN130" s="414">
        <f t="shared" ref="BN130:BN193" si="143">IF(BM130&lt;0.5, 100, IF(BM130&lt;1, 80, IF(BM130&lt;3, 60, IF(BM130&lt;7, 40, IF(BM130&gt;=7, 20)))))</f>
        <v>20</v>
      </c>
      <c r="BO130" s="415">
        <f t="shared" ref="BO130:BO193" si="144">BN130*0.03</f>
        <v>0.6</v>
      </c>
      <c r="BP130" s="416">
        <v>0</v>
      </c>
      <c r="BQ130" s="417">
        <f t="shared" ref="BQ130:BQ193" si="145">IF(BP130=0, 100/3, IF(BP130&lt;5, 200/3, 100))</f>
        <v>33.333333333333336</v>
      </c>
      <c r="BR130" s="415">
        <f t="shared" ref="BR130:BR193" si="146">BQ130*0.01</f>
        <v>0.33333333333333337</v>
      </c>
      <c r="BS130" s="350">
        <f t="shared" ref="BS130:BS193" si="147">Y130+AF130+AK130+AO130+AU130+AY130+BB130+BE130+BK130+BO130+BR130</f>
        <v>4.8515768368863714</v>
      </c>
    </row>
    <row r="131" spans="1:71" x14ac:dyDescent="0.6">
      <c r="A131" s="214" t="s">
        <v>1665</v>
      </c>
      <c r="B131" s="13" t="s">
        <v>2110</v>
      </c>
      <c r="C131" s="219" t="s">
        <v>62</v>
      </c>
      <c r="D131" s="216" t="s">
        <v>203</v>
      </c>
      <c r="E131" s="217" t="s">
        <v>195</v>
      </c>
      <c r="F131" s="217" t="s">
        <v>731</v>
      </c>
      <c r="G131" s="218">
        <v>39735</v>
      </c>
      <c r="H131" s="217" t="s">
        <v>830</v>
      </c>
      <c r="I131" s="217" t="s">
        <v>3</v>
      </c>
      <c r="J131" s="217" t="s">
        <v>1082</v>
      </c>
      <c r="K131" s="217" t="s">
        <v>487</v>
      </c>
      <c r="L131" s="220">
        <v>153622004</v>
      </c>
      <c r="M131" s="206">
        <v>27614064</v>
      </c>
      <c r="N131" s="206">
        <v>126007940</v>
      </c>
      <c r="O131" s="206">
        <v>209727336</v>
      </c>
      <c r="P131" s="206">
        <v>5922306</v>
      </c>
      <c r="Q131" s="206">
        <v>9227725</v>
      </c>
      <c r="R131" s="206">
        <v>7102656</v>
      </c>
      <c r="S131" s="405">
        <v>0</v>
      </c>
      <c r="T131" s="405">
        <v>0</v>
      </c>
      <c r="U131" s="406">
        <v>0</v>
      </c>
      <c r="V131" s="406">
        <v>0</v>
      </c>
      <c r="W131" s="407">
        <f>SUM(S131:V131)</f>
        <v>0</v>
      </c>
      <c r="X131" s="407">
        <f>IF(W131=0, 100, IF(W131=1, 80, IF(W131=2, 60, IF(W131=3, 40, IF(W131=4, 20)))))</f>
        <v>100</v>
      </c>
      <c r="Y131" s="408">
        <f>X131*0.03</f>
        <v>3</v>
      </c>
      <c r="Z131" s="444" t="s">
        <v>3365</v>
      </c>
      <c r="AA131" s="442">
        <v>0</v>
      </c>
      <c r="AB131" s="406">
        <v>0</v>
      </c>
      <c r="AC131" s="406">
        <v>0</v>
      </c>
      <c r="AD131" s="407">
        <f>SUM(AA131:AC131)</f>
        <v>0</v>
      </c>
      <c r="AE131" s="364" t="str">
        <f>IF(AD131&gt;=1,"100","50")</f>
        <v>50</v>
      </c>
      <c r="AF131" s="349">
        <f>AE131*0.005</f>
        <v>0.25</v>
      </c>
      <c r="AG131" s="154">
        <v>48</v>
      </c>
      <c r="AH131" s="421"/>
      <c r="AI131" s="409">
        <f t="shared" si="132"/>
        <v>0</v>
      </c>
      <c r="AJ131" s="409">
        <f t="shared" si="133"/>
        <v>25</v>
      </c>
      <c r="AK131" s="408">
        <f>AJ131*0.01</f>
        <v>0.25</v>
      </c>
      <c r="AL131" s="423"/>
      <c r="AM131" s="424">
        <v>0</v>
      </c>
      <c r="AN131" s="365">
        <f t="shared" ref="AN131:AN194" si="148">IF((25+((75*(AM131-0)/(400-0))))&gt;100, 100, IF((25+((75*(AM131-0)/(400-0))))&lt;25, 25, (25+((75*(AM131-0)/(400-0))))))</f>
        <v>25</v>
      </c>
      <c r="AO131" s="320">
        <f>AN131*0.01</f>
        <v>0.25</v>
      </c>
      <c r="AP131" s="277">
        <f>_xlfn.XLOOKUP(C131, '1.건전성'!C:C, '1.건전성'!BE:BE)</f>
        <v>2421401</v>
      </c>
      <c r="AQ131" s="277">
        <f>_xlfn.XLOOKUP(C131, '1.건전성'!C:C, '1.건전성'!BF:BF)</f>
        <v>404260</v>
      </c>
      <c r="AR131" s="410">
        <f t="shared" si="134"/>
        <v>2825661</v>
      </c>
      <c r="AS131" s="366">
        <f t="shared" si="130"/>
        <v>1.3473021943119519</v>
      </c>
      <c r="AT131" s="366">
        <f t="shared" si="135"/>
        <v>25.638669995712526</v>
      </c>
      <c r="AU131" s="321">
        <f t="shared" si="136"/>
        <v>0.25638669995712526</v>
      </c>
      <c r="AV131" s="15">
        <v>278228</v>
      </c>
      <c r="AW131" s="361">
        <f t="shared" si="131"/>
        <v>0.13266177185409916</v>
      </c>
      <c r="AX131" s="361">
        <f t="shared" si="137"/>
        <v>25.247437665561357</v>
      </c>
      <c r="AY131" s="321">
        <f>AX131*0.005</f>
        <v>0.12623718832780678</v>
      </c>
      <c r="AZ131" s="411">
        <v>19.420000000000002</v>
      </c>
      <c r="BA131" s="412">
        <f t="shared" si="138"/>
        <v>100</v>
      </c>
      <c r="BB131" s="408">
        <f>BA131*0.005</f>
        <v>0.5</v>
      </c>
      <c r="BC131" s="204">
        <v>1</v>
      </c>
      <c r="BD131" s="407">
        <f t="shared" ref="BD131:BD194" si="149">IF(BC131=1, 100, 50)</f>
        <v>100</v>
      </c>
      <c r="BE131" s="408">
        <f>BD131*0.005</f>
        <v>0.5</v>
      </c>
      <c r="BF131" s="204">
        <v>0</v>
      </c>
      <c r="BG131" s="204">
        <v>0</v>
      </c>
      <c r="BH131" s="204">
        <v>0</v>
      </c>
      <c r="BI131" s="272" t="str">
        <f t="shared" si="139"/>
        <v>A</v>
      </c>
      <c r="BJ131" s="247">
        <f t="shared" si="140"/>
        <v>100</v>
      </c>
      <c r="BK131" s="90">
        <f t="shared" si="141"/>
        <v>3</v>
      </c>
      <c r="BL131" s="406">
        <v>2</v>
      </c>
      <c r="BM131" s="413">
        <f t="shared" si="142"/>
        <v>4.1666666666666661</v>
      </c>
      <c r="BN131" s="414">
        <f t="shared" si="143"/>
        <v>40</v>
      </c>
      <c r="BO131" s="415">
        <f t="shared" si="144"/>
        <v>1.2</v>
      </c>
      <c r="BP131" s="416">
        <v>0</v>
      </c>
      <c r="BQ131" s="417">
        <f t="shared" si="145"/>
        <v>33.333333333333336</v>
      </c>
      <c r="BR131" s="415">
        <f t="shared" si="146"/>
        <v>0.33333333333333337</v>
      </c>
      <c r="BS131" s="350">
        <f t="shared" si="147"/>
        <v>9.6659572216182656</v>
      </c>
    </row>
    <row r="132" spans="1:71" x14ac:dyDescent="0.6">
      <c r="A132" s="214" t="s">
        <v>1666</v>
      </c>
      <c r="B132" s="13" t="s">
        <v>2111</v>
      </c>
      <c r="C132" s="219" t="s">
        <v>1667</v>
      </c>
      <c r="D132" s="14" t="s">
        <v>191</v>
      </c>
      <c r="E132" s="217" t="s">
        <v>952</v>
      </c>
      <c r="F132" s="217" t="s">
        <v>1668</v>
      </c>
      <c r="G132" s="218">
        <v>41089</v>
      </c>
      <c r="H132" s="217" t="s">
        <v>830</v>
      </c>
      <c r="I132" s="217" t="s">
        <v>1669</v>
      </c>
      <c r="J132" s="217" t="s">
        <v>1670</v>
      </c>
      <c r="K132" s="217" t="s">
        <v>91</v>
      </c>
      <c r="L132" s="220">
        <v>350700455</v>
      </c>
      <c r="M132" s="206">
        <v>111544269</v>
      </c>
      <c r="N132" s="206">
        <v>239156186</v>
      </c>
      <c r="O132" s="206">
        <v>201116170</v>
      </c>
      <c r="P132" s="206">
        <v>13584493</v>
      </c>
      <c r="Q132" s="206">
        <v>10414124</v>
      </c>
      <c r="R132" s="206">
        <v>8295233</v>
      </c>
      <c r="S132" s="405">
        <v>0</v>
      </c>
      <c r="T132" s="405">
        <v>0</v>
      </c>
      <c r="U132" s="406">
        <v>0</v>
      </c>
      <c r="V132" s="406">
        <v>0</v>
      </c>
      <c r="W132" s="407">
        <f>SUM(S132:V132)</f>
        <v>0</v>
      </c>
      <c r="X132" s="407">
        <f>IF(W132=0, 100, IF(W132=1, 80, IF(W132=2, 60, IF(W132=3, 40, IF(W132=4, 20)))))</f>
        <v>100</v>
      </c>
      <c r="Y132" s="408">
        <f>X132*0.03</f>
        <v>3</v>
      </c>
      <c r="Z132" s="444" t="s">
        <v>3366</v>
      </c>
      <c r="AA132" s="442">
        <v>0</v>
      </c>
      <c r="AB132" s="406">
        <v>0</v>
      </c>
      <c r="AC132" s="406">
        <v>0</v>
      </c>
      <c r="AD132" s="407">
        <f>SUM(AA132:AC132)</f>
        <v>0</v>
      </c>
      <c r="AE132" s="364" t="str">
        <f>IF(AD132&gt;=1,"100","50")</f>
        <v>50</v>
      </c>
      <c r="AF132" s="349">
        <f>AE132*0.005</f>
        <v>0.25</v>
      </c>
      <c r="AG132" s="154">
        <v>230</v>
      </c>
      <c r="AH132" s="154">
        <v>8443</v>
      </c>
      <c r="AI132" s="409">
        <f t="shared" si="132"/>
        <v>36.708695652173915</v>
      </c>
      <c r="AJ132" s="409">
        <f t="shared" si="133"/>
        <v>52.53152173913044</v>
      </c>
      <c r="AK132" s="408">
        <f>AJ132*0.01</f>
        <v>0.52531521739130438</v>
      </c>
      <c r="AL132" s="45">
        <v>7452</v>
      </c>
      <c r="AM132" s="361">
        <f t="shared" ref="AM132:AM192" si="150">((AH132-AL132)/AL132)*100</f>
        <v>13.29844337090714</v>
      </c>
      <c r="AN132" s="365">
        <f t="shared" si="148"/>
        <v>27.493458132045088</v>
      </c>
      <c r="AO132" s="320">
        <f>AN132*0.01</f>
        <v>0.2749345813204509</v>
      </c>
      <c r="AP132" s="277">
        <f>_xlfn.XLOOKUP(C132, '1.건전성'!C:C, '1.건전성'!BE:BE)</f>
        <v>3836571</v>
      </c>
      <c r="AQ132" s="277">
        <f>_xlfn.XLOOKUP(C132, '1.건전성'!C:C, '1.건전성'!BF:BF)</f>
        <v>375804</v>
      </c>
      <c r="AR132" s="410">
        <f t="shared" si="134"/>
        <v>4212375</v>
      </c>
      <c r="AS132" s="366">
        <f t="shared" si="130"/>
        <v>2.0944984185011077</v>
      </c>
      <c r="AT132" s="366">
        <f t="shared" si="135"/>
        <v>26.20188323002596</v>
      </c>
      <c r="AU132" s="321">
        <f t="shared" si="136"/>
        <v>0.26201883230025957</v>
      </c>
      <c r="AV132" s="15">
        <v>490382</v>
      </c>
      <c r="AW132" s="361">
        <f t="shared" si="131"/>
        <v>0.24383022011606525</v>
      </c>
      <c r="AX132" s="361">
        <f t="shared" si="137"/>
        <v>26.089622879667161</v>
      </c>
      <c r="AY132" s="321">
        <f>AX132*0.005</f>
        <v>0.13044811439833581</v>
      </c>
      <c r="AZ132" s="411">
        <v>7.4</v>
      </c>
      <c r="BA132" s="412">
        <f t="shared" si="138"/>
        <v>60</v>
      </c>
      <c r="BB132" s="408">
        <f>BA132*0.005</f>
        <v>0.3</v>
      </c>
      <c r="BC132" s="204">
        <v>1</v>
      </c>
      <c r="BD132" s="407">
        <f t="shared" si="149"/>
        <v>100</v>
      </c>
      <c r="BE132" s="408">
        <f>BD132*0.005</f>
        <v>0.5</v>
      </c>
      <c r="BF132" s="204">
        <v>0</v>
      </c>
      <c r="BG132" s="204">
        <v>0</v>
      </c>
      <c r="BH132" s="204">
        <v>0</v>
      </c>
      <c r="BI132" s="272" t="str">
        <f t="shared" si="139"/>
        <v>A</v>
      </c>
      <c r="BJ132" s="247">
        <f t="shared" si="140"/>
        <v>100</v>
      </c>
      <c r="BK132" s="90">
        <f t="shared" si="141"/>
        <v>3</v>
      </c>
      <c r="BL132" s="406">
        <v>0</v>
      </c>
      <c r="BM132" s="413">
        <f t="shared" si="142"/>
        <v>0</v>
      </c>
      <c r="BN132" s="414">
        <f t="shared" si="143"/>
        <v>100</v>
      </c>
      <c r="BO132" s="415">
        <f t="shared" si="144"/>
        <v>3</v>
      </c>
      <c r="BP132" s="416">
        <v>0.01</v>
      </c>
      <c r="BQ132" s="417">
        <f t="shared" si="145"/>
        <v>66.666666666666671</v>
      </c>
      <c r="BR132" s="415">
        <f t="shared" si="146"/>
        <v>0.66666666666666674</v>
      </c>
      <c r="BS132" s="350">
        <f t="shared" si="147"/>
        <v>11.909383412077016</v>
      </c>
    </row>
    <row r="133" spans="1:71" x14ac:dyDescent="0.6">
      <c r="A133" s="214" t="s">
        <v>73</v>
      </c>
      <c r="B133" s="13" t="s">
        <v>2112</v>
      </c>
      <c r="C133" s="219" t="s">
        <v>65</v>
      </c>
      <c r="D133" s="216" t="s">
        <v>191</v>
      </c>
      <c r="E133" s="217" t="s">
        <v>952</v>
      </c>
      <c r="F133" s="217" t="s">
        <v>166</v>
      </c>
      <c r="G133" s="218">
        <v>31770</v>
      </c>
      <c r="H133" s="217" t="s">
        <v>830</v>
      </c>
      <c r="I133" s="217" t="s">
        <v>1671</v>
      </c>
      <c r="J133" s="217" t="s">
        <v>1115</v>
      </c>
      <c r="K133" s="217" t="s">
        <v>91</v>
      </c>
      <c r="L133" s="220">
        <v>343207955</v>
      </c>
      <c r="M133" s="206">
        <v>137261542</v>
      </c>
      <c r="N133" s="206">
        <v>205946413</v>
      </c>
      <c r="O133" s="206">
        <v>369125207</v>
      </c>
      <c r="P133" s="206">
        <v>10201023</v>
      </c>
      <c r="Q133" s="206">
        <v>10693290</v>
      </c>
      <c r="R133" s="206">
        <v>8526794</v>
      </c>
      <c r="S133" s="405">
        <v>0</v>
      </c>
      <c r="T133" s="405">
        <v>0</v>
      </c>
      <c r="U133" s="406">
        <v>0</v>
      </c>
      <c r="V133" s="406">
        <v>0</v>
      </c>
      <c r="W133" s="407">
        <f>SUM(S133:V133)</f>
        <v>0</v>
      </c>
      <c r="X133" s="407">
        <f>IF(W133=0, 100, IF(W133=1, 80, IF(W133=2, 60, IF(W133=3, 40, IF(W133=4, 20)))))</f>
        <v>100</v>
      </c>
      <c r="Y133" s="408">
        <f>X133*0.03</f>
        <v>3</v>
      </c>
      <c r="Z133" s="444" t="s">
        <v>3367</v>
      </c>
      <c r="AA133" s="442">
        <v>0</v>
      </c>
      <c r="AB133" s="406">
        <v>0</v>
      </c>
      <c r="AC133" s="406">
        <v>0</v>
      </c>
      <c r="AD133" s="407">
        <f>SUM(AA133:AC133)</f>
        <v>0</v>
      </c>
      <c r="AE133" s="364" t="str">
        <f>IF(AD133&gt;=1,"100","50")</f>
        <v>50</v>
      </c>
      <c r="AF133" s="349">
        <f>AE133*0.005</f>
        <v>0.25</v>
      </c>
      <c r="AG133" s="154">
        <v>853</v>
      </c>
      <c r="AH133" s="154">
        <v>7600</v>
      </c>
      <c r="AI133" s="409">
        <f t="shared" si="132"/>
        <v>8.909730363423213</v>
      </c>
      <c r="AJ133" s="409">
        <f t="shared" si="133"/>
        <v>31.682297772567409</v>
      </c>
      <c r="AK133" s="408">
        <f>AJ133*0.01</f>
        <v>0.31682297772567408</v>
      </c>
      <c r="AL133" s="45">
        <v>6714</v>
      </c>
      <c r="AM133" s="361">
        <f t="shared" si="150"/>
        <v>13.196306225796842</v>
      </c>
      <c r="AN133" s="365">
        <f t="shared" si="148"/>
        <v>27.47430741733691</v>
      </c>
      <c r="AO133" s="320">
        <f>AN133*0.01</f>
        <v>0.27474307417336913</v>
      </c>
      <c r="AP133" s="277">
        <f>_xlfn.XLOOKUP(C133, '1.건전성'!C:C, '1.건전성'!BE:BE)</f>
        <v>4669760</v>
      </c>
      <c r="AQ133" s="277">
        <f>_xlfn.XLOOKUP(C133, '1.건전성'!C:C, '1.건전성'!BF:BF)</f>
        <v>454097</v>
      </c>
      <c r="AR133" s="410">
        <f t="shared" si="134"/>
        <v>5123857</v>
      </c>
      <c r="AS133" s="366">
        <f t="shared" si="130"/>
        <v>1.3881081277659806</v>
      </c>
      <c r="AT133" s="366">
        <f t="shared" si="135"/>
        <v>25.669428237009534</v>
      </c>
      <c r="AU133" s="321">
        <f t="shared" si="136"/>
        <v>0.25669428237009534</v>
      </c>
      <c r="AV133" s="15">
        <v>859160</v>
      </c>
      <c r="AW133" s="361">
        <f t="shared" si="131"/>
        <v>0.2327557109910405</v>
      </c>
      <c r="AX133" s="361">
        <f t="shared" si="137"/>
        <v>26.005725083265457</v>
      </c>
      <c r="AY133" s="321">
        <f>AX133*0.005</f>
        <v>0.13002862541632729</v>
      </c>
      <c r="AZ133" s="411">
        <v>5.8</v>
      </c>
      <c r="BA133" s="412">
        <f t="shared" si="138"/>
        <v>40</v>
      </c>
      <c r="BB133" s="408">
        <f>BA133*0.005</f>
        <v>0.2</v>
      </c>
      <c r="BC133" s="204">
        <v>1</v>
      </c>
      <c r="BD133" s="407">
        <f t="shared" si="149"/>
        <v>100</v>
      </c>
      <c r="BE133" s="408">
        <f>BD133*0.005</f>
        <v>0.5</v>
      </c>
      <c r="BF133" s="204">
        <v>1</v>
      </c>
      <c r="BG133" s="204">
        <v>0</v>
      </c>
      <c r="BH133" s="204">
        <v>0</v>
      </c>
      <c r="BI133" s="272" t="str">
        <f t="shared" si="139"/>
        <v>B</v>
      </c>
      <c r="BJ133" s="247">
        <f t="shared" si="140"/>
        <v>75</v>
      </c>
      <c r="BK133" s="90">
        <f t="shared" si="141"/>
        <v>2.25</v>
      </c>
      <c r="BL133" s="406">
        <v>136</v>
      </c>
      <c r="BM133" s="413">
        <f t="shared" si="142"/>
        <v>15.943728018757328</v>
      </c>
      <c r="BN133" s="414">
        <f t="shared" si="143"/>
        <v>20</v>
      </c>
      <c r="BO133" s="415">
        <f t="shared" si="144"/>
        <v>0.6</v>
      </c>
      <c r="BP133" s="416">
        <v>0</v>
      </c>
      <c r="BQ133" s="417">
        <f t="shared" si="145"/>
        <v>33.333333333333336</v>
      </c>
      <c r="BR133" s="415">
        <f t="shared" si="146"/>
        <v>0.33333333333333337</v>
      </c>
      <c r="BS133" s="350">
        <f t="shared" si="147"/>
        <v>8.1116222930187991</v>
      </c>
    </row>
    <row r="134" spans="1:71" x14ac:dyDescent="0.6">
      <c r="A134" s="214" t="s">
        <v>1672</v>
      </c>
      <c r="B134" s="13" t="s">
        <v>2113</v>
      </c>
      <c r="C134" s="219" t="s">
        <v>1673</v>
      </c>
      <c r="D134" s="14" t="s">
        <v>203</v>
      </c>
      <c r="E134" s="223" t="s">
        <v>617</v>
      </c>
      <c r="F134" s="223" t="s">
        <v>1674</v>
      </c>
      <c r="G134" s="224">
        <v>28913</v>
      </c>
      <c r="H134" s="223" t="s">
        <v>830</v>
      </c>
      <c r="I134" s="223" t="s">
        <v>1675</v>
      </c>
      <c r="J134" s="223" t="s">
        <v>1676</v>
      </c>
      <c r="K134" s="223" t="s">
        <v>690</v>
      </c>
      <c r="L134" s="225">
        <v>18848886743</v>
      </c>
      <c r="M134" s="226">
        <v>6192868704</v>
      </c>
      <c r="N134" s="226">
        <v>12656018039</v>
      </c>
      <c r="O134" s="226">
        <v>17458293610</v>
      </c>
      <c r="P134" s="226">
        <v>1010874359</v>
      </c>
      <c r="Q134" s="226">
        <v>1064689936</v>
      </c>
      <c r="R134" s="226">
        <v>865838207</v>
      </c>
      <c r="S134" s="405">
        <v>0</v>
      </c>
      <c r="T134" s="405">
        <v>0</v>
      </c>
      <c r="U134" s="406">
        <v>0</v>
      </c>
      <c r="V134" s="406">
        <v>0</v>
      </c>
      <c r="W134" s="407">
        <f>SUM(S134:V134)</f>
        <v>0</v>
      </c>
      <c r="X134" s="407">
        <f>IF(W134=0, 100, IF(W134=1, 80, IF(W134=2, 60, IF(W134=3, 40, IF(W134=4, 20)))))</f>
        <v>100</v>
      </c>
      <c r="Y134" s="408">
        <f>X134*0.03</f>
        <v>3</v>
      </c>
      <c r="Z134" s="444" t="s">
        <v>3368</v>
      </c>
      <c r="AA134" s="442">
        <v>0</v>
      </c>
      <c r="AB134" s="406">
        <v>1</v>
      </c>
      <c r="AC134" s="406">
        <v>0</v>
      </c>
      <c r="AD134" s="407">
        <f>SUM(AA134:AC134)</f>
        <v>1</v>
      </c>
      <c r="AE134" s="364" t="str">
        <f>IF(AD134&gt;=1,"100","50")</f>
        <v>100</v>
      </c>
      <c r="AF134" s="349">
        <f>AE134*0.005</f>
        <v>0.5</v>
      </c>
      <c r="AG134" s="154">
        <v>11935</v>
      </c>
      <c r="AH134" s="421"/>
      <c r="AI134" s="409">
        <f t="shared" si="132"/>
        <v>0</v>
      </c>
      <c r="AJ134" s="409">
        <f t="shared" si="133"/>
        <v>25</v>
      </c>
      <c r="AK134" s="408">
        <f>AJ134*0.01</f>
        <v>0.25</v>
      </c>
      <c r="AL134" s="423"/>
      <c r="AM134" s="424">
        <v>0</v>
      </c>
      <c r="AN134" s="365">
        <f t="shared" si="148"/>
        <v>25</v>
      </c>
      <c r="AO134" s="320">
        <f>AN134*0.01</f>
        <v>0.25</v>
      </c>
      <c r="AP134" s="277">
        <f>_xlfn.XLOOKUP(C134, '1.건전성'!C:C, '1.건전성'!BE:BE)</f>
        <v>230364798</v>
      </c>
      <c r="AQ134" s="277">
        <f>_xlfn.XLOOKUP(C134, '1.건전성'!C:C, '1.건전성'!BF:BF)</f>
        <v>20013260</v>
      </c>
      <c r="AR134" s="410">
        <f t="shared" si="134"/>
        <v>250378058</v>
      </c>
      <c r="AS134" s="366">
        <f t="shared" si="130"/>
        <v>1.434149657424624</v>
      </c>
      <c r="AT134" s="366">
        <f t="shared" si="135"/>
        <v>25.7041329076065</v>
      </c>
      <c r="AU134" s="321">
        <f t="shared" si="136"/>
        <v>0.25704132907606503</v>
      </c>
      <c r="AV134" s="15">
        <v>62940705</v>
      </c>
      <c r="AW134" s="361">
        <f t="shared" si="131"/>
        <v>0.36052037161265271</v>
      </c>
      <c r="AX134" s="361">
        <f t="shared" si="137"/>
        <v>26.973639178883733</v>
      </c>
      <c r="AY134" s="321">
        <f>AX134*0.005</f>
        <v>0.13486819589441867</v>
      </c>
      <c r="AZ134" s="411">
        <v>12.6</v>
      </c>
      <c r="BA134" s="412">
        <f t="shared" si="138"/>
        <v>100</v>
      </c>
      <c r="BB134" s="408">
        <f>BA134*0.005</f>
        <v>0.5</v>
      </c>
      <c r="BC134" s="204">
        <v>1</v>
      </c>
      <c r="BD134" s="407">
        <f t="shared" si="149"/>
        <v>100</v>
      </c>
      <c r="BE134" s="408">
        <f>BD134*0.005</f>
        <v>0.5</v>
      </c>
      <c r="BF134" s="204">
        <v>0</v>
      </c>
      <c r="BG134" s="204">
        <v>1</v>
      </c>
      <c r="BH134" s="204">
        <v>0</v>
      </c>
      <c r="BI134" s="272" t="str">
        <f t="shared" si="139"/>
        <v>C</v>
      </c>
      <c r="BJ134" s="247">
        <f t="shared" si="140"/>
        <v>50</v>
      </c>
      <c r="BK134" s="90">
        <f t="shared" si="141"/>
        <v>1.5</v>
      </c>
      <c r="BL134" s="406">
        <v>935</v>
      </c>
      <c r="BM134" s="413">
        <f t="shared" si="142"/>
        <v>7.8341013824884786</v>
      </c>
      <c r="BN134" s="414">
        <f t="shared" si="143"/>
        <v>20</v>
      </c>
      <c r="BO134" s="415">
        <f t="shared" si="144"/>
        <v>0.6</v>
      </c>
      <c r="BP134" s="416">
        <v>0</v>
      </c>
      <c r="BQ134" s="417">
        <f t="shared" si="145"/>
        <v>33.333333333333336</v>
      </c>
      <c r="BR134" s="415">
        <f t="shared" si="146"/>
        <v>0.33333333333333337</v>
      </c>
      <c r="BS134" s="350">
        <f t="shared" si="147"/>
        <v>7.8252428583038167</v>
      </c>
    </row>
    <row r="135" spans="1:71" x14ac:dyDescent="0.6">
      <c r="A135" s="214" t="s">
        <v>2114</v>
      </c>
      <c r="B135" s="1" t="s">
        <v>2115</v>
      </c>
      <c r="C135" s="227" t="s">
        <v>1677</v>
      </c>
      <c r="D135" s="6" t="s">
        <v>285</v>
      </c>
      <c r="E135" s="228" t="s">
        <v>171</v>
      </c>
      <c r="F135" s="228" t="s">
        <v>1678</v>
      </c>
      <c r="G135" s="229">
        <v>41991</v>
      </c>
      <c r="H135" s="228" t="s">
        <v>830</v>
      </c>
      <c r="I135" s="228" t="s">
        <v>1679</v>
      </c>
      <c r="J135" s="228" t="s">
        <v>1680</v>
      </c>
      <c r="K135" s="228" t="s">
        <v>91</v>
      </c>
      <c r="L135" s="9">
        <v>39636329822</v>
      </c>
      <c r="M135" s="9">
        <v>15712704458</v>
      </c>
      <c r="N135" s="9">
        <v>23923625364</v>
      </c>
      <c r="O135" s="9">
        <v>26406560657</v>
      </c>
      <c r="P135" s="9">
        <v>939411977</v>
      </c>
      <c r="Q135" s="9">
        <v>1886089047</v>
      </c>
      <c r="R135" s="9">
        <v>1461807709</v>
      </c>
      <c r="S135" s="405">
        <v>1</v>
      </c>
      <c r="T135" s="405">
        <v>0</v>
      </c>
      <c r="U135" s="406">
        <v>0</v>
      </c>
      <c r="V135" s="406">
        <v>0</v>
      </c>
      <c r="W135" s="407">
        <f>SUM(S135:V135)</f>
        <v>1</v>
      </c>
      <c r="X135" s="407">
        <f>IF(W135=0, 100, IF(W135=1, 80, IF(W135=2, 60, IF(W135=3, 40, IF(W135=4, 20)))))</f>
        <v>80</v>
      </c>
      <c r="Y135" s="408">
        <f>X135*0.03</f>
        <v>2.4</v>
      </c>
      <c r="Z135" s="444" t="s">
        <v>3369</v>
      </c>
      <c r="AA135" s="442">
        <v>1</v>
      </c>
      <c r="AB135" s="406">
        <v>1</v>
      </c>
      <c r="AC135" s="406">
        <v>1</v>
      </c>
      <c r="AD135" s="407">
        <f>SUM(AA135:AC135)</f>
        <v>3</v>
      </c>
      <c r="AE135" s="364" t="str">
        <f>IF(AD135&gt;=1,"100","50")</f>
        <v>100</v>
      </c>
      <c r="AF135" s="349">
        <f>AE135*0.005</f>
        <v>0.5</v>
      </c>
      <c r="AG135" s="154">
        <v>9174</v>
      </c>
      <c r="AH135" s="421"/>
      <c r="AI135" s="409">
        <f t="shared" si="132"/>
        <v>0</v>
      </c>
      <c r="AJ135" s="409">
        <f t="shared" si="133"/>
        <v>25</v>
      </c>
      <c r="AK135" s="408">
        <f>AJ135*0.01</f>
        <v>0.25</v>
      </c>
      <c r="AL135" s="423"/>
      <c r="AM135" s="424">
        <v>0</v>
      </c>
      <c r="AN135" s="365">
        <f t="shared" si="148"/>
        <v>25</v>
      </c>
      <c r="AO135" s="320">
        <f>AN135*0.01</f>
        <v>0.25</v>
      </c>
      <c r="AP135" s="277">
        <f>_xlfn.XLOOKUP(C135, '1.건전성'!C:C, '1.건전성'!BE:BE)</f>
        <v>659449000</v>
      </c>
      <c r="AQ135" s="277">
        <f>_xlfn.XLOOKUP(C135, '1.건전성'!C:C, '1.건전성'!BF:BF)</f>
        <v>57910000</v>
      </c>
      <c r="AR135" s="410">
        <f t="shared" si="134"/>
        <v>717359000</v>
      </c>
      <c r="AS135" s="366">
        <f t="shared" si="130"/>
        <v>2.7165938393792244</v>
      </c>
      <c r="AT135" s="366">
        <f t="shared" si="135"/>
        <v>26.6707993764165</v>
      </c>
      <c r="AU135" s="321">
        <f t="shared" si="136"/>
        <v>0.26670799376416499</v>
      </c>
      <c r="AV135" s="15">
        <v>133576000</v>
      </c>
      <c r="AW135" s="361">
        <f t="shared" si="131"/>
        <v>0.50584398981391365</v>
      </c>
      <c r="AX135" s="361">
        <f t="shared" si="137"/>
        <v>28.074575680408437</v>
      </c>
      <c r="AY135" s="321">
        <f>AX135*0.005</f>
        <v>0.14037287840204218</v>
      </c>
      <c r="AZ135" s="411">
        <v>12.4</v>
      </c>
      <c r="BA135" s="412">
        <f t="shared" si="138"/>
        <v>100</v>
      </c>
      <c r="BB135" s="408">
        <f>BA135*0.005</f>
        <v>0.5</v>
      </c>
      <c r="BC135" s="204">
        <v>1</v>
      </c>
      <c r="BD135" s="407">
        <f t="shared" si="149"/>
        <v>100</v>
      </c>
      <c r="BE135" s="408">
        <f>BD135*0.005</f>
        <v>0.5</v>
      </c>
      <c r="BF135" s="204">
        <v>1</v>
      </c>
      <c r="BG135" s="204">
        <v>1</v>
      </c>
      <c r="BH135" s="204">
        <v>1</v>
      </c>
      <c r="BI135" s="272" t="str">
        <f t="shared" si="139"/>
        <v>D</v>
      </c>
      <c r="BJ135" s="247">
        <f t="shared" si="140"/>
        <v>25</v>
      </c>
      <c r="BK135" s="90">
        <f t="shared" si="141"/>
        <v>0.75</v>
      </c>
      <c r="BL135" s="406">
        <v>1420</v>
      </c>
      <c r="BM135" s="413">
        <f t="shared" si="142"/>
        <v>15.478526269893175</v>
      </c>
      <c r="BN135" s="414">
        <f t="shared" si="143"/>
        <v>20</v>
      </c>
      <c r="BO135" s="415">
        <f t="shared" si="144"/>
        <v>0.6</v>
      </c>
      <c r="BP135" s="416">
        <v>0.46</v>
      </c>
      <c r="BQ135" s="417">
        <f t="shared" si="145"/>
        <v>66.666666666666671</v>
      </c>
      <c r="BR135" s="415">
        <f t="shared" si="146"/>
        <v>0.66666666666666674</v>
      </c>
      <c r="BS135" s="350">
        <f t="shared" si="147"/>
        <v>6.8237475388328734</v>
      </c>
    </row>
    <row r="136" spans="1:71" x14ac:dyDescent="0.6">
      <c r="A136" s="214" t="s">
        <v>406</v>
      </c>
      <c r="B136" s="13" t="s">
        <v>2116</v>
      </c>
      <c r="C136" s="219" t="s">
        <v>24</v>
      </c>
      <c r="D136" s="221" t="s">
        <v>481</v>
      </c>
      <c r="E136" s="230" t="s">
        <v>704</v>
      </c>
      <c r="F136" s="230" t="s">
        <v>270</v>
      </c>
      <c r="G136" s="231">
        <v>40310</v>
      </c>
      <c r="H136" s="230" t="s">
        <v>830</v>
      </c>
      <c r="I136" s="230" t="s">
        <v>711</v>
      </c>
      <c r="J136" s="230" t="s">
        <v>1185</v>
      </c>
      <c r="K136" s="230" t="s">
        <v>91</v>
      </c>
      <c r="L136" s="232">
        <v>281498132000</v>
      </c>
      <c r="M136" s="233">
        <v>263811626000</v>
      </c>
      <c r="N136" s="233">
        <v>17686506000</v>
      </c>
      <c r="O136" s="233">
        <v>34485080000</v>
      </c>
      <c r="P136" s="233">
        <v>214616000</v>
      </c>
      <c r="Q136" s="233">
        <v>784965000</v>
      </c>
      <c r="R136" s="233">
        <v>616696000</v>
      </c>
      <c r="S136" s="275" t="s">
        <v>2326</v>
      </c>
      <c r="T136" s="275" t="s">
        <v>2326</v>
      </c>
      <c r="U136" s="275" t="s">
        <v>2326</v>
      </c>
      <c r="V136" s="275" t="s">
        <v>2326</v>
      </c>
      <c r="W136" s="275" t="s">
        <v>2326</v>
      </c>
      <c r="X136" s="275" t="s">
        <v>2326</v>
      </c>
      <c r="Y136" s="276"/>
      <c r="Z136" s="275" t="s">
        <v>2326</v>
      </c>
      <c r="AA136" s="275" t="s">
        <v>2326</v>
      </c>
      <c r="AB136" s="275" t="s">
        <v>2326</v>
      </c>
      <c r="AC136" s="275" t="s">
        <v>2326</v>
      </c>
      <c r="AD136" s="275" t="s">
        <v>2326</v>
      </c>
      <c r="AE136" s="275" t="s">
        <v>2326</v>
      </c>
      <c r="AF136" s="275"/>
      <c r="AG136" s="154">
        <v>5224</v>
      </c>
      <c r="AH136" s="421"/>
      <c r="AI136" s="409">
        <f t="shared" si="132"/>
        <v>0</v>
      </c>
      <c r="AJ136" s="409">
        <f t="shared" si="133"/>
        <v>25</v>
      </c>
      <c r="AK136" s="418">
        <f>AJ136*0.02</f>
        <v>0.5</v>
      </c>
      <c r="AL136" s="423"/>
      <c r="AM136" s="424">
        <v>0</v>
      </c>
      <c r="AN136" s="365">
        <f t="shared" si="148"/>
        <v>25</v>
      </c>
      <c r="AO136" s="322">
        <f>AN136*0.02</f>
        <v>0.5</v>
      </c>
      <c r="AP136" s="277">
        <f>_xlfn.XLOOKUP(C136, '1.건전성'!C:C, '1.건전성'!BE:BE)</f>
        <v>577327000</v>
      </c>
      <c r="AQ136" s="277">
        <f>_xlfn.XLOOKUP(C136, '1.건전성'!C:C, '1.건전성'!BF:BF)</f>
        <v>56198000</v>
      </c>
      <c r="AR136" s="410">
        <f t="shared" si="134"/>
        <v>633525000</v>
      </c>
      <c r="AS136" s="366">
        <f t="shared" si="130"/>
        <v>1.8370988265069994</v>
      </c>
      <c r="AT136" s="366">
        <f t="shared" si="135"/>
        <v>26.007863437065577</v>
      </c>
      <c r="AU136" s="321">
        <f t="shared" si="136"/>
        <v>0.26007863437065576</v>
      </c>
      <c r="AV136" s="15">
        <v>93888000</v>
      </c>
      <c r="AW136" s="361">
        <f t="shared" si="131"/>
        <v>0.27225687166739937</v>
      </c>
      <c r="AX136" s="361">
        <f t="shared" si="137"/>
        <v>26.304976300510603</v>
      </c>
      <c r="AY136" s="348">
        <f>AX136*0.01</f>
        <v>0.26304976300510602</v>
      </c>
      <c r="AZ136" s="411">
        <v>16.899999999999999</v>
      </c>
      <c r="BA136" s="412">
        <f t="shared" si="138"/>
        <v>100</v>
      </c>
      <c r="BB136" s="418">
        <f>BA136*0.01</f>
        <v>1</v>
      </c>
      <c r="BC136" s="204">
        <v>1</v>
      </c>
      <c r="BD136" s="407">
        <f t="shared" si="149"/>
        <v>100</v>
      </c>
      <c r="BE136" s="418">
        <f>BD136*0.01</f>
        <v>1</v>
      </c>
      <c r="BF136" s="204">
        <v>1</v>
      </c>
      <c r="BG136" s="204">
        <v>1</v>
      </c>
      <c r="BH136" s="204">
        <v>0</v>
      </c>
      <c r="BI136" s="272" t="str">
        <f t="shared" si="139"/>
        <v>C</v>
      </c>
      <c r="BJ136" s="247">
        <f t="shared" si="140"/>
        <v>50</v>
      </c>
      <c r="BK136" s="90">
        <f t="shared" si="141"/>
        <v>1.5</v>
      </c>
      <c r="BL136" s="406">
        <v>281</v>
      </c>
      <c r="BM136" s="413">
        <f t="shared" si="142"/>
        <v>5.3790199081163861</v>
      </c>
      <c r="BN136" s="414">
        <f t="shared" si="143"/>
        <v>40</v>
      </c>
      <c r="BO136" s="415">
        <f t="shared" si="144"/>
        <v>1.2</v>
      </c>
      <c r="BP136" s="416">
        <v>0.69</v>
      </c>
      <c r="BQ136" s="417">
        <f t="shared" si="145"/>
        <v>66.666666666666671</v>
      </c>
      <c r="BR136" s="415">
        <f t="shared" si="146"/>
        <v>0.66666666666666674</v>
      </c>
      <c r="BS136" s="350">
        <f t="shared" si="147"/>
        <v>6.8897950640424295</v>
      </c>
    </row>
    <row r="137" spans="1:71" x14ac:dyDescent="0.6">
      <c r="A137" s="214" t="s">
        <v>372</v>
      </c>
      <c r="B137" s="13" t="s">
        <v>2117</v>
      </c>
      <c r="C137" s="219" t="s">
        <v>470</v>
      </c>
      <c r="D137" s="216" t="s">
        <v>285</v>
      </c>
      <c r="E137" s="217" t="s">
        <v>1034</v>
      </c>
      <c r="F137" s="217" t="s">
        <v>380</v>
      </c>
      <c r="G137" s="218">
        <v>41957</v>
      </c>
      <c r="H137" s="217" t="s">
        <v>830</v>
      </c>
      <c r="I137" s="217" t="s">
        <v>832</v>
      </c>
      <c r="J137" s="217" t="s">
        <v>1178</v>
      </c>
      <c r="K137" s="217" t="s">
        <v>91</v>
      </c>
      <c r="L137" s="220">
        <v>7628899434</v>
      </c>
      <c r="M137" s="206">
        <v>1614217740</v>
      </c>
      <c r="N137" s="206">
        <v>6014681694</v>
      </c>
      <c r="O137" s="206">
        <v>5174554118</v>
      </c>
      <c r="P137" s="206">
        <v>296153499</v>
      </c>
      <c r="Q137" s="206">
        <v>482313799</v>
      </c>
      <c r="R137" s="206">
        <v>530145587</v>
      </c>
      <c r="S137" s="405">
        <v>0</v>
      </c>
      <c r="T137" s="405">
        <v>0</v>
      </c>
      <c r="U137" s="406">
        <v>0</v>
      </c>
      <c r="V137" s="406">
        <v>0</v>
      </c>
      <c r="W137" s="407">
        <f>SUM(S137:V137)</f>
        <v>0</v>
      </c>
      <c r="X137" s="407">
        <f>IF(W137=0, 100, IF(W137=1, 80, IF(W137=2, 60, IF(W137=3, 40, IF(W137=4, 20)))))</f>
        <v>100</v>
      </c>
      <c r="Y137" s="408">
        <f>X137*0.03</f>
        <v>3</v>
      </c>
      <c r="Z137" s="444" t="s">
        <v>3370</v>
      </c>
      <c r="AA137" s="442">
        <v>0</v>
      </c>
      <c r="AB137" s="406">
        <v>1</v>
      </c>
      <c r="AC137" s="406">
        <v>0</v>
      </c>
      <c r="AD137" s="407">
        <f>SUM(AA137:AC137)</f>
        <v>1</v>
      </c>
      <c r="AE137" s="364" t="str">
        <f>IF(AD137&gt;=1,"100","50")</f>
        <v>100</v>
      </c>
      <c r="AF137" s="349">
        <f>AE137*0.005</f>
        <v>0.5</v>
      </c>
      <c r="AG137" s="154">
        <v>11593</v>
      </c>
      <c r="AH137" s="154">
        <v>31046757</v>
      </c>
      <c r="AI137" s="409">
        <f t="shared" si="132"/>
        <v>2678.0606400414044</v>
      </c>
      <c r="AJ137" s="409">
        <f t="shared" si="133"/>
        <v>100</v>
      </c>
      <c r="AK137" s="408">
        <f>AJ137*0.01</f>
        <v>1</v>
      </c>
      <c r="AL137" s="45">
        <v>23050158</v>
      </c>
      <c r="AM137" s="361">
        <f t="shared" si="150"/>
        <v>34.692165667584582</v>
      </c>
      <c r="AN137" s="365">
        <f t="shared" si="148"/>
        <v>31.504781062672109</v>
      </c>
      <c r="AO137" s="320">
        <f>AN137*0.01</f>
        <v>0.3150478106267211</v>
      </c>
      <c r="AP137" s="277">
        <f>_xlfn.XLOOKUP(C137, '1.건전성'!C:C, '1.건전성'!BE:BE)</f>
        <v>296046458</v>
      </c>
      <c r="AQ137" s="277">
        <f>_xlfn.XLOOKUP(C137, '1.건전성'!C:C, '1.건전성'!BF:BF)</f>
        <v>27943128</v>
      </c>
      <c r="AR137" s="410">
        <f t="shared" si="134"/>
        <v>323989586</v>
      </c>
      <c r="AS137" s="366">
        <f t="shared" si="130"/>
        <v>6.2612077990059589</v>
      </c>
      <c r="AT137" s="366">
        <f t="shared" si="135"/>
        <v>29.34261894397434</v>
      </c>
      <c r="AU137" s="321">
        <f t="shared" si="136"/>
        <v>0.29342618943974341</v>
      </c>
      <c r="AV137" s="15">
        <v>56410151</v>
      </c>
      <c r="AW137" s="361">
        <f t="shared" si="131"/>
        <v>1.090145154802302</v>
      </c>
      <c r="AX137" s="361">
        <f t="shared" si="137"/>
        <v>32.501099657593194</v>
      </c>
      <c r="AY137" s="321">
        <f>AX137*0.005</f>
        <v>0.16250549828796598</v>
      </c>
      <c r="AZ137" s="411">
        <v>15.6</v>
      </c>
      <c r="BA137" s="412">
        <f t="shared" si="138"/>
        <v>100</v>
      </c>
      <c r="BB137" s="408">
        <f>BA137*0.005</f>
        <v>0.5</v>
      </c>
      <c r="BC137" s="204">
        <v>1</v>
      </c>
      <c r="BD137" s="407">
        <f t="shared" si="149"/>
        <v>100</v>
      </c>
      <c r="BE137" s="408">
        <f>BD137*0.005</f>
        <v>0.5</v>
      </c>
      <c r="BF137" s="204">
        <v>0</v>
      </c>
      <c r="BG137" s="204">
        <v>1</v>
      </c>
      <c r="BH137" s="204">
        <v>0</v>
      </c>
      <c r="BI137" s="272" t="str">
        <f t="shared" si="139"/>
        <v>C</v>
      </c>
      <c r="BJ137" s="247">
        <f t="shared" si="140"/>
        <v>50</v>
      </c>
      <c r="BK137" s="90">
        <f t="shared" si="141"/>
        <v>1.5</v>
      </c>
      <c r="BL137" s="406">
        <v>36</v>
      </c>
      <c r="BM137" s="413">
        <f t="shared" si="142"/>
        <v>0.31053221771758815</v>
      </c>
      <c r="BN137" s="414">
        <f t="shared" si="143"/>
        <v>100</v>
      </c>
      <c r="BO137" s="415">
        <f t="shared" si="144"/>
        <v>3</v>
      </c>
      <c r="BP137" s="416">
        <v>0.19</v>
      </c>
      <c r="BQ137" s="417">
        <f t="shared" si="145"/>
        <v>66.666666666666671</v>
      </c>
      <c r="BR137" s="415">
        <f t="shared" si="146"/>
        <v>0.66666666666666674</v>
      </c>
      <c r="BS137" s="350">
        <f t="shared" si="147"/>
        <v>11.437646165021096</v>
      </c>
    </row>
    <row r="138" spans="1:71" x14ac:dyDescent="0.6">
      <c r="A138" s="214" t="s">
        <v>1681</v>
      </c>
      <c r="B138" s="13" t="s">
        <v>2118</v>
      </c>
      <c r="C138" s="219" t="s">
        <v>884</v>
      </c>
      <c r="D138" s="14" t="s">
        <v>202</v>
      </c>
      <c r="E138" s="217" t="s">
        <v>1167</v>
      </c>
      <c r="F138" s="217" t="s">
        <v>658</v>
      </c>
      <c r="G138" s="218">
        <v>35423</v>
      </c>
      <c r="H138" s="217" t="s">
        <v>830</v>
      </c>
      <c r="I138" s="217" t="s">
        <v>1682</v>
      </c>
      <c r="J138" s="217" t="s">
        <v>384</v>
      </c>
      <c r="K138" s="217" t="s">
        <v>91</v>
      </c>
      <c r="L138" s="220">
        <v>5165940385</v>
      </c>
      <c r="M138" s="206">
        <v>3460358420</v>
      </c>
      <c r="N138" s="206">
        <v>1705581965</v>
      </c>
      <c r="O138" s="206">
        <v>6673315540</v>
      </c>
      <c r="P138" s="206">
        <v>504880672</v>
      </c>
      <c r="Q138" s="206">
        <v>403831051</v>
      </c>
      <c r="R138" s="206">
        <v>307787439</v>
      </c>
      <c r="S138" s="405">
        <v>0</v>
      </c>
      <c r="T138" s="405">
        <v>0</v>
      </c>
      <c r="U138" s="406">
        <v>0</v>
      </c>
      <c r="V138" s="406">
        <v>0</v>
      </c>
      <c r="W138" s="407">
        <f>SUM(S138:V138)</f>
        <v>0</v>
      </c>
      <c r="X138" s="407">
        <f>IF(W138=0, 100, IF(W138=1, 80, IF(W138=2, 60, IF(W138=3, 40, IF(W138=4, 20)))))</f>
        <v>100</v>
      </c>
      <c r="Y138" s="408">
        <f>X138*0.03</f>
        <v>3</v>
      </c>
      <c r="Z138" s="444" t="s">
        <v>3371</v>
      </c>
      <c r="AA138" s="442">
        <v>1</v>
      </c>
      <c r="AB138" s="406">
        <v>1</v>
      </c>
      <c r="AC138" s="406">
        <v>1</v>
      </c>
      <c r="AD138" s="407">
        <f>SUM(AA138:AC138)</f>
        <v>3</v>
      </c>
      <c r="AE138" s="364" t="str">
        <f>IF(AD138&gt;=1,"100","50")</f>
        <v>100</v>
      </c>
      <c r="AF138" s="349">
        <f>AE138*0.005</f>
        <v>0.5</v>
      </c>
      <c r="AG138" s="154">
        <v>5612</v>
      </c>
      <c r="AH138" s="154">
        <v>4097146</v>
      </c>
      <c r="AI138" s="409">
        <f t="shared" si="132"/>
        <v>730.06878118317888</v>
      </c>
      <c r="AJ138" s="409">
        <f t="shared" si="133"/>
        <v>100</v>
      </c>
      <c r="AK138" s="408">
        <f>AJ138*0.01</f>
        <v>1</v>
      </c>
      <c r="AL138" s="45">
        <v>3102336</v>
      </c>
      <c r="AM138" s="361">
        <f t="shared" si="150"/>
        <v>32.066481515864176</v>
      </c>
      <c r="AN138" s="365">
        <f t="shared" si="148"/>
        <v>31.012465284224533</v>
      </c>
      <c r="AO138" s="320">
        <f>AN138*0.01</f>
        <v>0.31012465284224533</v>
      </c>
      <c r="AP138" s="277">
        <f>_xlfn.XLOOKUP(C138, '1.건전성'!C:C, '1.건전성'!BE:BE)</f>
        <v>181720241</v>
      </c>
      <c r="AQ138" s="277">
        <f>_xlfn.XLOOKUP(C138, '1.건전성'!C:C, '1.건전성'!BF:BF)</f>
        <v>16112395</v>
      </c>
      <c r="AR138" s="410">
        <f t="shared" si="134"/>
        <v>197832636</v>
      </c>
      <c r="AS138" s="366">
        <f t="shared" si="130"/>
        <v>2.9645329194189429</v>
      </c>
      <c r="AT138" s="366">
        <f t="shared" si="135"/>
        <v>26.857688130215283</v>
      </c>
      <c r="AU138" s="321">
        <f t="shared" si="136"/>
        <v>0.26857688130215285</v>
      </c>
      <c r="AV138" s="15">
        <v>163873892</v>
      </c>
      <c r="AW138" s="361">
        <f t="shared" si="131"/>
        <v>2.455659274879725</v>
      </c>
      <c r="AX138" s="361">
        <f t="shared" si="137"/>
        <v>42.845903597573674</v>
      </c>
      <c r="AY138" s="321">
        <f>AX138*0.005</f>
        <v>0.21422951798786838</v>
      </c>
      <c r="AZ138" s="411">
        <v>10.1</v>
      </c>
      <c r="BA138" s="412">
        <f t="shared" si="138"/>
        <v>100</v>
      </c>
      <c r="BB138" s="408">
        <f>BA138*0.005</f>
        <v>0.5</v>
      </c>
      <c r="BC138" s="204">
        <v>1</v>
      </c>
      <c r="BD138" s="407">
        <f t="shared" si="149"/>
        <v>100</v>
      </c>
      <c r="BE138" s="408">
        <f>BD138*0.005</f>
        <v>0.5</v>
      </c>
      <c r="BF138" s="204">
        <v>0</v>
      </c>
      <c r="BG138" s="204">
        <v>1</v>
      </c>
      <c r="BH138" s="204">
        <v>0</v>
      </c>
      <c r="BI138" s="272" t="str">
        <f t="shared" si="139"/>
        <v>C</v>
      </c>
      <c r="BJ138" s="247">
        <f t="shared" si="140"/>
        <v>50</v>
      </c>
      <c r="BK138" s="90">
        <f t="shared" si="141"/>
        <v>1.5</v>
      </c>
      <c r="BL138" s="406">
        <v>1543</v>
      </c>
      <c r="BM138" s="413">
        <f t="shared" si="142"/>
        <v>27.494654312188167</v>
      </c>
      <c r="BN138" s="414">
        <f t="shared" si="143"/>
        <v>20</v>
      </c>
      <c r="BO138" s="415">
        <f t="shared" si="144"/>
        <v>0.6</v>
      </c>
      <c r="BP138" s="416">
        <v>0.23</v>
      </c>
      <c r="BQ138" s="417">
        <f t="shared" si="145"/>
        <v>66.666666666666671</v>
      </c>
      <c r="BR138" s="415">
        <f t="shared" si="146"/>
        <v>0.66666666666666674</v>
      </c>
      <c r="BS138" s="350">
        <f t="shared" si="147"/>
        <v>9.0595977187989316</v>
      </c>
    </row>
    <row r="139" spans="1:71" x14ac:dyDescent="0.6">
      <c r="A139" s="214" t="s">
        <v>1683</v>
      </c>
      <c r="B139" s="13" t="s">
        <v>2119</v>
      </c>
      <c r="C139" s="219" t="s">
        <v>1684</v>
      </c>
      <c r="D139" s="14" t="s">
        <v>202</v>
      </c>
      <c r="E139" s="217" t="s">
        <v>205</v>
      </c>
      <c r="F139" s="217" t="s">
        <v>1685</v>
      </c>
      <c r="G139" s="218">
        <v>28913</v>
      </c>
      <c r="H139" s="217" t="s">
        <v>830</v>
      </c>
      <c r="I139" s="217" t="s">
        <v>1686</v>
      </c>
      <c r="J139" s="217" t="s">
        <v>1687</v>
      </c>
      <c r="K139" s="217" t="s">
        <v>690</v>
      </c>
      <c r="L139" s="220">
        <v>7910256817</v>
      </c>
      <c r="M139" s="206">
        <v>2124391740</v>
      </c>
      <c r="N139" s="206">
        <v>5785865077</v>
      </c>
      <c r="O139" s="206">
        <v>7244994321</v>
      </c>
      <c r="P139" s="206">
        <v>799695030</v>
      </c>
      <c r="Q139" s="206">
        <v>929802982</v>
      </c>
      <c r="R139" s="206">
        <v>701357778</v>
      </c>
      <c r="S139" s="405">
        <v>0</v>
      </c>
      <c r="T139" s="405">
        <v>0</v>
      </c>
      <c r="U139" s="406">
        <v>0</v>
      </c>
      <c r="V139" s="406">
        <v>0</v>
      </c>
      <c r="W139" s="407">
        <f>SUM(S139:V139)</f>
        <v>0</v>
      </c>
      <c r="X139" s="407">
        <f>IF(W139=0, 100, IF(W139=1, 80, IF(W139=2, 60, IF(W139=3, 40, IF(W139=4, 20)))))</f>
        <v>100</v>
      </c>
      <c r="Y139" s="408">
        <f>X139*0.03</f>
        <v>3</v>
      </c>
      <c r="Z139" s="444" t="s">
        <v>3372</v>
      </c>
      <c r="AA139" s="442">
        <v>0</v>
      </c>
      <c r="AB139" s="406">
        <v>1</v>
      </c>
      <c r="AC139" s="406">
        <v>0</v>
      </c>
      <c r="AD139" s="407">
        <f>SUM(AA139:AC139)</f>
        <v>1</v>
      </c>
      <c r="AE139" s="364" t="str">
        <f>IF(AD139&gt;=1,"100","50")</f>
        <v>100</v>
      </c>
      <c r="AF139" s="349">
        <f>AE139*0.005</f>
        <v>0.5</v>
      </c>
      <c r="AG139" s="154">
        <v>12365</v>
      </c>
      <c r="AH139" s="154">
        <v>9112840</v>
      </c>
      <c r="AI139" s="409">
        <f t="shared" si="132"/>
        <v>736.98665588354231</v>
      </c>
      <c r="AJ139" s="409">
        <f t="shared" si="133"/>
        <v>100</v>
      </c>
      <c r="AK139" s="408">
        <f>AJ139*0.01</f>
        <v>1</v>
      </c>
      <c r="AL139" s="45">
        <v>8379771</v>
      </c>
      <c r="AM139" s="361">
        <f t="shared" si="150"/>
        <v>8.7480791539530127</v>
      </c>
      <c r="AN139" s="365">
        <f t="shared" si="148"/>
        <v>26.640264841366189</v>
      </c>
      <c r="AO139" s="320">
        <f>AN139*0.01</f>
        <v>0.2664026484136619</v>
      </c>
      <c r="AP139" s="277">
        <f>_xlfn.XLOOKUP(C139, '1.건전성'!C:C, '1.건전성'!BE:BE)</f>
        <v>1226065136</v>
      </c>
      <c r="AQ139" s="277">
        <f>_xlfn.XLOOKUP(C139, '1.건전성'!C:C, '1.건전성'!BF:BF)</f>
        <v>81109493</v>
      </c>
      <c r="AR139" s="410">
        <f t="shared" si="134"/>
        <v>1307174629</v>
      </c>
      <c r="AS139" s="366">
        <f t="shared" si="130"/>
        <v>18.042452086002125</v>
      </c>
      <c r="AT139" s="366">
        <f t="shared" si="135"/>
        <v>38.222953833669948</v>
      </c>
      <c r="AU139" s="321">
        <f t="shared" si="136"/>
        <v>0.38222953833669948</v>
      </c>
      <c r="AV139" s="15">
        <v>32113682</v>
      </c>
      <c r="AW139" s="361">
        <f t="shared" si="131"/>
        <v>0.44325337712021096</v>
      </c>
      <c r="AX139" s="361">
        <f t="shared" si="137"/>
        <v>27.60040437212281</v>
      </c>
      <c r="AY139" s="321">
        <f>AX139*0.005</f>
        <v>0.13800202186061405</v>
      </c>
      <c r="AZ139" s="411">
        <v>14</v>
      </c>
      <c r="BA139" s="412">
        <f t="shared" si="138"/>
        <v>100</v>
      </c>
      <c r="BB139" s="408">
        <f>BA139*0.005</f>
        <v>0.5</v>
      </c>
      <c r="BC139" s="204">
        <v>1</v>
      </c>
      <c r="BD139" s="407">
        <f t="shared" si="149"/>
        <v>100</v>
      </c>
      <c r="BE139" s="408">
        <f>BD139*0.005</f>
        <v>0.5</v>
      </c>
      <c r="BF139" s="204">
        <v>0</v>
      </c>
      <c r="BG139" s="204">
        <v>1</v>
      </c>
      <c r="BH139" s="204">
        <v>1</v>
      </c>
      <c r="BI139" s="272" t="str">
        <f t="shared" si="139"/>
        <v>D</v>
      </c>
      <c r="BJ139" s="247">
        <f t="shared" si="140"/>
        <v>25</v>
      </c>
      <c r="BK139" s="90">
        <f t="shared" si="141"/>
        <v>0.75</v>
      </c>
      <c r="BL139" s="406">
        <v>415</v>
      </c>
      <c r="BM139" s="413">
        <f t="shared" si="142"/>
        <v>3.3562474727052165</v>
      </c>
      <c r="BN139" s="414">
        <f t="shared" si="143"/>
        <v>40</v>
      </c>
      <c r="BO139" s="415">
        <f t="shared" si="144"/>
        <v>1.2</v>
      </c>
      <c r="BP139" s="416">
        <v>0</v>
      </c>
      <c r="BQ139" s="417">
        <f t="shared" si="145"/>
        <v>33.333333333333336</v>
      </c>
      <c r="BR139" s="415">
        <f t="shared" si="146"/>
        <v>0.33333333333333337</v>
      </c>
      <c r="BS139" s="350">
        <f t="shared" si="147"/>
        <v>8.5699675419443082</v>
      </c>
    </row>
    <row r="140" spans="1:71" x14ac:dyDescent="0.6">
      <c r="A140" s="214" t="s">
        <v>1688</v>
      </c>
      <c r="B140" s="13" t="s">
        <v>2120</v>
      </c>
      <c r="C140" s="219" t="s">
        <v>1689</v>
      </c>
      <c r="D140" s="14" t="s">
        <v>202</v>
      </c>
      <c r="E140" s="217" t="s">
        <v>623</v>
      </c>
      <c r="F140" s="217" t="s">
        <v>1690</v>
      </c>
      <c r="G140" s="218">
        <v>27556</v>
      </c>
      <c r="H140" s="217" t="s">
        <v>830</v>
      </c>
      <c r="I140" s="217" t="s">
        <v>1691</v>
      </c>
      <c r="J140" s="217" t="s">
        <v>1692</v>
      </c>
      <c r="K140" s="217" t="s">
        <v>690</v>
      </c>
      <c r="L140" s="220">
        <v>260083750000</v>
      </c>
      <c r="M140" s="206">
        <v>50667559000</v>
      </c>
      <c r="N140" s="206">
        <v>209416191000</v>
      </c>
      <c r="O140" s="206">
        <v>211867483000</v>
      </c>
      <c r="P140" s="206">
        <v>25319329000</v>
      </c>
      <c r="Q140" s="206">
        <v>29691920000</v>
      </c>
      <c r="R140" s="206">
        <v>25418778000</v>
      </c>
      <c r="S140" s="405">
        <v>0</v>
      </c>
      <c r="T140" s="405">
        <v>0</v>
      </c>
      <c r="U140" s="406">
        <v>0</v>
      </c>
      <c r="V140" s="406">
        <v>0</v>
      </c>
      <c r="W140" s="407">
        <f>SUM(S140:V140)</f>
        <v>0</v>
      </c>
      <c r="X140" s="407">
        <f>IF(W140=0, 100, IF(W140=1, 80, IF(W140=2, 60, IF(W140=3, 40, IF(W140=4, 20)))))</f>
        <v>100</v>
      </c>
      <c r="Y140" s="408">
        <f>X140*0.03</f>
        <v>3</v>
      </c>
      <c r="Z140" s="444" t="s">
        <v>3373</v>
      </c>
      <c r="AA140" s="442">
        <v>1</v>
      </c>
      <c r="AB140" s="406">
        <v>1</v>
      </c>
      <c r="AC140" s="406">
        <v>1</v>
      </c>
      <c r="AD140" s="407">
        <f>SUM(AA140:AC140)</f>
        <v>3</v>
      </c>
      <c r="AE140" s="364" t="str">
        <f>IF(AD140&gt;=1,"100","50")</f>
        <v>100</v>
      </c>
      <c r="AF140" s="349">
        <f>AE140*0.005</f>
        <v>0.5</v>
      </c>
      <c r="AG140" s="154">
        <v>121404</v>
      </c>
      <c r="AH140" s="421"/>
      <c r="AI140" s="409">
        <f t="shared" si="132"/>
        <v>0</v>
      </c>
      <c r="AJ140" s="409">
        <f t="shared" si="133"/>
        <v>25</v>
      </c>
      <c r="AK140" s="408">
        <f>AJ140*0.01</f>
        <v>0.25</v>
      </c>
      <c r="AL140" s="423"/>
      <c r="AM140" s="424">
        <v>0</v>
      </c>
      <c r="AN140" s="365">
        <f t="shared" si="148"/>
        <v>25</v>
      </c>
      <c r="AO140" s="320">
        <f>AN140*0.01</f>
        <v>0.25</v>
      </c>
      <c r="AP140" s="277">
        <f>_xlfn.XLOOKUP(C140, '1.건전성'!C:C, '1.건전성'!BE:BE)</f>
        <v>2308767000</v>
      </c>
      <c r="AQ140" s="277">
        <f>_xlfn.XLOOKUP(C140, '1.건전성'!C:C, '1.건전성'!BF:BF)</f>
        <v>171358000</v>
      </c>
      <c r="AR140" s="410">
        <f t="shared" si="134"/>
        <v>2480125000</v>
      </c>
      <c r="AS140" s="366">
        <f t="shared" si="130"/>
        <v>1.170602003139859</v>
      </c>
      <c r="AT140" s="366">
        <f t="shared" si="135"/>
        <v>25.50547889683909</v>
      </c>
      <c r="AU140" s="321">
        <f t="shared" si="136"/>
        <v>0.2550547889683909</v>
      </c>
      <c r="AV140" s="15">
        <v>3220421000</v>
      </c>
      <c r="AW140" s="361">
        <f t="shared" si="131"/>
        <v>1.5200166417231662</v>
      </c>
      <c r="AX140" s="361">
        <f t="shared" si="137"/>
        <v>35.757701831236105</v>
      </c>
      <c r="AY140" s="321">
        <f>AX140*0.005</f>
        <v>0.17878850915618053</v>
      </c>
      <c r="AZ140" s="411">
        <v>12.5</v>
      </c>
      <c r="BA140" s="412">
        <f t="shared" si="138"/>
        <v>100</v>
      </c>
      <c r="BB140" s="408">
        <f>BA140*0.005</f>
        <v>0.5</v>
      </c>
      <c r="BC140" s="204">
        <v>0</v>
      </c>
      <c r="BD140" s="407">
        <f t="shared" si="149"/>
        <v>50</v>
      </c>
      <c r="BE140" s="408">
        <f>BD140*0.005</f>
        <v>0.25</v>
      </c>
      <c r="BF140" s="204">
        <v>1</v>
      </c>
      <c r="BG140" s="204">
        <v>1</v>
      </c>
      <c r="BH140" s="204">
        <v>1</v>
      </c>
      <c r="BI140" s="272" t="str">
        <f t="shared" si="139"/>
        <v>D</v>
      </c>
      <c r="BJ140" s="247">
        <f t="shared" si="140"/>
        <v>25</v>
      </c>
      <c r="BK140" s="90">
        <f t="shared" si="141"/>
        <v>0.75</v>
      </c>
      <c r="BL140" s="406">
        <v>577</v>
      </c>
      <c r="BM140" s="413">
        <f t="shared" si="142"/>
        <v>0.47527264340548914</v>
      </c>
      <c r="BN140" s="414">
        <f t="shared" si="143"/>
        <v>100</v>
      </c>
      <c r="BO140" s="415">
        <f t="shared" si="144"/>
        <v>3</v>
      </c>
      <c r="BP140" s="416">
        <v>0</v>
      </c>
      <c r="BQ140" s="417">
        <f t="shared" si="145"/>
        <v>33.333333333333336</v>
      </c>
      <c r="BR140" s="415">
        <f t="shared" si="146"/>
        <v>0.33333333333333337</v>
      </c>
      <c r="BS140" s="350">
        <f t="shared" si="147"/>
        <v>9.2671766314579056</v>
      </c>
    </row>
    <row r="141" spans="1:71" x14ac:dyDescent="0.6">
      <c r="A141" s="214" t="s">
        <v>531</v>
      </c>
      <c r="B141" s="13" t="s">
        <v>2121</v>
      </c>
      <c r="C141" s="219" t="s">
        <v>422</v>
      </c>
      <c r="D141" s="221" t="s">
        <v>350</v>
      </c>
      <c r="E141" s="217" t="s">
        <v>179</v>
      </c>
      <c r="F141" s="217" t="s">
        <v>993</v>
      </c>
      <c r="G141" s="218">
        <v>32230</v>
      </c>
      <c r="H141" s="217" t="s">
        <v>830</v>
      </c>
      <c r="I141" s="217" t="s">
        <v>756</v>
      </c>
      <c r="J141" s="217" t="s">
        <v>1174</v>
      </c>
      <c r="K141" s="217" t="s">
        <v>91</v>
      </c>
      <c r="L141" s="220">
        <v>47708236386</v>
      </c>
      <c r="M141" s="206">
        <v>41728539853</v>
      </c>
      <c r="N141" s="206">
        <v>5979696533</v>
      </c>
      <c r="O141" s="206">
        <v>13122029972</v>
      </c>
      <c r="P141" s="206">
        <v>522368891</v>
      </c>
      <c r="Q141" s="206">
        <v>514777360</v>
      </c>
      <c r="R141" s="206">
        <v>377508788</v>
      </c>
      <c r="S141" s="275" t="s">
        <v>2326</v>
      </c>
      <c r="T141" s="275" t="s">
        <v>2326</v>
      </c>
      <c r="U141" s="275" t="s">
        <v>2326</v>
      </c>
      <c r="V141" s="275" t="s">
        <v>2326</v>
      </c>
      <c r="W141" s="275" t="s">
        <v>2326</v>
      </c>
      <c r="X141" s="275" t="s">
        <v>2326</v>
      </c>
      <c r="Y141" s="276"/>
      <c r="Z141" s="275" t="s">
        <v>2326</v>
      </c>
      <c r="AA141" s="275" t="s">
        <v>2326</v>
      </c>
      <c r="AB141" s="275" t="s">
        <v>2326</v>
      </c>
      <c r="AC141" s="275" t="s">
        <v>2326</v>
      </c>
      <c r="AD141" s="275" t="s">
        <v>2326</v>
      </c>
      <c r="AE141" s="275" t="s">
        <v>2326</v>
      </c>
      <c r="AF141" s="275"/>
      <c r="AG141" s="154">
        <v>2589</v>
      </c>
      <c r="AH141" s="421"/>
      <c r="AI141" s="409">
        <f t="shared" si="132"/>
        <v>0</v>
      </c>
      <c r="AJ141" s="409">
        <f t="shared" si="133"/>
        <v>25</v>
      </c>
      <c r="AK141" s="418">
        <f>AJ141*0.02</f>
        <v>0.5</v>
      </c>
      <c r="AL141" s="423"/>
      <c r="AM141" s="424">
        <v>0</v>
      </c>
      <c r="AN141" s="365">
        <f t="shared" si="148"/>
        <v>25</v>
      </c>
      <c r="AO141" s="322">
        <f>AN141*0.02</f>
        <v>0.5</v>
      </c>
      <c r="AP141" s="277">
        <f>_xlfn.XLOOKUP(C141, '1.건전성'!C:C, '1.건전성'!BE:BE)</f>
        <v>297536274</v>
      </c>
      <c r="AQ141" s="277">
        <f>_xlfn.XLOOKUP(C141, '1.건전성'!C:C, '1.건전성'!BF:BF)</f>
        <v>24726783</v>
      </c>
      <c r="AR141" s="410">
        <f t="shared" si="134"/>
        <v>322263057</v>
      </c>
      <c r="AS141" s="366">
        <f t="shared" si="130"/>
        <v>2.4558933159553065</v>
      </c>
      <c r="AT141" s="366">
        <f t="shared" si="135"/>
        <v>26.474291444187418</v>
      </c>
      <c r="AU141" s="321">
        <f t="shared" si="136"/>
        <v>0.2647429144418742</v>
      </c>
      <c r="AV141" s="15">
        <v>74771795</v>
      </c>
      <c r="AW141" s="361">
        <f t="shared" si="131"/>
        <v>0.56981880973865529</v>
      </c>
      <c r="AX141" s="361">
        <f t="shared" si="137"/>
        <v>28.559233407111027</v>
      </c>
      <c r="AY141" s="348">
        <f>AX141*0.01</f>
        <v>0.28559233407111029</v>
      </c>
      <c r="AZ141" s="411">
        <v>11.6</v>
      </c>
      <c r="BA141" s="412">
        <f t="shared" si="138"/>
        <v>100</v>
      </c>
      <c r="BB141" s="418">
        <f>BA141*0.01</f>
        <v>1</v>
      </c>
      <c r="BC141" s="204">
        <v>1</v>
      </c>
      <c r="BD141" s="407">
        <f t="shared" si="149"/>
        <v>100</v>
      </c>
      <c r="BE141" s="418">
        <f>BD141*0.01</f>
        <v>1</v>
      </c>
      <c r="BF141" s="204">
        <v>1</v>
      </c>
      <c r="BG141" s="204">
        <v>1</v>
      </c>
      <c r="BH141" s="204">
        <v>0</v>
      </c>
      <c r="BI141" s="272" t="str">
        <f t="shared" si="139"/>
        <v>C</v>
      </c>
      <c r="BJ141" s="247">
        <f t="shared" si="140"/>
        <v>50</v>
      </c>
      <c r="BK141" s="90">
        <f t="shared" si="141"/>
        <v>1.5</v>
      </c>
      <c r="BL141" s="406">
        <v>267</v>
      </c>
      <c r="BM141" s="413">
        <f t="shared" si="142"/>
        <v>10.312862108922364</v>
      </c>
      <c r="BN141" s="414">
        <f t="shared" si="143"/>
        <v>20</v>
      </c>
      <c r="BO141" s="415">
        <f t="shared" si="144"/>
        <v>0.6</v>
      </c>
      <c r="BP141" s="416">
        <v>0.88</v>
      </c>
      <c r="BQ141" s="417">
        <f t="shared" si="145"/>
        <v>66.666666666666671</v>
      </c>
      <c r="BR141" s="415">
        <f t="shared" si="146"/>
        <v>0.66666666666666674</v>
      </c>
      <c r="BS141" s="350">
        <f t="shared" si="147"/>
        <v>6.3170019151796515</v>
      </c>
    </row>
    <row r="142" spans="1:71" x14ac:dyDescent="0.6">
      <c r="A142" s="214" t="s">
        <v>891</v>
      </c>
      <c r="B142" s="13" t="s">
        <v>2122</v>
      </c>
      <c r="C142" s="219" t="s">
        <v>336</v>
      </c>
      <c r="D142" s="221" t="s">
        <v>88</v>
      </c>
      <c r="E142" s="217" t="s">
        <v>61</v>
      </c>
      <c r="F142" s="217" t="s">
        <v>1</v>
      </c>
      <c r="G142" s="218">
        <v>39260</v>
      </c>
      <c r="H142" s="217" t="s">
        <v>830</v>
      </c>
      <c r="I142" s="217" t="s">
        <v>816</v>
      </c>
      <c r="J142" s="217" t="s">
        <v>666</v>
      </c>
      <c r="K142" s="217" t="s">
        <v>91</v>
      </c>
      <c r="L142" s="220">
        <v>29407344093</v>
      </c>
      <c r="M142" s="206">
        <v>21565863258</v>
      </c>
      <c r="N142" s="206">
        <v>7841480835</v>
      </c>
      <c r="O142" s="206">
        <v>3641606365</v>
      </c>
      <c r="P142" s="206">
        <v>846324379</v>
      </c>
      <c r="Q142" s="206">
        <v>843940009</v>
      </c>
      <c r="R142" s="206">
        <v>617150148</v>
      </c>
      <c r="S142" s="275" t="s">
        <v>2326</v>
      </c>
      <c r="T142" s="275" t="s">
        <v>2326</v>
      </c>
      <c r="U142" s="275" t="s">
        <v>2326</v>
      </c>
      <c r="V142" s="275" t="s">
        <v>2326</v>
      </c>
      <c r="W142" s="275" t="s">
        <v>2326</v>
      </c>
      <c r="X142" s="275" t="s">
        <v>2326</v>
      </c>
      <c r="Y142" s="276"/>
      <c r="Z142" s="275" t="s">
        <v>2326</v>
      </c>
      <c r="AA142" s="275" t="s">
        <v>2326</v>
      </c>
      <c r="AB142" s="275" t="s">
        <v>2326</v>
      </c>
      <c r="AC142" s="275" t="s">
        <v>2326</v>
      </c>
      <c r="AD142" s="275" t="s">
        <v>2326</v>
      </c>
      <c r="AE142" s="275" t="s">
        <v>2326</v>
      </c>
      <c r="AF142" s="275"/>
      <c r="AG142" s="154">
        <v>2001</v>
      </c>
      <c r="AH142" s="421"/>
      <c r="AI142" s="409">
        <f t="shared" si="132"/>
        <v>0</v>
      </c>
      <c r="AJ142" s="409">
        <f t="shared" si="133"/>
        <v>25</v>
      </c>
      <c r="AK142" s="418">
        <f>AJ142*0.02</f>
        <v>0.5</v>
      </c>
      <c r="AL142" s="423"/>
      <c r="AM142" s="424">
        <v>0</v>
      </c>
      <c r="AN142" s="365">
        <f t="shared" si="148"/>
        <v>25</v>
      </c>
      <c r="AO142" s="322">
        <f>AN142*0.02</f>
        <v>0.5</v>
      </c>
      <c r="AP142" s="277">
        <f>_xlfn.XLOOKUP(C142, '1.건전성'!C:C, '1.건전성'!BE:BE)</f>
        <v>297694119</v>
      </c>
      <c r="AQ142" s="277">
        <f>_xlfn.XLOOKUP(C142, '1.건전성'!C:C, '1.건전성'!BF:BF)</f>
        <v>15280000</v>
      </c>
      <c r="AR142" s="410">
        <f t="shared" si="134"/>
        <v>312974119</v>
      </c>
      <c r="AS142" s="366">
        <f t="shared" si="130"/>
        <v>8.59439729697419</v>
      </c>
      <c r="AT142" s="366">
        <f t="shared" si="135"/>
        <v>31.101304495206676</v>
      </c>
      <c r="AU142" s="321">
        <f t="shared" si="136"/>
        <v>0.31101304495206678</v>
      </c>
      <c r="AV142" s="15">
        <v>52681765</v>
      </c>
      <c r="AW142" s="361">
        <f t="shared" si="131"/>
        <v>1.4466628108499584</v>
      </c>
      <c r="AX142" s="361">
        <f t="shared" si="137"/>
        <v>35.201990991287559</v>
      </c>
      <c r="AY142" s="348">
        <f>AX142*0.01</f>
        <v>0.35201990991287557</v>
      </c>
      <c r="AZ142" s="411">
        <v>15.5</v>
      </c>
      <c r="BA142" s="412">
        <f t="shared" si="138"/>
        <v>100</v>
      </c>
      <c r="BB142" s="418">
        <f>BA142*0.01</f>
        <v>1</v>
      </c>
      <c r="BC142" s="204">
        <v>1</v>
      </c>
      <c r="BD142" s="407">
        <f t="shared" si="149"/>
        <v>100</v>
      </c>
      <c r="BE142" s="418">
        <f>BD142*0.01</f>
        <v>1</v>
      </c>
      <c r="BF142" s="204">
        <v>1</v>
      </c>
      <c r="BG142" s="204">
        <v>1</v>
      </c>
      <c r="BH142" s="204">
        <v>0</v>
      </c>
      <c r="BI142" s="272" t="str">
        <f t="shared" si="139"/>
        <v>C</v>
      </c>
      <c r="BJ142" s="247">
        <f t="shared" si="140"/>
        <v>50</v>
      </c>
      <c r="BK142" s="90">
        <f t="shared" si="141"/>
        <v>1.5</v>
      </c>
      <c r="BL142" s="406">
        <v>226</v>
      </c>
      <c r="BM142" s="413">
        <f t="shared" si="142"/>
        <v>11.294352823588207</v>
      </c>
      <c r="BN142" s="414">
        <f t="shared" si="143"/>
        <v>20</v>
      </c>
      <c r="BO142" s="415">
        <f t="shared" si="144"/>
        <v>0.6</v>
      </c>
      <c r="BP142" s="416">
        <v>0.02</v>
      </c>
      <c r="BQ142" s="417">
        <f t="shared" si="145"/>
        <v>66.666666666666671</v>
      </c>
      <c r="BR142" s="415">
        <f t="shared" si="146"/>
        <v>0.66666666666666674</v>
      </c>
      <c r="BS142" s="350">
        <f t="shared" si="147"/>
        <v>6.4296996215316087</v>
      </c>
    </row>
    <row r="143" spans="1:71" x14ac:dyDescent="0.6">
      <c r="A143" s="214" t="s">
        <v>262</v>
      </c>
      <c r="B143" s="13" t="s">
        <v>2123</v>
      </c>
      <c r="C143" s="219" t="s">
        <v>919</v>
      </c>
      <c r="D143" s="221" t="s">
        <v>481</v>
      </c>
      <c r="E143" s="217" t="s">
        <v>704</v>
      </c>
      <c r="F143" s="217" t="s">
        <v>1118</v>
      </c>
      <c r="G143" s="218">
        <v>27575</v>
      </c>
      <c r="H143" s="217" t="s">
        <v>830</v>
      </c>
      <c r="I143" s="217" t="s">
        <v>773</v>
      </c>
      <c r="J143" s="217" t="s">
        <v>1166</v>
      </c>
      <c r="K143" s="217" t="s">
        <v>91</v>
      </c>
      <c r="L143" s="220">
        <v>86856870802</v>
      </c>
      <c r="M143" s="206">
        <v>76041738670</v>
      </c>
      <c r="N143" s="206">
        <v>10815132132</v>
      </c>
      <c r="O143" s="206">
        <v>18511997130</v>
      </c>
      <c r="P143" s="206">
        <v>1524131094</v>
      </c>
      <c r="Q143" s="206">
        <v>1536847185</v>
      </c>
      <c r="R143" s="206">
        <v>1141384899</v>
      </c>
      <c r="S143" s="275" t="s">
        <v>2326</v>
      </c>
      <c r="T143" s="275" t="s">
        <v>2326</v>
      </c>
      <c r="U143" s="275" t="s">
        <v>2326</v>
      </c>
      <c r="V143" s="275" t="s">
        <v>2326</v>
      </c>
      <c r="W143" s="275" t="s">
        <v>2326</v>
      </c>
      <c r="X143" s="275" t="s">
        <v>2326</v>
      </c>
      <c r="Y143" s="276"/>
      <c r="Z143" s="275" t="s">
        <v>2326</v>
      </c>
      <c r="AA143" s="275" t="s">
        <v>2326</v>
      </c>
      <c r="AB143" s="275" t="s">
        <v>2326</v>
      </c>
      <c r="AC143" s="275" t="s">
        <v>2326</v>
      </c>
      <c r="AD143" s="275" t="s">
        <v>2326</v>
      </c>
      <c r="AE143" s="275" t="s">
        <v>2326</v>
      </c>
      <c r="AF143" s="275"/>
      <c r="AG143" s="154">
        <v>5588</v>
      </c>
      <c r="AH143" s="154">
        <v>14506</v>
      </c>
      <c r="AI143" s="409">
        <f t="shared" si="132"/>
        <v>2.5959198282032929</v>
      </c>
      <c r="AJ143" s="409">
        <f t="shared" si="133"/>
        <v>26.94693987115247</v>
      </c>
      <c r="AK143" s="418">
        <f>AJ143*0.02</f>
        <v>0.5389387974230494</v>
      </c>
      <c r="AL143" s="45">
        <v>10007</v>
      </c>
      <c r="AM143" s="361">
        <f t="shared" si="150"/>
        <v>44.958529029679219</v>
      </c>
      <c r="AN143" s="365">
        <f t="shared" si="148"/>
        <v>33.429724193064857</v>
      </c>
      <c r="AO143" s="322">
        <f>AN143*0.02</f>
        <v>0.66859448386129716</v>
      </c>
      <c r="AP143" s="277">
        <f>_xlfn.XLOOKUP(C143, '1.건전성'!C:C, '1.건전성'!BE:BE)</f>
        <v>712297000</v>
      </c>
      <c r="AQ143" s="277">
        <f>_xlfn.XLOOKUP(C143, '1.건전성'!C:C, '1.건전성'!BF:BF)</f>
        <v>113264000</v>
      </c>
      <c r="AR143" s="410">
        <f t="shared" si="134"/>
        <v>825561000</v>
      </c>
      <c r="AS143" s="366">
        <f t="shared" si="130"/>
        <v>4.4595998703031343</v>
      </c>
      <c r="AT143" s="366">
        <f t="shared" si="135"/>
        <v>27.984623017816432</v>
      </c>
      <c r="AU143" s="321">
        <f t="shared" si="136"/>
        <v>0.27984623017816435</v>
      </c>
      <c r="AV143" s="15">
        <v>147211000</v>
      </c>
      <c r="AW143" s="361">
        <f t="shared" si="131"/>
        <v>0.79521944048616</v>
      </c>
      <c r="AX143" s="361">
        <f t="shared" si="137"/>
        <v>30.266813943076968</v>
      </c>
      <c r="AY143" s="348">
        <f>AX143*0.01</f>
        <v>0.3026681394307697</v>
      </c>
      <c r="AZ143" s="411">
        <v>14.8</v>
      </c>
      <c r="BA143" s="412">
        <f t="shared" si="138"/>
        <v>100</v>
      </c>
      <c r="BB143" s="418">
        <f>BA143*0.01</f>
        <v>1</v>
      </c>
      <c r="BC143" s="204">
        <v>1</v>
      </c>
      <c r="BD143" s="407">
        <f t="shared" si="149"/>
        <v>100</v>
      </c>
      <c r="BE143" s="418">
        <f>BD143*0.01</f>
        <v>1</v>
      </c>
      <c r="BF143" s="204">
        <v>1</v>
      </c>
      <c r="BG143" s="204">
        <v>1</v>
      </c>
      <c r="BH143" s="204">
        <v>0</v>
      </c>
      <c r="BI143" s="272" t="str">
        <f t="shared" si="139"/>
        <v>C</v>
      </c>
      <c r="BJ143" s="247">
        <f t="shared" si="140"/>
        <v>50</v>
      </c>
      <c r="BK143" s="90">
        <f t="shared" si="141"/>
        <v>1.5</v>
      </c>
      <c r="BL143" s="406">
        <v>82</v>
      </c>
      <c r="BM143" s="413">
        <f t="shared" si="142"/>
        <v>1.4674302075876879</v>
      </c>
      <c r="BN143" s="414">
        <f t="shared" si="143"/>
        <v>60</v>
      </c>
      <c r="BO143" s="415">
        <f t="shared" si="144"/>
        <v>1.7999999999999998</v>
      </c>
      <c r="BP143" s="416">
        <v>0</v>
      </c>
      <c r="BQ143" s="417">
        <f t="shared" si="145"/>
        <v>33.333333333333336</v>
      </c>
      <c r="BR143" s="415">
        <f t="shared" si="146"/>
        <v>0.33333333333333337</v>
      </c>
      <c r="BS143" s="350">
        <f t="shared" si="147"/>
        <v>7.4233809842266139</v>
      </c>
    </row>
    <row r="144" spans="1:71" x14ac:dyDescent="0.6">
      <c r="A144" s="214" t="s">
        <v>7</v>
      </c>
      <c r="B144" s="13" t="s">
        <v>2124</v>
      </c>
      <c r="C144" s="219" t="s">
        <v>42</v>
      </c>
      <c r="D144" s="216" t="s">
        <v>203</v>
      </c>
      <c r="E144" s="217" t="s">
        <v>200</v>
      </c>
      <c r="F144" s="217" t="s">
        <v>661</v>
      </c>
      <c r="G144" s="218">
        <v>29560</v>
      </c>
      <c r="H144" s="217" t="s">
        <v>830</v>
      </c>
      <c r="I144" s="217" t="s">
        <v>903</v>
      </c>
      <c r="J144" s="217" t="s">
        <v>1064</v>
      </c>
      <c r="K144" s="217" t="s">
        <v>690</v>
      </c>
      <c r="L144" s="220">
        <v>287810418</v>
      </c>
      <c r="M144" s="206">
        <v>149871483</v>
      </c>
      <c r="N144" s="206">
        <v>137938935</v>
      </c>
      <c r="O144" s="206">
        <v>272706610</v>
      </c>
      <c r="P144" s="206">
        <v>22413049</v>
      </c>
      <c r="Q144" s="206">
        <v>21027374</v>
      </c>
      <c r="R144" s="206">
        <v>17206656</v>
      </c>
      <c r="S144" s="405">
        <v>0</v>
      </c>
      <c r="T144" s="405">
        <v>0</v>
      </c>
      <c r="U144" s="406">
        <v>0</v>
      </c>
      <c r="V144" s="406">
        <v>0</v>
      </c>
      <c r="W144" s="407">
        <f t="shared" ref="W144:W178" si="151">SUM(S144:V144)</f>
        <v>0</v>
      </c>
      <c r="X144" s="407">
        <f t="shared" ref="X144:X178" si="152">IF(W144=0, 100, IF(W144=1, 80, IF(W144=2, 60, IF(W144=3, 40, IF(W144=4, 20)))))</f>
        <v>100</v>
      </c>
      <c r="Y144" s="408">
        <f t="shared" ref="Y144:Y178" si="153">X144*0.03</f>
        <v>3</v>
      </c>
      <c r="Z144" s="444" t="s">
        <v>3374</v>
      </c>
      <c r="AA144" s="442">
        <v>0</v>
      </c>
      <c r="AB144" s="406">
        <v>1</v>
      </c>
      <c r="AC144" s="406">
        <v>0</v>
      </c>
      <c r="AD144" s="407">
        <f t="shared" ref="AD144:AD178" si="154">SUM(AA144:AC144)</f>
        <v>1</v>
      </c>
      <c r="AE144" s="364" t="str">
        <f t="shared" ref="AE144:AE178" si="155">IF(AD144&gt;=1,"100","50")</f>
        <v>100</v>
      </c>
      <c r="AF144" s="349">
        <f t="shared" ref="AF144:AF178" si="156">AE144*0.005</f>
        <v>0.5</v>
      </c>
      <c r="AG144" s="154">
        <v>340</v>
      </c>
      <c r="AH144" s="154">
        <v>328813</v>
      </c>
      <c r="AI144" s="409">
        <f t="shared" si="132"/>
        <v>967.09705882352944</v>
      </c>
      <c r="AJ144" s="409">
        <f t="shared" si="133"/>
        <v>100</v>
      </c>
      <c r="AK144" s="408">
        <f t="shared" ref="AK144:AK178" si="157">AJ144*0.01</f>
        <v>1</v>
      </c>
      <c r="AL144" s="45">
        <v>172984</v>
      </c>
      <c r="AM144" s="361">
        <f t="shared" si="150"/>
        <v>90.082897840262689</v>
      </c>
      <c r="AN144" s="365">
        <f t="shared" si="148"/>
        <v>41.890543345049252</v>
      </c>
      <c r="AO144" s="320">
        <f t="shared" ref="AO144:AO178" si="158">AN144*0.01</f>
        <v>0.41890543345049253</v>
      </c>
      <c r="AP144" s="277">
        <f>_xlfn.XLOOKUP(C144, '1.건전성'!C:C, '1.건전성'!BE:BE)</f>
        <v>4125912</v>
      </c>
      <c r="AQ144" s="277">
        <f>_xlfn.XLOOKUP(C144, '1.건전성'!C:C, '1.건전성'!BF:BF)</f>
        <v>548838</v>
      </c>
      <c r="AR144" s="410">
        <f t="shared" si="134"/>
        <v>4674750</v>
      </c>
      <c r="AS144" s="366">
        <f t="shared" si="130"/>
        <v>1.7142048738752611</v>
      </c>
      <c r="AT144" s="366">
        <f t="shared" si="135"/>
        <v>25.915229804428588</v>
      </c>
      <c r="AU144" s="321">
        <f t="shared" si="136"/>
        <v>0.25915229804428586</v>
      </c>
      <c r="AV144" s="15">
        <v>724210</v>
      </c>
      <c r="AW144" s="361">
        <f t="shared" si="131"/>
        <v>0.26556378666435698</v>
      </c>
      <c r="AX144" s="361">
        <f t="shared" si="137"/>
        <v>26.254271111093615</v>
      </c>
      <c r="AY144" s="321">
        <f t="shared" ref="AY144:AY178" si="159">AX144*0.005</f>
        <v>0.13127135555546807</v>
      </c>
      <c r="AZ144" s="411">
        <v>14.3</v>
      </c>
      <c r="BA144" s="412">
        <f t="shared" si="138"/>
        <v>100</v>
      </c>
      <c r="BB144" s="408">
        <f t="shared" ref="BB144:BB178" si="160">BA144*0.005</f>
        <v>0.5</v>
      </c>
      <c r="BC144" s="204">
        <v>1</v>
      </c>
      <c r="BD144" s="407">
        <f t="shared" si="149"/>
        <v>100</v>
      </c>
      <c r="BE144" s="408">
        <f t="shared" ref="BE144:BE178" si="161">BD144*0.005</f>
        <v>0.5</v>
      </c>
      <c r="BF144" s="204">
        <v>0</v>
      </c>
      <c r="BG144" s="204">
        <v>0</v>
      </c>
      <c r="BH144" s="204">
        <v>0</v>
      </c>
      <c r="BI144" s="272" t="str">
        <f t="shared" si="139"/>
        <v>A</v>
      </c>
      <c r="BJ144" s="247">
        <f t="shared" si="140"/>
        <v>100</v>
      </c>
      <c r="BK144" s="90">
        <f t="shared" si="141"/>
        <v>3</v>
      </c>
      <c r="BL144" s="406">
        <v>33</v>
      </c>
      <c r="BM144" s="413">
        <f t="shared" si="142"/>
        <v>9.7058823529411775</v>
      </c>
      <c r="BN144" s="414">
        <f t="shared" si="143"/>
        <v>20</v>
      </c>
      <c r="BO144" s="415">
        <f t="shared" si="144"/>
        <v>0.6</v>
      </c>
      <c r="BP144" s="416">
        <v>0</v>
      </c>
      <c r="BQ144" s="417">
        <f t="shared" si="145"/>
        <v>33.333333333333336</v>
      </c>
      <c r="BR144" s="415">
        <f t="shared" si="146"/>
        <v>0.33333333333333337</v>
      </c>
      <c r="BS144" s="350">
        <f t="shared" si="147"/>
        <v>10.24266242038358</v>
      </c>
    </row>
    <row r="145" spans="1:71" x14ac:dyDescent="0.6">
      <c r="A145" s="214" t="s">
        <v>741</v>
      </c>
      <c r="B145" s="13" t="s">
        <v>2125</v>
      </c>
      <c r="C145" s="219" t="s">
        <v>909</v>
      </c>
      <c r="D145" s="216" t="s">
        <v>191</v>
      </c>
      <c r="E145" s="217" t="s">
        <v>178</v>
      </c>
      <c r="F145" s="217" t="s">
        <v>809</v>
      </c>
      <c r="G145" s="218">
        <v>40882</v>
      </c>
      <c r="H145" s="217" t="s">
        <v>830</v>
      </c>
      <c r="I145" s="217" t="s">
        <v>239</v>
      </c>
      <c r="J145" s="217" t="s">
        <v>1153</v>
      </c>
      <c r="K145" s="217" t="s">
        <v>91</v>
      </c>
      <c r="L145" s="220">
        <v>2278458050</v>
      </c>
      <c r="M145" s="206">
        <v>1056955250</v>
      </c>
      <c r="N145" s="206">
        <v>1221502799</v>
      </c>
      <c r="O145" s="206">
        <v>1998768182</v>
      </c>
      <c r="P145" s="206">
        <v>37795019</v>
      </c>
      <c r="Q145" s="206">
        <v>66850204</v>
      </c>
      <c r="R145" s="206">
        <v>55711450</v>
      </c>
      <c r="S145" s="405">
        <v>0</v>
      </c>
      <c r="T145" s="405">
        <v>0</v>
      </c>
      <c r="U145" s="406">
        <v>0</v>
      </c>
      <c r="V145" s="406">
        <v>0</v>
      </c>
      <c r="W145" s="407">
        <f t="shared" si="151"/>
        <v>0</v>
      </c>
      <c r="X145" s="407">
        <f t="shared" si="152"/>
        <v>100</v>
      </c>
      <c r="Y145" s="408">
        <f t="shared" si="153"/>
        <v>3</v>
      </c>
      <c r="Z145" s="444" t="s">
        <v>3374</v>
      </c>
      <c r="AA145" s="442">
        <v>0</v>
      </c>
      <c r="AB145" s="406">
        <v>0</v>
      </c>
      <c r="AC145" s="406">
        <v>0</v>
      </c>
      <c r="AD145" s="407">
        <f t="shared" si="154"/>
        <v>0</v>
      </c>
      <c r="AE145" s="364" t="str">
        <f t="shared" si="155"/>
        <v>50</v>
      </c>
      <c r="AF145" s="349">
        <f t="shared" si="156"/>
        <v>0.25</v>
      </c>
      <c r="AG145" s="154">
        <v>1320</v>
      </c>
      <c r="AH145" s="154">
        <v>935000</v>
      </c>
      <c r="AI145" s="409">
        <f t="shared" si="132"/>
        <v>708.33333333333337</v>
      </c>
      <c r="AJ145" s="409">
        <f t="shared" si="133"/>
        <v>100</v>
      </c>
      <c r="AK145" s="408">
        <f t="shared" si="157"/>
        <v>1</v>
      </c>
      <c r="AL145" s="45">
        <v>651000</v>
      </c>
      <c r="AM145" s="361">
        <f t="shared" si="150"/>
        <v>43.625192012288785</v>
      </c>
      <c r="AN145" s="365">
        <f t="shared" si="148"/>
        <v>33.179723502304149</v>
      </c>
      <c r="AO145" s="320">
        <f t="shared" si="158"/>
        <v>0.33179723502304148</v>
      </c>
      <c r="AP145" s="277">
        <f>_xlfn.XLOOKUP(C145, '1.건전성'!C:C, '1.건전성'!BE:BE)</f>
        <v>53852000</v>
      </c>
      <c r="AQ145" s="277">
        <f>_xlfn.XLOOKUP(C145, '1.건전성'!C:C, '1.건전성'!BF:BF)</f>
        <v>5915000</v>
      </c>
      <c r="AR145" s="410">
        <f t="shared" si="134"/>
        <v>59767000</v>
      </c>
      <c r="AS145" s="366">
        <f t="shared" si="130"/>
        <v>2.9901916859711148</v>
      </c>
      <c r="AT145" s="366">
        <f t="shared" si="135"/>
        <v>26.877028909023455</v>
      </c>
      <c r="AU145" s="321">
        <f t="shared" si="136"/>
        <v>0.26877028909023454</v>
      </c>
      <c r="AV145" s="15">
        <v>10644000</v>
      </c>
      <c r="AW145" s="361">
        <f t="shared" si="131"/>
        <v>0.53252798878104213</v>
      </c>
      <c r="AX145" s="361">
        <f t="shared" si="137"/>
        <v>28.276727187735169</v>
      </c>
      <c r="AY145" s="321">
        <f t="shared" si="159"/>
        <v>0.14138363593867584</v>
      </c>
      <c r="AZ145" s="411">
        <v>13</v>
      </c>
      <c r="BA145" s="412">
        <f t="shared" si="138"/>
        <v>100</v>
      </c>
      <c r="BB145" s="408">
        <f t="shared" si="160"/>
        <v>0.5</v>
      </c>
      <c r="BC145" s="204">
        <v>1</v>
      </c>
      <c r="BD145" s="407">
        <f t="shared" si="149"/>
        <v>100</v>
      </c>
      <c r="BE145" s="408">
        <f t="shared" si="161"/>
        <v>0.5</v>
      </c>
      <c r="BF145" s="204">
        <v>0</v>
      </c>
      <c r="BG145" s="204">
        <v>0</v>
      </c>
      <c r="BH145" s="204">
        <v>0</v>
      </c>
      <c r="BI145" s="272" t="str">
        <f t="shared" si="139"/>
        <v>A</v>
      </c>
      <c r="BJ145" s="247">
        <f t="shared" si="140"/>
        <v>100</v>
      </c>
      <c r="BK145" s="90">
        <f t="shared" si="141"/>
        <v>3</v>
      </c>
      <c r="BL145" s="406">
        <v>82</v>
      </c>
      <c r="BM145" s="413">
        <f t="shared" si="142"/>
        <v>6.2121212121212119</v>
      </c>
      <c r="BN145" s="414">
        <f t="shared" si="143"/>
        <v>40</v>
      </c>
      <c r="BO145" s="415">
        <f t="shared" si="144"/>
        <v>1.2</v>
      </c>
      <c r="BP145" s="416">
        <v>0.01</v>
      </c>
      <c r="BQ145" s="417">
        <f t="shared" si="145"/>
        <v>66.666666666666671</v>
      </c>
      <c r="BR145" s="415">
        <f t="shared" si="146"/>
        <v>0.66666666666666674</v>
      </c>
      <c r="BS145" s="350">
        <f t="shared" si="147"/>
        <v>10.858617826718618</v>
      </c>
    </row>
    <row r="146" spans="1:71" x14ac:dyDescent="0.6">
      <c r="A146" s="214" t="s">
        <v>363</v>
      </c>
      <c r="B146" s="13" t="s">
        <v>2126</v>
      </c>
      <c r="C146" s="219" t="s">
        <v>105</v>
      </c>
      <c r="D146" s="216" t="s">
        <v>191</v>
      </c>
      <c r="E146" s="217" t="s">
        <v>178</v>
      </c>
      <c r="F146" s="217" t="s">
        <v>563</v>
      </c>
      <c r="G146" s="218">
        <v>27575</v>
      </c>
      <c r="H146" s="217" t="s">
        <v>830</v>
      </c>
      <c r="I146" s="217" t="s">
        <v>1693</v>
      </c>
      <c r="J146" s="217" t="s">
        <v>1183</v>
      </c>
      <c r="K146" s="217" t="s">
        <v>91</v>
      </c>
      <c r="L146" s="220">
        <v>857127709</v>
      </c>
      <c r="M146" s="206">
        <v>439493133</v>
      </c>
      <c r="N146" s="206">
        <v>417634577</v>
      </c>
      <c r="O146" s="206">
        <v>833227370</v>
      </c>
      <c r="P146" s="206">
        <v>86234040</v>
      </c>
      <c r="Q146" s="206">
        <v>96322163</v>
      </c>
      <c r="R146" s="206">
        <v>75455528</v>
      </c>
      <c r="S146" s="405">
        <v>0</v>
      </c>
      <c r="T146" s="405">
        <v>0</v>
      </c>
      <c r="U146" s="406">
        <v>0</v>
      </c>
      <c r="V146" s="406">
        <v>0</v>
      </c>
      <c r="W146" s="407">
        <f t="shared" si="151"/>
        <v>0</v>
      </c>
      <c r="X146" s="407">
        <f t="shared" si="152"/>
        <v>100</v>
      </c>
      <c r="Y146" s="408">
        <f t="shared" si="153"/>
        <v>3</v>
      </c>
      <c r="Z146" s="444" t="s">
        <v>3375</v>
      </c>
      <c r="AA146" s="442">
        <v>1</v>
      </c>
      <c r="AB146" s="406">
        <v>1</v>
      </c>
      <c r="AC146" s="406">
        <v>0</v>
      </c>
      <c r="AD146" s="407">
        <f t="shared" si="154"/>
        <v>2</v>
      </c>
      <c r="AE146" s="364" t="str">
        <f t="shared" si="155"/>
        <v>100</v>
      </c>
      <c r="AF146" s="349">
        <f t="shared" si="156"/>
        <v>0.5</v>
      </c>
      <c r="AG146" s="154">
        <v>1926</v>
      </c>
      <c r="AH146" s="421"/>
      <c r="AI146" s="409">
        <f t="shared" si="132"/>
        <v>0</v>
      </c>
      <c r="AJ146" s="409">
        <f t="shared" si="133"/>
        <v>25</v>
      </c>
      <c r="AK146" s="408">
        <f t="shared" si="157"/>
        <v>0.25</v>
      </c>
      <c r="AL146" s="423"/>
      <c r="AM146" s="424">
        <v>0</v>
      </c>
      <c r="AN146" s="365">
        <f t="shared" si="148"/>
        <v>25</v>
      </c>
      <c r="AO146" s="320">
        <f t="shared" si="158"/>
        <v>0.25</v>
      </c>
      <c r="AP146" s="277">
        <f>_xlfn.XLOOKUP(C146, '1.건전성'!C:C, '1.건전성'!BE:BE)</f>
        <v>39937505</v>
      </c>
      <c r="AQ146" s="277">
        <f>_xlfn.XLOOKUP(C146, '1.건전성'!C:C, '1.건전성'!BF:BF)</f>
        <v>3523130</v>
      </c>
      <c r="AR146" s="410">
        <f t="shared" si="134"/>
        <v>43460635</v>
      </c>
      <c r="AS146" s="366">
        <f t="shared" si="130"/>
        <v>5.2159394379951776</v>
      </c>
      <c r="AT146" s="366">
        <f t="shared" si="135"/>
        <v>28.554728219594356</v>
      </c>
      <c r="AU146" s="321">
        <f t="shared" si="136"/>
        <v>0.28554728219594355</v>
      </c>
      <c r="AV146" s="15">
        <v>7684015</v>
      </c>
      <c r="AW146" s="361">
        <f t="shared" si="131"/>
        <v>0.92219906314407307</v>
      </c>
      <c r="AX146" s="361">
        <f t="shared" si="137"/>
        <v>31.228780781394491</v>
      </c>
      <c r="AY146" s="321">
        <f t="shared" si="159"/>
        <v>0.15614390390697247</v>
      </c>
      <c r="AZ146" s="411">
        <v>6.5</v>
      </c>
      <c r="BA146" s="412">
        <f t="shared" si="138"/>
        <v>60</v>
      </c>
      <c r="BB146" s="408">
        <f t="shared" si="160"/>
        <v>0.3</v>
      </c>
      <c r="BC146" s="204">
        <v>1</v>
      </c>
      <c r="BD146" s="407">
        <f t="shared" si="149"/>
        <v>100</v>
      </c>
      <c r="BE146" s="408">
        <f t="shared" si="161"/>
        <v>0.5</v>
      </c>
      <c r="BF146" s="204">
        <v>0</v>
      </c>
      <c r="BG146" s="204">
        <v>1</v>
      </c>
      <c r="BH146" s="204">
        <v>1</v>
      </c>
      <c r="BI146" s="272" t="str">
        <f t="shared" si="139"/>
        <v>D</v>
      </c>
      <c r="BJ146" s="247">
        <f t="shared" si="140"/>
        <v>25</v>
      </c>
      <c r="BK146" s="90">
        <f t="shared" si="141"/>
        <v>0.75</v>
      </c>
      <c r="BL146" s="406">
        <v>359</v>
      </c>
      <c r="BM146" s="413">
        <f t="shared" si="142"/>
        <v>18.639667705088268</v>
      </c>
      <c r="BN146" s="414">
        <f t="shared" si="143"/>
        <v>20</v>
      </c>
      <c r="BO146" s="415">
        <f t="shared" si="144"/>
        <v>0.6</v>
      </c>
      <c r="BP146" s="416">
        <v>0</v>
      </c>
      <c r="BQ146" s="417">
        <f t="shared" si="145"/>
        <v>33.333333333333336</v>
      </c>
      <c r="BR146" s="415">
        <f t="shared" si="146"/>
        <v>0.33333333333333337</v>
      </c>
      <c r="BS146" s="350">
        <f t="shared" si="147"/>
        <v>6.9250245194362483</v>
      </c>
    </row>
    <row r="147" spans="1:71" x14ac:dyDescent="0.6">
      <c r="A147" s="214" t="s">
        <v>885</v>
      </c>
      <c r="B147" s="13" t="s">
        <v>2127</v>
      </c>
      <c r="C147" s="219" t="s">
        <v>311</v>
      </c>
      <c r="D147" s="216" t="s">
        <v>191</v>
      </c>
      <c r="E147" s="217" t="s">
        <v>977</v>
      </c>
      <c r="F147" s="217" t="s">
        <v>393</v>
      </c>
      <c r="G147" s="218">
        <v>32822</v>
      </c>
      <c r="H147" s="217" t="s">
        <v>830</v>
      </c>
      <c r="I147" s="217" t="s">
        <v>1103</v>
      </c>
      <c r="J147" s="217" t="s">
        <v>1200</v>
      </c>
      <c r="K147" s="217" t="s">
        <v>91</v>
      </c>
      <c r="L147" s="220">
        <v>443969944</v>
      </c>
      <c r="M147" s="206">
        <v>38559474</v>
      </c>
      <c r="N147" s="206">
        <v>405410470</v>
      </c>
      <c r="O147" s="206">
        <v>177572920</v>
      </c>
      <c r="P147" s="206">
        <v>14182631</v>
      </c>
      <c r="Q147" s="206">
        <v>16901598</v>
      </c>
      <c r="R147" s="206">
        <v>12822855</v>
      </c>
      <c r="S147" s="405">
        <v>0</v>
      </c>
      <c r="T147" s="405">
        <v>0</v>
      </c>
      <c r="U147" s="406">
        <v>0</v>
      </c>
      <c r="V147" s="406">
        <v>0</v>
      </c>
      <c r="W147" s="407">
        <f t="shared" si="151"/>
        <v>0</v>
      </c>
      <c r="X147" s="407">
        <f t="shared" si="152"/>
        <v>100</v>
      </c>
      <c r="Y147" s="408">
        <f t="shared" si="153"/>
        <v>3</v>
      </c>
      <c r="Z147" s="444" t="s">
        <v>3376</v>
      </c>
      <c r="AA147" s="442">
        <v>0</v>
      </c>
      <c r="AB147" s="406">
        <v>0</v>
      </c>
      <c r="AC147" s="406">
        <v>0</v>
      </c>
      <c r="AD147" s="407">
        <f t="shared" si="154"/>
        <v>0</v>
      </c>
      <c r="AE147" s="364" t="str">
        <f t="shared" si="155"/>
        <v>50</v>
      </c>
      <c r="AF147" s="349">
        <f t="shared" si="156"/>
        <v>0.25</v>
      </c>
      <c r="AG147" s="154">
        <v>276</v>
      </c>
      <c r="AH147" s="154">
        <v>3413</v>
      </c>
      <c r="AI147" s="409">
        <f t="shared" si="132"/>
        <v>12.365942028985508</v>
      </c>
      <c r="AJ147" s="409">
        <f t="shared" si="133"/>
        <v>34.274456521739133</v>
      </c>
      <c r="AK147" s="408">
        <f t="shared" si="157"/>
        <v>0.34274456521739133</v>
      </c>
      <c r="AL147" s="45">
        <v>1200</v>
      </c>
      <c r="AM147" s="361">
        <f t="shared" si="150"/>
        <v>184.41666666666669</v>
      </c>
      <c r="AN147" s="365">
        <f t="shared" si="148"/>
        <v>59.578125000000007</v>
      </c>
      <c r="AO147" s="320">
        <f t="shared" si="158"/>
        <v>0.59578125000000004</v>
      </c>
      <c r="AP147" s="277">
        <f>_xlfn.XLOOKUP(C147, '1.건전성'!C:C, '1.건전성'!BE:BE)</f>
        <v>3087320</v>
      </c>
      <c r="AQ147" s="277">
        <f>_xlfn.XLOOKUP(C147, '1.건전성'!C:C, '1.건전성'!BF:BF)</f>
        <v>469839</v>
      </c>
      <c r="AR147" s="410">
        <f t="shared" si="134"/>
        <v>3557159</v>
      </c>
      <c r="AS147" s="366">
        <f t="shared" si="130"/>
        <v>2.0032102867937294</v>
      </c>
      <c r="AT147" s="366">
        <f t="shared" si="135"/>
        <v>26.133073080497788</v>
      </c>
      <c r="AU147" s="321">
        <f t="shared" si="136"/>
        <v>0.26133073080497787</v>
      </c>
      <c r="AV147" s="15">
        <v>200893</v>
      </c>
      <c r="AW147" s="361">
        <f t="shared" si="131"/>
        <v>0.11313267811330692</v>
      </c>
      <c r="AX147" s="361">
        <f t="shared" si="137"/>
        <v>25.099489985706871</v>
      </c>
      <c r="AY147" s="321">
        <f t="shared" si="159"/>
        <v>0.12549744992853434</v>
      </c>
      <c r="AZ147" s="411">
        <v>8</v>
      </c>
      <c r="BA147" s="412">
        <f t="shared" si="138"/>
        <v>80</v>
      </c>
      <c r="BB147" s="408">
        <f t="shared" si="160"/>
        <v>0.4</v>
      </c>
      <c r="BC147" s="204">
        <v>1</v>
      </c>
      <c r="BD147" s="407">
        <f t="shared" si="149"/>
        <v>100</v>
      </c>
      <c r="BE147" s="408">
        <f t="shared" si="161"/>
        <v>0.5</v>
      </c>
      <c r="BF147" s="204">
        <v>0</v>
      </c>
      <c r="BG147" s="204">
        <v>0</v>
      </c>
      <c r="BH147" s="204">
        <v>0</v>
      </c>
      <c r="BI147" s="272" t="str">
        <f t="shared" si="139"/>
        <v>A</v>
      </c>
      <c r="BJ147" s="247">
        <f t="shared" si="140"/>
        <v>100</v>
      </c>
      <c r="BK147" s="90">
        <f t="shared" si="141"/>
        <v>3</v>
      </c>
      <c r="BL147" s="406">
        <v>0</v>
      </c>
      <c r="BM147" s="413">
        <f t="shared" si="142"/>
        <v>0</v>
      </c>
      <c r="BN147" s="414">
        <f t="shared" si="143"/>
        <v>100</v>
      </c>
      <c r="BO147" s="415">
        <f t="shared" si="144"/>
        <v>3</v>
      </c>
      <c r="BP147" s="416">
        <v>0.01</v>
      </c>
      <c r="BQ147" s="417">
        <f t="shared" si="145"/>
        <v>66.666666666666671</v>
      </c>
      <c r="BR147" s="415">
        <f t="shared" si="146"/>
        <v>0.66666666666666674</v>
      </c>
      <c r="BS147" s="350">
        <f t="shared" si="147"/>
        <v>12.14202066261757</v>
      </c>
    </row>
    <row r="148" spans="1:71" x14ac:dyDescent="0.6">
      <c r="A148" s="214" t="s">
        <v>1694</v>
      </c>
      <c r="B148" s="13" t="s">
        <v>2128</v>
      </c>
      <c r="C148" s="219" t="s">
        <v>1695</v>
      </c>
      <c r="D148" s="14" t="s">
        <v>203</v>
      </c>
      <c r="E148" s="217" t="s">
        <v>246</v>
      </c>
      <c r="F148" s="217" t="s">
        <v>1696</v>
      </c>
      <c r="G148" s="218">
        <v>27941</v>
      </c>
      <c r="H148" s="217" t="s">
        <v>830</v>
      </c>
      <c r="I148" s="217" t="s">
        <v>1697</v>
      </c>
      <c r="J148" s="217" t="s">
        <v>1698</v>
      </c>
      <c r="K148" s="217" t="s">
        <v>91</v>
      </c>
      <c r="L148" s="220">
        <v>98509521</v>
      </c>
      <c r="M148" s="206">
        <v>46664469</v>
      </c>
      <c r="N148" s="206">
        <v>51845052</v>
      </c>
      <c r="O148" s="206">
        <v>115386329</v>
      </c>
      <c r="P148" s="206">
        <v>2879227</v>
      </c>
      <c r="Q148" s="206">
        <v>2393878</v>
      </c>
      <c r="R148" s="206">
        <v>2701762</v>
      </c>
      <c r="S148" s="405">
        <v>0</v>
      </c>
      <c r="T148" s="405">
        <v>0</v>
      </c>
      <c r="U148" s="406">
        <v>0</v>
      </c>
      <c r="V148" s="406">
        <v>0</v>
      </c>
      <c r="W148" s="407">
        <f t="shared" si="151"/>
        <v>0</v>
      </c>
      <c r="X148" s="407">
        <f t="shared" si="152"/>
        <v>100</v>
      </c>
      <c r="Y148" s="408">
        <f t="shared" si="153"/>
        <v>3</v>
      </c>
      <c r="Z148" s="444" t="s">
        <v>3377</v>
      </c>
      <c r="AA148" s="442">
        <v>0</v>
      </c>
      <c r="AB148" s="406">
        <v>1</v>
      </c>
      <c r="AC148" s="406">
        <v>0</v>
      </c>
      <c r="AD148" s="407">
        <f t="shared" si="154"/>
        <v>1</v>
      </c>
      <c r="AE148" s="364" t="str">
        <f t="shared" si="155"/>
        <v>100</v>
      </c>
      <c r="AF148" s="349">
        <f t="shared" si="156"/>
        <v>0.5</v>
      </c>
      <c r="AG148" s="154">
        <v>192</v>
      </c>
      <c r="AH148" s="154">
        <v>4650</v>
      </c>
      <c r="AI148" s="409">
        <f t="shared" si="132"/>
        <v>24.21875</v>
      </c>
      <c r="AJ148" s="409">
        <f t="shared" si="133"/>
        <v>43.1640625</v>
      </c>
      <c r="AK148" s="408">
        <f t="shared" si="157"/>
        <v>0.431640625</v>
      </c>
      <c r="AL148" s="45">
        <v>3630</v>
      </c>
      <c r="AM148" s="361">
        <f t="shared" si="150"/>
        <v>28.099173553719009</v>
      </c>
      <c r="AN148" s="365">
        <f t="shared" si="148"/>
        <v>30.268595041322314</v>
      </c>
      <c r="AO148" s="320">
        <f t="shared" si="158"/>
        <v>0.30268595041322316</v>
      </c>
      <c r="AP148" s="277">
        <f>_xlfn.XLOOKUP(C148, '1.건전성'!C:C, '1.건전성'!BE:BE)</f>
        <v>1178805</v>
      </c>
      <c r="AQ148" s="277">
        <f>_xlfn.XLOOKUP(C148, '1.건전성'!C:C, '1.건전성'!BF:BF)</f>
        <v>154014</v>
      </c>
      <c r="AR148" s="410">
        <f t="shared" si="134"/>
        <v>1332819</v>
      </c>
      <c r="AS148" s="366">
        <f t="shared" si="130"/>
        <v>1.1550926453340933</v>
      </c>
      <c r="AT148" s="366">
        <f t="shared" si="135"/>
        <v>25.493788426131225</v>
      </c>
      <c r="AU148" s="321">
        <f t="shared" si="136"/>
        <v>0.25493788426131225</v>
      </c>
      <c r="AV148" s="15">
        <v>408207</v>
      </c>
      <c r="AW148" s="361">
        <f t="shared" si="131"/>
        <v>0.35377414598223328</v>
      </c>
      <c r="AX148" s="361">
        <f t="shared" si="137"/>
        <v>26.922531408956313</v>
      </c>
      <c r="AY148" s="321">
        <f t="shared" si="159"/>
        <v>0.13461265704478156</v>
      </c>
      <c r="AZ148" s="411">
        <v>6.3</v>
      </c>
      <c r="BA148" s="412">
        <f t="shared" si="138"/>
        <v>60</v>
      </c>
      <c r="BB148" s="408">
        <f t="shared" si="160"/>
        <v>0.3</v>
      </c>
      <c r="BC148" s="204">
        <v>0</v>
      </c>
      <c r="BD148" s="407">
        <f t="shared" si="149"/>
        <v>50</v>
      </c>
      <c r="BE148" s="408">
        <f t="shared" si="161"/>
        <v>0.25</v>
      </c>
      <c r="BF148" s="204">
        <v>0</v>
      </c>
      <c r="BG148" s="204">
        <v>0</v>
      </c>
      <c r="BH148" s="204">
        <v>0</v>
      </c>
      <c r="BI148" s="272" t="str">
        <f t="shared" si="139"/>
        <v>A</v>
      </c>
      <c r="BJ148" s="247">
        <f t="shared" si="140"/>
        <v>100</v>
      </c>
      <c r="BK148" s="90">
        <f t="shared" si="141"/>
        <v>3</v>
      </c>
      <c r="BL148" s="406">
        <v>15</v>
      </c>
      <c r="BM148" s="413">
        <f t="shared" si="142"/>
        <v>7.8125</v>
      </c>
      <c r="BN148" s="414">
        <f t="shared" si="143"/>
        <v>20</v>
      </c>
      <c r="BO148" s="415">
        <f t="shared" si="144"/>
        <v>0.6</v>
      </c>
      <c r="BP148" s="416">
        <v>0.22</v>
      </c>
      <c r="BQ148" s="417">
        <f t="shared" si="145"/>
        <v>66.666666666666671</v>
      </c>
      <c r="BR148" s="415">
        <f t="shared" si="146"/>
        <v>0.66666666666666674</v>
      </c>
      <c r="BS148" s="350">
        <f t="shared" si="147"/>
        <v>9.4405437833859835</v>
      </c>
    </row>
    <row r="149" spans="1:71" x14ac:dyDescent="0.6">
      <c r="A149" s="214" t="s">
        <v>911</v>
      </c>
      <c r="B149" s="13" t="s">
        <v>2129</v>
      </c>
      <c r="C149" s="219" t="s">
        <v>439</v>
      </c>
      <c r="D149" s="216" t="s">
        <v>285</v>
      </c>
      <c r="E149" s="217" t="s">
        <v>171</v>
      </c>
      <c r="F149" s="217" t="s">
        <v>259</v>
      </c>
      <c r="G149" s="218">
        <v>32230</v>
      </c>
      <c r="H149" s="217" t="s">
        <v>830</v>
      </c>
      <c r="I149" s="217" t="s">
        <v>793</v>
      </c>
      <c r="J149" s="217" t="s">
        <v>1216</v>
      </c>
      <c r="K149" s="217" t="s">
        <v>91</v>
      </c>
      <c r="L149" s="220">
        <v>395346619</v>
      </c>
      <c r="M149" s="206">
        <v>33864968</v>
      </c>
      <c r="N149" s="206">
        <v>361481651</v>
      </c>
      <c r="O149" s="206">
        <v>285742678</v>
      </c>
      <c r="P149" s="206">
        <v>9710082</v>
      </c>
      <c r="Q149" s="206">
        <v>36912471</v>
      </c>
      <c r="R149" s="206">
        <v>33624974</v>
      </c>
      <c r="S149" s="405">
        <v>0</v>
      </c>
      <c r="T149" s="405">
        <v>0</v>
      </c>
      <c r="U149" s="406">
        <v>0</v>
      </c>
      <c r="V149" s="406">
        <v>0</v>
      </c>
      <c r="W149" s="407">
        <f t="shared" si="151"/>
        <v>0</v>
      </c>
      <c r="X149" s="407">
        <f t="shared" si="152"/>
        <v>100</v>
      </c>
      <c r="Y149" s="408">
        <f t="shared" si="153"/>
        <v>3</v>
      </c>
      <c r="Z149" s="444" t="s">
        <v>3378</v>
      </c>
      <c r="AA149" s="442">
        <v>0</v>
      </c>
      <c r="AB149" s="406">
        <v>0</v>
      </c>
      <c r="AC149" s="406">
        <v>0</v>
      </c>
      <c r="AD149" s="407">
        <f t="shared" si="154"/>
        <v>0</v>
      </c>
      <c r="AE149" s="364" t="str">
        <f t="shared" si="155"/>
        <v>50</v>
      </c>
      <c r="AF149" s="349">
        <f t="shared" si="156"/>
        <v>0.25</v>
      </c>
      <c r="AG149" s="154">
        <v>53</v>
      </c>
      <c r="AH149" s="154">
        <v>10284</v>
      </c>
      <c r="AI149" s="409">
        <f t="shared" si="132"/>
        <v>194.03773584905662</v>
      </c>
      <c r="AJ149" s="409">
        <f t="shared" si="133"/>
        <v>100</v>
      </c>
      <c r="AK149" s="408">
        <f t="shared" si="157"/>
        <v>1</v>
      </c>
      <c r="AL149" s="45">
        <v>1583</v>
      </c>
      <c r="AM149" s="361">
        <f t="shared" si="150"/>
        <v>549.65255843335444</v>
      </c>
      <c r="AN149" s="365">
        <f t="shared" si="148"/>
        <v>100</v>
      </c>
      <c r="AO149" s="320">
        <f t="shared" si="158"/>
        <v>1</v>
      </c>
      <c r="AP149" s="277">
        <f>_xlfn.XLOOKUP(C149, '1.건전성'!C:C, '1.건전성'!BE:BE)</f>
        <v>4324716.0199999996</v>
      </c>
      <c r="AQ149" s="277">
        <f>_xlfn.XLOOKUP(C149, '1.건전성'!C:C, '1.건전성'!BF:BF)</f>
        <v>413339.95199999999</v>
      </c>
      <c r="AR149" s="410">
        <f t="shared" si="134"/>
        <v>4738055.9719999991</v>
      </c>
      <c r="AS149" s="366">
        <f t="shared" si="130"/>
        <v>1.65815481438163</v>
      </c>
      <c r="AT149" s="366">
        <f t="shared" si="135"/>
        <v>25.872981015865552</v>
      </c>
      <c r="AU149" s="321">
        <f t="shared" si="136"/>
        <v>0.25872981015865554</v>
      </c>
      <c r="AV149" s="15">
        <v>435026</v>
      </c>
      <c r="AW149" s="361">
        <f t="shared" si="131"/>
        <v>0.15224397105986387</v>
      </c>
      <c r="AX149" s="361">
        <f t="shared" si="137"/>
        <v>25.395787659544425</v>
      </c>
      <c r="AY149" s="321">
        <f t="shared" si="159"/>
        <v>0.12697893829772214</v>
      </c>
      <c r="AZ149" s="411">
        <v>13</v>
      </c>
      <c r="BA149" s="412">
        <f t="shared" si="138"/>
        <v>100</v>
      </c>
      <c r="BB149" s="408">
        <f t="shared" si="160"/>
        <v>0.5</v>
      </c>
      <c r="BC149" s="204">
        <v>1</v>
      </c>
      <c r="BD149" s="407">
        <f t="shared" si="149"/>
        <v>100</v>
      </c>
      <c r="BE149" s="408">
        <f t="shared" si="161"/>
        <v>0.5</v>
      </c>
      <c r="BF149" s="204">
        <v>0</v>
      </c>
      <c r="BG149" s="204">
        <v>0</v>
      </c>
      <c r="BH149" s="204">
        <v>1</v>
      </c>
      <c r="BI149" s="272" t="str">
        <f t="shared" si="139"/>
        <v>D</v>
      </c>
      <c r="BJ149" s="247">
        <f t="shared" si="140"/>
        <v>25</v>
      </c>
      <c r="BK149" s="90">
        <f t="shared" si="141"/>
        <v>0.75</v>
      </c>
      <c r="BL149" s="406">
        <v>0</v>
      </c>
      <c r="BM149" s="413">
        <f t="shared" si="142"/>
        <v>0</v>
      </c>
      <c r="BN149" s="414">
        <f t="shared" si="143"/>
        <v>100</v>
      </c>
      <c r="BO149" s="415">
        <f t="shared" si="144"/>
        <v>3</v>
      </c>
      <c r="BP149" s="416">
        <v>0</v>
      </c>
      <c r="BQ149" s="417">
        <f t="shared" si="145"/>
        <v>33.333333333333336</v>
      </c>
      <c r="BR149" s="415">
        <f t="shared" si="146"/>
        <v>0.33333333333333337</v>
      </c>
      <c r="BS149" s="350">
        <f t="shared" si="147"/>
        <v>10.719042081789711</v>
      </c>
    </row>
    <row r="150" spans="1:71" x14ac:dyDescent="0.6">
      <c r="A150" s="214" t="s">
        <v>940</v>
      </c>
      <c r="B150" s="13" t="s">
        <v>2130</v>
      </c>
      <c r="C150" s="219" t="s">
        <v>888</v>
      </c>
      <c r="D150" s="216" t="s">
        <v>202</v>
      </c>
      <c r="E150" s="217" t="s">
        <v>205</v>
      </c>
      <c r="F150" s="217" t="s">
        <v>387</v>
      </c>
      <c r="G150" s="218">
        <v>28122</v>
      </c>
      <c r="H150" s="217" t="s">
        <v>830</v>
      </c>
      <c r="I150" s="217" t="s">
        <v>986</v>
      </c>
      <c r="J150" s="217" t="s">
        <v>1213</v>
      </c>
      <c r="K150" s="217" t="s">
        <v>690</v>
      </c>
      <c r="L150" s="220">
        <v>486680110</v>
      </c>
      <c r="M150" s="206">
        <v>12024987</v>
      </c>
      <c r="N150" s="206">
        <v>474655123</v>
      </c>
      <c r="O150" s="206">
        <v>196500716</v>
      </c>
      <c r="P150" s="206">
        <v>14583438</v>
      </c>
      <c r="Q150" s="206">
        <v>24138425</v>
      </c>
      <c r="R150" s="206">
        <v>18484244</v>
      </c>
      <c r="S150" s="405">
        <v>0</v>
      </c>
      <c r="T150" s="405">
        <v>0</v>
      </c>
      <c r="U150" s="406">
        <v>0</v>
      </c>
      <c r="V150" s="406">
        <v>0</v>
      </c>
      <c r="W150" s="407">
        <f t="shared" si="151"/>
        <v>0</v>
      </c>
      <c r="X150" s="407">
        <f t="shared" si="152"/>
        <v>100</v>
      </c>
      <c r="Y150" s="408">
        <f t="shared" si="153"/>
        <v>3</v>
      </c>
      <c r="Z150" s="444" t="s">
        <v>3379</v>
      </c>
      <c r="AA150" s="442">
        <v>0</v>
      </c>
      <c r="AB150" s="406">
        <v>0</v>
      </c>
      <c r="AC150" s="406">
        <v>0</v>
      </c>
      <c r="AD150" s="407">
        <f t="shared" si="154"/>
        <v>0</v>
      </c>
      <c r="AE150" s="364" t="str">
        <f t="shared" si="155"/>
        <v>50</v>
      </c>
      <c r="AF150" s="349">
        <f t="shared" si="156"/>
        <v>0.25</v>
      </c>
      <c r="AG150" s="154">
        <v>427</v>
      </c>
      <c r="AH150" s="421"/>
      <c r="AI150" s="409">
        <f t="shared" si="132"/>
        <v>0</v>
      </c>
      <c r="AJ150" s="409">
        <f t="shared" si="133"/>
        <v>25</v>
      </c>
      <c r="AK150" s="408">
        <f t="shared" si="157"/>
        <v>0.25</v>
      </c>
      <c r="AL150" s="423"/>
      <c r="AM150" s="424">
        <v>0</v>
      </c>
      <c r="AN150" s="365">
        <f t="shared" si="148"/>
        <v>25</v>
      </c>
      <c r="AO150" s="320">
        <f t="shared" si="158"/>
        <v>0.25</v>
      </c>
      <c r="AP150" s="277">
        <f>_xlfn.XLOOKUP(C150, '1.건전성'!C:C, '1.건전성'!BE:BE)</f>
        <v>5401987</v>
      </c>
      <c r="AQ150" s="277">
        <f>_xlfn.XLOOKUP(C150, '1.건전성'!C:C, '1.건전성'!BF:BF)</f>
        <v>644434</v>
      </c>
      <c r="AR150" s="410">
        <f t="shared" si="134"/>
        <v>6046421</v>
      </c>
      <c r="AS150" s="366">
        <f t="shared" si="130"/>
        <v>3.0770478210369472</v>
      </c>
      <c r="AT150" s="366">
        <f t="shared" si="135"/>
        <v>26.942498357565537</v>
      </c>
      <c r="AU150" s="321">
        <f t="shared" si="136"/>
        <v>0.26942498357565536</v>
      </c>
      <c r="AV150" s="15">
        <v>556804</v>
      </c>
      <c r="AW150" s="361">
        <f t="shared" si="131"/>
        <v>0.28335978175265275</v>
      </c>
      <c r="AX150" s="361">
        <f t="shared" si="137"/>
        <v>26.389089255701915</v>
      </c>
      <c r="AY150" s="321">
        <f t="shared" si="159"/>
        <v>0.13194544627850957</v>
      </c>
      <c r="AZ150" s="411">
        <v>14.6</v>
      </c>
      <c r="BA150" s="412">
        <f t="shared" si="138"/>
        <v>100</v>
      </c>
      <c r="BB150" s="408">
        <f t="shared" si="160"/>
        <v>0.5</v>
      </c>
      <c r="BC150" s="204">
        <v>1</v>
      </c>
      <c r="BD150" s="407">
        <f t="shared" si="149"/>
        <v>100</v>
      </c>
      <c r="BE150" s="408">
        <f t="shared" si="161"/>
        <v>0.5</v>
      </c>
      <c r="BF150" s="204">
        <v>0</v>
      </c>
      <c r="BG150" s="204">
        <v>1</v>
      </c>
      <c r="BH150" s="204">
        <v>0</v>
      </c>
      <c r="BI150" s="272" t="str">
        <f t="shared" si="139"/>
        <v>C</v>
      </c>
      <c r="BJ150" s="247">
        <f t="shared" si="140"/>
        <v>50</v>
      </c>
      <c r="BK150" s="90">
        <f t="shared" si="141"/>
        <v>1.5</v>
      </c>
      <c r="BL150" s="406">
        <v>14</v>
      </c>
      <c r="BM150" s="413">
        <f t="shared" si="142"/>
        <v>3.278688524590164</v>
      </c>
      <c r="BN150" s="414">
        <f t="shared" si="143"/>
        <v>40</v>
      </c>
      <c r="BO150" s="415">
        <f t="shared" si="144"/>
        <v>1.2</v>
      </c>
      <c r="BP150" s="416">
        <v>0</v>
      </c>
      <c r="BQ150" s="417">
        <f t="shared" si="145"/>
        <v>33.333333333333336</v>
      </c>
      <c r="BR150" s="415">
        <f t="shared" si="146"/>
        <v>0.33333333333333337</v>
      </c>
      <c r="BS150" s="350">
        <f t="shared" si="147"/>
        <v>8.1847037631874979</v>
      </c>
    </row>
    <row r="151" spans="1:71" x14ac:dyDescent="0.6">
      <c r="A151" s="214" t="s">
        <v>94</v>
      </c>
      <c r="B151" s="13" t="s">
        <v>2131</v>
      </c>
      <c r="C151" s="219" t="s">
        <v>943</v>
      </c>
      <c r="D151" s="216" t="s">
        <v>202</v>
      </c>
      <c r="E151" s="217" t="s">
        <v>954</v>
      </c>
      <c r="F151" s="217" t="s">
        <v>152</v>
      </c>
      <c r="G151" s="218">
        <v>40746</v>
      </c>
      <c r="H151" s="217" t="s">
        <v>830</v>
      </c>
      <c r="I151" s="217" t="s">
        <v>1699</v>
      </c>
      <c r="J151" s="217" t="s">
        <v>644</v>
      </c>
      <c r="K151" s="217" t="s">
        <v>31</v>
      </c>
      <c r="L151" s="220">
        <v>293690103</v>
      </c>
      <c r="M151" s="206">
        <v>62909269</v>
      </c>
      <c r="N151" s="206">
        <v>230780834</v>
      </c>
      <c r="O151" s="206">
        <v>364111086</v>
      </c>
      <c r="P151" s="206">
        <v>16532526</v>
      </c>
      <c r="Q151" s="206">
        <v>16979269</v>
      </c>
      <c r="R151" s="206">
        <v>13013318</v>
      </c>
      <c r="S151" s="405">
        <v>0</v>
      </c>
      <c r="T151" s="405">
        <v>0</v>
      </c>
      <c r="U151" s="406">
        <v>0</v>
      </c>
      <c r="V151" s="406">
        <v>0</v>
      </c>
      <c r="W151" s="407">
        <f t="shared" si="151"/>
        <v>0</v>
      </c>
      <c r="X151" s="407">
        <f t="shared" si="152"/>
        <v>100</v>
      </c>
      <c r="Y151" s="408">
        <f t="shared" si="153"/>
        <v>3</v>
      </c>
      <c r="Z151" s="444" t="s">
        <v>3380</v>
      </c>
      <c r="AA151" s="442">
        <v>0</v>
      </c>
      <c r="AB151" s="406">
        <v>0</v>
      </c>
      <c r="AC151" s="406">
        <v>0</v>
      </c>
      <c r="AD151" s="407">
        <f t="shared" si="154"/>
        <v>0</v>
      </c>
      <c r="AE151" s="364" t="str">
        <f t="shared" si="155"/>
        <v>50</v>
      </c>
      <c r="AF151" s="349">
        <f t="shared" si="156"/>
        <v>0.25</v>
      </c>
      <c r="AG151" s="154">
        <v>266</v>
      </c>
      <c r="AH151" s="154">
        <v>3900</v>
      </c>
      <c r="AI151" s="409">
        <f t="shared" si="132"/>
        <v>14.661654135338345</v>
      </c>
      <c r="AJ151" s="409">
        <f t="shared" si="133"/>
        <v>35.996240601503757</v>
      </c>
      <c r="AK151" s="408">
        <f t="shared" si="157"/>
        <v>0.35996240601503759</v>
      </c>
      <c r="AL151" s="45">
        <v>1501</v>
      </c>
      <c r="AM151" s="361">
        <f t="shared" si="150"/>
        <v>159.82678214523651</v>
      </c>
      <c r="AN151" s="365">
        <f t="shared" si="148"/>
        <v>54.967521652231845</v>
      </c>
      <c r="AO151" s="320">
        <f t="shared" si="158"/>
        <v>0.54967521652231843</v>
      </c>
      <c r="AP151" s="277">
        <f>_xlfn.XLOOKUP(C151, '1.건전성'!C:C, '1.건전성'!BE:BE)</f>
        <v>4291772</v>
      </c>
      <c r="AQ151" s="277">
        <f>_xlfn.XLOOKUP(C151, '1.건전성'!C:C, '1.건전성'!BF:BF)</f>
        <v>625151</v>
      </c>
      <c r="AR151" s="410">
        <f t="shared" si="134"/>
        <v>4916923</v>
      </c>
      <c r="AS151" s="366">
        <f t="shared" si="130"/>
        <v>1.3503909079000138</v>
      </c>
      <c r="AT151" s="366">
        <f t="shared" si="135"/>
        <v>25.640998171783931</v>
      </c>
      <c r="AU151" s="321">
        <f t="shared" si="136"/>
        <v>0.2564099817178393</v>
      </c>
      <c r="AV151" s="15">
        <v>485291</v>
      </c>
      <c r="AW151" s="361">
        <f t="shared" si="131"/>
        <v>0.1332810284166959</v>
      </c>
      <c r="AX151" s="361">
        <f t="shared" si="137"/>
        <v>25.252129003156789</v>
      </c>
      <c r="AY151" s="321">
        <f t="shared" si="159"/>
        <v>0.12626064501578393</v>
      </c>
      <c r="AZ151" s="411">
        <v>18.2</v>
      </c>
      <c r="BA151" s="412">
        <f t="shared" si="138"/>
        <v>100</v>
      </c>
      <c r="BB151" s="408">
        <f t="shared" si="160"/>
        <v>0.5</v>
      </c>
      <c r="BC151" s="204">
        <v>1</v>
      </c>
      <c r="BD151" s="407">
        <f t="shared" si="149"/>
        <v>100</v>
      </c>
      <c r="BE151" s="408">
        <f t="shared" si="161"/>
        <v>0.5</v>
      </c>
      <c r="BF151" s="204">
        <v>0</v>
      </c>
      <c r="BG151" s="204">
        <v>0</v>
      </c>
      <c r="BH151" s="204">
        <v>0</v>
      </c>
      <c r="BI151" s="272" t="str">
        <f t="shared" si="139"/>
        <v>A</v>
      </c>
      <c r="BJ151" s="247">
        <f t="shared" si="140"/>
        <v>100</v>
      </c>
      <c r="BK151" s="90">
        <f t="shared" si="141"/>
        <v>3</v>
      </c>
      <c r="BL151" s="406">
        <v>6</v>
      </c>
      <c r="BM151" s="413">
        <f t="shared" si="142"/>
        <v>2.2556390977443606</v>
      </c>
      <c r="BN151" s="414">
        <f t="shared" si="143"/>
        <v>60</v>
      </c>
      <c r="BO151" s="415">
        <f t="shared" si="144"/>
        <v>1.7999999999999998</v>
      </c>
      <c r="BP151" s="416">
        <v>0.92</v>
      </c>
      <c r="BQ151" s="417">
        <f t="shared" si="145"/>
        <v>66.666666666666671</v>
      </c>
      <c r="BR151" s="415">
        <f t="shared" si="146"/>
        <v>0.66666666666666674</v>
      </c>
      <c r="BS151" s="350">
        <f t="shared" si="147"/>
        <v>11.008974915937644</v>
      </c>
    </row>
    <row r="152" spans="1:71" x14ac:dyDescent="0.6">
      <c r="A152" s="214" t="s">
        <v>371</v>
      </c>
      <c r="B152" s="13" t="s">
        <v>2132</v>
      </c>
      <c r="C152" s="219" t="s">
        <v>930</v>
      </c>
      <c r="D152" s="216" t="s">
        <v>202</v>
      </c>
      <c r="E152" s="217" t="s">
        <v>575</v>
      </c>
      <c r="F152" s="217" t="s">
        <v>123</v>
      </c>
      <c r="G152" s="218">
        <v>32777</v>
      </c>
      <c r="H152" s="217" t="s">
        <v>830</v>
      </c>
      <c r="I152" s="217" t="s">
        <v>279</v>
      </c>
      <c r="J152" s="217" t="s">
        <v>1177</v>
      </c>
      <c r="K152" s="217" t="s">
        <v>308</v>
      </c>
      <c r="L152" s="220">
        <v>439293006</v>
      </c>
      <c r="M152" s="206">
        <v>233301117</v>
      </c>
      <c r="N152" s="206">
        <v>205991889</v>
      </c>
      <c r="O152" s="206">
        <v>339133931</v>
      </c>
      <c r="P152" s="206">
        <v>20669671</v>
      </c>
      <c r="Q152" s="206">
        <v>19430527</v>
      </c>
      <c r="R152" s="206">
        <v>16418030</v>
      </c>
      <c r="S152" s="405">
        <v>0</v>
      </c>
      <c r="T152" s="405">
        <v>0</v>
      </c>
      <c r="U152" s="406">
        <v>0</v>
      </c>
      <c r="V152" s="406">
        <v>0</v>
      </c>
      <c r="W152" s="407">
        <f t="shared" si="151"/>
        <v>0</v>
      </c>
      <c r="X152" s="407">
        <f t="shared" si="152"/>
        <v>100</v>
      </c>
      <c r="Y152" s="408">
        <f t="shared" si="153"/>
        <v>3</v>
      </c>
      <c r="Z152" s="444" t="s">
        <v>3381</v>
      </c>
      <c r="AA152" s="442">
        <v>0</v>
      </c>
      <c r="AB152" s="406">
        <v>0</v>
      </c>
      <c r="AC152" s="406">
        <v>0</v>
      </c>
      <c r="AD152" s="407">
        <f t="shared" si="154"/>
        <v>0</v>
      </c>
      <c r="AE152" s="364" t="str">
        <f t="shared" si="155"/>
        <v>50</v>
      </c>
      <c r="AF152" s="349">
        <f t="shared" si="156"/>
        <v>0.25</v>
      </c>
      <c r="AG152" s="154">
        <v>757</v>
      </c>
      <c r="AH152" s="421"/>
      <c r="AI152" s="409">
        <f t="shared" si="132"/>
        <v>0</v>
      </c>
      <c r="AJ152" s="409">
        <f t="shared" si="133"/>
        <v>25</v>
      </c>
      <c r="AK152" s="408">
        <f t="shared" si="157"/>
        <v>0.25</v>
      </c>
      <c r="AL152" s="423"/>
      <c r="AM152" s="424">
        <v>0</v>
      </c>
      <c r="AN152" s="365">
        <f t="shared" si="148"/>
        <v>25</v>
      </c>
      <c r="AO152" s="320">
        <f t="shared" si="158"/>
        <v>0.25</v>
      </c>
      <c r="AP152" s="277">
        <f>_xlfn.XLOOKUP(C152, '1.건전성'!C:C, '1.건전성'!BE:BE)</f>
        <v>16731370.594000001</v>
      </c>
      <c r="AQ152" s="277">
        <f>_xlfn.XLOOKUP(C152, '1.건전성'!C:C, '1.건전성'!BF:BF)</f>
        <v>1820239.6129999999</v>
      </c>
      <c r="AR152" s="410">
        <f t="shared" si="134"/>
        <v>18551610.207000002</v>
      </c>
      <c r="AS152" s="366">
        <f t="shared" si="130"/>
        <v>5.4702902043145905</v>
      </c>
      <c r="AT152" s="366">
        <f t="shared" si="135"/>
        <v>28.746449902749692</v>
      </c>
      <c r="AU152" s="321">
        <f t="shared" si="136"/>
        <v>0.28746449902749693</v>
      </c>
      <c r="AV152" s="15">
        <v>2487328</v>
      </c>
      <c r="AW152" s="361">
        <f t="shared" si="131"/>
        <v>0.73343531054697086</v>
      </c>
      <c r="AX152" s="361">
        <f t="shared" si="137"/>
        <v>29.798752352628568</v>
      </c>
      <c r="AY152" s="321">
        <f t="shared" si="159"/>
        <v>0.14899376176314286</v>
      </c>
      <c r="AZ152" s="411">
        <v>10.5</v>
      </c>
      <c r="BA152" s="412">
        <f t="shared" si="138"/>
        <v>100</v>
      </c>
      <c r="BB152" s="408">
        <f t="shared" si="160"/>
        <v>0.5</v>
      </c>
      <c r="BC152" s="204">
        <v>1</v>
      </c>
      <c r="BD152" s="407">
        <f t="shared" si="149"/>
        <v>100</v>
      </c>
      <c r="BE152" s="408">
        <f t="shared" si="161"/>
        <v>0.5</v>
      </c>
      <c r="BF152" s="204">
        <v>0</v>
      </c>
      <c r="BG152" s="204">
        <v>0</v>
      </c>
      <c r="BH152" s="204">
        <v>0</v>
      </c>
      <c r="BI152" s="272" t="str">
        <f t="shared" si="139"/>
        <v>A</v>
      </c>
      <c r="BJ152" s="247">
        <f t="shared" si="140"/>
        <v>100</v>
      </c>
      <c r="BK152" s="90">
        <f t="shared" si="141"/>
        <v>3</v>
      </c>
      <c r="BL152" s="406">
        <v>5</v>
      </c>
      <c r="BM152" s="413">
        <f t="shared" si="142"/>
        <v>0.66050198150594452</v>
      </c>
      <c r="BN152" s="414">
        <f t="shared" si="143"/>
        <v>80</v>
      </c>
      <c r="BO152" s="415">
        <f t="shared" si="144"/>
        <v>2.4</v>
      </c>
      <c r="BP152" s="416">
        <v>3.11</v>
      </c>
      <c r="BQ152" s="417">
        <f t="shared" si="145"/>
        <v>66.666666666666671</v>
      </c>
      <c r="BR152" s="415">
        <f t="shared" si="146"/>
        <v>0.66666666666666674</v>
      </c>
      <c r="BS152" s="350">
        <f t="shared" si="147"/>
        <v>11.253124927457307</v>
      </c>
    </row>
    <row r="153" spans="1:71" x14ac:dyDescent="0.6">
      <c r="A153" s="214" t="s">
        <v>1700</v>
      </c>
      <c r="B153" s="13" t="s">
        <v>2133</v>
      </c>
      <c r="C153" s="219" t="s">
        <v>1701</v>
      </c>
      <c r="D153" s="14" t="s">
        <v>191</v>
      </c>
      <c r="E153" s="217" t="s">
        <v>1702</v>
      </c>
      <c r="F153" s="217" t="s">
        <v>1703</v>
      </c>
      <c r="G153" s="218">
        <v>32416</v>
      </c>
      <c r="H153" s="217" t="s">
        <v>830</v>
      </c>
      <c r="I153" s="217" t="s">
        <v>1704</v>
      </c>
      <c r="J153" s="217" t="s">
        <v>1705</v>
      </c>
      <c r="K153" s="217" t="s">
        <v>317</v>
      </c>
      <c r="L153" s="220">
        <v>292340683</v>
      </c>
      <c r="M153" s="206">
        <v>98908853</v>
      </c>
      <c r="N153" s="206">
        <v>193431830</v>
      </c>
      <c r="O153" s="206">
        <v>135261634</v>
      </c>
      <c r="P153" s="206">
        <v>10418758</v>
      </c>
      <c r="Q153" s="206">
        <v>6051762</v>
      </c>
      <c r="R153" s="206">
        <v>3276434</v>
      </c>
      <c r="S153" s="405">
        <v>0</v>
      </c>
      <c r="T153" s="405">
        <v>0</v>
      </c>
      <c r="U153" s="406">
        <v>0</v>
      </c>
      <c r="V153" s="406">
        <v>0</v>
      </c>
      <c r="W153" s="407">
        <f t="shared" si="151"/>
        <v>0</v>
      </c>
      <c r="X153" s="407">
        <f t="shared" si="152"/>
        <v>100</v>
      </c>
      <c r="Y153" s="408">
        <f t="shared" si="153"/>
        <v>3</v>
      </c>
      <c r="Z153" s="444" t="s">
        <v>3382</v>
      </c>
      <c r="AA153" s="442">
        <v>0</v>
      </c>
      <c r="AB153" s="406">
        <v>0</v>
      </c>
      <c r="AC153" s="406">
        <v>0</v>
      </c>
      <c r="AD153" s="407">
        <f t="shared" si="154"/>
        <v>0</v>
      </c>
      <c r="AE153" s="364" t="str">
        <f t="shared" si="155"/>
        <v>50</v>
      </c>
      <c r="AF153" s="349">
        <f t="shared" si="156"/>
        <v>0.25</v>
      </c>
      <c r="AG153" s="154">
        <v>54</v>
      </c>
      <c r="AH153" s="421"/>
      <c r="AI153" s="409">
        <f t="shared" si="132"/>
        <v>0</v>
      </c>
      <c r="AJ153" s="409">
        <f t="shared" si="133"/>
        <v>25</v>
      </c>
      <c r="AK153" s="408">
        <f t="shared" si="157"/>
        <v>0.25</v>
      </c>
      <c r="AL153" s="423"/>
      <c r="AM153" s="424">
        <v>0</v>
      </c>
      <c r="AN153" s="365">
        <f t="shared" si="148"/>
        <v>25</v>
      </c>
      <c r="AO153" s="320">
        <f t="shared" si="158"/>
        <v>0.25</v>
      </c>
      <c r="AP153" s="277">
        <f>_xlfn.XLOOKUP(C153, '1.건전성'!C:C, '1.건전성'!BE:BE)</f>
        <v>3490547</v>
      </c>
      <c r="AQ153" s="277">
        <f>_xlfn.XLOOKUP(C153, '1.건전성'!C:C, '1.건전성'!BF:BF)</f>
        <v>277274</v>
      </c>
      <c r="AR153" s="410">
        <f t="shared" si="134"/>
        <v>3767821</v>
      </c>
      <c r="AS153" s="366">
        <f t="shared" si="130"/>
        <v>2.7855799819777425</v>
      </c>
      <c r="AT153" s="366">
        <f t="shared" si="135"/>
        <v>26.722798981390259</v>
      </c>
      <c r="AU153" s="321">
        <f t="shared" si="136"/>
        <v>0.26722798981390261</v>
      </c>
      <c r="AV153" s="15">
        <v>627536</v>
      </c>
      <c r="AW153" s="361">
        <f t="shared" si="131"/>
        <v>0.4639423474656531</v>
      </c>
      <c r="AX153" s="361">
        <f t="shared" si="137"/>
        <v>27.757138995951919</v>
      </c>
      <c r="AY153" s="321">
        <f t="shared" si="159"/>
        <v>0.13878569497975959</v>
      </c>
      <c r="AZ153" s="411">
        <v>9.9</v>
      </c>
      <c r="BA153" s="412">
        <f t="shared" si="138"/>
        <v>80</v>
      </c>
      <c r="BB153" s="408">
        <f t="shared" si="160"/>
        <v>0.4</v>
      </c>
      <c r="BC153" s="204">
        <v>1</v>
      </c>
      <c r="BD153" s="407">
        <f t="shared" si="149"/>
        <v>100</v>
      </c>
      <c r="BE153" s="408">
        <f t="shared" si="161"/>
        <v>0.5</v>
      </c>
      <c r="BF153" s="204">
        <v>0</v>
      </c>
      <c r="BG153" s="204">
        <v>1</v>
      </c>
      <c r="BH153" s="204">
        <v>0</v>
      </c>
      <c r="BI153" s="272" t="str">
        <f t="shared" si="139"/>
        <v>C</v>
      </c>
      <c r="BJ153" s="247">
        <f t="shared" si="140"/>
        <v>50</v>
      </c>
      <c r="BK153" s="90">
        <f t="shared" si="141"/>
        <v>1.5</v>
      </c>
      <c r="BL153" s="406">
        <v>2</v>
      </c>
      <c r="BM153" s="413">
        <f t="shared" si="142"/>
        <v>3.7037037037037033</v>
      </c>
      <c r="BN153" s="414">
        <f t="shared" si="143"/>
        <v>40</v>
      </c>
      <c r="BO153" s="415">
        <f t="shared" si="144"/>
        <v>1.2</v>
      </c>
      <c r="BP153" s="416">
        <v>0</v>
      </c>
      <c r="BQ153" s="417">
        <f t="shared" si="145"/>
        <v>33.333333333333336</v>
      </c>
      <c r="BR153" s="415">
        <f t="shared" si="146"/>
        <v>0.33333333333333337</v>
      </c>
      <c r="BS153" s="350">
        <f t="shared" si="147"/>
        <v>8.0893470181269969</v>
      </c>
    </row>
    <row r="154" spans="1:71" x14ac:dyDescent="0.6">
      <c r="A154" s="214" t="s">
        <v>906</v>
      </c>
      <c r="B154" s="13" t="s">
        <v>2134</v>
      </c>
      <c r="C154" s="219" t="s">
        <v>300</v>
      </c>
      <c r="D154" s="216" t="s">
        <v>191</v>
      </c>
      <c r="E154" s="217" t="s">
        <v>34</v>
      </c>
      <c r="F154" s="217" t="s">
        <v>395</v>
      </c>
      <c r="G154" s="218">
        <v>32312</v>
      </c>
      <c r="H154" s="217" t="s">
        <v>830</v>
      </c>
      <c r="I154" s="217" t="s">
        <v>730</v>
      </c>
      <c r="J154" s="217" t="s">
        <v>675</v>
      </c>
      <c r="K154" s="217" t="s">
        <v>91</v>
      </c>
      <c r="L154" s="220">
        <v>404796609</v>
      </c>
      <c r="M154" s="206">
        <v>130234655</v>
      </c>
      <c r="N154" s="206">
        <v>274561954</v>
      </c>
      <c r="O154" s="206">
        <v>274031808</v>
      </c>
      <c r="P154" s="206">
        <v>23292333</v>
      </c>
      <c r="Q154" s="206">
        <v>24312301</v>
      </c>
      <c r="R154" s="206">
        <v>21111758</v>
      </c>
      <c r="S154" s="405">
        <v>0</v>
      </c>
      <c r="T154" s="405">
        <v>0</v>
      </c>
      <c r="U154" s="406">
        <v>0</v>
      </c>
      <c r="V154" s="406">
        <v>0</v>
      </c>
      <c r="W154" s="407">
        <f t="shared" si="151"/>
        <v>0</v>
      </c>
      <c r="X154" s="407">
        <f t="shared" si="152"/>
        <v>100</v>
      </c>
      <c r="Y154" s="408">
        <f t="shared" si="153"/>
        <v>3</v>
      </c>
      <c r="Z154" s="444" t="s">
        <v>3383</v>
      </c>
      <c r="AA154" s="442">
        <v>0</v>
      </c>
      <c r="AB154" s="406">
        <v>1</v>
      </c>
      <c r="AC154" s="406">
        <v>0</v>
      </c>
      <c r="AD154" s="407">
        <f t="shared" si="154"/>
        <v>1</v>
      </c>
      <c r="AE154" s="364" t="str">
        <f t="shared" si="155"/>
        <v>100</v>
      </c>
      <c r="AF154" s="349">
        <f t="shared" si="156"/>
        <v>0.5</v>
      </c>
      <c r="AG154" s="154">
        <v>755</v>
      </c>
      <c r="AH154" s="154">
        <v>1031510</v>
      </c>
      <c r="AI154" s="409">
        <f t="shared" si="132"/>
        <v>1366.2384105960266</v>
      </c>
      <c r="AJ154" s="409">
        <f t="shared" si="133"/>
        <v>100</v>
      </c>
      <c r="AK154" s="408">
        <f t="shared" si="157"/>
        <v>1</v>
      </c>
      <c r="AL154" s="45">
        <v>826852</v>
      </c>
      <c r="AM154" s="361">
        <f t="shared" si="150"/>
        <v>24.751467009815542</v>
      </c>
      <c r="AN154" s="365">
        <f t="shared" si="148"/>
        <v>29.640900064340414</v>
      </c>
      <c r="AO154" s="320">
        <f t="shared" si="158"/>
        <v>0.29640900064340414</v>
      </c>
      <c r="AP154" s="277">
        <f>_xlfn.XLOOKUP(C154, '1.건전성'!C:C, '1.건전성'!BE:BE)</f>
        <v>35001849</v>
      </c>
      <c r="AQ154" s="277">
        <f>_xlfn.XLOOKUP(C154, '1.건전성'!C:C, '1.건전성'!BF:BF)</f>
        <v>3854232</v>
      </c>
      <c r="AR154" s="410">
        <f t="shared" si="134"/>
        <v>38856081</v>
      </c>
      <c r="AS154" s="366">
        <f t="shared" si="130"/>
        <v>14.179405406835107</v>
      </c>
      <c r="AT154" s="366">
        <f t="shared" si="135"/>
        <v>35.311109603142043</v>
      </c>
      <c r="AU154" s="321">
        <f t="shared" si="136"/>
        <v>0.35311109603142044</v>
      </c>
      <c r="AV154" s="15">
        <v>7446045</v>
      </c>
      <c r="AW154" s="361">
        <f t="shared" si="131"/>
        <v>2.717219236096855</v>
      </c>
      <c r="AX154" s="361">
        <f t="shared" si="137"/>
        <v>44.827418455279201</v>
      </c>
      <c r="AY154" s="321">
        <f t="shared" si="159"/>
        <v>0.224137092276396</v>
      </c>
      <c r="AZ154" s="411">
        <v>12.4</v>
      </c>
      <c r="BA154" s="412">
        <f t="shared" si="138"/>
        <v>100</v>
      </c>
      <c r="BB154" s="408">
        <f t="shared" si="160"/>
        <v>0.5</v>
      </c>
      <c r="BC154" s="204">
        <v>1</v>
      </c>
      <c r="BD154" s="407">
        <f t="shared" si="149"/>
        <v>100</v>
      </c>
      <c r="BE154" s="408">
        <f t="shared" si="161"/>
        <v>0.5</v>
      </c>
      <c r="BF154" s="204">
        <v>0</v>
      </c>
      <c r="BG154" s="204">
        <v>0</v>
      </c>
      <c r="BH154" s="204">
        <v>0</v>
      </c>
      <c r="BI154" s="272" t="str">
        <f t="shared" si="139"/>
        <v>A</v>
      </c>
      <c r="BJ154" s="247">
        <f t="shared" si="140"/>
        <v>100</v>
      </c>
      <c r="BK154" s="90">
        <f t="shared" si="141"/>
        <v>3</v>
      </c>
      <c r="BL154" s="406">
        <v>24</v>
      </c>
      <c r="BM154" s="413">
        <f t="shared" si="142"/>
        <v>3.1788079470198674</v>
      </c>
      <c r="BN154" s="414">
        <f t="shared" si="143"/>
        <v>40</v>
      </c>
      <c r="BO154" s="415">
        <f t="shared" si="144"/>
        <v>1.2</v>
      </c>
      <c r="BP154" s="416">
        <v>2.4900000000000002</v>
      </c>
      <c r="BQ154" s="417">
        <f t="shared" si="145"/>
        <v>66.666666666666671</v>
      </c>
      <c r="BR154" s="415">
        <f t="shared" si="146"/>
        <v>0.66666666666666674</v>
      </c>
      <c r="BS154" s="350">
        <f t="shared" si="147"/>
        <v>11.240323855617886</v>
      </c>
    </row>
    <row r="155" spans="1:71" x14ac:dyDescent="0.6">
      <c r="A155" s="214" t="s">
        <v>329</v>
      </c>
      <c r="B155" s="13" t="s">
        <v>2135</v>
      </c>
      <c r="C155" s="219" t="s">
        <v>858</v>
      </c>
      <c r="D155" s="216" t="s">
        <v>285</v>
      </c>
      <c r="E155" s="217" t="s">
        <v>1061</v>
      </c>
      <c r="F155" s="217" t="s">
        <v>124</v>
      </c>
      <c r="G155" s="218">
        <v>38484</v>
      </c>
      <c r="H155" s="217" t="s">
        <v>830</v>
      </c>
      <c r="I155" s="217" t="s">
        <v>734</v>
      </c>
      <c r="J155" s="217" t="s">
        <v>1197</v>
      </c>
      <c r="K155" s="217" t="s">
        <v>425</v>
      </c>
      <c r="L155" s="220">
        <v>278609820</v>
      </c>
      <c r="M155" s="206">
        <v>60662564</v>
      </c>
      <c r="N155" s="206">
        <v>217947256</v>
      </c>
      <c r="O155" s="206">
        <v>300844920</v>
      </c>
      <c r="P155" s="206">
        <v>2168970</v>
      </c>
      <c r="Q155" s="206">
        <v>5936019</v>
      </c>
      <c r="R155" s="206">
        <v>4978376</v>
      </c>
      <c r="S155" s="405">
        <v>0</v>
      </c>
      <c r="T155" s="405">
        <v>0</v>
      </c>
      <c r="U155" s="406">
        <v>0</v>
      </c>
      <c r="V155" s="406">
        <v>0</v>
      </c>
      <c r="W155" s="407">
        <f t="shared" si="151"/>
        <v>0</v>
      </c>
      <c r="X155" s="407">
        <f t="shared" si="152"/>
        <v>100</v>
      </c>
      <c r="Y155" s="408">
        <f t="shared" si="153"/>
        <v>3</v>
      </c>
      <c r="Z155" s="444" t="s">
        <v>3384</v>
      </c>
      <c r="AA155" s="442">
        <v>1</v>
      </c>
      <c r="AB155" s="406">
        <v>1</v>
      </c>
      <c r="AC155" s="406">
        <v>0</v>
      </c>
      <c r="AD155" s="407">
        <f t="shared" si="154"/>
        <v>2</v>
      </c>
      <c r="AE155" s="364" t="str">
        <f t="shared" si="155"/>
        <v>100</v>
      </c>
      <c r="AF155" s="349">
        <f t="shared" si="156"/>
        <v>0.5</v>
      </c>
      <c r="AG155" s="154">
        <v>1916</v>
      </c>
      <c r="AH155" s="421"/>
      <c r="AI155" s="409">
        <f t="shared" si="132"/>
        <v>0</v>
      </c>
      <c r="AJ155" s="409">
        <f t="shared" si="133"/>
        <v>25</v>
      </c>
      <c r="AK155" s="408">
        <f t="shared" si="157"/>
        <v>0.25</v>
      </c>
      <c r="AL155" s="423"/>
      <c r="AM155" s="424">
        <v>0</v>
      </c>
      <c r="AN155" s="365">
        <f t="shared" si="148"/>
        <v>25</v>
      </c>
      <c r="AO155" s="320">
        <f t="shared" si="158"/>
        <v>0.25</v>
      </c>
      <c r="AP155" s="277">
        <f>_xlfn.XLOOKUP(C155, '1.건전성'!C:C, '1.건전성'!BE:BE)</f>
        <v>5045223</v>
      </c>
      <c r="AQ155" s="277">
        <f>_xlfn.XLOOKUP(C155, '1.건전성'!C:C, '1.건전성'!BF:BF)</f>
        <v>375851</v>
      </c>
      <c r="AR155" s="410">
        <f t="shared" si="134"/>
        <v>5421074</v>
      </c>
      <c r="AS155" s="366">
        <f t="shared" si="130"/>
        <v>1.8019496556564758</v>
      </c>
      <c r="AT155" s="366">
        <f t="shared" si="135"/>
        <v>25.981369087178248</v>
      </c>
      <c r="AU155" s="321">
        <f t="shared" si="136"/>
        <v>0.25981369087178247</v>
      </c>
      <c r="AV155" s="15">
        <v>1155066</v>
      </c>
      <c r="AW155" s="361">
        <f t="shared" si="131"/>
        <v>0.38394066949842465</v>
      </c>
      <c r="AX155" s="361">
        <f t="shared" si="137"/>
        <v>27.151065678018369</v>
      </c>
      <c r="AY155" s="321">
        <f t="shared" si="159"/>
        <v>0.13575532839009186</v>
      </c>
      <c r="AZ155" s="411">
        <v>11.65</v>
      </c>
      <c r="BA155" s="412">
        <f t="shared" si="138"/>
        <v>100</v>
      </c>
      <c r="BB155" s="408">
        <f t="shared" si="160"/>
        <v>0.5</v>
      </c>
      <c r="BC155" s="204">
        <v>1</v>
      </c>
      <c r="BD155" s="407">
        <f t="shared" si="149"/>
        <v>100</v>
      </c>
      <c r="BE155" s="408">
        <f t="shared" si="161"/>
        <v>0.5</v>
      </c>
      <c r="BF155" s="204">
        <v>0</v>
      </c>
      <c r="BG155" s="204">
        <v>1</v>
      </c>
      <c r="BH155" s="204">
        <v>0</v>
      </c>
      <c r="BI155" s="272" t="str">
        <f t="shared" si="139"/>
        <v>C</v>
      </c>
      <c r="BJ155" s="247">
        <f t="shared" si="140"/>
        <v>50</v>
      </c>
      <c r="BK155" s="90">
        <f t="shared" si="141"/>
        <v>1.5</v>
      </c>
      <c r="BL155" s="406">
        <v>1577</v>
      </c>
      <c r="BM155" s="413">
        <f t="shared" si="142"/>
        <v>82.306889352818374</v>
      </c>
      <c r="BN155" s="414">
        <f t="shared" si="143"/>
        <v>20</v>
      </c>
      <c r="BO155" s="415">
        <f t="shared" si="144"/>
        <v>0.6</v>
      </c>
      <c r="BP155" s="416">
        <v>0</v>
      </c>
      <c r="BQ155" s="417">
        <f t="shared" si="145"/>
        <v>33.333333333333336</v>
      </c>
      <c r="BR155" s="415">
        <f t="shared" si="146"/>
        <v>0.33333333333333337</v>
      </c>
      <c r="BS155" s="350">
        <f t="shared" si="147"/>
        <v>7.8289023525952066</v>
      </c>
    </row>
    <row r="156" spans="1:71" x14ac:dyDescent="0.6">
      <c r="A156" s="214" t="s">
        <v>27</v>
      </c>
      <c r="B156" s="13" t="s">
        <v>2136</v>
      </c>
      <c r="C156" s="219" t="s">
        <v>312</v>
      </c>
      <c r="D156" s="216" t="s">
        <v>202</v>
      </c>
      <c r="E156" s="217" t="s">
        <v>205</v>
      </c>
      <c r="F156" s="217" t="s">
        <v>260</v>
      </c>
      <c r="G156" s="218">
        <v>31740</v>
      </c>
      <c r="H156" s="217" t="s">
        <v>830</v>
      </c>
      <c r="I156" s="217" t="s">
        <v>250</v>
      </c>
      <c r="J156" s="217" t="s">
        <v>1086</v>
      </c>
      <c r="K156" s="217" t="s">
        <v>317</v>
      </c>
      <c r="L156" s="220">
        <v>110962184</v>
      </c>
      <c r="M156" s="206">
        <v>49075760</v>
      </c>
      <c r="N156" s="206">
        <v>61886424</v>
      </c>
      <c r="O156" s="206">
        <v>192666638</v>
      </c>
      <c r="P156" s="206">
        <v>14593397</v>
      </c>
      <c r="Q156" s="206">
        <v>13329040</v>
      </c>
      <c r="R156" s="206">
        <v>11131018</v>
      </c>
      <c r="S156" s="405">
        <v>0</v>
      </c>
      <c r="T156" s="405">
        <v>0</v>
      </c>
      <c r="U156" s="406">
        <v>0</v>
      </c>
      <c r="V156" s="406">
        <v>0</v>
      </c>
      <c r="W156" s="407">
        <f t="shared" si="151"/>
        <v>0</v>
      </c>
      <c r="X156" s="407">
        <f t="shared" si="152"/>
        <v>100</v>
      </c>
      <c r="Y156" s="408">
        <f t="shared" si="153"/>
        <v>3</v>
      </c>
      <c r="Z156" s="444" t="s">
        <v>3385</v>
      </c>
      <c r="AA156" s="442">
        <v>0</v>
      </c>
      <c r="AB156" s="406">
        <v>0</v>
      </c>
      <c r="AC156" s="406">
        <v>0</v>
      </c>
      <c r="AD156" s="407">
        <f t="shared" si="154"/>
        <v>0</v>
      </c>
      <c r="AE156" s="364" t="str">
        <f t="shared" si="155"/>
        <v>50</v>
      </c>
      <c r="AF156" s="349">
        <f t="shared" si="156"/>
        <v>0.25</v>
      </c>
      <c r="AG156" s="154">
        <v>473</v>
      </c>
      <c r="AH156" s="154">
        <v>18286</v>
      </c>
      <c r="AI156" s="409">
        <f t="shared" si="132"/>
        <v>38.659619450317123</v>
      </c>
      <c r="AJ156" s="409">
        <f t="shared" si="133"/>
        <v>53.994714587737846</v>
      </c>
      <c r="AK156" s="408">
        <f t="shared" si="157"/>
        <v>0.53994714587737846</v>
      </c>
      <c r="AL156" s="45">
        <v>16610</v>
      </c>
      <c r="AM156" s="361">
        <f t="shared" si="150"/>
        <v>10.090307043949428</v>
      </c>
      <c r="AN156" s="365">
        <f t="shared" si="148"/>
        <v>26.891932570740519</v>
      </c>
      <c r="AO156" s="320">
        <f t="shared" si="158"/>
        <v>0.26891932570740518</v>
      </c>
      <c r="AP156" s="277">
        <f>_xlfn.XLOOKUP(C156, '1.건전성'!C:C, '1.건전성'!BE:BE)</f>
        <v>7233201</v>
      </c>
      <c r="AQ156" s="277">
        <f>_xlfn.XLOOKUP(C156, '1.건전성'!C:C, '1.건전성'!BF:BF)</f>
        <v>632944</v>
      </c>
      <c r="AR156" s="410">
        <f t="shared" si="134"/>
        <v>7866145</v>
      </c>
      <c r="AS156" s="366">
        <f t="shared" si="130"/>
        <v>4.0827748289249746</v>
      </c>
      <c r="AT156" s="366">
        <f t="shared" si="135"/>
        <v>27.700584041903248</v>
      </c>
      <c r="AU156" s="321">
        <f t="shared" si="136"/>
        <v>0.27700584041903248</v>
      </c>
      <c r="AV156" s="15">
        <v>1405755</v>
      </c>
      <c r="AW156" s="361">
        <f t="shared" si="131"/>
        <v>0.72963073139834411</v>
      </c>
      <c r="AX156" s="361">
        <f t="shared" si="137"/>
        <v>29.769929783320791</v>
      </c>
      <c r="AY156" s="321">
        <f t="shared" si="159"/>
        <v>0.14884964891660396</v>
      </c>
      <c r="AZ156" s="411">
        <v>10.5</v>
      </c>
      <c r="BA156" s="412">
        <f t="shared" si="138"/>
        <v>100</v>
      </c>
      <c r="BB156" s="408">
        <f t="shared" si="160"/>
        <v>0.5</v>
      </c>
      <c r="BC156" s="204">
        <v>1</v>
      </c>
      <c r="BD156" s="407">
        <f t="shared" si="149"/>
        <v>100</v>
      </c>
      <c r="BE156" s="408">
        <f t="shared" si="161"/>
        <v>0.5</v>
      </c>
      <c r="BF156" s="204">
        <v>0</v>
      </c>
      <c r="BG156" s="204">
        <v>0</v>
      </c>
      <c r="BH156" s="204">
        <v>0</v>
      </c>
      <c r="BI156" s="272" t="str">
        <f t="shared" si="139"/>
        <v>A</v>
      </c>
      <c r="BJ156" s="247">
        <f t="shared" si="140"/>
        <v>100</v>
      </c>
      <c r="BK156" s="90">
        <f t="shared" si="141"/>
        <v>3</v>
      </c>
      <c r="BL156" s="406">
        <v>0</v>
      </c>
      <c r="BM156" s="413">
        <f t="shared" si="142"/>
        <v>0</v>
      </c>
      <c r="BN156" s="414">
        <f t="shared" si="143"/>
        <v>100</v>
      </c>
      <c r="BO156" s="415">
        <f t="shared" si="144"/>
        <v>3</v>
      </c>
      <c r="BP156" s="416">
        <v>0</v>
      </c>
      <c r="BQ156" s="417">
        <f t="shared" si="145"/>
        <v>33.333333333333336</v>
      </c>
      <c r="BR156" s="415">
        <f t="shared" si="146"/>
        <v>0.33333333333333337</v>
      </c>
      <c r="BS156" s="350">
        <f t="shared" si="147"/>
        <v>11.818055294253755</v>
      </c>
    </row>
    <row r="157" spans="1:71" x14ac:dyDescent="0.6">
      <c r="A157" s="214" t="s">
        <v>70</v>
      </c>
      <c r="B157" s="13" t="s">
        <v>2137</v>
      </c>
      <c r="C157" s="219" t="s">
        <v>328</v>
      </c>
      <c r="D157" s="216" t="s">
        <v>202</v>
      </c>
      <c r="E157" s="217" t="s">
        <v>205</v>
      </c>
      <c r="F157" s="217" t="s">
        <v>249</v>
      </c>
      <c r="G157" s="218">
        <v>27937</v>
      </c>
      <c r="H157" s="217" t="s">
        <v>830</v>
      </c>
      <c r="I157" s="217" t="s">
        <v>908</v>
      </c>
      <c r="J157" s="217" t="s">
        <v>1079</v>
      </c>
      <c r="K157" s="217" t="s">
        <v>690</v>
      </c>
      <c r="L157" s="220">
        <v>258833722</v>
      </c>
      <c r="M157" s="206">
        <v>56671294</v>
      </c>
      <c r="N157" s="206">
        <v>202162428</v>
      </c>
      <c r="O157" s="206">
        <v>211265922</v>
      </c>
      <c r="P157" s="206">
        <v>24633492</v>
      </c>
      <c r="Q157" s="206">
        <v>27322194</v>
      </c>
      <c r="R157" s="206">
        <v>21624124</v>
      </c>
      <c r="S157" s="405">
        <v>0</v>
      </c>
      <c r="T157" s="405">
        <v>0</v>
      </c>
      <c r="U157" s="406">
        <v>0</v>
      </c>
      <c r="V157" s="406">
        <v>0</v>
      </c>
      <c r="W157" s="407">
        <f t="shared" si="151"/>
        <v>0</v>
      </c>
      <c r="X157" s="407">
        <f t="shared" si="152"/>
        <v>100</v>
      </c>
      <c r="Y157" s="408">
        <f t="shared" si="153"/>
        <v>3</v>
      </c>
      <c r="Z157" s="444" t="s">
        <v>3386</v>
      </c>
      <c r="AA157" s="442">
        <v>1</v>
      </c>
      <c r="AB157" s="406">
        <v>0</v>
      </c>
      <c r="AC157" s="406">
        <v>0</v>
      </c>
      <c r="AD157" s="407">
        <f t="shared" si="154"/>
        <v>1</v>
      </c>
      <c r="AE157" s="364" t="str">
        <f t="shared" si="155"/>
        <v>100</v>
      </c>
      <c r="AF157" s="349">
        <f t="shared" si="156"/>
        <v>0.5</v>
      </c>
      <c r="AG157" s="154">
        <v>601</v>
      </c>
      <c r="AH157" s="421"/>
      <c r="AI157" s="409">
        <f t="shared" si="132"/>
        <v>0</v>
      </c>
      <c r="AJ157" s="409">
        <f t="shared" si="133"/>
        <v>25</v>
      </c>
      <c r="AK157" s="408">
        <f t="shared" si="157"/>
        <v>0.25</v>
      </c>
      <c r="AL157" s="423"/>
      <c r="AM157" s="424">
        <v>0</v>
      </c>
      <c r="AN157" s="365">
        <f t="shared" si="148"/>
        <v>25</v>
      </c>
      <c r="AO157" s="320">
        <f t="shared" si="158"/>
        <v>0.25</v>
      </c>
      <c r="AP157" s="277">
        <f>_xlfn.XLOOKUP(C157, '1.건전성'!C:C, '1.건전성'!BE:BE)</f>
        <v>10391630</v>
      </c>
      <c r="AQ157" s="277">
        <f>_xlfn.XLOOKUP(C157, '1.건전성'!C:C, '1.건전성'!BF:BF)</f>
        <v>1007549</v>
      </c>
      <c r="AR157" s="410">
        <f t="shared" si="134"/>
        <v>11399179</v>
      </c>
      <c r="AS157" s="366">
        <f t="shared" si="130"/>
        <v>5.3956543923823173</v>
      </c>
      <c r="AT157" s="366">
        <f t="shared" si="135"/>
        <v>28.690191753051998</v>
      </c>
      <c r="AU157" s="321">
        <f t="shared" si="136"/>
        <v>0.28690191753051997</v>
      </c>
      <c r="AV157" s="15">
        <v>1567689</v>
      </c>
      <c r="AW157" s="361">
        <f t="shared" si="131"/>
        <v>0.74204537350799049</v>
      </c>
      <c r="AX157" s="361">
        <f t="shared" si="137"/>
        <v>29.863980102333262</v>
      </c>
      <c r="AY157" s="321">
        <f t="shared" si="159"/>
        <v>0.1493199005116663</v>
      </c>
      <c r="AZ157" s="411">
        <v>7.5</v>
      </c>
      <c r="BA157" s="412">
        <f t="shared" si="138"/>
        <v>60</v>
      </c>
      <c r="BB157" s="408">
        <f t="shared" si="160"/>
        <v>0.3</v>
      </c>
      <c r="BC157" s="204">
        <v>1</v>
      </c>
      <c r="BD157" s="407">
        <f t="shared" si="149"/>
        <v>100</v>
      </c>
      <c r="BE157" s="408">
        <f t="shared" si="161"/>
        <v>0.5</v>
      </c>
      <c r="BF157" s="204">
        <v>0</v>
      </c>
      <c r="BG157" s="204">
        <v>0</v>
      </c>
      <c r="BH157" s="204">
        <v>0</v>
      </c>
      <c r="BI157" s="272" t="str">
        <f t="shared" si="139"/>
        <v>A</v>
      </c>
      <c r="BJ157" s="247">
        <f t="shared" si="140"/>
        <v>100</v>
      </c>
      <c r="BK157" s="90">
        <f t="shared" si="141"/>
        <v>3</v>
      </c>
      <c r="BL157" s="406">
        <v>7</v>
      </c>
      <c r="BM157" s="413">
        <f t="shared" si="142"/>
        <v>1.1647254575707155</v>
      </c>
      <c r="BN157" s="414">
        <f t="shared" si="143"/>
        <v>60</v>
      </c>
      <c r="BO157" s="415">
        <f t="shared" si="144"/>
        <v>1.7999999999999998</v>
      </c>
      <c r="BP157" s="416">
        <v>0</v>
      </c>
      <c r="BQ157" s="417">
        <f t="shared" si="145"/>
        <v>33.333333333333336</v>
      </c>
      <c r="BR157" s="415">
        <f t="shared" si="146"/>
        <v>0.33333333333333337</v>
      </c>
      <c r="BS157" s="350">
        <f t="shared" si="147"/>
        <v>10.36955515137552</v>
      </c>
    </row>
    <row r="158" spans="1:71" x14ac:dyDescent="0.6">
      <c r="A158" s="214" t="s">
        <v>45</v>
      </c>
      <c r="B158" s="13" t="s">
        <v>2138</v>
      </c>
      <c r="C158" s="219" t="s">
        <v>95</v>
      </c>
      <c r="D158" s="216" t="s">
        <v>202</v>
      </c>
      <c r="E158" s="217" t="s">
        <v>954</v>
      </c>
      <c r="F158" s="217" t="s">
        <v>162</v>
      </c>
      <c r="G158" s="218">
        <v>38287</v>
      </c>
      <c r="H158" s="217" t="s">
        <v>830</v>
      </c>
      <c r="I158" s="217" t="s">
        <v>247</v>
      </c>
      <c r="J158" s="217" t="s">
        <v>1066</v>
      </c>
      <c r="K158" s="217" t="s">
        <v>308</v>
      </c>
      <c r="L158" s="220">
        <v>425929471</v>
      </c>
      <c r="M158" s="206">
        <v>214344538</v>
      </c>
      <c r="N158" s="206">
        <v>211584933</v>
      </c>
      <c r="O158" s="206">
        <v>373474666</v>
      </c>
      <c r="P158" s="206">
        <v>26834891</v>
      </c>
      <c r="Q158" s="206">
        <v>16665875</v>
      </c>
      <c r="R158" s="206">
        <v>11131495</v>
      </c>
      <c r="S158" s="405">
        <v>0</v>
      </c>
      <c r="T158" s="405">
        <v>0</v>
      </c>
      <c r="U158" s="406">
        <v>0</v>
      </c>
      <c r="V158" s="406">
        <v>0</v>
      </c>
      <c r="W158" s="407">
        <f t="shared" si="151"/>
        <v>0</v>
      </c>
      <c r="X158" s="407">
        <f t="shared" si="152"/>
        <v>100</v>
      </c>
      <c r="Y158" s="408">
        <f t="shared" si="153"/>
        <v>3</v>
      </c>
      <c r="Z158" s="444" t="s">
        <v>3387</v>
      </c>
      <c r="AA158" s="442">
        <v>0</v>
      </c>
      <c r="AB158" s="406">
        <v>1</v>
      </c>
      <c r="AC158" s="406">
        <v>0</v>
      </c>
      <c r="AD158" s="407">
        <f t="shared" si="154"/>
        <v>1</v>
      </c>
      <c r="AE158" s="364" t="str">
        <f t="shared" si="155"/>
        <v>100</v>
      </c>
      <c r="AF158" s="349">
        <f t="shared" si="156"/>
        <v>0.5</v>
      </c>
      <c r="AG158" s="154">
        <v>628</v>
      </c>
      <c r="AH158" s="154">
        <v>46305</v>
      </c>
      <c r="AI158" s="409">
        <f t="shared" si="132"/>
        <v>73.734076433121018</v>
      </c>
      <c r="AJ158" s="409">
        <f t="shared" si="133"/>
        <v>80.300557324840767</v>
      </c>
      <c r="AK158" s="408">
        <f t="shared" si="157"/>
        <v>0.80300557324840771</v>
      </c>
      <c r="AL158" s="45">
        <v>51486</v>
      </c>
      <c r="AM158" s="361">
        <f t="shared" si="150"/>
        <v>-10.062929728469875</v>
      </c>
      <c r="AN158" s="365">
        <f t="shared" si="148"/>
        <v>25</v>
      </c>
      <c r="AO158" s="320">
        <f t="shared" si="158"/>
        <v>0.25</v>
      </c>
      <c r="AP158" s="277">
        <f>_xlfn.XLOOKUP(C158, '1.건전성'!C:C, '1.건전성'!BE:BE)</f>
        <v>11807420.648</v>
      </c>
      <c r="AQ158" s="277">
        <f>_xlfn.XLOOKUP(C158, '1.건전성'!C:C, '1.건전성'!BF:BF)</f>
        <v>1570922.7549999999</v>
      </c>
      <c r="AR158" s="410">
        <f t="shared" si="134"/>
        <v>13378343.403000001</v>
      </c>
      <c r="AS158" s="366">
        <f t="shared" si="130"/>
        <v>3.5821287548858805</v>
      </c>
      <c r="AT158" s="366">
        <f t="shared" si="135"/>
        <v>27.323212629310966</v>
      </c>
      <c r="AU158" s="321">
        <f t="shared" si="136"/>
        <v>0.27323212629310967</v>
      </c>
      <c r="AV158" s="15">
        <v>3453170</v>
      </c>
      <c r="AW158" s="361">
        <f t="shared" si="131"/>
        <v>0.92460622215269606</v>
      </c>
      <c r="AX158" s="361">
        <f t="shared" si="137"/>
        <v>31.247016834490122</v>
      </c>
      <c r="AY158" s="321">
        <f t="shared" si="159"/>
        <v>0.15623508417245061</v>
      </c>
      <c r="AZ158" s="411">
        <v>12</v>
      </c>
      <c r="BA158" s="412">
        <f t="shared" si="138"/>
        <v>100</v>
      </c>
      <c r="BB158" s="408">
        <f t="shared" si="160"/>
        <v>0.5</v>
      </c>
      <c r="BC158" s="204">
        <v>1</v>
      </c>
      <c r="BD158" s="407">
        <f t="shared" si="149"/>
        <v>100</v>
      </c>
      <c r="BE158" s="408">
        <f t="shared" si="161"/>
        <v>0.5</v>
      </c>
      <c r="BF158" s="204">
        <v>1</v>
      </c>
      <c r="BG158" s="204">
        <v>0</v>
      </c>
      <c r="BH158" s="204">
        <v>0</v>
      </c>
      <c r="BI158" s="272" t="str">
        <f t="shared" si="139"/>
        <v>B</v>
      </c>
      <c r="BJ158" s="247">
        <f t="shared" si="140"/>
        <v>75</v>
      </c>
      <c r="BK158" s="90">
        <f t="shared" si="141"/>
        <v>2.25</v>
      </c>
      <c r="BL158" s="406">
        <v>29</v>
      </c>
      <c r="BM158" s="413">
        <f t="shared" si="142"/>
        <v>4.6178343949044587</v>
      </c>
      <c r="BN158" s="414">
        <f t="shared" si="143"/>
        <v>40</v>
      </c>
      <c r="BO158" s="415">
        <f t="shared" si="144"/>
        <v>1.2</v>
      </c>
      <c r="BP158" s="416">
        <v>0</v>
      </c>
      <c r="BQ158" s="417">
        <f t="shared" si="145"/>
        <v>33.333333333333336</v>
      </c>
      <c r="BR158" s="415">
        <f t="shared" si="146"/>
        <v>0.33333333333333337</v>
      </c>
      <c r="BS158" s="350">
        <f t="shared" si="147"/>
        <v>9.7658061170473012</v>
      </c>
    </row>
    <row r="159" spans="1:71" x14ac:dyDescent="0.6">
      <c r="A159" s="214" t="s">
        <v>25</v>
      </c>
      <c r="B159" s="13" t="s">
        <v>2139</v>
      </c>
      <c r="C159" s="219" t="s">
        <v>39</v>
      </c>
      <c r="D159" s="216" t="s">
        <v>191</v>
      </c>
      <c r="E159" s="217" t="s">
        <v>178</v>
      </c>
      <c r="F159" s="217" t="s">
        <v>749</v>
      </c>
      <c r="G159" s="218">
        <v>42591</v>
      </c>
      <c r="H159" s="217" t="s">
        <v>830</v>
      </c>
      <c r="I159" s="217" t="s">
        <v>758</v>
      </c>
      <c r="J159" s="217" t="s">
        <v>1117</v>
      </c>
      <c r="K159" s="217" t="s">
        <v>91</v>
      </c>
      <c r="L159" s="220">
        <v>323958042</v>
      </c>
      <c r="M159" s="206">
        <v>108746469</v>
      </c>
      <c r="N159" s="206">
        <v>215211573</v>
      </c>
      <c r="O159" s="206">
        <v>362553052</v>
      </c>
      <c r="P159" s="206">
        <v>8643494</v>
      </c>
      <c r="Q159" s="206">
        <v>12941595</v>
      </c>
      <c r="R159" s="206">
        <v>11435933</v>
      </c>
      <c r="S159" s="405">
        <v>0</v>
      </c>
      <c r="T159" s="405">
        <v>0</v>
      </c>
      <c r="U159" s="406">
        <v>0</v>
      </c>
      <c r="V159" s="406">
        <v>0</v>
      </c>
      <c r="W159" s="407">
        <f t="shared" si="151"/>
        <v>0</v>
      </c>
      <c r="X159" s="407">
        <f t="shared" si="152"/>
        <v>100</v>
      </c>
      <c r="Y159" s="408">
        <f t="shared" si="153"/>
        <v>3</v>
      </c>
      <c r="Z159" s="444" t="s">
        <v>3388</v>
      </c>
      <c r="AA159" s="442">
        <v>0</v>
      </c>
      <c r="AB159" s="406">
        <v>1</v>
      </c>
      <c r="AC159" s="406">
        <v>0</v>
      </c>
      <c r="AD159" s="407">
        <f t="shared" si="154"/>
        <v>1</v>
      </c>
      <c r="AE159" s="364" t="str">
        <f t="shared" si="155"/>
        <v>100</v>
      </c>
      <c r="AF159" s="349">
        <f t="shared" si="156"/>
        <v>0.5</v>
      </c>
      <c r="AG159" s="154">
        <v>705</v>
      </c>
      <c r="AH159" s="421"/>
      <c r="AI159" s="409">
        <f t="shared" si="132"/>
        <v>0</v>
      </c>
      <c r="AJ159" s="409">
        <f t="shared" si="133"/>
        <v>25</v>
      </c>
      <c r="AK159" s="408">
        <f t="shared" si="157"/>
        <v>0.25</v>
      </c>
      <c r="AL159" s="423"/>
      <c r="AM159" s="424">
        <v>0</v>
      </c>
      <c r="AN159" s="365">
        <f t="shared" si="148"/>
        <v>25</v>
      </c>
      <c r="AO159" s="320">
        <f t="shared" si="158"/>
        <v>0.25</v>
      </c>
      <c r="AP159" s="277">
        <f>_xlfn.XLOOKUP(C159, '1.건전성'!C:C, '1.건전성'!BE:BE)</f>
        <v>17181616</v>
      </c>
      <c r="AQ159" s="277">
        <f>_xlfn.XLOOKUP(C159, '1.건전성'!C:C, '1.건전성'!BF:BF)</f>
        <v>1199136</v>
      </c>
      <c r="AR159" s="410">
        <f t="shared" si="134"/>
        <v>18380752</v>
      </c>
      <c r="AS159" s="366">
        <f t="shared" si="130"/>
        <v>5.0698103073753744</v>
      </c>
      <c r="AT159" s="366">
        <f t="shared" si="135"/>
        <v>28.444580633700031</v>
      </c>
      <c r="AU159" s="321">
        <f t="shared" si="136"/>
        <v>0.28444580633700034</v>
      </c>
      <c r="AV159" s="15">
        <v>2884673</v>
      </c>
      <c r="AW159" s="361">
        <f t="shared" si="131"/>
        <v>0.7956554176242322</v>
      </c>
      <c r="AX159" s="361">
        <f t="shared" si="137"/>
        <v>30.270116800183576</v>
      </c>
      <c r="AY159" s="321">
        <f t="shared" si="159"/>
        <v>0.15135058400091789</v>
      </c>
      <c r="AZ159" s="411">
        <v>6.98</v>
      </c>
      <c r="BA159" s="412">
        <f t="shared" si="138"/>
        <v>60</v>
      </c>
      <c r="BB159" s="408">
        <f t="shared" si="160"/>
        <v>0.3</v>
      </c>
      <c r="BC159" s="204">
        <v>1</v>
      </c>
      <c r="BD159" s="407">
        <f t="shared" si="149"/>
        <v>100</v>
      </c>
      <c r="BE159" s="408">
        <f t="shared" si="161"/>
        <v>0.5</v>
      </c>
      <c r="BF159" s="204">
        <v>1</v>
      </c>
      <c r="BG159" s="204">
        <v>1</v>
      </c>
      <c r="BH159" s="204">
        <v>0</v>
      </c>
      <c r="BI159" s="272" t="str">
        <f t="shared" si="139"/>
        <v>C</v>
      </c>
      <c r="BJ159" s="247">
        <f t="shared" si="140"/>
        <v>50</v>
      </c>
      <c r="BK159" s="90">
        <f t="shared" si="141"/>
        <v>1.5</v>
      </c>
      <c r="BL159" s="406">
        <v>105</v>
      </c>
      <c r="BM159" s="413">
        <f t="shared" si="142"/>
        <v>14.893617021276595</v>
      </c>
      <c r="BN159" s="414">
        <f t="shared" si="143"/>
        <v>20</v>
      </c>
      <c r="BO159" s="415">
        <f t="shared" si="144"/>
        <v>0.6</v>
      </c>
      <c r="BP159" s="416">
        <v>0</v>
      </c>
      <c r="BQ159" s="417">
        <f t="shared" si="145"/>
        <v>33.333333333333336</v>
      </c>
      <c r="BR159" s="415">
        <f t="shared" si="146"/>
        <v>0.33333333333333337</v>
      </c>
      <c r="BS159" s="350">
        <f t="shared" si="147"/>
        <v>7.6691297236712508</v>
      </c>
    </row>
    <row r="160" spans="1:71" x14ac:dyDescent="0.6">
      <c r="A160" s="214" t="s">
        <v>1706</v>
      </c>
      <c r="B160" s="13" t="s">
        <v>2140</v>
      </c>
      <c r="C160" s="219" t="s">
        <v>1707</v>
      </c>
      <c r="D160" s="14" t="s">
        <v>203</v>
      </c>
      <c r="E160" s="217" t="s">
        <v>978</v>
      </c>
      <c r="F160" s="217" t="s">
        <v>1708</v>
      </c>
      <c r="G160" s="218">
        <v>34929</v>
      </c>
      <c r="H160" s="217" t="s">
        <v>830</v>
      </c>
      <c r="I160" s="217" t="s">
        <v>1709</v>
      </c>
      <c r="J160" s="217" t="s">
        <v>1710</v>
      </c>
      <c r="K160" s="217" t="s">
        <v>91</v>
      </c>
      <c r="L160" s="220">
        <v>1847155998</v>
      </c>
      <c r="M160" s="206">
        <v>810732237</v>
      </c>
      <c r="N160" s="206">
        <v>1036423762</v>
      </c>
      <c r="O160" s="206">
        <v>1716610303</v>
      </c>
      <c r="P160" s="206">
        <v>2873932</v>
      </c>
      <c r="Q160" s="206">
        <v>21741733</v>
      </c>
      <c r="R160" s="206">
        <v>17341286</v>
      </c>
      <c r="S160" s="405">
        <v>0</v>
      </c>
      <c r="T160" s="405">
        <v>0</v>
      </c>
      <c r="U160" s="406">
        <v>0</v>
      </c>
      <c r="V160" s="406">
        <v>0</v>
      </c>
      <c r="W160" s="407">
        <f t="shared" si="151"/>
        <v>0</v>
      </c>
      <c r="X160" s="407">
        <f t="shared" si="152"/>
        <v>100</v>
      </c>
      <c r="Y160" s="408">
        <f t="shared" si="153"/>
        <v>3</v>
      </c>
      <c r="Z160" s="444" t="s">
        <v>3389</v>
      </c>
      <c r="AA160" s="442">
        <v>0</v>
      </c>
      <c r="AB160" s="406">
        <v>0</v>
      </c>
      <c r="AC160" s="406">
        <v>0</v>
      </c>
      <c r="AD160" s="407">
        <f t="shared" si="154"/>
        <v>0</v>
      </c>
      <c r="AE160" s="364" t="str">
        <f t="shared" si="155"/>
        <v>50</v>
      </c>
      <c r="AF160" s="349">
        <f t="shared" si="156"/>
        <v>0.25</v>
      </c>
      <c r="AG160" s="154">
        <v>515</v>
      </c>
      <c r="AH160" s="154">
        <v>165032</v>
      </c>
      <c r="AI160" s="409">
        <f t="shared" si="132"/>
        <v>320.45048543689319</v>
      </c>
      <c r="AJ160" s="409">
        <f t="shared" si="133"/>
        <v>100</v>
      </c>
      <c r="AK160" s="408">
        <f t="shared" si="157"/>
        <v>1</v>
      </c>
      <c r="AL160" s="45">
        <v>116700</v>
      </c>
      <c r="AM160" s="361">
        <f t="shared" si="150"/>
        <v>41.415595544130248</v>
      </c>
      <c r="AN160" s="365">
        <f t="shared" si="148"/>
        <v>32.765424164524418</v>
      </c>
      <c r="AO160" s="320">
        <f t="shared" si="158"/>
        <v>0.3276542416452442</v>
      </c>
      <c r="AP160" s="277">
        <f>_xlfn.XLOOKUP(C160, '1.건전성'!C:C, '1.건전성'!BE:BE)</f>
        <v>53228376</v>
      </c>
      <c r="AQ160" s="277">
        <f>_xlfn.XLOOKUP(C160, '1.건전성'!C:C, '1.건전성'!BF:BF)</f>
        <v>4538287</v>
      </c>
      <c r="AR160" s="410">
        <f t="shared" si="134"/>
        <v>57766663</v>
      </c>
      <c r="AS160" s="366">
        <f t="shared" si="130"/>
        <v>3.3651588190426933</v>
      </c>
      <c r="AT160" s="366">
        <f t="shared" si="135"/>
        <v>27.159667451539718</v>
      </c>
      <c r="AU160" s="321">
        <f t="shared" si="136"/>
        <v>0.27159667451539721</v>
      </c>
      <c r="AV160" s="15">
        <v>8794778</v>
      </c>
      <c r="AW160" s="361">
        <f t="shared" si="131"/>
        <v>0.51233398661478269</v>
      </c>
      <c r="AX160" s="361">
        <f t="shared" si="137"/>
        <v>28.123742322839263</v>
      </c>
      <c r="AY160" s="321">
        <f t="shared" si="159"/>
        <v>0.14061871161419631</v>
      </c>
      <c r="AZ160" s="411">
        <v>22.4</v>
      </c>
      <c r="BA160" s="412">
        <f t="shared" si="138"/>
        <v>100</v>
      </c>
      <c r="BB160" s="408">
        <f t="shared" si="160"/>
        <v>0.5</v>
      </c>
      <c r="BC160" s="204">
        <v>1</v>
      </c>
      <c r="BD160" s="407">
        <f t="shared" si="149"/>
        <v>100</v>
      </c>
      <c r="BE160" s="408">
        <f t="shared" si="161"/>
        <v>0.5</v>
      </c>
      <c r="BF160" s="204">
        <v>0</v>
      </c>
      <c r="BG160" s="204">
        <v>0</v>
      </c>
      <c r="BH160" s="204">
        <v>0</v>
      </c>
      <c r="BI160" s="272" t="str">
        <f t="shared" si="139"/>
        <v>A</v>
      </c>
      <c r="BJ160" s="247">
        <f t="shared" si="140"/>
        <v>100</v>
      </c>
      <c r="BK160" s="90">
        <f t="shared" si="141"/>
        <v>3</v>
      </c>
      <c r="BL160" s="406">
        <v>13</v>
      </c>
      <c r="BM160" s="413">
        <f t="shared" si="142"/>
        <v>2.5242718446601939</v>
      </c>
      <c r="BN160" s="414">
        <f t="shared" si="143"/>
        <v>60</v>
      </c>
      <c r="BO160" s="415">
        <f t="shared" si="144"/>
        <v>1.7999999999999998</v>
      </c>
      <c r="BP160" s="416">
        <v>0.91</v>
      </c>
      <c r="BQ160" s="417">
        <f t="shared" si="145"/>
        <v>66.666666666666671</v>
      </c>
      <c r="BR160" s="415">
        <f t="shared" si="146"/>
        <v>0.66666666666666674</v>
      </c>
      <c r="BS160" s="350">
        <f t="shared" si="147"/>
        <v>11.456536294441504</v>
      </c>
    </row>
    <row r="161" spans="1:71" x14ac:dyDescent="0.6">
      <c r="A161" s="214" t="s">
        <v>1711</v>
      </c>
      <c r="B161" s="13" t="s">
        <v>2141</v>
      </c>
      <c r="C161" s="219" t="s">
        <v>1712</v>
      </c>
      <c r="D161" s="14" t="s">
        <v>191</v>
      </c>
      <c r="E161" s="217" t="s">
        <v>1713</v>
      </c>
      <c r="F161" s="217" t="s">
        <v>1714</v>
      </c>
      <c r="G161" s="218">
        <v>40590</v>
      </c>
      <c r="H161" s="217" t="s">
        <v>830</v>
      </c>
      <c r="I161" s="217" t="s">
        <v>1715</v>
      </c>
      <c r="J161" s="1" t="s">
        <v>2304</v>
      </c>
      <c r="K161" s="217" t="s">
        <v>690</v>
      </c>
      <c r="L161" s="220">
        <v>915554063</v>
      </c>
      <c r="M161" s="206">
        <v>489216440</v>
      </c>
      <c r="N161" s="206">
        <v>426337623</v>
      </c>
      <c r="O161" s="206">
        <v>1198282787</v>
      </c>
      <c r="P161" s="206">
        <v>30096580</v>
      </c>
      <c r="Q161" s="206">
        <v>53117187</v>
      </c>
      <c r="R161" s="206">
        <v>41094963</v>
      </c>
      <c r="S161" s="405">
        <v>0</v>
      </c>
      <c r="T161" s="405">
        <v>0</v>
      </c>
      <c r="U161" s="406">
        <v>0</v>
      </c>
      <c r="V161" s="406">
        <v>0</v>
      </c>
      <c r="W161" s="407">
        <f t="shared" si="151"/>
        <v>0</v>
      </c>
      <c r="X161" s="407">
        <f t="shared" si="152"/>
        <v>100</v>
      </c>
      <c r="Y161" s="408">
        <f t="shared" si="153"/>
        <v>3</v>
      </c>
      <c r="Z161" s="444" t="s">
        <v>3390</v>
      </c>
      <c r="AA161" s="442">
        <v>0</v>
      </c>
      <c r="AB161" s="406">
        <v>1</v>
      </c>
      <c r="AC161" s="406">
        <v>0</v>
      </c>
      <c r="AD161" s="407">
        <f t="shared" si="154"/>
        <v>1</v>
      </c>
      <c r="AE161" s="364" t="str">
        <f t="shared" si="155"/>
        <v>100</v>
      </c>
      <c r="AF161" s="349">
        <f t="shared" si="156"/>
        <v>0.5</v>
      </c>
      <c r="AG161" s="154">
        <v>408</v>
      </c>
      <c r="AH161" s="154">
        <v>1590746</v>
      </c>
      <c r="AI161" s="409">
        <f t="shared" si="132"/>
        <v>3898.8872549019607</v>
      </c>
      <c r="AJ161" s="409">
        <f t="shared" si="133"/>
        <v>100</v>
      </c>
      <c r="AK161" s="408">
        <f t="shared" si="157"/>
        <v>1</v>
      </c>
      <c r="AL161" s="45">
        <v>1103859</v>
      </c>
      <c r="AM161" s="361">
        <f t="shared" si="150"/>
        <v>44.107716655841003</v>
      </c>
      <c r="AN161" s="365">
        <f t="shared" si="148"/>
        <v>33.270196872970189</v>
      </c>
      <c r="AO161" s="320">
        <f t="shared" si="158"/>
        <v>0.33270196872970187</v>
      </c>
      <c r="AP161" s="277">
        <f>_xlfn.XLOOKUP(C161, '1.건전성'!C:C, '1.건전성'!BE:BE)</f>
        <v>17311620</v>
      </c>
      <c r="AQ161" s="277">
        <f>_xlfn.XLOOKUP(C161, '1.건전성'!C:C, '1.건전성'!BF:BF)</f>
        <v>1774733</v>
      </c>
      <c r="AR161" s="410">
        <f t="shared" si="134"/>
        <v>19086353</v>
      </c>
      <c r="AS161" s="366">
        <f t="shared" si="130"/>
        <v>1.5928087432336622</v>
      </c>
      <c r="AT161" s="366">
        <f t="shared" si="135"/>
        <v>25.823725183341956</v>
      </c>
      <c r="AU161" s="321">
        <f t="shared" si="136"/>
        <v>0.25823725183341956</v>
      </c>
      <c r="AV161" s="15">
        <v>4035836</v>
      </c>
      <c r="AW161" s="361">
        <f t="shared" si="131"/>
        <v>0.33680163345282205</v>
      </c>
      <c r="AX161" s="361">
        <f t="shared" si="137"/>
        <v>26.793951768581984</v>
      </c>
      <c r="AY161" s="321">
        <f t="shared" si="159"/>
        <v>0.13396975884290993</v>
      </c>
      <c r="AZ161" s="411">
        <v>8.5</v>
      </c>
      <c r="BA161" s="412">
        <f t="shared" si="138"/>
        <v>80</v>
      </c>
      <c r="BB161" s="408">
        <f t="shared" si="160"/>
        <v>0.4</v>
      </c>
      <c r="BC161" s="204">
        <v>1</v>
      </c>
      <c r="BD161" s="407">
        <f t="shared" si="149"/>
        <v>100</v>
      </c>
      <c r="BE161" s="408">
        <f t="shared" si="161"/>
        <v>0.5</v>
      </c>
      <c r="BF161" s="204">
        <v>1</v>
      </c>
      <c r="BG161" s="204">
        <v>1</v>
      </c>
      <c r="BH161" s="204">
        <v>0</v>
      </c>
      <c r="BI161" s="272" t="str">
        <f t="shared" si="139"/>
        <v>C</v>
      </c>
      <c r="BJ161" s="247">
        <f t="shared" si="140"/>
        <v>50</v>
      </c>
      <c r="BK161" s="90">
        <f t="shared" si="141"/>
        <v>1.5</v>
      </c>
      <c r="BL161" s="406">
        <v>7</v>
      </c>
      <c r="BM161" s="413">
        <f t="shared" si="142"/>
        <v>1.715686274509804</v>
      </c>
      <c r="BN161" s="414">
        <f t="shared" si="143"/>
        <v>60</v>
      </c>
      <c r="BO161" s="415">
        <f t="shared" si="144"/>
        <v>1.7999999999999998</v>
      </c>
      <c r="BP161" s="416">
        <v>0</v>
      </c>
      <c r="BQ161" s="417">
        <f t="shared" si="145"/>
        <v>33.333333333333336</v>
      </c>
      <c r="BR161" s="415">
        <f t="shared" si="146"/>
        <v>0.33333333333333337</v>
      </c>
      <c r="BS161" s="350">
        <f t="shared" si="147"/>
        <v>9.7582423127393643</v>
      </c>
    </row>
    <row r="162" spans="1:71" x14ac:dyDescent="0.6">
      <c r="A162" s="214" t="s">
        <v>1716</v>
      </c>
      <c r="B162" s="13" t="s">
        <v>2142</v>
      </c>
      <c r="C162" s="219" t="s">
        <v>1717</v>
      </c>
      <c r="D162" s="14" t="s">
        <v>285</v>
      </c>
      <c r="E162" s="217" t="s">
        <v>1432</v>
      </c>
      <c r="F162" s="217" t="s">
        <v>1718</v>
      </c>
      <c r="G162" s="218">
        <v>28264</v>
      </c>
      <c r="H162" s="217" t="s">
        <v>830</v>
      </c>
      <c r="I162" s="217" t="s">
        <v>1719</v>
      </c>
      <c r="J162" s="217" t="s">
        <v>1720</v>
      </c>
      <c r="K162" s="217" t="s">
        <v>484</v>
      </c>
      <c r="L162" s="220">
        <v>818244152</v>
      </c>
      <c r="M162" s="206">
        <v>212287560</v>
      </c>
      <c r="N162" s="206">
        <v>605956593</v>
      </c>
      <c r="O162" s="206">
        <v>708635837</v>
      </c>
      <c r="P162" s="206">
        <v>24543012</v>
      </c>
      <c r="Q162" s="206">
        <v>35564999</v>
      </c>
      <c r="R162" s="206">
        <v>39359123</v>
      </c>
      <c r="S162" s="405">
        <v>0</v>
      </c>
      <c r="T162" s="405">
        <v>0</v>
      </c>
      <c r="U162" s="406">
        <v>0</v>
      </c>
      <c r="V162" s="406">
        <v>0</v>
      </c>
      <c r="W162" s="407">
        <f t="shared" si="151"/>
        <v>0</v>
      </c>
      <c r="X162" s="407">
        <f t="shared" si="152"/>
        <v>100</v>
      </c>
      <c r="Y162" s="408">
        <f t="shared" si="153"/>
        <v>3</v>
      </c>
      <c r="Z162" s="444" t="s">
        <v>3391</v>
      </c>
      <c r="AA162" s="442">
        <v>1</v>
      </c>
      <c r="AB162" s="406">
        <v>0</v>
      </c>
      <c r="AC162" s="406">
        <v>0</v>
      </c>
      <c r="AD162" s="407">
        <f t="shared" si="154"/>
        <v>1</v>
      </c>
      <c r="AE162" s="364" t="str">
        <f t="shared" si="155"/>
        <v>100</v>
      </c>
      <c r="AF162" s="349">
        <f t="shared" si="156"/>
        <v>0.5</v>
      </c>
      <c r="AG162" s="154">
        <v>760</v>
      </c>
      <c r="AH162" s="421"/>
      <c r="AI162" s="409">
        <f t="shared" si="132"/>
        <v>0</v>
      </c>
      <c r="AJ162" s="409">
        <f t="shared" si="133"/>
        <v>25</v>
      </c>
      <c r="AK162" s="408">
        <f t="shared" si="157"/>
        <v>0.25</v>
      </c>
      <c r="AL162" s="423"/>
      <c r="AM162" s="424">
        <v>0</v>
      </c>
      <c r="AN162" s="365">
        <f t="shared" si="148"/>
        <v>25</v>
      </c>
      <c r="AO162" s="320">
        <f t="shared" si="158"/>
        <v>0.25</v>
      </c>
      <c r="AP162" s="277">
        <f>_xlfn.XLOOKUP(C162, '1.건전성'!C:C, '1.건전성'!BE:BE)</f>
        <v>19376338</v>
      </c>
      <c r="AQ162" s="277">
        <f>_xlfn.XLOOKUP(C162, '1.건전성'!C:C, '1.건전성'!BF:BF)</f>
        <v>1642522</v>
      </c>
      <c r="AR162" s="410">
        <f t="shared" si="134"/>
        <v>21018860</v>
      </c>
      <c r="AS162" s="366">
        <f t="shared" si="130"/>
        <v>2.9661017553082063</v>
      </c>
      <c r="AT162" s="366">
        <f t="shared" si="135"/>
        <v>26.858870669830306</v>
      </c>
      <c r="AU162" s="321">
        <f t="shared" si="136"/>
        <v>0.26858870669830309</v>
      </c>
      <c r="AV162" s="15">
        <v>2426892</v>
      </c>
      <c r="AW162" s="361">
        <f t="shared" si="131"/>
        <v>0.34247378883266949</v>
      </c>
      <c r="AX162" s="361">
        <f t="shared" si="137"/>
        <v>26.836922642671738</v>
      </c>
      <c r="AY162" s="321">
        <f t="shared" si="159"/>
        <v>0.1341846132133587</v>
      </c>
      <c r="AZ162" s="411">
        <v>12.8</v>
      </c>
      <c r="BA162" s="412">
        <f t="shared" si="138"/>
        <v>100</v>
      </c>
      <c r="BB162" s="408">
        <f t="shared" si="160"/>
        <v>0.5</v>
      </c>
      <c r="BC162" s="204">
        <v>1</v>
      </c>
      <c r="BD162" s="407">
        <f t="shared" si="149"/>
        <v>100</v>
      </c>
      <c r="BE162" s="408">
        <f t="shared" si="161"/>
        <v>0.5</v>
      </c>
      <c r="BF162" s="204">
        <v>1</v>
      </c>
      <c r="BG162" s="204">
        <v>1</v>
      </c>
      <c r="BH162" s="204">
        <v>0</v>
      </c>
      <c r="BI162" s="272" t="str">
        <f t="shared" si="139"/>
        <v>C</v>
      </c>
      <c r="BJ162" s="247">
        <f t="shared" si="140"/>
        <v>50</v>
      </c>
      <c r="BK162" s="90">
        <f t="shared" si="141"/>
        <v>1.5</v>
      </c>
      <c r="BL162" s="406">
        <v>115</v>
      </c>
      <c r="BM162" s="413">
        <f t="shared" si="142"/>
        <v>15.131578947368421</v>
      </c>
      <c r="BN162" s="414">
        <f t="shared" si="143"/>
        <v>20</v>
      </c>
      <c r="BO162" s="415">
        <f t="shared" si="144"/>
        <v>0.6</v>
      </c>
      <c r="BP162" s="416">
        <v>0</v>
      </c>
      <c r="BQ162" s="417">
        <f t="shared" si="145"/>
        <v>33.333333333333336</v>
      </c>
      <c r="BR162" s="415">
        <f t="shared" si="146"/>
        <v>0.33333333333333337</v>
      </c>
      <c r="BS162" s="350">
        <f t="shared" si="147"/>
        <v>7.8361066532449941</v>
      </c>
    </row>
    <row r="163" spans="1:71" x14ac:dyDescent="0.6">
      <c r="A163" s="214" t="s">
        <v>1721</v>
      </c>
      <c r="B163" s="13" t="s">
        <v>2143</v>
      </c>
      <c r="C163" s="219" t="s">
        <v>500</v>
      </c>
      <c r="D163" s="216" t="s">
        <v>202</v>
      </c>
      <c r="E163" s="217" t="s">
        <v>617</v>
      </c>
      <c r="F163" s="217" t="s">
        <v>1194</v>
      </c>
      <c r="G163" s="218">
        <v>32109</v>
      </c>
      <c r="H163" s="217" t="s">
        <v>830</v>
      </c>
      <c r="I163" s="217" t="s">
        <v>1722</v>
      </c>
      <c r="J163" s="217" t="s">
        <v>1087</v>
      </c>
      <c r="K163" s="217" t="s">
        <v>91</v>
      </c>
      <c r="L163" s="220">
        <v>1482320425</v>
      </c>
      <c r="M163" s="206">
        <v>264349343</v>
      </c>
      <c r="N163" s="206">
        <v>1217971082</v>
      </c>
      <c r="O163" s="206">
        <v>1278383546</v>
      </c>
      <c r="P163" s="206">
        <v>73366427</v>
      </c>
      <c r="Q163" s="206">
        <v>70696990</v>
      </c>
      <c r="R163" s="206">
        <v>48458346</v>
      </c>
      <c r="S163" s="405">
        <v>0</v>
      </c>
      <c r="T163" s="405">
        <v>0</v>
      </c>
      <c r="U163" s="406">
        <v>0</v>
      </c>
      <c r="V163" s="406">
        <v>0</v>
      </c>
      <c r="W163" s="407">
        <f t="shared" si="151"/>
        <v>0</v>
      </c>
      <c r="X163" s="407">
        <f t="shared" si="152"/>
        <v>100</v>
      </c>
      <c r="Y163" s="408">
        <f t="shared" si="153"/>
        <v>3</v>
      </c>
      <c r="Z163" s="444" t="s">
        <v>3392</v>
      </c>
      <c r="AA163" s="442">
        <v>0</v>
      </c>
      <c r="AB163" s="406">
        <v>1</v>
      </c>
      <c r="AC163" s="406">
        <v>0</v>
      </c>
      <c r="AD163" s="407">
        <f t="shared" si="154"/>
        <v>1</v>
      </c>
      <c r="AE163" s="364" t="str">
        <f t="shared" si="155"/>
        <v>100</v>
      </c>
      <c r="AF163" s="349">
        <f t="shared" si="156"/>
        <v>0.5</v>
      </c>
      <c r="AG163" s="154">
        <v>1139</v>
      </c>
      <c r="AH163" s="154">
        <v>140463</v>
      </c>
      <c r="AI163" s="409">
        <f t="shared" si="132"/>
        <v>123.32133450395084</v>
      </c>
      <c r="AJ163" s="409">
        <f t="shared" si="133"/>
        <v>100</v>
      </c>
      <c r="AK163" s="408">
        <f t="shared" si="157"/>
        <v>1</v>
      </c>
      <c r="AL163" s="45">
        <v>135653</v>
      </c>
      <c r="AM163" s="361">
        <f t="shared" si="150"/>
        <v>3.5458117402490177</v>
      </c>
      <c r="AN163" s="365">
        <f t="shared" si="148"/>
        <v>25.664839701296692</v>
      </c>
      <c r="AO163" s="320">
        <f t="shared" si="158"/>
        <v>0.25664839701296693</v>
      </c>
      <c r="AP163" s="277">
        <f>_xlfn.XLOOKUP(C163, '1.건전성'!C:C, '1.건전성'!BE:BE)</f>
        <v>19476003</v>
      </c>
      <c r="AQ163" s="277">
        <f>_xlfn.XLOOKUP(C163, '1.건전성'!C:C, '1.건전성'!BF:BF)</f>
        <v>1462286</v>
      </c>
      <c r="AR163" s="410">
        <f t="shared" si="134"/>
        <v>20938289</v>
      </c>
      <c r="AS163" s="366">
        <f t="shared" si="130"/>
        <v>1.6378722227390119</v>
      </c>
      <c r="AT163" s="366">
        <f t="shared" si="135"/>
        <v>25.857692630205285</v>
      </c>
      <c r="AU163" s="321">
        <f t="shared" si="136"/>
        <v>0.25857692630205287</v>
      </c>
      <c r="AV163" s="15">
        <v>5164426</v>
      </c>
      <c r="AW163" s="361">
        <f t="shared" si="131"/>
        <v>0.40398095048698318</v>
      </c>
      <c r="AX163" s="361">
        <f t="shared" si="137"/>
        <v>27.302885988537753</v>
      </c>
      <c r="AY163" s="321">
        <f t="shared" si="159"/>
        <v>0.13651442994268878</v>
      </c>
      <c r="AZ163" s="411">
        <v>14</v>
      </c>
      <c r="BA163" s="412">
        <f t="shared" si="138"/>
        <v>100</v>
      </c>
      <c r="BB163" s="408">
        <f t="shared" si="160"/>
        <v>0.5</v>
      </c>
      <c r="BC163" s="204">
        <v>1</v>
      </c>
      <c r="BD163" s="407">
        <f t="shared" si="149"/>
        <v>100</v>
      </c>
      <c r="BE163" s="408">
        <f t="shared" si="161"/>
        <v>0.5</v>
      </c>
      <c r="BF163" s="204">
        <v>0</v>
      </c>
      <c r="BG163" s="204">
        <v>0</v>
      </c>
      <c r="BH163" s="204">
        <v>0</v>
      </c>
      <c r="BI163" s="272" t="str">
        <f t="shared" si="139"/>
        <v>A</v>
      </c>
      <c r="BJ163" s="247">
        <f t="shared" si="140"/>
        <v>100</v>
      </c>
      <c r="BK163" s="90">
        <f t="shared" si="141"/>
        <v>3</v>
      </c>
      <c r="BL163" s="406">
        <v>218</v>
      </c>
      <c r="BM163" s="413">
        <f t="shared" si="142"/>
        <v>19.139596136962247</v>
      </c>
      <c r="BN163" s="414">
        <f t="shared" si="143"/>
        <v>20</v>
      </c>
      <c r="BO163" s="415">
        <f t="shared" si="144"/>
        <v>0.6</v>
      </c>
      <c r="BP163" s="416">
        <v>0</v>
      </c>
      <c r="BQ163" s="417">
        <f t="shared" si="145"/>
        <v>33.333333333333336</v>
      </c>
      <c r="BR163" s="415">
        <f t="shared" si="146"/>
        <v>0.33333333333333337</v>
      </c>
      <c r="BS163" s="350">
        <f t="shared" si="147"/>
        <v>10.085073086591041</v>
      </c>
    </row>
    <row r="164" spans="1:71" x14ac:dyDescent="0.6">
      <c r="A164" s="214" t="s">
        <v>12</v>
      </c>
      <c r="B164" s="13" t="s">
        <v>2144</v>
      </c>
      <c r="C164" s="219" t="s">
        <v>301</v>
      </c>
      <c r="D164" s="216" t="s">
        <v>203</v>
      </c>
      <c r="E164" s="217" t="s">
        <v>195</v>
      </c>
      <c r="F164" s="217" t="s">
        <v>757</v>
      </c>
      <c r="G164" s="218">
        <v>43378</v>
      </c>
      <c r="H164" s="217" t="s">
        <v>830</v>
      </c>
      <c r="I164" s="217" t="s">
        <v>267</v>
      </c>
      <c r="J164" s="217" t="s">
        <v>1196</v>
      </c>
      <c r="K164" s="217" t="s">
        <v>91</v>
      </c>
      <c r="L164" s="220">
        <v>1465129429</v>
      </c>
      <c r="M164" s="206">
        <v>636127563</v>
      </c>
      <c r="N164" s="206">
        <v>829001866</v>
      </c>
      <c r="O164" s="206">
        <v>1801835090</v>
      </c>
      <c r="P164" s="206">
        <v>215165658</v>
      </c>
      <c r="Q164" s="206">
        <v>211145518</v>
      </c>
      <c r="R164" s="206">
        <v>159294293</v>
      </c>
      <c r="S164" s="405">
        <v>0</v>
      </c>
      <c r="T164" s="405">
        <v>0</v>
      </c>
      <c r="U164" s="406">
        <v>0</v>
      </c>
      <c r="V164" s="406">
        <v>0</v>
      </c>
      <c r="W164" s="407">
        <f t="shared" si="151"/>
        <v>0</v>
      </c>
      <c r="X164" s="407">
        <f t="shared" si="152"/>
        <v>100</v>
      </c>
      <c r="Y164" s="408">
        <f t="shared" si="153"/>
        <v>3</v>
      </c>
      <c r="Z164" s="444" t="s">
        <v>3393</v>
      </c>
      <c r="AA164" s="442">
        <v>0</v>
      </c>
      <c r="AB164" s="406">
        <v>0</v>
      </c>
      <c r="AC164" s="406">
        <v>0</v>
      </c>
      <c r="AD164" s="407">
        <f t="shared" si="154"/>
        <v>0</v>
      </c>
      <c r="AE164" s="364" t="str">
        <f t="shared" si="155"/>
        <v>50</v>
      </c>
      <c r="AF164" s="349">
        <f t="shared" si="156"/>
        <v>0.25</v>
      </c>
      <c r="AG164" s="154">
        <v>673</v>
      </c>
      <c r="AH164" s="421"/>
      <c r="AI164" s="409">
        <f t="shared" si="132"/>
        <v>0</v>
      </c>
      <c r="AJ164" s="409">
        <f t="shared" si="133"/>
        <v>25</v>
      </c>
      <c r="AK164" s="408">
        <f t="shared" si="157"/>
        <v>0.25</v>
      </c>
      <c r="AL164" s="423"/>
      <c r="AM164" s="424">
        <v>0</v>
      </c>
      <c r="AN164" s="365">
        <f t="shared" si="148"/>
        <v>25</v>
      </c>
      <c r="AO164" s="320">
        <f t="shared" si="158"/>
        <v>0.25</v>
      </c>
      <c r="AP164" s="277">
        <f>_xlfn.XLOOKUP(C164, '1.건전성'!C:C, '1.건전성'!BE:BE)</f>
        <v>24215000</v>
      </c>
      <c r="AQ164" s="277">
        <f>_xlfn.XLOOKUP(C164, '1.건전성'!C:C, '1.건전성'!BF:BF)</f>
        <v>1699000</v>
      </c>
      <c r="AR164" s="410">
        <f t="shared" si="134"/>
        <v>25914000</v>
      </c>
      <c r="AS164" s="366">
        <f t="shared" si="130"/>
        <v>1.4382004293189783</v>
      </c>
      <c r="AT164" s="366">
        <f t="shared" si="135"/>
        <v>25.707186253255511</v>
      </c>
      <c r="AU164" s="321">
        <f t="shared" si="136"/>
        <v>0.2570718625325551</v>
      </c>
      <c r="AV164" s="15">
        <v>3431000</v>
      </c>
      <c r="AW164" s="361">
        <f t="shared" si="131"/>
        <v>0.19041698205577737</v>
      </c>
      <c r="AX164" s="361">
        <f t="shared" si="137"/>
        <v>25.684977136786191</v>
      </c>
      <c r="AY164" s="321">
        <f t="shared" si="159"/>
        <v>0.12842488568393096</v>
      </c>
      <c r="AZ164" s="411">
        <v>18</v>
      </c>
      <c r="BA164" s="412">
        <f t="shared" si="138"/>
        <v>100</v>
      </c>
      <c r="BB164" s="408">
        <f t="shared" si="160"/>
        <v>0.5</v>
      </c>
      <c r="BC164" s="204">
        <v>1</v>
      </c>
      <c r="BD164" s="407">
        <f t="shared" si="149"/>
        <v>100</v>
      </c>
      <c r="BE164" s="408">
        <f t="shared" si="161"/>
        <v>0.5</v>
      </c>
      <c r="BF164" s="204">
        <v>1</v>
      </c>
      <c r="BG164" s="204">
        <v>1</v>
      </c>
      <c r="BH164" s="204">
        <v>0</v>
      </c>
      <c r="BI164" s="272" t="str">
        <f t="shared" si="139"/>
        <v>C</v>
      </c>
      <c r="BJ164" s="247">
        <f t="shared" si="140"/>
        <v>50</v>
      </c>
      <c r="BK164" s="90">
        <f t="shared" si="141"/>
        <v>1.5</v>
      </c>
      <c r="BL164" s="406">
        <v>37</v>
      </c>
      <c r="BM164" s="413">
        <f t="shared" si="142"/>
        <v>5.4977711738484398</v>
      </c>
      <c r="BN164" s="414">
        <f t="shared" si="143"/>
        <v>40</v>
      </c>
      <c r="BO164" s="415">
        <f t="shared" si="144"/>
        <v>1.2</v>
      </c>
      <c r="BP164" s="416">
        <v>0</v>
      </c>
      <c r="BQ164" s="417">
        <f t="shared" si="145"/>
        <v>33.333333333333336</v>
      </c>
      <c r="BR164" s="415">
        <f t="shared" si="146"/>
        <v>0.33333333333333337</v>
      </c>
      <c r="BS164" s="350">
        <f t="shared" si="147"/>
        <v>8.1688300815498192</v>
      </c>
    </row>
    <row r="165" spans="1:71" x14ac:dyDescent="0.6">
      <c r="A165" s="214" t="s">
        <v>869</v>
      </c>
      <c r="B165" s="13" t="s">
        <v>2145</v>
      </c>
      <c r="C165" s="219" t="s">
        <v>478</v>
      </c>
      <c r="D165" s="216" t="s">
        <v>285</v>
      </c>
      <c r="E165" s="217" t="s">
        <v>171</v>
      </c>
      <c r="F165" s="217" t="s">
        <v>144</v>
      </c>
      <c r="G165" s="218">
        <v>32756</v>
      </c>
      <c r="H165" s="217" t="s">
        <v>830</v>
      </c>
      <c r="I165" s="217" t="s">
        <v>1723</v>
      </c>
      <c r="J165" s="217" t="s">
        <v>1182</v>
      </c>
      <c r="K165" s="217" t="s">
        <v>346</v>
      </c>
      <c r="L165" s="220">
        <v>49842667</v>
      </c>
      <c r="M165" s="206">
        <v>4029139</v>
      </c>
      <c r="N165" s="206">
        <v>45813528</v>
      </c>
      <c r="O165" s="206">
        <v>28065827</v>
      </c>
      <c r="P165" s="206">
        <v>1582371</v>
      </c>
      <c r="Q165" s="206">
        <v>2149604</v>
      </c>
      <c r="R165" s="206">
        <v>1307423</v>
      </c>
      <c r="S165" s="405">
        <v>0</v>
      </c>
      <c r="T165" s="405">
        <v>0</v>
      </c>
      <c r="U165" s="406">
        <v>0</v>
      </c>
      <c r="V165" s="406">
        <v>0</v>
      </c>
      <c r="W165" s="407">
        <f t="shared" si="151"/>
        <v>0</v>
      </c>
      <c r="X165" s="407">
        <f t="shared" si="152"/>
        <v>100</v>
      </c>
      <c r="Y165" s="408">
        <f t="shared" si="153"/>
        <v>3</v>
      </c>
      <c r="Z165" s="444" t="s">
        <v>3394</v>
      </c>
      <c r="AA165" s="442">
        <v>0</v>
      </c>
      <c r="AB165" s="406">
        <v>0</v>
      </c>
      <c r="AC165" s="406">
        <v>0</v>
      </c>
      <c r="AD165" s="407">
        <f t="shared" si="154"/>
        <v>0</v>
      </c>
      <c r="AE165" s="364" t="str">
        <f t="shared" si="155"/>
        <v>50</v>
      </c>
      <c r="AF165" s="349">
        <f t="shared" si="156"/>
        <v>0.25</v>
      </c>
      <c r="AG165" s="154">
        <v>22</v>
      </c>
      <c r="AH165" s="154">
        <v>727</v>
      </c>
      <c r="AI165" s="409">
        <f t="shared" si="132"/>
        <v>33.045454545454547</v>
      </c>
      <c r="AJ165" s="409">
        <f t="shared" si="133"/>
        <v>49.784090909090907</v>
      </c>
      <c r="AK165" s="408">
        <f t="shared" si="157"/>
        <v>0.49784090909090906</v>
      </c>
      <c r="AL165" s="45">
        <v>350</v>
      </c>
      <c r="AM165" s="361">
        <f t="shared" si="150"/>
        <v>107.71428571428572</v>
      </c>
      <c r="AN165" s="365">
        <f t="shared" si="148"/>
        <v>45.196428571428569</v>
      </c>
      <c r="AO165" s="320">
        <f t="shared" si="158"/>
        <v>0.45196428571428571</v>
      </c>
      <c r="AP165" s="277">
        <f>_xlfn.XLOOKUP(C165, '1.건전성'!C:C, '1.건전성'!BE:BE)</f>
        <v>1076009</v>
      </c>
      <c r="AQ165" s="277">
        <f>_xlfn.XLOOKUP(C165, '1.건전성'!C:C, '1.건전성'!BF:BF)</f>
        <v>101186</v>
      </c>
      <c r="AR165" s="410">
        <f t="shared" si="134"/>
        <v>1177195</v>
      </c>
      <c r="AS165" s="366">
        <f t="shared" si="130"/>
        <v>4.1944069561891046</v>
      </c>
      <c r="AT165" s="366">
        <f t="shared" si="135"/>
        <v>27.784728861449075</v>
      </c>
      <c r="AU165" s="321">
        <f t="shared" si="136"/>
        <v>0.27784728861449076</v>
      </c>
      <c r="AV165" s="15">
        <v>31774</v>
      </c>
      <c r="AW165" s="361">
        <f t="shared" si="131"/>
        <v>0.11321241308870036</v>
      </c>
      <c r="AX165" s="361">
        <f t="shared" si="137"/>
        <v>25.100094038550761</v>
      </c>
      <c r="AY165" s="321">
        <f t="shared" si="159"/>
        <v>0.12550047019275382</v>
      </c>
      <c r="AZ165" s="411">
        <v>7.11</v>
      </c>
      <c r="BA165" s="412">
        <f t="shared" si="138"/>
        <v>60</v>
      </c>
      <c r="BB165" s="408">
        <f t="shared" si="160"/>
        <v>0.3</v>
      </c>
      <c r="BC165" s="204">
        <v>1</v>
      </c>
      <c r="BD165" s="407">
        <f t="shared" si="149"/>
        <v>100</v>
      </c>
      <c r="BE165" s="408">
        <f t="shared" si="161"/>
        <v>0.5</v>
      </c>
      <c r="BF165" s="204">
        <v>0</v>
      </c>
      <c r="BG165" s="204">
        <v>0</v>
      </c>
      <c r="BH165" s="204">
        <v>0</v>
      </c>
      <c r="BI165" s="272" t="str">
        <f t="shared" si="139"/>
        <v>A</v>
      </c>
      <c r="BJ165" s="247">
        <f t="shared" si="140"/>
        <v>100</v>
      </c>
      <c r="BK165" s="90">
        <f t="shared" si="141"/>
        <v>3</v>
      </c>
      <c r="BL165" s="406">
        <v>0</v>
      </c>
      <c r="BM165" s="413">
        <f t="shared" si="142"/>
        <v>0</v>
      </c>
      <c r="BN165" s="414">
        <f t="shared" si="143"/>
        <v>100</v>
      </c>
      <c r="BO165" s="415">
        <f t="shared" si="144"/>
        <v>3</v>
      </c>
      <c r="BP165" s="416">
        <v>0</v>
      </c>
      <c r="BQ165" s="417">
        <f t="shared" si="145"/>
        <v>33.333333333333336</v>
      </c>
      <c r="BR165" s="415">
        <f t="shared" si="146"/>
        <v>0.33333333333333337</v>
      </c>
      <c r="BS165" s="350">
        <f t="shared" si="147"/>
        <v>11.736486286945773</v>
      </c>
    </row>
    <row r="166" spans="1:71" x14ac:dyDescent="0.6">
      <c r="A166" s="214" t="s">
        <v>19</v>
      </c>
      <c r="B166" s="13" t="s">
        <v>2146</v>
      </c>
      <c r="C166" s="219" t="s">
        <v>927</v>
      </c>
      <c r="D166" s="216" t="s">
        <v>202</v>
      </c>
      <c r="E166" s="217" t="s">
        <v>954</v>
      </c>
      <c r="F166" s="217" t="s">
        <v>968</v>
      </c>
      <c r="G166" s="218">
        <v>35249</v>
      </c>
      <c r="H166" s="217" t="s">
        <v>755</v>
      </c>
      <c r="I166" s="217" t="s">
        <v>733</v>
      </c>
      <c r="J166" s="217" t="s">
        <v>1026</v>
      </c>
      <c r="K166" s="217" t="s">
        <v>308</v>
      </c>
      <c r="L166" s="220">
        <v>298109844</v>
      </c>
      <c r="M166" s="206">
        <v>31806382</v>
      </c>
      <c r="N166" s="206">
        <v>266303462</v>
      </c>
      <c r="O166" s="206">
        <v>55615777</v>
      </c>
      <c r="P166" s="206">
        <v>4744809</v>
      </c>
      <c r="Q166" s="206">
        <v>9739774</v>
      </c>
      <c r="R166" s="206">
        <v>7926239</v>
      </c>
      <c r="S166" s="405">
        <v>0</v>
      </c>
      <c r="T166" s="405">
        <v>0</v>
      </c>
      <c r="U166" s="406">
        <v>0</v>
      </c>
      <c r="V166" s="406">
        <v>0</v>
      </c>
      <c r="W166" s="407">
        <f t="shared" si="151"/>
        <v>0</v>
      </c>
      <c r="X166" s="407">
        <f t="shared" si="152"/>
        <v>100</v>
      </c>
      <c r="Y166" s="408">
        <f t="shared" si="153"/>
        <v>3</v>
      </c>
      <c r="Z166" s="444" t="s">
        <v>3395</v>
      </c>
      <c r="AA166" s="442">
        <v>0</v>
      </c>
      <c r="AB166" s="406">
        <v>1</v>
      </c>
      <c r="AC166" s="406">
        <v>0</v>
      </c>
      <c r="AD166" s="407">
        <f t="shared" si="154"/>
        <v>1</v>
      </c>
      <c r="AE166" s="364" t="str">
        <f t="shared" si="155"/>
        <v>100</v>
      </c>
      <c r="AF166" s="349">
        <f t="shared" si="156"/>
        <v>0.5</v>
      </c>
      <c r="AG166" s="154">
        <v>189</v>
      </c>
      <c r="AH166" s="421"/>
      <c r="AI166" s="409">
        <f t="shared" si="132"/>
        <v>0</v>
      </c>
      <c r="AJ166" s="409">
        <f t="shared" si="133"/>
        <v>25</v>
      </c>
      <c r="AK166" s="408">
        <f t="shared" si="157"/>
        <v>0.25</v>
      </c>
      <c r="AL166" s="423"/>
      <c r="AM166" s="424">
        <v>0</v>
      </c>
      <c r="AN166" s="365">
        <f t="shared" si="148"/>
        <v>25</v>
      </c>
      <c r="AO166" s="320">
        <f t="shared" si="158"/>
        <v>0.25</v>
      </c>
      <c r="AP166" s="277">
        <f>_xlfn.XLOOKUP(C166, '1.건전성'!C:C, '1.건전성'!BE:BE)</f>
        <v>1787063</v>
      </c>
      <c r="AQ166" s="277">
        <f>_xlfn.XLOOKUP(C166, '1.건전성'!C:C, '1.건전성'!BF:BF)</f>
        <v>249165</v>
      </c>
      <c r="AR166" s="410">
        <f t="shared" si="134"/>
        <v>2036228</v>
      </c>
      <c r="AS166" s="366">
        <f t="shared" si="130"/>
        <v>3.6612416652922066</v>
      </c>
      <c r="AT166" s="366">
        <f t="shared" si="135"/>
        <v>27.382845476350909</v>
      </c>
      <c r="AU166" s="321">
        <f t="shared" si="136"/>
        <v>0.27382845476350909</v>
      </c>
      <c r="AV166" s="419"/>
      <c r="AW166" s="361">
        <f t="shared" si="131"/>
        <v>0</v>
      </c>
      <c r="AX166" s="361">
        <f t="shared" si="137"/>
        <v>25</v>
      </c>
      <c r="AY166" s="321">
        <f t="shared" si="159"/>
        <v>0.125</v>
      </c>
      <c r="AZ166" s="411">
        <v>15.78</v>
      </c>
      <c r="BA166" s="412">
        <f t="shared" si="138"/>
        <v>100</v>
      </c>
      <c r="BB166" s="408">
        <f t="shared" si="160"/>
        <v>0.5</v>
      </c>
      <c r="BC166" s="204">
        <v>1</v>
      </c>
      <c r="BD166" s="407">
        <f t="shared" si="149"/>
        <v>100</v>
      </c>
      <c r="BE166" s="408">
        <f t="shared" si="161"/>
        <v>0.5</v>
      </c>
      <c r="BF166" s="204">
        <v>0</v>
      </c>
      <c r="BG166" s="204">
        <v>0</v>
      </c>
      <c r="BH166" s="204">
        <v>0</v>
      </c>
      <c r="BI166" s="272" t="str">
        <f t="shared" si="139"/>
        <v>A</v>
      </c>
      <c r="BJ166" s="247">
        <f t="shared" si="140"/>
        <v>100</v>
      </c>
      <c r="BK166" s="90">
        <f t="shared" si="141"/>
        <v>3</v>
      </c>
      <c r="BL166" s="406">
        <v>0</v>
      </c>
      <c r="BM166" s="413">
        <f t="shared" si="142"/>
        <v>0</v>
      </c>
      <c r="BN166" s="414">
        <f t="shared" si="143"/>
        <v>100</v>
      </c>
      <c r="BO166" s="415">
        <f t="shared" si="144"/>
        <v>3</v>
      </c>
      <c r="BP166" s="416">
        <v>0</v>
      </c>
      <c r="BQ166" s="417">
        <f t="shared" si="145"/>
        <v>33.333333333333336</v>
      </c>
      <c r="BR166" s="415">
        <f t="shared" si="146"/>
        <v>0.33333333333333337</v>
      </c>
      <c r="BS166" s="350">
        <f t="shared" si="147"/>
        <v>11.732161788096844</v>
      </c>
    </row>
    <row r="167" spans="1:71" x14ac:dyDescent="0.6">
      <c r="A167" s="214" t="s">
        <v>361</v>
      </c>
      <c r="B167" s="13" t="s">
        <v>2147</v>
      </c>
      <c r="C167" s="219" t="s">
        <v>949</v>
      </c>
      <c r="D167" s="216" t="s">
        <v>285</v>
      </c>
      <c r="E167" s="217" t="s">
        <v>504</v>
      </c>
      <c r="F167" s="217" t="s">
        <v>650</v>
      </c>
      <c r="G167" s="218">
        <v>37462</v>
      </c>
      <c r="H167" s="217" t="s">
        <v>830</v>
      </c>
      <c r="I167" s="217" t="s">
        <v>1724</v>
      </c>
      <c r="J167" s="217" t="s">
        <v>1175</v>
      </c>
      <c r="K167" s="217" t="s">
        <v>91</v>
      </c>
      <c r="L167" s="220">
        <v>573569548</v>
      </c>
      <c r="M167" s="206">
        <v>109458880</v>
      </c>
      <c r="N167" s="206">
        <v>464110668</v>
      </c>
      <c r="O167" s="206">
        <v>119350275</v>
      </c>
      <c r="P167" s="206">
        <v>9219026</v>
      </c>
      <c r="Q167" s="206">
        <v>8486086</v>
      </c>
      <c r="R167" s="206">
        <v>9179410</v>
      </c>
      <c r="S167" s="405">
        <v>0</v>
      </c>
      <c r="T167" s="405">
        <v>0</v>
      </c>
      <c r="U167" s="406">
        <v>0</v>
      </c>
      <c r="V167" s="406">
        <v>0</v>
      </c>
      <c r="W167" s="407">
        <f t="shared" si="151"/>
        <v>0</v>
      </c>
      <c r="X167" s="407">
        <f t="shared" si="152"/>
        <v>100</v>
      </c>
      <c r="Y167" s="408">
        <f t="shared" si="153"/>
        <v>3</v>
      </c>
      <c r="Z167" s="444" t="s">
        <v>3396</v>
      </c>
      <c r="AA167" s="442">
        <v>0</v>
      </c>
      <c r="AB167" s="406">
        <v>0</v>
      </c>
      <c r="AC167" s="406">
        <v>0</v>
      </c>
      <c r="AD167" s="407">
        <f t="shared" si="154"/>
        <v>0</v>
      </c>
      <c r="AE167" s="364" t="str">
        <f t="shared" si="155"/>
        <v>50</v>
      </c>
      <c r="AF167" s="349">
        <f t="shared" si="156"/>
        <v>0.25</v>
      </c>
      <c r="AG167" s="154">
        <v>364</v>
      </c>
      <c r="AH167" s="154">
        <v>5324</v>
      </c>
      <c r="AI167" s="409">
        <f t="shared" si="132"/>
        <v>14.626373626373626</v>
      </c>
      <c r="AJ167" s="409">
        <f t="shared" si="133"/>
        <v>35.969780219780219</v>
      </c>
      <c r="AK167" s="408">
        <f t="shared" si="157"/>
        <v>0.35969780219780217</v>
      </c>
      <c r="AL167" s="45">
        <v>1675</v>
      </c>
      <c r="AM167" s="361">
        <f t="shared" si="150"/>
        <v>217.85074626865671</v>
      </c>
      <c r="AN167" s="365">
        <f t="shared" si="148"/>
        <v>65.847014925373131</v>
      </c>
      <c r="AO167" s="320">
        <f t="shared" si="158"/>
        <v>0.65847014925373137</v>
      </c>
      <c r="AP167" s="277">
        <f>_xlfn.XLOOKUP(C167, '1.건전성'!C:C, '1.건전성'!BE:BE)</f>
        <v>16229325</v>
      </c>
      <c r="AQ167" s="277">
        <f>_xlfn.XLOOKUP(C167, '1.건전성'!C:C, '1.건전성'!BF:BF)</f>
        <v>1455126</v>
      </c>
      <c r="AR167" s="410">
        <f t="shared" si="134"/>
        <v>17684451</v>
      </c>
      <c r="AS167" s="366">
        <f t="shared" si="130"/>
        <v>14.817268749485496</v>
      </c>
      <c r="AT167" s="366">
        <f t="shared" si="135"/>
        <v>35.791911117702632</v>
      </c>
      <c r="AU167" s="321">
        <f t="shared" si="136"/>
        <v>0.35791911117702635</v>
      </c>
      <c r="AV167" s="15">
        <v>1517606</v>
      </c>
      <c r="AW167" s="361">
        <f t="shared" si="131"/>
        <v>1.2715563495769071</v>
      </c>
      <c r="AX167" s="361">
        <f t="shared" si="137"/>
        <v>33.875426890734147</v>
      </c>
      <c r="AY167" s="321">
        <f t="shared" si="159"/>
        <v>0.16937713445367072</v>
      </c>
      <c r="AZ167" s="411">
        <v>6.08</v>
      </c>
      <c r="BA167" s="412">
        <f t="shared" si="138"/>
        <v>60</v>
      </c>
      <c r="BB167" s="408">
        <f t="shared" si="160"/>
        <v>0.3</v>
      </c>
      <c r="BC167" s="204">
        <v>1</v>
      </c>
      <c r="BD167" s="407">
        <f t="shared" si="149"/>
        <v>100</v>
      </c>
      <c r="BE167" s="408">
        <f t="shared" si="161"/>
        <v>0.5</v>
      </c>
      <c r="BF167" s="204">
        <v>0</v>
      </c>
      <c r="BG167" s="204">
        <v>1</v>
      </c>
      <c r="BH167" s="204">
        <v>0</v>
      </c>
      <c r="BI167" s="272" t="str">
        <f t="shared" si="139"/>
        <v>C</v>
      </c>
      <c r="BJ167" s="247">
        <f t="shared" si="140"/>
        <v>50</v>
      </c>
      <c r="BK167" s="90">
        <f t="shared" si="141"/>
        <v>1.5</v>
      </c>
      <c r="BL167" s="406">
        <v>109</v>
      </c>
      <c r="BM167" s="413">
        <f t="shared" si="142"/>
        <v>29.945054945054945</v>
      </c>
      <c r="BN167" s="414">
        <f t="shared" si="143"/>
        <v>20</v>
      </c>
      <c r="BO167" s="415">
        <f t="shared" si="144"/>
        <v>0.6</v>
      </c>
      <c r="BP167" s="416">
        <v>0</v>
      </c>
      <c r="BQ167" s="417">
        <f t="shared" si="145"/>
        <v>33.333333333333336</v>
      </c>
      <c r="BR167" s="415">
        <f t="shared" si="146"/>
        <v>0.33333333333333337</v>
      </c>
      <c r="BS167" s="350">
        <f t="shared" si="147"/>
        <v>8.028797530415563</v>
      </c>
    </row>
    <row r="168" spans="1:71" x14ac:dyDescent="0.6">
      <c r="A168" s="214" t="s">
        <v>1725</v>
      </c>
      <c r="B168" s="13" t="s">
        <v>2148</v>
      </c>
      <c r="C168" s="219" t="s">
        <v>351</v>
      </c>
      <c r="D168" s="216" t="s">
        <v>191</v>
      </c>
      <c r="E168" s="217" t="s">
        <v>1091</v>
      </c>
      <c r="F168" s="217" t="s">
        <v>584</v>
      </c>
      <c r="G168" s="218">
        <v>43140</v>
      </c>
      <c r="H168" s="217" t="s">
        <v>830</v>
      </c>
      <c r="I168" s="217" t="s">
        <v>804</v>
      </c>
      <c r="J168" s="217" t="s">
        <v>1164</v>
      </c>
      <c r="K168" s="217" t="s">
        <v>346</v>
      </c>
      <c r="L168" s="220">
        <v>5571483130</v>
      </c>
      <c r="M168" s="206">
        <v>1401534327</v>
      </c>
      <c r="N168" s="206">
        <v>4169948803</v>
      </c>
      <c r="O168" s="206">
        <v>1937469297</v>
      </c>
      <c r="P168" s="206">
        <v>618890773</v>
      </c>
      <c r="Q168" s="206">
        <v>606389938</v>
      </c>
      <c r="R168" s="206">
        <v>511383102</v>
      </c>
      <c r="S168" s="405">
        <v>0</v>
      </c>
      <c r="T168" s="405">
        <v>0</v>
      </c>
      <c r="U168" s="406">
        <v>0</v>
      </c>
      <c r="V168" s="406">
        <v>0</v>
      </c>
      <c r="W168" s="407">
        <f t="shared" si="151"/>
        <v>0</v>
      </c>
      <c r="X168" s="407">
        <f t="shared" si="152"/>
        <v>100</v>
      </c>
      <c r="Y168" s="408">
        <f t="shared" si="153"/>
        <v>3</v>
      </c>
      <c r="Z168" s="444" t="s">
        <v>3397</v>
      </c>
      <c r="AA168" s="442">
        <v>0</v>
      </c>
      <c r="AB168" s="406">
        <v>0</v>
      </c>
      <c r="AC168" s="406">
        <v>0</v>
      </c>
      <c r="AD168" s="407">
        <f t="shared" si="154"/>
        <v>0</v>
      </c>
      <c r="AE168" s="364" t="str">
        <f t="shared" si="155"/>
        <v>50</v>
      </c>
      <c r="AF168" s="349">
        <f t="shared" si="156"/>
        <v>0.25</v>
      </c>
      <c r="AG168" s="154">
        <v>2263</v>
      </c>
      <c r="AH168" s="154">
        <v>647666</v>
      </c>
      <c r="AI168" s="409">
        <f t="shared" si="132"/>
        <v>286.19796730004418</v>
      </c>
      <c r="AJ168" s="409">
        <f t="shared" si="133"/>
        <v>100</v>
      </c>
      <c r="AK168" s="408">
        <f t="shared" si="157"/>
        <v>1</v>
      </c>
      <c r="AL168" s="45">
        <v>529550</v>
      </c>
      <c r="AM168" s="361">
        <f t="shared" si="150"/>
        <v>22.304975922953453</v>
      </c>
      <c r="AN168" s="365">
        <f t="shared" si="148"/>
        <v>29.182182985553773</v>
      </c>
      <c r="AO168" s="320">
        <f t="shared" si="158"/>
        <v>0.29182182985553773</v>
      </c>
      <c r="AP168" s="277">
        <f>_xlfn.XLOOKUP(C168, '1.건전성'!C:C, '1.건전성'!BE:BE)</f>
        <v>31519709.769462839</v>
      </c>
      <c r="AQ168" s="277">
        <f>_xlfn.XLOOKUP(C168, '1.건전성'!C:C, '1.건전성'!BF:BF)</f>
        <v>2176122.2305371603</v>
      </c>
      <c r="AR168" s="410">
        <f t="shared" si="134"/>
        <v>33695832</v>
      </c>
      <c r="AS168" s="366">
        <f t="shared" si="130"/>
        <v>1.7391672762079389</v>
      </c>
      <c r="AT168" s="366">
        <f t="shared" si="135"/>
        <v>25.934045685583875</v>
      </c>
      <c r="AU168" s="321">
        <f t="shared" si="136"/>
        <v>0.25934045685583873</v>
      </c>
      <c r="AV168" s="15">
        <v>5564932</v>
      </c>
      <c r="AW168" s="361">
        <f t="shared" si="131"/>
        <v>0.28722684837467133</v>
      </c>
      <c r="AX168" s="361">
        <f t="shared" si="137"/>
        <v>26.418385214959631</v>
      </c>
      <c r="AY168" s="321">
        <f t="shared" si="159"/>
        <v>0.13209192607479817</v>
      </c>
      <c r="AZ168" s="411">
        <v>5.8</v>
      </c>
      <c r="BA168" s="412">
        <f t="shared" si="138"/>
        <v>40</v>
      </c>
      <c r="BB168" s="408">
        <f t="shared" si="160"/>
        <v>0.2</v>
      </c>
      <c r="BC168" s="204">
        <v>1</v>
      </c>
      <c r="BD168" s="407">
        <f t="shared" si="149"/>
        <v>100</v>
      </c>
      <c r="BE168" s="408">
        <f t="shared" si="161"/>
        <v>0.5</v>
      </c>
      <c r="BF168" s="204">
        <v>1</v>
      </c>
      <c r="BG168" s="204">
        <v>1</v>
      </c>
      <c r="BH168" s="204">
        <v>0</v>
      </c>
      <c r="BI168" s="272" t="str">
        <f t="shared" si="139"/>
        <v>C</v>
      </c>
      <c r="BJ168" s="247">
        <f t="shared" si="140"/>
        <v>50</v>
      </c>
      <c r="BK168" s="90">
        <f t="shared" si="141"/>
        <v>1.5</v>
      </c>
      <c r="BL168" s="406">
        <v>136</v>
      </c>
      <c r="BM168" s="413">
        <f t="shared" si="142"/>
        <v>6.0097216084843126</v>
      </c>
      <c r="BN168" s="414">
        <f t="shared" si="143"/>
        <v>40</v>
      </c>
      <c r="BO168" s="415">
        <f t="shared" si="144"/>
        <v>1.2</v>
      </c>
      <c r="BP168" s="416">
        <v>0.36</v>
      </c>
      <c r="BQ168" s="417">
        <f t="shared" si="145"/>
        <v>66.666666666666671</v>
      </c>
      <c r="BR168" s="415">
        <f t="shared" si="146"/>
        <v>0.66666666666666674</v>
      </c>
      <c r="BS168" s="350">
        <f t="shared" si="147"/>
        <v>8.9999208794528407</v>
      </c>
    </row>
    <row r="169" spans="1:71" x14ac:dyDescent="0.6">
      <c r="A169" s="214" t="s">
        <v>1726</v>
      </c>
      <c r="B169" s="13" t="s">
        <v>2149</v>
      </c>
      <c r="C169" s="219" t="s">
        <v>1727</v>
      </c>
      <c r="D169" s="14" t="s">
        <v>202</v>
      </c>
      <c r="E169" s="217" t="s">
        <v>205</v>
      </c>
      <c r="F169" s="217" t="s">
        <v>1728</v>
      </c>
      <c r="G169" s="218">
        <v>44229</v>
      </c>
      <c r="H169" s="217" t="s">
        <v>830</v>
      </c>
      <c r="I169" s="217" t="s">
        <v>1729</v>
      </c>
      <c r="J169" s="217" t="s">
        <v>1730</v>
      </c>
      <c r="K169" s="217" t="s">
        <v>690</v>
      </c>
      <c r="L169" s="220">
        <v>487384549</v>
      </c>
      <c r="M169" s="206">
        <v>250541994</v>
      </c>
      <c r="N169" s="206">
        <v>236842555</v>
      </c>
      <c r="O169" s="206">
        <v>931449231</v>
      </c>
      <c r="P169" s="206">
        <v>44671754</v>
      </c>
      <c r="Q169" s="206">
        <v>50417620</v>
      </c>
      <c r="R169" s="206">
        <v>39493848</v>
      </c>
      <c r="S169" s="405">
        <v>0</v>
      </c>
      <c r="T169" s="405">
        <v>0</v>
      </c>
      <c r="U169" s="406">
        <v>0</v>
      </c>
      <c r="V169" s="406">
        <v>0</v>
      </c>
      <c r="W169" s="407">
        <f t="shared" si="151"/>
        <v>0</v>
      </c>
      <c r="X169" s="407">
        <f t="shared" si="152"/>
        <v>100</v>
      </c>
      <c r="Y169" s="408">
        <f t="shared" si="153"/>
        <v>3</v>
      </c>
      <c r="Z169" s="444" t="s">
        <v>3398</v>
      </c>
      <c r="AA169" s="442">
        <v>0</v>
      </c>
      <c r="AB169" s="406">
        <v>0</v>
      </c>
      <c r="AC169" s="406">
        <v>0</v>
      </c>
      <c r="AD169" s="407">
        <f t="shared" si="154"/>
        <v>0</v>
      </c>
      <c r="AE169" s="364" t="str">
        <f t="shared" si="155"/>
        <v>50</v>
      </c>
      <c r="AF169" s="349">
        <f t="shared" si="156"/>
        <v>0.25</v>
      </c>
      <c r="AG169" s="154">
        <v>406</v>
      </c>
      <c r="AH169" s="421"/>
      <c r="AI169" s="409">
        <f t="shared" si="132"/>
        <v>0</v>
      </c>
      <c r="AJ169" s="409">
        <f t="shared" si="133"/>
        <v>25</v>
      </c>
      <c r="AK169" s="408">
        <f t="shared" si="157"/>
        <v>0.25</v>
      </c>
      <c r="AL169" s="423"/>
      <c r="AM169" s="424">
        <v>0</v>
      </c>
      <c r="AN169" s="365">
        <f t="shared" si="148"/>
        <v>25</v>
      </c>
      <c r="AO169" s="320">
        <f t="shared" si="158"/>
        <v>0.25</v>
      </c>
      <c r="AP169" s="277">
        <f>_xlfn.XLOOKUP(C169, '1.건전성'!C:C, '1.건전성'!BE:BE)</f>
        <v>32816294</v>
      </c>
      <c r="AQ169" s="277">
        <f>_xlfn.XLOOKUP(C169, '1.건전성'!C:C, '1.건전성'!BF:BF)</f>
        <v>2730912</v>
      </c>
      <c r="AR169" s="410">
        <f t="shared" si="134"/>
        <v>35547206</v>
      </c>
      <c r="AS169" s="366">
        <f t="shared" si="130"/>
        <v>3.8163331738259818</v>
      </c>
      <c r="AT169" s="366">
        <f t="shared" si="135"/>
        <v>27.499748623486923</v>
      </c>
      <c r="AU169" s="321">
        <f t="shared" si="136"/>
        <v>0.27499748623486925</v>
      </c>
      <c r="AV169" s="15">
        <v>5043108</v>
      </c>
      <c r="AW169" s="361">
        <f t="shared" si="131"/>
        <v>0.54142596634985041</v>
      </c>
      <c r="AX169" s="361">
        <f t="shared" si="137"/>
        <v>28.344136108710988</v>
      </c>
      <c r="AY169" s="321">
        <f t="shared" si="159"/>
        <v>0.14172068054355494</v>
      </c>
      <c r="AZ169" s="411">
        <v>3.9</v>
      </c>
      <c r="BA169" s="412">
        <f t="shared" si="138"/>
        <v>20</v>
      </c>
      <c r="BB169" s="408">
        <f t="shared" si="160"/>
        <v>0.1</v>
      </c>
      <c r="BC169" s="204">
        <v>1</v>
      </c>
      <c r="BD169" s="407">
        <f t="shared" si="149"/>
        <v>100</v>
      </c>
      <c r="BE169" s="408">
        <f t="shared" si="161"/>
        <v>0.5</v>
      </c>
      <c r="BF169" s="204">
        <v>1</v>
      </c>
      <c r="BG169" s="204">
        <v>1</v>
      </c>
      <c r="BH169" s="204">
        <v>0</v>
      </c>
      <c r="BI169" s="272" t="str">
        <f t="shared" si="139"/>
        <v>C</v>
      </c>
      <c r="BJ169" s="247">
        <f t="shared" si="140"/>
        <v>50</v>
      </c>
      <c r="BK169" s="90">
        <f t="shared" si="141"/>
        <v>1.5</v>
      </c>
      <c r="BL169" s="406">
        <v>9</v>
      </c>
      <c r="BM169" s="413">
        <f t="shared" si="142"/>
        <v>2.2167487684729066</v>
      </c>
      <c r="BN169" s="414">
        <f t="shared" si="143"/>
        <v>60</v>
      </c>
      <c r="BO169" s="415">
        <f t="shared" si="144"/>
        <v>1.7999999999999998</v>
      </c>
      <c r="BP169" s="416">
        <v>0</v>
      </c>
      <c r="BQ169" s="417">
        <f t="shared" si="145"/>
        <v>33.333333333333336</v>
      </c>
      <c r="BR169" s="415">
        <f t="shared" si="146"/>
        <v>0.33333333333333337</v>
      </c>
      <c r="BS169" s="350">
        <f t="shared" si="147"/>
        <v>8.4000515001117577</v>
      </c>
    </row>
    <row r="170" spans="1:71" x14ac:dyDescent="0.6">
      <c r="A170" s="214" t="s">
        <v>945</v>
      </c>
      <c r="B170" s="13" t="s">
        <v>2150</v>
      </c>
      <c r="C170" s="219" t="s">
        <v>51</v>
      </c>
      <c r="D170" s="216" t="s">
        <v>203</v>
      </c>
      <c r="E170" s="217" t="s">
        <v>188</v>
      </c>
      <c r="F170" s="217" t="s">
        <v>160</v>
      </c>
      <c r="G170" s="218">
        <v>28301</v>
      </c>
      <c r="H170" s="217" t="s">
        <v>830</v>
      </c>
      <c r="I170" s="217" t="s">
        <v>253</v>
      </c>
      <c r="J170" s="217" t="s">
        <v>1050</v>
      </c>
      <c r="K170" s="217" t="s">
        <v>407</v>
      </c>
      <c r="L170" s="220">
        <v>1117980000</v>
      </c>
      <c r="M170" s="206">
        <v>475314000</v>
      </c>
      <c r="N170" s="206">
        <v>642666000</v>
      </c>
      <c r="O170" s="206">
        <v>1145427000</v>
      </c>
      <c r="P170" s="206">
        <v>167535000</v>
      </c>
      <c r="Q170" s="206">
        <v>168668000</v>
      </c>
      <c r="R170" s="206">
        <v>122873000</v>
      </c>
      <c r="S170" s="405">
        <v>0</v>
      </c>
      <c r="T170" s="405">
        <v>0</v>
      </c>
      <c r="U170" s="406">
        <v>0</v>
      </c>
      <c r="V170" s="406">
        <v>0</v>
      </c>
      <c r="W170" s="407">
        <f t="shared" si="151"/>
        <v>0</v>
      </c>
      <c r="X170" s="407">
        <f t="shared" si="152"/>
        <v>100</v>
      </c>
      <c r="Y170" s="408">
        <f t="shared" si="153"/>
        <v>3</v>
      </c>
      <c r="Z170" s="444" t="s">
        <v>3399</v>
      </c>
      <c r="AA170" s="442">
        <v>0</v>
      </c>
      <c r="AB170" s="406">
        <v>1</v>
      </c>
      <c r="AC170" s="406">
        <v>0</v>
      </c>
      <c r="AD170" s="407">
        <f t="shared" si="154"/>
        <v>1</v>
      </c>
      <c r="AE170" s="364" t="str">
        <f t="shared" si="155"/>
        <v>100</v>
      </c>
      <c r="AF170" s="349">
        <f t="shared" si="156"/>
        <v>0.5</v>
      </c>
      <c r="AG170" s="154">
        <v>639</v>
      </c>
      <c r="AH170" s="421"/>
      <c r="AI170" s="409">
        <f t="shared" si="132"/>
        <v>0</v>
      </c>
      <c r="AJ170" s="409">
        <f t="shared" si="133"/>
        <v>25</v>
      </c>
      <c r="AK170" s="408">
        <f t="shared" si="157"/>
        <v>0.25</v>
      </c>
      <c r="AL170" s="423"/>
      <c r="AM170" s="424">
        <v>0</v>
      </c>
      <c r="AN170" s="365">
        <f t="shared" si="148"/>
        <v>25</v>
      </c>
      <c r="AO170" s="320">
        <f t="shared" si="158"/>
        <v>0.25</v>
      </c>
      <c r="AP170" s="277">
        <f>_xlfn.XLOOKUP(C170, '1.건전성'!C:C, '1.건전성'!BE:BE)</f>
        <v>8495000</v>
      </c>
      <c r="AQ170" s="277">
        <f>_xlfn.XLOOKUP(C170, '1.건전성'!C:C, '1.건전성'!BF:BF)</f>
        <v>804000</v>
      </c>
      <c r="AR170" s="410">
        <f t="shared" si="134"/>
        <v>9299000</v>
      </c>
      <c r="AS170" s="366">
        <f t="shared" si="130"/>
        <v>0.8118369830639578</v>
      </c>
      <c r="AT170" s="366">
        <f t="shared" si="135"/>
        <v>25.235053002309517</v>
      </c>
      <c r="AU170" s="321">
        <f t="shared" si="136"/>
        <v>0.25235053002309515</v>
      </c>
      <c r="AV170" s="15">
        <v>1706000</v>
      </c>
      <c r="AW170" s="361">
        <f t="shared" si="131"/>
        <v>0.14894008959104335</v>
      </c>
      <c r="AX170" s="361">
        <f t="shared" si="137"/>
        <v>25.3707582544776</v>
      </c>
      <c r="AY170" s="321">
        <f t="shared" si="159"/>
        <v>0.12685379127238799</v>
      </c>
      <c r="AZ170" s="411">
        <v>14.78</v>
      </c>
      <c r="BA170" s="412">
        <f t="shared" si="138"/>
        <v>100</v>
      </c>
      <c r="BB170" s="408">
        <f t="shared" si="160"/>
        <v>0.5</v>
      </c>
      <c r="BC170" s="204">
        <v>0</v>
      </c>
      <c r="BD170" s="407">
        <f t="shared" si="149"/>
        <v>50</v>
      </c>
      <c r="BE170" s="408">
        <f t="shared" si="161"/>
        <v>0.25</v>
      </c>
      <c r="BF170" s="204">
        <v>1</v>
      </c>
      <c r="BG170" s="204">
        <v>1</v>
      </c>
      <c r="BH170" s="204">
        <v>0</v>
      </c>
      <c r="BI170" s="272" t="str">
        <f t="shared" si="139"/>
        <v>C</v>
      </c>
      <c r="BJ170" s="247">
        <f t="shared" si="140"/>
        <v>50</v>
      </c>
      <c r="BK170" s="90">
        <f t="shared" si="141"/>
        <v>1.5</v>
      </c>
      <c r="BL170" s="406">
        <v>5</v>
      </c>
      <c r="BM170" s="413">
        <f t="shared" si="142"/>
        <v>0.78247261345852892</v>
      </c>
      <c r="BN170" s="414">
        <f t="shared" si="143"/>
        <v>80</v>
      </c>
      <c r="BO170" s="415">
        <f t="shared" si="144"/>
        <v>2.4</v>
      </c>
      <c r="BP170" s="416">
        <v>0</v>
      </c>
      <c r="BQ170" s="417">
        <f t="shared" si="145"/>
        <v>33.333333333333336</v>
      </c>
      <c r="BR170" s="415">
        <f t="shared" si="146"/>
        <v>0.33333333333333337</v>
      </c>
      <c r="BS170" s="350">
        <f t="shared" si="147"/>
        <v>9.3625376546288166</v>
      </c>
    </row>
    <row r="171" spans="1:71" x14ac:dyDescent="0.6">
      <c r="A171" s="214" t="s">
        <v>1731</v>
      </c>
      <c r="B171" s="13" t="s">
        <v>2151</v>
      </c>
      <c r="C171" s="219" t="s">
        <v>1732</v>
      </c>
      <c r="D171" s="14" t="s">
        <v>202</v>
      </c>
      <c r="E171" s="217" t="s">
        <v>572</v>
      </c>
      <c r="F171" s="217" t="s">
        <v>1733</v>
      </c>
      <c r="G171" s="218">
        <v>33480</v>
      </c>
      <c r="H171" s="217" t="s">
        <v>830</v>
      </c>
      <c r="I171" s="217" t="s">
        <v>1734</v>
      </c>
      <c r="J171" s="217" t="s">
        <v>1735</v>
      </c>
      <c r="K171" s="217" t="s">
        <v>690</v>
      </c>
      <c r="L171" s="220">
        <v>181493057</v>
      </c>
      <c r="M171" s="206">
        <v>70279714</v>
      </c>
      <c r="N171" s="206">
        <v>111213342</v>
      </c>
      <c r="O171" s="206">
        <v>120360819</v>
      </c>
      <c r="P171" s="206">
        <v>9391620</v>
      </c>
      <c r="Q171" s="206">
        <v>7726840</v>
      </c>
      <c r="R171" s="206">
        <v>5939402</v>
      </c>
      <c r="S171" s="405">
        <v>0</v>
      </c>
      <c r="T171" s="405">
        <v>0</v>
      </c>
      <c r="U171" s="406">
        <v>0</v>
      </c>
      <c r="V171" s="406">
        <v>0</v>
      </c>
      <c r="W171" s="407">
        <f t="shared" si="151"/>
        <v>0</v>
      </c>
      <c r="X171" s="407">
        <f t="shared" si="152"/>
        <v>100</v>
      </c>
      <c r="Y171" s="408">
        <f t="shared" si="153"/>
        <v>3</v>
      </c>
      <c r="Z171" s="444" t="s">
        <v>3400</v>
      </c>
      <c r="AA171" s="442">
        <v>0</v>
      </c>
      <c r="AB171" s="406">
        <v>1</v>
      </c>
      <c r="AC171" s="406">
        <v>0</v>
      </c>
      <c r="AD171" s="407">
        <f t="shared" si="154"/>
        <v>1</v>
      </c>
      <c r="AE171" s="364" t="str">
        <f t="shared" si="155"/>
        <v>100</v>
      </c>
      <c r="AF171" s="349">
        <f t="shared" si="156"/>
        <v>0.5</v>
      </c>
      <c r="AG171" s="154">
        <v>187</v>
      </c>
      <c r="AH171" s="421"/>
      <c r="AI171" s="409">
        <f t="shared" si="132"/>
        <v>0</v>
      </c>
      <c r="AJ171" s="409">
        <f t="shared" si="133"/>
        <v>25</v>
      </c>
      <c r="AK171" s="408">
        <f t="shared" si="157"/>
        <v>0.25</v>
      </c>
      <c r="AL171" s="423"/>
      <c r="AM171" s="424">
        <v>0</v>
      </c>
      <c r="AN171" s="365">
        <f t="shared" si="148"/>
        <v>25</v>
      </c>
      <c r="AO171" s="320">
        <f t="shared" si="158"/>
        <v>0.25</v>
      </c>
      <c r="AP171" s="277">
        <f>_xlfn.XLOOKUP(C171, '1.건전성'!C:C, '1.건전성'!BE:BE)</f>
        <v>3795286</v>
      </c>
      <c r="AQ171" s="277">
        <f>_xlfn.XLOOKUP(C171, '1.건전성'!C:C, '1.건전성'!BF:BF)</f>
        <v>1276797</v>
      </c>
      <c r="AR171" s="410">
        <f t="shared" si="134"/>
        <v>5072083</v>
      </c>
      <c r="AS171" s="366">
        <f t="shared" si="130"/>
        <v>4.214064877707421</v>
      </c>
      <c r="AT171" s="366">
        <f t="shared" si="135"/>
        <v>27.799546390231725</v>
      </c>
      <c r="AU171" s="321">
        <f t="shared" si="136"/>
        <v>0.27799546390231727</v>
      </c>
      <c r="AV171" s="15">
        <v>769466</v>
      </c>
      <c r="AW171" s="361">
        <f t="shared" si="131"/>
        <v>0.63929940523252837</v>
      </c>
      <c r="AX171" s="361">
        <f t="shared" si="137"/>
        <v>29.085601554791882</v>
      </c>
      <c r="AY171" s="321">
        <f t="shared" si="159"/>
        <v>0.14542800777395942</v>
      </c>
      <c r="AZ171" s="411">
        <v>8.1</v>
      </c>
      <c r="BA171" s="412">
        <f t="shared" si="138"/>
        <v>80</v>
      </c>
      <c r="BB171" s="408">
        <f t="shared" si="160"/>
        <v>0.4</v>
      </c>
      <c r="BC171" s="204">
        <v>1</v>
      </c>
      <c r="BD171" s="407">
        <f t="shared" si="149"/>
        <v>100</v>
      </c>
      <c r="BE171" s="408">
        <f t="shared" si="161"/>
        <v>0.5</v>
      </c>
      <c r="BF171" s="204">
        <v>0</v>
      </c>
      <c r="BG171" s="204">
        <v>0</v>
      </c>
      <c r="BH171" s="204">
        <v>0</v>
      </c>
      <c r="BI171" s="272" t="str">
        <f t="shared" si="139"/>
        <v>A</v>
      </c>
      <c r="BJ171" s="247">
        <f t="shared" si="140"/>
        <v>100</v>
      </c>
      <c r="BK171" s="90">
        <f t="shared" si="141"/>
        <v>3</v>
      </c>
      <c r="BL171" s="406">
        <v>7</v>
      </c>
      <c r="BM171" s="413">
        <f t="shared" si="142"/>
        <v>3.7433155080213902</v>
      </c>
      <c r="BN171" s="414">
        <f t="shared" si="143"/>
        <v>40</v>
      </c>
      <c r="BO171" s="415">
        <f t="shared" si="144"/>
        <v>1.2</v>
      </c>
      <c r="BP171" s="416">
        <v>0</v>
      </c>
      <c r="BQ171" s="417">
        <f t="shared" si="145"/>
        <v>33.333333333333336</v>
      </c>
      <c r="BR171" s="415">
        <f t="shared" si="146"/>
        <v>0.33333333333333337</v>
      </c>
      <c r="BS171" s="350">
        <f t="shared" si="147"/>
        <v>9.8567568050096099</v>
      </c>
    </row>
    <row r="172" spans="1:71" x14ac:dyDescent="0.6">
      <c r="A172" s="214" t="s">
        <v>762</v>
      </c>
      <c r="B172" s="13" t="s">
        <v>2152</v>
      </c>
      <c r="C172" s="219" t="s">
        <v>103</v>
      </c>
      <c r="D172" s="216" t="s">
        <v>191</v>
      </c>
      <c r="E172" s="217" t="s">
        <v>554</v>
      </c>
      <c r="F172" s="217" t="s">
        <v>777</v>
      </c>
      <c r="G172" s="218">
        <v>40568</v>
      </c>
      <c r="H172" s="217" t="s">
        <v>830</v>
      </c>
      <c r="I172" s="217" t="s">
        <v>1736</v>
      </c>
      <c r="J172" s="217" t="s">
        <v>1081</v>
      </c>
      <c r="K172" s="217" t="s">
        <v>690</v>
      </c>
      <c r="L172" s="220">
        <v>84677096</v>
      </c>
      <c r="M172" s="206">
        <v>21426870</v>
      </c>
      <c r="N172" s="206">
        <v>63250226</v>
      </c>
      <c r="O172" s="206">
        <v>241730925</v>
      </c>
      <c r="P172" s="206">
        <v>412795</v>
      </c>
      <c r="Q172" s="206">
        <v>2901178</v>
      </c>
      <c r="R172" s="206">
        <v>2331137</v>
      </c>
      <c r="S172" s="405">
        <v>0</v>
      </c>
      <c r="T172" s="405">
        <v>0</v>
      </c>
      <c r="U172" s="406">
        <v>0</v>
      </c>
      <c r="V172" s="406">
        <v>0</v>
      </c>
      <c r="W172" s="407">
        <f t="shared" si="151"/>
        <v>0</v>
      </c>
      <c r="X172" s="407">
        <f t="shared" si="152"/>
        <v>100</v>
      </c>
      <c r="Y172" s="408">
        <f t="shared" si="153"/>
        <v>3</v>
      </c>
      <c r="Z172" s="444" t="s">
        <v>3401</v>
      </c>
      <c r="AA172" s="442">
        <v>0</v>
      </c>
      <c r="AB172" s="406">
        <v>0</v>
      </c>
      <c r="AC172" s="406">
        <v>0</v>
      </c>
      <c r="AD172" s="407">
        <f t="shared" si="154"/>
        <v>0</v>
      </c>
      <c r="AE172" s="364" t="str">
        <f t="shared" si="155"/>
        <v>50</v>
      </c>
      <c r="AF172" s="349">
        <f t="shared" si="156"/>
        <v>0.25</v>
      </c>
      <c r="AG172" s="154">
        <v>167</v>
      </c>
      <c r="AH172" s="421"/>
      <c r="AI172" s="409">
        <f t="shared" si="132"/>
        <v>0</v>
      </c>
      <c r="AJ172" s="409">
        <f t="shared" si="133"/>
        <v>25</v>
      </c>
      <c r="AK172" s="408">
        <f t="shared" si="157"/>
        <v>0.25</v>
      </c>
      <c r="AL172" s="423"/>
      <c r="AM172" s="424">
        <v>0</v>
      </c>
      <c r="AN172" s="365">
        <f t="shared" si="148"/>
        <v>25</v>
      </c>
      <c r="AO172" s="320">
        <f t="shared" si="158"/>
        <v>0.25</v>
      </c>
      <c r="AP172" s="277">
        <f>_xlfn.XLOOKUP(C172, '1.건전성'!C:C, '1.건전성'!BE:BE)</f>
        <v>3527621.5630000001</v>
      </c>
      <c r="AQ172" s="277">
        <f>_xlfn.XLOOKUP(C172, '1.건전성'!C:C, '1.건전성'!BF:BF)</f>
        <v>407875.48599999998</v>
      </c>
      <c r="AR172" s="410">
        <f t="shared" si="134"/>
        <v>3935497.0490000001</v>
      </c>
      <c r="AS172" s="366">
        <f t="shared" si="130"/>
        <v>1.6280486449964979</v>
      </c>
      <c r="AT172" s="366">
        <f t="shared" si="135"/>
        <v>25.850287923364196</v>
      </c>
      <c r="AU172" s="321">
        <f t="shared" si="136"/>
        <v>0.25850287923364196</v>
      </c>
      <c r="AV172" s="15">
        <v>837524</v>
      </c>
      <c r="AW172" s="361">
        <f t="shared" si="131"/>
        <v>0.34646953011907766</v>
      </c>
      <c r="AX172" s="361">
        <f t="shared" si="137"/>
        <v>26.867193409993014</v>
      </c>
      <c r="AY172" s="321">
        <f t="shared" si="159"/>
        <v>0.13433596704996506</v>
      </c>
      <c r="AZ172" s="411">
        <v>12</v>
      </c>
      <c r="BA172" s="412">
        <f t="shared" si="138"/>
        <v>100</v>
      </c>
      <c r="BB172" s="408">
        <f t="shared" si="160"/>
        <v>0.5</v>
      </c>
      <c r="BC172" s="204">
        <v>1</v>
      </c>
      <c r="BD172" s="407">
        <f t="shared" si="149"/>
        <v>100</v>
      </c>
      <c r="BE172" s="408">
        <f t="shared" si="161"/>
        <v>0.5</v>
      </c>
      <c r="BF172" s="204">
        <v>0</v>
      </c>
      <c r="BG172" s="204">
        <v>0</v>
      </c>
      <c r="BH172" s="204">
        <v>0</v>
      </c>
      <c r="BI172" s="272" t="str">
        <f t="shared" si="139"/>
        <v>A</v>
      </c>
      <c r="BJ172" s="247">
        <f t="shared" si="140"/>
        <v>100</v>
      </c>
      <c r="BK172" s="90">
        <f t="shared" si="141"/>
        <v>3</v>
      </c>
      <c r="BL172" s="406">
        <v>0</v>
      </c>
      <c r="BM172" s="413">
        <f t="shared" si="142"/>
        <v>0</v>
      </c>
      <c r="BN172" s="414">
        <f t="shared" si="143"/>
        <v>100</v>
      </c>
      <c r="BO172" s="415">
        <f t="shared" si="144"/>
        <v>3</v>
      </c>
      <c r="BP172" s="416">
        <v>0</v>
      </c>
      <c r="BQ172" s="417">
        <f t="shared" si="145"/>
        <v>33.333333333333336</v>
      </c>
      <c r="BR172" s="415">
        <f t="shared" si="146"/>
        <v>0.33333333333333337</v>
      </c>
      <c r="BS172" s="350">
        <f t="shared" si="147"/>
        <v>11.47617217961694</v>
      </c>
    </row>
    <row r="173" spans="1:71" x14ac:dyDescent="0.6">
      <c r="A173" s="214" t="s">
        <v>899</v>
      </c>
      <c r="B173" s="13" t="s">
        <v>2153</v>
      </c>
      <c r="C173" s="219" t="s">
        <v>862</v>
      </c>
      <c r="D173" s="216" t="s">
        <v>191</v>
      </c>
      <c r="E173" s="217" t="s">
        <v>1029</v>
      </c>
      <c r="F173" s="217" t="s">
        <v>1107</v>
      </c>
      <c r="G173" s="218">
        <v>35054</v>
      </c>
      <c r="H173" s="217" t="s">
        <v>830</v>
      </c>
      <c r="I173" s="217" t="s">
        <v>975</v>
      </c>
      <c r="J173" s="217" t="s">
        <v>1215</v>
      </c>
      <c r="K173" s="217" t="s">
        <v>690</v>
      </c>
      <c r="L173" s="220">
        <v>426922360</v>
      </c>
      <c r="M173" s="206">
        <v>43331711</v>
      </c>
      <c r="N173" s="206">
        <v>383590648</v>
      </c>
      <c r="O173" s="206">
        <v>226067372</v>
      </c>
      <c r="P173" s="206">
        <v>21433375</v>
      </c>
      <c r="Q173" s="206">
        <v>24456144</v>
      </c>
      <c r="R173" s="206">
        <v>20262547</v>
      </c>
      <c r="S173" s="405">
        <v>0</v>
      </c>
      <c r="T173" s="405">
        <v>0</v>
      </c>
      <c r="U173" s="406">
        <v>0</v>
      </c>
      <c r="V173" s="406">
        <v>0</v>
      </c>
      <c r="W173" s="407">
        <f t="shared" si="151"/>
        <v>0</v>
      </c>
      <c r="X173" s="407">
        <f t="shared" si="152"/>
        <v>100</v>
      </c>
      <c r="Y173" s="408">
        <f t="shared" si="153"/>
        <v>3</v>
      </c>
      <c r="Z173" s="444" t="s">
        <v>3402</v>
      </c>
      <c r="AA173" s="442">
        <v>0</v>
      </c>
      <c r="AB173" s="406">
        <v>0</v>
      </c>
      <c r="AC173" s="406">
        <v>0</v>
      </c>
      <c r="AD173" s="407">
        <f t="shared" si="154"/>
        <v>0</v>
      </c>
      <c r="AE173" s="364" t="str">
        <f t="shared" si="155"/>
        <v>50</v>
      </c>
      <c r="AF173" s="349">
        <f t="shared" si="156"/>
        <v>0.25</v>
      </c>
      <c r="AG173" s="154">
        <v>123</v>
      </c>
      <c r="AH173" s="154">
        <v>24608</v>
      </c>
      <c r="AI173" s="409">
        <f t="shared" si="132"/>
        <v>200.0650406504065</v>
      </c>
      <c r="AJ173" s="409">
        <f t="shared" si="133"/>
        <v>100</v>
      </c>
      <c r="AK173" s="408">
        <f t="shared" si="157"/>
        <v>1</v>
      </c>
      <c r="AL173" s="45">
        <v>14898</v>
      </c>
      <c r="AM173" s="361">
        <f t="shared" si="150"/>
        <v>65.176533762921196</v>
      </c>
      <c r="AN173" s="365">
        <f t="shared" si="148"/>
        <v>37.220600080547726</v>
      </c>
      <c r="AO173" s="320">
        <f t="shared" si="158"/>
        <v>0.37220600080547728</v>
      </c>
      <c r="AP173" s="277">
        <f>_xlfn.XLOOKUP(C173, '1.건전성'!C:C, '1.건전성'!BE:BE)</f>
        <v>24745137</v>
      </c>
      <c r="AQ173" s="277">
        <f>_xlfn.XLOOKUP(C173, '1.건전성'!C:C, '1.건전성'!BF:BF)</f>
        <v>3443402</v>
      </c>
      <c r="AR173" s="410">
        <f t="shared" si="134"/>
        <v>28188539</v>
      </c>
      <c r="AS173" s="366">
        <f t="shared" si="130"/>
        <v>12.469087754954748</v>
      </c>
      <c r="AT173" s="366">
        <f t="shared" si="135"/>
        <v>34.021925443433226</v>
      </c>
      <c r="AU173" s="321">
        <f t="shared" si="136"/>
        <v>0.34021925443433226</v>
      </c>
      <c r="AV173" s="15">
        <v>656680</v>
      </c>
      <c r="AW173" s="361">
        <f t="shared" si="131"/>
        <v>0.29047977786020357</v>
      </c>
      <c r="AX173" s="361">
        <f t="shared" si="137"/>
        <v>26.443028620153058</v>
      </c>
      <c r="AY173" s="321">
        <f t="shared" si="159"/>
        <v>0.13221514310076529</v>
      </c>
      <c r="AZ173" s="411">
        <v>12.4</v>
      </c>
      <c r="BA173" s="412">
        <f t="shared" si="138"/>
        <v>100</v>
      </c>
      <c r="BB173" s="408">
        <f t="shared" si="160"/>
        <v>0.5</v>
      </c>
      <c r="BC173" s="204">
        <v>1</v>
      </c>
      <c r="BD173" s="407">
        <f t="shared" si="149"/>
        <v>100</v>
      </c>
      <c r="BE173" s="408">
        <f t="shared" si="161"/>
        <v>0.5</v>
      </c>
      <c r="BF173" s="204">
        <v>0</v>
      </c>
      <c r="BG173" s="204">
        <v>0</v>
      </c>
      <c r="BH173" s="204">
        <v>0</v>
      </c>
      <c r="BI173" s="272" t="str">
        <f t="shared" si="139"/>
        <v>A</v>
      </c>
      <c r="BJ173" s="247">
        <f t="shared" si="140"/>
        <v>100</v>
      </c>
      <c r="BK173" s="90">
        <f t="shared" si="141"/>
        <v>3</v>
      </c>
      <c r="BL173" s="406">
        <v>0</v>
      </c>
      <c r="BM173" s="413">
        <f t="shared" si="142"/>
        <v>0</v>
      </c>
      <c r="BN173" s="414">
        <f t="shared" si="143"/>
        <v>100</v>
      </c>
      <c r="BO173" s="415">
        <f t="shared" si="144"/>
        <v>3</v>
      </c>
      <c r="BP173" s="416">
        <v>0</v>
      </c>
      <c r="BQ173" s="417">
        <f t="shared" si="145"/>
        <v>33.333333333333336</v>
      </c>
      <c r="BR173" s="415">
        <f t="shared" si="146"/>
        <v>0.33333333333333337</v>
      </c>
      <c r="BS173" s="350">
        <f t="shared" si="147"/>
        <v>12.427973731673909</v>
      </c>
    </row>
    <row r="174" spans="1:71" x14ac:dyDescent="0.6">
      <c r="A174" s="214" t="s">
        <v>881</v>
      </c>
      <c r="B174" s="13" t="s">
        <v>2154</v>
      </c>
      <c r="C174" s="219" t="s">
        <v>547</v>
      </c>
      <c r="D174" s="216" t="s">
        <v>191</v>
      </c>
      <c r="E174" s="217" t="s">
        <v>403</v>
      </c>
      <c r="F174" s="217" t="s">
        <v>159</v>
      </c>
      <c r="G174" s="218">
        <v>27941</v>
      </c>
      <c r="H174" s="217" t="s">
        <v>830</v>
      </c>
      <c r="I174" s="217" t="s">
        <v>800</v>
      </c>
      <c r="J174" s="217" t="s">
        <v>1077</v>
      </c>
      <c r="K174" s="217" t="s">
        <v>91</v>
      </c>
      <c r="L174" s="220">
        <v>692320507</v>
      </c>
      <c r="M174" s="206">
        <v>130333252</v>
      </c>
      <c r="N174" s="206">
        <v>561987255</v>
      </c>
      <c r="O174" s="206">
        <v>383845600</v>
      </c>
      <c r="P174" s="206">
        <v>10768868</v>
      </c>
      <c r="Q174" s="206">
        <v>19845163</v>
      </c>
      <c r="R174" s="206">
        <v>15665849</v>
      </c>
      <c r="S174" s="405">
        <v>0</v>
      </c>
      <c r="T174" s="405">
        <v>0</v>
      </c>
      <c r="U174" s="406">
        <v>0</v>
      </c>
      <c r="V174" s="406">
        <v>0</v>
      </c>
      <c r="W174" s="407">
        <f t="shared" si="151"/>
        <v>0</v>
      </c>
      <c r="X174" s="407">
        <f t="shared" si="152"/>
        <v>100</v>
      </c>
      <c r="Y174" s="408">
        <f t="shared" si="153"/>
        <v>3</v>
      </c>
      <c r="Z174" s="444" t="s">
        <v>3403</v>
      </c>
      <c r="AA174" s="442">
        <v>0</v>
      </c>
      <c r="AB174" s="406">
        <v>0</v>
      </c>
      <c r="AC174" s="406">
        <v>0</v>
      </c>
      <c r="AD174" s="407">
        <f t="shared" si="154"/>
        <v>0</v>
      </c>
      <c r="AE174" s="364" t="str">
        <f t="shared" si="155"/>
        <v>50</v>
      </c>
      <c r="AF174" s="349">
        <f t="shared" si="156"/>
        <v>0.25</v>
      </c>
      <c r="AG174" s="154">
        <v>506</v>
      </c>
      <c r="AH174" s="154">
        <v>26698</v>
      </c>
      <c r="AI174" s="409">
        <f t="shared" si="132"/>
        <v>52.762845849802375</v>
      </c>
      <c r="AJ174" s="409">
        <f t="shared" si="133"/>
        <v>64.572134387351781</v>
      </c>
      <c r="AK174" s="408">
        <f t="shared" si="157"/>
        <v>0.64572134387351787</v>
      </c>
      <c r="AL174" s="45">
        <v>2612</v>
      </c>
      <c r="AM174" s="361">
        <f t="shared" si="150"/>
        <v>922.12863705972427</v>
      </c>
      <c r="AN174" s="365">
        <f t="shared" si="148"/>
        <v>100</v>
      </c>
      <c r="AO174" s="320">
        <f t="shared" si="158"/>
        <v>1</v>
      </c>
      <c r="AP174" s="277">
        <f>_xlfn.XLOOKUP(C174, '1.건전성'!C:C, '1.건전성'!BE:BE)</f>
        <v>9828126</v>
      </c>
      <c r="AQ174" s="277">
        <f>_xlfn.XLOOKUP(C174, '1.건전성'!C:C, '1.건전성'!BF:BF)</f>
        <v>1076837</v>
      </c>
      <c r="AR174" s="410">
        <f t="shared" si="134"/>
        <v>10904963</v>
      </c>
      <c r="AS174" s="366">
        <f t="shared" si="130"/>
        <v>2.8409764238537578</v>
      </c>
      <c r="AT174" s="366">
        <f t="shared" si="135"/>
        <v>26.764555093357103</v>
      </c>
      <c r="AU174" s="321">
        <f t="shared" si="136"/>
        <v>0.26764555093357106</v>
      </c>
      <c r="AV174" s="15">
        <v>1301610</v>
      </c>
      <c r="AW174" s="361">
        <f t="shared" si="131"/>
        <v>0.33909728286581897</v>
      </c>
      <c r="AX174" s="361">
        <f t="shared" si="137"/>
        <v>26.811343052013779</v>
      </c>
      <c r="AY174" s="321">
        <f t="shared" si="159"/>
        <v>0.1340567152600689</v>
      </c>
      <c r="AZ174" s="411">
        <v>10</v>
      </c>
      <c r="BA174" s="412">
        <f t="shared" si="138"/>
        <v>100</v>
      </c>
      <c r="BB174" s="408">
        <f t="shared" si="160"/>
        <v>0.5</v>
      </c>
      <c r="BC174" s="204">
        <v>1</v>
      </c>
      <c r="BD174" s="407">
        <f t="shared" si="149"/>
        <v>100</v>
      </c>
      <c r="BE174" s="408">
        <f t="shared" si="161"/>
        <v>0.5</v>
      </c>
      <c r="BF174" s="204">
        <v>0</v>
      </c>
      <c r="BG174" s="204">
        <v>1</v>
      </c>
      <c r="BH174" s="204">
        <v>0</v>
      </c>
      <c r="BI174" s="272" t="str">
        <f t="shared" si="139"/>
        <v>C</v>
      </c>
      <c r="BJ174" s="247">
        <f t="shared" si="140"/>
        <v>50</v>
      </c>
      <c r="BK174" s="90">
        <f t="shared" si="141"/>
        <v>1.5</v>
      </c>
      <c r="BL174" s="406">
        <v>0</v>
      </c>
      <c r="BM174" s="413">
        <f t="shared" si="142"/>
        <v>0</v>
      </c>
      <c r="BN174" s="414">
        <f t="shared" si="143"/>
        <v>100</v>
      </c>
      <c r="BO174" s="415">
        <f t="shared" si="144"/>
        <v>3</v>
      </c>
      <c r="BP174" s="416">
        <v>0</v>
      </c>
      <c r="BQ174" s="417">
        <f t="shared" si="145"/>
        <v>33.333333333333336</v>
      </c>
      <c r="BR174" s="415">
        <f t="shared" si="146"/>
        <v>0.33333333333333337</v>
      </c>
      <c r="BS174" s="350">
        <f t="shared" si="147"/>
        <v>11.130756943400492</v>
      </c>
    </row>
    <row r="175" spans="1:71" x14ac:dyDescent="0.6">
      <c r="A175" s="214" t="s">
        <v>330</v>
      </c>
      <c r="B175" s="13" t="s">
        <v>2155</v>
      </c>
      <c r="C175" s="219" t="s">
        <v>78</v>
      </c>
      <c r="D175" s="216" t="s">
        <v>285</v>
      </c>
      <c r="E175" s="217" t="s">
        <v>171</v>
      </c>
      <c r="F175" s="217" t="s">
        <v>1205</v>
      </c>
      <c r="G175" s="218">
        <v>27750</v>
      </c>
      <c r="H175" s="217" t="s">
        <v>755</v>
      </c>
      <c r="I175" s="217" t="s">
        <v>232</v>
      </c>
      <c r="J175" s="217" t="s">
        <v>1093</v>
      </c>
      <c r="K175" s="217" t="s">
        <v>91</v>
      </c>
      <c r="L175" s="220">
        <v>993336394</v>
      </c>
      <c r="M175" s="206">
        <v>651630168</v>
      </c>
      <c r="N175" s="206">
        <v>341706226</v>
      </c>
      <c r="O175" s="206">
        <v>1463883744</v>
      </c>
      <c r="P175" s="206">
        <v>144479752</v>
      </c>
      <c r="Q175" s="206">
        <v>118763976</v>
      </c>
      <c r="R175" s="206">
        <v>84457579</v>
      </c>
      <c r="S175" s="405">
        <v>0</v>
      </c>
      <c r="T175" s="405">
        <v>0</v>
      </c>
      <c r="U175" s="406">
        <v>0</v>
      </c>
      <c r="V175" s="406">
        <v>0</v>
      </c>
      <c r="W175" s="407">
        <f t="shared" si="151"/>
        <v>0</v>
      </c>
      <c r="X175" s="407">
        <f t="shared" si="152"/>
        <v>100</v>
      </c>
      <c r="Y175" s="408">
        <f t="shared" si="153"/>
        <v>3</v>
      </c>
      <c r="Z175" s="444" t="s">
        <v>3404</v>
      </c>
      <c r="AA175" s="442">
        <v>0</v>
      </c>
      <c r="AB175" s="406">
        <v>0</v>
      </c>
      <c r="AC175" s="406">
        <v>0</v>
      </c>
      <c r="AD175" s="407">
        <f t="shared" si="154"/>
        <v>0</v>
      </c>
      <c r="AE175" s="364" t="str">
        <f t="shared" si="155"/>
        <v>50</v>
      </c>
      <c r="AF175" s="349">
        <f t="shared" si="156"/>
        <v>0.25</v>
      </c>
      <c r="AG175" s="154">
        <v>899</v>
      </c>
      <c r="AH175" s="421"/>
      <c r="AI175" s="409">
        <f t="shared" si="132"/>
        <v>0</v>
      </c>
      <c r="AJ175" s="409">
        <f t="shared" si="133"/>
        <v>25</v>
      </c>
      <c r="AK175" s="408">
        <f t="shared" si="157"/>
        <v>0.25</v>
      </c>
      <c r="AL175" s="423"/>
      <c r="AM175" s="424">
        <v>0</v>
      </c>
      <c r="AN175" s="365">
        <f t="shared" si="148"/>
        <v>25</v>
      </c>
      <c r="AO175" s="320">
        <f t="shared" si="158"/>
        <v>0.25</v>
      </c>
      <c r="AP175" s="277">
        <f>_xlfn.XLOOKUP(C175, '1.건전성'!C:C, '1.건전성'!BE:BE)</f>
        <v>50380000</v>
      </c>
      <c r="AQ175" s="277">
        <f>_xlfn.XLOOKUP(C175, '1.건전성'!C:C, '1.건전성'!BF:BF)</f>
        <v>3642000</v>
      </c>
      <c r="AR175" s="410">
        <f t="shared" si="134"/>
        <v>54022000</v>
      </c>
      <c r="AS175" s="366">
        <f t="shared" si="130"/>
        <v>3.690320370139994</v>
      </c>
      <c r="AT175" s="366">
        <f t="shared" si="135"/>
        <v>27.404764098095473</v>
      </c>
      <c r="AU175" s="321">
        <f t="shared" si="136"/>
        <v>0.27404764098095474</v>
      </c>
      <c r="AV175" s="15">
        <v>6957000</v>
      </c>
      <c r="AW175" s="361">
        <f t="shared" si="131"/>
        <v>0.4752426569742686</v>
      </c>
      <c r="AX175" s="361">
        <f t="shared" si="137"/>
        <v>27.842747401320217</v>
      </c>
      <c r="AY175" s="321">
        <f t="shared" si="159"/>
        <v>0.13921373700660108</v>
      </c>
      <c r="AZ175" s="411">
        <v>5.3</v>
      </c>
      <c r="BA175" s="412">
        <f t="shared" si="138"/>
        <v>40</v>
      </c>
      <c r="BB175" s="408">
        <f t="shared" si="160"/>
        <v>0.2</v>
      </c>
      <c r="BC175" s="204">
        <v>1</v>
      </c>
      <c r="BD175" s="407">
        <f t="shared" si="149"/>
        <v>100</v>
      </c>
      <c r="BE175" s="408">
        <f t="shared" si="161"/>
        <v>0.5</v>
      </c>
      <c r="BF175" s="204">
        <v>0</v>
      </c>
      <c r="BG175" s="204">
        <v>0</v>
      </c>
      <c r="BH175" s="204">
        <v>0</v>
      </c>
      <c r="BI175" s="272" t="str">
        <f t="shared" si="139"/>
        <v>A</v>
      </c>
      <c r="BJ175" s="247">
        <f t="shared" si="140"/>
        <v>100</v>
      </c>
      <c r="BK175" s="90">
        <f t="shared" si="141"/>
        <v>3</v>
      </c>
      <c r="BL175" s="406">
        <v>149</v>
      </c>
      <c r="BM175" s="413">
        <f t="shared" si="142"/>
        <v>16.573971078976641</v>
      </c>
      <c r="BN175" s="414">
        <f t="shared" si="143"/>
        <v>20</v>
      </c>
      <c r="BO175" s="415">
        <f t="shared" si="144"/>
        <v>0.6</v>
      </c>
      <c r="BP175" s="416">
        <v>0</v>
      </c>
      <c r="BQ175" s="417">
        <f t="shared" si="145"/>
        <v>33.333333333333336</v>
      </c>
      <c r="BR175" s="415">
        <f t="shared" si="146"/>
        <v>0.33333333333333337</v>
      </c>
      <c r="BS175" s="350">
        <f t="shared" si="147"/>
        <v>8.7965947113208909</v>
      </c>
    </row>
    <row r="176" spans="1:71" x14ac:dyDescent="0.6">
      <c r="A176" s="214" t="s">
        <v>707</v>
      </c>
      <c r="B176" s="13" t="s">
        <v>2156</v>
      </c>
      <c r="C176" s="219" t="s">
        <v>4</v>
      </c>
      <c r="D176" s="216" t="s">
        <v>285</v>
      </c>
      <c r="E176" s="217" t="s">
        <v>504</v>
      </c>
      <c r="F176" s="217" t="s">
        <v>594</v>
      </c>
      <c r="G176" s="218">
        <v>31278</v>
      </c>
      <c r="H176" s="217" t="s">
        <v>830</v>
      </c>
      <c r="I176" s="217" t="s">
        <v>798</v>
      </c>
      <c r="J176" s="217" t="s">
        <v>1199</v>
      </c>
      <c r="K176" s="217" t="s">
        <v>91</v>
      </c>
      <c r="L176" s="220">
        <v>8345250728</v>
      </c>
      <c r="M176" s="206">
        <v>4385916580</v>
      </c>
      <c r="N176" s="206">
        <v>3959334148</v>
      </c>
      <c r="O176" s="206">
        <v>1865707316</v>
      </c>
      <c r="P176" s="206">
        <v>348026286</v>
      </c>
      <c r="Q176" s="206">
        <v>294941948</v>
      </c>
      <c r="R176" s="206">
        <v>247588341</v>
      </c>
      <c r="S176" s="405">
        <v>0</v>
      </c>
      <c r="T176" s="405">
        <v>0</v>
      </c>
      <c r="U176" s="406">
        <v>0</v>
      </c>
      <c r="V176" s="406">
        <v>0</v>
      </c>
      <c r="W176" s="407">
        <f t="shared" si="151"/>
        <v>0</v>
      </c>
      <c r="X176" s="407">
        <f t="shared" si="152"/>
        <v>100</v>
      </c>
      <c r="Y176" s="408">
        <f t="shared" si="153"/>
        <v>3</v>
      </c>
      <c r="Z176" s="444" t="s">
        <v>3405</v>
      </c>
      <c r="AA176" s="442">
        <v>0</v>
      </c>
      <c r="AB176" s="406">
        <v>0</v>
      </c>
      <c r="AC176" s="406">
        <v>0</v>
      </c>
      <c r="AD176" s="407">
        <f t="shared" si="154"/>
        <v>0</v>
      </c>
      <c r="AE176" s="364" t="str">
        <f t="shared" si="155"/>
        <v>50</v>
      </c>
      <c r="AF176" s="349">
        <f t="shared" si="156"/>
        <v>0.25</v>
      </c>
      <c r="AG176" s="154">
        <v>2593</v>
      </c>
      <c r="AH176" s="421"/>
      <c r="AI176" s="409">
        <f t="shared" si="132"/>
        <v>0</v>
      </c>
      <c r="AJ176" s="409">
        <f t="shared" si="133"/>
        <v>25</v>
      </c>
      <c r="AK176" s="408">
        <f t="shared" si="157"/>
        <v>0.25</v>
      </c>
      <c r="AL176" s="423"/>
      <c r="AM176" s="424">
        <v>0</v>
      </c>
      <c r="AN176" s="365">
        <f t="shared" si="148"/>
        <v>25</v>
      </c>
      <c r="AO176" s="320">
        <f t="shared" si="158"/>
        <v>0.25</v>
      </c>
      <c r="AP176" s="277">
        <f>_xlfn.XLOOKUP(C176, '1.건전성'!C:C, '1.건전성'!BE:BE)</f>
        <v>187512000</v>
      </c>
      <c r="AQ176" s="277">
        <f>_xlfn.XLOOKUP(C176, '1.건전성'!C:C, '1.건전성'!BF:BF)</f>
        <v>19426000</v>
      </c>
      <c r="AR176" s="410">
        <f t="shared" si="134"/>
        <v>206938000</v>
      </c>
      <c r="AS176" s="366">
        <f t="shared" si="130"/>
        <v>11.091664712108573</v>
      </c>
      <c r="AT176" s="366">
        <f t="shared" si="135"/>
        <v>32.983666868423548</v>
      </c>
      <c r="AU176" s="321">
        <f t="shared" si="136"/>
        <v>0.3298366686842355</v>
      </c>
      <c r="AV176" s="15">
        <v>28289000</v>
      </c>
      <c r="AW176" s="361">
        <f t="shared" si="131"/>
        <v>1.5162614069955225</v>
      </c>
      <c r="AX176" s="361">
        <f t="shared" si="137"/>
        <v>35.729253083299412</v>
      </c>
      <c r="AY176" s="321">
        <f t="shared" si="159"/>
        <v>0.17864626541649706</v>
      </c>
      <c r="AZ176" s="411">
        <v>12.9</v>
      </c>
      <c r="BA176" s="412">
        <f t="shared" si="138"/>
        <v>100</v>
      </c>
      <c r="BB176" s="408">
        <f t="shared" si="160"/>
        <v>0.5</v>
      </c>
      <c r="BC176" s="204">
        <v>1</v>
      </c>
      <c r="BD176" s="407">
        <f t="shared" si="149"/>
        <v>100</v>
      </c>
      <c r="BE176" s="408">
        <f t="shared" si="161"/>
        <v>0.5</v>
      </c>
      <c r="BF176" s="204">
        <v>0</v>
      </c>
      <c r="BG176" s="204">
        <v>1</v>
      </c>
      <c r="BH176" s="204">
        <v>1</v>
      </c>
      <c r="BI176" s="272" t="str">
        <f t="shared" si="139"/>
        <v>D</v>
      </c>
      <c r="BJ176" s="247">
        <f t="shared" si="140"/>
        <v>25</v>
      </c>
      <c r="BK176" s="90">
        <f t="shared" si="141"/>
        <v>0.75</v>
      </c>
      <c r="BL176" s="406">
        <v>5</v>
      </c>
      <c r="BM176" s="413">
        <f t="shared" si="142"/>
        <v>0.19282684149633628</v>
      </c>
      <c r="BN176" s="414">
        <f t="shared" si="143"/>
        <v>100</v>
      </c>
      <c r="BO176" s="415">
        <f t="shared" si="144"/>
        <v>3</v>
      </c>
      <c r="BP176" s="416">
        <v>0.01</v>
      </c>
      <c r="BQ176" s="417">
        <f t="shared" si="145"/>
        <v>66.666666666666671</v>
      </c>
      <c r="BR176" s="415">
        <f t="shared" si="146"/>
        <v>0.66666666666666674</v>
      </c>
      <c r="BS176" s="350">
        <f t="shared" si="147"/>
        <v>9.6751496007673996</v>
      </c>
    </row>
    <row r="177" spans="1:71" x14ac:dyDescent="0.6">
      <c r="A177" s="214" t="s">
        <v>231</v>
      </c>
      <c r="B177" s="13" t="s">
        <v>2157</v>
      </c>
      <c r="C177" s="219" t="s">
        <v>413</v>
      </c>
      <c r="D177" s="216" t="s">
        <v>285</v>
      </c>
      <c r="E177" s="217" t="s">
        <v>1039</v>
      </c>
      <c r="F177" s="217" t="s">
        <v>1072</v>
      </c>
      <c r="G177" s="218">
        <v>40738</v>
      </c>
      <c r="H177" s="217" t="s">
        <v>830</v>
      </c>
      <c r="I177" s="217" t="s">
        <v>1737</v>
      </c>
      <c r="J177" s="217" t="s">
        <v>1187</v>
      </c>
      <c r="K177" s="217" t="s">
        <v>91</v>
      </c>
      <c r="L177" s="220">
        <v>1134250211</v>
      </c>
      <c r="M177" s="206">
        <v>421706641</v>
      </c>
      <c r="N177" s="206">
        <v>712543570</v>
      </c>
      <c r="O177" s="206">
        <v>1430631262</v>
      </c>
      <c r="P177" s="206">
        <v>99554619</v>
      </c>
      <c r="Q177" s="206">
        <v>116211296</v>
      </c>
      <c r="R177" s="206">
        <v>89493182</v>
      </c>
      <c r="S177" s="405">
        <v>0</v>
      </c>
      <c r="T177" s="405">
        <v>0</v>
      </c>
      <c r="U177" s="406">
        <v>0</v>
      </c>
      <c r="V177" s="406">
        <v>0</v>
      </c>
      <c r="W177" s="407">
        <f t="shared" si="151"/>
        <v>0</v>
      </c>
      <c r="X177" s="407">
        <f t="shared" si="152"/>
        <v>100</v>
      </c>
      <c r="Y177" s="408">
        <f t="shared" si="153"/>
        <v>3</v>
      </c>
      <c r="Z177" s="444" t="s">
        <v>3406</v>
      </c>
      <c r="AA177" s="442">
        <v>0</v>
      </c>
      <c r="AB177" s="406">
        <v>0</v>
      </c>
      <c r="AC177" s="406">
        <v>0</v>
      </c>
      <c r="AD177" s="407">
        <f t="shared" si="154"/>
        <v>0</v>
      </c>
      <c r="AE177" s="364" t="str">
        <f t="shared" si="155"/>
        <v>50</v>
      </c>
      <c r="AF177" s="349">
        <f t="shared" si="156"/>
        <v>0.25</v>
      </c>
      <c r="AG177" s="154">
        <v>1337</v>
      </c>
      <c r="AH177" s="154">
        <v>575808</v>
      </c>
      <c r="AI177" s="409">
        <f t="shared" si="132"/>
        <v>430.67165295437547</v>
      </c>
      <c r="AJ177" s="409">
        <f t="shared" si="133"/>
        <v>100</v>
      </c>
      <c r="AK177" s="408">
        <f t="shared" si="157"/>
        <v>1</v>
      </c>
      <c r="AL177" s="45">
        <v>416333</v>
      </c>
      <c r="AM177" s="361">
        <f t="shared" si="150"/>
        <v>38.304674383246102</v>
      </c>
      <c r="AN177" s="365">
        <f t="shared" si="148"/>
        <v>32.182126446858646</v>
      </c>
      <c r="AO177" s="320">
        <f t="shared" si="158"/>
        <v>0.32182126446858644</v>
      </c>
      <c r="AP177" s="277">
        <f>_xlfn.XLOOKUP(C177, '1.건전성'!C:C, '1.건전성'!BE:BE)</f>
        <v>98282013</v>
      </c>
      <c r="AQ177" s="277">
        <f>_xlfn.XLOOKUP(C177, '1.건전성'!C:C, '1.건전성'!BF:BF)</f>
        <v>11303545</v>
      </c>
      <c r="AR177" s="410">
        <f t="shared" si="134"/>
        <v>109585558</v>
      </c>
      <c r="AS177" s="366">
        <f t="shared" si="130"/>
        <v>7.6599443134495129</v>
      </c>
      <c r="AT177" s="366">
        <f t="shared" si="135"/>
        <v>30.396942949836316</v>
      </c>
      <c r="AU177" s="321">
        <f t="shared" si="136"/>
        <v>0.30396942949836314</v>
      </c>
      <c r="AV177" s="15">
        <v>17002076</v>
      </c>
      <c r="AW177" s="361">
        <f t="shared" si="131"/>
        <v>1.1884317400020579</v>
      </c>
      <c r="AX177" s="361">
        <f t="shared" si="137"/>
        <v>33.245695000015587</v>
      </c>
      <c r="AY177" s="321">
        <f t="shared" si="159"/>
        <v>0.16622847500007795</v>
      </c>
      <c r="AZ177" s="411">
        <v>6.6</v>
      </c>
      <c r="BA177" s="412">
        <f t="shared" si="138"/>
        <v>60</v>
      </c>
      <c r="BB177" s="408">
        <f t="shared" si="160"/>
        <v>0.3</v>
      </c>
      <c r="BC177" s="204">
        <v>1</v>
      </c>
      <c r="BD177" s="407">
        <f t="shared" si="149"/>
        <v>100</v>
      </c>
      <c r="BE177" s="408">
        <f t="shared" si="161"/>
        <v>0.5</v>
      </c>
      <c r="BF177" s="204">
        <v>0</v>
      </c>
      <c r="BG177" s="204">
        <v>0</v>
      </c>
      <c r="BH177" s="204">
        <v>0</v>
      </c>
      <c r="BI177" s="272" t="str">
        <f t="shared" si="139"/>
        <v>A</v>
      </c>
      <c r="BJ177" s="247">
        <f t="shared" si="140"/>
        <v>100</v>
      </c>
      <c r="BK177" s="90">
        <f t="shared" si="141"/>
        <v>3</v>
      </c>
      <c r="BL177" s="406">
        <v>119</v>
      </c>
      <c r="BM177" s="413">
        <f t="shared" si="142"/>
        <v>8.9005235602094235</v>
      </c>
      <c r="BN177" s="414">
        <f t="shared" si="143"/>
        <v>20</v>
      </c>
      <c r="BO177" s="415">
        <f t="shared" si="144"/>
        <v>0.6</v>
      </c>
      <c r="BP177" s="416">
        <v>0</v>
      </c>
      <c r="BQ177" s="417">
        <f t="shared" si="145"/>
        <v>33.333333333333336</v>
      </c>
      <c r="BR177" s="415">
        <f t="shared" si="146"/>
        <v>0.33333333333333337</v>
      </c>
      <c r="BS177" s="350">
        <f t="shared" si="147"/>
        <v>9.7753525023003611</v>
      </c>
    </row>
    <row r="178" spans="1:71" x14ac:dyDescent="0.6">
      <c r="A178" s="214" t="s">
        <v>1738</v>
      </c>
      <c r="B178" s="13" t="s">
        <v>2158</v>
      </c>
      <c r="C178" s="219" t="s">
        <v>374</v>
      </c>
      <c r="D178" s="216" t="s">
        <v>191</v>
      </c>
      <c r="E178" s="217" t="s">
        <v>190</v>
      </c>
      <c r="F178" s="217" t="s">
        <v>125</v>
      </c>
      <c r="G178" s="218">
        <v>28122</v>
      </c>
      <c r="H178" s="217" t="s">
        <v>830</v>
      </c>
      <c r="I178" s="217" t="s">
        <v>251</v>
      </c>
      <c r="J178" s="217" t="s">
        <v>287</v>
      </c>
      <c r="K178" s="217" t="s">
        <v>91</v>
      </c>
      <c r="L178" s="220">
        <v>385696451</v>
      </c>
      <c r="M178" s="206">
        <v>57970889</v>
      </c>
      <c r="N178" s="206">
        <v>327725561</v>
      </c>
      <c r="O178" s="206">
        <v>201337780</v>
      </c>
      <c r="P178" s="206">
        <v>7473489</v>
      </c>
      <c r="Q178" s="206">
        <v>11002724</v>
      </c>
      <c r="R178" s="206">
        <v>11593733</v>
      </c>
      <c r="S178" s="405">
        <v>0</v>
      </c>
      <c r="T178" s="405">
        <v>0</v>
      </c>
      <c r="U178" s="406">
        <v>0</v>
      </c>
      <c r="V178" s="406">
        <v>0</v>
      </c>
      <c r="W178" s="407">
        <f t="shared" si="151"/>
        <v>0</v>
      </c>
      <c r="X178" s="407">
        <f t="shared" si="152"/>
        <v>100</v>
      </c>
      <c r="Y178" s="408">
        <f t="shared" si="153"/>
        <v>3</v>
      </c>
      <c r="Z178" s="444" t="s">
        <v>3407</v>
      </c>
      <c r="AA178" s="442">
        <v>0</v>
      </c>
      <c r="AB178" s="406">
        <v>0</v>
      </c>
      <c r="AC178" s="406">
        <v>0</v>
      </c>
      <c r="AD178" s="407">
        <f t="shared" si="154"/>
        <v>0</v>
      </c>
      <c r="AE178" s="364" t="str">
        <f t="shared" si="155"/>
        <v>50</v>
      </c>
      <c r="AF178" s="349">
        <f t="shared" si="156"/>
        <v>0.25</v>
      </c>
      <c r="AG178" s="154">
        <v>399</v>
      </c>
      <c r="AH178" s="154">
        <v>493615</v>
      </c>
      <c r="AI178" s="409">
        <f t="shared" si="132"/>
        <v>1237.1303258145363</v>
      </c>
      <c r="AJ178" s="409">
        <f t="shared" si="133"/>
        <v>100</v>
      </c>
      <c r="AK178" s="408">
        <f t="shared" si="157"/>
        <v>1</v>
      </c>
      <c r="AL178" s="45">
        <v>360555</v>
      </c>
      <c r="AM178" s="361">
        <f t="shared" si="150"/>
        <v>36.904217109733608</v>
      </c>
      <c r="AN178" s="365">
        <f t="shared" si="148"/>
        <v>31.919540708075051</v>
      </c>
      <c r="AO178" s="320">
        <f t="shared" si="158"/>
        <v>0.3191954070807505</v>
      </c>
      <c r="AP178" s="277">
        <f>_xlfn.XLOOKUP(C178, '1.건전성'!C:C, '1.건전성'!BE:BE)</f>
        <v>19194319</v>
      </c>
      <c r="AQ178" s="277">
        <f>_xlfn.XLOOKUP(C178, '1.건전성'!C:C, '1.건전성'!BF:BF)</f>
        <v>1287233</v>
      </c>
      <c r="AR178" s="410">
        <f t="shared" si="134"/>
        <v>20481552</v>
      </c>
      <c r="AS178" s="366">
        <f t="shared" si="130"/>
        <v>10.172731615497103</v>
      </c>
      <c r="AT178" s="366">
        <f t="shared" si="135"/>
        <v>32.291003730274198</v>
      </c>
      <c r="AU178" s="321">
        <f t="shared" si="136"/>
        <v>0.32291003730274198</v>
      </c>
      <c r="AV178" s="15">
        <v>1352164</v>
      </c>
      <c r="AW178" s="361">
        <f t="shared" si="131"/>
        <v>0.67158980296693449</v>
      </c>
      <c r="AX178" s="361">
        <f t="shared" si="137"/>
        <v>29.330225780052533</v>
      </c>
      <c r="AY178" s="321">
        <f t="shared" si="159"/>
        <v>0.14665112890026266</v>
      </c>
      <c r="AZ178" s="411">
        <v>12.8</v>
      </c>
      <c r="BA178" s="412">
        <f t="shared" si="138"/>
        <v>100</v>
      </c>
      <c r="BB178" s="408">
        <f t="shared" si="160"/>
        <v>0.5</v>
      </c>
      <c r="BC178" s="204">
        <v>1</v>
      </c>
      <c r="BD178" s="407">
        <f t="shared" si="149"/>
        <v>100</v>
      </c>
      <c r="BE178" s="408">
        <f t="shared" si="161"/>
        <v>0.5</v>
      </c>
      <c r="BF178" s="204">
        <v>0</v>
      </c>
      <c r="BG178" s="204">
        <v>0</v>
      </c>
      <c r="BH178" s="204">
        <v>0</v>
      </c>
      <c r="BI178" s="272" t="str">
        <f t="shared" si="139"/>
        <v>A</v>
      </c>
      <c r="BJ178" s="247">
        <f t="shared" si="140"/>
        <v>100</v>
      </c>
      <c r="BK178" s="90">
        <f t="shared" si="141"/>
        <v>3</v>
      </c>
      <c r="BL178" s="406">
        <v>3</v>
      </c>
      <c r="BM178" s="413">
        <f t="shared" si="142"/>
        <v>0.75187969924812026</v>
      </c>
      <c r="BN178" s="414">
        <f t="shared" si="143"/>
        <v>80</v>
      </c>
      <c r="BO178" s="415">
        <f t="shared" si="144"/>
        <v>2.4</v>
      </c>
      <c r="BP178" s="416">
        <v>0</v>
      </c>
      <c r="BQ178" s="417">
        <f t="shared" si="145"/>
        <v>33.333333333333336</v>
      </c>
      <c r="BR178" s="415">
        <f t="shared" si="146"/>
        <v>0.33333333333333337</v>
      </c>
      <c r="BS178" s="350">
        <f t="shared" si="147"/>
        <v>11.772089906617088</v>
      </c>
    </row>
    <row r="179" spans="1:71" x14ac:dyDescent="0.6">
      <c r="A179" s="214" t="s">
        <v>414</v>
      </c>
      <c r="B179" s="13" t="s">
        <v>2159</v>
      </c>
      <c r="C179" s="219" t="s">
        <v>411</v>
      </c>
      <c r="D179" s="221" t="s">
        <v>350</v>
      </c>
      <c r="E179" s="217" t="s">
        <v>179</v>
      </c>
      <c r="F179" s="217" t="s">
        <v>808</v>
      </c>
      <c r="G179" s="218">
        <v>32013</v>
      </c>
      <c r="H179" s="217" t="s">
        <v>746</v>
      </c>
      <c r="I179" s="217" t="s">
        <v>266</v>
      </c>
      <c r="J179" s="217" t="s">
        <v>1192</v>
      </c>
      <c r="K179" s="217" t="s">
        <v>91</v>
      </c>
      <c r="L179" s="220">
        <v>10400472991</v>
      </c>
      <c r="M179" s="206">
        <v>9031560866</v>
      </c>
      <c r="N179" s="206">
        <v>1368912125</v>
      </c>
      <c r="O179" s="206">
        <v>2043938653</v>
      </c>
      <c r="P179" s="206">
        <v>111260253</v>
      </c>
      <c r="Q179" s="206">
        <v>121787342</v>
      </c>
      <c r="R179" s="206">
        <v>93015535</v>
      </c>
      <c r="S179" s="275" t="s">
        <v>2326</v>
      </c>
      <c r="T179" s="275" t="s">
        <v>2326</v>
      </c>
      <c r="U179" s="275" t="s">
        <v>2326</v>
      </c>
      <c r="V179" s="275" t="s">
        <v>2326</v>
      </c>
      <c r="W179" s="275" t="s">
        <v>2326</v>
      </c>
      <c r="X179" s="275" t="s">
        <v>2326</v>
      </c>
      <c r="Y179" s="276"/>
      <c r="Z179" s="275" t="s">
        <v>2326</v>
      </c>
      <c r="AA179" s="275" t="s">
        <v>2326</v>
      </c>
      <c r="AB179" s="275" t="s">
        <v>2326</v>
      </c>
      <c r="AC179" s="275" t="s">
        <v>2326</v>
      </c>
      <c r="AD179" s="275" t="s">
        <v>2326</v>
      </c>
      <c r="AE179" s="275" t="s">
        <v>2326</v>
      </c>
      <c r="AF179" s="275"/>
      <c r="AG179" s="154">
        <v>664</v>
      </c>
      <c r="AH179" s="421"/>
      <c r="AI179" s="409">
        <f t="shared" si="132"/>
        <v>0</v>
      </c>
      <c r="AJ179" s="409">
        <f t="shared" si="133"/>
        <v>25</v>
      </c>
      <c r="AK179" s="418">
        <f>AJ179*0.02</f>
        <v>0.5</v>
      </c>
      <c r="AL179" s="423"/>
      <c r="AM179" s="424">
        <v>0</v>
      </c>
      <c r="AN179" s="365">
        <f t="shared" si="148"/>
        <v>25</v>
      </c>
      <c r="AO179" s="322">
        <f>AN179*0.02</f>
        <v>0.5</v>
      </c>
      <c r="AP179" s="277">
        <f>_xlfn.XLOOKUP(C179, '1.건전성'!C:C, '1.건전성'!BE:BE)</f>
        <v>76952062</v>
      </c>
      <c r="AQ179" s="277">
        <f>_xlfn.XLOOKUP(C179, '1.건전성'!C:C, '1.건전성'!BF:BF)</f>
        <v>4773241</v>
      </c>
      <c r="AR179" s="410">
        <f t="shared" si="134"/>
        <v>81725303</v>
      </c>
      <c r="AS179" s="366">
        <f t="shared" si="130"/>
        <v>3.9984225005993856</v>
      </c>
      <c r="AT179" s="366">
        <f t="shared" si="135"/>
        <v>27.637001884873911</v>
      </c>
      <c r="AU179" s="321">
        <f t="shared" si="136"/>
        <v>0.27637001884873913</v>
      </c>
      <c r="AV179" s="15">
        <v>11797234</v>
      </c>
      <c r="AW179" s="361">
        <f t="shared" si="131"/>
        <v>0.57718141308617832</v>
      </c>
      <c r="AX179" s="361">
        <f t="shared" si="137"/>
        <v>28.615010705198323</v>
      </c>
      <c r="AY179" s="348">
        <f>AX179*0.01</f>
        <v>0.28615010705198324</v>
      </c>
      <c r="AZ179" s="411">
        <v>8.4700000000000006</v>
      </c>
      <c r="BA179" s="412">
        <f t="shared" si="138"/>
        <v>80</v>
      </c>
      <c r="BB179" s="418">
        <f>BA179*0.01</f>
        <v>0.8</v>
      </c>
      <c r="BC179" s="204">
        <v>1</v>
      </c>
      <c r="BD179" s="407">
        <f t="shared" si="149"/>
        <v>100</v>
      </c>
      <c r="BE179" s="418">
        <f>BD179*0.01</f>
        <v>1</v>
      </c>
      <c r="BF179" s="204">
        <v>1</v>
      </c>
      <c r="BG179" s="204">
        <v>1</v>
      </c>
      <c r="BH179" s="204">
        <v>0</v>
      </c>
      <c r="BI179" s="272" t="str">
        <f t="shared" si="139"/>
        <v>C</v>
      </c>
      <c r="BJ179" s="247">
        <f t="shared" si="140"/>
        <v>50</v>
      </c>
      <c r="BK179" s="90">
        <f t="shared" si="141"/>
        <v>1.5</v>
      </c>
      <c r="BL179" s="406">
        <v>16</v>
      </c>
      <c r="BM179" s="413">
        <f t="shared" si="142"/>
        <v>2.4096385542168677</v>
      </c>
      <c r="BN179" s="414">
        <f t="shared" si="143"/>
        <v>60</v>
      </c>
      <c r="BO179" s="415">
        <f t="shared" si="144"/>
        <v>1.7999999999999998</v>
      </c>
      <c r="BP179" s="416">
        <v>0</v>
      </c>
      <c r="BQ179" s="417">
        <f t="shared" si="145"/>
        <v>33.333333333333336</v>
      </c>
      <c r="BR179" s="415">
        <f t="shared" si="146"/>
        <v>0.33333333333333337</v>
      </c>
      <c r="BS179" s="350">
        <f t="shared" si="147"/>
        <v>6.9958534592340555</v>
      </c>
    </row>
    <row r="180" spans="1:71" x14ac:dyDescent="0.6">
      <c r="A180" s="214" t="s">
        <v>9</v>
      </c>
      <c r="B180" s="13" t="s">
        <v>2160</v>
      </c>
      <c r="C180" s="219" t="s">
        <v>505</v>
      </c>
      <c r="D180" s="216" t="s">
        <v>285</v>
      </c>
      <c r="E180" s="217" t="s">
        <v>999</v>
      </c>
      <c r="F180" s="217" t="s">
        <v>165</v>
      </c>
      <c r="G180" s="218">
        <v>27667</v>
      </c>
      <c r="H180" s="217" t="s">
        <v>830</v>
      </c>
      <c r="I180" s="217" t="s">
        <v>754</v>
      </c>
      <c r="J180" s="217" t="s">
        <v>1089</v>
      </c>
      <c r="K180" s="217" t="s">
        <v>425</v>
      </c>
      <c r="L180" s="220">
        <v>152880655</v>
      </c>
      <c r="M180" s="206">
        <v>70989813</v>
      </c>
      <c r="N180" s="206">
        <v>81890843</v>
      </c>
      <c r="O180" s="206">
        <v>202728990</v>
      </c>
      <c r="P180" s="206">
        <v>2828954</v>
      </c>
      <c r="Q180" s="206">
        <v>1737125</v>
      </c>
      <c r="R180" s="206">
        <v>1041713</v>
      </c>
      <c r="S180" s="405">
        <v>0</v>
      </c>
      <c r="T180" s="405">
        <v>0</v>
      </c>
      <c r="U180" s="406">
        <v>0</v>
      </c>
      <c r="V180" s="406">
        <v>0</v>
      </c>
      <c r="W180" s="407">
        <f t="shared" ref="W180:W193" si="162">SUM(S180:V180)</f>
        <v>0</v>
      </c>
      <c r="X180" s="407">
        <f t="shared" ref="X180:X193" si="163">IF(W180=0, 100, IF(W180=1, 80, IF(W180=2, 60, IF(W180=3, 40, IF(W180=4, 20)))))</f>
        <v>100</v>
      </c>
      <c r="Y180" s="408">
        <f t="shared" ref="Y180:Y193" si="164">X180*0.03</f>
        <v>3</v>
      </c>
      <c r="Z180" s="444" t="s">
        <v>3408</v>
      </c>
      <c r="AA180" s="442">
        <v>0</v>
      </c>
      <c r="AB180" s="406">
        <v>0</v>
      </c>
      <c r="AC180" s="406">
        <v>0</v>
      </c>
      <c r="AD180" s="407">
        <f t="shared" ref="AD180:AD193" si="165">SUM(AA180:AC180)</f>
        <v>0</v>
      </c>
      <c r="AE180" s="364" t="str">
        <f t="shared" ref="AE180:AE193" si="166">IF(AD180&gt;=1,"100","50")</f>
        <v>50</v>
      </c>
      <c r="AF180" s="349">
        <f t="shared" ref="AF180:AF193" si="167">AE180*0.005</f>
        <v>0.25</v>
      </c>
      <c r="AG180" s="154">
        <v>126</v>
      </c>
      <c r="AH180" s="421"/>
      <c r="AI180" s="409">
        <f t="shared" si="132"/>
        <v>0</v>
      </c>
      <c r="AJ180" s="409">
        <f t="shared" si="133"/>
        <v>25</v>
      </c>
      <c r="AK180" s="408">
        <f t="shared" ref="AK180:AK193" si="168">AJ180*0.01</f>
        <v>0.25</v>
      </c>
      <c r="AL180" s="423"/>
      <c r="AM180" s="424">
        <v>0</v>
      </c>
      <c r="AN180" s="365">
        <f t="shared" si="148"/>
        <v>25</v>
      </c>
      <c r="AO180" s="320">
        <f t="shared" ref="AO180:AO193" si="169">AN180*0.01</f>
        <v>0.25</v>
      </c>
      <c r="AP180" s="277">
        <f>_xlfn.XLOOKUP(C180, '1.건전성'!C:C, '1.건전성'!BE:BE)</f>
        <v>9132625</v>
      </c>
      <c r="AQ180" s="277">
        <f>_xlfn.XLOOKUP(C180, '1.건전성'!C:C, '1.건전성'!BF:BF)</f>
        <v>1443091</v>
      </c>
      <c r="AR180" s="410">
        <f t="shared" si="134"/>
        <v>10575716</v>
      </c>
      <c r="AS180" s="366">
        <f t="shared" si="130"/>
        <v>5.2166767071645745</v>
      </c>
      <c r="AT180" s="366">
        <f t="shared" si="135"/>
        <v>28.55528395012405</v>
      </c>
      <c r="AU180" s="321">
        <f t="shared" si="136"/>
        <v>0.2855528395012405</v>
      </c>
      <c r="AV180" s="15">
        <v>1043962</v>
      </c>
      <c r="AW180" s="361">
        <f t="shared" si="131"/>
        <v>0.51495447197758937</v>
      </c>
      <c r="AX180" s="361">
        <f t="shared" si="137"/>
        <v>28.143594484678708</v>
      </c>
      <c r="AY180" s="321">
        <f t="shared" ref="AY180:AY193" si="170">AX180*0.005</f>
        <v>0.14071797242339354</v>
      </c>
      <c r="AZ180" s="411">
        <v>8.5</v>
      </c>
      <c r="BA180" s="412">
        <f t="shared" si="138"/>
        <v>80</v>
      </c>
      <c r="BB180" s="408">
        <f t="shared" ref="BB180:BB193" si="171">BA180*0.005</f>
        <v>0.4</v>
      </c>
      <c r="BC180" s="204">
        <v>1</v>
      </c>
      <c r="BD180" s="407">
        <f t="shared" si="149"/>
        <v>100</v>
      </c>
      <c r="BE180" s="408">
        <f t="shared" ref="BE180:BE193" si="172">BD180*0.005</f>
        <v>0.5</v>
      </c>
      <c r="BF180" s="204">
        <v>0</v>
      </c>
      <c r="BG180" s="204">
        <v>0</v>
      </c>
      <c r="BH180" s="204">
        <v>0</v>
      </c>
      <c r="BI180" s="272" t="str">
        <f t="shared" si="139"/>
        <v>A</v>
      </c>
      <c r="BJ180" s="247">
        <f t="shared" si="140"/>
        <v>100</v>
      </c>
      <c r="BK180" s="90">
        <f t="shared" si="141"/>
        <v>3</v>
      </c>
      <c r="BL180" s="406">
        <v>11</v>
      </c>
      <c r="BM180" s="413">
        <f t="shared" si="142"/>
        <v>8.7301587301587293</v>
      </c>
      <c r="BN180" s="414">
        <f t="shared" si="143"/>
        <v>20</v>
      </c>
      <c r="BO180" s="415">
        <f t="shared" si="144"/>
        <v>0.6</v>
      </c>
      <c r="BP180" s="416">
        <v>5.05</v>
      </c>
      <c r="BQ180" s="417">
        <f t="shared" si="145"/>
        <v>100</v>
      </c>
      <c r="BR180" s="415">
        <f t="shared" si="146"/>
        <v>1</v>
      </c>
      <c r="BS180" s="350">
        <f t="shared" si="147"/>
        <v>9.676270811924633</v>
      </c>
    </row>
    <row r="181" spans="1:71" x14ac:dyDescent="0.6">
      <c r="A181" s="214" t="s">
        <v>821</v>
      </c>
      <c r="B181" s="13" t="s">
        <v>2161</v>
      </c>
      <c r="C181" s="219" t="s">
        <v>86</v>
      </c>
      <c r="D181" s="216" t="s">
        <v>285</v>
      </c>
      <c r="E181" s="217" t="s">
        <v>999</v>
      </c>
      <c r="F181" s="217" t="s">
        <v>153</v>
      </c>
      <c r="G181" s="218">
        <v>33277</v>
      </c>
      <c r="H181" s="217" t="s">
        <v>830</v>
      </c>
      <c r="I181" s="217" t="s">
        <v>787</v>
      </c>
      <c r="J181" s="217" t="s">
        <v>1245</v>
      </c>
      <c r="K181" s="217" t="s">
        <v>91</v>
      </c>
      <c r="L181" s="220">
        <v>131824972</v>
      </c>
      <c r="M181" s="206">
        <v>27592356</v>
      </c>
      <c r="N181" s="206">
        <v>104232616</v>
      </c>
      <c r="O181" s="206">
        <v>117958170</v>
      </c>
      <c r="P181" s="206">
        <v>9678013</v>
      </c>
      <c r="Q181" s="206">
        <v>10111802</v>
      </c>
      <c r="R181" s="206">
        <v>8289001</v>
      </c>
      <c r="S181" s="405">
        <v>0</v>
      </c>
      <c r="T181" s="405">
        <v>0</v>
      </c>
      <c r="U181" s="406">
        <v>0</v>
      </c>
      <c r="V181" s="406">
        <v>0</v>
      </c>
      <c r="W181" s="407">
        <f t="shared" si="162"/>
        <v>0</v>
      </c>
      <c r="X181" s="407">
        <f t="shared" si="163"/>
        <v>100</v>
      </c>
      <c r="Y181" s="408">
        <f t="shared" si="164"/>
        <v>3</v>
      </c>
      <c r="Z181" s="444" t="s">
        <v>3409</v>
      </c>
      <c r="AA181" s="442">
        <v>0</v>
      </c>
      <c r="AB181" s="406">
        <v>1</v>
      </c>
      <c r="AC181" s="406">
        <v>0</v>
      </c>
      <c r="AD181" s="407">
        <f t="shared" si="165"/>
        <v>1</v>
      </c>
      <c r="AE181" s="364" t="str">
        <f t="shared" si="166"/>
        <v>100</v>
      </c>
      <c r="AF181" s="349">
        <f t="shared" si="167"/>
        <v>0.5</v>
      </c>
      <c r="AG181" s="154">
        <v>218</v>
      </c>
      <c r="AH181" s="421"/>
      <c r="AI181" s="409">
        <f t="shared" si="132"/>
        <v>0</v>
      </c>
      <c r="AJ181" s="409">
        <f t="shared" si="133"/>
        <v>25</v>
      </c>
      <c r="AK181" s="408">
        <f t="shared" si="168"/>
        <v>0.25</v>
      </c>
      <c r="AL181" s="423"/>
      <c r="AM181" s="424">
        <v>0</v>
      </c>
      <c r="AN181" s="365">
        <f t="shared" si="148"/>
        <v>25</v>
      </c>
      <c r="AO181" s="320">
        <f t="shared" si="169"/>
        <v>0.25</v>
      </c>
      <c r="AP181" s="277">
        <f>_xlfn.XLOOKUP(C181, '1.건전성'!C:C, '1.건전성'!BE:BE)</f>
        <v>7686143</v>
      </c>
      <c r="AQ181" s="277">
        <f>_xlfn.XLOOKUP(C181, '1.건전성'!C:C, '1.건전성'!BF:BF)</f>
        <v>644148</v>
      </c>
      <c r="AR181" s="410">
        <f t="shared" si="134"/>
        <v>8330291</v>
      </c>
      <c r="AS181" s="366">
        <f t="shared" si="130"/>
        <v>7.0620720887751993</v>
      </c>
      <c r="AT181" s="366">
        <f t="shared" si="135"/>
        <v>29.946285494051658</v>
      </c>
      <c r="AU181" s="321">
        <f t="shared" si="136"/>
        <v>0.29946285494051661</v>
      </c>
      <c r="AV181" s="15">
        <v>985970</v>
      </c>
      <c r="AW181" s="361">
        <f t="shared" si="131"/>
        <v>0.83586410335121342</v>
      </c>
      <c r="AX181" s="361">
        <f t="shared" si="137"/>
        <v>30.574728055691011</v>
      </c>
      <c r="AY181" s="321">
        <f t="shared" si="170"/>
        <v>0.15287364027845507</v>
      </c>
      <c r="AZ181" s="411">
        <v>10.3</v>
      </c>
      <c r="BA181" s="412">
        <f t="shared" si="138"/>
        <v>100</v>
      </c>
      <c r="BB181" s="408">
        <f t="shared" si="171"/>
        <v>0.5</v>
      </c>
      <c r="BC181" s="204">
        <v>1</v>
      </c>
      <c r="BD181" s="407">
        <f t="shared" si="149"/>
        <v>100</v>
      </c>
      <c r="BE181" s="408">
        <f t="shared" si="172"/>
        <v>0.5</v>
      </c>
      <c r="BF181" s="204">
        <v>0</v>
      </c>
      <c r="BG181" s="204">
        <v>1</v>
      </c>
      <c r="BH181" s="204">
        <v>0</v>
      </c>
      <c r="BI181" s="272" t="str">
        <f t="shared" si="139"/>
        <v>C</v>
      </c>
      <c r="BJ181" s="247">
        <f t="shared" si="140"/>
        <v>50</v>
      </c>
      <c r="BK181" s="90">
        <f t="shared" si="141"/>
        <v>1.5</v>
      </c>
      <c r="BL181" s="406">
        <v>19</v>
      </c>
      <c r="BM181" s="413">
        <f t="shared" si="142"/>
        <v>8.7155963302752291</v>
      </c>
      <c r="BN181" s="414">
        <f t="shared" si="143"/>
        <v>20</v>
      </c>
      <c r="BO181" s="415">
        <f t="shared" si="144"/>
        <v>0.6</v>
      </c>
      <c r="BP181" s="416">
        <v>3.06</v>
      </c>
      <c r="BQ181" s="417">
        <f t="shared" si="145"/>
        <v>66.666666666666671</v>
      </c>
      <c r="BR181" s="415">
        <f t="shared" si="146"/>
        <v>0.66666666666666674</v>
      </c>
      <c r="BS181" s="350">
        <f t="shared" si="147"/>
        <v>8.2190031618856381</v>
      </c>
    </row>
    <row r="182" spans="1:71" x14ac:dyDescent="0.6">
      <c r="A182" s="214" t="s">
        <v>553</v>
      </c>
      <c r="B182" s="13" t="s">
        <v>2162</v>
      </c>
      <c r="C182" s="219" t="s">
        <v>47</v>
      </c>
      <c r="D182" s="216" t="s">
        <v>203</v>
      </c>
      <c r="E182" s="217" t="s">
        <v>1179</v>
      </c>
      <c r="F182" s="217" t="s">
        <v>211</v>
      </c>
      <c r="G182" s="218">
        <v>27517</v>
      </c>
      <c r="H182" s="217" t="s">
        <v>830</v>
      </c>
      <c r="I182" s="217" t="s">
        <v>973</v>
      </c>
      <c r="J182" s="217" t="s">
        <v>381</v>
      </c>
      <c r="K182" s="217" t="s">
        <v>91</v>
      </c>
      <c r="L182" s="220">
        <v>3324252824</v>
      </c>
      <c r="M182" s="206">
        <v>1744378392</v>
      </c>
      <c r="N182" s="206">
        <v>1579874432</v>
      </c>
      <c r="O182" s="206">
        <v>1329446841</v>
      </c>
      <c r="P182" s="206">
        <v>132736708</v>
      </c>
      <c r="Q182" s="206">
        <v>169634745</v>
      </c>
      <c r="R182" s="206">
        <v>144326674</v>
      </c>
      <c r="S182" s="405">
        <v>0</v>
      </c>
      <c r="T182" s="405">
        <v>0</v>
      </c>
      <c r="U182" s="406">
        <v>0</v>
      </c>
      <c r="V182" s="406">
        <v>0</v>
      </c>
      <c r="W182" s="407">
        <f t="shared" si="162"/>
        <v>0</v>
      </c>
      <c r="X182" s="407">
        <f t="shared" si="163"/>
        <v>100</v>
      </c>
      <c r="Y182" s="408">
        <f t="shared" si="164"/>
        <v>3</v>
      </c>
      <c r="Z182" s="444" t="s">
        <v>3410</v>
      </c>
      <c r="AA182" s="442">
        <v>0</v>
      </c>
      <c r="AB182" s="406">
        <v>0</v>
      </c>
      <c r="AC182" s="406">
        <v>0</v>
      </c>
      <c r="AD182" s="407">
        <f t="shared" si="165"/>
        <v>0</v>
      </c>
      <c r="AE182" s="364" t="str">
        <f t="shared" si="166"/>
        <v>50</v>
      </c>
      <c r="AF182" s="349">
        <f t="shared" si="167"/>
        <v>0.25</v>
      </c>
      <c r="AG182" s="154">
        <v>1159</v>
      </c>
      <c r="AH182" s="154">
        <v>1193952</v>
      </c>
      <c r="AI182" s="409">
        <f t="shared" si="132"/>
        <v>1030.1570319240725</v>
      </c>
      <c r="AJ182" s="409">
        <f t="shared" si="133"/>
        <v>100</v>
      </c>
      <c r="AK182" s="408">
        <f t="shared" si="168"/>
        <v>1</v>
      </c>
      <c r="AL182" s="45">
        <v>1060695</v>
      </c>
      <c r="AM182" s="361">
        <f t="shared" si="150"/>
        <v>12.563177916366156</v>
      </c>
      <c r="AN182" s="365">
        <f t="shared" si="148"/>
        <v>27.355595859318655</v>
      </c>
      <c r="AO182" s="320">
        <f t="shared" si="169"/>
        <v>0.27355595859318654</v>
      </c>
      <c r="AP182" s="277">
        <f>_xlfn.XLOOKUP(C182, '1.건전성'!C:C, '1.건전성'!BE:BE)</f>
        <v>17523496</v>
      </c>
      <c r="AQ182" s="277">
        <f>_xlfn.XLOOKUP(C182, '1.건전성'!C:C, '1.건전성'!BF:BF)</f>
        <v>3642519</v>
      </c>
      <c r="AR182" s="410">
        <f t="shared" si="134"/>
        <v>21166015</v>
      </c>
      <c r="AS182" s="366">
        <f t="shared" si="130"/>
        <v>1.5920918646193543</v>
      </c>
      <c r="AT182" s="366">
        <f t="shared" si="135"/>
        <v>25.823184822577403</v>
      </c>
      <c r="AU182" s="321">
        <f t="shared" si="136"/>
        <v>0.25823184822577405</v>
      </c>
      <c r="AV182" s="15">
        <v>4873861</v>
      </c>
      <c r="AW182" s="361">
        <f t="shared" si="131"/>
        <v>0.36660818993965322</v>
      </c>
      <c r="AX182" s="361">
        <f t="shared" si="137"/>
        <v>27.019759014694344</v>
      </c>
      <c r="AY182" s="321">
        <f t="shared" si="170"/>
        <v>0.13509879507347172</v>
      </c>
      <c r="AZ182" s="411">
        <v>15</v>
      </c>
      <c r="BA182" s="412">
        <f t="shared" si="138"/>
        <v>100</v>
      </c>
      <c r="BB182" s="408">
        <f t="shared" si="171"/>
        <v>0.5</v>
      </c>
      <c r="BC182" s="204">
        <v>1</v>
      </c>
      <c r="BD182" s="407">
        <f t="shared" si="149"/>
        <v>100</v>
      </c>
      <c r="BE182" s="408">
        <f t="shared" si="172"/>
        <v>0.5</v>
      </c>
      <c r="BF182" s="204">
        <v>1</v>
      </c>
      <c r="BG182" s="204">
        <v>1</v>
      </c>
      <c r="BH182" s="204">
        <v>0</v>
      </c>
      <c r="BI182" s="272" t="str">
        <f t="shared" si="139"/>
        <v>C</v>
      </c>
      <c r="BJ182" s="247">
        <f t="shared" si="140"/>
        <v>50</v>
      </c>
      <c r="BK182" s="90">
        <f t="shared" si="141"/>
        <v>1.5</v>
      </c>
      <c r="BL182" s="406">
        <v>87</v>
      </c>
      <c r="BM182" s="413">
        <f t="shared" si="142"/>
        <v>7.5064710957722172</v>
      </c>
      <c r="BN182" s="414">
        <f t="shared" si="143"/>
        <v>20</v>
      </c>
      <c r="BO182" s="415">
        <f t="shared" si="144"/>
        <v>0.6</v>
      </c>
      <c r="BP182" s="416">
        <v>0.13</v>
      </c>
      <c r="BQ182" s="417">
        <f t="shared" si="145"/>
        <v>66.666666666666671</v>
      </c>
      <c r="BR182" s="415">
        <f t="shared" si="146"/>
        <v>0.66666666666666674</v>
      </c>
      <c r="BS182" s="350">
        <f t="shared" si="147"/>
        <v>8.6835532685590984</v>
      </c>
    </row>
    <row r="183" spans="1:71" x14ac:dyDescent="0.6">
      <c r="A183" s="214" t="s">
        <v>290</v>
      </c>
      <c r="B183" s="13" t="s">
        <v>2163</v>
      </c>
      <c r="C183" s="219" t="s">
        <v>325</v>
      </c>
      <c r="D183" s="216" t="s">
        <v>202</v>
      </c>
      <c r="E183" s="217" t="s">
        <v>205</v>
      </c>
      <c r="F183" s="217" t="s">
        <v>164</v>
      </c>
      <c r="G183" s="218">
        <v>31889</v>
      </c>
      <c r="H183" s="217" t="s">
        <v>830</v>
      </c>
      <c r="I183" s="217" t="s">
        <v>710</v>
      </c>
      <c r="J183" s="217" t="s">
        <v>1095</v>
      </c>
      <c r="K183" s="217" t="s">
        <v>317</v>
      </c>
      <c r="L183" s="220">
        <v>75722188</v>
      </c>
      <c r="M183" s="206">
        <v>2498635</v>
      </c>
      <c r="N183" s="206">
        <v>73223553</v>
      </c>
      <c r="O183" s="206">
        <v>17441063</v>
      </c>
      <c r="P183" s="206">
        <v>2055789</v>
      </c>
      <c r="Q183" s="206">
        <v>4418292</v>
      </c>
      <c r="R183" s="206">
        <v>5632855</v>
      </c>
      <c r="S183" s="405">
        <v>0</v>
      </c>
      <c r="T183" s="405">
        <v>0</v>
      </c>
      <c r="U183" s="406">
        <v>0</v>
      </c>
      <c r="V183" s="406">
        <v>0</v>
      </c>
      <c r="W183" s="407">
        <f t="shared" si="162"/>
        <v>0</v>
      </c>
      <c r="X183" s="407">
        <f t="shared" si="163"/>
        <v>100</v>
      </c>
      <c r="Y183" s="408">
        <f t="shared" si="164"/>
        <v>3</v>
      </c>
      <c r="Z183" s="444" t="s">
        <v>3411</v>
      </c>
      <c r="AA183" s="442">
        <v>0</v>
      </c>
      <c r="AB183" s="406">
        <v>0</v>
      </c>
      <c r="AC183" s="406">
        <v>0</v>
      </c>
      <c r="AD183" s="407">
        <f t="shared" si="165"/>
        <v>0</v>
      </c>
      <c r="AE183" s="364" t="str">
        <f t="shared" si="166"/>
        <v>50</v>
      </c>
      <c r="AF183" s="349">
        <f t="shared" si="167"/>
        <v>0.25</v>
      </c>
      <c r="AG183" s="154">
        <v>39</v>
      </c>
      <c r="AH183" s="154">
        <v>3929</v>
      </c>
      <c r="AI183" s="409">
        <f t="shared" si="132"/>
        <v>100.74358974358974</v>
      </c>
      <c r="AJ183" s="409">
        <f t="shared" si="133"/>
        <v>100</v>
      </c>
      <c r="AK183" s="408">
        <f t="shared" si="168"/>
        <v>1</v>
      </c>
      <c r="AL183" s="45">
        <v>7099</v>
      </c>
      <c r="AM183" s="361">
        <f t="shared" si="150"/>
        <v>-44.654176644597833</v>
      </c>
      <c r="AN183" s="365">
        <f t="shared" si="148"/>
        <v>25</v>
      </c>
      <c r="AO183" s="320">
        <f t="shared" si="169"/>
        <v>0.25</v>
      </c>
      <c r="AP183" s="277">
        <f>_xlfn.XLOOKUP(C183, '1.건전성'!C:C, '1.건전성'!BE:BE)</f>
        <v>1583601</v>
      </c>
      <c r="AQ183" s="277">
        <f>_xlfn.XLOOKUP(C183, '1.건전성'!C:C, '1.건전성'!BF:BF)</f>
        <v>122521</v>
      </c>
      <c r="AR183" s="410">
        <f t="shared" si="134"/>
        <v>1706122</v>
      </c>
      <c r="AS183" s="366">
        <f t="shared" si="130"/>
        <v>9.7822133891724388</v>
      </c>
      <c r="AT183" s="366">
        <f t="shared" si="135"/>
        <v>31.996643258170181</v>
      </c>
      <c r="AU183" s="321">
        <f t="shared" si="136"/>
        <v>0.31996643258170182</v>
      </c>
      <c r="AV183" s="15">
        <v>145788</v>
      </c>
      <c r="AW183" s="361">
        <f t="shared" si="131"/>
        <v>0.83588941797870919</v>
      </c>
      <c r="AX183" s="361">
        <f t="shared" si="137"/>
        <v>30.574919833172039</v>
      </c>
      <c r="AY183" s="321">
        <f t="shared" si="170"/>
        <v>0.15287459916586019</v>
      </c>
      <c r="AZ183" s="411">
        <v>11.4</v>
      </c>
      <c r="BA183" s="412">
        <f t="shared" si="138"/>
        <v>100</v>
      </c>
      <c r="BB183" s="408">
        <f t="shared" si="171"/>
        <v>0.5</v>
      </c>
      <c r="BC183" s="204">
        <v>1</v>
      </c>
      <c r="BD183" s="407">
        <f t="shared" si="149"/>
        <v>100</v>
      </c>
      <c r="BE183" s="408">
        <f t="shared" si="172"/>
        <v>0.5</v>
      </c>
      <c r="BF183" s="204">
        <v>0</v>
      </c>
      <c r="BG183" s="204">
        <v>0</v>
      </c>
      <c r="BH183" s="204">
        <v>0</v>
      </c>
      <c r="BI183" s="272" t="str">
        <f t="shared" si="139"/>
        <v>A</v>
      </c>
      <c r="BJ183" s="247">
        <f t="shared" si="140"/>
        <v>100</v>
      </c>
      <c r="BK183" s="90">
        <f t="shared" si="141"/>
        <v>3</v>
      </c>
      <c r="BL183" s="406">
        <v>0</v>
      </c>
      <c r="BM183" s="413">
        <f t="shared" si="142"/>
        <v>0</v>
      </c>
      <c r="BN183" s="414">
        <f t="shared" si="143"/>
        <v>100</v>
      </c>
      <c r="BO183" s="415">
        <f t="shared" si="144"/>
        <v>3</v>
      </c>
      <c r="BP183" s="416">
        <v>0</v>
      </c>
      <c r="BQ183" s="417">
        <f t="shared" si="145"/>
        <v>33.333333333333336</v>
      </c>
      <c r="BR183" s="415">
        <f t="shared" si="146"/>
        <v>0.33333333333333337</v>
      </c>
      <c r="BS183" s="350">
        <f t="shared" si="147"/>
        <v>12.306174365080896</v>
      </c>
    </row>
    <row r="184" spans="1:71" x14ac:dyDescent="0.6">
      <c r="A184" s="214" t="s">
        <v>1739</v>
      </c>
      <c r="B184" s="13" t="s">
        <v>2164</v>
      </c>
      <c r="C184" s="219" t="s">
        <v>922</v>
      </c>
      <c r="D184" s="216" t="s">
        <v>202</v>
      </c>
      <c r="E184" s="217" t="s">
        <v>593</v>
      </c>
      <c r="F184" s="217" t="s">
        <v>991</v>
      </c>
      <c r="G184" s="218">
        <v>30905</v>
      </c>
      <c r="H184" s="217" t="s">
        <v>830</v>
      </c>
      <c r="I184" s="217" t="s">
        <v>759</v>
      </c>
      <c r="J184" s="217" t="s">
        <v>1116</v>
      </c>
      <c r="K184" s="217" t="s">
        <v>91</v>
      </c>
      <c r="L184" s="220">
        <v>150922633</v>
      </c>
      <c r="M184" s="206">
        <v>52979361</v>
      </c>
      <c r="N184" s="206">
        <v>97943272</v>
      </c>
      <c r="O184" s="206">
        <v>457295501</v>
      </c>
      <c r="P184" s="206">
        <v>13985109</v>
      </c>
      <c r="Q184" s="206">
        <v>16291509</v>
      </c>
      <c r="R184" s="206">
        <v>13892645</v>
      </c>
      <c r="S184" s="405">
        <v>0</v>
      </c>
      <c r="T184" s="405">
        <v>0</v>
      </c>
      <c r="U184" s="406">
        <v>0</v>
      </c>
      <c r="V184" s="406">
        <v>0</v>
      </c>
      <c r="W184" s="407">
        <f t="shared" si="162"/>
        <v>0</v>
      </c>
      <c r="X184" s="407">
        <f t="shared" si="163"/>
        <v>100</v>
      </c>
      <c r="Y184" s="408">
        <f t="shared" si="164"/>
        <v>3</v>
      </c>
      <c r="Z184" s="444" t="s">
        <v>3412</v>
      </c>
      <c r="AA184" s="442">
        <v>0</v>
      </c>
      <c r="AB184" s="406">
        <v>0</v>
      </c>
      <c r="AC184" s="406">
        <v>0</v>
      </c>
      <c r="AD184" s="407">
        <f t="shared" si="165"/>
        <v>0</v>
      </c>
      <c r="AE184" s="364" t="str">
        <f t="shared" si="166"/>
        <v>50</v>
      </c>
      <c r="AF184" s="349">
        <f t="shared" si="167"/>
        <v>0.25</v>
      </c>
      <c r="AG184" s="154">
        <v>137</v>
      </c>
      <c r="AH184" s="421"/>
      <c r="AI184" s="409">
        <f t="shared" si="132"/>
        <v>0</v>
      </c>
      <c r="AJ184" s="409">
        <f t="shared" si="133"/>
        <v>25</v>
      </c>
      <c r="AK184" s="408">
        <f t="shared" si="168"/>
        <v>0.25</v>
      </c>
      <c r="AL184" s="423"/>
      <c r="AM184" s="424">
        <v>0</v>
      </c>
      <c r="AN184" s="365">
        <f t="shared" si="148"/>
        <v>25</v>
      </c>
      <c r="AO184" s="320">
        <f t="shared" si="169"/>
        <v>0.25</v>
      </c>
      <c r="AP184" s="277">
        <f>_xlfn.XLOOKUP(C184, '1.건전성'!C:C, '1.건전성'!BE:BE)</f>
        <v>8275399.9999999991</v>
      </c>
      <c r="AQ184" s="277">
        <f>_xlfn.XLOOKUP(C184, '1.건전성'!C:C, '1.건전성'!BF:BF)</f>
        <v>632378.4810126581</v>
      </c>
      <c r="AR184" s="410">
        <f t="shared" si="134"/>
        <v>8907778.4810126573</v>
      </c>
      <c r="AS184" s="366">
        <f t="shared" si="130"/>
        <v>1.9479261137565089</v>
      </c>
      <c r="AT184" s="366">
        <f t="shared" si="135"/>
        <v>26.091401593283802</v>
      </c>
      <c r="AU184" s="321">
        <f t="shared" si="136"/>
        <v>0.26091401593283803</v>
      </c>
      <c r="AV184" s="419"/>
      <c r="AW184" s="361">
        <f t="shared" si="131"/>
        <v>0</v>
      </c>
      <c r="AX184" s="361">
        <f t="shared" si="137"/>
        <v>25</v>
      </c>
      <c r="AY184" s="321">
        <f t="shared" si="170"/>
        <v>0.125</v>
      </c>
      <c r="AZ184" s="411">
        <v>8.1</v>
      </c>
      <c r="BA184" s="412">
        <f t="shared" si="138"/>
        <v>80</v>
      </c>
      <c r="BB184" s="408">
        <f t="shared" si="171"/>
        <v>0.4</v>
      </c>
      <c r="BC184" s="204">
        <v>1</v>
      </c>
      <c r="BD184" s="407">
        <f t="shared" si="149"/>
        <v>100</v>
      </c>
      <c r="BE184" s="408">
        <f t="shared" si="172"/>
        <v>0.5</v>
      </c>
      <c r="BF184" s="204">
        <v>0</v>
      </c>
      <c r="BG184" s="204">
        <v>0</v>
      </c>
      <c r="BH184" s="204">
        <v>0</v>
      </c>
      <c r="BI184" s="272" t="str">
        <f t="shared" si="139"/>
        <v>A</v>
      </c>
      <c r="BJ184" s="247">
        <f t="shared" si="140"/>
        <v>100</v>
      </c>
      <c r="BK184" s="90">
        <f t="shared" si="141"/>
        <v>3</v>
      </c>
      <c r="BL184" s="406">
        <v>137</v>
      </c>
      <c r="BM184" s="413">
        <f t="shared" si="142"/>
        <v>100</v>
      </c>
      <c r="BN184" s="414">
        <f t="shared" si="143"/>
        <v>20</v>
      </c>
      <c r="BO184" s="415">
        <f t="shared" si="144"/>
        <v>0.6</v>
      </c>
      <c r="BP184" s="416">
        <v>0</v>
      </c>
      <c r="BQ184" s="417">
        <f t="shared" si="145"/>
        <v>33.333333333333336</v>
      </c>
      <c r="BR184" s="415">
        <f t="shared" si="146"/>
        <v>0.33333333333333337</v>
      </c>
      <c r="BS184" s="350">
        <f t="shared" si="147"/>
        <v>8.9692473492661726</v>
      </c>
    </row>
    <row r="185" spans="1:71" x14ac:dyDescent="0.6">
      <c r="A185" s="214" t="s">
        <v>429</v>
      </c>
      <c r="B185" s="13" t="s">
        <v>2165</v>
      </c>
      <c r="C185" s="219" t="s">
        <v>445</v>
      </c>
      <c r="D185" s="216" t="s">
        <v>203</v>
      </c>
      <c r="E185" s="217" t="s">
        <v>1179</v>
      </c>
      <c r="F185" s="217" t="s">
        <v>608</v>
      </c>
      <c r="G185" s="218">
        <v>41584</v>
      </c>
      <c r="H185" s="217" t="s">
        <v>830</v>
      </c>
      <c r="I185" s="217" t="s">
        <v>241</v>
      </c>
      <c r="J185" s="217" t="s">
        <v>1226</v>
      </c>
      <c r="K185" s="217" t="s">
        <v>91</v>
      </c>
      <c r="L185" s="220">
        <v>1177294529</v>
      </c>
      <c r="M185" s="206">
        <v>334705711</v>
      </c>
      <c r="N185" s="206">
        <v>842588818</v>
      </c>
      <c r="O185" s="206">
        <v>479630807</v>
      </c>
      <c r="P185" s="206">
        <v>74104110</v>
      </c>
      <c r="Q185" s="206">
        <v>65510324</v>
      </c>
      <c r="R185" s="206">
        <v>49527867</v>
      </c>
      <c r="S185" s="405">
        <v>0</v>
      </c>
      <c r="T185" s="405">
        <v>0</v>
      </c>
      <c r="U185" s="406">
        <v>0</v>
      </c>
      <c r="V185" s="406">
        <v>0</v>
      </c>
      <c r="W185" s="407">
        <f t="shared" si="162"/>
        <v>0</v>
      </c>
      <c r="X185" s="407">
        <f t="shared" si="163"/>
        <v>100</v>
      </c>
      <c r="Y185" s="408">
        <f t="shared" si="164"/>
        <v>3</v>
      </c>
      <c r="Z185" s="444" t="s">
        <v>3413</v>
      </c>
      <c r="AA185" s="442">
        <v>0</v>
      </c>
      <c r="AB185" s="406">
        <v>1</v>
      </c>
      <c r="AC185" s="406">
        <v>0</v>
      </c>
      <c r="AD185" s="407">
        <f t="shared" si="165"/>
        <v>1</v>
      </c>
      <c r="AE185" s="364" t="str">
        <f t="shared" si="166"/>
        <v>100</v>
      </c>
      <c r="AF185" s="349">
        <f t="shared" si="167"/>
        <v>0.5</v>
      </c>
      <c r="AG185" s="154">
        <v>493</v>
      </c>
      <c r="AH185" s="421"/>
      <c r="AI185" s="409">
        <f t="shared" si="132"/>
        <v>0</v>
      </c>
      <c r="AJ185" s="409">
        <f t="shared" si="133"/>
        <v>25</v>
      </c>
      <c r="AK185" s="408">
        <f t="shared" si="168"/>
        <v>0.25</v>
      </c>
      <c r="AL185" s="423"/>
      <c r="AM185" s="424">
        <v>0</v>
      </c>
      <c r="AN185" s="365">
        <f t="shared" si="148"/>
        <v>25</v>
      </c>
      <c r="AO185" s="320">
        <f t="shared" si="169"/>
        <v>0.25</v>
      </c>
      <c r="AP185" s="277">
        <f>_xlfn.XLOOKUP(C185, '1.건전성'!C:C, '1.건전성'!BE:BE)</f>
        <v>14043458</v>
      </c>
      <c r="AQ185" s="277">
        <f>_xlfn.XLOOKUP(C185, '1.건전성'!C:C, '1.건전성'!BF:BF)</f>
        <v>1884923</v>
      </c>
      <c r="AR185" s="410">
        <f t="shared" si="134"/>
        <v>15928381</v>
      </c>
      <c r="AS185" s="366">
        <f t="shared" si="130"/>
        <v>3.3209670370485602</v>
      </c>
      <c r="AT185" s="366">
        <f t="shared" si="135"/>
        <v>27.126357063101931</v>
      </c>
      <c r="AU185" s="321">
        <f t="shared" si="136"/>
        <v>0.2712635706310193</v>
      </c>
      <c r="AV185" s="15">
        <v>14613846</v>
      </c>
      <c r="AW185" s="361">
        <f t="shared" si="131"/>
        <v>3.0468947754642461</v>
      </c>
      <c r="AX185" s="361">
        <f t="shared" si="137"/>
        <v>47.324960420183686</v>
      </c>
      <c r="AY185" s="321">
        <f t="shared" si="170"/>
        <v>0.23662480210091844</v>
      </c>
      <c r="AZ185" s="411">
        <v>7.68</v>
      </c>
      <c r="BA185" s="412">
        <f t="shared" si="138"/>
        <v>60</v>
      </c>
      <c r="BB185" s="408">
        <f t="shared" si="171"/>
        <v>0.3</v>
      </c>
      <c r="BC185" s="204">
        <v>1</v>
      </c>
      <c r="BD185" s="407">
        <f t="shared" si="149"/>
        <v>100</v>
      </c>
      <c r="BE185" s="408">
        <f t="shared" si="172"/>
        <v>0.5</v>
      </c>
      <c r="BF185" s="204">
        <v>1</v>
      </c>
      <c r="BG185" s="204">
        <v>0</v>
      </c>
      <c r="BH185" s="204">
        <v>0</v>
      </c>
      <c r="BI185" s="272" t="str">
        <f t="shared" si="139"/>
        <v>B</v>
      </c>
      <c r="BJ185" s="247">
        <f t="shared" si="140"/>
        <v>75</v>
      </c>
      <c r="BK185" s="90">
        <f t="shared" si="141"/>
        <v>2.25</v>
      </c>
      <c r="BL185" s="406">
        <v>6</v>
      </c>
      <c r="BM185" s="413">
        <f t="shared" si="142"/>
        <v>1.2170385395537524</v>
      </c>
      <c r="BN185" s="414">
        <f t="shared" si="143"/>
        <v>60</v>
      </c>
      <c r="BO185" s="415">
        <f t="shared" si="144"/>
        <v>1.7999999999999998</v>
      </c>
      <c r="BP185" s="416">
        <v>0.11</v>
      </c>
      <c r="BQ185" s="417">
        <f t="shared" si="145"/>
        <v>66.666666666666671</v>
      </c>
      <c r="BR185" s="415">
        <f t="shared" si="146"/>
        <v>0.66666666666666674</v>
      </c>
      <c r="BS185" s="350">
        <f t="shared" si="147"/>
        <v>10.024555039398603</v>
      </c>
    </row>
    <row r="186" spans="1:71" x14ac:dyDescent="0.6">
      <c r="A186" s="214" t="s">
        <v>22</v>
      </c>
      <c r="B186" s="13" t="s">
        <v>2166</v>
      </c>
      <c r="C186" s="219" t="s">
        <v>426</v>
      </c>
      <c r="D186" s="216" t="s">
        <v>191</v>
      </c>
      <c r="E186" s="217" t="s">
        <v>1029</v>
      </c>
      <c r="F186" s="217" t="s">
        <v>169</v>
      </c>
      <c r="G186" s="218">
        <v>32492</v>
      </c>
      <c r="H186" s="217" t="s">
        <v>830</v>
      </c>
      <c r="I186" s="217" t="s">
        <v>235</v>
      </c>
      <c r="J186" s="217" t="s">
        <v>1180</v>
      </c>
      <c r="K186" s="217" t="s">
        <v>91</v>
      </c>
      <c r="L186" s="220">
        <v>790607841</v>
      </c>
      <c r="M186" s="206">
        <v>88403731</v>
      </c>
      <c r="N186" s="206">
        <v>702204110</v>
      </c>
      <c r="O186" s="206">
        <v>598684604</v>
      </c>
      <c r="P186" s="206">
        <v>76947409</v>
      </c>
      <c r="Q186" s="206">
        <v>87571953</v>
      </c>
      <c r="R186" s="206">
        <v>64953978</v>
      </c>
      <c r="S186" s="405">
        <v>0</v>
      </c>
      <c r="T186" s="405">
        <v>0</v>
      </c>
      <c r="U186" s="406">
        <v>0</v>
      </c>
      <c r="V186" s="406">
        <v>0</v>
      </c>
      <c r="W186" s="407">
        <f t="shared" si="162"/>
        <v>0</v>
      </c>
      <c r="X186" s="407">
        <f t="shared" si="163"/>
        <v>100</v>
      </c>
      <c r="Y186" s="408">
        <f t="shared" si="164"/>
        <v>3</v>
      </c>
      <c r="Z186" s="444" t="s">
        <v>3414</v>
      </c>
      <c r="AA186" s="442">
        <v>0</v>
      </c>
      <c r="AB186" s="406">
        <v>0</v>
      </c>
      <c r="AC186" s="406">
        <v>0</v>
      </c>
      <c r="AD186" s="407">
        <f t="shared" si="165"/>
        <v>0</v>
      </c>
      <c r="AE186" s="364" t="str">
        <f t="shared" si="166"/>
        <v>50</v>
      </c>
      <c r="AF186" s="349">
        <f t="shared" si="167"/>
        <v>0.25</v>
      </c>
      <c r="AG186" s="154">
        <v>271</v>
      </c>
      <c r="AH186" s="421"/>
      <c r="AI186" s="409">
        <f t="shared" si="132"/>
        <v>0</v>
      </c>
      <c r="AJ186" s="409">
        <f t="shared" si="133"/>
        <v>25</v>
      </c>
      <c r="AK186" s="408">
        <f t="shared" si="168"/>
        <v>0.25</v>
      </c>
      <c r="AL186" s="423"/>
      <c r="AM186" s="424">
        <v>0</v>
      </c>
      <c r="AN186" s="365">
        <f t="shared" si="148"/>
        <v>25</v>
      </c>
      <c r="AO186" s="320">
        <f t="shared" si="169"/>
        <v>0.25</v>
      </c>
      <c r="AP186" s="277">
        <f>_xlfn.XLOOKUP(C186, '1.건전성'!C:C, '1.건전성'!BE:BE)</f>
        <v>7292925.767</v>
      </c>
      <c r="AQ186" s="277">
        <f>_xlfn.XLOOKUP(C186, '1.건전성'!C:C, '1.건전성'!BF:BF)</f>
        <v>744653.2</v>
      </c>
      <c r="AR186" s="410">
        <f t="shared" si="134"/>
        <v>8037578.9670000002</v>
      </c>
      <c r="AS186" s="366">
        <f t="shared" si="130"/>
        <v>1.3425397802613279</v>
      </c>
      <c r="AT186" s="366">
        <f t="shared" si="135"/>
        <v>25.635080236377885</v>
      </c>
      <c r="AU186" s="321">
        <f t="shared" si="136"/>
        <v>0.25635080236377883</v>
      </c>
      <c r="AV186" s="15">
        <v>927725</v>
      </c>
      <c r="AW186" s="361">
        <f t="shared" si="131"/>
        <v>0.15496055749581295</v>
      </c>
      <c r="AX186" s="361">
        <f t="shared" si="137"/>
        <v>25.416367859816766</v>
      </c>
      <c r="AY186" s="321">
        <f t="shared" si="170"/>
        <v>0.12708183929908384</v>
      </c>
      <c r="AZ186" s="411">
        <v>17</v>
      </c>
      <c r="BA186" s="412">
        <f t="shared" si="138"/>
        <v>100</v>
      </c>
      <c r="BB186" s="408">
        <f t="shared" si="171"/>
        <v>0.5</v>
      </c>
      <c r="BC186" s="204">
        <v>1</v>
      </c>
      <c r="BD186" s="407">
        <f t="shared" si="149"/>
        <v>100</v>
      </c>
      <c r="BE186" s="408">
        <f t="shared" si="172"/>
        <v>0.5</v>
      </c>
      <c r="BF186" s="204">
        <v>0</v>
      </c>
      <c r="BG186" s="204">
        <v>0</v>
      </c>
      <c r="BH186" s="204">
        <v>0</v>
      </c>
      <c r="BI186" s="272" t="str">
        <f t="shared" si="139"/>
        <v>A</v>
      </c>
      <c r="BJ186" s="247">
        <f t="shared" si="140"/>
        <v>100</v>
      </c>
      <c r="BK186" s="90">
        <f t="shared" si="141"/>
        <v>3</v>
      </c>
      <c r="BL186" s="406">
        <v>7</v>
      </c>
      <c r="BM186" s="413">
        <f t="shared" si="142"/>
        <v>2.5830258302583027</v>
      </c>
      <c r="BN186" s="414">
        <f t="shared" si="143"/>
        <v>60</v>
      </c>
      <c r="BO186" s="415">
        <f t="shared" si="144"/>
        <v>1.7999999999999998</v>
      </c>
      <c r="BP186" s="416">
        <v>0</v>
      </c>
      <c r="BQ186" s="417">
        <f t="shared" si="145"/>
        <v>33.333333333333336</v>
      </c>
      <c r="BR186" s="415">
        <f t="shared" si="146"/>
        <v>0.33333333333333337</v>
      </c>
      <c r="BS186" s="350">
        <f t="shared" si="147"/>
        <v>10.266765974996195</v>
      </c>
    </row>
    <row r="187" spans="1:71" x14ac:dyDescent="0.6">
      <c r="A187" s="214" t="s">
        <v>6</v>
      </c>
      <c r="B187" s="13" t="s">
        <v>2167</v>
      </c>
      <c r="C187" s="219" t="s">
        <v>558</v>
      </c>
      <c r="D187" s="216" t="s">
        <v>285</v>
      </c>
      <c r="E187" s="217" t="s">
        <v>245</v>
      </c>
      <c r="F187" s="217" t="s">
        <v>236</v>
      </c>
      <c r="G187" s="218">
        <v>40389</v>
      </c>
      <c r="H187" s="217" t="s">
        <v>830</v>
      </c>
      <c r="I187" s="217" t="s">
        <v>791</v>
      </c>
      <c r="J187" s="217" t="s">
        <v>1189</v>
      </c>
      <c r="K187" s="217" t="s">
        <v>91</v>
      </c>
      <c r="L187" s="220">
        <v>825178689</v>
      </c>
      <c r="M187" s="206">
        <v>439685810</v>
      </c>
      <c r="N187" s="206">
        <v>385492879</v>
      </c>
      <c r="O187" s="206">
        <v>2678991235</v>
      </c>
      <c r="P187" s="206">
        <v>35714794</v>
      </c>
      <c r="Q187" s="206">
        <v>39761445</v>
      </c>
      <c r="R187" s="206">
        <v>36294420</v>
      </c>
      <c r="S187" s="405">
        <v>0</v>
      </c>
      <c r="T187" s="405">
        <v>0</v>
      </c>
      <c r="U187" s="406">
        <v>0</v>
      </c>
      <c r="V187" s="406">
        <v>0</v>
      </c>
      <c r="W187" s="407">
        <f t="shared" si="162"/>
        <v>0</v>
      </c>
      <c r="X187" s="407">
        <f t="shared" si="163"/>
        <v>100</v>
      </c>
      <c r="Y187" s="408">
        <f t="shared" si="164"/>
        <v>3</v>
      </c>
      <c r="Z187" s="444" t="s">
        <v>3415</v>
      </c>
      <c r="AA187" s="442">
        <v>0</v>
      </c>
      <c r="AB187" s="406">
        <v>0</v>
      </c>
      <c r="AC187" s="406">
        <v>0</v>
      </c>
      <c r="AD187" s="407">
        <f t="shared" si="165"/>
        <v>0</v>
      </c>
      <c r="AE187" s="364" t="str">
        <f t="shared" si="166"/>
        <v>50</v>
      </c>
      <c r="AF187" s="349">
        <f t="shared" si="167"/>
        <v>0.25</v>
      </c>
      <c r="AG187" s="154">
        <v>422</v>
      </c>
      <c r="AH187" s="154">
        <v>325755</v>
      </c>
      <c r="AI187" s="409">
        <f t="shared" si="132"/>
        <v>771.93127962085305</v>
      </c>
      <c r="AJ187" s="409">
        <f t="shared" si="133"/>
        <v>100</v>
      </c>
      <c r="AK187" s="408">
        <f t="shared" si="168"/>
        <v>1</v>
      </c>
      <c r="AL187" s="45">
        <v>228262</v>
      </c>
      <c r="AM187" s="361">
        <f t="shared" si="150"/>
        <v>42.711007526438912</v>
      </c>
      <c r="AN187" s="365">
        <f t="shared" si="148"/>
        <v>33.008313911207296</v>
      </c>
      <c r="AO187" s="320">
        <f t="shared" si="169"/>
        <v>0.33008313911207299</v>
      </c>
      <c r="AP187" s="277">
        <f>_xlfn.XLOOKUP(C187, '1.건전성'!C:C, '1.건전성'!BE:BE)</f>
        <v>28436021</v>
      </c>
      <c r="AQ187" s="277">
        <f>_xlfn.XLOOKUP(C187, '1.건전성'!C:C, '1.건전성'!BF:BF)</f>
        <v>2434964</v>
      </c>
      <c r="AR187" s="410">
        <f t="shared" si="134"/>
        <v>30870985</v>
      </c>
      <c r="AS187" s="366">
        <f t="shared" si="130"/>
        <v>1.1523361702973247</v>
      </c>
      <c r="AT187" s="366">
        <f t="shared" si="135"/>
        <v>25.491710681128637</v>
      </c>
      <c r="AU187" s="321">
        <f t="shared" si="136"/>
        <v>0.25491710681128638</v>
      </c>
      <c r="AV187" s="15">
        <v>4913699</v>
      </c>
      <c r="AW187" s="361">
        <f t="shared" si="131"/>
        <v>0.18341601629017648</v>
      </c>
      <c r="AX187" s="361">
        <f t="shared" si="137"/>
        <v>25.631939517349821</v>
      </c>
      <c r="AY187" s="321">
        <f t="shared" si="170"/>
        <v>0.12815969758674911</v>
      </c>
      <c r="AZ187" s="411">
        <v>9.6</v>
      </c>
      <c r="BA187" s="412">
        <f t="shared" si="138"/>
        <v>80</v>
      </c>
      <c r="BB187" s="408">
        <f t="shared" si="171"/>
        <v>0.4</v>
      </c>
      <c r="BC187" s="204">
        <v>1</v>
      </c>
      <c r="BD187" s="407">
        <f t="shared" si="149"/>
        <v>100</v>
      </c>
      <c r="BE187" s="408">
        <f t="shared" si="172"/>
        <v>0.5</v>
      </c>
      <c r="BF187" s="204">
        <v>1</v>
      </c>
      <c r="BG187" s="204">
        <v>0</v>
      </c>
      <c r="BH187" s="204">
        <v>0</v>
      </c>
      <c r="BI187" s="272" t="str">
        <f t="shared" si="139"/>
        <v>B</v>
      </c>
      <c r="BJ187" s="247">
        <f t="shared" si="140"/>
        <v>75</v>
      </c>
      <c r="BK187" s="90">
        <f t="shared" si="141"/>
        <v>2.25</v>
      </c>
      <c r="BL187" s="406">
        <v>24</v>
      </c>
      <c r="BM187" s="413">
        <f t="shared" si="142"/>
        <v>5.6872037914691944</v>
      </c>
      <c r="BN187" s="414">
        <f t="shared" si="143"/>
        <v>40</v>
      </c>
      <c r="BO187" s="415">
        <f t="shared" si="144"/>
        <v>1.2</v>
      </c>
      <c r="BP187" s="416">
        <v>0</v>
      </c>
      <c r="BQ187" s="417">
        <f t="shared" si="145"/>
        <v>33.333333333333336</v>
      </c>
      <c r="BR187" s="415">
        <f t="shared" si="146"/>
        <v>0.33333333333333337</v>
      </c>
      <c r="BS187" s="350">
        <f t="shared" si="147"/>
        <v>9.6464932768434419</v>
      </c>
    </row>
    <row r="188" spans="1:71" x14ac:dyDescent="0.6">
      <c r="A188" s="214" t="s">
        <v>1740</v>
      </c>
      <c r="B188" s="13" t="s">
        <v>2168</v>
      </c>
      <c r="C188" s="219" t="s">
        <v>1741</v>
      </c>
      <c r="D188" s="14" t="s">
        <v>203</v>
      </c>
      <c r="E188" s="217" t="s">
        <v>1179</v>
      </c>
      <c r="F188" s="217" t="s">
        <v>1742</v>
      </c>
      <c r="G188" s="218">
        <v>31439</v>
      </c>
      <c r="H188" s="217" t="s">
        <v>830</v>
      </c>
      <c r="I188" s="217" t="s">
        <v>1743</v>
      </c>
      <c r="J188" s="217" t="s">
        <v>1744</v>
      </c>
      <c r="K188" s="217" t="s">
        <v>91</v>
      </c>
      <c r="L188" s="220">
        <v>3153017076</v>
      </c>
      <c r="M188" s="206">
        <v>1770069189</v>
      </c>
      <c r="N188" s="206">
        <v>1382947887</v>
      </c>
      <c r="O188" s="206">
        <v>1806485573</v>
      </c>
      <c r="P188" s="206">
        <v>305824732</v>
      </c>
      <c r="Q188" s="206">
        <v>260984230</v>
      </c>
      <c r="R188" s="206">
        <v>190493378</v>
      </c>
      <c r="S188" s="405">
        <v>0</v>
      </c>
      <c r="T188" s="405">
        <v>0</v>
      </c>
      <c r="U188" s="406">
        <v>0</v>
      </c>
      <c r="V188" s="406">
        <v>0</v>
      </c>
      <c r="W188" s="407">
        <f t="shared" si="162"/>
        <v>0</v>
      </c>
      <c r="X188" s="407">
        <f t="shared" si="163"/>
        <v>100</v>
      </c>
      <c r="Y188" s="408">
        <f t="shared" si="164"/>
        <v>3</v>
      </c>
      <c r="Z188" s="444" t="s">
        <v>3416</v>
      </c>
      <c r="AA188" s="442">
        <v>0</v>
      </c>
      <c r="AB188" s="406">
        <v>0</v>
      </c>
      <c r="AC188" s="406">
        <v>0</v>
      </c>
      <c r="AD188" s="407">
        <f t="shared" si="165"/>
        <v>0</v>
      </c>
      <c r="AE188" s="364" t="str">
        <f t="shared" si="166"/>
        <v>50</v>
      </c>
      <c r="AF188" s="349">
        <f t="shared" si="167"/>
        <v>0.25</v>
      </c>
      <c r="AG188" s="154">
        <v>763</v>
      </c>
      <c r="AH188" s="421"/>
      <c r="AI188" s="409">
        <f t="shared" si="132"/>
        <v>0</v>
      </c>
      <c r="AJ188" s="409">
        <f t="shared" si="133"/>
        <v>25</v>
      </c>
      <c r="AK188" s="408">
        <f t="shared" si="168"/>
        <v>0.25</v>
      </c>
      <c r="AL188" s="423"/>
      <c r="AM188" s="424">
        <v>0</v>
      </c>
      <c r="AN188" s="365">
        <f t="shared" si="148"/>
        <v>25</v>
      </c>
      <c r="AO188" s="320">
        <f t="shared" si="169"/>
        <v>0.25</v>
      </c>
      <c r="AP188" s="277">
        <f>_xlfn.XLOOKUP(C188, '1.건전성'!C:C, '1.건전성'!BE:BE)</f>
        <v>26548957</v>
      </c>
      <c r="AQ188" s="277">
        <f>_xlfn.XLOOKUP(C188, '1.건전성'!C:C, '1.건전성'!BF:BF)</f>
        <v>2742563</v>
      </c>
      <c r="AR188" s="410">
        <f t="shared" si="134"/>
        <v>29291520</v>
      </c>
      <c r="AS188" s="366">
        <f t="shared" si="130"/>
        <v>1.6214643746839379</v>
      </c>
      <c r="AT188" s="366">
        <f t="shared" si="135"/>
        <v>25.845324905540657</v>
      </c>
      <c r="AU188" s="321">
        <f t="shared" si="136"/>
        <v>0.25845324905540656</v>
      </c>
      <c r="AV188" s="15">
        <v>3619043</v>
      </c>
      <c r="AW188" s="361">
        <f t="shared" si="131"/>
        <v>0.20033611417056138</v>
      </c>
      <c r="AX188" s="361">
        <f t="shared" si="137"/>
        <v>25.760122077049708</v>
      </c>
      <c r="AY188" s="321">
        <f t="shared" si="170"/>
        <v>0.12880061038524854</v>
      </c>
      <c r="AZ188" s="411">
        <v>7.5</v>
      </c>
      <c r="BA188" s="412">
        <f t="shared" si="138"/>
        <v>60</v>
      </c>
      <c r="BB188" s="408">
        <f t="shared" si="171"/>
        <v>0.3</v>
      </c>
      <c r="BC188" s="204">
        <v>1</v>
      </c>
      <c r="BD188" s="407">
        <f t="shared" si="149"/>
        <v>100</v>
      </c>
      <c r="BE188" s="408">
        <f t="shared" si="172"/>
        <v>0.5</v>
      </c>
      <c r="BF188" s="204">
        <v>0</v>
      </c>
      <c r="BG188" s="204">
        <v>1</v>
      </c>
      <c r="BH188" s="204">
        <v>0</v>
      </c>
      <c r="BI188" s="272" t="str">
        <f t="shared" si="139"/>
        <v>C</v>
      </c>
      <c r="BJ188" s="247">
        <f t="shared" si="140"/>
        <v>50</v>
      </c>
      <c r="BK188" s="90">
        <f t="shared" si="141"/>
        <v>1.5</v>
      </c>
      <c r="BL188" s="406">
        <v>92</v>
      </c>
      <c r="BM188" s="413">
        <f t="shared" si="142"/>
        <v>12.057667103538664</v>
      </c>
      <c r="BN188" s="414">
        <f t="shared" si="143"/>
        <v>20</v>
      </c>
      <c r="BO188" s="415">
        <f t="shared" si="144"/>
        <v>0.6</v>
      </c>
      <c r="BP188" s="416">
        <v>0.12</v>
      </c>
      <c r="BQ188" s="417">
        <f t="shared" si="145"/>
        <v>66.666666666666671</v>
      </c>
      <c r="BR188" s="415">
        <f t="shared" si="146"/>
        <v>0.66666666666666674</v>
      </c>
      <c r="BS188" s="350">
        <f t="shared" si="147"/>
        <v>7.7039205261073214</v>
      </c>
    </row>
    <row r="189" spans="1:71" x14ac:dyDescent="0.6">
      <c r="A189" s="214" t="s">
        <v>18</v>
      </c>
      <c r="B189" s="13" t="s">
        <v>2169</v>
      </c>
      <c r="C189" s="219" t="s">
        <v>912</v>
      </c>
      <c r="D189" s="216" t="s">
        <v>203</v>
      </c>
      <c r="E189" s="217" t="s">
        <v>188</v>
      </c>
      <c r="F189" s="217" t="s">
        <v>392</v>
      </c>
      <c r="G189" s="218">
        <v>43181</v>
      </c>
      <c r="H189" s="217" t="s">
        <v>830</v>
      </c>
      <c r="I189" s="217" t="s">
        <v>181</v>
      </c>
      <c r="J189" s="217" t="s">
        <v>1184</v>
      </c>
      <c r="K189" s="217" t="s">
        <v>91</v>
      </c>
      <c r="L189" s="220">
        <v>477316913</v>
      </c>
      <c r="M189" s="206">
        <v>117171080</v>
      </c>
      <c r="N189" s="206">
        <v>360145833</v>
      </c>
      <c r="O189" s="206">
        <v>589759237</v>
      </c>
      <c r="P189" s="206">
        <v>37545912</v>
      </c>
      <c r="Q189" s="206">
        <v>22571287</v>
      </c>
      <c r="R189" s="206">
        <v>16498602</v>
      </c>
      <c r="S189" s="405">
        <v>0</v>
      </c>
      <c r="T189" s="405">
        <v>0</v>
      </c>
      <c r="U189" s="406">
        <v>0</v>
      </c>
      <c r="V189" s="406">
        <v>0</v>
      </c>
      <c r="W189" s="407">
        <f t="shared" si="162"/>
        <v>0</v>
      </c>
      <c r="X189" s="407">
        <f t="shared" si="163"/>
        <v>100</v>
      </c>
      <c r="Y189" s="408">
        <f t="shared" si="164"/>
        <v>3</v>
      </c>
      <c r="Z189" s="444" t="s">
        <v>3417</v>
      </c>
      <c r="AA189" s="442">
        <v>0</v>
      </c>
      <c r="AB189" s="406">
        <v>1</v>
      </c>
      <c r="AC189" s="406">
        <v>0</v>
      </c>
      <c r="AD189" s="407">
        <f t="shared" si="165"/>
        <v>1</v>
      </c>
      <c r="AE189" s="364" t="str">
        <f t="shared" si="166"/>
        <v>100</v>
      </c>
      <c r="AF189" s="349">
        <f t="shared" si="167"/>
        <v>0.5</v>
      </c>
      <c r="AG189" s="154">
        <v>894</v>
      </c>
      <c r="AH189" s="154">
        <v>996497</v>
      </c>
      <c r="AI189" s="409">
        <f t="shared" si="132"/>
        <v>1114.6498881431767</v>
      </c>
      <c r="AJ189" s="409">
        <f t="shared" si="133"/>
        <v>100</v>
      </c>
      <c r="AK189" s="408">
        <f t="shared" si="168"/>
        <v>1</v>
      </c>
      <c r="AL189" s="45">
        <v>737340</v>
      </c>
      <c r="AM189" s="361">
        <f t="shared" si="150"/>
        <v>35.147557436189544</v>
      </c>
      <c r="AN189" s="365">
        <f t="shared" si="148"/>
        <v>31.590167019285538</v>
      </c>
      <c r="AO189" s="320">
        <f t="shared" si="169"/>
        <v>0.31590167019285537</v>
      </c>
      <c r="AP189" s="277">
        <f>_xlfn.XLOOKUP(C189, '1.건전성'!C:C, '1.건전성'!BE:BE)</f>
        <v>34781101</v>
      </c>
      <c r="AQ189" s="277">
        <f>_xlfn.XLOOKUP(C189, '1.건전성'!C:C, '1.건전성'!BF:BF)</f>
        <v>3020233</v>
      </c>
      <c r="AR189" s="410">
        <f t="shared" si="134"/>
        <v>37801334</v>
      </c>
      <c r="AS189" s="366">
        <f t="shared" si="130"/>
        <v>6.4096213553667498</v>
      </c>
      <c r="AT189" s="366">
        <f t="shared" si="135"/>
        <v>29.454488458819156</v>
      </c>
      <c r="AU189" s="321">
        <f t="shared" si="136"/>
        <v>0.29454488458819156</v>
      </c>
      <c r="AV189" s="15">
        <v>6866633</v>
      </c>
      <c r="AW189" s="361">
        <f t="shared" si="131"/>
        <v>1.1643112255315129</v>
      </c>
      <c r="AX189" s="361">
        <f t="shared" si="137"/>
        <v>33.062963829784188</v>
      </c>
      <c r="AY189" s="321">
        <f t="shared" si="170"/>
        <v>0.16531481914892093</v>
      </c>
      <c r="AZ189" s="411">
        <v>8.8000000000000007</v>
      </c>
      <c r="BA189" s="412">
        <f t="shared" si="138"/>
        <v>80</v>
      </c>
      <c r="BB189" s="408">
        <f t="shared" si="171"/>
        <v>0.4</v>
      </c>
      <c r="BC189" s="204">
        <v>1</v>
      </c>
      <c r="BD189" s="407">
        <f t="shared" si="149"/>
        <v>100</v>
      </c>
      <c r="BE189" s="408">
        <f t="shared" si="172"/>
        <v>0.5</v>
      </c>
      <c r="BF189" s="204">
        <v>1</v>
      </c>
      <c r="BG189" s="204">
        <v>1</v>
      </c>
      <c r="BH189" s="204">
        <v>0</v>
      </c>
      <c r="BI189" s="272" t="str">
        <f t="shared" si="139"/>
        <v>C</v>
      </c>
      <c r="BJ189" s="247">
        <f t="shared" si="140"/>
        <v>50</v>
      </c>
      <c r="BK189" s="90">
        <f t="shared" si="141"/>
        <v>1.5</v>
      </c>
      <c r="BL189" s="406">
        <v>56</v>
      </c>
      <c r="BM189" s="413">
        <f t="shared" si="142"/>
        <v>6.2639821029082778</v>
      </c>
      <c r="BN189" s="414">
        <f t="shared" si="143"/>
        <v>40</v>
      </c>
      <c r="BO189" s="415">
        <f t="shared" si="144"/>
        <v>1.2</v>
      </c>
      <c r="BP189" s="416">
        <v>0.28000000000000003</v>
      </c>
      <c r="BQ189" s="417">
        <f t="shared" si="145"/>
        <v>66.666666666666671</v>
      </c>
      <c r="BR189" s="415">
        <f t="shared" si="146"/>
        <v>0.66666666666666674</v>
      </c>
      <c r="BS189" s="350">
        <f t="shared" si="147"/>
        <v>9.5424280405966329</v>
      </c>
    </row>
    <row r="190" spans="1:71" x14ac:dyDescent="0.6">
      <c r="A190" s="214" t="s">
        <v>111</v>
      </c>
      <c r="B190" s="13" t="s">
        <v>2170</v>
      </c>
      <c r="C190" s="219" t="s">
        <v>482</v>
      </c>
      <c r="D190" s="216" t="s">
        <v>203</v>
      </c>
      <c r="E190" s="217" t="s">
        <v>180</v>
      </c>
      <c r="F190" s="217" t="s">
        <v>170</v>
      </c>
      <c r="G190" s="218">
        <v>41169</v>
      </c>
      <c r="H190" s="217" t="s">
        <v>830</v>
      </c>
      <c r="I190" s="217" t="s">
        <v>772</v>
      </c>
      <c r="J190" s="217" t="s">
        <v>390</v>
      </c>
      <c r="K190" s="217" t="s">
        <v>91</v>
      </c>
      <c r="L190" s="220">
        <v>1062980988</v>
      </c>
      <c r="M190" s="206">
        <v>365498356</v>
      </c>
      <c r="N190" s="206">
        <v>697482632</v>
      </c>
      <c r="O190" s="206">
        <v>1712779790</v>
      </c>
      <c r="P190" s="206">
        <v>90523569</v>
      </c>
      <c r="Q190" s="206">
        <v>88392901</v>
      </c>
      <c r="R190" s="206">
        <v>56304809</v>
      </c>
      <c r="S190" s="405">
        <v>0</v>
      </c>
      <c r="T190" s="405">
        <v>0</v>
      </c>
      <c r="U190" s="406">
        <v>0</v>
      </c>
      <c r="V190" s="406">
        <v>0</v>
      </c>
      <c r="W190" s="407">
        <f t="shared" si="162"/>
        <v>0</v>
      </c>
      <c r="X190" s="407">
        <f t="shared" si="163"/>
        <v>100</v>
      </c>
      <c r="Y190" s="408">
        <f t="shared" si="164"/>
        <v>3</v>
      </c>
      <c r="Z190" s="444" t="s">
        <v>3418</v>
      </c>
      <c r="AA190" s="442">
        <v>0</v>
      </c>
      <c r="AB190" s="406">
        <v>0</v>
      </c>
      <c r="AC190" s="406">
        <v>0</v>
      </c>
      <c r="AD190" s="407">
        <f t="shared" si="165"/>
        <v>0</v>
      </c>
      <c r="AE190" s="364" t="str">
        <f t="shared" si="166"/>
        <v>50</v>
      </c>
      <c r="AF190" s="349">
        <f t="shared" si="167"/>
        <v>0.25</v>
      </c>
      <c r="AG190" s="154">
        <v>706</v>
      </c>
      <c r="AH190" s="154">
        <v>482072</v>
      </c>
      <c r="AI190" s="409">
        <f t="shared" si="132"/>
        <v>682.82152974504254</v>
      </c>
      <c r="AJ190" s="409">
        <f t="shared" si="133"/>
        <v>100</v>
      </c>
      <c r="AK190" s="408">
        <f t="shared" si="168"/>
        <v>1</v>
      </c>
      <c r="AL190" s="45">
        <v>129389</v>
      </c>
      <c r="AM190" s="361">
        <f t="shared" si="150"/>
        <v>272.57572127460605</v>
      </c>
      <c r="AN190" s="365">
        <f t="shared" si="148"/>
        <v>76.107947738988628</v>
      </c>
      <c r="AO190" s="320">
        <f t="shared" si="169"/>
        <v>0.76107947738988635</v>
      </c>
      <c r="AP190" s="277">
        <f>_xlfn.XLOOKUP(C190, '1.건전성'!C:C, '1.건전성'!BE:BE)</f>
        <v>16722562</v>
      </c>
      <c r="AQ190" s="277">
        <f>_xlfn.XLOOKUP(C190, '1.건전성'!C:C, '1.건전성'!BF:BF)</f>
        <v>1325645</v>
      </c>
      <c r="AR190" s="410">
        <f t="shared" si="134"/>
        <v>18048207</v>
      </c>
      <c r="AS190" s="366">
        <f t="shared" si="130"/>
        <v>1.0537377370619254</v>
      </c>
      <c r="AT190" s="366">
        <f t="shared" si="135"/>
        <v>25.417390254066778</v>
      </c>
      <c r="AU190" s="321">
        <f t="shared" si="136"/>
        <v>0.2541739025406678</v>
      </c>
      <c r="AV190" s="15">
        <v>3020682</v>
      </c>
      <c r="AW190" s="361">
        <f t="shared" si="131"/>
        <v>0.17636137567924012</v>
      </c>
      <c r="AX190" s="361">
        <f t="shared" si="137"/>
        <v>25.578495270297275</v>
      </c>
      <c r="AY190" s="321">
        <f t="shared" si="170"/>
        <v>0.12789247635148637</v>
      </c>
      <c r="AZ190" s="411">
        <v>6.7</v>
      </c>
      <c r="BA190" s="412">
        <f t="shared" si="138"/>
        <v>60</v>
      </c>
      <c r="BB190" s="408">
        <f t="shared" si="171"/>
        <v>0.3</v>
      </c>
      <c r="BC190" s="204">
        <v>1</v>
      </c>
      <c r="BD190" s="407">
        <f t="shared" si="149"/>
        <v>100</v>
      </c>
      <c r="BE190" s="408">
        <f t="shared" si="172"/>
        <v>0.5</v>
      </c>
      <c r="BF190" s="204">
        <v>1</v>
      </c>
      <c r="BG190" s="204">
        <v>1</v>
      </c>
      <c r="BH190" s="204">
        <v>0</v>
      </c>
      <c r="BI190" s="272" t="str">
        <f t="shared" si="139"/>
        <v>C</v>
      </c>
      <c r="BJ190" s="247">
        <f t="shared" si="140"/>
        <v>50</v>
      </c>
      <c r="BK190" s="90">
        <f t="shared" si="141"/>
        <v>1.5</v>
      </c>
      <c r="BL190" s="406">
        <v>13</v>
      </c>
      <c r="BM190" s="413">
        <f t="shared" si="142"/>
        <v>1.8413597733711047</v>
      </c>
      <c r="BN190" s="414">
        <f t="shared" si="143"/>
        <v>60</v>
      </c>
      <c r="BO190" s="415">
        <f t="shared" si="144"/>
        <v>1.7999999999999998</v>
      </c>
      <c r="BP190" s="416">
        <v>0.28000000000000003</v>
      </c>
      <c r="BQ190" s="417">
        <f t="shared" si="145"/>
        <v>66.666666666666671</v>
      </c>
      <c r="BR190" s="415">
        <f t="shared" si="146"/>
        <v>0.66666666666666674</v>
      </c>
      <c r="BS190" s="350">
        <f t="shared" si="147"/>
        <v>10.159812522948707</v>
      </c>
    </row>
    <row r="191" spans="1:71" x14ac:dyDescent="0.6">
      <c r="A191" s="214" t="s">
        <v>1745</v>
      </c>
      <c r="B191" s="13" t="s">
        <v>2171</v>
      </c>
      <c r="C191" s="219" t="s">
        <v>1746</v>
      </c>
      <c r="D191" s="14" t="s">
        <v>202</v>
      </c>
      <c r="E191" s="217" t="s">
        <v>189</v>
      </c>
      <c r="F191" s="217" t="s">
        <v>1747</v>
      </c>
      <c r="G191" s="218">
        <v>44393</v>
      </c>
      <c r="H191" s="217" t="s">
        <v>830</v>
      </c>
      <c r="I191" s="217" t="s">
        <v>1748</v>
      </c>
      <c r="J191" s="217" t="s">
        <v>1749</v>
      </c>
      <c r="K191" s="217" t="s">
        <v>690</v>
      </c>
      <c r="L191" s="220">
        <v>3184712423</v>
      </c>
      <c r="M191" s="206">
        <v>268563685</v>
      </c>
      <c r="N191" s="206">
        <v>2916148739</v>
      </c>
      <c r="O191" s="206">
        <v>2820638098</v>
      </c>
      <c r="P191" s="206">
        <v>1115338664</v>
      </c>
      <c r="Q191" s="206">
        <v>1224820701</v>
      </c>
      <c r="R191" s="206">
        <v>903927973</v>
      </c>
      <c r="S191" s="405">
        <v>0</v>
      </c>
      <c r="T191" s="405">
        <v>0</v>
      </c>
      <c r="U191" s="406">
        <v>0</v>
      </c>
      <c r="V191" s="406">
        <v>0</v>
      </c>
      <c r="W191" s="407">
        <f t="shared" si="162"/>
        <v>0</v>
      </c>
      <c r="X191" s="407">
        <f t="shared" si="163"/>
        <v>100</v>
      </c>
      <c r="Y191" s="408">
        <f t="shared" si="164"/>
        <v>3</v>
      </c>
      <c r="Z191" s="444" t="s">
        <v>3419</v>
      </c>
      <c r="AA191" s="442">
        <v>0</v>
      </c>
      <c r="AB191" s="406">
        <v>0</v>
      </c>
      <c r="AC191" s="406">
        <v>0</v>
      </c>
      <c r="AD191" s="407">
        <f t="shared" si="165"/>
        <v>0</v>
      </c>
      <c r="AE191" s="364" t="str">
        <f t="shared" si="166"/>
        <v>50</v>
      </c>
      <c r="AF191" s="349">
        <f t="shared" si="167"/>
        <v>0.25</v>
      </c>
      <c r="AG191" s="154">
        <v>582</v>
      </c>
      <c r="AH191" s="154">
        <v>275870</v>
      </c>
      <c r="AI191" s="409">
        <f t="shared" si="132"/>
        <v>474.00343642611682</v>
      </c>
      <c r="AJ191" s="409">
        <f t="shared" si="133"/>
        <v>100</v>
      </c>
      <c r="AK191" s="408">
        <f t="shared" si="168"/>
        <v>1</v>
      </c>
      <c r="AL191" s="45">
        <v>60439</v>
      </c>
      <c r="AM191" s="361">
        <f t="shared" si="150"/>
        <v>356.44368702327967</v>
      </c>
      <c r="AN191" s="365">
        <f t="shared" si="148"/>
        <v>91.833191316864941</v>
      </c>
      <c r="AO191" s="320">
        <f t="shared" si="169"/>
        <v>0.91833191316864937</v>
      </c>
      <c r="AP191" s="277">
        <f>_xlfn.XLOOKUP(C191, '1.건전성'!C:C, '1.건전성'!BE:BE)</f>
        <v>39402201</v>
      </c>
      <c r="AQ191" s="277">
        <f>_xlfn.XLOOKUP(C191, '1.건전성'!C:C, '1.건전성'!BF:BF)</f>
        <v>1351027</v>
      </c>
      <c r="AR191" s="410">
        <f t="shared" si="134"/>
        <v>40753228</v>
      </c>
      <c r="AS191" s="366">
        <f t="shared" si="130"/>
        <v>1.4448230004727107</v>
      </c>
      <c r="AT191" s="366">
        <f t="shared" si="135"/>
        <v>25.712178141059834</v>
      </c>
      <c r="AU191" s="321">
        <f t="shared" si="136"/>
        <v>0.25712178141059833</v>
      </c>
      <c r="AV191" s="15">
        <v>7334306</v>
      </c>
      <c r="AW191" s="361">
        <f t="shared" si="131"/>
        <v>0.26002293612925598</v>
      </c>
      <c r="AX191" s="361">
        <f t="shared" si="137"/>
        <v>26.212294970676183</v>
      </c>
      <c r="AY191" s="321">
        <f t="shared" si="170"/>
        <v>0.1310614748533809</v>
      </c>
      <c r="AZ191" s="411">
        <v>2.5</v>
      </c>
      <c r="BA191" s="412">
        <f t="shared" si="138"/>
        <v>20</v>
      </c>
      <c r="BB191" s="408">
        <f t="shared" si="171"/>
        <v>0.1</v>
      </c>
      <c r="BC191" s="204">
        <v>1</v>
      </c>
      <c r="BD191" s="407">
        <f t="shared" si="149"/>
        <v>100</v>
      </c>
      <c r="BE191" s="408">
        <f t="shared" si="172"/>
        <v>0.5</v>
      </c>
      <c r="BF191" s="204">
        <v>0</v>
      </c>
      <c r="BG191" s="204">
        <v>0</v>
      </c>
      <c r="BH191" s="204">
        <v>0</v>
      </c>
      <c r="BI191" s="272" t="str">
        <f t="shared" si="139"/>
        <v>A</v>
      </c>
      <c r="BJ191" s="247">
        <f t="shared" si="140"/>
        <v>100</v>
      </c>
      <c r="BK191" s="90">
        <f t="shared" si="141"/>
        <v>3</v>
      </c>
      <c r="BL191" s="406">
        <v>21</v>
      </c>
      <c r="BM191" s="413">
        <f t="shared" si="142"/>
        <v>3.608247422680412</v>
      </c>
      <c r="BN191" s="414">
        <f t="shared" si="143"/>
        <v>40</v>
      </c>
      <c r="BO191" s="415">
        <f t="shared" si="144"/>
        <v>1.2</v>
      </c>
      <c r="BP191" s="416">
        <v>0</v>
      </c>
      <c r="BQ191" s="417">
        <f t="shared" si="145"/>
        <v>33.333333333333336</v>
      </c>
      <c r="BR191" s="415">
        <f t="shared" si="146"/>
        <v>0.33333333333333337</v>
      </c>
      <c r="BS191" s="350">
        <f t="shared" si="147"/>
        <v>10.68984850276596</v>
      </c>
    </row>
    <row r="192" spans="1:71" x14ac:dyDescent="0.6">
      <c r="A192" s="214" t="s">
        <v>1750</v>
      </c>
      <c r="B192" s="13" t="s">
        <v>2172</v>
      </c>
      <c r="C192" s="219" t="s">
        <v>1751</v>
      </c>
      <c r="D192" s="14" t="s">
        <v>202</v>
      </c>
      <c r="E192" s="217" t="s">
        <v>954</v>
      </c>
      <c r="F192" s="217" t="s">
        <v>1752</v>
      </c>
      <c r="G192" s="218">
        <v>32455</v>
      </c>
      <c r="H192" s="217" t="s">
        <v>830</v>
      </c>
      <c r="I192" s="217" t="s">
        <v>1753</v>
      </c>
      <c r="J192" s="217" t="s">
        <v>1754</v>
      </c>
      <c r="K192" s="217" t="s">
        <v>308</v>
      </c>
      <c r="L192" s="220">
        <v>1914532174</v>
      </c>
      <c r="M192" s="206">
        <v>433489874</v>
      </c>
      <c r="N192" s="206">
        <v>1481042299</v>
      </c>
      <c r="O192" s="206">
        <v>2351608869</v>
      </c>
      <c r="P192" s="206">
        <v>172143218</v>
      </c>
      <c r="Q192" s="206">
        <v>206431272</v>
      </c>
      <c r="R192" s="206">
        <v>163552128</v>
      </c>
      <c r="S192" s="405">
        <v>0</v>
      </c>
      <c r="T192" s="405">
        <v>0</v>
      </c>
      <c r="U192" s="406">
        <v>0</v>
      </c>
      <c r="V192" s="406">
        <v>0</v>
      </c>
      <c r="W192" s="407">
        <f t="shared" si="162"/>
        <v>0</v>
      </c>
      <c r="X192" s="407">
        <f t="shared" si="163"/>
        <v>100</v>
      </c>
      <c r="Y192" s="408">
        <f t="shared" si="164"/>
        <v>3</v>
      </c>
      <c r="Z192" s="444" t="s">
        <v>3420</v>
      </c>
      <c r="AA192" s="442">
        <v>0</v>
      </c>
      <c r="AB192" s="406">
        <v>1</v>
      </c>
      <c r="AC192" s="406">
        <v>0</v>
      </c>
      <c r="AD192" s="407">
        <f t="shared" si="165"/>
        <v>1</v>
      </c>
      <c r="AE192" s="364" t="str">
        <f t="shared" si="166"/>
        <v>100</v>
      </c>
      <c r="AF192" s="349">
        <f t="shared" si="167"/>
        <v>0.5</v>
      </c>
      <c r="AG192" s="154">
        <v>4635</v>
      </c>
      <c r="AH192" s="154">
        <v>225356</v>
      </c>
      <c r="AI192" s="409">
        <f t="shared" si="132"/>
        <v>48.620496224379721</v>
      </c>
      <c r="AJ192" s="409">
        <f t="shared" si="133"/>
        <v>61.465372168284787</v>
      </c>
      <c r="AK192" s="408">
        <f t="shared" si="168"/>
        <v>0.61465372168284793</v>
      </c>
      <c r="AL192" s="45">
        <v>202469</v>
      </c>
      <c r="AM192" s="361">
        <f t="shared" si="150"/>
        <v>11.303952703870717</v>
      </c>
      <c r="AN192" s="365">
        <f t="shared" si="148"/>
        <v>27.11949113197576</v>
      </c>
      <c r="AO192" s="320">
        <f t="shared" si="169"/>
        <v>0.27119491131975759</v>
      </c>
      <c r="AP192" s="277">
        <f>_xlfn.XLOOKUP(C192, '1.건전성'!C:C, '1.건전성'!BE:BE)</f>
        <v>56772331</v>
      </c>
      <c r="AQ192" s="277">
        <f>_xlfn.XLOOKUP(C192, '1.건전성'!C:C, '1.건전성'!BF:BF)</f>
        <v>4327394</v>
      </c>
      <c r="AR192" s="410">
        <f t="shared" si="134"/>
        <v>61099725</v>
      </c>
      <c r="AS192" s="366">
        <f t="shared" si="130"/>
        <v>2.5982094984180808</v>
      </c>
      <c r="AT192" s="366">
        <f t="shared" si="135"/>
        <v>26.581564948556341</v>
      </c>
      <c r="AU192" s="321">
        <f t="shared" si="136"/>
        <v>0.26581564948556341</v>
      </c>
      <c r="AV192" s="15">
        <v>7495381</v>
      </c>
      <c r="AW192" s="361">
        <f t="shared" si="131"/>
        <v>0.31873416956397777</v>
      </c>
      <c r="AX192" s="361">
        <f t="shared" si="137"/>
        <v>26.657077042151347</v>
      </c>
      <c r="AY192" s="321">
        <f t="shared" si="170"/>
        <v>0.13328538521075672</v>
      </c>
      <c r="AZ192" s="411">
        <v>11.1</v>
      </c>
      <c r="BA192" s="412">
        <f t="shared" si="138"/>
        <v>100</v>
      </c>
      <c r="BB192" s="408">
        <f t="shared" si="171"/>
        <v>0.5</v>
      </c>
      <c r="BC192" s="204">
        <v>1</v>
      </c>
      <c r="BD192" s="407">
        <f t="shared" si="149"/>
        <v>100</v>
      </c>
      <c r="BE192" s="408">
        <f t="shared" si="172"/>
        <v>0.5</v>
      </c>
      <c r="BF192" s="204">
        <v>0</v>
      </c>
      <c r="BG192" s="204">
        <v>1</v>
      </c>
      <c r="BH192" s="204">
        <v>0</v>
      </c>
      <c r="BI192" s="272" t="str">
        <f t="shared" si="139"/>
        <v>C</v>
      </c>
      <c r="BJ192" s="247">
        <f t="shared" si="140"/>
        <v>50</v>
      </c>
      <c r="BK192" s="90">
        <f t="shared" si="141"/>
        <v>1.5</v>
      </c>
      <c r="BL192" s="406">
        <v>791</v>
      </c>
      <c r="BM192" s="413">
        <f t="shared" si="142"/>
        <v>17.065803667745417</v>
      </c>
      <c r="BN192" s="414">
        <f t="shared" si="143"/>
        <v>20</v>
      </c>
      <c r="BO192" s="415">
        <f t="shared" si="144"/>
        <v>0.6</v>
      </c>
      <c r="BP192" s="416">
        <v>0</v>
      </c>
      <c r="BQ192" s="417">
        <f t="shared" si="145"/>
        <v>33.333333333333336</v>
      </c>
      <c r="BR192" s="415">
        <f t="shared" si="146"/>
        <v>0.33333333333333337</v>
      </c>
      <c r="BS192" s="350">
        <f t="shared" si="147"/>
        <v>8.2182830010322583</v>
      </c>
    </row>
    <row r="193" spans="1:71" x14ac:dyDescent="0.6">
      <c r="A193" s="214" t="s">
        <v>789</v>
      </c>
      <c r="B193" s="13" t="s">
        <v>2173</v>
      </c>
      <c r="C193" s="219" t="s">
        <v>448</v>
      </c>
      <c r="D193" s="216" t="s">
        <v>285</v>
      </c>
      <c r="E193" s="217" t="s">
        <v>624</v>
      </c>
      <c r="F193" s="217" t="s">
        <v>1186</v>
      </c>
      <c r="G193" s="218">
        <v>35094</v>
      </c>
      <c r="H193" s="217" t="s">
        <v>830</v>
      </c>
      <c r="I193" s="217" t="s">
        <v>579</v>
      </c>
      <c r="J193" s="217" t="s">
        <v>964</v>
      </c>
      <c r="K193" s="217" t="s">
        <v>91</v>
      </c>
      <c r="L193" s="220">
        <v>1985699161</v>
      </c>
      <c r="M193" s="206">
        <v>512258282</v>
      </c>
      <c r="N193" s="206">
        <v>1473440879</v>
      </c>
      <c r="O193" s="206">
        <v>2427260264</v>
      </c>
      <c r="P193" s="206">
        <v>192825146</v>
      </c>
      <c r="Q193" s="206">
        <v>188400341</v>
      </c>
      <c r="R193" s="206">
        <v>141531341</v>
      </c>
      <c r="S193" s="405">
        <v>0</v>
      </c>
      <c r="T193" s="405">
        <v>0</v>
      </c>
      <c r="U193" s="406">
        <v>0</v>
      </c>
      <c r="V193" s="406">
        <v>0</v>
      </c>
      <c r="W193" s="407">
        <f t="shared" si="162"/>
        <v>0</v>
      </c>
      <c r="X193" s="407">
        <f t="shared" si="163"/>
        <v>100</v>
      </c>
      <c r="Y193" s="408">
        <f t="shared" si="164"/>
        <v>3</v>
      </c>
      <c r="Z193" s="444" t="s">
        <v>3421</v>
      </c>
      <c r="AA193" s="442">
        <v>1</v>
      </c>
      <c r="AB193" s="406">
        <v>0</v>
      </c>
      <c r="AC193" s="406">
        <v>0</v>
      </c>
      <c r="AD193" s="407">
        <f t="shared" si="165"/>
        <v>1</v>
      </c>
      <c r="AE193" s="364" t="str">
        <f t="shared" si="166"/>
        <v>100</v>
      </c>
      <c r="AF193" s="349">
        <f t="shared" si="167"/>
        <v>0.5</v>
      </c>
      <c r="AG193" s="154">
        <v>6817</v>
      </c>
      <c r="AH193" s="421"/>
      <c r="AI193" s="409">
        <f t="shared" si="132"/>
        <v>0</v>
      </c>
      <c r="AJ193" s="409">
        <f t="shared" si="133"/>
        <v>25</v>
      </c>
      <c r="AK193" s="408">
        <f t="shared" si="168"/>
        <v>0.25</v>
      </c>
      <c r="AL193" s="423"/>
      <c r="AM193" s="424">
        <v>0</v>
      </c>
      <c r="AN193" s="365">
        <f t="shared" si="148"/>
        <v>25</v>
      </c>
      <c r="AO193" s="320">
        <f t="shared" si="169"/>
        <v>0.25</v>
      </c>
      <c r="AP193" s="277">
        <f>_xlfn.XLOOKUP(C193, '1.건전성'!C:C, '1.건전성'!BE:BE)</f>
        <v>214457565.42300001</v>
      </c>
      <c r="AQ193" s="277">
        <f>_xlfn.XLOOKUP(C193, '1.건전성'!C:C, '1.건전성'!BF:BF)</f>
        <v>29750959.107999999</v>
      </c>
      <c r="AR193" s="410">
        <f t="shared" si="134"/>
        <v>244208524.53100002</v>
      </c>
      <c r="AS193" s="366">
        <f t="shared" ref="AS193:AS256" si="173">(AR193/O193)*100</f>
        <v>10.061077015637249</v>
      </c>
      <c r="AT193" s="366">
        <f t="shared" si="135"/>
        <v>32.206841971585867</v>
      </c>
      <c r="AU193" s="321">
        <f t="shared" si="136"/>
        <v>0.3220684197158587</v>
      </c>
      <c r="AV193" s="419"/>
      <c r="AW193" s="361">
        <f t="shared" ref="AW193:AW256" si="174">(AV193/O193)*100</f>
        <v>0</v>
      </c>
      <c r="AX193" s="361">
        <f t="shared" si="137"/>
        <v>25</v>
      </c>
      <c r="AY193" s="321">
        <f t="shared" si="170"/>
        <v>0.125</v>
      </c>
      <c r="AZ193" s="411">
        <v>12.7</v>
      </c>
      <c r="BA193" s="412">
        <f t="shared" si="138"/>
        <v>100</v>
      </c>
      <c r="BB193" s="408">
        <f t="shared" si="171"/>
        <v>0.5</v>
      </c>
      <c r="BC193" s="204">
        <v>1</v>
      </c>
      <c r="BD193" s="407">
        <f t="shared" si="149"/>
        <v>100</v>
      </c>
      <c r="BE193" s="408">
        <f t="shared" si="172"/>
        <v>0.5</v>
      </c>
      <c r="BF193" s="204">
        <v>0</v>
      </c>
      <c r="BG193" s="204">
        <v>1</v>
      </c>
      <c r="BH193" s="204">
        <v>1</v>
      </c>
      <c r="BI193" s="272" t="str">
        <f t="shared" si="139"/>
        <v>D</v>
      </c>
      <c r="BJ193" s="247">
        <f t="shared" si="140"/>
        <v>25</v>
      </c>
      <c r="BK193" s="90">
        <f t="shared" si="141"/>
        <v>0.75</v>
      </c>
      <c r="BL193" s="406">
        <v>295</v>
      </c>
      <c r="BM193" s="413">
        <f t="shared" si="142"/>
        <v>4.3274167522370544</v>
      </c>
      <c r="BN193" s="414">
        <f t="shared" si="143"/>
        <v>40</v>
      </c>
      <c r="BO193" s="415">
        <f t="shared" si="144"/>
        <v>1.2</v>
      </c>
      <c r="BP193" s="416">
        <v>0</v>
      </c>
      <c r="BQ193" s="417">
        <f t="shared" si="145"/>
        <v>33.333333333333336</v>
      </c>
      <c r="BR193" s="415">
        <f t="shared" si="146"/>
        <v>0.33333333333333337</v>
      </c>
      <c r="BS193" s="350">
        <f t="shared" si="147"/>
        <v>7.7304017530491915</v>
      </c>
    </row>
    <row r="194" spans="1:71" x14ac:dyDescent="0.6">
      <c r="A194" s="214" t="s">
        <v>1755</v>
      </c>
      <c r="B194" s="13" t="s">
        <v>2174</v>
      </c>
      <c r="C194" s="219" t="s">
        <v>533</v>
      </c>
      <c r="D194" s="221" t="s">
        <v>481</v>
      </c>
      <c r="E194" s="217" t="s">
        <v>604</v>
      </c>
      <c r="F194" s="217" t="s">
        <v>268</v>
      </c>
      <c r="G194" s="218">
        <v>44155</v>
      </c>
      <c r="H194" s="217" t="s">
        <v>830</v>
      </c>
      <c r="I194" s="217" t="s">
        <v>955</v>
      </c>
      <c r="J194" s="1" t="s">
        <v>2305</v>
      </c>
      <c r="K194" s="217" t="s">
        <v>91</v>
      </c>
      <c r="L194" s="220">
        <v>204362337</v>
      </c>
      <c r="M194" s="206">
        <v>77627222</v>
      </c>
      <c r="N194" s="206">
        <v>126735115</v>
      </c>
      <c r="O194" s="206">
        <v>230018279</v>
      </c>
      <c r="P194" s="206">
        <v>3054336</v>
      </c>
      <c r="Q194" s="206">
        <v>41586408</v>
      </c>
      <c r="R194" s="206">
        <v>32212761</v>
      </c>
      <c r="S194" s="275" t="s">
        <v>2326</v>
      </c>
      <c r="T194" s="275" t="s">
        <v>2326</v>
      </c>
      <c r="U194" s="275" t="s">
        <v>2326</v>
      </c>
      <c r="V194" s="275" t="s">
        <v>2326</v>
      </c>
      <c r="W194" s="275" t="s">
        <v>2326</v>
      </c>
      <c r="X194" s="275" t="s">
        <v>2326</v>
      </c>
      <c r="Y194" s="276"/>
      <c r="Z194" s="275" t="s">
        <v>2326</v>
      </c>
      <c r="AA194" s="275" t="s">
        <v>2326</v>
      </c>
      <c r="AB194" s="275" t="s">
        <v>2326</v>
      </c>
      <c r="AC194" s="275" t="s">
        <v>2326</v>
      </c>
      <c r="AD194" s="275" t="s">
        <v>2326</v>
      </c>
      <c r="AE194" s="275" t="s">
        <v>2326</v>
      </c>
      <c r="AF194" s="275"/>
      <c r="AG194" s="154">
        <v>393</v>
      </c>
      <c r="AH194" s="154">
        <v>69639</v>
      </c>
      <c r="AI194" s="409">
        <f t="shared" ref="AI194:AI257" si="175">AH194/AG194</f>
        <v>177.19847328244273</v>
      </c>
      <c r="AJ194" s="409">
        <f t="shared" ref="AJ194:AJ257" si="176">IF((25+((75*(AI194-0)/(100-0))))&gt;100, 100, IF((25+((75*(AI194-0)/(100-0))))&lt;25, 25, (25+((75*(AI194-0)/(100-0))))))</f>
        <v>100</v>
      </c>
      <c r="AK194" s="418">
        <f>AJ194*0.02</f>
        <v>2</v>
      </c>
      <c r="AL194" s="45">
        <v>77059</v>
      </c>
      <c r="AM194" s="361">
        <f t="shared" ref="AM194:AM257" si="177">((AH194-AL194)/AL194)*100</f>
        <v>-9.6289855824757655</v>
      </c>
      <c r="AN194" s="365">
        <f t="shared" si="148"/>
        <v>25</v>
      </c>
      <c r="AO194" s="322">
        <f>AN194*0.02</f>
        <v>0.5</v>
      </c>
      <c r="AP194" s="277">
        <f>_xlfn.XLOOKUP(C194, '1.건전성'!C:C, '1.건전성'!BE:BE)</f>
        <v>19144727</v>
      </c>
      <c r="AQ194" s="277">
        <f>_xlfn.XLOOKUP(C194, '1.건전성'!C:C, '1.건전성'!BF:BF)</f>
        <v>1641507</v>
      </c>
      <c r="AR194" s="410">
        <f t="shared" ref="AR194:AR257" si="178">AP194+AQ194</f>
        <v>20786234</v>
      </c>
      <c r="AS194" s="366">
        <f t="shared" si="173"/>
        <v>9.0367748556191927</v>
      </c>
      <c r="AT194" s="366">
        <f t="shared" ref="AT194:AT257" si="179">IF((25+(75*(AS194-0.5)/(100-0.5)))&gt;100, 100, IF((25+(75*(AS194-0.5)/(100-0.5)))&lt;25, 25, (25+(75*(AS194-0.5)/(100-0.5)))))</f>
        <v>31.434754916295873</v>
      </c>
      <c r="AU194" s="321">
        <f t="shared" ref="AU194:AU257" si="180">AT194*0.01</f>
        <v>0.31434754916295876</v>
      </c>
      <c r="AV194" s="15">
        <v>4233885</v>
      </c>
      <c r="AW194" s="361">
        <f t="shared" si="174"/>
        <v>1.8406732797092182</v>
      </c>
      <c r="AX194" s="361">
        <f t="shared" ref="AX194:AX257" si="181">IF((25+((75*(AW194-0.1))/(10-0.1)))&gt;100, 100, IF((25+((75*(AW194-0.1))/(10-0.1)))&lt;25, 25, (25+((75*(AW194-0.1))/(10-0.1)))))</f>
        <v>38.186918785675893</v>
      </c>
      <c r="AY194" s="348">
        <f>AX194*0.01</f>
        <v>0.38186918785675894</v>
      </c>
      <c r="AZ194" s="411">
        <v>5.9</v>
      </c>
      <c r="BA194" s="412">
        <f t="shared" ref="BA194:BA257" si="182">IF(AZ194&lt;4, 20, IF(AZ194&lt;6, 40, IF(AZ194&lt;8, 60, IF(AZ194&lt;10, 80, IF(AZ194&gt;=10, 100)))))</f>
        <v>40</v>
      </c>
      <c r="BB194" s="418">
        <f>BA194*0.01</f>
        <v>0.4</v>
      </c>
      <c r="BC194" s="204">
        <v>1</v>
      </c>
      <c r="BD194" s="407">
        <f t="shared" si="149"/>
        <v>100</v>
      </c>
      <c r="BE194" s="418">
        <f>BD194*0.01</f>
        <v>1</v>
      </c>
      <c r="BF194" s="204">
        <v>0</v>
      </c>
      <c r="BG194" s="204">
        <v>1</v>
      </c>
      <c r="BH194" s="204">
        <v>1</v>
      </c>
      <c r="BI194" s="272" t="str">
        <f t="shared" ref="BI194:BI257" si="183">IF(BH194=1, "D", IF(BG194=1, "C", IF(BF194=1, "B", "A")))</f>
        <v>D</v>
      </c>
      <c r="BJ194" s="247">
        <f t="shared" ref="BJ194:BJ257" si="184">IF(BI194="A", 100, IF(BI194="B", 75, IF(BI194="C", 50, IF(BI194="D", 25))))</f>
        <v>25</v>
      </c>
      <c r="BK194" s="90">
        <f t="shared" ref="BK194:BK257" si="185">BJ194*0.03</f>
        <v>0.75</v>
      </c>
      <c r="BL194" s="406">
        <v>38</v>
      </c>
      <c r="BM194" s="413">
        <f t="shared" ref="BM194:BM257" si="186">(BL194/AG194)*100</f>
        <v>9.669211195928753</v>
      </c>
      <c r="BN194" s="414">
        <f t="shared" ref="BN194:BN257" si="187">IF(BM194&lt;0.5, 100, IF(BM194&lt;1, 80, IF(BM194&lt;3, 60, IF(BM194&lt;7, 40, IF(BM194&gt;=7, 20)))))</f>
        <v>20</v>
      </c>
      <c r="BO194" s="415">
        <f t="shared" ref="BO194:BO257" si="188">BN194*0.03</f>
        <v>0.6</v>
      </c>
      <c r="BP194" s="416">
        <v>0.46</v>
      </c>
      <c r="BQ194" s="417">
        <f t="shared" ref="BQ194:BQ257" si="189">IF(BP194=0, 100/3, IF(BP194&lt;5, 200/3, 100))</f>
        <v>66.666666666666671</v>
      </c>
      <c r="BR194" s="415">
        <f t="shared" ref="BR194:BR257" si="190">BQ194*0.01</f>
        <v>0.66666666666666674</v>
      </c>
      <c r="BS194" s="350">
        <f t="shared" ref="BS194:BS257" si="191">Y194+AF194+AK194+AO194+AU194+AY194+BB194+BE194+BK194+BO194+BR194</f>
        <v>6.6128834036863848</v>
      </c>
    </row>
    <row r="195" spans="1:71" x14ac:dyDescent="0.6">
      <c r="A195" s="214" t="s">
        <v>813</v>
      </c>
      <c r="B195" s="13" t="s">
        <v>2175</v>
      </c>
      <c r="C195" s="219" t="s">
        <v>428</v>
      </c>
      <c r="D195" s="216" t="s">
        <v>203</v>
      </c>
      <c r="E195" s="217" t="s">
        <v>246</v>
      </c>
      <c r="F195" s="217" t="s">
        <v>394</v>
      </c>
      <c r="G195" s="218">
        <v>25454</v>
      </c>
      <c r="H195" s="217" t="s">
        <v>830</v>
      </c>
      <c r="I195" s="217" t="s">
        <v>783</v>
      </c>
      <c r="J195" s="217" t="s">
        <v>1069</v>
      </c>
      <c r="K195" s="217" t="s">
        <v>690</v>
      </c>
      <c r="L195" s="220">
        <v>436729659</v>
      </c>
      <c r="M195" s="206">
        <v>131134120</v>
      </c>
      <c r="N195" s="206">
        <v>305595540</v>
      </c>
      <c r="O195" s="206">
        <v>388455876</v>
      </c>
      <c r="P195" s="206">
        <v>16230918</v>
      </c>
      <c r="Q195" s="206">
        <v>19676309</v>
      </c>
      <c r="R195" s="206">
        <v>17916229</v>
      </c>
      <c r="S195" s="405">
        <v>0</v>
      </c>
      <c r="T195" s="405">
        <v>0</v>
      </c>
      <c r="U195" s="406">
        <v>0</v>
      </c>
      <c r="V195" s="406">
        <v>0</v>
      </c>
      <c r="W195" s="407">
        <f t="shared" ref="W195:W206" si="192">SUM(S195:V195)</f>
        <v>0</v>
      </c>
      <c r="X195" s="407">
        <f t="shared" ref="X195:X206" si="193">IF(W195=0, 100, IF(W195=1, 80, IF(W195=2, 60, IF(W195=3, 40, IF(W195=4, 20)))))</f>
        <v>100</v>
      </c>
      <c r="Y195" s="408">
        <f t="shared" ref="Y195:Y206" si="194">X195*0.03</f>
        <v>3</v>
      </c>
      <c r="Z195" s="444" t="s">
        <v>3422</v>
      </c>
      <c r="AA195" s="442">
        <v>0</v>
      </c>
      <c r="AB195" s="406">
        <v>0</v>
      </c>
      <c r="AC195" s="406">
        <v>0</v>
      </c>
      <c r="AD195" s="407">
        <f t="shared" ref="AD195:AD206" si="195">SUM(AA195:AC195)</f>
        <v>0</v>
      </c>
      <c r="AE195" s="364" t="str">
        <f t="shared" ref="AE195:AE206" si="196">IF(AD195&gt;=1,"100","50")</f>
        <v>50</v>
      </c>
      <c r="AF195" s="349">
        <f t="shared" ref="AF195:AF206" si="197">AE195*0.005</f>
        <v>0.25</v>
      </c>
      <c r="AG195" s="154">
        <v>244</v>
      </c>
      <c r="AH195" s="154">
        <v>28053</v>
      </c>
      <c r="AI195" s="409">
        <f t="shared" si="175"/>
        <v>114.97131147540983</v>
      </c>
      <c r="AJ195" s="409">
        <f t="shared" si="176"/>
        <v>100</v>
      </c>
      <c r="AK195" s="408">
        <f t="shared" ref="AK195:AK206" si="198">AJ195*0.01</f>
        <v>1</v>
      </c>
      <c r="AL195" s="45">
        <v>25602</v>
      </c>
      <c r="AM195" s="361">
        <f t="shared" si="177"/>
        <v>9.573470822591986</v>
      </c>
      <c r="AN195" s="365">
        <f t="shared" ref="AN195:AN258" si="199">IF((25+((75*(AM195-0)/(400-0))))&gt;100, 100, IF((25+((75*(AM195-0)/(400-0))))&lt;25, 25, (25+((75*(AM195-0)/(400-0))))))</f>
        <v>26.795025779235999</v>
      </c>
      <c r="AO195" s="320">
        <f t="shared" ref="AO195:AO206" si="200">AN195*0.01</f>
        <v>0.26795025779235998</v>
      </c>
      <c r="AP195" s="277">
        <f>_xlfn.XLOOKUP(C195, '1.건전성'!C:C, '1.건전성'!BE:BE)</f>
        <v>11454848</v>
      </c>
      <c r="AQ195" s="277">
        <f>_xlfn.XLOOKUP(C195, '1.건전성'!C:C, '1.건전성'!BF:BF)</f>
        <v>1338165</v>
      </c>
      <c r="AR195" s="410">
        <f t="shared" si="178"/>
        <v>12793013</v>
      </c>
      <c r="AS195" s="366">
        <f t="shared" si="173"/>
        <v>3.2932988764983953</v>
      </c>
      <c r="AT195" s="366">
        <f t="shared" si="179"/>
        <v>27.105501665702306</v>
      </c>
      <c r="AU195" s="321">
        <f t="shared" si="180"/>
        <v>0.27105501665702308</v>
      </c>
      <c r="AV195" s="15">
        <v>1014197</v>
      </c>
      <c r="AW195" s="361">
        <f t="shared" si="174"/>
        <v>0.26108422157063726</v>
      </c>
      <c r="AX195" s="361">
        <f t="shared" si="181"/>
        <v>26.220335011898769</v>
      </c>
      <c r="AY195" s="321">
        <f t="shared" ref="AY195:AY206" si="201">AX195*0.005</f>
        <v>0.13110167505949386</v>
      </c>
      <c r="AZ195" s="411">
        <v>9</v>
      </c>
      <c r="BA195" s="412">
        <f t="shared" si="182"/>
        <v>80</v>
      </c>
      <c r="BB195" s="408">
        <f t="shared" ref="BB195:BB206" si="202">BA195*0.005</f>
        <v>0.4</v>
      </c>
      <c r="BC195" s="204">
        <v>1</v>
      </c>
      <c r="BD195" s="407">
        <f t="shared" ref="BD195:BD258" si="203">IF(BC195=1, 100, 50)</f>
        <v>100</v>
      </c>
      <c r="BE195" s="408">
        <f t="shared" ref="BE195:BE206" si="204">BD195*0.005</f>
        <v>0.5</v>
      </c>
      <c r="BF195" s="204">
        <v>0</v>
      </c>
      <c r="BG195" s="204">
        <v>1</v>
      </c>
      <c r="BH195" s="204">
        <v>0</v>
      </c>
      <c r="BI195" s="272" t="str">
        <f t="shared" si="183"/>
        <v>C</v>
      </c>
      <c r="BJ195" s="247">
        <f t="shared" si="184"/>
        <v>50</v>
      </c>
      <c r="BK195" s="90">
        <f t="shared" si="185"/>
        <v>1.5</v>
      </c>
      <c r="BL195" s="406">
        <v>19</v>
      </c>
      <c r="BM195" s="413">
        <f t="shared" si="186"/>
        <v>7.7868852459016393</v>
      </c>
      <c r="BN195" s="414">
        <f t="shared" si="187"/>
        <v>20</v>
      </c>
      <c r="BO195" s="415">
        <f t="shared" si="188"/>
        <v>0.6</v>
      </c>
      <c r="BP195" s="416">
        <v>0.02</v>
      </c>
      <c r="BQ195" s="417">
        <f t="shared" si="189"/>
        <v>66.666666666666671</v>
      </c>
      <c r="BR195" s="415">
        <f t="shared" si="190"/>
        <v>0.66666666666666674</v>
      </c>
      <c r="BS195" s="350">
        <f t="shared" si="191"/>
        <v>8.5867736161755435</v>
      </c>
    </row>
    <row r="196" spans="1:71" x14ac:dyDescent="0.6">
      <c r="A196" s="214" t="s">
        <v>1757</v>
      </c>
      <c r="B196" s="13" t="s">
        <v>2176</v>
      </c>
      <c r="C196" s="219" t="s">
        <v>1758</v>
      </c>
      <c r="D196" s="14" t="s">
        <v>202</v>
      </c>
      <c r="E196" s="217" t="s">
        <v>593</v>
      </c>
      <c r="F196" s="217" t="s">
        <v>1759</v>
      </c>
      <c r="G196" s="218">
        <v>44383</v>
      </c>
      <c r="H196" s="217" t="s">
        <v>830</v>
      </c>
      <c r="I196" s="217" t="s">
        <v>1760</v>
      </c>
      <c r="J196" s="217" t="s">
        <v>1761</v>
      </c>
      <c r="K196" s="217" t="s">
        <v>346</v>
      </c>
      <c r="L196" s="220">
        <v>490185292</v>
      </c>
      <c r="M196" s="206">
        <v>160877015</v>
      </c>
      <c r="N196" s="206">
        <v>329308277</v>
      </c>
      <c r="O196" s="206">
        <v>853045926</v>
      </c>
      <c r="P196" s="206">
        <v>11254172</v>
      </c>
      <c r="Q196" s="206">
        <v>25536401</v>
      </c>
      <c r="R196" s="206">
        <v>19988516</v>
      </c>
      <c r="S196" s="405">
        <v>0</v>
      </c>
      <c r="T196" s="405">
        <v>0</v>
      </c>
      <c r="U196" s="406">
        <v>0</v>
      </c>
      <c r="V196" s="406">
        <v>0</v>
      </c>
      <c r="W196" s="407">
        <f t="shared" si="192"/>
        <v>0</v>
      </c>
      <c r="X196" s="407">
        <f t="shared" si="193"/>
        <v>100</v>
      </c>
      <c r="Y196" s="408">
        <f t="shared" si="194"/>
        <v>3</v>
      </c>
      <c r="Z196" s="444" t="s">
        <v>3423</v>
      </c>
      <c r="AA196" s="442">
        <v>0</v>
      </c>
      <c r="AB196" s="406">
        <v>0</v>
      </c>
      <c r="AC196" s="406">
        <v>0</v>
      </c>
      <c r="AD196" s="407">
        <f t="shared" si="195"/>
        <v>0</v>
      </c>
      <c r="AE196" s="364" t="str">
        <f t="shared" si="196"/>
        <v>50</v>
      </c>
      <c r="AF196" s="349">
        <f t="shared" si="197"/>
        <v>0.25</v>
      </c>
      <c r="AG196" s="154">
        <v>430</v>
      </c>
      <c r="AH196" s="421"/>
      <c r="AI196" s="409">
        <f t="shared" si="175"/>
        <v>0</v>
      </c>
      <c r="AJ196" s="409">
        <f t="shared" si="176"/>
        <v>25</v>
      </c>
      <c r="AK196" s="408">
        <f t="shared" si="198"/>
        <v>0.25</v>
      </c>
      <c r="AL196" s="423"/>
      <c r="AM196" s="424">
        <v>0</v>
      </c>
      <c r="AN196" s="365">
        <f t="shared" si="199"/>
        <v>25</v>
      </c>
      <c r="AO196" s="320">
        <f t="shared" si="200"/>
        <v>0.25</v>
      </c>
      <c r="AP196" s="277">
        <f>_xlfn.XLOOKUP(C196, '1.건전성'!C:C, '1.건전성'!BE:BE)</f>
        <v>7497366</v>
      </c>
      <c r="AQ196" s="277">
        <f>_xlfn.XLOOKUP(C196, '1.건전성'!C:C, '1.건전성'!BF:BF)</f>
        <v>692722</v>
      </c>
      <c r="AR196" s="410">
        <f t="shared" si="178"/>
        <v>8190088</v>
      </c>
      <c r="AS196" s="366">
        <f t="shared" si="173"/>
        <v>0.96009930419619638</v>
      </c>
      <c r="AT196" s="366">
        <f t="shared" si="179"/>
        <v>25.346808520750901</v>
      </c>
      <c r="AU196" s="321">
        <f t="shared" si="180"/>
        <v>0.25346808520750902</v>
      </c>
      <c r="AV196" s="15">
        <v>583280</v>
      </c>
      <c r="AW196" s="361">
        <f t="shared" si="174"/>
        <v>6.8376154462755148E-2</v>
      </c>
      <c r="AX196" s="361">
        <f t="shared" si="181"/>
        <v>25</v>
      </c>
      <c r="AY196" s="321">
        <f t="shared" si="201"/>
        <v>0.125</v>
      </c>
      <c r="AZ196" s="411">
        <v>6.11</v>
      </c>
      <c r="BA196" s="412">
        <f t="shared" si="182"/>
        <v>60</v>
      </c>
      <c r="BB196" s="408">
        <f t="shared" si="202"/>
        <v>0.3</v>
      </c>
      <c r="BC196" s="204">
        <v>0</v>
      </c>
      <c r="BD196" s="407">
        <f t="shared" si="203"/>
        <v>50</v>
      </c>
      <c r="BE196" s="408">
        <f t="shared" si="204"/>
        <v>0.25</v>
      </c>
      <c r="BF196" s="204">
        <v>0</v>
      </c>
      <c r="BG196" s="204">
        <v>0</v>
      </c>
      <c r="BH196" s="204">
        <v>0</v>
      </c>
      <c r="BI196" s="272" t="str">
        <f t="shared" si="183"/>
        <v>A</v>
      </c>
      <c r="BJ196" s="247">
        <f t="shared" si="184"/>
        <v>100</v>
      </c>
      <c r="BK196" s="90">
        <f t="shared" si="185"/>
        <v>3</v>
      </c>
      <c r="BL196" s="406">
        <v>0</v>
      </c>
      <c r="BM196" s="413">
        <f t="shared" si="186"/>
        <v>0</v>
      </c>
      <c r="BN196" s="414">
        <f t="shared" si="187"/>
        <v>100</v>
      </c>
      <c r="BO196" s="415">
        <f t="shared" si="188"/>
        <v>3</v>
      </c>
      <c r="BP196" s="416">
        <v>0</v>
      </c>
      <c r="BQ196" s="417">
        <f t="shared" si="189"/>
        <v>33.333333333333336</v>
      </c>
      <c r="BR196" s="415">
        <f t="shared" si="190"/>
        <v>0.33333333333333337</v>
      </c>
      <c r="BS196" s="350">
        <f t="shared" si="191"/>
        <v>11.011801418540843</v>
      </c>
    </row>
    <row r="197" spans="1:71" x14ac:dyDescent="0.6">
      <c r="A197" s="214" t="s">
        <v>524</v>
      </c>
      <c r="B197" s="13" t="s">
        <v>2177</v>
      </c>
      <c r="C197" s="219" t="s">
        <v>905</v>
      </c>
      <c r="D197" s="216" t="s">
        <v>203</v>
      </c>
      <c r="E197" s="217" t="s">
        <v>246</v>
      </c>
      <c r="F197" s="217" t="s">
        <v>1190</v>
      </c>
      <c r="G197" s="218">
        <v>35669</v>
      </c>
      <c r="H197" s="217" t="s">
        <v>830</v>
      </c>
      <c r="I197" s="217" t="s">
        <v>760</v>
      </c>
      <c r="J197" s="217" t="s">
        <v>1090</v>
      </c>
      <c r="K197" s="217" t="s">
        <v>317</v>
      </c>
      <c r="L197" s="220">
        <v>169880794</v>
      </c>
      <c r="M197" s="206">
        <v>10753658</v>
      </c>
      <c r="N197" s="206">
        <v>159127136</v>
      </c>
      <c r="O197" s="206">
        <v>80968867</v>
      </c>
      <c r="P197" s="206">
        <v>2227640</v>
      </c>
      <c r="Q197" s="206">
        <v>2895711</v>
      </c>
      <c r="R197" s="206">
        <v>2402054</v>
      </c>
      <c r="S197" s="405">
        <v>0</v>
      </c>
      <c r="T197" s="405">
        <v>0</v>
      </c>
      <c r="U197" s="406">
        <v>0</v>
      </c>
      <c r="V197" s="406">
        <v>0</v>
      </c>
      <c r="W197" s="407">
        <f t="shared" si="192"/>
        <v>0</v>
      </c>
      <c r="X197" s="407">
        <f t="shared" si="193"/>
        <v>100</v>
      </c>
      <c r="Y197" s="408">
        <f t="shared" si="194"/>
        <v>3</v>
      </c>
      <c r="Z197" s="444" t="s">
        <v>3424</v>
      </c>
      <c r="AA197" s="442">
        <v>0</v>
      </c>
      <c r="AB197" s="406">
        <v>0</v>
      </c>
      <c r="AC197" s="406">
        <v>0</v>
      </c>
      <c r="AD197" s="407">
        <f t="shared" si="195"/>
        <v>0</v>
      </c>
      <c r="AE197" s="364" t="str">
        <f t="shared" si="196"/>
        <v>50</v>
      </c>
      <c r="AF197" s="349">
        <f t="shared" si="197"/>
        <v>0.25</v>
      </c>
      <c r="AG197" s="154">
        <v>258</v>
      </c>
      <c r="AH197" s="154">
        <v>13782</v>
      </c>
      <c r="AI197" s="409">
        <f t="shared" si="175"/>
        <v>53.418604651162788</v>
      </c>
      <c r="AJ197" s="409">
        <f t="shared" si="176"/>
        <v>65.063953488372093</v>
      </c>
      <c r="AK197" s="408">
        <f t="shared" si="198"/>
        <v>0.65063953488372095</v>
      </c>
      <c r="AL197" s="45">
        <v>8760</v>
      </c>
      <c r="AM197" s="361">
        <f t="shared" si="177"/>
        <v>57.328767123287669</v>
      </c>
      <c r="AN197" s="365">
        <f t="shared" si="199"/>
        <v>35.749143835616437</v>
      </c>
      <c r="AO197" s="320">
        <f t="shared" si="200"/>
        <v>0.35749143835616437</v>
      </c>
      <c r="AP197" s="277">
        <f>_xlfn.XLOOKUP(C197, '1.건전성'!C:C, '1.건전성'!BE:BE)</f>
        <v>4621015</v>
      </c>
      <c r="AQ197" s="277">
        <f>_xlfn.XLOOKUP(C197, '1.건전성'!C:C, '1.건전성'!BF:BF)</f>
        <v>160675</v>
      </c>
      <c r="AR197" s="410">
        <f t="shared" si="178"/>
        <v>4781690</v>
      </c>
      <c r="AS197" s="366">
        <f t="shared" si="173"/>
        <v>5.905590848887635</v>
      </c>
      <c r="AT197" s="366">
        <f t="shared" si="179"/>
        <v>29.074565966498216</v>
      </c>
      <c r="AU197" s="321">
        <f t="shared" si="180"/>
        <v>0.29074565966498217</v>
      </c>
      <c r="AV197" s="15">
        <v>554629</v>
      </c>
      <c r="AW197" s="361">
        <f t="shared" si="174"/>
        <v>0.68499044206707249</v>
      </c>
      <c r="AX197" s="361">
        <f t="shared" si="181"/>
        <v>29.431745773235399</v>
      </c>
      <c r="AY197" s="321">
        <f t="shared" si="201"/>
        <v>0.14715872886617701</v>
      </c>
      <c r="AZ197" s="411">
        <v>18.600000000000001</v>
      </c>
      <c r="BA197" s="412">
        <f t="shared" si="182"/>
        <v>100</v>
      </c>
      <c r="BB197" s="408">
        <f t="shared" si="202"/>
        <v>0.5</v>
      </c>
      <c r="BC197" s="204">
        <v>1</v>
      </c>
      <c r="BD197" s="407">
        <f t="shared" si="203"/>
        <v>100</v>
      </c>
      <c r="BE197" s="408">
        <f t="shared" si="204"/>
        <v>0.5</v>
      </c>
      <c r="BF197" s="204">
        <v>0</v>
      </c>
      <c r="BG197" s="204">
        <v>0</v>
      </c>
      <c r="BH197" s="204">
        <v>0</v>
      </c>
      <c r="BI197" s="272" t="str">
        <f t="shared" si="183"/>
        <v>A</v>
      </c>
      <c r="BJ197" s="247">
        <f t="shared" si="184"/>
        <v>100</v>
      </c>
      <c r="BK197" s="90">
        <f t="shared" si="185"/>
        <v>3</v>
      </c>
      <c r="BL197" s="406">
        <v>0</v>
      </c>
      <c r="BM197" s="413">
        <f t="shared" si="186"/>
        <v>0</v>
      </c>
      <c r="BN197" s="414">
        <f t="shared" si="187"/>
        <v>100</v>
      </c>
      <c r="BO197" s="415">
        <f t="shared" si="188"/>
        <v>3</v>
      </c>
      <c r="BP197" s="416">
        <v>0</v>
      </c>
      <c r="BQ197" s="417">
        <f t="shared" si="189"/>
        <v>33.333333333333336</v>
      </c>
      <c r="BR197" s="415">
        <f t="shared" si="190"/>
        <v>0.33333333333333337</v>
      </c>
      <c r="BS197" s="350">
        <f t="shared" si="191"/>
        <v>12.029368695104379</v>
      </c>
    </row>
    <row r="198" spans="1:71" x14ac:dyDescent="0.6">
      <c r="A198" s="214" t="s">
        <v>506</v>
      </c>
      <c r="B198" s="13" t="s">
        <v>2178</v>
      </c>
      <c r="C198" s="219" t="s">
        <v>453</v>
      </c>
      <c r="D198" s="216" t="s">
        <v>285</v>
      </c>
      <c r="E198" s="217" t="s">
        <v>245</v>
      </c>
      <c r="F198" s="217" t="s">
        <v>344</v>
      </c>
      <c r="G198" s="218">
        <v>40024</v>
      </c>
      <c r="H198" s="217" t="s">
        <v>830</v>
      </c>
      <c r="I198" s="217" t="s">
        <v>724</v>
      </c>
      <c r="J198" s="1" t="s">
        <v>2306</v>
      </c>
      <c r="K198" s="217" t="s">
        <v>91</v>
      </c>
      <c r="L198" s="220">
        <v>1895028518</v>
      </c>
      <c r="M198" s="206">
        <v>309482206</v>
      </c>
      <c r="N198" s="206">
        <v>1585546312</v>
      </c>
      <c r="O198" s="206">
        <v>2130649097</v>
      </c>
      <c r="P198" s="206">
        <v>241563536</v>
      </c>
      <c r="Q198" s="206">
        <v>256945444</v>
      </c>
      <c r="R198" s="206">
        <v>204214530</v>
      </c>
      <c r="S198" s="405">
        <v>0</v>
      </c>
      <c r="T198" s="405">
        <v>0</v>
      </c>
      <c r="U198" s="406">
        <v>0</v>
      </c>
      <c r="V198" s="406">
        <v>0</v>
      </c>
      <c r="W198" s="407">
        <f t="shared" si="192"/>
        <v>0</v>
      </c>
      <c r="X198" s="407">
        <f t="shared" si="193"/>
        <v>100</v>
      </c>
      <c r="Y198" s="408">
        <f t="shared" si="194"/>
        <v>3</v>
      </c>
      <c r="Z198" s="444" t="s">
        <v>3425</v>
      </c>
      <c r="AA198" s="442">
        <v>0</v>
      </c>
      <c r="AB198" s="406">
        <v>0</v>
      </c>
      <c r="AC198" s="406">
        <v>0</v>
      </c>
      <c r="AD198" s="407">
        <f t="shared" si="195"/>
        <v>0</v>
      </c>
      <c r="AE198" s="364" t="str">
        <f t="shared" si="196"/>
        <v>50</v>
      </c>
      <c r="AF198" s="349">
        <f t="shared" si="197"/>
        <v>0.25</v>
      </c>
      <c r="AG198" s="154">
        <v>286</v>
      </c>
      <c r="AH198" s="154">
        <v>174871</v>
      </c>
      <c r="AI198" s="409">
        <f t="shared" si="175"/>
        <v>611.43706293706293</v>
      </c>
      <c r="AJ198" s="409">
        <f t="shared" si="176"/>
        <v>100</v>
      </c>
      <c r="AK198" s="408">
        <f t="shared" si="198"/>
        <v>1</v>
      </c>
      <c r="AL198" s="45">
        <v>96314</v>
      </c>
      <c r="AM198" s="361">
        <f t="shared" si="177"/>
        <v>81.563427954399145</v>
      </c>
      <c r="AN198" s="365">
        <f t="shared" si="199"/>
        <v>40.293142741449842</v>
      </c>
      <c r="AO198" s="320">
        <f t="shared" si="200"/>
        <v>0.40293142741449844</v>
      </c>
      <c r="AP198" s="277">
        <f>_xlfn.XLOOKUP(C198, '1.건전성'!C:C, '1.건전성'!BE:BE)</f>
        <v>24504838</v>
      </c>
      <c r="AQ198" s="277">
        <f>_xlfn.XLOOKUP(C198, '1.건전성'!C:C, '1.건전성'!BF:BF)</f>
        <v>1762052</v>
      </c>
      <c r="AR198" s="410">
        <f t="shared" si="178"/>
        <v>26266890</v>
      </c>
      <c r="AS198" s="366">
        <f t="shared" si="173"/>
        <v>1.2328116364625386</v>
      </c>
      <c r="AT198" s="366">
        <f t="shared" si="179"/>
        <v>25.552370580248144</v>
      </c>
      <c r="AU198" s="321">
        <f t="shared" si="180"/>
        <v>0.25552370580248146</v>
      </c>
      <c r="AV198" s="15">
        <v>5568685</v>
      </c>
      <c r="AW198" s="361">
        <f t="shared" si="174"/>
        <v>0.26136096309058254</v>
      </c>
      <c r="AX198" s="361">
        <f t="shared" si="181"/>
        <v>26.222431538565019</v>
      </c>
      <c r="AY198" s="321">
        <f t="shared" si="201"/>
        <v>0.13111215769282508</v>
      </c>
      <c r="AZ198" s="411">
        <v>7.8</v>
      </c>
      <c r="BA198" s="412">
        <f t="shared" si="182"/>
        <v>60</v>
      </c>
      <c r="BB198" s="408">
        <f t="shared" si="202"/>
        <v>0.3</v>
      </c>
      <c r="BC198" s="204">
        <v>1</v>
      </c>
      <c r="BD198" s="407">
        <f t="shared" si="203"/>
        <v>100</v>
      </c>
      <c r="BE198" s="408">
        <f t="shared" si="204"/>
        <v>0.5</v>
      </c>
      <c r="BF198" s="204">
        <v>0</v>
      </c>
      <c r="BG198" s="204">
        <v>0</v>
      </c>
      <c r="BH198" s="204">
        <v>0</v>
      </c>
      <c r="BI198" s="272" t="str">
        <f t="shared" si="183"/>
        <v>A</v>
      </c>
      <c r="BJ198" s="247">
        <f t="shared" si="184"/>
        <v>100</v>
      </c>
      <c r="BK198" s="90">
        <f t="shared" si="185"/>
        <v>3</v>
      </c>
      <c r="BL198" s="406">
        <v>41</v>
      </c>
      <c r="BM198" s="413">
        <f t="shared" si="186"/>
        <v>14.335664335664337</v>
      </c>
      <c r="BN198" s="414">
        <f t="shared" si="187"/>
        <v>20</v>
      </c>
      <c r="BO198" s="415">
        <f t="shared" si="188"/>
        <v>0.6</v>
      </c>
      <c r="BP198" s="416">
        <v>0</v>
      </c>
      <c r="BQ198" s="417">
        <f t="shared" si="189"/>
        <v>33.333333333333336</v>
      </c>
      <c r="BR198" s="415">
        <f t="shared" si="190"/>
        <v>0.33333333333333337</v>
      </c>
      <c r="BS198" s="350">
        <f t="shared" si="191"/>
        <v>9.7729006242431389</v>
      </c>
    </row>
    <row r="199" spans="1:71" x14ac:dyDescent="0.6">
      <c r="A199" s="214" t="s">
        <v>1762</v>
      </c>
      <c r="B199" s="13" t="s">
        <v>2179</v>
      </c>
      <c r="C199" s="219" t="s">
        <v>864</v>
      </c>
      <c r="D199" s="216" t="s">
        <v>191</v>
      </c>
      <c r="E199" s="217" t="s">
        <v>1029</v>
      </c>
      <c r="F199" s="217" t="s">
        <v>1002</v>
      </c>
      <c r="G199" s="218">
        <v>35249</v>
      </c>
      <c r="H199" s="217" t="s">
        <v>830</v>
      </c>
      <c r="I199" s="217" t="s">
        <v>718</v>
      </c>
      <c r="J199" s="217" t="s">
        <v>1122</v>
      </c>
      <c r="K199" s="217" t="s">
        <v>690</v>
      </c>
      <c r="L199" s="220">
        <v>203654155</v>
      </c>
      <c r="M199" s="206">
        <v>67128963</v>
      </c>
      <c r="N199" s="206">
        <v>136525192</v>
      </c>
      <c r="O199" s="206">
        <v>105452639</v>
      </c>
      <c r="P199" s="206">
        <v>7856944</v>
      </c>
      <c r="Q199" s="206">
        <v>10061299</v>
      </c>
      <c r="R199" s="206">
        <v>7970141</v>
      </c>
      <c r="S199" s="405">
        <v>0</v>
      </c>
      <c r="T199" s="405">
        <v>0</v>
      </c>
      <c r="U199" s="406">
        <v>0</v>
      </c>
      <c r="V199" s="406">
        <v>0</v>
      </c>
      <c r="W199" s="407">
        <f t="shared" si="192"/>
        <v>0</v>
      </c>
      <c r="X199" s="407">
        <f t="shared" si="193"/>
        <v>100</v>
      </c>
      <c r="Y199" s="408">
        <f t="shared" si="194"/>
        <v>3</v>
      </c>
      <c r="Z199" s="444" t="s">
        <v>3426</v>
      </c>
      <c r="AA199" s="442">
        <v>0</v>
      </c>
      <c r="AB199" s="406">
        <v>0</v>
      </c>
      <c r="AC199" s="406">
        <v>0</v>
      </c>
      <c r="AD199" s="407">
        <f t="shared" si="195"/>
        <v>0</v>
      </c>
      <c r="AE199" s="364" t="str">
        <f t="shared" si="196"/>
        <v>50</v>
      </c>
      <c r="AF199" s="349">
        <f t="shared" si="197"/>
        <v>0.25</v>
      </c>
      <c r="AG199" s="154">
        <v>99</v>
      </c>
      <c r="AH199" s="421"/>
      <c r="AI199" s="409">
        <f t="shared" si="175"/>
        <v>0</v>
      </c>
      <c r="AJ199" s="409">
        <f t="shared" si="176"/>
        <v>25</v>
      </c>
      <c r="AK199" s="408">
        <f t="shared" si="198"/>
        <v>0.25</v>
      </c>
      <c r="AL199" s="423"/>
      <c r="AM199" s="424">
        <v>0</v>
      </c>
      <c r="AN199" s="365">
        <f t="shared" si="199"/>
        <v>25</v>
      </c>
      <c r="AO199" s="320">
        <f t="shared" si="200"/>
        <v>0.25</v>
      </c>
      <c r="AP199" s="277">
        <f>_xlfn.XLOOKUP(C199, '1.건전성'!C:C, '1.건전성'!BE:BE)</f>
        <v>2291135</v>
      </c>
      <c r="AQ199" s="277">
        <f>_xlfn.XLOOKUP(C199, '1.건전성'!C:C, '1.건전성'!BF:BF)</f>
        <v>214230</v>
      </c>
      <c r="AR199" s="410">
        <f t="shared" si="178"/>
        <v>2505365</v>
      </c>
      <c r="AS199" s="366">
        <f t="shared" si="173"/>
        <v>2.3758201063133186</v>
      </c>
      <c r="AT199" s="366">
        <f t="shared" si="179"/>
        <v>26.413934753502502</v>
      </c>
      <c r="AU199" s="321">
        <f t="shared" si="180"/>
        <v>0.26413934753502505</v>
      </c>
      <c r="AV199" s="15">
        <v>356780</v>
      </c>
      <c r="AW199" s="361">
        <f t="shared" si="174"/>
        <v>0.33833197858614045</v>
      </c>
      <c r="AX199" s="361">
        <f t="shared" si="181"/>
        <v>26.805545292319245</v>
      </c>
      <c r="AY199" s="321">
        <f t="shared" si="201"/>
        <v>0.13402772646159622</v>
      </c>
      <c r="AZ199" s="411">
        <v>12</v>
      </c>
      <c r="BA199" s="412">
        <f t="shared" si="182"/>
        <v>100</v>
      </c>
      <c r="BB199" s="408">
        <f t="shared" si="202"/>
        <v>0.5</v>
      </c>
      <c r="BC199" s="204">
        <v>1</v>
      </c>
      <c r="BD199" s="407">
        <f t="shared" si="203"/>
        <v>100</v>
      </c>
      <c r="BE199" s="408">
        <f t="shared" si="204"/>
        <v>0.5</v>
      </c>
      <c r="BF199" s="204">
        <v>0</v>
      </c>
      <c r="BG199" s="204">
        <v>0</v>
      </c>
      <c r="BH199" s="204">
        <v>0</v>
      </c>
      <c r="BI199" s="272" t="str">
        <f t="shared" si="183"/>
        <v>A</v>
      </c>
      <c r="BJ199" s="247">
        <f t="shared" si="184"/>
        <v>100</v>
      </c>
      <c r="BK199" s="90">
        <f t="shared" si="185"/>
        <v>3</v>
      </c>
      <c r="BL199" s="406">
        <v>5</v>
      </c>
      <c r="BM199" s="413">
        <f t="shared" si="186"/>
        <v>5.0505050505050502</v>
      </c>
      <c r="BN199" s="414">
        <f t="shared" si="187"/>
        <v>40</v>
      </c>
      <c r="BO199" s="415">
        <f t="shared" si="188"/>
        <v>1.2</v>
      </c>
      <c r="BP199" s="416">
        <v>0</v>
      </c>
      <c r="BQ199" s="417">
        <f t="shared" si="189"/>
        <v>33.333333333333336</v>
      </c>
      <c r="BR199" s="415">
        <f t="shared" si="190"/>
        <v>0.33333333333333337</v>
      </c>
      <c r="BS199" s="350">
        <f t="shared" si="191"/>
        <v>9.6815004073299544</v>
      </c>
    </row>
    <row r="200" spans="1:71" x14ac:dyDescent="0.6">
      <c r="A200" s="214" t="s">
        <v>792</v>
      </c>
      <c r="B200" s="13" t="s">
        <v>2180</v>
      </c>
      <c r="C200" s="219" t="s">
        <v>518</v>
      </c>
      <c r="D200" s="216" t="s">
        <v>191</v>
      </c>
      <c r="E200" s="217" t="s">
        <v>178</v>
      </c>
      <c r="F200" s="217" t="s">
        <v>280</v>
      </c>
      <c r="G200" s="218">
        <v>42923</v>
      </c>
      <c r="H200" s="217" t="s">
        <v>830</v>
      </c>
      <c r="I200" s="217" t="s">
        <v>702</v>
      </c>
      <c r="J200" s="217" t="s">
        <v>1181</v>
      </c>
      <c r="K200" s="217" t="s">
        <v>91</v>
      </c>
      <c r="L200" s="220">
        <v>1228500766</v>
      </c>
      <c r="M200" s="206">
        <v>276810740</v>
      </c>
      <c r="N200" s="206">
        <v>951690026</v>
      </c>
      <c r="O200" s="206">
        <v>939112572</v>
      </c>
      <c r="P200" s="206">
        <v>140231959</v>
      </c>
      <c r="Q200" s="206">
        <v>140016468</v>
      </c>
      <c r="R200" s="206">
        <v>104657276</v>
      </c>
      <c r="S200" s="405">
        <v>0</v>
      </c>
      <c r="T200" s="405">
        <v>0</v>
      </c>
      <c r="U200" s="406">
        <v>0</v>
      </c>
      <c r="V200" s="406">
        <v>0</v>
      </c>
      <c r="W200" s="407">
        <f t="shared" si="192"/>
        <v>0</v>
      </c>
      <c r="X200" s="407">
        <f t="shared" si="193"/>
        <v>100</v>
      </c>
      <c r="Y200" s="408">
        <f t="shared" si="194"/>
        <v>3</v>
      </c>
      <c r="Z200" s="444" t="s">
        <v>3427</v>
      </c>
      <c r="AA200" s="442">
        <v>0</v>
      </c>
      <c r="AB200" s="406">
        <v>1</v>
      </c>
      <c r="AC200" s="406">
        <v>0</v>
      </c>
      <c r="AD200" s="407">
        <f t="shared" si="195"/>
        <v>1</v>
      </c>
      <c r="AE200" s="364" t="str">
        <f t="shared" si="196"/>
        <v>100</v>
      </c>
      <c r="AF200" s="349">
        <f t="shared" si="197"/>
        <v>0.5</v>
      </c>
      <c r="AG200" s="154">
        <v>1368</v>
      </c>
      <c r="AH200" s="421"/>
      <c r="AI200" s="409">
        <f t="shared" si="175"/>
        <v>0</v>
      </c>
      <c r="AJ200" s="409">
        <f t="shared" si="176"/>
        <v>25</v>
      </c>
      <c r="AK200" s="408">
        <f t="shared" si="198"/>
        <v>0.25</v>
      </c>
      <c r="AL200" s="423"/>
      <c r="AM200" s="424">
        <v>0</v>
      </c>
      <c r="AN200" s="365">
        <f t="shared" si="199"/>
        <v>25</v>
      </c>
      <c r="AO200" s="320">
        <f t="shared" si="200"/>
        <v>0.25</v>
      </c>
      <c r="AP200" s="277">
        <f>_xlfn.XLOOKUP(C200, '1.건전성'!C:C, '1.건전성'!BE:BE)</f>
        <v>60272301</v>
      </c>
      <c r="AQ200" s="277">
        <f>_xlfn.XLOOKUP(C200, '1.건전성'!C:C, '1.건전성'!BF:BF)</f>
        <v>4558866</v>
      </c>
      <c r="AR200" s="410">
        <f t="shared" si="178"/>
        <v>64831167</v>
      </c>
      <c r="AS200" s="366">
        <f t="shared" si="173"/>
        <v>6.9034500157878833</v>
      </c>
      <c r="AT200" s="366">
        <f t="shared" si="179"/>
        <v>29.82672111742805</v>
      </c>
      <c r="AU200" s="321">
        <f t="shared" si="180"/>
        <v>0.29826721117428051</v>
      </c>
      <c r="AV200" s="15">
        <v>11114569</v>
      </c>
      <c r="AW200" s="361">
        <f t="shared" si="174"/>
        <v>1.1835182843234262</v>
      </c>
      <c r="AX200" s="361">
        <f t="shared" si="181"/>
        <v>33.208471850935048</v>
      </c>
      <c r="AY200" s="321">
        <f t="shared" si="201"/>
        <v>0.16604235925467525</v>
      </c>
      <c r="AZ200" s="411">
        <v>11</v>
      </c>
      <c r="BA200" s="412">
        <f t="shared" si="182"/>
        <v>100</v>
      </c>
      <c r="BB200" s="408">
        <f t="shared" si="202"/>
        <v>0.5</v>
      </c>
      <c r="BC200" s="204">
        <v>1</v>
      </c>
      <c r="BD200" s="407">
        <f t="shared" si="203"/>
        <v>100</v>
      </c>
      <c r="BE200" s="408">
        <f t="shared" si="204"/>
        <v>0.5</v>
      </c>
      <c r="BF200" s="204">
        <v>0</v>
      </c>
      <c r="BG200" s="204">
        <v>0</v>
      </c>
      <c r="BH200" s="204">
        <v>0</v>
      </c>
      <c r="BI200" s="272" t="str">
        <f t="shared" si="183"/>
        <v>A</v>
      </c>
      <c r="BJ200" s="247">
        <f t="shared" si="184"/>
        <v>100</v>
      </c>
      <c r="BK200" s="90">
        <f t="shared" si="185"/>
        <v>3</v>
      </c>
      <c r="BL200" s="406">
        <v>16</v>
      </c>
      <c r="BM200" s="413">
        <f t="shared" si="186"/>
        <v>1.1695906432748537</v>
      </c>
      <c r="BN200" s="414">
        <f t="shared" si="187"/>
        <v>60</v>
      </c>
      <c r="BO200" s="415">
        <f t="shared" si="188"/>
        <v>1.7999999999999998</v>
      </c>
      <c r="BP200" s="416">
        <v>0.01</v>
      </c>
      <c r="BQ200" s="417">
        <f t="shared" si="189"/>
        <v>66.666666666666671</v>
      </c>
      <c r="BR200" s="415">
        <f t="shared" si="190"/>
        <v>0.66666666666666674</v>
      </c>
      <c r="BS200" s="350">
        <f t="shared" si="191"/>
        <v>10.930976237095622</v>
      </c>
    </row>
    <row r="201" spans="1:71" x14ac:dyDescent="0.6">
      <c r="A201" s="214" t="s">
        <v>1763</v>
      </c>
      <c r="B201" s="13" t="s">
        <v>2181</v>
      </c>
      <c r="C201" s="219" t="s">
        <v>1764</v>
      </c>
      <c r="D201" s="14" t="s">
        <v>202</v>
      </c>
      <c r="E201" s="217" t="s">
        <v>572</v>
      </c>
      <c r="F201" s="217" t="s">
        <v>1765</v>
      </c>
      <c r="G201" s="218">
        <v>38861</v>
      </c>
      <c r="H201" s="217" t="s">
        <v>830</v>
      </c>
      <c r="I201" s="217" t="s">
        <v>1766</v>
      </c>
      <c r="J201" s="217" t="s">
        <v>1767</v>
      </c>
      <c r="K201" s="217" t="s">
        <v>317</v>
      </c>
      <c r="L201" s="220">
        <v>285172713</v>
      </c>
      <c r="M201" s="206">
        <v>183290683</v>
      </c>
      <c r="N201" s="206">
        <v>101882030</v>
      </c>
      <c r="O201" s="206">
        <v>252909508</v>
      </c>
      <c r="P201" s="206">
        <v>22627714</v>
      </c>
      <c r="Q201" s="206">
        <v>24143944</v>
      </c>
      <c r="R201" s="206">
        <v>20922790</v>
      </c>
      <c r="S201" s="405">
        <v>0</v>
      </c>
      <c r="T201" s="405">
        <v>0</v>
      </c>
      <c r="U201" s="406">
        <v>0</v>
      </c>
      <c r="V201" s="406">
        <v>0</v>
      </c>
      <c r="W201" s="407">
        <f t="shared" si="192"/>
        <v>0</v>
      </c>
      <c r="X201" s="407">
        <f t="shared" si="193"/>
        <v>100</v>
      </c>
      <c r="Y201" s="408">
        <f t="shared" si="194"/>
        <v>3</v>
      </c>
      <c r="Z201" s="444" t="s">
        <v>3428</v>
      </c>
      <c r="AA201" s="442">
        <v>0</v>
      </c>
      <c r="AB201" s="406">
        <v>1</v>
      </c>
      <c r="AC201" s="406">
        <v>0</v>
      </c>
      <c r="AD201" s="407">
        <f t="shared" si="195"/>
        <v>1</v>
      </c>
      <c r="AE201" s="364" t="str">
        <f t="shared" si="196"/>
        <v>100</v>
      </c>
      <c r="AF201" s="349">
        <f t="shared" si="197"/>
        <v>0.5</v>
      </c>
      <c r="AG201" s="154">
        <v>553</v>
      </c>
      <c r="AH201" s="154">
        <v>8768</v>
      </c>
      <c r="AI201" s="409">
        <f t="shared" si="175"/>
        <v>15.855334538878843</v>
      </c>
      <c r="AJ201" s="409">
        <f t="shared" si="176"/>
        <v>36.89150090415913</v>
      </c>
      <c r="AK201" s="408">
        <f t="shared" si="198"/>
        <v>0.3689150090415913</v>
      </c>
      <c r="AL201" s="45">
        <v>5812</v>
      </c>
      <c r="AM201" s="361">
        <f t="shared" si="177"/>
        <v>50.860289057123197</v>
      </c>
      <c r="AN201" s="365">
        <f t="shared" si="199"/>
        <v>34.536304198210601</v>
      </c>
      <c r="AO201" s="320">
        <f t="shared" si="200"/>
        <v>0.34536304198210604</v>
      </c>
      <c r="AP201" s="277">
        <f>_xlfn.XLOOKUP(C201, '1.건전성'!C:C, '1.건전성'!BE:BE)</f>
        <v>13752872</v>
      </c>
      <c r="AQ201" s="277">
        <f>_xlfn.XLOOKUP(C201, '1.건전성'!C:C, '1.건전성'!BF:BF)</f>
        <v>1188012</v>
      </c>
      <c r="AR201" s="410">
        <f t="shared" si="178"/>
        <v>14940884</v>
      </c>
      <c r="AS201" s="366">
        <f t="shared" si="173"/>
        <v>5.9076007533888362</v>
      </c>
      <c r="AT201" s="366">
        <f t="shared" si="179"/>
        <v>29.07608096989108</v>
      </c>
      <c r="AU201" s="321">
        <f t="shared" si="180"/>
        <v>0.29076080969891083</v>
      </c>
      <c r="AV201" s="15">
        <v>2331112</v>
      </c>
      <c r="AW201" s="361">
        <f t="shared" si="174"/>
        <v>0.92171781853294332</v>
      </c>
      <c r="AX201" s="361">
        <f t="shared" si="181"/>
        <v>31.225134988885934</v>
      </c>
      <c r="AY201" s="321">
        <f t="shared" si="201"/>
        <v>0.15612567494442967</v>
      </c>
      <c r="AZ201" s="411">
        <v>7.1</v>
      </c>
      <c r="BA201" s="412">
        <f t="shared" si="182"/>
        <v>60</v>
      </c>
      <c r="BB201" s="408">
        <f t="shared" si="202"/>
        <v>0.3</v>
      </c>
      <c r="BC201" s="204">
        <v>0</v>
      </c>
      <c r="BD201" s="407">
        <f t="shared" si="203"/>
        <v>50</v>
      </c>
      <c r="BE201" s="408">
        <f t="shared" si="204"/>
        <v>0.25</v>
      </c>
      <c r="BF201" s="204">
        <v>0</v>
      </c>
      <c r="BG201" s="204">
        <v>0</v>
      </c>
      <c r="BH201" s="204">
        <v>0</v>
      </c>
      <c r="BI201" s="272" t="str">
        <f t="shared" si="183"/>
        <v>A</v>
      </c>
      <c r="BJ201" s="247">
        <f t="shared" si="184"/>
        <v>100</v>
      </c>
      <c r="BK201" s="90">
        <f t="shared" si="185"/>
        <v>3</v>
      </c>
      <c r="BL201" s="406">
        <v>0</v>
      </c>
      <c r="BM201" s="413">
        <f t="shared" si="186"/>
        <v>0</v>
      </c>
      <c r="BN201" s="414">
        <f t="shared" si="187"/>
        <v>100</v>
      </c>
      <c r="BO201" s="415">
        <f t="shared" si="188"/>
        <v>3</v>
      </c>
      <c r="BP201" s="416">
        <v>0</v>
      </c>
      <c r="BQ201" s="417">
        <f t="shared" si="189"/>
        <v>33.333333333333336</v>
      </c>
      <c r="BR201" s="415">
        <f t="shared" si="190"/>
        <v>0.33333333333333337</v>
      </c>
      <c r="BS201" s="350">
        <f t="shared" si="191"/>
        <v>11.544497869000372</v>
      </c>
    </row>
    <row r="202" spans="1:71" x14ac:dyDescent="0.6">
      <c r="A202" s="214" t="s">
        <v>1768</v>
      </c>
      <c r="B202" s="13" t="s">
        <v>2182</v>
      </c>
      <c r="C202" s="219" t="s">
        <v>1769</v>
      </c>
      <c r="D202" s="14" t="s">
        <v>285</v>
      </c>
      <c r="E202" s="217" t="s">
        <v>1770</v>
      </c>
      <c r="F202" s="217" t="s">
        <v>1771</v>
      </c>
      <c r="G202" s="218">
        <v>39233</v>
      </c>
      <c r="H202" s="217" t="s">
        <v>830</v>
      </c>
      <c r="I202" s="217" t="s">
        <v>1772</v>
      </c>
      <c r="J202" s="217" t="s">
        <v>1773</v>
      </c>
      <c r="K202" s="217" t="s">
        <v>690</v>
      </c>
      <c r="L202" s="220">
        <v>675351513</v>
      </c>
      <c r="M202" s="206">
        <v>277354565</v>
      </c>
      <c r="N202" s="206">
        <v>397996948</v>
      </c>
      <c r="O202" s="206">
        <v>731149922</v>
      </c>
      <c r="P202" s="206">
        <v>30772712</v>
      </c>
      <c r="Q202" s="206">
        <v>12835237</v>
      </c>
      <c r="R202" s="206">
        <v>6907900</v>
      </c>
      <c r="S202" s="405">
        <v>0</v>
      </c>
      <c r="T202" s="405">
        <v>0</v>
      </c>
      <c r="U202" s="406">
        <v>0</v>
      </c>
      <c r="V202" s="406">
        <v>0</v>
      </c>
      <c r="W202" s="407">
        <f t="shared" si="192"/>
        <v>0</v>
      </c>
      <c r="X202" s="407">
        <f t="shared" si="193"/>
        <v>100</v>
      </c>
      <c r="Y202" s="408">
        <f t="shared" si="194"/>
        <v>3</v>
      </c>
      <c r="Z202" s="444" t="s">
        <v>3429</v>
      </c>
      <c r="AA202" s="442">
        <v>0</v>
      </c>
      <c r="AB202" s="406">
        <v>0</v>
      </c>
      <c r="AC202" s="406">
        <v>0</v>
      </c>
      <c r="AD202" s="407">
        <f t="shared" si="195"/>
        <v>0</v>
      </c>
      <c r="AE202" s="364" t="str">
        <f t="shared" si="196"/>
        <v>50</v>
      </c>
      <c r="AF202" s="349">
        <f t="shared" si="197"/>
        <v>0.25</v>
      </c>
      <c r="AG202" s="154">
        <v>2106</v>
      </c>
      <c r="AH202" s="154">
        <v>11206978</v>
      </c>
      <c r="AI202" s="409">
        <f t="shared" si="175"/>
        <v>5321.4520417853755</v>
      </c>
      <c r="AJ202" s="409">
        <f t="shared" si="176"/>
        <v>100</v>
      </c>
      <c r="AK202" s="408">
        <f t="shared" si="198"/>
        <v>1</v>
      </c>
      <c r="AL202" s="45">
        <v>8494024</v>
      </c>
      <c r="AM202" s="361">
        <f t="shared" si="177"/>
        <v>31.939561272725385</v>
      </c>
      <c r="AN202" s="365">
        <f t="shared" si="199"/>
        <v>30.988667738636011</v>
      </c>
      <c r="AO202" s="320">
        <f t="shared" si="200"/>
        <v>0.30988667738636011</v>
      </c>
      <c r="AP202" s="277">
        <f>_xlfn.XLOOKUP(C202, '1.건전성'!C:C, '1.건전성'!BE:BE)</f>
        <v>75651644</v>
      </c>
      <c r="AQ202" s="277">
        <f>_xlfn.XLOOKUP(C202, '1.건전성'!C:C, '1.건전성'!BF:BF)</f>
        <v>6588206</v>
      </c>
      <c r="AR202" s="410">
        <f t="shared" si="178"/>
        <v>82239850</v>
      </c>
      <c r="AS202" s="366">
        <f t="shared" si="173"/>
        <v>11.248014603494685</v>
      </c>
      <c r="AT202" s="366">
        <f t="shared" si="179"/>
        <v>33.101518545347751</v>
      </c>
      <c r="AU202" s="321">
        <f t="shared" si="180"/>
        <v>0.33101518545347752</v>
      </c>
      <c r="AV202" s="15">
        <v>12307084</v>
      </c>
      <c r="AW202" s="361">
        <f t="shared" si="174"/>
        <v>1.6832504018238821</v>
      </c>
      <c r="AX202" s="361">
        <f t="shared" si="181"/>
        <v>36.994321225938499</v>
      </c>
      <c r="AY202" s="321">
        <f t="shared" si="201"/>
        <v>0.18497160612969249</v>
      </c>
      <c r="AZ202" s="411">
        <v>5.9</v>
      </c>
      <c r="BA202" s="412">
        <f t="shared" si="182"/>
        <v>40</v>
      </c>
      <c r="BB202" s="408">
        <f t="shared" si="202"/>
        <v>0.2</v>
      </c>
      <c r="BC202" s="204">
        <v>1</v>
      </c>
      <c r="BD202" s="407">
        <f t="shared" si="203"/>
        <v>100</v>
      </c>
      <c r="BE202" s="408">
        <f t="shared" si="204"/>
        <v>0.5</v>
      </c>
      <c r="BF202" s="204">
        <v>0</v>
      </c>
      <c r="BG202" s="204">
        <v>0</v>
      </c>
      <c r="BH202" s="204">
        <v>0</v>
      </c>
      <c r="BI202" s="272" t="str">
        <f t="shared" si="183"/>
        <v>A</v>
      </c>
      <c r="BJ202" s="247">
        <f t="shared" si="184"/>
        <v>100</v>
      </c>
      <c r="BK202" s="90">
        <f t="shared" si="185"/>
        <v>3</v>
      </c>
      <c r="BL202" s="406">
        <v>490</v>
      </c>
      <c r="BM202" s="413">
        <f t="shared" si="186"/>
        <v>23.266856600189932</v>
      </c>
      <c r="BN202" s="414">
        <f t="shared" si="187"/>
        <v>20</v>
      </c>
      <c r="BO202" s="415">
        <f t="shared" si="188"/>
        <v>0.6</v>
      </c>
      <c r="BP202" s="416">
        <v>0.14000000000000001</v>
      </c>
      <c r="BQ202" s="417">
        <f t="shared" si="189"/>
        <v>66.666666666666671</v>
      </c>
      <c r="BR202" s="415">
        <f t="shared" si="190"/>
        <v>0.66666666666666674</v>
      </c>
      <c r="BS202" s="350">
        <f t="shared" si="191"/>
        <v>10.042540135636195</v>
      </c>
    </row>
    <row r="203" spans="1:71" x14ac:dyDescent="0.6">
      <c r="A203" s="214" t="s">
        <v>326</v>
      </c>
      <c r="B203" s="13" t="s">
        <v>2183</v>
      </c>
      <c r="C203" s="219" t="s">
        <v>76</v>
      </c>
      <c r="D203" s="216" t="s">
        <v>191</v>
      </c>
      <c r="E203" s="217" t="s">
        <v>34</v>
      </c>
      <c r="F203" s="217" t="s">
        <v>126</v>
      </c>
      <c r="G203" s="218">
        <v>39378</v>
      </c>
      <c r="H203" s="217" t="s">
        <v>830</v>
      </c>
      <c r="I203" s="217" t="s">
        <v>706</v>
      </c>
      <c r="J203" s="217" t="s">
        <v>1097</v>
      </c>
      <c r="K203" s="217" t="s">
        <v>855</v>
      </c>
      <c r="L203" s="220">
        <v>417890867</v>
      </c>
      <c r="M203" s="206">
        <v>80034380</v>
      </c>
      <c r="N203" s="206">
        <v>337856486</v>
      </c>
      <c r="O203" s="206">
        <v>262522023</v>
      </c>
      <c r="P203" s="206">
        <v>48213162</v>
      </c>
      <c r="Q203" s="206">
        <v>53424815</v>
      </c>
      <c r="R203" s="206">
        <v>45275094</v>
      </c>
      <c r="S203" s="405">
        <v>0</v>
      </c>
      <c r="T203" s="405">
        <v>0</v>
      </c>
      <c r="U203" s="406">
        <v>0</v>
      </c>
      <c r="V203" s="406">
        <v>0</v>
      </c>
      <c r="W203" s="407">
        <f t="shared" si="192"/>
        <v>0</v>
      </c>
      <c r="X203" s="407">
        <f t="shared" si="193"/>
        <v>100</v>
      </c>
      <c r="Y203" s="408">
        <f t="shared" si="194"/>
        <v>3</v>
      </c>
      <c r="Z203" s="444" t="s">
        <v>3430</v>
      </c>
      <c r="AA203" s="442">
        <v>0</v>
      </c>
      <c r="AB203" s="406">
        <v>0</v>
      </c>
      <c r="AC203" s="406">
        <v>0</v>
      </c>
      <c r="AD203" s="407">
        <f t="shared" si="195"/>
        <v>0</v>
      </c>
      <c r="AE203" s="364" t="str">
        <f t="shared" si="196"/>
        <v>50</v>
      </c>
      <c r="AF203" s="349">
        <f t="shared" si="197"/>
        <v>0.25</v>
      </c>
      <c r="AG203" s="154">
        <v>885</v>
      </c>
      <c r="AH203" s="420">
        <v>2172242</v>
      </c>
      <c r="AI203" s="409">
        <f t="shared" si="175"/>
        <v>2454.510734463277</v>
      </c>
      <c r="AJ203" s="409">
        <f t="shared" si="176"/>
        <v>100</v>
      </c>
      <c r="AK203" s="408">
        <f t="shared" si="198"/>
        <v>1</v>
      </c>
      <c r="AL203" s="45">
        <v>2602597</v>
      </c>
      <c r="AM203" s="361">
        <f t="shared" si="177"/>
        <v>-16.535598865287248</v>
      </c>
      <c r="AN203" s="365">
        <f t="shared" si="199"/>
        <v>25</v>
      </c>
      <c r="AO203" s="320">
        <f t="shared" si="200"/>
        <v>0.25</v>
      </c>
      <c r="AP203" s="277">
        <f>_xlfn.XLOOKUP(C203, '1.건전성'!C:C, '1.건전성'!BE:BE)</f>
        <v>33646702</v>
      </c>
      <c r="AQ203" s="277">
        <f>_xlfn.XLOOKUP(C203, '1.건전성'!C:C, '1.건전성'!BF:BF)</f>
        <v>3056475</v>
      </c>
      <c r="AR203" s="410">
        <f t="shared" si="178"/>
        <v>36703177</v>
      </c>
      <c r="AS203" s="366">
        <f t="shared" si="173"/>
        <v>13.980989701576391</v>
      </c>
      <c r="AT203" s="366">
        <f t="shared" si="179"/>
        <v>35.161550026313861</v>
      </c>
      <c r="AU203" s="321">
        <f t="shared" si="180"/>
        <v>0.35161550026313865</v>
      </c>
      <c r="AV203" s="15">
        <v>6071323</v>
      </c>
      <c r="AW203" s="361">
        <f t="shared" si="174"/>
        <v>2.3126909242200986</v>
      </c>
      <c r="AX203" s="361">
        <f t="shared" si="181"/>
        <v>41.762810031970446</v>
      </c>
      <c r="AY203" s="321">
        <f t="shared" si="201"/>
        <v>0.20881405015985224</v>
      </c>
      <c r="AZ203" s="411">
        <v>6.2</v>
      </c>
      <c r="BA203" s="412">
        <f t="shared" si="182"/>
        <v>60</v>
      </c>
      <c r="BB203" s="408">
        <f t="shared" si="202"/>
        <v>0.3</v>
      </c>
      <c r="BC203" s="204">
        <v>1</v>
      </c>
      <c r="BD203" s="407">
        <f t="shared" si="203"/>
        <v>100</v>
      </c>
      <c r="BE203" s="408">
        <f t="shared" si="204"/>
        <v>0.5</v>
      </c>
      <c r="BF203" s="204">
        <v>0</v>
      </c>
      <c r="BG203" s="204">
        <v>0</v>
      </c>
      <c r="BH203" s="204">
        <v>0</v>
      </c>
      <c r="BI203" s="272" t="str">
        <f t="shared" si="183"/>
        <v>A</v>
      </c>
      <c r="BJ203" s="247">
        <f t="shared" si="184"/>
        <v>100</v>
      </c>
      <c r="BK203" s="90">
        <f t="shared" si="185"/>
        <v>3</v>
      </c>
      <c r="BL203" s="406">
        <v>0</v>
      </c>
      <c r="BM203" s="413">
        <f t="shared" si="186"/>
        <v>0</v>
      </c>
      <c r="BN203" s="414">
        <f t="shared" si="187"/>
        <v>100</v>
      </c>
      <c r="BO203" s="415">
        <f t="shared" si="188"/>
        <v>3</v>
      </c>
      <c r="BP203" s="416">
        <v>0</v>
      </c>
      <c r="BQ203" s="417">
        <f t="shared" si="189"/>
        <v>33.333333333333336</v>
      </c>
      <c r="BR203" s="415">
        <f t="shared" si="190"/>
        <v>0.33333333333333337</v>
      </c>
      <c r="BS203" s="350">
        <f t="shared" si="191"/>
        <v>12.193762883756325</v>
      </c>
    </row>
    <row r="204" spans="1:71" x14ac:dyDescent="0.6">
      <c r="A204" s="214" t="s">
        <v>824</v>
      </c>
      <c r="B204" s="13" t="s">
        <v>2184</v>
      </c>
      <c r="C204" s="219" t="s">
        <v>944</v>
      </c>
      <c r="D204" s="216" t="s">
        <v>203</v>
      </c>
      <c r="E204" s="217" t="s">
        <v>180</v>
      </c>
      <c r="F204" s="217" t="s">
        <v>121</v>
      </c>
      <c r="G204" s="218">
        <v>38324</v>
      </c>
      <c r="H204" s="217" t="s">
        <v>830</v>
      </c>
      <c r="I204" s="217" t="s">
        <v>1774</v>
      </c>
      <c r="J204" s="217" t="s">
        <v>1083</v>
      </c>
      <c r="K204" s="217" t="s">
        <v>91</v>
      </c>
      <c r="L204" s="220">
        <v>1081099768</v>
      </c>
      <c r="M204" s="206">
        <v>439582782</v>
      </c>
      <c r="N204" s="206">
        <v>641516987</v>
      </c>
      <c r="O204" s="206">
        <v>792569992</v>
      </c>
      <c r="P204" s="206">
        <v>95951025</v>
      </c>
      <c r="Q204" s="206">
        <v>117596454</v>
      </c>
      <c r="R204" s="206">
        <v>117383163</v>
      </c>
      <c r="S204" s="405">
        <v>0</v>
      </c>
      <c r="T204" s="405">
        <v>0</v>
      </c>
      <c r="U204" s="406">
        <v>0</v>
      </c>
      <c r="V204" s="406">
        <v>0</v>
      </c>
      <c r="W204" s="407">
        <f t="shared" si="192"/>
        <v>0</v>
      </c>
      <c r="X204" s="407">
        <f t="shared" si="193"/>
        <v>100</v>
      </c>
      <c r="Y204" s="408">
        <f t="shared" si="194"/>
        <v>3</v>
      </c>
      <c r="Z204" s="444" t="s">
        <v>3431</v>
      </c>
      <c r="AA204" s="442">
        <v>0</v>
      </c>
      <c r="AB204" s="406">
        <v>1</v>
      </c>
      <c r="AC204" s="406">
        <v>0</v>
      </c>
      <c r="AD204" s="407">
        <f t="shared" si="195"/>
        <v>1</v>
      </c>
      <c r="AE204" s="364" t="str">
        <f t="shared" si="196"/>
        <v>100</v>
      </c>
      <c r="AF204" s="349">
        <f t="shared" si="197"/>
        <v>0.5</v>
      </c>
      <c r="AG204" s="154">
        <v>232</v>
      </c>
      <c r="AH204" s="154">
        <v>71644</v>
      </c>
      <c r="AI204" s="409">
        <f t="shared" si="175"/>
        <v>308.81034482758622</v>
      </c>
      <c r="AJ204" s="409">
        <f t="shared" si="176"/>
        <v>100</v>
      </c>
      <c r="AK204" s="408">
        <f t="shared" si="198"/>
        <v>1</v>
      </c>
      <c r="AL204" s="45">
        <v>143265</v>
      </c>
      <c r="AM204" s="361">
        <f t="shared" si="177"/>
        <v>-49.99197291732105</v>
      </c>
      <c r="AN204" s="365">
        <f t="shared" si="199"/>
        <v>25</v>
      </c>
      <c r="AO204" s="320">
        <f t="shared" si="200"/>
        <v>0.25</v>
      </c>
      <c r="AP204" s="277">
        <f>_xlfn.XLOOKUP(C204, '1.건전성'!C:C, '1.건전성'!BE:BE)</f>
        <v>14483858</v>
      </c>
      <c r="AQ204" s="277">
        <f>_xlfn.XLOOKUP(C204, '1.건전성'!C:C, '1.건전성'!BF:BF)</f>
        <v>4730072</v>
      </c>
      <c r="AR204" s="410">
        <f t="shared" si="178"/>
        <v>19213930</v>
      </c>
      <c r="AS204" s="366">
        <f t="shared" si="173"/>
        <v>2.4242565570158505</v>
      </c>
      <c r="AT204" s="366">
        <f t="shared" si="179"/>
        <v>26.450444640966722</v>
      </c>
      <c r="AU204" s="321">
        <f t="shared" si="180"/>
        <v>0.26450444640966725</v>
      </c>
      <c r="AV204" s="15">
        <v>1080926</v>
      </c>
      <c r="AW204" s="361">
        <f t="shared" si="174"/>
        <v>0.13638240293104612</v>
      </c>
      <c r="AX204" s="361">
        <f t="shared" si="181"/>
        <v>25.275624264629137</v>
      </c>
      <c r="AY204" s="321">
        <f t="shared" si="201"/>
        <v>0.12637812132314569</v>
      </c>
      <c r="AZ204" s="411">
        <v>15.2</v>
      </c>
      <c r="BA204" s="412">
        <f t="shared" si="182"/>
        <v>100</v>
      </c>
      <c r="BB204" s="408">
        <f t="shared" si="202"/>
        <v>0.5</v>
      </c>
      <c r="BC204" s="204">
        <v>1</v>
      </c>
      <c r="BD204" s="407">
        <f t="shared" si="203"/>
        <v>100</v>
      </c>
      <c r="BE204" s="408">
        <f t="shared" si="204"/>
        <v>0.5</v>
      </c>
      <c r="BF204" s="204">
        <v>0</v>
      </c>
      <c r="BG204" s="204">
        <v>0</v>
      </c>
      <c r="BH204" s="204">
        <v>0</v>
      </c>
      <c r="BI204" s="272" t="str">
        <f t="shared" si="183"/>
        <v>A</v>
      </c>
      <c r="BJ204" s="247">
        <f t="shared" si="184"/>
        <v>100</v>
      </c>
      <c r="BK204" s="90">
        <f t="shared" si="185"/>
        <v>3</v>
      </c>
      <c r="BL204" s="406">
        <v>6</v>
      </c>
      <c r="BM204" s="413">
        <f t="shared" si="186"/>
        <v>2.5862068965517242</v>
      </c>
      <c r="BN204" s="414">
        <f t="shared" si="187"/>
        <v>60</v>
      </c>
      <c r="BO204" s="415">
        <f t="shared" si="188"/>
        <v>1.7999999999999998</v>
      </c>
      <c r="BP204" s="416">
        <v>0.03</v>
      </c>
      <c r="BQ204" s="417">
        <f t="shared" si="189"/>
        <v>66.666666666666671</v>
      </c>
      <c r="BR204" s="415">
        <f t="shared" si="190"/>
        <v>0.66666666666666674</v>
      </c>
      <c r="BS204" s="350">
        <f t="shared" si="191"/>
        <v>11.60754923439948</v>
      </c>
    </row>
    <row r="205" spans="1:71" x14ac:dyDescent="0.6">
      <c r="A205" s="214" t="s">
        <v>1775</v>
      </c>
      <c r="B205" s="13" t="s">
        <v>2185</v>
      </c>
      <c r="C205" s="219" t="s">
        <v>355</v>
      </c>
      <c r="D205" s="216" t="s">
        <v>191</v>
      </c>
      <c r="E205" s="217" t="s">
        <v>977</v>
      </c>
      <c r="F205" s="217" t="s">
        <v>962</v>
      </c>
      <c r="G205" s="218">
        <v>32856</v>
      </c>
      <c r="H205" s="217" t="s">
        <v>830</v>
      </c>
      <c r="I205" s="217" t="s">
        <v>803</v>
      </c>
      <c r="J205" s="217" t="s">
        <v>1108</v>
      </c>
      <c r="K205" s="217" t="s">
        <v>690</v>
      </c>
      <c r="L205" s="220">
        <v>219850861</v>
      </c>
      <c r="M205" s="206">
        <v>106769427</v>
      </c>
      <c r="N205" s="206">
        <v>113081434</v>
      </c>
      <c r="O205" s="206">
        <v>103067188</v>
      </c>
      <c r="P205" s="206">
        <v>4420274</v>
      </c>
      <c r="Q205" s="206">
        <v>926544</v>
      </c>
      <c r="R205" s="206">
        <v>3447674</v>
      </c>
      <c r="S205" s="405">
        <v>0</v>
      </c>
      <c r="T205" s="405">
        <v>0</v>
      </c>
      <c r="U205" s="406">
        <v>0</v>
      </c>
      <c r="V205" s="406">
        <v>0</v>
      </c>
      <c r="W205" s="407">
        <f t="shared" si="192"/>
        <v>0</v>
      </c>
      <c r="X205" s="407">
        <f t="shared" si="193"/>
        <v>100</v>
      </c>
      <c r="Y205" s="408">
        <f t="shared" si="194"/>
        <v>3</v>
      </c>
      <c r="Z205" s="444" t="s">
        <v>3432</v>
      </c>
      <c r="AA205" s="442">
        <v>0</v>
      </c>
      <c r="AB205" s="406">
        <v>0</v>
      </c>
      <c r="AC205" s="406">
        <v>0</v>
      </c>
      <c r="AD205" s="407">
        <f t="shared" si="195"/>
        <v>0</v>
      </c>
      <c r="AE205" s="364" t="str">
        <f t="shared" si="196"/>
        <v>50</v>
      </c>
      <c r="AF205" s="349">
        <f t="shared" si="197"/>
        <v>0.25</v>
      </c>
      <c r="AG205" s="154">
        <v>292</v>
      </c>
      <c r="AH205" s="154">
        <v>6319</v>
      </c>
      <c r="AI205" s="409">
        <f t="shared" si="175"/>
        <v>21.640410958904109</v>
      </c>
      <c r="AJ205" s="409">
        <f t="shared" si="176"/>
        <v>41.230308219178085</v>
      </c>
      <c r="AK205" s="408">
        <f t="shared" si="198"/>
        <v>0.41230308219178086</v>
      </c>
      <c r="AL205" s="45">
        <v>68</v>
      </c>
      <c r="AM205" s="361">
        <f t="shared" si="177"/>
        <v>9192.6470588235297</v>
      </c>
      <c r="AN205" s="365">
        <f t="shared" si="199"/>
        <v>100</v>
      </c>
      <c r="AO205" s="320">
        <f t="shared" si="200"/>
        <v>1</v>
      </c>
      <c r="AP205" s="277">
        <f>_xlfn.XLOOKUP(C205, '1.건전성'!C:C, '1.건전성'!BE:BE)</f>
        <v>2142014</v>
      </c>
      <c r="AQ205" s="277">
        <f>_xlfn.XLOOKUP(C205, '1.건전성'!C:C, '1.건전성'!BF:BF)</f>
        <v>203665</v>
      </c>
      <c r="AR205" s="410">
        <f t="shared" si="178"/>
        <v>2345679</v>
      </c>
      <c r="AS205" s="366">
        <f t="shared" si="173"/>
        <v>2.2758736757230635</v>
      </c>
      <c r="AT205" s="366">
        <f t="shared" si="179"/>
        <v>26.338598248032461</v>
      </c>
      <c r="AU205" s="321">
        <f t="shared" si="180"/>
        <v>0.26338598248032463</v>
      </c>
      <c r="AV205" s="15">
        <v>436426</v>
      </c>
      <c r="AW205" s="361">
        <f t="shared" si="174"/>
        <v>0.42343834974909766</v>
      </c>
      <c r="AX205" s="361">
        <f t="shared" si="181"/>
        <v>27.450290528402256</v>
      </c>
      <c r="AY205" s="321">
        <f t="shared" si="201"/>
        <v>0.13725145264201127</v>
      </c>
      <c r="AZ205" s="411">
        <v>3.9</v>
      </c>
      <c r="BA205" s="412">
        <f t="shared" si="182"/>
        <v>20</v>
      </c>
      <c r="BB205" s="408">
        <f t="shared" si="202"/>
        <v>0.1</v>
      </c>
      <c r="BC205" s="204">
        <v>1</v>
      </c>
      <c r="BD205" s="407">
        <f t="shared" si="203"/>
        <v>100</v>
      </c>
      <c r="BE205" s="408">
        <f t="shared" si="204"/>
        <v>0.5</v>
      </c>
      <c r="BF205" s="204">
        <v>0</v>
      </c>
      <c r="BG205" s="204">
        <v>0</v>
      </c>
      <c r="BH205" s="204">
        <v>0</v>
      </c>
      <c r="BI205" s="272" t="str">
        <f t="shared" si="183"/>
        <v>A</v>
      </c>
      <c r="BJ205" s="247">
        <f t="shared" si="184"/>
        <v>100</v>
      </c>
      <c r="BK205" s="90">
        <f t="shared" si="185"/>
        <v>3</v>
      </c>
      <c r="BL205" s="406">
        <v>0</v>
      </c>
      <c r="BM205" s="413">
        <f t="shared" si="186"/>
        <v>0</v>
      </c>
      <c r="BN205" s="414">
        <f t="shared" si="187"/>
        <v>100</v>
      </c>
      <c r="BO205" s="415">
        <f t="shared" si="188"/>
        <v>3</v>
      </c>
      <c r="BP205" s="416">
        <v>0</v>
      </c>
      <c r="BQ205" s="417">
        <f t="shared" si="189"/>
        <v>33.333333333333336</v>
      </c>
      <c r="BR205" s="415">
        <f t="shared" si="190"/>
        <v>0.33333333333333337</v>
      </c>
      <c r="BS205" s="350">
        <f t="shared" si="191"/>
        <v>11.99627385064745</v>
      </c>
    </row>
    <row r="206" spans="1:71" x14ac:dyDescent="0.6">
      <c r="A206" s="214" t="s">
        <v>871</v>
      </c>
      <c r="B206" s="13" t="s">
        <v>2186</v>
      </c>
      <c r="C206" s="219" t="s">
        <v>20</v>
      </c>
      <c r="D206" s="216" t="s">
        <v>285</v>
      </c>
      <c r="E206" s="217" t="s">
        <v>999</v>
      </c>
      <c r="F206" s="217" t="s">
        <v>1007</v>
      </c>
      <c r="G206" s="218">
        <v>38204</v>
      </c>
      <c r="H206" s="217" t="s">
        <v>830</v>
      </c>
      <c r="I206" s="217" t="s">
        <v>331</v>
      </c>
      <c r="J206" s="217" t="s">
        <v>1212</v>
      </c>
      <c r="K206" s="217" t="s">
        <v>690</v>
      </c>
      <c r="L206" s="220">
        <v>475552210</v>
      </c>
      <c r="M206" s="206">
        <v>243500167</v>
      </c>
      <c r="N206" s="206">
        <v>232052043</v>
      </c>
      <c r="O206" s="206">
        <v>729811429</v>
      </c>
      <c r="P206" s="206">
        <v>47569618</v>
      </c>
      <c r="Q206" s="206">
        <v>37906414</v>
      </c>
      <c r="R206" s="206">
        <v>29707608</v>
      </c>
      <c r="S206" s="405">
        <v>0</v>
      </c>
      <c r="T206" s="405">
        <v>0</v>
      </c>
      <c r="U206" s="406">
        <v>0</v>
      </c>
      <c r="V206" s="406">
        <v>0</v>
      </c>
      <c r="W206" s="407">
        <f t="shared" si="192"/>
        <v>0</v>
      </c>
      <c r="X206" s="407">
        <f t="shared" si="193"/>
        <v>100</v>
      </c>
      <c r="Y206" s="408">
        <f t="shared" si="194"/>
        <v>3</v>
      </c>
      <c r="Z206" s="444" t="s">
        <v>3433</v>
      </c>
      <c r="AA206" s="442">
        <v>0</v>
      </c>
      <c r="AB206" s="406">
        <v>0</v>
      </c>
      <c r="AC206" s="406">
        <v>0</v>
      </c>
      <c r="AD206" s="407">
        <f t="shared" si="195"/>
        <v>0</v>
      </c>
      <c r="AE206" s="364" t="str">
        <f t="shared" si="196"/>
        <v>50</v>
      </c>
      <c r="AF206" s="349">
        <f t="shared" si="197"/>
        <v>0.25</v>
      </c>
      <c r="AG206" s="154">
        <v>212</v>
      </c>
      <c r="AH206" s="421"/>
      <c r="AI206" s="409">
        <f t="shared" si="175"/>
        <v>0</v>
      </c>
      <c r="AJ206" s="409">
        <f t="shared" si="176"/>
        <v>25</v>
      </c>
      <c r="AK206" s="408">
        <f t="shared" si="198"/>
        <v>0.25</v>
      </c>
      <c r="AL206" s="423"/>
      <c r="AM206" s="424">
        <v>0</v>
      </c>
      <c r="AN206" s="365">
        <f t="shared" si="199"/>
        <v>25</v>
      </c>
      <c r="AO206" s="320">
        <f t="shared" si="200"/>
        <v>0.25</v>
      </c>
      <c r="AP206" s="277">
        <f>_xlfn.XLOOKUP(C206, '1.건전성'!C:C, '1.건전성'!BE:BE)</f>
        <v>16548928</v>
      </c>
      <c r="AQ206" s="277">
        <f>_xlfn.XLOOKUP(C206, '1.건전성'!C:C, '1.건전성'!BF:BF)</f>
        <v>847503</v>
      </c>
      <c r="AR206" s="410">
        <f t="shared" si="178"/>
        <v>17396431</v>
      </c>
      <c r="AS206" s="366">
        <f t="shared" si="173"/>
        <v>2.3836884856457901</v>
      </c>
      <c r="AT206" s="366">
        <f t="shared" si="179"/>
        <v>26.419865692697833</v>
      </c>
      <c r="AU206" s="321">
        <f t="shared" si="180"/>
        <v>0.26419865692697836</v>
      </c>
      <c r="AV206" s="15">
        <v>1611110</v>
      </c>
      <c r="AW206" s="361">
        <f t="shared" si="174"/>
        <v>0.22075702516848364</v>
      </c>
      <c r="AX206" s="361">
        <f t="shared" si="181"/>
        <v>25.914825948246087</v>
      </c>
      <c r="AY206" s="321">
        <f t="shared" si="201"/>
        <v>0.12957412974123045</v>
      </c>
      <c r="AZ206" s="411">
        <v>5.1100000000000003</v>
      </c>
      <c r="BA206" s="412">
        <f t="shared" si="182"/>
        <v>40</v>
      </c>
      <c r="BB206" s="408">
        <f t="shared" si="202"/>
        <v>0.2</v>
      </c>
      <c r="BC206" s="204">
        <v>1</v>
      </c>
      <c r="BD206" s="407">
        <f t="shared" si="203"/>
        <v>100</v>
      </c>
      <c r="BE206" s="408">
        <f t="shared" si="204"/>
        <v>0.5</v>
      </c>
      <c r="BF206" s="204">
        <v>0</v>
      </c>
      <c r="BG206" s="204">
        <v>0</v>
      </c>
      <c r="BH206" s="204">
        <v>0</v>
      </c>
      <c r="BI206" s="272" t="str">
        <f t="shared" si="183"/>
        <v>A</v>
      </c>
      <c r="BJ206" s="247">
        <f t="shared" si="184"/>
        <v>100</v>
      </c>
      <c r="BK206" s="90">
        <f t="shared" si="185"/>
        <v>3</v>
      </c>
      <c r="BL206" s="406">
        <v>0</v>
      </c>
      <c r="BM206" s="413">
        <f t="shared" si="186"/>
        <v>0</v>
      </c>
      <c r="BN206" s="414">
        <f t="shared" si="187"/>
        <v>100</v>
      </c>
      <c r="BO206" s="415">
        <f t="shared" si="188"/>
        <v>3</v>
      </c>
      <c r="BP206" s="416">
        <v>0</v>
      </c>
      <c r="BQ206" s="417">
        <f t="shared" si="189"/>
        <v>33.333333333333336</v>
      </c>
      <c r="BR206" s="415">
        <f t="shared" si="190"/>
        <v>0.33333333333333337</v>
      </c>
      <c r="BS206" s="350">
        <f t="shared" si="191"/>
        <v>11.177106120001541</v>
      </c>
    </row>
    <row r="207" spans="1:71" x14ac:dyDescent="0.6">
      <c r="A207" s="214" t="s">
        <v>560</v>
      </c>
      <c r="B207" s="13" t="s">
        <v>2187</v>
      </c>
      <c r="C207" s="219" t="s">
        <v>11</v>
      </c>
      <c r="D207" s="221" t="s">
        <v>350</v>
      </c>
      <c r="E207" s="217" t="s">
        <v>179</v>
      </c>
      <c r="F207" s="217" t="s">
        <v>992</v>
      </c>
      <c r="G207" s="218">
        <v>32163</v>
      </c>
      <c r="H207" s="217" t="s">
        <v>830</v>
      </c>
      <c r="I207" s="217" t="s">
        <v>786</v>
      </c>
      <c r="J207" s="217" t="s">
        <v>1211</v>
      </c>
      <c r="K207" s="217" t="s">
        <v>91</v>
      </c>
      <c r="L207" s="220">
        <v>12900025445</v>
      </c>
      <c r="M207" s="206">
        <v>11393545083</v>
      </c>
      <c r="N207" s="206">
        <v>1506480362</v>
      </c>
      <c r="O207" s="206">
        <v>2449590915</v>
      </c>
      <c r="P207" s="206">
        <v>49619816</v>
      </c>
      <c r="Q207" s="206">
        <v>61425265</v>
      </c>
      <c r="R207" s="206">
        <v>38657881</v>
      </c>
      <c r="S207" s="275" t="s">
        <v>2326</v>
      </c>
      <c r="T207" s="275" t="s">
        <v>2326</v>
      </c>
      <c r="U207" s="275" t="s">
        <v>2326</v>
      </c>
      <c r="V207" s="275" t="s">
        <v>2326</v>
      </c>
      <c r="W207" s="275" t="s">
        <v>2326</v>
      </c>
      <c r="X207" s="275" t="s">
        <v>2326</v>
      </c>
      <c r="Y207" s="276"/>
      <c r="Z207" s="275" t="s">
        <v>2326</v>
      </c>
      <c r="AA207" s="275" t="s">
        <v>2326</v>
      </c>
      <c r="AB207" s="275" t="s">
        <v>2326</v>
      </c>
      <c r="AC207" s="275" t="s">
        <v>2326</v>
      </c>
      <c r="AD207" s="275" t="s">
        <v>2326</v>
      </c>
      <c r="AE207" s="275" t="s">
        <v>2326</v>
      </c>
      <c r="AF207" s="275"/>
      <c r="AG207" s="154">
        <v>1742</v>
      </c>
      <c r="AH207" s="421"/>
      <c r="AI207" s="409">
        <f t="shared" si="175"/>
        <v>0</v>
      </c>
      <c r="AJ207" s="409">
        <f t="shared" si="176"/>
        <v>25</v>
      </c>
      <c r="AK207" s="418">
        <f>AJ207*0.02</f>
        <v>0.5</v>
      </c>
      <c r="AL207" s="423"/>
      <c r="AM207" s="424">
        <v>0</v>
      </c>
      <c r="AN207" s="365">
        <f t="shared" si="199"/>
        <v>25</v>
      </c>
      <c r="AO207" s="322">
        <f>AN207*0.02</f>
        <v>0.5</v>
      </c>
      <c r="AP207" s="277">
        <f>_xlfn.XLOOKUP(C207, '1.건전성'!C:C, '1.건전성'!BE:BE)</f>
        <v>169311985</v>
      </c>
      <c r="AQ207" s="277">
        <f>_xlfn.XLOOKUP(C207, '1.건전성'!C:C, '1.건전성'!BF:BF)</f>
        <v>17707665</v>
      </c>
      <c r="AR207" s="410">
        <f t="shared" si="178"/>
        <v>187019650</v>
      </c>
      <c r="AS207" s="366">
        <f t="shared" si="173"/>
        <v>7.6347298993799537</v>
      </c>
      <c r="AT207" s="366">
        <f t="shared" si="179"/>
        <v>30.377937110085391</v>
      </c>
      <c r="AU207" s="321">
        <f t="shared" si="180"/>
        <v>0.3037793711008539</v>
      </c>
      <c r="AV207" s="15">
        <v>25454229</v>
      </c>
      <c r="AW207" s="361">
        <f t="shared" si="174"/>
        <v>1.0391216281923548</v>
      </c>
      <c r="AX207" s="361">
        <f t="shared" si="181"/>
        <v>32.114557789336018</v>
      </c>
      <c r="AY207" s="348">
        <f>AX207*0.01</f>
        <v>0.32114557789336018</v>
      </c>
      <c r="AZ207" s="411">
        <v>12</v>
      </c>
      <c r="BA207" s="412">
        <f t="shared" si="182"/>
        <v>100</v>
      </c>
      <c r="BB207" s="418">
        <f>BA207*0.01</f>
        <v>1</v>
      </c>
      <c r="BC207" s="204">
        <v>1</v>
      </c>
      <c r="BD207" s="407">
        <f t="shared" si="203"/>
        <v>100</v>
      </c>
      <c r="BE207" s="418">
        <f>BD207*0.01</f>
        <v>1</v>
      </c>
      <c r="BF207" s="204">
        <v>1</v>
      </c>
      <c r="BG207" s="204">
        <v>1</v>
      </c>
      <c r="BH207" s="204">
        <v>0</v>
      </c>
      <c r="BI207" s="272" t="str">
        <f t="shared" si="183"/>
        <v>C</v>
      </c>
      <c r="BJ207" s="247">
        <f t="shared" si="184"/>
        <v>50</v>
      </c>
      <c r="BK207" s="90">
        <f t="shared" si="185"/>
        <v>1.5</v>
      </c>
      <c r="BL207" s="406">
        <v>377</v>
      </c>
      <c r="BM207" s="413">
        <f t="shared" si="186"/>
        <v>21.641791044776117</v>
      </c>
      <c r="BN207" s="414">
        <f t="shared" si="187"/>
        <v>20</v>
      </c>
      <c r="BO207" s="415">
        <f t="shared" si="188"/>
        <v>0.6</v>
      </c>
      <c r="BP207" s="416">
        <v>0</v>
      </c>
      <c r="BQ207" s="417">
        <f t="shared" si="189"/>
        <v>33.333333333333336</v>
      </c>
      <c r="BR207" s="415">
        <f t="shared" si="190"/>
        <v>0.33333333333333337</v>
      </c>
      <c r="BS207" s="350">
        <f t="shared" si="191"/>
        <v>6.0582582823275466</v>
      </c>
    </row>
    <row r="208" spans="1:71" x14ac:dyDescent="0.6">
      <c r="A208" s="214" t="s">
        <v>1776</v>
      </c>
      <c r="B208" s="13" t="s">
        <v>2188</v>
      </c>
      <c r="C208" s="219" t="s">
        <v>53</v>
      </c>
      <c r="D208" s="221" t="s">
        <v>350</v>
      </c>
      <c r="E208" s="217" t="s">
        <v>179</v>
      </c>
      <c r="F208" s="217" t="s">
        <v>620</v>
      </c>
      <c r="G208" s="218">
        <v>32013</v>
      </c>
      <c r="H208" s="217" t="s">
        <v>830</v>
      </c>
      <c r="I208" s="217" t="s">
        <v>631</v>
      </c>
      <c r="J208" s="217" t="s">
        <v>1123</v>
      </c>
      <c r="K208" s="217" t="s">
        <v>91</v>
      </c>
      <c r="L208" s="220">
        <v>7518981791</v>
      </c>
      <c r="M208" s="206">
        <v>6570247685</v>
      </c>
      <c r="N208" s="206">
        <v>948734106</v>
      </c>
      <c r="O208" s="206">
        <v>1456503449</v>
      </c>
      <c r="P208" s="206">
        <v>11313859</v>
      </c>
      <c r="Q208" s="206">
        <v>9393410</v>
      </c>
      <c r="R208" s="206">
        <v>3677466</v>
      </c>
      <c r="S208" s="275" t="s">
        <v>2326</v>
      </c>
      <c r="T208" s="275" t="s">
        <v>2326</v>
      </c>
      <c r="U208" s="275" t="s">
        <v>2326</v>
      </c>
      <c r="V208" s="275" t="s">
        <v>2326</v>
      </c>
      <c r="W208" s="275" t="s">
        <v>2326</v>
      </c>
      <c r="X208" s="275" t="s">
        <v>2326</v>
      </c>
      <c r="Y208" s="276"/>
      <c r="Z208" s="275" t="s">
        <v>2326</v>
      </c>
      <c r="AA208" s="275" t="s">
        <v>2326</v>
      </c>
      <c r="AB208" s="275" t="s">
        <v>2326</v>
      </c>
      <c r="AC208" s="275" t="s">
        <v>2326</v>
      </c>
      <c r="AD208" s="275" t="s">
        <v>2326</v>
      </c>
      <c r="AE208" s="275" t="s">
        <v>2326</v>
      </c>
      <c r="AF208" s="275"/>
      <c r="AG208" s="154">
        <v>903</v>
      </c>
      <c r="AH208" s="421"/>
      <c r="AI208" s="409">
        <f t="shared" si="175"/>
        <v>0</v>
      </c>
      <c r="AJ208" s="409">
        <f t="shared" si="176"/>
        <v>25</v>
      </c>
      <c r="AK208" s="418">
        <f>AJ208*0.02</f>
        <v>0.5</v>
      </c>
      <c r="AL208" s="423"/>
      <c r="AM208" s="424">
        <v>0</v>
      </c>
      <c r="AN208" s="365">
        <f t="shared" si="199"/>
        <v>25</v>
      </c>
      <c r="AO208" s="322">
        <f>AN208*0.02</f>
        <v>0.5</v>
      </c>
      <c r="AP208" s="277">
        <f>_xlfn.XLOOKUP(C208, '1.건전성'!C:C, '1.건전성'!BE:BE)</f>
        <v>109790220</v>
      </c>
      <c r="AQ208" s="277">
        <f>_xlfn.XLOOKUP(C208, '1.건전성'!C:C, '1.건전성'!BF:BF)</f>
        <v>6026446</v>
      </c>
      <c r="AR208" s="410">
        <f t="shared" si="178"/>
        <v>115816666</v>
      </c>
      <c r="AS208" s="366">
        <f t="shared" si="173"/>
        <v>7.9516918466287816</v>
      </c>
      <c r="AT208" s="366">
        <f t="shared" si="179"/>
        <v>30.616853150725213</v>
      </c>
      <c r="AU208" s="321">
        <f t="shared" si="180"/>
        <v>0.30616853150725215</v>
      </c>
      <c r="AV208" s="15">
        <v>1556000</v>
      </c>
      <c r="AW208" s="361">
        <f t="shared" si="174"/>
        <v>0.10683119226860135</v>
      </c>
      <c r="AX208" s="361">
        <f t="shared" si="181"/>
        <v>25.051751456580313</v>
      </c>
      <c r="AY208" s="348">
        <f>AX208*0.01</f>
        <v>0.25051751456580312</v>
      </c>
      <c r="AZ208" s="411">
        <v>8.1</v>
      </c>
      <c r="BA208" s="412">
        <f t="shared" si="182"/>
        <v>80</v>
      </c>
      <c r="BB208" s="418">
        <f>BA208*0.01</f>
        <v>0.8</v>
      </c>
      <c r="BC208" s="204">
        <v>1</v>
      </c>
      <c r="BD208" s="407">
        <f t="shared" si="203"/>
        <v>100</v>
      </c>
      <c r="BE208" s="418">
        <f>BD208*0.01</f>
        <v>1</v>
      </c>
      <c r="BF208" s="204">
        <v>1</v>
      </c>
      <c r="BG208" s="204">
        <v>1</v>
      </c>
      <c r="BH208" s="204">
        <v>0</v>
      </c>
      <c r="BI208" s="272" t="str">
        <f t="shared" si="183"/>
        <v>C</v>
      </c>
      <c r="BJ208" s="247">
        <f t="shared" si="184"/>
        <v>50</v>
      </c>
      <c r="BK208" s="90">
        <f t="shared" si="185"/>
        <v>1.5</v>
      </c>
      <c r="BL208" s="406">
        <v>337</v>
      </c>
      <c r="BM208" s="413">
        <f t="shared" si="186"/>
        <v>37.320044296788488</v>
      </c>
      <c r="BN208" s="414">
        <f t="shared" si="187"/>
        <v>20</v>
      </c>
      <c r="BO208" s="415">
        <f t="shared" si="188"/>
        <v>0.6</v>
      </c>
      <c r="BP208" s="416">
        <v>0.13</v>
      </c>
      <c r="BQ208" s="417">
        <f t="shared" si="189"/>
        <v>66.666666666666671</v>
      </c>
      <c r="BR208" s="415">
        <f t="shared" si="190"/>
        <v>0.66666666666666674</v>
      </c>
      <c r="BS208" s="350">
        <f t="shared" si="191"/>
        <v>6.123352712739722</v>
      </c>
    </row>
    <row r="209" spans="1:71" x14ac:dyDescent="0.6">
      <c r="A209" s="214" t="s">
        <v>405</v>
      </c>
      <c r="B209" s="13" t="s">
        <v>2189</v>
      </c>
      <c r="C209" s="219" t="s">
        <v>522</v>
      </c>
      <c r="D209" s="216" t="s">
        <v>191</v>
      </c>
      <c r="E209" s="217" t="s">
        <v>34</v>
      </c>
      <c r="F209" s="217" t="s">
        <v>116</v>
      </c>
      <c r="G209" s="218">
        <v>22951</v>
      </c>
      <c r="H209" s="217" t="s">
        <v>830</v>
      </c>
      <c r="I209" s="217" t="s">
        <v>258</v>
      </c>
      <c r="J209" s="217" t="s">
        <v>1114</v>
      </c>
      <c r="K209" s="217" t="s">
        <v>91</v>
      </c>
      <c r="L209" s="220">
        <v>2274482334</v>
      </c>
      <c r="M209" s="206">
        <v>333634565</v>
      </c>
      <c r="N209" s="206">
        <v>1940847769</v>
      </c>
      <c r="O209" s="206">
        <v>1726364617</v>
      </c>
      <c r="P209" s="206">
        <v>41119507</v>
      </c>
      <c r="Q209" s="206">
        <v>153965942</v>
      </c>
      <c r="R209" s="206">
        <v>130274124</v>
      </c>
      <c r="S209" s="405">
        <v>0</v>
      </c>
      <c r="T209" s="405">
        <v>0</v>
      </c>
      <c r="U209" s="406">
        <v>0</v>
      </c>
      <c r="V209" s="406">
        <v>0</v>
      </c>
      <c r="W209" s="407">
        <f t="shared" ref="W209:W225" si="205">SUM(S209:V209)</f>
        <v>0</v>
      </c>
      <c r="X209" s="407">
        <f t="shared" ref="X209:X225" si="206">IF(W209=0, 100, IF(W209=1, 80, IF(W209=2, 60, IF(W209=3, 40, IF(W209=4, 20)))))</f>
        <v>100</v>
      </c>
      <c r="Y209" s="408">
        <f t="shared" ref="Y209:Y225" si="207">X209*0.03</f>
        <v>3</v>
      </c>
      <c r="Z209" s="444" t="s">
        <v>3434</v>
      </c>
      <c r="AA209" s="442">
        <v>0</v>
      </c>
      <c r="AB209" s="406">
        <v>1</v>
      </c>
      <c r="AC209" s="406">
        <v>0</v>
      </c>
      <c r="AD209" s="407">
        <f t="shared" ref="AD209:AD225" si="208">SUM(AA209:AC209)</f>
        <v>1</v>
      </c>
      <c r="AE209" s="364" t="str">
        <f t="shared" ref="AE209:AE225" si="209">IF(AD209&gt;=1,"100","50")</f>
        <v>100</v>
      </c>
      <c r="AF209" s="349">
        <f t="shared" ref="AF209:AF225" si="210">AE209*0.005</f>
        <v>0.5</v>
      </c>
      <c r="AG209" s="154">
        <v>1938</v>
      </c>
      <c r="AH209" s="154">
        <v>1988717</v>
      </c>
      <c r="AI209" s="409">
        <f t="shared" si="175"/>
        <v>1026.1697626418988</v>
      </c>
      <c r="AJ209" s="409">
        <f t="shared" si="176"/>
        <v>100</v>
      </c>
      <c r="AK209" s="408">
        <f t="shared" ref="AK209:AK225" si="211">AJ209*0.01</f>
        <v>1</v>
      </c>
      <c r="AL209" s="45">
        <v>1427149</v>
      </c>
      <c r="AM209" s="361">
        <f t="shared" si="177"/>
        <v>39.348939739298423</v>
      </c>
      <c r="AN209" s="365">
        <f t="shared" si="199"/>
        <v>32.377926201118456</v>
      </c>
      <c r="AO209" s="320">
        <f t="shared" ref="AO209:AO225" si="212">AN209*0.01</f>
        <v>0.32377926201118457</v>
      </c>
      <c r="AP209" s="277">
        <f>_xlfn.XLOOKUP(C209, '1.건전성'!C:C, '1.건전성'!BE:BE)</f>
        <v>116757396</v>
      </c>
      <c r="AQ209" s="277">
        <f>_xlfn.XLOOKUP(C209, '1.건전성'!C:C, '1.건전성'!BF:BF)</f>
        <v>14774235</v>
      </c>
      <c r="AR209" s="410">
        <f t="shared" si="178"/>
        <v>131531631</v>
      </c>
      <c r="AS209" s="366">
        <f t="shared" si="173"/>
        <v>7.6189948348553305</v>
      </c>
      <c r="AT209" s="366">
        <f t="shared" si="179"/>
        <v>30.366076508684923</v>
      </c>
      <c r="AU209" s="321">
        <f t="shared" si="180"/>
        <v>0.30366076508684925</v>
      </c>
      <c r="AV209" s="15">
        <v>6561172</v>
      </c>
      <c r="AW209" s="361">
        <f t="shared" si="174"/>
        <v>0.38005714061735779</v>
      </c>
      <c r="AX209" s="361">
        <f t="shared" si="181"/>
        <v>27.121645004676953</v>
      </c>
      <c r="AY209" s="321">
        <f t="shared" ref="AY209:AY225" si="213">AX209*0.005</f>
        <v>0.13560822502338477</v>
      </c>
      <c r="AZ209" s="411">
        <v>12.7</v>
      </c>
      <c r="BA209" s="412">
        <f t="shared" si="182"/>
        <v>100</v>
      </c>
      <c r="BB209" s="408">
        <f t="shared" ref="BB209:BB225" si="214">BA209*0.005</f>
        <v>0.5</v>
      </c>
      <c r="BC209" s="204">
        <v>1</v>
      </c>
      <c r="BD209" s="407">
        <f t="shared" si="203"/>
        <v>100</v>
      </c>
      <c r="BE209" s="408">
        <f t="shared" ref="BE209:BE225" si="215">BD209*0.005</f>
        <v>0.5</v>
      </c>
      <c r="BF209" s="204">
        <v>0</v>
      </c>
      <c r="BG209" s="204">
        <v>0</v>
      </c>
      <c r="BH209" s="204">
        <v>0</v>
      </c>
      <c r="BI209" s="272" t="str">
        <f t="shared" si="183"/>
        <v>A</v>
      </c>
      <c r="BJ209" s="247">
        <f t="shared" si="184"/>
        <v>100</v>
      </c>
      <c r="BK209" s="90">
        <f t="shared" si="185"/>
        <v>3</v>
      </c>
      <c r="BL209" s="406">
        <v>43</v>
      </c>
      <c r="BM209" s="413">
        <f t="shared" si="186"/>
        <v>2.2187822497420022</v>
      </c>
      <c r="BN209" s="414">
        <f t="shared" si="187"/>
        <v>60</v>
      </c>
      <c r="BO209" s="415">
        <f t="shared" si="188"/>
        <v>1.7999999999999998</v>
      </c>
      <c r="BP209" s="416">
        <v>0</v>
      </c>
      <c r="BQ209" s="417">
        <f t="shared" si="189"/>
        <v>33.333333333333336</v>
      </c>
      <c r="BR209" s="415">
        <f t="shared" si="190"/>
        <v>0.33333333333333337</v>
      </c>
      <c r="BS209" s="350">
        <f t="shared" si="191"/>
        <v>11.396381585454753</v>
      </c>
    </row>
    <row r="210" spans="1:71" x14ac:dyDescent="0.6">
      <c r="A210" s="214" t="s">
        <v>942</v>
      </c>
      <c r="B210" s="13" t="s">
        <v>2190</v>
      </c>
      <c r="C210" s="219" t="s">
        <v>477</v>
      </c>
      <c r="D210" s="216" t="s">
        <v>203</v>
      </c>
      <c r="E210" s="217" t="s">
        <v>200</v>
      </c>
      <c r="F210" s="217" t="s">
        <v>654</v>
      </c>
      <c r="G210" s="218">
        <v>34929</v>
      </c>
      <c r="H210" s="217" t="s">
        <v>830</v>
      </c>
      <c r="I210" s="217" t="s">
        <v>997</v>
      </c>
      <c r="J210" s="217" t="s">
        <v>1074</v>
      </c>
      <c r="K210" s="217" t="s">
        <v>690</v>
      </c>
      <c r="L210" s="220">
        <v>337212432</v>
      </c>
      <c r="M210" s="206">
        <v>209999598</v>
      </c>
      <c r="N210" s="206">
        <v>127212835</v>
      </c>
      <c r="O210" s="206">
        <v>429618752</v>
      </c>
      <c r="P210" s="206">
        <v>13690371</v>
      </c>
      <c r="Q210" s="206">
        <v>5164140</v>
      </c>
      <c r="R210" s="206">
        <v>5720773</v>
      </c>
      <c r="S210" s="405">
        <v>0</v>
      </c>
      <c r="T210" s="405">
        <v>0</v>
      </c>
      <c r="U210" s="406">
        <v>0</v>
      </c>
      <c r="V210" s="406">
        <v>0</v>
      </c>
      <c r="W210" s="407">
        <f t="shared" si="205"/>
        <v>0</v>
      </c>
      <c r="X210" s="407">
        <f t="shared" si="206"/>
        <v>100</v>
      </c>
      <c r="Y210" s="408">
        <f t="shared" si="207"/>
        <v>3</v>
      </c>
      <c r="Z210" s="444" t="s">
        <v>3435</v>
      </c>
      <c r="AA210" s="442">
        <v>0</v>
      </c>
      <c r="AB210" s="406">
        <v>1</v>
      </c>
      <c r="AC210" s="406">
        <v>0</v>
      </c>
      <c r="AD210" s="407">
        <f t="shared" si="208"/>
        <v>1</v>
      </c>
      <c r="AE210" s="364" t="str">
        <f t="shared" si="209"/>
        <v>100</v>
      </c>
      <c r="AF210" s="349">
        <f t="shared" si="210"/>
        <v>0.5</v>
      </c>
      <c r="AG210" s="154">
        <v>204</v>
      </c>
      <c r="AH210" s="154">
        <v>10857</v>
      </c>
      <c r="AI210" s="409">
        <f t="shared" si="175"/>
        <v>53.220588235294116</v>
      </c>
      <c r="AJ210" s="409">
        <f t="shared" si="176"/>
        <v>64.91544117647058</v>
      </c>
      <c r="AK210" s="408">
        <f t="shared" si="211"/>
        <v>0.64915441176470579</v>
      </c>
      <c r="AL210" s="45">
        <v>2044</v>
      </c>
      <c r="AM210" s="361">
        <f t="shared" si="177"/>
        <v>431.16438356164383</v>
      </c>
      <c r="AN210" s="365">
        <f t="shared" si="199"/>
        <v>100</v>
      </c>
      <c r="AO210" s="320">
        <f t="shared" si="212"/>
        <v>1</v>
      </c>
      <c r="AP210" s="277">
        <f>_xlfn.XLOOKUP(C210, '1.건전성'!C:C, '1.건전성'!BE:BE)</f>
        <v>1898143</v>
      </c>
      <c r="AQ210" s="277">
        <f>_xlfn.XLOOKUP(C210, '1.건전성'!C:C, '1.건전성'!BF:BF)</f>
        <v>130556</v>
      </c>
      <c r="AR210" s="410">
        <f t="shared" si="178"/>
        <v>2028699</v>
      </c>
      <c r="AS210" s="366">
        <f t="shared" si="173"/>
        <v>0.47220913671850151</v>
      </c>
      <c r="AT210" s="366">
        <f t="shared" si="179"/>
        <v>25</v>
      </c>
      <c r="AU210" s="321">
        <f t="shared" si="180"/>
        <v>0.25</v>
      </c>
      <c r="AV210" s="15">
        <v>46100</v>
      </c>
      <c r="AW210" s="361">
        <f t="shared" si="174"/>
        <v>1.0730444093836946E-2</v>
      </c>
      <c r="AX210" s="361">
        <f t="shared" si="181"/>
        <v>25</v>
      </c>
      <c r="AY210" s="321">
        <f t="shared" si="213"/>
        <v>0.125</v>
      </c>
      <c r="AZ210" s="411">
        <v>7.65</v>
      </c>
      <c r="BA210" s="412">
        <f t="shared" si="182"/>
        <v>60</v>
      </c>
      <c r="BB210" s="408">
        <f t="shared" si="214"/>
        <v>0.3</v>
      </c>
      <c r="BC210" s="204">
        <v>1</v>
      </c>
      <c r="BD210" s="407">
        <f t="shared" si="203"/>
        <v>100</v>
      </c>
      <c r="BE210" s="408">
        <f t="shared" si="215"/>
        <v>0.5</v>
      </c>
      <c r="BF210" s="204">
        <v>0</v>
      </c>
      <c r="BG210" s="204">
        <v>0</v>
      </c>
      <c r="BH210" s="204">
        <v>0</v>
      </c>
      <c r="BI210" s="272" t="str">
        <f t="shared" si="183"/>
        <v>A</v>
      </c>
      <c r="BJ210" s="247">
        <f t="shared" si="184"/>
        <v>100</v>
      </c>
      <c r="BK210" s="90">
        <f t="shared" si="185"/>
        <v>3</v>
      </c>
      <c r="BL210" s="406">
        <v>53</v>
      </c>
      <c r="BM210" s="413">
        <f t="shared" si="186"/>
        <v>25.980392156862749</v>
      </c>
      <c r="BN210" s="414">
        <f t="shared" si="187"/>
        <v>20</v>
      </c>
      <c r="BO210" s="415">
        <f t="shared" si="188"/>
        <v>0.6</v>
      </c>
      <c r="BP210" s="416">
        <v>0</v>
      </c>
      <c r="BQ210" s="417">
        <f t="shared" si="189"/>
        <v>33.333333333333336</v>
      </c>
      <c r="BR210" s="415">
        <f t="shared" si="190"/>
        <v>0.33333333333333337</v>
      </c>
      <c r="BS210" s="350">
        <f t="shared" si="191"/>
        <v>10.25748774509804</v>
      </c>
    </row>
    <row r="211" spans="1:71" x14ac:dyDescent="0.6">
      <c r="A211" s="214" t="s">
        <v>820</v>
      </c>
      <c r="B211" s="13" t="s">
        <v>2191</v>
      </c>
      <c r="C211" s="219" t="s">
        <v>419</v>
      </c>
      <c r="D211" s="216" t="s">
        <v>285</v>
      </c>
      <c r="E211" s="217" t="s">
        <v>796</v>
      </c>
      <c r="F211" s="217" t="s">
        <v>1015</v>
      </c>
      <c r="G211" s="218">
        <v>42202</v>
      </c>
      <c r="H211" s="217" t="s">
        <v>830</v>
      </c>
      <c r="I211" s="217" t="s">
        <v>784</v>
      </c>
      <c r="J211" s="217" t="s">
        <v>1104</v>
      </c>
      <c r="K211" s="217" t="s">
        <v>91</v>
      </c>
      <c r="L211" s="220">
        <v>1090534674</v>
      </c>
      <c r="M211" s="206">
        <v>385964079</v>
      </c>
      <c r="N211" s="206">
        <v>704570595</v>
      </c>
      <c r="O211" s="206">
        <v>487630665</v>
      </c>
      <c r="P211" s="206">
        <v>26670913</v>
      </c>
      <c r="Q211" s="206">
        <v>152059469</v>
      </c>
      <c r="R211" s="206">
        <v>126398998</v>
      </c>
      <c r="S211" s="405">
        <v>0</v>
      </c>
      <c r="T211" s="405">
        <v>0</v>
      </c>
      <c r="U211" s="406">
        <v>0</v>
      </c>
      <c r="V211" s="406">
        <v>0</v>
      </c>
      <c r="W211" s="407">
        <f t="shared" si="205"/>
        <v>0</v>
      </c>
      <c r="X211" s="407">
        <f t="shared" si="206"/>
        <v>100</v>
      </c>
      <c r="Y211" s="408">
        <f t="shared" si="207"/>
        <v>3</v>
      </c>
      <c r="Z211" s="444" t="s">
        <v>3436</v>
      </c>
      <c r="AA211" s="442">
        <v>0</v>
      </c>
      <c r="AB211" s="406">
        <v>0</v>
      </c>
      <c r="AC211" s="406">
        <v>0</v>
      </c>
      <c r="AD211" s="407">
        <f t="shared" si="208"/>
        <v>0</v>
      </c>
      <c r="AE211" s="364" t="str">
        <f t="shared" si="209"/>
        <v>50</v>
      </c>
      <c r="AF211" s="349">
        <f t="shared" si="210"/>
        <v>0.25</v>
      </c>
      <c r="AG211" s="154">
        <v>820</v>
      </c>
      <c r="AH211" s="154">
        <v>700966</v>
      </c>
      <c r="AI211" s="409">
        <f t="shared" si="175"/>
        <v>854.83658536585369</v>
      </c>
      <c r="AJ211" s="409">
        <f t="shared" si="176"/>
        <v>100</v>
      </c>
      <c r="AK211" s="408">
        <f t="shared" si="211"/>
        <v>1</v>
      </c>
      <c r="AL211" s="45">
        <v>467458</v>
      </c>
      <c r="AM211" s="361">
        <f t="shared" si="177"/>
        <v>49.952723025384103</v>
      </c>
      <c r="AN211" s="365">
        <f t="shared" si="199"/>
        <v>34.366135567259519</v>
      </c>
      <c r="AO211" s="320">
        <f t="shared" si="212"/>
        <v>0.3436613556725952</v>
      </c>
      <c r="AP211" s="277">
        <f>_xlfn.XLOOKUP(C211, '1.건전성'!C:C, '1.건전성'!BE:BE)</f>
        <v>80508463</v>
      </c>
      <c r="AQ211" s="277">
        <f>_xlfn.XLOOKUP(C211, '1.건전성'!C:C, '1.건전성'!BF:BF)</f>
        <v>7299337</v>
      </c>
      <c r="AR211" s="410">
        <f t="shared" si="178"/>
        <v>87807800</v>
      </c>
      <c r="AS211" s="366">
        <f t="shared" si="173"/>
        <v>18.007029972161408</v>
      </c>
      <c r="AT211" s="366">
        <f t="shared" si="179"/>
        <v>38.196253747860354</v>
      </c>
      <c r="AU211" s="321">
        <f t="shared" si="180"/>
        <v>0.38196253747860354</v>
      </c>
      <c r="AV211" s="15">
        <v>13575069</v>
      </c>
      <c r="AW211" s="361">
        <f t="shared" si="174"/>
        <v>2.7838833720598766</v>
      </c>
      <c r="AX211" s="361">
        <f t="shared" si="181"/>
        <v>45.332449788332397</v>
      </c>
      <c r="AY211" s="321">
        <f t="shared" si="213"/>
        <v>0.22666224894166198</v>
      </c>
      <c r="AZ211" s="411">
        <v>5.2</v>
      </c>
      <c r="BA211" s="412">
        <f t="shared" si="182"/>
        <v>40</v>
      </c>
      <c r="BB211" s="408">
        <f t="shared" si="214"/>
        <v>0.2</v>
      </c>
      <c r="BC211" s="204">
        <v>1</v>
      </c>
      <c r="BD211" s="407">
        <f t="shared" si="203"/>
        <v>100</v>
      </c>
      <c r="BE211" s="408">
        <f t="shared" si="215"/>
        <v>0.5</v>
      </c>
      <c r="BF211" s="204">
        <v>0</v>
      </c>
      <c r="BG211" s="204">
        <v>0</v>
      </c>
      <c r="BH211" s="204">
        <v>0</v>
      </c>
      <c r="BI211" s="272" t="str">
        <f t="shared" si="183"/>
        <v>A</v>
      </c>
      <c r="BJ211" s="247">
        <f t="shared" si="184"/>
        <v>100</v>
      </c>
      <c r="BK211" s="90">
        <f t="shared" si="185"/>
        <v>3</v>
      </c>
      <c r="BL211" s="406">
        <v>40</v>
      </c>
      <c r="BM211" s="413">
        <f t="shared" si="186"/>
        <v>4.8780487804878048</v>
      </c>
      <c r="BN211" s="414">
        <f t="shared" si="187"/>
        <v>40</v>
      </c>
      <c r="BO211" s="415">
        <f t="shared" si="188"/>
        <v>1.2</v>
      </c>
      <c r="BP211" s="416">
        <v>0.59</v>
      </c>
      <c r="BQ211" s="417">
        <f t="shared" si="189"/>
        <v>66.666666666666671</v>
      </c>
      <c r="BR211" s="415">
        <f t="shared" si="190"/>
        <v>0.66666666666666674</v>
      </c>
      <c r="BS211" s="350">
        <f t="shared" si="191"/>
        <v>10.768952808759527</v>
      </c>
    </row>
    <row r="212" spans="1:71" x14ac:dyDescent="0.6">
      <c r="A212" s="214" t="s">
        <v>831</v>
      </c>
      <c r="B212" s="13" t="s">
        <v>2192</v>
      </c>
      <c r="C212" s="219" t="s">
        <v>421</v>
      </c>
      <c r="D212" s="216" t="s">
        <v>285</v>
      </c>
      <c r="E212" s="217" t="s">
        <v>504</v>
      </c>
      <c r="F212" s="217" t="s">
        <v>879</v>
      </c>
      <c r="G212" s="218">
        <v>40704</v>
      </c>
      <c r="H212" s="217" t="s">
        <v>830</v>
      </c>
      <c r="I212" s="217" t="s">
        <v>778</v>
      </c>
      <c r="J212" s="217" t="s">
        <v>113</v>
      </c>
      <c r="K212" s="217" t="s">
        <v>91</v>
      </c>
      <c r="L212" s="220">
        <v>20129787392</v>
      </c>
      <c r="M212" s="206">
        <v>9708728742</v>
      </c>
      <c r="N212" s="206">
        <v>10421058650</v>
      </c>
      <c r="O212" s="206">
        <v>15486823899</v>
      </c>
      <c r="P212" s="206">
        <v>258855639</v>
      </c>
      <c r="Q212" s="206">
        <v>1381769677</v>
      </c>
      <c r="R212" s="206">
        <v>1050709937</v>
      </c>
      <c r="S212" s="405">
        <v>0</v>
      </c>
      <c r="T212" s="405">
        <v>0</v>
      </c>
      <c r="U212" s="406">
        <v>0</v>
      </c>
      <c r="V212" s="406">
        <v>0</v>
      </c>
      <c r="W212" s="407">
        <f t="shared" si="205"/>
        <v>0</v>
      </c>
      <c r="X212" s="407">
        <f t="shared" si="206"/>
        <v>100</v>
      </c>
      <c r="Y212" s="408">
        <f t="shared" si="207"/>
        <v>3</v>
      </c>
      <c r="Z212" s="444" t="s">
        <v>3437</v>
      </c>
      <c r="AA212" s="442">
        <v>0</v>
      </c>
      <c r="AB212" s="406">
        <v>0</v>
      </c>
      <c r="AC212" s="406">
        <v>1</v>
      </c>
      <c r="AD212" s="407">
        <f t="shared" si="208"/>
        <v>1</v>
      </c>
      <c r="AE212" s="364" t="str">
        <f t="shared" si="209"/>
        <v>100</v>
      </c>
      <c r="AF212" s="349">
        <f t="shared" si="210"/>
        <v>0.5</v>
      </c>
      <c r="AG212" s="154">
        <v>23844</v>
      </c>
      <c r="AH212" s="421"/>
      <c r="AI212" s="409">
        <f t="shared" si="175"/>
        <v>0</v>
      </c>
      <c r="AJ212" s="409">
        <f t="shared" si="176"/>
        <v>25</v>
      </c>
      <c r="AK212" s="408">
        <f t="shared" si="211"/>
        <v>0.25</v>
      </c>
      <c r="AL212" s="423"/>
      <c r="AM212" s="424">
        <v>0</v>
      </c>
      <c r="AN212" s="365">
        <f t="shared" si="199"/>
        <v>25</v>
      </c>
      <c r="AO212" s="320">
        <f t="shared" si="212"/>
        <v>0.25</v>
      </c>
      <c r="AP212" s="277">
        <f>_xlfn.XLOOKUP(C212, '1.건전성'!C:C, '1.건전성'!BE:BE)</f>
        <v>1085137000</v>
      </c>
      <c r="AQ212" s="277">
        <f>_xlfn.XLOOKUP(C212, '1.건전성'!C:C, '1.건전성'!BF:BF)</f>
        <v>85861000</v>
      </c>
      <c r="AR212" s="410">
        <f t="shared" si="178"/>
        <v>1170998000</v>
      </c>
      <c r="AS212" s="366">
        <f t="shared" si="173"/>
        <v>7.5612534089421173</v>
      </c>
      <c r="AT212" s="366">
        <f t="shared" si="179"/>
        <v>30.322552820810643</v>
      </c>
      <c r="AU212" s="321">
        <f t="shared" si="180"/>
        <v>0.30322552820810644</v>
      </c>
      <c r="AV212" s="15">
        <v>174199000</v>
      </c>
      <c r="AW212" s="361">
        <f t="shared" si="174"/>
        <v>1.1248206936171605</v>
      </c>
      <c r="AX212" s="361">
        <f t="shared" si="181"/>
        <v>32.763793133463338</v>
      </c>
      <c r="AY212" s="321">
        <f t="shared" si="213"/>
        <v>0.16381896566731668</v>
      </c>
      <c r="AZ212" s="411">
        <v>12.1</v>
      </c>
      <c r="BA212" s="412">
        <f t="shared" si="182"/>
        <v>100</v>
      </c>
      <c r="BB212" s="408">
        <f t="shared" si="214"/>
        <v>0.5</v>
      </c>
      <c r="BC212" s="204">
        <v>1</v>
      </c>
      <c r="BD212" s="407">
        <f t="shared" si="203"/>
        <v>100</v>
      </c>
      <c r="BE212" s="408">
        <f t="shared" si="215"/>
        <v>0.5</v>
      </c>
      <c r="BF212" s="204">
        <v>1</v>
      </c>
      <c r="BG212" s="204">
        <v>1</v>
      </c>
      <c r="BH212" s="204">
        <v>0</v>
      </c>
      <c r="BI212" s="272" t="str">
        <f t="shared" si="183"/>
        <v>C</v>
      </c>
      <c r="BJ212" s="247">
        <f t="shared" si="184"/>
        <v>50</v>
      </c>
      <c r="BK212" s="90">
        <f t="shared" si="185"/>
        <v>1.5</v>
      </c>
      <c r="BL212" s="406">
        <v>0</v>
      </c>
      <c r="BM212" s="413">
        <f t="shared" si="186"/>
        <v>0</v>
      </c>
      <c r="BN212" s="414">
        <f t="shared" si="187"/>
        <v>100</v>
      </c>
      <c r="BO212" s="415">
        <f t="shared" si="188"/>
        <v>3</v>
      </c>
      <c r="BP212" s="416">
        <v>0</v>
      </c>
      <c r="BQ212" s="417">
        <f t="shared" si="189"/>
        <v>33.333333333333336</v>
      </c>
      <c r="BR212" s="415">
        <f t="shared" si="190"/>
        <v>0.33333333333333337</v>
      </c>
      <c r="BS212" s="350">
        <f t="shared" si="191"/>
        <v>10.300377827208758</v>
      </c>
    </row>
    <row r="213" spans="1:71" x14ac:dyDescent="0.6">
      <c r="A213" s="214" t="s">
        <v>1777</v>
      </c>
      <c r="B213" s="13" t="s">
        <v>2193</v>
      </c>
      <c r="C213" s="219" t="s">
        <v>1778</v>
      </c>
      <c r="D213" s="14" t="s">
        <v>202</v>
      </c>
      <c r="E213" s="217" t="s">
        <v>205</v>
      </c>
      <c r="F213" s="217" t="s">
        <v>1779</v>
      </c>
      <c r="G213" s="218">
        <v>37901</v>
      </c>
      <c r="H213" s="217" t="s">
        <v>830</v>
      </c>
      <c r="I213" s="217" t="s">
        <v>1780</v>
      </c>
      <c r="J213" s="217" t="s">
        <v>1781</v>
      </c>
      <c r="K213" s="217" t="s">
        <v>308</v>
      </c>
      <c r="L213" s="220">
        <v>462207021</v>
      </c>
      <c r="M213" s="206">
        <v>210809722</v>
      </c>
      <c r="N213" s="206">
        <v>251397299</v>
      </c>
      <c r="O213" s="206">
        <v>497212502</v>
      </c>
      <c r="P213" s="206">
        <v>96368755</v>
      </c>
      <c r="Q213" s="206">
        <v>91241096</v>
      </c>
      <c r="R213" s="206">
        <v>85549247</v>
      </c>
      <c r="S213" s="405">
        <v>0</v>
      </c>
      <c r="T213" s="405">
        <v>0</v>
      </c>
      <c r="U213" s="406">
        <v>0</v>
      </c>
      <c r="V213" s="406">
        <v>0</v>
      </c>
      <c r="W213" s="407">
        <f t="shared" si="205"/>
        <v>0</v>
      </c>
      <c r="X213" s="407">
        <f t="shared" si="206"/>
        <v>100</v>
      </c>
      <c r="Y213" s="408">
        <f t="shared" si="207"/>
        <v>3</v>
      </c>
      <c r="Z213" s="444" t="s">
        <v>3438</v>
      </c>
      <c r="AA213" s="442">
        <v>1</v>
      </c>
      <c r="AB213" s="406">
        <v>0</v>
      </c>
      <c r="AC213" s="406">
        <v>0</v>
      </c>
      <c r="AD213" s="407">
        <f t="shared" si="208"/>
        <v>1</v>
      </c>
      <c r="AE213" s="364" t="str">
        <f t="shared" si="209"/>
        <v>100</v>
      </c>
      <c r="AF213" s="349">
        <f t="shared" si="210"/>
        <v>0.5</v>
      </c>
      <c r="AG213" s="154">
        <v>967</v>
      </c>
      <c r="AH213" s="420">
        <v>0</v>
      </c>
      <c r="AI213" s="409">
        <f t="shared" si="175"/>
        <v>0</v>
      </c>
      <c r="AJ213" s="409">
        <f t="shared" si="176"/>
        <v>25</v>
      </c>
      <c r="AK213" s="408">
        <f t="shared" si="211"/>
        <v>0.25</v>
      </c>
      <c r="AL213" s="45">
        <v>200</v>
      </c>
      <c r="AM213" s="361">
        <f t="shared" si="177"/>
        <v>-100</v>
      </c>
      <c r="AN213" s="365">
        <f t="shared" si="199"/>
        <v>25</v>
      </c>
      <c r="AO213" s="320">
        <f t="shared" si="212"/>
        <v>0.25</v>
      </c>
      <c r="AP213" s="277">
        <f>_xlfn.XLOOKUP(C213, '1.건전성'!C:C, '1.건전성'!BE:BE)</f>
        <v>7766497</v>
      </c>
      <c r="AQ213" s="277">
        <f>_xlfn.XLOOKUP(C213, '1.건전성'!C:C, '1.건전성'!BF:BF)</f>
        <v>1176275</v>
      </c>
      <c r="AR213" s="410">
        <f t="shared" si="178"/>
        <v>8942772</v>
      </c>
      <c r="AS213" s="366">
        <f t="shared" si="173"/>
        <v>1.7985814845822199</v>
      </c>
      <c r="AT213" s="366">
        <f t="shared" si="179"/>
        <v>25.978830264760468</v>
      </c>
      <c r="AU213" s="321">
        <f t="shared" si="180"/>
        <v>0.25978830264760466</v>
      </c>
      <c r="AV213" s="15">
        <v>620567</v>
      </c>
      <c r="AW213" s="361">
        <f t="shared" si="174"/>
        <v>0.12480921085125893</v>
      </c>
      <c r="AX213" s="361">
        <f t="shared" si="181"/>
        <v>25.187948567054992</v>
      </c>
      <c r="AY213" s="321">
        <f t="shared" si="213"/>
        <v>0.12593974283527495</v>
      </c>
      <c r="AZ213" s="411">
        <v>15.2</v>
      </c>
      <c r="BA213" s="412">
        <f t="shared" si="182"/>
        <v>100</v>
      </c>
      <c r="BB213" s="408">
        <f t="shared" si="214"/>
        <v>0.5</v>
      </c>
      <c r="BC213" s="204">
        <v>1</v>
      </c>
      <c r="BD213" s="407">
        <f t="shared" si="203"/>
        <v>100</v>
      </c>
      <c r="BE213" s="408">
        <f t="shared" si="215"/>
        <v>0.5</v>
      </c>
      <c r="BF213" s="204">
        <v>1</v>
      </c>
      <c r="BG213" s="204">
        <v>0</v>
      </c>
      <c r="BH213" s="204">
        <v>0</v>
      </c>
      <c r="BI213" s="272" t="str">
        <f t="shared" si="183"/>
        <v>B</v>
      </c>
      <c r="BJ213" s="247">
        <f t="shared" si="184"/>
        <v>75</v>
      </c>
      <c r="BK213" s="90">
        <f t="shared" si="185"/>
        <v>2.25</v>
      </c>
      <c r="BL213" s="406">
        <v>85</v>
      </c>
      <c r="BM213" s="413">
        <f t="shared" si="186"/>
        <v>8.7900723888314385</v>
      </c>
      <c r="BN213" s="414">
        <f t="shared" si="187"/>
        <v>20</v>
      </c>
      <c r="BO213" s="415">
        <f t="shared" si="188"/>
        <v>0.6</v>
      </c>
      <c r="BP213" s="416">
        <v>0</v>
      </c>
      <c r="BQ213" s="417">
        <f t="shared" si="189"/>
        <v>33.333333333333336</v>
      </c>
      <c r="BR213" s="415">
        <f t="shared" si="190"/>
        <v>0.33333333333333337</v>
      </c>
      <c r="BS213" s="350">
        <f t="shared" si="191"/>
        <v>8.5690613788162135</v>
      </c>
    </row>
    <row r="214" spans="1:71" x14ac:dyDescent="0.6">
      <c r="A214" s="214" t="s">
        <v>488</v>
      </c>
      <c r="B214" s="13" t="s">
        <v>2194</v>
      </c>
      <c r="C214" s="219" t="s">
        <v>495</v>
      </c>
      <c r="D214" s="216" t="s">
        <v>191</v>
      </c>
      <c r="E214" s="217" t="s">
        <v>34</v>
      </c>
      <c r="F214" s="217" t="s">
        <v>234</v>
      </c>
      <c r="G214" s="218">
        <v>40339</v>
      </c>
      <c r="H214" s="217" t="s">
        <v>830</v>
      </c>
      <c r="I214" s="217" t="s">
        <v>959</v>
      </c>
      <c r="J214" s="217" t="s">
        <v>1070</v>
      </c>
      <c r="K214" s="217" t="s">
        <v>91</v>
      </c>
      <c r="L214" s="220">
        <v>479981348</v>
      </c>
      <c r="M214" s="206">
        <v>232687116</v>
      </c>
      <c r="N214" s="206">
        <v>247294232</v>
      </c>
      <c r="O214" s="206">
        <v>154038839</v>
      </c>
      <c r="P214" s="206">
        <v>5567015</v>
      </c>
      <c r="Q214" s="206">
        <v>5998079</v>
      </c>
      <c r="R214" s="206">
        <v>7325400</v>
      </c>
      <c r="S214" s="405">
        <v>0</v>
      </c>
      <c r="T214" s="405">
        <v>0</v>
      </c>
      <c r="U214" s="406">
        <v>0</v>
      </c>
      <c r="V214" s="406">
        <v>0</v>
      </c>
      <c r="W214" s="407">
        <f t="shared" si="205"/>
        <v>0</v>
      </c>
      <c r="X214" s="407">
        <f t="shared" si="206"/>
        <v>100</v>
      </c>
      <c r="Y214" s="408">
        <f t="shared" si="207"/>
        <v>3</v>
      </c>
      <c r="Z214" s="444" t="s">
        <v>3439</v>
      </c>
      <c r="AA214" s="442">
        <v>0</v>
      </c>
      <c r="AB214" s="406">
        <v>0</v>
      </c>
      <c r="AC214" s="406">
        <v>0</v>
      </c>
      <c r="AD214" s="407">
        <f t="shared" si="208"/>
        <v>0</v>
      </c>
      <c r="AE214" s="364" t="str">
        <f t="shared" si="209"/>
        <v>50</v>
      </c>
      <c r="AF214" s="349">
        <f t="shared" si="210"/>
        <v>0.25</v>
      </c>
      <c r="AG214" s="154">
        <v>492</v>
      </c>
      <c r="AH214" s="154">
        <v>164541</v>
      </c>
      <c r="AI214" s="409">
        <f t="shared" si="175"/>
        <v>334.4329268292683</v>
      </c>
      <c r="AJ214" s="409">
        <f t="shared" si="176"/>
        <v>100</v>
      </c>
      <c r="AK214" s="408">
        <f t="shared" si="211"/>
        <v>1</v>
      </c>
      <c r="AL214" s="45">
        <v>63214</v>
      </c>
      <c r="AM214" s="361">
        <f t="shared" si="177"/>
        <v>160.29202391875216</v>
      </c>
      <c r="AN214" s="365">
        <f t="shared" si="199"/>
        <v>55.054754484766036</v>
      </c>
      <c r="AO214" s="320">
        <f t="shared" si="212"/>
        <v>0.55054754484766033</v>
      </c>
      <c r="AP214" s="277">
        <f>_xlfn.XLOOKUP(C214, '1.건전성'!C:C, '1.건전성'!BE:BE)</f>
        <v>23360077</v>
      </c>
      <c r="AQ214" s="277">
        <f>_xlfn.XLOOKUP(C214, '1.건전성'!C:C, '1.건전성'!BF:BF)</f>
        <v>1787381</v>
      </c>
      <c r="AR214" s="410">
        <f t="shared" si="178"/>
        <v>25147458</v>
      </c>
      <c r="AS214" s="366">
        <f t="shared" si="173"/>
        <v>16.325400894510768</v>
      </c>
      <c r="AT214" s="366">
        <f t="shared" si="179"/>
        <v>36.928694141591031</v>
      </c>
      <c r="AU214" s="321">
        <f t="shared" si="180"/>
        <v>0.36928694141591029</v>
      </c>
      <c r="AV214" s="15">
        <v>3418827</v>
      </c>
      <c r="AW214" s="361">
        <f t="shared" si="174"/>
        <v>2.2194577823324155</v>
      </c>
      <c r="AX214" s="361">
        <f t="shared" si="181"/>
        <v>41.056498351003142</v>
      </c>
      <c r="AY214" s="321">
        <f t="shared" si="213"/>
        <v>0.20528249175501573</v>
      </c>
      <c r="AZ214" s="411">
        <v>6.1</v>
      </c>
      <c r="BA214" s="412">
        <f t="shared" si="182"/>
        <v>60</v>
      </c>
      <c r="BB214" s="408">
        <f t="shared" si="214"/>
        <v>0.3</v>
      </c>
      <c r="BC214" s="204">
        <v>1</v>
      </c>
      <c r="BD214" s="407">
        <f t="shared" si="203"/>
        <v>100</v>
      </c>
      <c r="BE214" s="408">
        <f t="shared" si="215"/>
        <v>0.5</v>
      </c>
      <c r="BF214" s="204">
        <v>0</v>
      </c>
      <c r="BG214" s="204">
        <v>1</v>
      </c>
      <c r="BH214" s="204">
        <v>0</v>
      </c>
      <c r="BI214" s="272" t="str">
        <f t="shared" si="183"/>
        <v>C</v>
      </c>
      <c r="BJ214" s="247">
        <f t="shared" si="184"/>
        <v>50</v>
      </c>
      <c r="BK214" s="90">
        <f t="shared" si="185"/>
        <v>1.5</v>
      </c>
      <c r="BL214" s="406">
        <v>17</v>
      </c>
      <c r="BM214" s="413">
        <f t="shared" si="186"/>
        <v>3.4552845528455287</v>
      </c>
      <c r="BN214" s="414">
        <f t="shared" si="187"/>
        <v>40</v>
      </c>
      <c r="BO214" s="415">
        <f t="shared" si="188"/>
        <v>1.2</v>
      </c>
      <c r="BP214" s="416">
        <v>0</v>
      </c>
      <c r="BQ214" s="417">
        <f t="shared" si="189"/>
        <v>33.333333333333336</v>
      </c>
      <c r="BR214" s="415">
        <f t="shared" si="190"/>
        <v>0.33333333333333337</v>
      </c>
      <c r="BS214" s="350">
        <f t="shared" si="191"/>
        <v>9.2084503113519194</v>
      </c>
    </row>
    <row r="215" spans="1:71" x14ac:dyDescent="0.6">
      <c r="A215" s="214" t="s">
        <v>854</v>
      </c>
      <c r="B215" s="13" t="s">
        <v>2195</v>
      </c>
      <c r="C215" s="219" t="s">
        <v>324</v>
      </c>
      <c r="D215" s="216" t="s">
        <v>285</v>
      </c>
      <c r="E215" s="217" t="s">
        <v>978</v>
      </c>
      <c r="F215" s="217" t="s">
        <v>628</v>
      </c>
      <c r="G215" s="218">
        <v>39028</v>
      </c>
      <c r="H215" s="217" t="s">
        <v>830</v>
      </c>
      <c r="I215" s="217" t="s">
        <v>1782</v>
      </c>
      <c r="J215" s="217" t="s">
        <v>1073</v>
      </c>
      <c r="K215" s="217" t="s">
        <v>346</v>
      </c>
      <c r="L215" s="220">
        <v>425143163</v>
      </c>
      <c r="M215" s="206">
        <v>223549583</v>
      </c>
      <c r="N215" s="206">
        <v>201593580</v>
      </c>
      <c r="O215" s="206">
        <v>728356330</v>
      </c>
      <c r="P215" s="206">
        <v>8460657</v>
      </c>
      <c r="Q215" s="206">
        <v>15047784</v>
      </c>
      <c r="R215" s="206">
        <v>11942346</v>
      </c>
      <c r="S215" s="405">
        <v>0</v>
      </c>
      <c r="T215" s="405">
        <v>0</v>
      </c>
      <c r="U215" s="406">
        <v>0</v>
      </c>
      <c r="V215" s="406">
        <v>0</v>
      </c>
      <c r="W215" s="407">
        <f t="shared" si="205"/>
        <v>0</v>
      </c>
      <c r="X215" s="407">
        <f t="shared" si="206"/>
        <v>100</v>
      </c>
      <c r="Y215" s="408">
        <f t="shared" si="207"/>
        <v>3</v>
      </c>
      <c r="Z215" s="444" t="s">
        <v>3440</v>
      </c>
      <c r="AA215" s="442">
        <v>0</v>
      </c>
      <c r="AB215" s="406">
        <v>0</v>
      </c>
      <c r="AC215" s="406">
        <v>0</v>
      </c>
      <c r="AD215" s="407">
        <f t="shared" si="208"/>
        <v>0</v>
      </c>
      <c r="AE215" s="364" t="str">
        <f t="shared" si="209"/>
        <v>50</v>
      </c>
      <c r="AF215" s="349">
        <f t="shared" si="210"/>
        <v>0.25</v>
      </c>
      <c r="AG215" s="154">
        <v>199</v>
      </c>
      <c r="AH215" s="154">
        <v>22896</v>
      </c>
      <c r="AI215" s="409">
        <f t="shared" si="175"/>
        <v>115.05527638190955</v>
      </c>
      <c r="AJ215" s="409">
        <f t="shared" si="176"/>
        <v>100</v>
      </c>
      <c r="AK215" s="408">
        <f t="shared" si="211"/>
        <v>1</v>
      </c>
      <c r="AL215" s="45">
        <v>12251</v>
      </c>
      <c r="AM215" s="361">
        <f t="shared" si="177"/>
        <v>86.890866051750876</v>
      </c>
      <c r="AN215" s="365">
        <f t="shared" si="199"/>
        <v>41.292037384703292</v>
      </c>
      <c r="AO215" s="320">
        <f t="shared" si="212"/>
        <v>0.41292037384703295</v>
      </c>
      <c r="AP215" s="277">
        <f>_xlfn.XLOOKUP(C215, '1.건전성'!C:C, '1.건전성'!BE:BE)</f>
        <v>17254452</v>
      </c>
      <c r="AQ215" s="277">
        <f>_xlfn.XLOOKUP(C215, '1.건전성'!C:C, '1.건전성'!BF:BF)</f>
        <v>1813816</v>
      </c>
      <c r="AR215" s="410">
        <f t="shared" si="178"/>
        <v>19068268</v>
      </c>
      <c r="AS215" s="366">
        <f t="shared" si="173"/>
        <v>2.6179861716860482</v>
      </c>
      <c r="AT215" s="366">
        <f t="shared" si="179"/>
        <v>26.596471988708075</v>
      </c>
      <c r="AU215" s="321">
        <f t="shared" si="180"/>
        <v>0.26596471988708076</v>
      </c>
      <c r="AV215" s="15">
        <v>2678162</v>
      </c>
      <c r="AW215" s="361">
        <f t="shared" si="174"/>
        <v>0.36769941987049115</v>
      </c>
      <c r="AX215" s="361">
        <f t="shared" si="181"/>
        <v>27.028025908109782</v>
      </c>
      <c r="AY215" s="321">
        <f t="shared" si="213"/>
        <v>0.13514012954054891</v>
      </c>
      <c r="AZ215" s="411">
        <v>19.2</v>
      </c>
      <c r="BA215" s="412">
        <f t="shared" si="182"/>
        <v>100</v>
      </c>
      <c r="BB215" s="408">
        <f t="shared" si="214"/>
        <v>0.5</v>
      </c>
      <c r="BC215" s="204">
        <v>1</v>
      </c>
      <c r="BD215" s="407">
        <f t="shared" si="203"/>
        <v>100</v>
      </c>
      <c r="BE215" s="408">
        <f t="shared" si="215"/>
        <v>0.5</v>
      </c>
      <c r="BF215" s="204">
        <v>0</v>
      </c>
      <c r="BG215" s="204">
        <v>0</v>
      </c>
      <c r="BH215" s="204">
        <v>0</v>
      </c>
      <c r="BI215" s="272" t="str">
        <f t="shared" si="183"/>
        <v>A</v>
      </c>
      <c r="BJ215" s="247">
        <f t="shared" si="184"/>
        <v>100</v>
      </c>
      <c r="BK215" s="90">
        <f t="shared" si="185"/>
        <v>3</v>
      </c>
      <c r="BL215" s="406">
        <v>14</v>
      </c>
      <c r="BM215" s="413">
        <f t="shared" si="186"/>
        <v>7.0351758793969852</v>
      </c>
      <c r="BN215" s="414">
        <f t="shared" si="187"/>
        <v>20</v>
      </c>
      <c r="BO215" s="415">
        <f t="shared" si="188"/>
        <v>0.6</v>
      </c>
      <c r="BP215" s="416">
        <v>1.25</v>
      </c>
      <c r="BQ215" s="417">
        <f t="shared" si="189"/>
        <v>66.666666666666671</v>
      </c>
      <c r="BR215" s="415">
        <f t="shared" si="190"/>
        <v>0.66666666666666674</v>
      </c>
      <c r="BS215" s="350">
        <f t="shared" si="191"/>
        <v>10.330691889941328</v>
      </c>
    </row>
    <row r="216" spans="1:71" x14ac:dyDescent="0.6">
      <c r="A216" s="214" t="s">
        <v>1783</v>
      </c>
      <c r="B216" s="13" t="s">
        <v>2196</v>
      </c>
      <c r="C216" s="219" t="s">
        <v>1784</v>
      </c>
      <c r="D216" s="14" t="s">
        <v>285</v>
      </c>
      <c r="E216" s="217" t="s">
        <v>1432</v>
      </c>
      <c r="F216" s="217" t="s">
        <v>1785</v>
      </c>
      <c r="G216" s="218">
        <v>40893</v>
      </c>
      <c r="H216" s="217" t="s">
        <v>830</v>
      </c>
      <c r="I216" s="217" t="s">
        <v>1786</v>
      </c>
      <c r="J216" s="217" t="s">
        <v>1787</v>
      </c>
      <c r="K216" s="217" t="s">
        <v>484</v>
      </c>
      <c r="L216" s="220">
        <v>385856608</v>
      </c>
      <c r="M216" s="206">
        <v>158877086</v>
      </c>
      <c r="N216" s="206">
        <v>226979522</v>
      </c>
      <c r="O216" s="206">
        <v>667448084</v>
      </c>
      <c r="P216" s="206">
        <v>26380166</v>
      </c>
      <c r="Q216" s="206">
        <v>27563574</v>
      </c>
      <c r="R216" s="206">
        <v>25353259</v>
      </c>
      <c r="S216" s="405">
        <v>0</v>
      </c>
      <c r="T216" s="405">
        <v>0</v>
      </c>
      <c r="U216" s="406">
        <v>0</v>
      </c>
      <c r="V216" s="406">
        <v>0</v>
      </c>
      <c r="W216" s="407">
        <f t="shared" si="205"/>
        <v>0</v>
      </c>
      <c r="X216" s="407">
        <f t="shared" si="206"/>
        <v>100</v>
      </c>
      <c r="Y216" s="408">
        <f t="shared" si="207"/>
        <v>3</v>
      </c>
      <c r="Z216" s="444" t="s">
        <v>3441</v>
      </c>
      <c r="AA216" s="442">
        <v>1</v>
      </c>
      <c r="AB216" s="406">
        <v>0</v>
      </c>
      <c r="AC216" s="406">
        <v>0</v>
      </c>
      <c r="AD216" s="407">
        <f t="shared" si="208"/>
        <v>1</v>
      </c>
      <c r="AE216" s="364" t="str">
        <f t="shared" si="209"/>
        <v>100</v>
      </c>
      <c r="AF216" s="349">
        <f t="shared" si="210"/>
        <v>0.5</v>
      </c>
      <c r="AG216" s="154">
        <v>464</v>
      </c>
      <c r="AH216" s="154">
        <v>104059</v>
      </c>
      <c r="AI216" s="409">
        <f t="shared" si="175"/>
        <v>224.26508620689654</v>
      </c>
      <c r="AJ216" s="409">
        <f t="shared" si="176"/>
        <v>100</v>
      </c>
      <c r="AK216" s="408">
        <f t="shared" si="211"/>
        <v>1</v>
      </c>
      <c r="AL216" s="45">
        <v>109750</v>
      </c>
      <c r="AM216" s="361">
        <f t="shared" si="177"/>
        <v>-5.1854214123006841</v>
      </c>
      <c r="AN216" s="365">
        <f t="shared" si="199"/>
        <v>25</v>
      </c>
      <c r="AO216" s="320">
        <f t="shared" si="212"/>
        <v>0.25</v>
      </c>
      <c r="AP216" s="277">
        <f>_xlfn.XLOOKUP(C216, '1.건전성'!C:C, '1.건전성'!BE:BE)</f>
        <v>10640496</v>
      </c>
      <c r="AQ216" s="277">
        <f>_xlfn.XLOOKUP(C216, '1.건전성'!C:C, '1.건전성'!BF:BF)</f>
        <v>661325</v>
      </c>
      <c r="AR216" s="410">
        <f t="shared" si="178"/>
        <v>11301821</v>
      </c>
      <c r="AS216" s="366">
        <f t="shared" si="173"/>
        <v>1.6932884026377697</v>
      </c>
      <c r="AT216" s="366">
        <f t="shared" si="179"/>
        <v>25.89946362007872</v>
      </c>
      <c r="AU216" s="321">
        <f t="shared" si="180"/>
        <v>0.25899463620078722</v>
      </c>
      <c r="AV216" s="15">
        <v>1241193</v>
      </c>
      <c r="AW216" s="361">
        <f t="shared" si="174"/>
        <v>0.18596098030000488</v>
      </c>
      <c r="AX216" s="361">
        <f t="shared" si="181"/>
        <v>25.651219547727308</v>
      </c>
      <c r="AY216" s="321">
        <f t="shared" si="213"/>
        <v>0.12825609773863655</v>
      </c>
      <c r="AZ216" s="411">
        <v>11</v>
      </c>
      <c r="BA216" s="412">
        <f t="shared" si="182"/>
        <v>100</v>
      </c>
      <c r="BB216" s="408">
        <f t="shared" si="214"/>
        <v>0.5</v>
      </c>
      <c r="BC216" s="204">
        <v>1</v>
      </c>
      <c r="BD216" s="407">
        <f t="shared" si="203"/>
        <v>100</v>
      </c>
      <c r="BE216" s="408">
        <f t="shared" si="215"/>
        <v>0.5</v>
      </c>
      <c r="BF216" s="204">
        <v>1</v>
      </c>
      <c r="BG216" s="204">
        <v>1</v>
      </c>
      <c r="BH216" s="204">
        <v>1</v>
      </c>
      <c r="BI216" s="272" t="str">
        <f t="shared" si="183"/>
        <v>D</v>
      </c>
      <c r="BJ216" s="247">
        <f t="shared" si="184"/>
        <v>25</v>
      </c>
      <c r="BK216" s="90">
        <f t="shared" si="185"/>
        <v>0.75</v>
      </c>
      <c r="BL216" s="406">
        <v>6</v>
      </c>
      <c r="BM216" s="413">
        <f t="shared" si="186"/>
        <v>1.2931034482758621</v>
      </c>
      <c r="BN216" s="414">
        <f t="shared" si="187"/>
        <v>60</v>
      </c>
      <c r="BO216" s="415">
        <f t="shared" si="188"/>
        <v>1.7999999999999998</v>
      </c>
      <c r="BP216" s="416">
        <v>0.25</v>
      </c>
      <c r="BQ216" s="417">
        <f t="shared" si="189"/>
        <v>66.666666666666671</v>
      </c>
      <c r="BR216" s="415">
        <f t="shared" si="190"/>
        <v>0.66666666666666674</v>
      </c>
      <c r="BS216" s="350">
        <f t="shared" si="191"/>
        <v>9.3539174006060897</v>
      </c>
    </row>
    <row r="217" spans="1:71" x14ac:dyDescent="0.6">
      <c r="A217" s="214" t="s">
        <v>1788</v>
      </c>
      <c r="B217" s="13" t="s">
        <v>2197</v>
      </c>
      <c r="C217" s="219" t="s">
        <v>1789</v>
      </c>
      <c r="D217" s="14" t="s">
        <v>202</v>
      </c>
      <c r="E217" s="217" t="s">
        <v>954</v>
      </c>
      <c r="F217" s="217" t="s">
        <v>1790</v>
      </c>
      <c r="G217" s="218">
        <v>38251</v>
      </c>
      <c r="H217" s="217" t="s">
        <v>830</v>
      </c>
      <c r="I217" s="217" t="s">
        <v>1791</v>
      </c>
      <c r="J217" s="217" t="s">
        <v>1792</v>
      </c>
      <c r="K217" s="217" t="s">
        <v>91</v>
      </c>
      <c r="L217" s="220">
        <v>233019596</v>
      </c>
      <c r="M217" s="206">
        <v>132560660</v>
      </c>
      <c r="N217" s="206">
        <v>100458936</v>
      </c>
      <c r="O217" s="206">
        <v>236142858</v>
      </c>
      <c r="P217" s="206">
        <v>7431623</v>
      </c>
      <c r="Q217" s="206">
        <v>7265559</v>
      </c>
      <c r="R217" s="206">
        <v>6211434</v>
      </c>
      <c r="S217" s="405">
        <v>0</v>
      </c>
      <c r="T217" s="405">
        <v>0</v>
      </c>
      <c r="U217" s="406">
        <v>0</v>
      </c>
      <c r="V217" s="406">
        <v>0</v>
      </c>
      <c r="W217" s="407">
        <f t="shared" si="205"/>
        <v>0</v>
      </c>
      <c r="X217" s="407">
        <f t="shared" si="206"/>
        <v>100</v>
      </c>
      <c r="Y217" s="408">
        <f t="shared" si="207"/>
        <v>3</v>
      </c>
      <c r="Z217" s="444" t="s">
        <v>3442</v>
      </c>
      <c r="AA217" s="442">
        <v>0</v>
      </c>
      <c r="AB217" s="406">
        <v>1</v>
      </c>
      <c r="AC217" s="406">
        <v>0</v>
      </c>
      <c r="AD217" s="407">
        <f t="shared" si="208"/>
        <v>1</v>
      </c>
      <c r="AE217" s="364" t="str">
        <f t="shared" si="209"/>
        <v>100</v>
      </c>
      <c r="AF217" s="349">
        <f t="shared" si="210"/>
        <v>0.5</v>
      </c>
      <c r="AG217" s="154">
        <v>373</v>
      </c>
      <c r="AH217" s="154">
        <v>63368</v>
      </c>
      <c r="AI217" s="409">
        <f t="shared" si="175"/>
        <v>169.88739946380696</v>
      </c>
      <c r="AJ217" s="409">
        <f t="shared" si="176"/>
        <v>100</v>
      </c>
      <c r="AK217" s="408">
        <f t="shared" si="211"/>
        <v>1</v>
      </c>
      <c r="AL217" s="45">
        <v>27304</v>
      </c>
      <c r="AM217" s="361">
        <f t="shared" si="177"/>
        <v>132.08321125109873</v>
      </c>
      <c r="AN217" s="365">
        <f t="shared" si="199"/>
        <v>49.76560210958101</v>
      </c>
      <c r="AO217" s="320">
        <f t="shared" si="212"/>
        <v>0.49765602109581014</v>
      </c>
      <c r="AP217" s="277">
        <f>_xlfn.XLOOKUP(C217, '1.건전성'!C:C, '1.건전성'!BE:BE)</f>
        <v>8443478</v>
      </c>
      <c r="AQ217" s="277">
        <f>_xlfn.XLOOKUP(C217, '1.건전성'!C:C, '1.건전성'!BF:BF)</f>
        <v>899375</v>
      </c>
      <c r="AR217" s="410">
        <f t="shared" si="178"/>
        <v>9342853</v>
      </c>
      <c r="AS217" s="366">
        <f t="shared" si="173"/>
        <v>3.9564410624690587</v>
      </c>
      <c r="AT217" s="366">
        <f t="shared" si="179"/>
        <v>27.605357584775671</v>
      </c>
      <c r="AU217" s="321">
        <f t="shared" si="180"/>
        <v>0.27605357584775669</v>
      </c>
      <c r="AV217" s="15">
        <v>988235</v>
      </c>
      <c r="AW217" s="361">
        <f t="shared" si="174"/>
        <v>0.41849031911013795</v>
      </c>
      <c r="AX217" s="361">
        <f t="shared" si="181"/>
        <v>27.412805447804075</v>
      </c>
      <c r="AY217" s="321">
        <f t="shared" si="213"/>
        <v>0.13706402723902039</v>
      </c>
      <c r="AZ217" s="411">
        <v>7.9</v>
      </c>
      <c r="BA217" s="412">
        <f t="shared" si="182"/>
        <v>60</v>
      </c>
      <c r="BB217" s="408">
        <f t="shared" si="214"/>
        <v>0.3</v>
      </c>
      <c r="BC217" s="204">
        <v>1</v>
      </c>
      <c r="BD217" s="407">
        <f t="shared" si="203"/>
        <v>100</v>
      </c>
      <c r="BE217" s="408">
        <f t="shared" si="215"/>
        <v>0.5</v>
      </c>
      <c r="BF217" s="204">
        <v>0</v>
      </c>
      <c r="BG217" s="204">
        <v>0</v>
      </c>
      <c r="BH217" s="204">
        <v>0</v>
      </c>
      <c r="BI217" s="272" t="str">
        <f t="shared" si="183"/>
        <v>A</v>
      </c>
      <c r="BJ217" s="247">
        <f t="shared" si="184"/>
        <v>100</v>
      </c>
      <c r="BK217" s="90">
        <f t="shared" si="185"/>
        <v>3</v>
      </c>
      <c r="BL217" s="406">
        <v>0</v>
      </c>
      <c r="BM217" s="413">
        <f t="shared" si="186"/>
        <v>0</v>
      </c>
      <c r="BN217" s="414">
        <f t="shared" si="187"/>
        <v>100</v>
      </c>
      <c r="BO217" s="415">
        <f t="shared" si="188"/>
        <v>3</v>
      </c>
      <c r="BP217" s="416">
        <v>0.01</v>
      </c>
      <c r="BQ217" s="417">
        <f t="shared" si="189"/>
        <v>66.666666666666671</v>
      </c>
      <c r="BR217" s="415">
        <f t="shared" si="190"/>
        <v>0.66666666666666674</v>
      </c>
      <c r="BS217" s="350">
        <f t="shared" si="191"/>
        <v>12.877440290849252</v>
      </c>
    </row>
    <row r="218" spans="1:71" x14ac:dyDescent="0.6">
      <c r="A218" s="214" t="s">
        <v>412</v>
      </c>
      <c r="B218" s="13" t="s">
        <v>2198</v>
      </c>
      <c r="C218" s="219" t="s">
        <v>310</v>
      </c>
      <c r="D218" s="216" t="s">
        <v>285</v>
      </c>
      <c r="E218" s="217" t="s">
        <v>867</v>
      </c>
      <c r="F218" s="217" t="s">
        <v>573</v>
      </c>
      <c r="G218" s="218">
        <v>32844</v>
      </c>
      <c r="H218" s="217" t="s">
        <v>830</v>
      </c>
      <c r="I218" s="217" t="s">
        <v>785</v>
      </c>
      <c r="J218" s="217" t="s">
        <v>656</v>
      </c>
      <c r="K218" s="217" t="s">
        <v>346</v>
      </c>
      <c r="L218" s="220">
        <v>409776787</v>
      </c>
      <c r="M218" s="206">
        <v>290957356</v>
      </c>
      <c r="N218" s="206">
        <v>118819431</v>
      </c>
      <c r="O218" s="206">
        <v>462562008</v>
      </c>
      <c r="P218" s="206">
        <v>3161189</v>
      </c>
      <c r="Q218" s="206">
        <v>2974624</v>
      </c>
      <c r="R218" s="206">
        <v>6061078</v>
      </c>
      <c r="S218" s="405">
        <v>0</v>
      </c>
      <c r="T218" s="405">
        <v>0</v>
      </c>
      <c r="U218" s="406">
        <v>0</v>
      </c>
      <c r="V218" s="406">
        <v>0</v>
      </c>
      <c r="W218" s="407">
        <f t="shared" si="205"/>
        <v>0</v>
      </c>
      <c r="X218" s="407">
        <f t="shared" si="206"/>
        <v>100</v>
      </c>
      <c r="Y218" s="408">
        <f t="shared" si="207"/>
        <v>3</v>
      </c>
      <c r="Z218" s="444" t="s">
        <v>3443</v>
      </c>
      <c r="AA218" s="442">
        <v>0</v>
      </c>
      <c r="AB218" s="406">
        <v>1</v>
      </c>
      <c r="AC218" s="406">
        <v>0</v>
      </c>
      <c r="AD218" s="407">
        <f t="shared" si="208"/>
        <v>1</v>
      </c>
      <c r="AE218" s="364" t="str">
        <f t="shared" si="209"/>
        <v>100</v>
      </c>
      <c r="AF218" s="349">
        <f t="shared" si="210"/>
        <v>0.5</v>
      </c>
      <c r="AG218" s="154">
        <v>501</v>
      </c>
      <c r="AH218" s="154">
        <v>35546</v>
      </c>
      <c r="AI218" s="409">
        <f t="shared" si="175"/>
        <v>70.950099800399201</v>
      </c>
      <c r="AJ218" s="409">
        <f t="shared" si="176"/>
        <v>78.212574850299404</v>
      </c>
      <c r="AK218" s="408">
        <f t="shared" si="211"/>
        <v>0.7821257485029941</v>
      </c>
      <c r="AL218" s="45">
        <v>23361</v>
      </c>
      <c r="AM218" s="361">
        <f t="shared" si="177"/>
        <v>52.159582209665679</v>
      </c>
      <c r="AN218" s="365">
        <f t="shared" si="199"/>
        <v>34.779921664312312</v>
      </c>
      <c r="AO218" s="320">
        <f t="shared" si="212"/>
        <v>0.34779921664312313</v>
      </c>
      <c r="AP218" s="277">
        <f>_xlfn.XLOOKUP(C218, '1.건전성'!C:C, '1.건전성'!BE:BE)</f>
        <v>7854217</v>
      </c>
      <c r="AQ218" s="277">
        <f>_xlfn.XLOOKUP(C218, '1.건전성'!C:C, '1.건전성'!BF:BF)</f>
        <v>800006</v>
      </c>
      <c r="AR218" s="410">
        <f t="shared" si="178"/>
        <v>8654223</v>
      </c>
      <c r="AS218" s="366">
        <f t="shared" si="173"/>
        <v>1.8709325129010597</v>
      </c>
      <c r="AT218" s="366">
        <f t="shared" si="179"/>
        <v>26.033366215754569</v>
      </c>
      <c r="AU218" s="321">
        <f t="shared" si="180"/>
        <v>0.26033366215754572</v>
      </c>
      <c r="AV218" s="15">
        <v>1663827</v>
      </c>
      <c r="AW218" s="361">
        <f t="shared" si="174"/>
        <v>0.35969815316090548</v>
      </c>
      <c r="AX218" s="361">
        <f t="shared" si="181"/>
        <v>26.967410251218983</v>
      </c>
      <c r="AY218" s="321">
        <f t="shared" si="213"/>
        <v>0.13483705125609491</v>
      </c>
      <c r="AZ218" s="411">
        <v>3.5</v>
      </c>
      <c r="BA218" s="412">
        <f t="shared" si="182"/>
        <v>20</v>
      </c>
      <c r="BB218" s="408">
        <f t="shared" si="214"/>
        <v>0.1</v>
      </c>
      <c r="BC218" s="204">
        <v>0</v>
      </c>
      <c r="BD218" s="407">
        <f t="shared" si="203"/>
        <v>50</v>
      </c>
      <c r="BE218" s="408">
        <f t="shared" si="215"/>
        <v>0.25</v>
      </c>
      <c r="BF218" s="204">
        <v>1</v>
      </c>
      <c r="BG218" s="204">
        <v>0</v>
      </c>
      <c r="BH218" s="204">
        <v>0</v>
      </c>
      <c r="BI218" s="272" t="str">
        <f t="shared" si="183"/>
        <v>B</v>
      </c>
      <c r="BJ218" s="247">
        <f t="shared" si="184"/>
        <v>75</v>
      </c>
      <c r="BK218" s="90">
        <f t="shared" si="185"/>
        <v>2.25</v>
      </c>
      <c r="BL218" s="406">
        <v>111</v>
      </c>
      <c r="BM218" s="413">
        <f t="shared" si="186"/>
        <v>22.155688622754489</v>
      </c>
      <c r="BN218" s="414">
        <f t="shared" si="187"/>
        <v>20</v>
      </c>
      <c r="BO218" s="415">
        <f t="shared" si="188"/>
        <v>0.6</v>
      </c>
      <c r="BP218" s="416">
        <v>0</v>
      </c>
      <c r="BQ218" s="417">
        <f t="shared" si="189"/>
        <v>33.333333333333336</v>
      </c>
      <c r="BR218" s="415">
        <f t="shared" si="190"/>
        <v>0.33333333333333337</v>
      </c>
      <c r="BS218" s="350">
        <f t="shared" si="191"/>
        <v>8.5584290118930912</v>
      </c>
    </row>
    <row r="219" spans="1:71" x14ac:dyDescent="0.6">
      <c r="A219" s="214" t="s">
        <v>1793</v>
      </c>
      <c r="B219" s="13" t="s">
        <v>2199</v>
      </c>
      <c r="C219" s="219" t="s">
        <v>1794</v>
      </c>
      <c r="D219" s="14" t="s">
        <v>203</v>
      </c>
      <c r="E219" s="217" t="s">
        <v>1795</v>
      </c>
      <c r="F219" s="217" t="s">
        <v>1796</v>
      </c>
      <c r="G219" s="218">
        <v>31475</v>
      </c>
      <c r="H219" s="217" t="s">
        <v>830</v>
      </c>
      <c r="I219" s="217" t="s">
        <v>1797</v>
      </c>
      <c r="J219" s="217" t="s">
        <v>1798</v>
      </c>
      <c r="K219" s="217" t="s">
        <v>91</v>
      </c>
      <c r="L219" s="220">
        <v>116167864</v>
      </c>
      <c r="M219" s="206">
        <v>60940447</v>
      </c>
      <c r="N219" s="206">
        <v>55227417</v>
      </c>
      <c r="O219" s="206">
        <v>137670991</v>
      </c>
      <c r="P219" s="206">
        <v>3899804</v>
      </c>
      <c r="Q219" s="206">
        <v>2802032</v>
      </c>
      <c r="R219" s="206">
        <v>2347584</v>
      </c>
      <c r="S219" s="405">
        <v>0</v>
      </c>
      <c r="T219" s="405">
        <v>0</v>
      </c>
      <c r="U219" s="406">
        <v>0</v>
      </c>
      <c r="V219" s="406">
        <v>0</v>
      </c>
      <c r="W219" s="407">
        <f t="shared" si="205"/>
        <v>0</v>
      </c>
      <c r="X219" s="407">
        <f t="shared" si="206"/>
        <v>100</v>
      </c>
      <c r="Y219" s="408">
        <f t="shared" si="207"/>
        <v>3</v>
      </c>
      <c r="Z219" s="444" t="s">
        <v>3444</v>
      </c>
      <c r="AA219" s="442">
        <v>0</v>
      </c>
      <c r="AB219" s="406">
        <v>1</v>
      </c>
      <c r="AC219" s="406">
        <v>0</v>
      </c>
      <c r="AD219" s="407">
        <f t="shared" si="208"/>
        <v>1</v>
      </c>
      <c r="AE219" s="364" t="str">
        <f t="shared" si="209"/>
        <v>100</v>
      </c>
      <c r="AF219" s="349">
        <f t="shared" si="210"/>
        <v>0.5</v>
      </c>
      <c r="AG219" s="154">
        <v>97</v>
      </c>
      <c r="AH219" s="421"/>
      <c r="AI219" s="409">
        <f t="shared" si="175"/>
        <v>0</v>
      </c>
      <c r="AJ219" s="409">
        <f t="shared" si="176"/>
        <v>25</v>
      </c>
      <c r="AK219" s="408">
        <f t="shared" si="211"/>
        <v>0.25</v>
      </c>
      <c r="AL219" s="423"/>
      <c r="AM219" s="424">
        <v>0</v>
      </c>
      <c r="AN219" s="365">
        <f t="shared" si="199"/>
        <v>25</v>
      </c>
      <c r="AO219" s="320">
        <f t="shared" si="212"/>
        <v>0.25</v>
      </c>
      <c r="AP219" s="277">
        <f>_xlfn.XLOOKUP(C219, '1.건전성'!C:C, '1.건전성'!BE:BE)</f>
        <v>3741281</v>
      </c>
      <c r="AQ219" s="277">
        <f>_xlfn.XLOOKUP(C219, '1.건전성'!C:C, '1.건전성'!BF:BF)</f>
        <v>440191</v>
      </c>
      <c r="AR219" s="410">
        <f t="shared" si="178"/>
        <v>4181472</v>
      </c>
      <c r="AS219" s="366">
        <f t="shared" si="173"/>
        <v>3.0372934556707012</v>
      </c>
      <c r="AT219" s="366">
        <f t="shared" si="179"/>
        <v>26.91253275553068</v>
      </c>
      <c r="AU219" s="321">
        <f t="shared" si="180"/>
        <v>0.26912532755530683</v>
      </c>
      <c r="AV219" s="15">
        <v>913782</v>
      </c>
      <c r="AW219" s="361">
        <f t="shared" si="174"/>
        <v>0.66374331539459908</v>
      </c>
      <c r="AX219" s="361">
        <f t="shared" si="181"/>
        <v>29.270782692383328</v>
      </c>
      <c r="AY219" s="321">
        <f t="shared" si="213"/>
        <v>0.14635391346191665</v>
      </c>
      <c r="AZ219" s="411">
        <v>8.0500000000000007</v>
      </c>
      <c r="BA219" s="412">
        <f t="shared" si="182"/>
        <v>80</v>
      </c>
      <c r="BB219" s="408">
        <f t="shared" si="214"/>
        <v>0.4</v>
      </c>
      <c r="BC219" s="204">
        <v>0</v>
      </c>
      <c r="BD219" s="407">
        <f t="shared" si="203"/>
        <v>50</v>
      </c>
      <c r="BE219" s="408">
        <f t="shared" si="215"/>
        <v>0.25</v>
      </c>
      <c r="BF219" s="204">
        <v>0</v>
      </c>
      <c r="BG219" s="204">
        <v>0</v>
      </c>
      <c r="BH219" s="204">
        <v>0</v>
      </c>
      <c r="BI219" s="272" t="str">
        <f t="shared" si="183"/>
        <v>A</v>
      </c>
      <c r="BJ219" s="247">
        <f t="shared" si="184"/>
        <v>100</v>
      </c>
      <c r="BK219" s="90">
        <f t="shared" si="185"/>
        <v>3</v>
      </c>
      <c r="BL219" s="406">
        <v>20</v>
      </c>
      <c r="BM219" s="413">
        <f t="shared" si="186"/>
        <v>20.618556701030926</v>
      </c>
      <c r="BN219" s="414">
        <f t="shared" si="187"/>
        <v>20</v>
      </c>
      <c r="BO219" s="415">
        <f t="shared" si="188"/>
        <v>0.6</v>
      </c>
      <c r="BP219" s="416">
        <v>0</v>
      </c>
      <c r="BQ219" s="417">
        <f t="shared" si="189"/>
        <v>33.333333333333336</v>
      </c>
      <c r="BR219" s="415">
        <f t="shared" si="190"/>
        <v>0.33333333333333337</v>
      </c>
      <c r="BS219" s="350">
        <f t="shared" si="191"/>
        <v>8.9988125743505574</v>
      </c>
    </row>
    <row r="220" spans="1:71" x14ac:dyDescent="0.6">
      <c r="A220" s="214" t="s">
        <v>508</v>
      </c>
      <c r="B220" s="13" t="s">
        <v>2200</v>
      </c>
      <c r="C220" s="219" t="s">
        <v>460</v>
      </c>
      <c r="D220" s="216" t="s">
        <v>191</v>
      </c>
      <c r="E220" s="217" t="s">
        <v>34</v>
      </c>
      <c r="F220" s="217" t="s">
        <v>134</v>
      </c>
      <c r="G220" s="218">
        <v>27269</v>
      </c>
      <c r="H220" s="217" t="s">
        <v>830</v>
      </c>
      <c r="I220" s="217" t="s">
        <v>1799</v>
      </c>
      <c r="J220" s="217" t="s">
        <v>1071</v>
      </c>
      <c r="K220" s="217" t="s">
        <v>690</v>
      </c>
      <c r="L220" s="220">
        <v>348763942</v>
      </c>
      <c r="M220" s="206">
        <v>159228662</v>
      </c>
      <c r="N220" s="206">
        <v>189535280</v>
      </c>
      <c r="O220" s="206">
        <v>235057199</v>
      </c>
      <c r="P220" s="206">
        <v>11763437</v>
      </c>
      <c r="Q220" s="206">
        <v>12291336</v>
      </c>
      <c r="R220" s="206">
        <v>9393997</v>
      </c>
      <c r="S220" s="405">
        <v>0</v>
      </c>
      <c r="T220" s="405">
        <v>0</v>
      </c>
      <c r="U220" s="406">
        <v>0</v>
      </c>
      <c r="V220" s="406">
        <v>0</v>
      </c>
      <c r="W220" s="407">
        <f t="shared" si="205"/>
        <v>0</v>
      </c>
      <c r="X220" s="407">
        <f t="shared" si="206"/>
        <v>100</v>
      </c>
      <c r="Y220" s="408">
        <f t="shared" si="207"/>
        <v>3</v>
      </c>
      <c r="Z220" s="444" t="s">
        <v>3445</v>
      </c>
      <c r="AA220" s="442">
        <v>0</v>
      </c>
      <c r="AB220" s="406">
        <v>0</v>
      </c>
      <c r="AC220" s="406">
        <v>0</v>
      </c>
      <c r="AD220" s="407">
        <f t="shared" si="208"/>
        <v>0</v>
      </c>
      <c r="AE220" s="364" t="str">
        <f t="shared" si="209"/>
        <v>50</v>
      </c>
      <c r="AF220" s="349">
        <f t="shared" si="210"/>
        <v>0.25</v>
      </c>
      <c r="AG220" s="154">
        <v>655</v>
      </c>
      <c r="AH220" s="154">
        <v>484535</v>
      </c>
      <c r="AI220" s="409">
        <f t="shared" si="175"/>
        <v>739.74809160305347</v>
      </c>
      <c r="AJ220" s="409">
        <f t="shared" si="176"/>
        <v>100</v>
      </c>
      <c r="AK220" s="408">
        <f t="shared" si="211"/>
        <v>1</v>
      </c>
      <c r="AL220" s="45">
        <v>283475</v>
      </c>
      <c r="AM220" s="361">
        <f t="shared" si="177"/>
        <v>70.926889496428259</v>
      </c>
      <c r="AN220" s="365">
        <f t="shared" si="199"/>
        <v>38.298791780580295</v>
      </c>
      <c r="AO220" s="320">
        <f t="shared" si="212"/>
        <v>0.38298791780580294</v>
      </c>
      <c r="AP220" s="277">
        <f>_xlfn.XLOOKUP(C220, '1.건전성'!C:C, '1.건전성'!BE:BE)</f>
        <v>36745290</v>
      </c>
      <c r="AQ220" s="277">
        <f>_xlfn.XLOOKUP(C220, '1.건전성'!C:C, '1.건전성'!BF:BF)</f>
        <v>2344389</v>
      </c>
      <c r="AR220" s="410">
        <f t="shared" si="178"/>
        <v>39089679</v>
      </c>
      <c r="AS220" s="366">
        <f t="shared" si="173"/>
        <v>16.629858249948771</v>
      </c>
      <c r="AT220" s="366">
        <f t="shared" si="179"/>
        <v>37.158184610514148</v>
      </c>
      <c r="AU220" s="321">
        <f t="shared" si="180"/>
        <v>0.3715818461051415</v>
      </c>
      <c r="AV220" s="15">
        <v>3677430</v>
      </c>
      <c r="AW220" s="361">
        <f t="shared" si="174"/>
        <v>1.5644830346166083</v>
      </c>
      <c r="AX220" s="361">
        <f t="shared" si="181"/>
        <v>36.094568444065217</v>
      </c>
      <c r="AY220" s="321">
        <f t="shared" si="213"/>
        <v>0.18047284222032609</v>
      </c>
      <c r="AZ220" s="411">
        <v>9.1999999999999993</v>
      </c>
      <c r="BA220" s="412">
        <f t="shared" si="182"/>
        <v>80</v>
      </c>
      <c r="BB220" s="408">
        <f t="shared" si="214"/>
        <v>0.4</v>
      </c>
      <c r="BC220" s="204">
        <v>1</v>
      </c>
      <c r="BD220" s="407">
        <f t="shared" si="203"/>
        <v>100</v>
      </c>
      <c r="BE220" s="408">
        <f t="shared" si="215"/>
        <v>0.5</v>
      </c>
      <c r="BF220" s="204">
        <v>0</v>
      </c>
      <c r="BG220" s="204">
        <v>0</v>
      </c>
      <c r="BH220" s="204">
        <v>0</v>
      </c>
      <c r="BI220" s="272" t="str">
        <f t="shared" si="183"/>
        <v>A</v>
      </c>
      <c r="BJ220" s="247">
        <f t="shared" si="184"/>
        <v>100</v>
      </c>
      <c r="BK220" s="90">
        <f t="shared" si="185"/>
        <v>3</v>
      </c>
      <c r="BL220" s="406">
        <v>7</v>
      </c>
      <c r="BM220" s="413">
        <f t="shared" si="186"/>
        <v>1.0687022900763359</v>
      </c>
      <c r="BN220" s="414">
        <f t="shared" si="187"/>
        <v>60</v>
      </c>
      <c r="BO220" s="415">
        <f t="shared" si="188"/>
        <v>1.7999999999999998</v>
      </c>
      <c r="BP220" s="416">
        <v>0.01</v>
      </c>
      <c r="BQ220" s="417">
        <f t="shared" si="189"/>
        <v>66.666666666666671</v>
      </c>
      <c r="BR220" s="415">
        <f t="shared" si="190"/>
        <v>0.66666666666666674</v>
      </c>
      <c r="BS220" s="350">
        <f t="shared" si="191"/>
        <v>11.551709272797938</v>
      </c>
    </row>
    <row r="221" spans="1:71" x14ac:dyDescent="0.6">
      <c r="A221" s="214" t="s">
        <v>362</v>
      </c>
      <c r="B221" s="13" t="s">
        <v>2201</v>
      </c>
      <c r="C221" s="219" t="s">
        <v>490</v>
      </c>
      <c r="D221" s="216" t="s">
        <v>202</v>
      </c>
      <c r="E221" s="217" t="s">
        <v>613</v>
      </c>
      <c r="F221" s="217">
        <v>0</v>
      </c>
      <c r="G221" s="218">
        <v>39661</v>
      </c>
      <c r="H221" s="217" t="s">
        <v>830</v>
      </c>
      <c r="I221" s="217" t="s">
        <v>214</v>
      </c>
      <c r="J221" s="1" t="s">
        <v>2307</v>
      </c>
      <c r="K221" s="217" t="s">
        <v>690</v>
      </c>
      <c r="L221" s="220">
        <v>818333453</v>
      </c>
      <c r="M221" s="206">
        <v>480040681</v>
      </c>
      <c r="N221" s="206">
        <v>338292772</v>
      </c>
      <c r="O221" s="206">
        <v>1132474477</v>
      </c>
      <c r="P221" s="206">
        <v>29176389</v>
      </c>
      <c r="Q221" s="206">
        <v>25221767</v>
      </c>
      <c r="R221" s="206">
        <v>22259261</v>
      </c>
      <c r="S221" s="405">
        <v>0</v>
      </c>
      <c r="T221" s="405">
        <v>0</v>
      </c>
      <c r="U221" s="406">
        <v>0</v>
      </c>
      <c r="V221" s="406">
        <v>0</v>
      </c>
      <c r="W221" s="407">
        <f t="shared" si="205"/>
        <v>0</v>
      </c>
      <c r="X221" s="407">
        <f t="shared" si="206"/>
        <v>100</v>
      </c>
      <c r="Y221" s="408">
        <f t="shared" si="207"/>
        <v>3</v>
      </c>
      <c r="Z221" s="444" t="s">
        <v>3446</v>
      </c>
      <c r="AA221" s="442">
        <v>0</v>
      </c>
      <c r="AB221" s="406">
        <v>1</v>
      </c>
      <c r="AC221" s="406">
        <v>0</v>
      </c>
      <c r="AD221" s="407">
        <f t="shared" si="208"/>
        <v>1</v>
      </c>
      <c r="AE221" s="364" t="str">
        <f t="shared" si="209"/>
        <v>100</v>
      </c>
      <c r="AF221" s="349">
        <f t="shared" si="210"/>
        <v>0.5</v>
      </c>
      <c r="AG221" s="154">
        <v>836</v>
      </c>
      <c r="AH221" s="421"/>
      <c r="AI221" s="409">
        <f t="shared" si="175"/>
        <v>0</v>
      </c>
      <c r="AJ221" s="409">
        <f t="shared" si="176"/>
        <v>25</v>
      </c>
      <c r="AK221" s="408">
        <f t="shared" si="211"/>
        <v>0.25</v>
      </c>
      <c r="AL221" s="423"/>
      <c r="AM221" s="424">
        <v>0</v>
      </c>
      <c r="AN221" s="365">
        <f t="shared" si="199"/>
        <v>25</v>
      </c>
      <c r="AO221" s="320">
        <f t="shared" si="212"/>
        <v>0.25</v>
      </c>
      <c r="AP221" s="277">
        <f>_xlfn.XLOOKUP(C221, '1.건전성'!C:C, '1.건전성'!BE:BE)</f>
        <v>15399331</v>
      </c>
      <c r="AQ221" s="277">
        <f>_xlfn.XLOOKUP(C221, '1.건전성'!C:C, '1.건전성'!BF:BF)</f>
        <v>912985</v>
      </c>
      <c r="AR221" s="410">
        <f t="shared" si="178"/>
        <v>16312316</v>
      </c>
      <c r="AS221" s="366">
        <f t="shared" si="173"/>
        <v>1.4404135661593369</v>
      </c>
      <c r="AT221" s="366">
        <f t="shared" si="179"/>
        <v>25.708854446853771</v>
      </c>
      <c r="AU221" s="321">
        <f t="shared" si="180"/>
        <v>0.25708854446853768</v>
      </c>
      <c r="AV221" s="15">
        <v>1912607</v>
      </c>
      <c r="AW221" s="361">
        <f t="shared" si="174"/>
        <v>0.16888742650223984</v>
      </c>
      <c r="AX221" s="361">
        <f t="shared" si="181"/>
        <v>25.521874443198787</v>
      </c>
      <c r="AY221" s="321">
        <f t="shared" si="213"/>
        <v>0.12760937221599394</v>
      </c>
      <c r="AZ221" s="411">
        <v>9.9</v>
      </c>
      <c r="BA221" s="412">
        <f t="shared" si="182"/>
        <v>80</v>
      </c>
      <c r="BB221" s="408">
        <f t="shared" si="214"/>
        <v>0.4</v>
      </c>
      <c r="BC221" s="204">
        <v>1</v>
      </c>
      <c r="BD221" s="407">
        <f t="shared" si="203"/>
        <v>100</v>
      </c>
      <c r="BE221" s="408">
        <f t="shared" si="215"/>
        <v>0.5</v>
      </c>
      <c r="BF221" s="204">
        <v>0</v>
      </c>
      <c r="BG221" s="204">
        <v>0</v>
      </c>
      <c r="BH221" s="204">
        <v>0</v>
      </c>
      <c r="BI221" s="272" t="str">
        <f t="shared" si="183"/>
        <v>A</v>
      </c>
      <c r="BJ221" s="247">
        <f t="shared" si="184"/>
        <v>100</v>
      </c>
      <c r="BK221" s="90">
        <f t="shared" si="185"/>
        <v>3</v>
      </c>
      <c r="BL221" s="406">
        <v>37</v>
      </c>
      <c r="BM221" s="413">
        <f t="shared" si="186"/>
        <v>4.4258373205741632</v>
      </c>
      <c r="BN221" s="414">
        <f t="shared" si="187"/>
        <v>40</v>
      </c>
      <c r="BO221" s="415">
        <f t="shared" si="188"/>
        <v>1.2</v>
      </c>
      <c r="BP221" s="416">
        <v>0</v>
      </c>
      <c r="BQ221" s="417">
        <f t="shared" si="189"/>
        <v>33.333333333333336</v>
      </c>
      <c r="BR221" s="415">
        <f t="shared" si="190"/>
        <v>0.33333333333333337</v>
      </c>
      <c r="BS221" s="350">
        <f t="shared" si="191"/>
        <v>9.8180312500178655</v>
      </c>
    </row>
    <row r="222" spans="1:71" x14ac:dyDescent="0.6">
      <c r="A222" s="214" t="s">
        <v>1800</v>
      </c>
      <c r="B222" s="13" t="s">
        <v>2202</v>
      </c>
      <c r="C222" s="219" t="s">
        <v>1801</v>
      </c>
      <c r="D222" s="14" t="s">
        <v>285</v>
      </c>
      <c r="E222" s="217" t="s">
        <v>1802</v>
      </c>
      <c r="F222" s="217" t="s">
        <v>1803</v>
      </c>
      <c r="G222" s="218">
        <v>44440</v>
      </c>
      <c r="H222" s="217" t="s">
        <v>830</v>
      </c>
      <c r="I222" s="217" t="s">
        <v>1804</v>
      </c>
      <c r="J222" s="217" t="s">
        <v>1805</v>
      </c>
      <c r="K222" s="217" t="s">
        <v>320</v>
      </c>
      <c r="L222" s="220">
        <v>342505451</v>
      </c>
      <c r="M222" s="206">
        <v>27786558</v>
      </c>
      <c r="N222" s="206">
        <v>314718893</v>
      </c>
      <c r="O222" s="206">
        <v>109080826</v>
      </c>
      <c r="P222" s="206">
        <v>2772988</v>
      </c>
      <c r="Q222" s="206">
        <v>8635778</v>
      </c>
      <c r="R222" s="206">
        <v>7043345</v>
      </c>
      <c r="S222" s="405">
        <v>0</v>
      </c>
      <c r="T222" s="405">
        <v>0</v>
      </c>
      <c r="U222" s="406">
        <v>0</v>
      </c>
      <c r="V222" s="406">
        <v>0</v>
      </c>
      <c r="W222" s="407">
        <f t="shared" si="205"/>
        <v>0</v>
      </c>
      <c r="X222" s="407">
        <f t="shared" si="206"/>
        <v>100</v>
      </c>
      <c r="Y222" s="408">
        <f t="shared" si="207"/>
        <v>3</v>
      </c>
      <c r="Z222" s="444" t="s">
        <v>3447</v>
      </c>
      <c r="AA222" s="442">
        <v>0</v>
      </c>
      <c r="AB222" s="406">
        <v>0</v>
      </c>
      <c r="AC222" s="406">
        <v>0</v>
      </c>
      <c r="AD222" s="407">
        <f t="shared" si="208"/>
        <v>0</v>
      </c>
      <c r="AE222" s="364" t="str">
        <f t="shared" si="209"/>
        <v>50</v>
      </c>
      <c r="AF222" s="349">
        <f t="shared" si="210"/>
        <v>0.25</v>
      </c>
      <c r="AG222" s="154">
        <v>199</v>
      </c>
      <c r="AH222" s="421"/>
      <c r="AI222" s="409">
        <f t="shared" si="175"/>
        <v>0</v>
      </c>
      <c r="AJ222" s="409">
        <f t="shared" si="176"/>
        <v>25</v>
      </c>
      <c r="AK222" s="408">
        <f t="shared" si="211"/>
        <v>0.25</v>
      </c>
      <c r="AL222" s="423"/>
      <c r="AM222" s="424">
        <v>0</v>
      </c>
      <c r="AN222" s="365">
        <f t="shared" si="199"/>
        <v>25</v>
      </c>
      <c r="AO222" s="320">
        <f t="shared" si="212"/>
        <v>0.25</v>
      </c>
      <c r="AP222" s="277">
        <f>_xlfn.XLOOKUP(C222, '1.건전성'!C:C, '1.건전성'!BE:BE)</f>
        <v>3972216</v>
      </c>
      <c r="AQ222" s="277">
        <f>_xlfn.XLOOKUP(C222, '1.건전성'!C:C, '1.건전성'!BF:BF)</f>
        <v>293864</v>
      </c>
      <c r="AR222" s="410">
        <f t="shared" si="178"/>
        <v>4266080</v>
      </c>
      <c r="AS222" s="366">
        <f t="shared" si="173"/>
        <v>3.9109348145200147</v>
      </c>
      <c r="AT222" s="366">
        <f t="shared" si="179"/>
        <v>27.571056392854281</v>
      </c>
      <c r="AU222" s="321">
        <f t="shared" si="180"/>
        <v>0.27571056392854282</v>
      </c>
      <c r="AV222" s="15">
        <v>857811</v>
      </c>
      <c r="AW222" s="361">
        <f t="shared" si="174"/>
        <v>0.7863994355891657</v>
      </c>
      <c r="AX222" s="361">
        <f t="shared" si="181"/>
        <v>30.199995724160345</v>
      </c>
      <c r="AY222" s="321">
        <f t="shared" si="213"/>
        <v>0.15099997862080172</v>
      </c>
      <c r="AZ222" s="411">
        <v>5.16</v>
      </c>
      <c r="BA222" s="412">
        <f t="shared" si="182"/>
        <v>40</v>
      </c>
      <c r="BB222" s="408">
        <f t="shared" si="214"/>
        <v>0.2</v>
      </c>
      <c r="BC222" s="204">
        <v>1</v>
      </c>
      <c r="BD222" s="407">
        <f t="shared" si="203"/>
        <v>100</v>
      </c>
      <c r="BE222" s="408">
        <f t="shared" si="215"/>
        <v>0.5</v>
      </c>
      <c r="BF222" s="204">
        <v>1</v>
      </c>
      <c r="BG222" s="204">
        <v>1</v>
      </c>
      <c r="BH222" s="204">
        <v>0</v>
      </c>
      <c r="BI222" s="272" t="str">
        <f t="shared" si="183"/>
        <v>C</v>
      </c>
      <c r="BJ222" s="247">
        <f t="shared" si="184"/>
        <v>50</v>
      </c>
      <c r="BK222" s="90">
        <f t="shared" si="185"/>
        <v>1.5</v>
      </c>
      <c r="BL222" s="406">
        <v>37</v>
      </c>
      <c r="BM222" s="413">
        <f t="shared" si="186"/>
        <v>18.592964824120603</v>
      </c>
      <c r="BN222" s="414">
        <f t="shared" si="187"/>
        <v>20</v>
      </c>
      <c r="BO222" s="415">
        <f t="shared" si="188"/>
        <v>0.6</v>
      </c>
      <c r="BP222" s="416">
        <v>0.82</v>
      </c>
      <c r="BQ222" s="417">
        <f t="shared" si="189"/>
        <v>66.666666666666671</v>
      </c>
      <c r="BR222" s="415">
        <f t="shared" si="190"/>
        <v>0.66666666666666674</v>
      </c>
      <c r="BS222" s="350">
        <f t="shared" si="191"/>
        <v>7.6433772092160117</v>
      </c>
    </row>
    <row r="223" spans="1:71" x14ac:dyDescent="0.6">
      <c r="A223" s="214" t="s">
        <v>93</v>
      </c>
      <c r="B223" s="13" t="s">
        <v>2203</v>
      </c>
      <c r="C223" s="219" t="s">
        <v>517</v>
      </c>
      <c r="D223" s="216" t="s">
        <v>285</v>
      </c>
      <c r="E223" s="217" t="s">
        <v>626</v>
      </c>
      <c r="F223" s="217" t="s">
        <v>129</v>
      </c>
      <c r="G223" s="218">
        <v>43775</v>
      </c>
      <c r="H223" s="217" t="s">
        <v>830</v>
      </c>
      <c r="I223" s="217" t="s">
        <v>837</v>
      </c>
      <c r="J223" s="217" t="s">
        <v>1119</v>
      </c>
      <c r="K223" s="217" t="s">
        <v>91</v>
      </c>
      <c r="L223" s="220">
        <v>753639957</v>
      </c>
      <c r="M223" s="206">
        <v>284239813</v>
      </c>
      <c r="N223" s="206">
        <v>469400144</v>
      </c>
      <c r="O223" s="206">
        <v>589689077</v>
      </c>
      <c r="P223" s="206">
        <v>92750362</v>
      </c>
      <c r="Q223" s="206">
        <v>95830158</v>
      </c>
      <c r="R223" s="206">
        <v>72515496</v>
      </c>
      <c r="S223" s="405">
        <v>0</v>
      </c>
      <c r="T223" s="405">
        <v>0</v>
      </c>
      <c r="U223" s="406">
        <v>0</v>
      </c>
      <c r="V223" s="406">
        <v>0</v>
      </c>
      <c r="W223" s="407">
        <f t="shared" si="205"/>
        <v>0</v>
      </c>
      <c r="X223" s="407">
        <f t="shared" si="206"/>
        <v>100</v>
      </c>
      <c r="Y223" s="408">
        <f t="shared" si="207"/>
        <v>3</v>
      </c>
      <c r="Z223" s="444" t="s">
        <v>3448</v>
      </c>
      <c r="AA223" s="442">
        <v>0</v>
      </c>
      <c r="AB223" s="406">
        <v>0</v>
      </c>
      <c r="AC223" s="406">
        <v>0</v>
      </c>
      <c r="AD223" s="407">
        <f t="shared" si="208"/>
        <v>0</v>
      </c>
      <c r="AE223" s="364" t="str">
        <f t="shared" si="209"/>
        <v>50</v>
      </c>
      <c r="AF223" s="349">
        <f t="shared" si="210"/>
        <v>0.25</v>
      </c>
      <c r="AG223" s="154">
        <v>2121</v>
      </c>
      <c r="AH223" s="421"/>
      <c r="AI223" s="409">
        <f t="shared" si="175"/>
        <v>0</v>
      </c>
      <c r="AJ223" s="409">
        <f t="shared" si="176"/>
        <v>25</v>
      </c>
      <c r="AK223" s="408">
        <f t="shared" si="211"/>
        <v>0.25</v>
      </c>
      <c r="AL223" s="423"/>
      <c r="AM223" s="424">
        <v>0</v>
      </c>
      <c r="AN223" s="365">
        <f t="shared" si="199"/>
        <v>25</v>
      </c>
      <c r="AO223" s="320">
        <f t="shared" si="212"/>
        <v>0.25</v>
      </c>
      <c r="AP223" s="277">
        <f>_xlfn.XLOOKUP(C223, '1.건전성'!C:C, '1.건전성'!BE:BE)</f>
        <v>7304487</v>
      </c>
      <c r="AQ223" s="277">
        <f>_xlfn.XLOOKUP(C223, '1.건전성'!C:C, '1.건전성'!BF:BF)</f>
        <v>613706</v>
      </c>
      <c r="AR223" s="410">
        <f t="shared" si="178"/>
        <v>7918193</v>
      </c>
      <c r="AS223" s="366">
        <f t="shared" si="173"/>
        <v>1.3427742362607811</v>
      </c>
      <c r="AT223" s="366">
        <f t="shared" si="179"/>
        <v>25.635256962005613</v>
      </c>
      <c r="AU223" s="321">
        <f t="shared" si="180"/>
        <v>0.25635256962005615</v>
      </c>
      <c r="AV223" s="15">
        <v>734398</v>
      </c>
      <c r="AW223" s="361">
        <f t="shared" si="174"/>
        <v>0.12453986832114917</v>
      </c>
      <c r="AX223" s="361">
        <f t="shared" si="181"/>
        <v>25.185908093342039</v>
      </c>
      <c r="AY223" s="321">
        <f t="shared" si="213"/>
        <v>0.1259295404667102</v>
      </c>
      <c r="AZ223" s="411">
        <v>3.1</v>
      </c>
      <c r="BA223" s="412">
        <f t="shared" si="182"/>
        <v>20</v>
      </c>
      <c r="BB223" s="408">
        <f t="shared" si="214"/>
        <v>0.1</v>
      </c>
      <c r="BC223" s="204">
        <v>1</v>
      </c>
      <c r="BD223" s="407">
        <f t="shared" si="203"/>
        <v>100</v>
      </c>
      <c r="BE223" s="408">
        <f t="shared" si="215"/>
        <v>0.5</v>
      </c>
      <c r="BF223" s="204">
        <v>0</v>
      </c>
      <c r="BG223" s="204">
        <v>1</v>
      </c>
      <c r="BH223" s="204">
        <v>1</v>
      </c>
      <c r="BI223" s="272" t="str">
        <f t="shared" si="183"/>
        <v>D</v>
      </c>
      <c r="BJ223" s="247">
        <f t="shared" si="184"/>
        <v>25</v>
      </c>
      <c r="BK223" s="90">
        <f t="shared" si="185"/>
        <v>0.75</v>
      </c>
      <c r="BL223" s="406">
        <v>1503</v>
      </c>
      <c r="BM223" s="413">
        <f t="shared" si="186"/>
        <v>70.862800565770868</v>
      </c>
      <c r="BN223" s="414">
        <f t="shared" si="187"/>
        <v>20</v>
      </c>
      <c r="BO223" s="415">
        <f t="shared" si="188"/>
        <v>0.6</v>
      </c>
      <c r="BP223" s="416">
        <v>4.3899999999999997</v>
      </c>
      <c r="BQ223" s="417">
        <f t="shared" si="189"/>
        <v>66.666666666666671</v>
      </c>
      <c r="BR223" s="415">
        <f t="shared" si="190"/>
        <v>0.66666666666666674</v>
      </c>
      <c r="BS223" s="350">
        <f t="shared" si="191"/>
        <v>6.7489487767534317</v>
      </c>
    </row>
    <row r="224" spans="1:71" x14ac:dyDescent="0.6">
      <c r="A224" s="214" t="s">
        <v>917</v>
      </c>
      <c r="B224" s="13" t="s">
        <v>2204</v>
      </c>
      <c r="C224" s="219" t="s">
        <v>13</v>
      </c>
      <c r="D224" s="216" t="s">
        <v>285</v>
      </c>
      <c r="E224" s="217" t="s">
        <v>796</v>
      </c>
      <c r="F224" s="217" t="s">
        <v>1099</v>
      </c>
      <c r="G224" s="218">
        <v>35857</v>
      </c>
      <c r="H224" s="217" t="s">
        <v>830</v>
      </c>
      <c r="I224" s="217" t="s">
        <v>841</v>
      </c>
      <c r="J224" s="217" t="s">
        <v>1137</v>
      </c>
      <c r="K224" s="217" t="s">
        <v>91</v>
      </c>
      <c r="L224" s="220">
        <v>1328473794</v>
      </c>
      <c r="M224" s="206">
        <v>623497507</v>
      </c>
      <c r="N224" s="206">
        <v>704976287</v>
      </c>
      <c r="O224" s="206">
        <v>1280522528</v>
      </c>
      <c r="P224" s="206">
        <v>100830968</v>
      </c>
      <c r="Q224" s="206">
        <v>95133282</v>
      </c>
      <c r="R224" s="206">
        <v>62923623</v>
      </c>
      <c r="S224" s="405">
        <v>0</v>
      </c>
      <c r="T224" s="405">
        <v>0</v>
      </c>
      <c r="U224" s="406">
        <v>0</v>
      </c>
      <c r="V224" s="406">
        <v>0</v>
      </c>
      <c r="W224" s="407">
        <f t="shared" si="205"/>
        <v>0</v>
      </c>
      <c r="X224" s="407">
        <f t="shared" si="206"/>
        <v>100</v>
      </c>
      <c r="Y224" s="408">
        <f t="shared" si="207"/>
        <v>3</v>
      </c>
      <c r="Z224" s="444" t="s">
        <v>3449</v>
      </c>
      <c r="AA224" s="442">
        <v>0</v>
      </c>
      <c r="AB224" s="406">
        <v>0</v>
      </c>
      <c r="AC224" s="406">
        <v>0</v>
      </c>
      <c r="AD224" s="407">
        <f t="shared" si="208"/>
        <v>0</v>
      </c>
      <c r="AE224" s="364" t="str">
        <f t="shared" si="209"/>
        <v>50</v>
      </c>
      <c r="AF224" s="349">
        <f t="shared" si="210"/>
        <v>0.25</v>
      </c>
      <c r="AG224" s="154">
        <v>1410</v>
      </c>
      <c r="AH224" s="421"/>
      <c r="AI224" s="409">
        <f t="shared" si="175"/>
        <v>0</v>
      </c>
      <c r="AJ224" s="409">
        <f t="shared" si="176"/>
        <v>25</v>
      </c>
      <c r="AK224" s="408">
        <f t="shared" si="211"/>
        <v>0.25</v>
      </c>
      <c r="AL224" s="423"/>
      <c r="AM224" s="424">
        <v>0</v>
      </c>
      <c r="AN224" s="365">
        <f t="shared" si="199"/>
        <v>25</v>
      </c>
      <c r="AO224" s="320">
        <f t="shared" si="212"/>
        <v>0.25</v>
      </c>
      <c r="AP224" s="277">
        <f>_xlfn.XLOOKUP(C224, '1.건전성'!C:C, '1.건전성'!BE:BE)</f>
        <v>155997836</v>
      </c>
      <c r="AQ224" s="277">
        <f>_xlfn.XLOOKUP(C224, '1.건전성'!C:C, '1.건전성'!BF:BF)</f>
        <v>10040548</v>
      </c>
      <c r="AR224" s="410">
        <f t="shared" si="178"/>
        <v>166038384</v>
      </c>
      <c r="AS224" s="366">
        <f t="shared" si="173"/>
        <v>12.966455518695879</v>
      </c>
      <c r="AT224" s="366">
        <f t="shared" si="179"/>
        <v>34.396825767861216</v>
      </c>
      <c r="AU224" s="321">
        <f t="shared" si="180"/>
        <v>0.34396825767861217</v>
      </c>
      <c r="AV224" s="15">
        <v>28046314</v>
      </c>
      <c r="AW224" s="361">
        <f t="shared" si="174"/>
        <v>2.1902241769853505</v>
      </c>
      <c r="AX224" s="361">
        <f t="shared" si="181"/>
        <v>40.835031643828415</v>
      </c>
      <c r="AY224" s="321">
        <f t="shared" si="213"/>
        <v>0.20417515821914209</v>
      </c>
      <c r="AZ224" s="411">
        <v>9.5500000000000007</v>
      </c>
      <c r="BA224" s="412">
        <f t="shared" si="182"/>
        <v>80</v>
      </c>
      <c r="BB224" s="408">
        <f t="shared" si="214"/>
        <v>0.4</v>
      </c>
      <c r="BC224" s="204">
        <v>1</v>
      </c>
      <c r="BD224" s="407">
        <f t="shared" si="203"/>
        <v>100</v>
      </c>
      <c r="BE224" s="408">
        <f t="shared" si="215"/>
        <v>0.5</v>
      </c>
      <c r="BF224" s="204">
        <v>0</v>
      </c>
      <c r="BG224" s="204">
        <v>1</v>
      </c>
      <c r="BH224" s="204">
        <v>0</v>
      </c>
      <c r="BI224" s="272" t="str">
        <f t="shared" si="183"/>
        <v>C</v>
      </c>
      <c r="BJ224" s="247">
        <f t="shared" si="184"/>
        <v>50</v>
      </c>
      <c r="BK224" s="90">
        <f t="shared" si="185"/>
        <v>1.5</v>
      </c>
      <c r="BL224" s="406">
        <v>30</v>
      </c>
      <c r="BM224" s="413">
        <f t="shared" si="186"/>
        <v>2.1276595744680851</v>
      </c>
      <c r="BN224" s="414">
        <f t="shared" si="187"/>
        <v>60</v>
      </c>
      <c r="BO224" s="415">
        <f t="shared" si="188"/>
        <v>1.7999999999999998</v>
      </c>
      <c r="BP224" s="416">
        <v>0</v>
      </c>
      <c r="BQ224" s="417">
        <f t="shared" si="189"/>
        <v>33.333333333333336</v>
      </c>
      <c r="BR224" s="415">
        <f t="shared" si="190"/>
        <v>0.33333333333333337</v>
      </c>
      <c r="BS224" s="350">
        <f t="shared" si="191"/>
        <v>8.8314767492310882</v>
      </c>
    </row>
    <row r="225" spans="1:71" x14ac:dyDescent="0.6">
      <c r="A225" s="214" t="s">
        <v>55</v>
      </c>
      <c r="B225" s="13" t="s">
        <v>2205</v>
      </c>
      <c r="C225" s="219" t="s">
        <v>356</v>
      </c>
      <c r="D225" s="216" t="s">
        <v>203</v>
      </c>
      <c r="E225" s="217" t="s">
        <v>583</v>
      </c>
      <c r="F225" s="217" t="s">
        <v>1084</v>
      </c>
      <c r="G225" s="218">
        <v>38695</v>
      </c>
      <c r="H225" s="217" t="s">
        <v>830</v>
      </c>
      <c r="I225" s="217" t="s">
        <v>1120</v>
      </c>
      <c r="J225" s="217" t="s">
        <v>1198</v>
      </c>
      <c r="K225" s="217" t="s">
        <v>31</v>
      </c>
      <c r="L225" s="220">
        <v>89562390</v>
      </c>
      <c r="M225" s="206">
        <v>12372096</v>
      </c>
      <c r="N225" s="206">
        <v>77190293</v>
      </c>
      <c r="O225" s="206">
        <v>71732783</v>
      </c>
      <c r="P225" s="206">
        <v>2955130</v>
      </c>
      <c r="Q225" s="206">
        <v>147493</v>
      </c>
      <c r="R225" s="206">
        <v>19601</v>
      </c>
      <c r="S225" s="405">
        <v>0</v>
      </c>
      <c r="T225" s="405">
        <v>0</v>
      </c>
      <c r="U225" s="406">
        <v>0</v>
      </c>
      <c r="V225" s="406">
        <v>0</v>
      </c>
      <c r="W225" s="407">
        <f t="shared" si="205"/>
        <v>0</v>
      </c>
      <c r="X225" s="407">
        <f t="shared" si="206"/>
        <v>100</v>
      </c>
      <c r="Y225" s="408">
        <f t="shared" si="207"/>
        <v>3</v>
      </c>
      <c r="Z225" s="444" t="s">
        <v>3450</v>
      </c>
      <c r="AA225" s="442">
        <v>0</v>
      </c>
      <c r="AB225" s="406">
        <v>0</v>
      </c>
      <c r="AC225" s="406">
        <v>0</v>
      </c>
      <c r="AD225" s="407">
        <f t="shared" si="208"/>
        <v>0</v>
      </c>
      <c r="AE225" s="364" t="str">
        <f t="shared" si="209"/>
        <v>50</v>
      </c>
      <c r="AF225" s="349">
        <f t="shared" si="210"/>
        <v>0.25</v>
      </c>
      <c r="AG225" s="154">
        <v>55</v>
      </c>
      <c r="AH225" s="421"/>
      <c r="AI225" s="409">
        <f t="shared" si="175"/>
        <v>0</v>
      </c>
      <c r="AJ225" s="409">
        <f t="shared" si="176"/>
        <v>25</v>
      </c>
      <c r="AK225" s="408">
        <f t="shared" si="211"/>
        <v>0.25</v>
      </c>
      <c r="AL225" s="423"/>
      <c r="AM225" s="424">
        <v>0</v>
      </c>
      <c r="AN225" s="365">
        <f t="shared" si="199"/>
        <v>25</v>
      </c>
      <c r="AO225" s="320">
        <f t="shared" si="212"/>
        <v>0.25</v>
      </c>
      <c r="AP225" s="277">
        <f>_xlfn.XLOOKUP(C225, '1.건전성'!C:C, '1.건전성'!BE:BE)</f>
        <v>2915293.1869999999</v>
      </c>
      <c r="AQ225" s="277">
        <f>_xlfn.XLOOKUP(C225, '1.건전성'!C:C, '1.건전성'!BF:BF)</f>
        <v>355297.59700000001</v>
      </c>
      <c r="AR225" s="410">
        <f t="shared" si="178"/>
        <v>3270590.784</v>
      </c>
      <c r="AS225" s="366">
        <f t="shared" si="173"/>
        <v>4.5594087489955601</v>
      </c>
      <c r="AT225" s="366">
        <f t="shared" si="179"/>
        <v>28.059855840951428</v>
      </c>
      <c r="AU225" s="321">
        <f t="shared" si="180"/>
        <v>0.28059855840951431</v>
      </c>
      <c r="AV225" s="15">
        <v>419463957</v>
      </c>
      <c r="AW225" s="361">
        <f t="shared" si="174"/>
        <v>584.75907312839092</v>
      </c>
      <c r="AX225" s="361">
        <f t="shared" si="181"/>
        <v>100</v>
      </c>
      <c r="AY225" s="321">
        <f t="shared" si="213"/>
        <v>0.5</v>
      </c>
      <c r="AZ225" s="411">
        <v>9.75</v>
      </c>
      <c r="BA225" s="412">
        <f t="shared" si="182"/>
        <v>80</v>
      </c>
      <c r="BB225" s="408">
        <f t="shared" si="214"/>
        <v>0.4</v>
      </c>
      <c r="BC225" s="204">
        <v>1</v>
      </c>
      <c r="BD225" s="407">
        <f t="shared" si="203"/>
        <v>100</v>
      </c>
      <c r="BE225" s="408">
        <f t="shared" si="215"/>
        <v>0.5</v>
      </c>
      <c r="BF225" s="204">
        <v>0</v>
      </c>
      <c r="BG225" s="204">
        <v>0</v>
      </c>
      <c r="BH225" s="204">
        <v>0</v>
      </c>
      <c r="BI225" s="272" t="str">
        <f t="shared" si="183"/>
        <v>A</v>
      </c>
      <c r="BJ225" s="247">
        <f t="shared" si="184"/>
        <v>100</v>
      </c>
      <c r="BK225" s="90">
        <f t="shared" si="185"/>
        <v>3</v>
      </c>
      <c r="BL225" s="406">
        <v>2</v>
      </c>
      <c r="BM225" s="413">
        <f t="shared" si="186"/>
        <v>3.6363636363636362</v>
      </c>
      <c r="BN225" s="414">
        <f t="shared" si="187"/>
        <v>40</v>
      </c>
      <c r="BO225" s="415">
        <f t="shared" si="188"/>
        <v>1.2</v>
      </c>
      <c r="BP225" s="416">
        <v>7.0000000000000007E-2</v>
      </c>
      <c r="BQ225" s="417">
        <f t="shared" si="189"/>
        <v>66.666666666666671</v>
      </c>
      <c r="BR225" s="415">
        <f t="shared" si="190"/>
        <v>0.66666666666666674</v>
      </c>
      <c r="BS225" s="350">
        <f t="shared" si="191"/>
        <v>10.297265225076179</v>
      </c>
    </row>
    <row r="226" spans="1:71" x14ac:dyDescent="0.6">
      <c r="A226" s="214" t="s">
        <v>1806</v>
      </c>
      <c r="B226" s="13" t="s">
        <v>2206</v>
      </c>
      <c r="C226" s="219" t="s">
        <v>1807</v>
      </c>
      <c r="D226" s="79" t="s">
        <v>88</v>
      </c>
      <c r="E226" s="217" t="s">
        <v>1585</v>
      </c>
      <c r="F226" s="217" t="s">
        <v>1808</v>
      </c>
      <c r="G226" s="218">
        <v>26661</v>
      </c>
      <c r="H226" s="217" t="s">
        <v>830</v>
      </c>
      <c r="I226" s="217" t="s">
        <v>1809</v>
      </c>
      <c r="J226" s="217" t="s">
        <v>1810</v>
      </c>
      <c r="K226" s="217" t="s">
        <v>1811</v>
      </c>
      <c r="L226" s="220">
        <v>7311029000</v>
      </c>
      <c r="M226" s="206">
        <v>6789175000</v>
      </c>
      <c r="N226" s="206">
        <v>521854000</v>
      </c>
      <c r="O226" s="206">
        <v>275373000</v>
      </c>
      <c r="P226" s="206">
        <v>27020000</v>
      </c>
      <c r="Q226" s="206">
        <v>26964000</v>
      </c>
      <c r="R226" s="206">
        <v>22820000</v>
      </c>
      <c r="S226" s="275" t="s">
        <v>2326</v>
      </c>
      <c r="T226" s="275" t="s">
        <v>2326</v>
      </c>
      <c r="U226" s="275" t="s">
        <v>2326</v>
      </c>
      <c r="V226" s="275" t="s">
        <v>2326</v>
      </c>
      <c r="W226" s="275" t="s">
        <v>2326</v>
      </c>
      <c r="X226" s="275" t="s">
        <v>2326</v>
      </c>
      <c r="Y226" s="276"/>
      <c r="Z226" s="275" t="s">
        <v>2326</v>
      </c>
      <c r="AA226" s="275" t="s">
        <v>2326</v>
      </c>
      <c r="AB226" s="275" t="s">
        <v>2326</v>
      </c>
      <c r="AC226" s="275" t="s">
        <v>2326</v>
      </c>
      <c r="AD226" s="275" t="s">
        <v>2326</v>
      </c>
      <c r="AE226" s="275" t="s">
        <v>2326</v>
      </c>
      <c r="AF226" s="275"/>
      <c r="AG226" s="154">
        <v>442</v>
      </c>
      <c r="AH226" s="421"/>
      <c r="AI226" s="409">
        <f t="shared" si="175"/>
        <v>0</v>
      </c>
      <c r="AJ226" s="409">
        <f t="shared" si="176"/>
        <v>25</v>
      </c>
      <c r="AK226" s="418">
        <f>AJ226*0.02</f>
        <v>0.5</v>
      </c>
      <c r="AL226" s="423"/>
      <c r="AM226" s="424">
        <v>0</v>
      </c>
      <c r="AN226" s="365">
        <f t="shared" si="199"/>
        <v>25</v>
      </c>
      <c r="AO226" s="322">
        <f>AN226*0.02</f>
        <v>0.5</v>
      </c>
      <c r="AP226" s="277">
        <f>_xlfn.XLOOKUP(C226, '1.건전성'!C:C, '1.건전성'!BE:BE)</f>
        <v>31850000</v>
      </c>
      <c r="AQ226" s="277">
        <f>_xlfn.XLOOKUP(C226, '1.건전성'!C:C, '1.건전성'!BF:BF)</f>
        <v>7294000</v>
      </c>
      <c r="AR226" s="410">
        <f t="shared" si="178"/>
        <v>39144000</v>
      </c>
      <c r="AS226" s="366">
        <f t="shared" si="173"/>
        <v>14.214901243041256</v>
      </c>
      <c r="AT226" s="366">
        <f t="shared" si="179"/>
        <v>35.337865258573814</v>
      </c>
      <c r="AU226" s="321">
        <f t="shared" si="180"/>
        <v>0.35337865258573814</v>
      </c>
      <c r="AV226" s="15">
        <v>10616000</v>
      </c>
      <c r="AW226" s="361">
        <f t="shared" si="174"/>
        <v>3.8551346718814119</v>
      </c>
      <c r="AX226" s="361">
        <f t="shared" si="181"/>
        <v>53.447989938495539</v>
      </c>
      <c r="AY226" s="348">
        <f>AX226*0.01</f>
        <v>0.53447989938495544</v>
      </c>
      <c r="AZ226" s="411">
        <v>12.3</v>
      </c>
      <c r="BA226" s="412">
        <f t="shared" si="182"/>
        <v>100</v>
      </c>
      <c r="BB226" s="418">
        <f>BA226*0.01</f>
        <v>1</v>
      </c>
      <c r="BC226" s="204">
        <v>1</v>
      </c>
      <c r="BD226" s="407">
        <f t="shared" si="203"/>
        <v>100</v>
      </c>
      <c r="BE226" s="418">
        <f>BD226*0.01</f>
        <v>1</v>
      </c>
      <c r="BF226" s="204">
        <v>0</v>
      </c>
      <c r="BG226" s="204">
        <v>0</v>
      </c>
      <c r="BH226" s="204">
        <v>0</v>
      </c>
      <c r="BI226" s="272" t="str">
        <f t="shared" si="183"/>
        <v>A</v>
      </c>
      <c r="BJ226" s="247">
        <f t="shared" si="184"/>
        <v>100</v>
      </c>
      <c r="BK226" s="90">
        <f t="shared" si="185"/>
        <v>3</v>
      </c>
      <c r="BL226" s="406">
        <v>58</v>
      </c>
      <c r="BM226" s="413">
        <f t="shared" si="186"/>
        <v>13.122171945701359</v>
      </c>
      <c r="BN226" s="414">
        <f t="shared" si="187"/>
        <v>20</v>
      </c>
      <c r="BO226" s="415">
        <f t="shared" si="188"/>
        <v>0.6</v>
      </c>
      <c r="BP226" s="416">
        <v>0.28999999999999998</v>
      </c>
      <c r="BQ226" s="417">
        <f t="shared" si="189"/>
        <v>66.666666666666671</v>
      </c>
      <c r="BR226" s="415">
        <f t="shared" si="190"/>
        <v>0.66666666666666674</v>
      </c>
      <c r="BS226" s="350">
        <f t="shared" si="191"/>
        <v>8.1545252186373602</v>
      </c>
    </row>
    <row r="227" spans="1:71" x14ac:dyDescent="0.6">
      <c r="A227" s="214" t="s">
        <v>1812</v>
      </c>
      <c r="B227" s="13" t="s">
        <v>2207</v>
      </c>
      <c r="C227" s="219" t="s">
        <v>1813</v>
      </c>
      <c r="D227" s="14" t="s">
        <v>191</v>
      </c>
      <c r="E227" s="217" t="s">
        <v>977</v>
      </c>
      <c r="F227" s="217" t="s">
        <v>1814</v>
      </c>
      <c r="G227" s="218">
        <v>28272</v>
      </c>
      <c r="H227" s="217" t="s">
        <v>830</v>
      </c>
      <c r="I227" s="217" t="s">
        <v>1815</v>
      </c>
      <c r="J227" s="217" t="s">
        <v>1816</v>
      </c>
      <c r="K227" s="217" t="s">
        <v>317</v>
      </c>
      <c r="L227" s="220">
        <v>442034876</v>
      </c>
      <c r="M227" s="206">
        <v>63994596</v>
      </c>
      <c r="N227" s="206">
        <v>378040280</v>
      </c>
      <c r="O227" s="206">
        <v>122005783</v>
      </c>
      <c r="P227" s="206">
        <v>507524</v>
      </c>
      <c r="Q227" s="206">
        <v>4251780</v>
      </c>
      <c r="R227" s="206">
        <v>6061277</v>
      </c>
      <c r="S227" s="405">
        <v>0</v>
      </c>
      <c r="T227" s="405">
        <v>0</v>
      </c>
      <c r="U227" s="406">
        <v>0</v>
      </c>
      <c r="V227" s="406">
        <v>0</v>
      </c>
      <c r="W227" s="407">
        <f t="shared" ref="W227:W235" si="216">SUM(S227:V227)</f>
        <v>0</v>
      </c>
      <c r="X227" s="407">
        <f t="shared" ref="X227:X235" si="217">IF(W227=0, 100, IF(W227=1, 80, IF(W227=2, 60, IF(W227=3, 40, IF(W227=4, 20)))))</f>
        <v>100</v>
      </c>
      <c r="Y227" s="408">
        <f t="shared" ref="Y227:Y235" si="218">X227*0.03</f>
        <v>3</v>
      </c>
      <c r="Z227" s="444" t="s">
        <v>3451</v>
      </c>
      <c r="AA227" s="442">
        <v>0</v>
      </c>
      <c r="AB227" s="406">
        <v>0</v>
      </c>
      <c r="AC227" s="406">
        <v>0</v>
      </c>
      <c r="AD227" s="407">
        <f t="shared" ref="AD227:AD235" si="219">SUM(AA227:AC227)</f>
        <v>0</v>
      </c>
      <c r="AE227" s="364" t="str">
        <f t="shared" ref="AE227:AE235" si="220">IF(AD227&gt;=1,"100","50")</f>
        <v>50</v>
      </c>
      <c r="AF227" s="349">
        <f t="shared" ref="AF227:AF235" si="221">AE227*0.005</f>
        <v>0.25</v>
      </c>
      <c r="AG227" s="154">
        <v>151</v>
      </c>
      <c r="AH227" s="421"/>
      <c r="AI227" s="409">
        <f t="shared" si="175"/>
        <v>0</v>
      </c>
      <c r="AJ227" s="409">
        <f t="shared" si="176"/>
        <v>25</v>
      </c>
      <c r="AK227" s="408">
        <f t="shared" ref="AK227:AK235" si="222">AJ227*0.01</f>
        <v>0.25</v>
      </c>
      <c r="AL227" s="423"/>
      <c r="AM227" s="424">
        <v>0</v>
      </c>
      <c r="AN227" s="365">
        <f t="shared" si="199"/>
        <v>25</v>
      </c>
      <c r="AO227" s="320">
        <f t="shared" ref="AO227:AO235" si="223">AN227*0.01</f>
        <v>0.25</v>
      </c>
      <c r="AP227" s="277">
        <f>_xlfn.XLOOKUP(C227, '1.건전성'!C:C, '1.건전성'!BE:BE)</f>
        <v>2516360</v>
      </c>
      <c r="AQ227" s="277">
        <f>_xlfn.XLOOKUP(C227, '1.건전성'!C:C, '1.건전성'!BF:BF)</f>
        <v>221330</v>
      </c>
      <c r="AR227" s="410">
        <f t="shared" si="178"/>
        <v>2737690</v>
      </c>
      <c r="AS227" s="366">
        <f t="shared" si="173"/>
        <v>2.2439018320959425</v>
      </c>
      <c r="AT227" s="366">
        <f t="shared" si="179"/>
        <v>26.314498868414027</v>
      </c>
      <c r="AU227" s="321">
        <f t="shared" si="180"/>
        <v>0.26314498868414027</v>
      </c>
      <c r="AV227" s="15">
        <v>268654</v>
      </c>
      <c r="AW227" s="361">
        <f t="shared" si="174"/>
        <v>0.22019775898655555</v>
      </c>
      <c r="AX227" s="361">
        <f t="shared" si="181"/>
        <v>25.910589083231482</v>
      </c>
      <c r="AY227" s="321">
        <f t="shared" ref="AY227:AY235" si="224">AX227*0.005</f>
        <v>0.12955294541615742</v>
      </c>
      <c r="AZ227" s="411">
        <v>10.11</v>
      </c>
      <c r="BA227" s="412">
        <f t="shared" si="182"/>
        <v>100</v>
      </c>
      <c r="BB227" s="408">
        <f t="shared" ref="BB227:BB235" si="225">BA227*0.005</f>
        <v>0.5</v>
      </c>
      <c r="BC227" s="204">
        <v>1</v>
      </c>
      <c r="BD227" s="407">
        <f t="shared" si="203"/>
        <v>100</v>
      </c>
      <c r="BE227" s="408">
        <f t="shared" ref="BE227:BE235" si="226">BD227*0.005</f>
        <v>0.5</v>
      </c>
      <c r="BF227" s="204">
        <v>0</v>
      </c>
      <c r="BG227" s="204">
        <v>0</v>
      </c>
      <c r="BH227" s="204">
        <v>0</v>
      </c>
      <c r="BI227" s="272" t="str">
        <f t="shared" si="183"/>
        <v>A</v>
      </c>
      <c r="BJ227" s="247">
        <f t="shared" si="184"/>
        <v>100</v>
      </c>
      <c r="BK227" s="90">
        <f t="shared" si="185"/>
        <v>3</v>
      </c>
      <c r="BL227" s="406">
        <v>0</v>
      </c>
      <c r="BM227" s="413">
        <f t="shared" si="186"/>
        <v>0</v>
      </c>
      <c r="BN227" s="414">
        <f t="shared" si="187"/>
        <v>100</v>
      </c>
      <c r="BO227" s="415">
        <f t="shared" si="188"/>
        <v>3</v>
      </c>
      <c r="BP227" s="416">
        <v>0</v>
      </c>
      <c r="BQ227" s="417">
        <f t="shared" si="189"/>
        <v>33.333333333333336</v>
      </c>
      <c r="BR227" s="415">
        <f t="shared" si="190"/>
        <v>0.33333333333333337</v>
      </c>
      <c r="BS227" s="350">
        <f t="shared" si="191"/>
        <v>11.476031267433632</v>
      </c>
    </row>
    <row r="228" spans="1:71" x14ac:dyDescent="0.6">
      <c r="A228" s="214" t="s">
        <v>1817</v>
      </c>
      <c r="B228" s="13" t="s">
        <v>2208</v>
      </c>
      <c r="C228" s="219" t="s">
        <v>1818</v>
      </c>
      <c r="D228" s="14" t="s">
        <v>191</v>
      </c>
      <c r="E228" s="217" t="s">
        <v>1067</v>
      </c>
      <c r="F228" s="217" t="s">
        <v>1819</v>
      </c>
      <c r="G228" s="218">
        <v>28122</v>
      </c>
      <c r="H228" s="217" t="s">
        <v>830</v>
      </c>
      <c r="I228" s="217" t="s">
        <v>1820</v>
      </c>
      <c r="J228" s="217" t="s">
        <v>1821</v>
      </c>
      <c r="K228" s="217" t="s">
        <v>91</v>
      </c>
      <c r="L228" s="220">
        <v>130041760</v>
      </c>
      <c r="M228" s="206">
        <v>68561446</v>
      </c>
      <c r="N228" s="206">
        <v>61480314</v>
      </c>
      <c r="O228" s="206">
        <v>148554918</v>
      </c>
      <c r="P228" s="206">
        <v>11907297</v>
      </c>
      <c r="Q228" s="206">
        <v>8526105</v>
      </c>
      <c r="R228" s="206">
        <v>8638058</v>
      </c>
      <c r="S228" s="405">
        <v>0</v>
      </c>
      <c r="T228" s="405">
        <v>0</v>
      </c>
      <c r="U228" s="406">
        <v>0</v>
      </c>
      <c r="V228" s="406">
        <v>0</v>
      </c>
      <c r="W228" s="407">
        <f t="shared" si="216"/>
        <v>0</v>
      </c>
      <c r="X228" s="407">
        <f t="shared" si="217"/>
        <v>100</v>
      </c>
      <c r="Y228" s="408">
        <f t="shared" si="218"/>
        <v>3</v>
      </c>
      <c r="Z228" s="444" t="s">
        <v>3452</v>
      </c>
      <c r="AA228" s="442">
        <v>0</v>
      </c>
      <c r="AB228" s="406">
        <v>0</v>
      </c>
      <c r="AC228" s="406">
        <v>0</v>
      </c>
      <c r="AD228" s="407">
        <f t="shared" si="219"/>
        <v>0</v>
      </c>
      <c r="AE228" s="364" t="str">
        <f t="shared" si="220"/>
        <v>50</v>
      </c>
      <c r="AF228" s="349">
        <f t="shared" si="221"/>
        <v>0.25</v>
      </c>
      <c r="AG228" s="154">
        <v>108</v>
      </c>
      <c r="AH228" s="421"/>
      <c r="AI228" s="409">
        <f t="shared" si="175"/>
        <v>0</v>
      </c>
      <c r="AJ228" s="409">
        <f t="shared" si="176"/>
        <v>25</v>
      </c>
      <c r="AK228" s="408">
        <f t="shared" si="222"/>
        <v>0.25</v>
      </c>
      <c r="AL228" s="423"/>
      <c r="AM228" s="424">
        <v>0</v>
      </c>
      <c r="AN228" s="365">
        <f t="shared" si="199"/>
        <v>25</v>
      </c>
      <c r="AO228" s="320">
        <f t="shared" si="223"/>
        <v>0.25</v>
      </c>
      <c r="AP228" s="277">
        <f>_xlfn.XLOOKUP(C228, '1.건전성'!C:C, '1.건전성'!BE:BE)</f>
        <v>2532280</v>
      </c>
      <c r="AQ228" s="277">
        <f>_xlfn.XLOOKUP(C228, '1.건전성'!C:C, '1.건전성'!BF:BF)</f>
        <v>300797</v>
      </c>
      <c r="AR228" s="410">
        <f t="shared" si="178"/>
        <v>2833077</v>
      </c>
      <c r="AS228" s="366">
        <f t="shared" si="173"/>
        <v>1.9070906827870888</v>
      </c>
      <c r="AT228" s="366">
        <f t="shared" si="179"/>
        <v>26.060621117678711</v>
      </c>
      <c r="AU228" s="321">
        <f t="shared" si="180"/>
        <v>0.26060621117678712</v>
      </c>
      <c r="AV228" s="15">
        <v>270176</v>
      </c>
      <c r="AW228" s="361">
        <f t="shared" si="174"/>
        <v>0.1818694417104387</v>
      </c>
      <c r="AX228" s="361">
        <f t="shared" si="181"/>
        <v>25.6202230432609</v>
      </c>
      <c r="AY228" s="321">
        <f t="shared" si="224"/>
        <v>0.12810111521630449</v>
      </c>
      <c r="AZ228" s="411">
        <v>14.8</v>
      </c>
      <c r="BA228" s="412">
        <f t="shared" si="182"/>
        <v>100</v>
      </c>
      <c r="BB228" s="408">
        <f t="shared" si="225"/>
        <v>0.5</v>
      </c>
      <c r="BC228" s="204">
        <v>1</v>
      </c>
      <c r="BD228" s="407">
        <f t="shared" si="203"/>
        <v>100</v>
      </c>
      <c r="BE228" s="408">
        <f t="shared" si="226"/>
        <v>0.5</v>
      </c>
      <c r="BF228" s="204">
        <v>0</v>
      </c>
      <c r="BG228" s="204">
        <v>0</v>
      </c>
      <c r="BH228" s="204">
        <v>0</v>
      </c>
      <c r="BI228" s="272" t="str">
        <f t="shared" si="183"/>
        <v>A</v>
      </c>
      <c r="BJ228" s="247">
        <f t="shared" si="184"/>
        <v>100</v>
      </c>
      <c r="BK228" s="90">
        <f t="shared" si="185"/>
        <v>3</v>
      </c>
      <c r="BL228" s="406">
        <v>2</v>
      </c>
      <c r="BM228" s="413">
        <f t="shared" si="186"/>
        <v>1.8518518518518516</v>
      </c>
      <c r="BN228" s="414">
        <f t="shared" si="187"/>
        <v>60</v>
      </c>
      <c r="BO228" s="415">
        <f t="shared" si="188"/>
        <v>1.7999999999999998</v>
      </c>
      <c r="BP228" s="416">
        <v>0</v>
      </c>
      <c r="BQ228" s="417">
        <f t="shared" si="189"/>
        <v>33.333333333333336</v>
      </c>
      <c r="BR228" s="415">
        <f t="shared" si="190"/>
        <v>0.33333333333333337</v>
      </c>
      <c r="BS228" s="350">
        <f t="shared" si="191"/>
        <v>10.272040659726427</v>
      </c>
    </row>
    <row r="229" spans="1:71" x14ac:dyDescent="0.6">
      <c r="A229" s="214" t="s">
        <v>509</v>
      </c>
      <c r="B229" s="13" t="s">
        <v>2209</v>
      </c>
      <c r="C229" s="219" t="s">
        <v>536</v>
      </c>
      <c r="D229" s="216" t="s">
        <v>203</v>
      </c>
      <c r="E229" s="217" t="s">
        <v>585</v>
      </c>
      <c r="F229" s="217" t="s">
        <v>418</v>
      </c>
      <c r="G229" s="218">
        <v>40228</v>
      </c>
      <c r="H229" s="217" t="s">
        <v>830</v>
      </c>
      <c r="I229" s="217" t="s">
        <v>829</v>
      </c>
      <c r="J229" s="217" t="s">
        <v>664</v>
      </c>
      <c r="K229" s="217" t="s">
        <v>31</v>
      </c>
      <c r="L229" s="220">
        <v>145133297</v>
      </c>
      <c r="M229" s="206">
        <v>9248179</v>
      </c>
      <c r="N229" s="206">
        <v>135885117</v>
      </c>
      <c r="O229" s="206">
        <v>66976160</v>
      </c>
      <c r="P229" s="206">
        <v>9435413</v>
      </c>
      <c r="Q229" s="206">
        <v>13174731</v>
      </c>
      <c r="R229" s="206">
        <v>10522135</v>
      </c>
      <c r="S229" s="405">
        <v>0</v>
      </c>
      <c r="T229" s="405">
        <v>0</v>
      </c>
      <c r="U229" s="406">
        <v>0</v>
      </c>
      <c r="V229" s="406">
        <v>0</v>
      </c>
      <c r="W229" s="407">
        <f t="shared" si="216"/>
        <v>0</v>
      </c>
      <c r="X229" s="407">
        <f t="shared" si="217"/>
        <v>100</v>
      </c>
      <c r="Y229" s="408">
        <f t="shared" si="218"/>
        <v>3</v>
      </c>
      <c r="Z229" s="444" t="s">
        <v>3453</v>
      </c>
      <c r="AA229" s="442">
        <v>0</v>
      </c>
      <c r="AB229" s="406">
        <v>0</v>
      </c>
      <c r="AC229" s="406">
        <v>0</v>
      </c>
      <c r="AD229" s="407">
        <f t="shared" si="219"/>
        <v>0</v>
      </c>
      <c r="AE229" s="364" t="str">
        <f t="shared" si="220"/>
        <v>50</v>
      </c>
      <c r="AF229" s="349">
        <f t="shared" si="221"/>
        <v>0.25</v>
      </c>
      <c r="AG229" s="154">
        <v>125</v>
      </c>
      <c r="AH229" s="154">
        <v>8224</v>
      </c>
      <c r="AI229" s="409">
        <f t="shared" si="175"/>
        <v>65.792000000000002</v>
      </c>
      <c r="AJ229" s="409">
        <f t="shared" si="176"/>
        <v>74.344000000000008</v>
      </c>
      <c r="AK229" s="408">
        <f t="shared" si="222"/>
        <v>0.7434400000000001</v>
      </c>
      <c r="AL229" s="45">
        <v>10871</v>
      </c>
      <c r="AM229" s="361">
        <f t="shared" si="177"/>
        <v>-24.349185907460217</v>
      </c>
      <c r="AN229" s="365">
        <f t="shared" si="199"/>
        <v>25</v>
      </c>
      <c r="AO229" s="320">
        <f t="shared" si="223"/>
        <v>0.25</v>
      </c>
      <c r="AP229" s="277">
        <f>_xlfn.XLOOKUP(C229, '1.건전성'!C:C, '1.건전성'!BE:BE)</f>
        <v>2141325.5580000002</v>
      </c>
      <c r="AQ229" s="277">
        <f>_xlfn.XLOOKUP(C229, '1.건전성'!C:C, '1.건전성'!BF:BF)</f>
        <v>245827.17800000001</v>
      </c>
      <c r="AR229" s="410">
        <f t="shared" si="178"/>
        <v>2387152.736</v>
      </c>
      <c r="AS229" s="366">
        <f t="shared" si="173"/>
        <v>3.5641827420383612</v>
      </c>
      <c r="AT229" s="366">
        <f t="shared" si="179"/>
        <v>27.309685483948513</v>
      </c>
      <c r="AU229" s="321">
        <f t="shared" si="180"/>
        <v>0.27309685483948515</v>
      </c>
      <c r="AV229" s="15">
        <v>328270</v>
      </c>
      <c r="AW229" s="361">
        <f t="shared" si="174"/>
        <v>0.49012962224170514</v>
      </c>
      <c r="AX229" s="361">
        <f t="shared" si="181"/>
        <v>27.955527441225037</v>
      </c>
      <c r="AY229" s="321">
        <f t="shared" si="224"/>
        <v>0.13977763720612518</v>
      </c>
      <c r="AZ229" s="411">
        <v>8.14</v>
      </c>
      <c r="BA229" s="412">
        <f t="shared" si="182"/>
        <v>80</v>
      </c>
      <c r="BB229" s="408">
        <f t="shared" si="225"/>
        <v>0.4</v>
      </c>
      <c r="BC229" s="204">
        <v>0</v>
      </c>
      <c r="BD229" s="407">
        <f t="shared" si="203"/>
        <v>50</v>
      </c>
      <c r="BE229" s="408">
        <f t="shared" si="226"/>
        <v>0.25</v>
      </c>
      <c r="BF229" s="204">
        <v>0</v>
      </c>
      <c r="BG229" s="204">
        <v>0</v>
      </c>
      <c r="BH229" s="204">
        <v>0</v>
      </c>
      <c r="BI229" s="272" t="str">
        <f t="shared" si="183"/>
        <v>A</v>
      </c>
      <c r="BJ229" s="247">
        <f t="shared" si="184"/>
        <v>100</v>
      </c>
      <c r="BK229" s="90">
        <f t="shared" si="185"/>
        <v>3</v>
      </c>
      <c r="BL229" s="406">
        <v>0</v>
      </c>
      <c r="BM229" s="413">
        <f t="shared" si="186"/>
        <v>0</v>
      </c>
      <c r="BN229" s="414">
        <f t="shared" si="187"/>
        <v>100</v>
      </c>
      <c r="BO229" s="415">
        <f t="shared" si="188"/>
        <v>3</v>
      </c>
      <c r="BP229" s="416">
        <v>0</v>
      </c>
      <c r="BQ229" s="417">
        <f t="shared" si="189"/>
        <v>33.333333333333336</v>
      </c>
      <c r="BR229" s="415">
        <f t="shared" si="190"/>
        <v>0.33333333333333337</v>
      </c>
      <c r="BS229" s="350">
        <f t="shared" si="191"/>
        <v>11.639647825378944</v>
      </c>
    </row>
    <row r="230" spans="1:71" x14ac:dyDescent="0.6">
      <c r="A230" s="214" t="s">
        <v>775</v>
      </c>
      <c r="B230" s="13" t="s">
        <v>2210</v>
      </c>
      <c r="C230" s="219" t="s">
        <v>64</v>
      </c>
      <c r="D230" s="216" t="s">
        <v>191</v>
      </c>
      <c r="E230" s="217" t="s">
        <v>178</v>
      </c>
      <c r="F230" s="217" t="s">
        <v>147</v>
      </c>
      <c r="G230" s="218">
        <v>28117</v>
      </c>
      <c r="H230" s="217" t="s">
        <v>830</v>
      </c>
      <c r="I230" s="217" t="s">
        <v>790</v>
      </c>
      <c r="J230" s="217" t="s">
        <v>1206</v>
      </c>
      <c r="K230" s="217" t="s">
        <v>690</v>
      </c>
      <c r="L230" s="220">
        <v>418548891</v>
      </c>
      <c r="M230" s="206">
        <v>263651210</v>
      </c>
      <c r="N230" s="206">
        <v>154897681</v>
      </c>
      <c r="O230" s="206">
        <v>319394587</v>
      </c>
      <c r="P230" s="206">
        <v>15318484</v>
      </c>
      <c r="Q230" s="206">
        <v>13458495</v>
      </c>
      <c r="R230" s="206">
        <v>11843676</v>
      </c>
      <c r="S230" s="405">
        <v>0</v>
      </c>
      <c r="T230" s="405">
        <v>0</v>
      </c>
      <c r="U230" s="406">
        <v>0</v>
      </c>
      <c r="V230" s="406">
        <v>0</v>
      </c>
      <c r="W230" s="407">
        <f t="shared" si="216"/>
        <v>0</v>
      </c>
      <c r="X230" s="407">
        <f t="shared" si="217"/>
        <v>100</v>
      </c>
      <c r="Y230" s="408">
        <f t="shared" si="218"/>
        <v>3</v>
      </c>
      <c r="Z230" s="444" t="s">
        <v>3454</v>
      </c>
      <c r="AA230" s="442">
        <v>0</v>
      </c>
      <c r="AB230" s="406">
        <v>1</v>
      </c>
      <c r="AC230" s="406">
        <v>0</v>
      </c>
      <c r="AD230" s="407">
        <f t="shared" si="219"/>
        <v>1</v>
      </c>
      <c r="AE230" s="364" t="str">
        <f t="shared" si="220"/>
        <v>100</v>
      </c>
      <c r="AF230" s="349">
        <f t="shared" si="221"/>
        <v>0.5</v>
      </c>
      <c r="AG230" s="154">
        <v>442</v>
      </c>
      <c r="AH230" s="154">
        <v>5910</v>
      </c>
      <c r="AI230" s="409">
        <f t="shared" si="175"/>
        <v>13.371040723981901</v>
      </c>
      <c r="AJ230" s="409">
        <f t="shared" si="176"/>
        <v>35.028280542986423</v>
      </c>
      <c r="AK230" s="408">
        <f t="shared" si="222"/>
        <v>0.35028280542986423</v>
      </c>
      <c r="AL230" s="45">
        <v>8736</v>
      </c>
      <c r="AM230" s="361">
        <f t="shared" si="177"/>
        <v>-32.348901098901102</v>
      </c>
      <c r="AN230" s="365">
        <f t="shared" si="199"/>
        <v>25</v>
      </c>
      <c r="AO230" s="320">
        <f t="shared" si="223"/>
        <v>0.25</v>
      </c>
      <c r="AP230" s="277">
        <f>_xlfn.XLOOKUP(C230, '1.건전성'!C:C, '1.건전성'!BE:BE)</f>
        <v>3986704</v>
      </c>
      <c r="AQ230" s="277">
        <f>_xlfn.XLOOKUP(C230, '1.건전성'!C:C, '1.건전성'!BF:BF)</f>
        <v>398395</v>
      </c>
      <c r="AR230" s="410">
        <f t="shared" si="178"/>
        <v>4385099</v>
      </c>
      <c r="AS230" s="366">
        <f t="shared" si="173"/>
        <v>1.372940925889893</v>
      </c>
      <c r="AT230" s="366">
        <f t="shared" si="179"/>
        <v>25.657995672781325</v>
      </c>
      <c r="AU230" s="321">
        <f t="shared" si="180"/>
        <v>0.25657995672781325</v>
      </c>
      <c r="AV230" s="15">
        <v>3643983</v>
      </c>
      <c r="AW230" s="361">
        <f t="shared" si="174"/>
        <v>1.1409031800529543</v>
      </c>
      <c r="AX230" s="361">
        <f t="shared" si="181"/>
        <v>32.885630151916317</v>
      </c>
      <c r="AY230" s="321">
        <f t="shared" si="224"/>
        <v>0.16442815075958159</v>
      </c>
      <c r="AZ230" s="411">
        <v>4.5</v>
      </c>
      <c r="BA230" s="412">
        <f t="shared" si="182"/>
        <v>40</v>
      </c>
      <c r="BB230" s="408">
        <f t="shared" si="225"/>
        <v>0.2</v>
      </c>
      <c r="BC230" s="204">
        <v>1</v>
      </c>
      <c r="BD230" s="407">
        <f t="shared" si="203"/>
        <v>100</v>
      </c>
      <c r="BE230" s="408">
        <f t="shared" si="226"/>
        <v>0.5</v>
      </c>
      <c r="BF230" s="204">
        <v>0</v>
      </c>
      <c r="BG230" s="204">
        <v>0</v>
      </c>
      <c r="BH230" s="204">
        <v>0</v>
      </c>
      <c r="BI230" s="272" t="str">
        <f t="shared" si="183"/>
        <v>A</v>
      </c>
      <c r="BJ230" s="247">
        <f t="shared" si="184"/>
        <v>100</v>
      </c>
      <c r="BK230" s="90">
        <f t="shared" si="185"/>
        <v>3</v>
      </c>
      <c r="BL230" s="406">
        <v>9</v>
      </c>
      <c r="BM230" s="413">
        <f t="shared" si="186"/>
        <v>2.0361990950226243</v>
      </c>
      <c r="BN230" s="414">
        <f t="shared" si="187"/>
        <v>60</v>
      </c>
      <c r="BO230" s="415">
        <f t="shared" si="188"/>
        <v>1.7999999999999998</v>
      </c>
      <c r="BP230" s="416">
        <v>0</v>
      </c>
      <c r="BQ230" s="417">
        <f t="shared" si="189"/>
        <v>33.333333333333336</v>
      </c>
      <c r="BR230" s="415">
        <f t="shared" si="190"/>
        <v>0.33333333333333337</v>
      </c>
      <c r="BS230" s="350">
        <f t="shared" si="191"/>
        <v>10.354624246250593</v>
      </c>
    </row>
    <row r="231" spans="1:71" x14ac:dyDescent="0.6">
      <c r="A231" s="214" t="s">
        <v>843</v>
      </c>
      <c r="B231" s="13" t="s">
        <v>2211</v>
      </c>
      <c r="C231" s="219" t="s">
        <v>537</v>
      </c>
      <c r="D231" s="216" t="s">
        <v>191</v>
      </c>
      <c r="E231" s="217" t="s">
        <v>34</v>
      </c>
      <c r="F231" s="217" t="s">
        <v>282</v>
      </c>
      <c r="G231" s="218">
        <v>41614</v>
      </c>
      <c r="H231" s="217" t="s">
        <v>830</v>
      </c>
      <c r="I231" s="217" t="s">
        <v>819</v>
      </c>
      <c r="J231" s="217" t="s">
        <v>1112</v>
      </c>
      <c r="K231" s="217" t="s">
        <v>91</v>
      </c>
      <c r="L231" s="220">
        <v>1097011146</v>
      </c>
      <c r="M231" s="206">
        <v>479043111</v>
      </c>
      <c r="N231" s="206">
        <v>617968035</v>
      </c>
      <c r="O231" s="206">
        <v>1472343921</v>
      </c>
      <c r="P231" s="206">
        <v>107106911</v>
      </c>
      <c r="Q231" s="206">
        <v>100951688</v>
      </c>
      <c r="R231" s="206">
        <v>82941336</v>
      </c>
      <c r="S231" s="405">
        <v>0</v>
      </c>
      <c r="T231" s="405">
        <v>0</v>
      </c>
      <c r="U231" s="406">
        <v>0</v>
      </c>
      <c r="V231" s="406">
        <v>0</v>
      </c>
      <c r="W231" s="407">
        <f t="shared" si="216"/>
        <v>0</v>
      </c>
      <c r="X231" s="407">
        <f t="shared" si="217"/>
        <v>100</v>
      </c>
      <c r="Y231" s="408">
        <f t="shared" si="218"/>
        <v>3</v>
      </c>
      <c r="Z231" s="444" t="s">
        <v>3455</v>
      </c>
      <c r="AA231" s="442">
        <v>0</v>
      </c>
      <c r="AB231" s="406">
        <v>0</v>
      </c>
      <c r="AC231" s="406">
        <v>0</v>
      </c>
      <c r="AD231" s="407">
        <f t="shared" si="219"/>
        <v>0</v>
      </c>
      <c r="AE231" s="364" t="str">
        <f t="shared" si="220"/>
        <v>50</v>
      </c>
      <c r="AF231" s="349">
        <f t="shared" si="221"/>
        <v>0.25</v>
      </c>
      <c r="AG231" s="154">
        <v>2396</v>
      </c>
      <c r="AH231" s="154">
        <v>367837</v>
      </c>
      <c r="AI231" s="409">
        <f t="shared" si="175"/>
        <v>153.52128547579298</v>
      </c>
      <c r="AJ231" s="409">
        <f t="shared" si="176"/>
        <v>100</v>
      </c>
      <c r="AK231" s="408">
        <f t="shared" si="222"/>
        <v>1</v>
      </c>
      <c r="AL231" s="45">
        <v>164137</v>
      </c>
      <c r="AM231" s="361">
        <f t="shared" si="177"/>
        <v>124.10364512571815</v>
      </c>
      <c r="AN231" s="365">
        <f t="shared" si="199"/>
        <v>48.269433461072154</v>
      </c>
      <c r="AO231" s="320">
        <f t="shared" si="223"/>
        <v>0.48269433461072153</v>
      </c>
      <c r="AP231" s="277">
        <f>_xlfn.XLOOKUP(C231, '1.건전성'!C:C, '1.건전성'!BE:BE)</f>
        <v>95014191</v>
      </c>
      <c r="AQ231" s="277">
        <f>_xlfn.XLOOKUP(C231, '1.건전성'!C:C, '1.건전성'!BF:BF)</f>
        <v>9290594</v>
      </c>
      <c r="AR231" s="410">
        <f t="shared" si="178"/>
        <v>104304785</v>
      </c>
      <c r="AS231" s="366">
        <f t="shared" si="173"/>
        <v>7.084267711660555</v>
      </c>
      <c r="AT231" s="366">
        <f t="shared" si="179"/>
        <v>29.963015863060718</v>
      </c>
      <c r="AU231" s="321">
        <f t="shared" si="180"/>
        <v>0.29963015863060721</v>
      </c>
      <c r="AV231" s="15">
        <v>14237549</v>
      </c>
      <c r="AW231" s="361">
        <f t="shared" si="174"/>
        <v>0.96699886466268103</v>
      </c>
      <c r="AX231" s="361">
        <f t="shared" si="181"/>
        <v>31.568173217141521</v>
      </c>
      <c r="AY231" s="321">
        <f t="shared" si="224"/>
        <v>0.1578408660857076</v>
      </c>
      <c r="AZ231" s="411">
        <v>8.3000000000000007</v>
      </c>
      <c r="BA231" s="412">
        <f t="shared" si="182"/>
        <v>80</v>
      </c>
      <c r="BB231" s="408">
        <f t="shared" si="225"/>
        <v>0.4</v>
      </c>
      <c r="BC231" s="204">
        <v>1</v>
      </c>
      <c r="BD231" s="407">
        <f t="shared" si="203"/>
        <v>100</v>
      </c>
      <c r="BE231" s="408">
        <f t="shared" si="226"/>
        <v>0.5</v>
      </c>
      <c r="BF231" s="204">
        <v>0</v>
      </c>
      <c r="BG231" s="204">
        <v>1</v>
      </c>
      <c r="BH231" s="204">
        <v>0</v>
      </c>
      <c r="BI231" s="272" t="str">
        <f t="shared" si="183"/>
        <v>C</v>
      </c>
      <c r="BJ231" s="247">
        <f t="shared" si="184"/>
        <v>50</v>
      </c>
      <c r="BK231" s="90">
        <f t="shared" si="185"/>
        <v>1.5</v>
      </c>
      <c r="BL231" s="406">
        <v>35</v>
      </c>
      <c r="BM231" s="413">
        <f t="shared" si="186"/>
        <v>1.4607679465776295</v>
      </c>
      <c r="BN231" s="414">
        <f t="shared" si="187"/>
        <v>60</v>
      </c>
      <c r="BO231" s="415">
        <f t="shared" si="188"/>
        <v>1.7999999999999998</v>
      </c>
      <c r="BP231" s="416">
        <v>0</v>
      </c>
      <c r="BQ231" s="417">
        <f t="shared" si="189"/>
        <v>33.333333333333336</v>
      </c>
      <c r="BR231" s="415">
        <f t="shared" si="190"/>
        <v>0.33333333333333337</v>
      </c>
      <c r="BS231" s="350">
        <f t="shared" si="191"/>
        <v>9.7234986926603693</v>
      </c>
    </row>
    <row r="232" spans="1:71" x14ac:dyDescent="0.6">
      <c r="A232" s="214" t="s">
        <v>799</v>
      </c>
      <c r="B232" s="13" t="s">
        <v>2212</v>
      </c>
      <c r="C232" s="219" t="s">
        <v>546</v>
      </c>
      <c r="D232" s="216" t="s">
        <v>191</v>
      </c>
      <c r="E232" s="217" t="s">
        <v>554</v>
      </c>
      <c r="F232" s="217" t="s">
        <v>218</v>
      </c>
      <c r="G232" s="218">
        <v>43768</v>
      </c>
      <c r="H232" s="217" t="s">
        <v>830</v>
      </c>
      <c r="I232" s="217" t="s">
        <v>842</v>
      </c>
      <c r="J232" s="217" t="s">
        <v>1131</v>
      </c>
      <c r="K232" s="217" t="s">
        <v>690</v>
      </c>
      <c r="L232" s="220">
        <v>740602270</v>
      </c>
      <c r="M232" s="206">
        <v>262924064</v>
      </c>
      <c r="N232" s="206">
        <v>477678206</v>
      </c>
      <c r="O232" s="206">
        <v>269751716</v>
      </c>
      <c r="P232" s="206">
        <v>21819621</v>
      </c>
      <c r="Q232" s="206">
        <v>9990377</v>
      </c>
      <c r="R232" s="206">
        <v>2417491</v>
      </c>
      <c r="S232" s="405">
        <v>0</v>
      </c>
      <c r="T232" s="405">
        <v>0</v>
      </c>
      <c r="U232" s="406">
        <v>0</v>
      </c>
      <c r="V232" s="406">
        <v>0</v>
      </c>
      <c r="W232" s="407">
        <f t="shared" si="216"/>
        <v>0</v>
      </c>
      <c r="X232" s="407">
        <f t="shared" si="217"/>
        <v>100</v>
      </c>
      <c r="Y232" s="408">
        <f t="shared" si="218"/>
        <v>3</v>
      </c>
      <c r="Z232" s="444" t="s">
        <v>3456</v>
      </c>
      <c r="AA232" s="442">
        <v>0</v>
      </c>
      <c r="AB232" s="406">
        <v>0</v>
      </c>
      <c r="AC232" s="406">
        <v>0</v>
      </c>
      <c r="AD232" s="407">
        <f t="shared" si="219"/>
        <v>0</v>
      </c>
      <c r="AE232" s="364" t="str">
        <f t="shared" si="220"/>
        <v>50</v>
      </c>
      <c r="AF232" s="349">
        <f t="shared" si="221"/>
        <v>0.25</v>
      </c>
      <c r="AG232" s="154">
        <v>175</v>
      </c>
      <c r="AH232" s="421"/>
      <c r="AI232" s="409">
        <f t="shared" si="175"/>
        <v>0</v>
      </c>
      <c r="AJ232" s="409">
        <f t="shared" si="176"/>
        <v>25</v>
      </c>
      <c r="AK232" s="408">
        <f t="shared" si="222"/>
        <v>0.25</v>
      </c>
      <c r="AL232" s="423"/>
      <c r="AM232" s="424">
        <v>0</v>
      </c>
      <c r="AN232" s="365">
        <f t="shared" si="199"/>
        <v>25</v>
      </c>
      <c r="AO232" s="320">
        <f t="shared" si="223"/>
        <v>0.25</v>
      </c>
      <c r="AP232" s="277">
        <f>_xlfn.XLOOKUP(C232, '1.건전성'!C:C, '1.건전성'!BE:BE)</f>
        <v>11206277</v>
      </c>
      <c r="AQ232" s="277">
        <f>_xlfn.XLOOKUP(C232, '1.건전성'!C:C, '1.건전성'!BF:BF)</f>
        <v>2842439</v>
      </c>
      <c r="AR232" s="410">
        <f t="shared" si="178"/>
        <v>14048716</v>
      </c>
      <c r="AS232" s="366">
        <f t="shared" si="173"/>
        <v>5.208017286533221</v>
      </c>
      <c r="AT232" s="366">
        <f t="shared" si="179"/>
        <v>28.548756748643132</v>
      </c>
      <c r="AU232" s="321">
        <f t="shared" si="180"/>
        <v>0.28548756748643134</v>
      </c>
      <c r="AV232" s="15">
        <v>1390498</v>
      </c>
      <c r="AW232" s="361">
        <f t="shared" si="174"/>
        <v>0.51547327320801917</v>
      </c>
      <c r="AX232" s="361">
        <f t="shared" si="181"/>
        <v>28.147524797030449</v>
      </c>
      <c r="AY232" s="321">
        <f t="shared" si="224"/>
        <v>0.14073762398515224</v>
      </c>
      <c r="AZ232" s="411">
        <v>3.3</v>
      </c>
      <c r="BA232" s="412">
        <f t="shared" si="182"/>
        <v>20</v>
      </c>
      <c r="BB232" s="408">
        <f t="shared" si="225"/>
        <v>0.1</v>
      </c>
      <c r="BC232" s="204">
        <v>1</v>
      </c>
      <c r="BD232" s="407">
        <f t="shared" si="203"/>
        <v>100</v>
      </c>
      <c r="BE232" s="408">
        <f t="shared" si="226"/>
        <v>0.5</v>
      </c>
      <c r="BF232" s="204">
        <v>0</v>
      </c>
      <c r="BG232" s="204">
        <v>0</v>
      </c>
      <c r="BH232" s="204">
        <v>0</v>
      </c>
      <c r="BI232" s="272" t="str">
        <f t="shared" si="183"/>
        <v>A</v>
      </c>
      <c r="BJ232" s="247">
        <f t="shared" si="184"/>
        <v>100</v>
      </c>
      <c r="BK232" s="90">
        <f t="shared" si="185"/>
        <v>3</v>
      </c>
      <c r="BL232" s="406">
        <v>0</v>
      </c>
      <c r="BM232" s="413">
        <f t="shared" si="186"/>
        <v>0</v>
      </c>
      <c r="BN232" s="414">
        <f t="shared" si="187"/>
        <v>100</v>
      </c>
      <c r="BO232" s="415">
        <f t="shared" si="188"/>
        <v>3</v>
      </c>
      <c r="BP232" s="416">
        <v>0</v>
      </c>
      <c r="BQ232" s="417">
        <f t="shared" si="189"/>
        <v>33.333333333333336</v>
      </c>
      <c r="BR232" s="415">
        <f t="shared" si="190"/>
        <v>0.33333333333333337</v>
      </c>
      <c r="BS232" s="350">
        <f t="shared" si="191"/>
        <v>11.109558524804916</v>
      </c>
    </row>
    <row r="233" spans="1:71" x14ac:dyDescent="0.6">
      <c r="A233" s="214" t="s">
        <v>1822</v>
      </c>
      <c r="B233" s="13" t="s">
        <v>2213</v>
      </c>
      <c r="C233" s="219" t="s">
        <v>1823</v>
      </c>
      <c r="D233" s="14" t="s">
        <v>203</v>
      </c>
      <c r="E233" s="217" t="s">
        <v>246</v>
      </c>
      <c r="F233" s="217" t="s">
        <v>1824</v>
      </c>
      <c r="G233" s="218">
        <v>26841</v>
      </c>
      <c r="H233" s="217" t="s">
        <v>830</v>
      </c>
      <c r="I233" s="217" t="s">
        <v>1825</v>
      </c>
      <c r="J233" s="217" t="s">
        <v>1826</v>
      </c>
      <c r="K233" s="217" t="s">
        <v>50</v>
      </c>
      <c r="L233" s="220">
        <v>59360094</v>
      </c>
      <c r="M233" s="206">
        <v>18306208</v>
      </c>
      <c r="N233" s="206">
        <v>41053886</v>
      </c>
      <c r="O233" s="206">
        <v>58845136</v>
      </c>
      <c r="P233" s="206">
        <v>3368252</v>
      </c>
      <c r="Q233" s="206">
        <v>5181465</v>
      </c>
      <c r="R233" s="206">
        <v>4397506</v>
      </c>
      <c r="S233" s="405">
        <v>0</v>
      </c>
      <c r="T233" s="405">
        <v>0</v>
      </c>
      <c r="U233" s="406">
        <v>0</v>
      </c>
      <c r="V233" s="406">
        <v>0</v>
      </c>
      <c r="W233" s="407">
        <f t="shared" si="216"/>
        <v>0</v>
      </c>
      <c r="X233" s="407">
        <f t="shared" si="217"/>
        <v>100</v>
      </c>
      <c r="Y233" s="408">
        <f t="shared" si="218"/>
        <v>3</v>
      </c>
      <c r="Z233" s="444" t="s">
        <v>3457</v>
      </c>
      <c r="AA233" s="442">
        <v>0</v>
      </c>
      <c r="AB233" s="406">
        <v>0</v>
      </c>
      <c r="AC233" s="406">
        <v>0</v>
      </c>
      <c r="AD233" s="407">
        <f t="shared" si="219"/>
        <v>0</v>
      </c>
      <c r="AE233" s="364" t="str">
        <f t="shared" si="220"/>
        <v>50</v>
      </c>
      <c r="AF233" s="349">
        <f t="shared" si="221"/>
        <v>0.25</v>
      </c>
      <c r="AG233" s="154">
        <v>76</v>
      </c>
      <c r="AH233" s="154">
        <v>5650</v>
      </c>
      <c r="AI233" s="409">
        <f t="shared" si="175"/>
        <v>74.34210526315789</v>
      </c>
      <c r="AJ233" s="409">
        <f t="shared" si="176"/>
        <v>80.756578947368411</v>
      </c>
      <c r="AK233" s="408">
        <f t="shared" si="222"/>
        <v>0.80756578947368407</v>
      </c>
      <c r="AL233" s="45">
        <v>5382</v>
      </c>
      <c r="AM233" s="361">
        <f t="shared" si="177"/>
        <v>4.9795615013006316</v>
      </c>
      <c r="AN233" s="365">
        <f t="shared" si="199"/>
        <v>25.933667781493867</v>
      </c>
      <c r="AO233" s="320">
        <f t="shared" si="223"/>
        <v>0.25933667781493869</v>
      </c>
      <c r="AP233" s="277">
        <f>_xlfn.XLOOKUP(C233, '1.건전성'!C:C, '1.건전성'!BE:BE)</f>
        <v>1562399.0959999999</v>
      </c>
      <c r="AQ233" s="277">
        <f>_xlfn.XLOOKUP(C233, '1.건전성'!C:C, '1.건전성'!BF:BF)</f>
        <v>216666.785</v>
      </c>
      <c r="AR233" s="410">
        <f t="shared" si="178"/>
        <v>1779065.8809999998</v>
      </c>
      <c r="AS233" s="366">
        <f t="shared" si="173"/>
        <v>3.0233015027784109</v>
      </c>
      <c r="AT233" s="366">
        <f t="shared" si="179"/>
        <v>26.90198605737066</v>
      </c>
      <c r="AU233" s="321">
        <f t="shared" si="180"/>
        <v>0.26901986057370658</v>
      </c>
      <c r="AV233" s="15">
        <v>216425</v>
      </c>
      <c r="AW233" s="361">
        <f t="shared" si="174"/>
        <v>0.36778740727186016</v>
      </c>
      <c r="AX233" s="361">
        <f t="shared" si="181"/>
        <v>27.028692479332275</v>
      </c>
      <c r="AY233" s="321">
        <f t="shared" si="224"/>
        <v>0.13514346239666139</v>
      </c>
      <c r="AZ233" s="411">
        <v>6.49</v>
      </c>
      <c r="BA233" s="412">
        <f t="shared" si="182"/>
        <v>60</v>
      </c>
      <c r="BB233" s="408">
        <f t="shared" si="225"/>
        <v>0.3</v>
      </c>
      <c r="BC233" s="204">
        <v>1</v>
      </c>
      <c r="BD233" s="407">
        <f t="shared" si="203"/>
        <v>100</v>
      </c>
      <c r="BE233" s="408">
        <f t="shared" si="226"/>
        <v>0.5</v>
      </c>
      <c r="BF233" s="204">
        <v>0</v>
      </c>
      <c r="BG233" s="204">
        <v>0</v>
      </c>
      <c r="BH233" s="204">
        <v>0</v>
      </c>
      <c r="BI233" s="272" t="str">
        <f t="shared" si="183"/>
        <v>A</v>
      </c>
      <c r="BJ233" s="247">
        <f t="shared" si="184"/>
        <v>100</v>
      </c>
      <c r="BK233" s="90">
        <f t="shared" si="185"/>
        <v>3</v>
      </c>
      <c r="BL233" s="406">
        <v>4</v>
      </c>
      <c r="BM233" s="413">
        <f t="shared" si="186"/>
        <v>5.2631578947368416</v>
      </c>
      <c r="BN233" s="414">
        <f t="shared" si="187"/>
        <v>40</v>
      </c>
      <c r="BO233" s="415">
        <f t="shared" si="188"/>
        <v>1.2</v>
      </c>
      <c r="BP233" s="416">
        <v>0</v>
      </c>
      <c r="BQ233" s="417">
        <f t="shared" si="189"/>
        <v>33.333333333333336</v>
      </c>
      <c r="BR233" s="415">
        <f t="shared" si="190"/>
        <v>0.33333333333333337</v>
      </c>
      <c r="BS233" s="350">
        <f t="shared" si="191"/>
        <v>10.054399123592324</v>
      </c>
    </row>
    <row r="234" spans="1:71" x14ac:dyDescent="0.6">
      <c r="A234" s="214" t="s">
        <v>29</v>
      </c>
      <c r="B234" s="13" t="s">
        <v>2214</v>
      </c>
      <c r="C234" s="219" t="s">
        <v>8</v>
      </c>
      <c r="D234" s="216" t="s">
        <v>203</v>
      </c>
      <c r="E234" s="217" t="s">
        <v>246</v>
      </c>
      <c r="F234" s="217" t="s">
        <v>1105</v>
      </c>
      <c r="G234" s="218">
        <v>32781</v>
      </c>
      <c r="H234" s="217" t="s">
        <v>830</v>
      </c>
      <c r="I234" s="217" t="s">
        <v>1825</v>
      </c>
      <c r="J234" s="217" t="s">
        <v>1234</v>
      </c>
      <c r="K234" s="217" t="s">
        <v>690</v>
      </c>
      <c r="L234" s="220">
        <v>45482659</v>
      </c>
      <c r="M234" s="206">
        <v>14914195</v>
      </c>
      <c r="N234" s="206">
        <v>30568464</v>
      </c>
      <c r="O234" s="206">
        <v>50246842</v>
      </c>
      <c r="P234" s="206">
        <v>3199040</v>
      </c>
      <c r="Q234" s="206">
        <v>3233292</v>
      </c>
      <c r="R234" s="206">
        <v>3418425</v>
      </c>
      <c r="S234" s="405">
        <v>0</v>
      </c>
      <c r="T234" s="405">
        <v>0</v>
      </c>
      <c r="U234" s="406">
        <v>0</v>
      </c>
      <c r="V234" s="406">
        <v>0</v>
      </c>
      <c r="W234" s="407">
        <f t="shared" si="216"/>
        <v>0</v>
      </c>
      <c r="X234" s="407">
        <f t="shared" si="217"/>
        <v>100</v>
      </c>
      <c r="Y234" s="408">
        <f t="shared" si="218"/>
        <v>3</v>
      </c>
      <c r="Z234" s="444" t="s">
        <v>3458</v>
      </c>
      <c r="AA234" s="442">
        <v>0</v>
      </c>
      <c r="AB234" s="406">
        <v>1</v>
      </c>
      <c r="AC234" s="406">
        <v>0</v>
      </c>
      <c r="AD234" s="407">
        <f t="shared" si="219"/>
        <v>1</v>
      </c>
      <c r="AE234" s="364" t="str">
        <f t="shared" si="220"/>
        <v>100</v>
      </c>
      <c r="AF234" s="349">
        <f t="shared" si="221"/>
        <v>0.5</v>
      </c>
      <c r="AG234" s="154">
        <v>64</v>
      </c>
      <c r="AH234" s="421"/>
      <c r="AI234" s="409">
        <f t="shared" si="175"/>
        <v>0</v>
      </c>
      <c r="AJ234" s="409">
        <f t="shared" si="176"/>
        <v>25</v>
      </c>
      <c r="AK234" s="408">
        <f t="shared" si="222"/>
        <v>0.25</v>
      </c>
      <c r="AL234" s="423"/>
      <c r="AM234" s="424">
        <v>0</v>
      </c>
      <c r="AN234" s="365">
        <f t="shared" si="199"/>
        <v>25</v>
      </c>
      <c r="AO234" s="320">
        <f t="shared" si="223"/>
        <v>0.25</v>
      </c>
      <c r="AP234" s="277">
        <f>_xlfn.XLOOKUP(C234, '1.건전성'!C:C, '1.건전성'!BE:BE)</f>
        <v>1486713.4240000001</v>
      </c>
      <c r="AQ234" s="277">
        <f>_xlfn.XLOOKUP(C234, '1.건전성'!C:C, '1.건전성'!BF:BF)</f>
        <v>223017.978</v>
      </c>
      <c r="AR234" s="410">
        <f t="shared" si="178"/>
        <v>1709731.4020000002</v>
      </c>
      <c r="AS234" s="366">
        <f t="shared" si="173"/>
        <v>3.4026643943115871</v>
      </c>
      <c r="AT234" s="366">
        <f t="shared" si="179"/>
        <v>27.187937985662</v>
      </c>
      <c r="AU234" s="321">
        <f t="shared" si="180"/>
        <v>0.27187937985662003</v>
      </c>
      <c r="AV234" s="15">
        <v>196215</v>
      </c>
      <c r="AW234" s="361">
        <f t="shared" si="174"/>
        <v>0.39050215334925925</v>
      </c>
      <c r="AX234" s="361">
        <f t="shared" si="181"/>
        <v>27.20077388900954</v>
      </c>
      <c r="AY234" s="321">
        <f t="shared" si="224"/>
        <v>0.13600386944504769</v>
      </c>
      <c r="AZ234" s="411">
        <v>5.3</v>
      </c>
      <c r="BA234" s="412">
        <f t="shared" si="182"/>
        <v>40</v>
      </c>
      <c r="BB234" s="408">
        <f t="shared" si="225"/>
        <v>0.2</v>
      </c>
      <c r="BC234" s="204">
        <v>1</v>
      </c>
      <c r="BD234" s="407">
        <f t="shared" si="203"/>
        <v>100</v>
      </c>
      <c r="BE234" s="408">
        <f t="shared" si="226"/>
        <v>0.5</v>
      </c>
      <c r="BF234" s="204">
        <v>0</v>
      </c>
      <c r="BG234" s="204">
        <v>0</v>
      </c>
      <c r="BH234" s="204">
        <v>0</v>
      </c>
      <c r="BI234" s="272" t="str">
        <f t="shared" si="183"/>
        <v>A</v>
      </c>
      <c r="BJ234" s="247">
        <f t="shared" si="184"/>
        <v>100</v>
      </c>
      <c r="BK234" s="90">
        <f t="shared" si="185"/>
        <v>3</v>
      </c>
      <c r="BL234" s="406">
        <v>0</v>
      </c>
      <c r="BM234" s="413">
        <f t="shared" si="186"/>
        <v>0</v>
      </c>
      <c r="BN234" s="414">
        <f t="shared" si="187"/>
        <v>100</v>
      </c>
      <c r="BO234" s="415">
        <f t="shared" si="188"/>
        <v>3</v>
      </c>
      <c r="BP234" s="416">
        <v>0</v>
      </c>
      <c r="BQ234" s="417">
        <f t="shared" si="189"/>
        <v>33.333333333333336</v>
      </c>
      <c r="BR234" s="415">
        <f t="shared" si="190"/>
        <v>0.33333333333333337</v>
      </c>
      <c r="BS234" s="350">
        <f t="shared" si="191"/>
        <v>11.441216582635002</v>
      </c>
    </row>
    <row r="235" spans="1:71" x14ac:dyDescent="0.6">
      <c r="A235" s="214" t="s">
        <v>335</v>
      </c>
      <c r="B235" s="13" t="s">
        <v>2215</v>
      </c>
      <c r="C235" s="219" t="s">
        <v>107</v>
      </c>
      <c r="D235" s="216" t="s">
        <v>285</v>
      </c>
      <c r="E235" s="217" t="s">
        <v>867</v>
      </c>
      <c r="F235" s="217" t="s">
        <v>1098</v>
      </c>
      <c r="G235" s="218">
        <v>28301</v>
      </c>
      <c r="H235" s="217" t="s">
        <v>830</v>
      </c>
      <c r="I235" s="217" t="s">
        <v>766</v>
      </c>
      <c r="J235" s="217" t="s">
        <v>1195</v>
      </c>
      <c r="K235" s="217" t="s">
        <v>346</v>
      </c>
      <c r="L235" s="220">
        <v>451746879</v>
      </c>
      <c r="M235" s="206">
        <v>227013990</v>
      </c>
      <c r="N235" s="206">
        <v>224732889</v>
      </c>
      <c r="O235" s="206">
        <v>628936049</v>
      </c>
      <c r="P235" s="206">
        <v>50682533</v>
      </c>
      <c r="Q235" s="206">
        <v>53220599</v>
      </c>
      <c r="R235" s="206">
        <v>49560577</v>
      </c>
      <c r="S235" s="405">
        <v>0</v>
      </c>
      <c r="T235" s="405">
        <v>0</v>
      </c>
      <c r="U235" s="406">
        <v>0</v>
      </c>
      <c r="V235" s="406">
        <v>0</v>
      </c>
      <c r="W235" s="407">
        <f t="shared" si="216"/>
        <v>0</v>
      </c>
      <c r="X235" s="407">
        <f t="shared" si="217"/>
        <v>100</v>
      </c>
      <c r="Y235" s="408">
        <f t="shared" si="218"/>
        <v>3</v>
      </c>
      <c r="Z235" s="444" t="s">
        <v>3459</v>
      </c>
      <c r="AA235" s="442">
        <v>0</v>
      </c>
      <c r="AB235" s="406">
        <v>1</v>
      </c>
      <c r="AC235" s="406">
        <v>0</v>
      </c>
      <c r="AD235" s="407">
        <f t="shared" si="219"/>
        <v>1</v>
      </c>
      <c r="AE235" s="364" t="str">
        <f t="shared" si="220"/>
        <v>100</v>
      </c>
      <c r="AF235" s="349">
        <f t="shared" si="221"/>
        <v>0.5</v>
      </c>
      <c r="AG235" s="154">
        <v>482</v>
      </c>
      <c r="AH235" s="154">
        <v>43995</v>
      </c>
      <c r="AI235" s="409">
        <f t="shared" si="175"/>
        <v>91.2759336099585</v>
      </c>
      <c r="AJ235" s="409">
        <f t="shared" si="176"/>
        <v>93.456950207468878</v>
      </c>
      <c r="AK235" s="408">
        <f t="shared" si="222"/>
        <v>0.93456950207468881</v>
      </c>
      <c r="AL235" s="45">
        <v>47521</v>
      </c>
      <c r="AM235" s="361">
        <f t="shared" si="177"/>
        <v>-7.4198775278298017</v>
      </c>
      <c r="AN235" s="365">
        <f t="shared" si="199"/>
        <v>25</v>
      </c>
      <c r="AO235" s="320">
        <f t="shared" si="223"/>
        <v>0.25</v>
      </c>
      <c r="AP235" s="277">
        <f>_xlfn.XLOOKUP(C235, '1.건전성'!C:C, '1.건전성'!BE:BE)</f>
        <v>9536799</v>
      </c>
      <c r="AQ235" s="277">
        <f>_xlfn.XLOOKUP(C235, '1.건전성'!C:C, '1.건전성'!BF:BF)</f>
        <v>985890</v>
      </c>
      <c r="AR235" s="410">
        <f t="shared" si="178"/>
        <v>10522689</v>
      </c>
      <c r="AS235" s="366">
        <f t="shared" si="173"/>
        <v>1.6730936343577278</v>
      </c>
      <c r="AT235" s="366">
        <f t="shared" si="179"/>
        <v>25.88424143293296</v>
      </c>
      <c r="AU235" s="321">
        <f t="shared" si="180"/>
        <v>0.25884241432932958</v>
      </c>
      <c r="AV235" s="15">
        <v>1008628</v>
      </c>
      <c r="AW235" s="361">
        <f t="shared" si="174"/>
        <v>0.16037051805246419</v>
      </c>
      <c r="AX235" s="361">
        <f t="shared" si="181"/>
        <v>25.457352409488365</v>
      </c>
      <c r="AY235" s="321">
        <f t="shared" si="224"/>
        <v>0.12728676204744183</v>
      </c>
      <c r="AZ235" s="411">
        <v>5.8</v>
      </c>
      <c r="BA235" s="412">
        <f t="shared" si="182"/>
        <v>40</v>
      </c>
      <c r="BB235" s="408">
        <f t="shared" si="225"/>
        <v>0.2</v>
      </c>
      <c r="BC235" s="204">
        <v>1</v>
      </c>
      <c r="BD235" s="407">
        <f t="shared" si="203"/>
        <v>100</v>
      </c>
      <c r="BE235" s="408">
        <f t="shared" si="226"/>
        <v>0.5</v>
      </c>
      <c r="BF235" s="204">
        <v>0</v>
      </c>
      <c r="BG235" s="204">
        <v>1</v>
      </c>
      <c r="BH235" s="204">
        <v>0</v>
      </c>
      <c r="BI235" s="272" t="str">
        <f t="shared" si="183"/>
        <v>C</v>
      </c>
      <c r="BJ235" s="247">
        <f t="shared" si="184"/>
        <v>50</v>
      </c>
      <c r="BK235" s="90">
        <f t="shared" si="185"/>
        <v>1.5</v>
      </c>
      <c r="BL235" s="406">
        <v>179</v>
      </c>
      <c r="BM235" s="413">
        <f t="shared" si="186"/>
        <v>37.136929460580916</v>
      </c>
      <c r="BN235" s="414">
        <f t="shared" si="187"/>
        <v>20</v>
      </c>
      <c r="BO235" s="415">
        <f t="shared" si="188"/>
        <v>0.6</v>
      </c>
      <c r="BP235" s="416">
        <v>0</v>
      </c>
      <c r="BQ235" s="417">
        <f t="shared" si="189"/>
        <v>33.333333333333336</v>
      </c>
      <c r="BR235" s="415">
        <f t="shared" si="190"/>
        <v>0.33333333333333337</v>
      </c>
      <c r="BS235" s="350">
        <f t="shared" si="191"/>
        <v>8.2040320117847934</v>
      </c>
    </row>
    <row r="236" spans="1:71" x14ac:dyDescent="0.6">
      <c r="A236" s="214" t="s">
        <v>1827</v>
      </c>
      <c r="B236" s="13" t="s">
        <v>2216</v>
      </c>
      <c r="C236" s="219" t="s">
        <v>1828</v>
      </c>
      <c r="D236" s="79" t="s">
        <v>88</v>
      </c>
      <c r="E236" s="217" t="s">
        <v>1585</v>
      </c>
      <c r="F236" s="217" t="s">
        <v>1829</v>
      </c>
      <c r="G236" s="218">
        <v>44414</v>
      </c>
      <c r="H236" s="217" t="s">
        <v>830</v>
      </c>
      <c r="I236" s="217" t="s">
        <v>1830</v>
      </c>
      <c r="J236" s="1" t="s">
        <v>2308</v>
      </c>
      <c r="K236" s="217" t="s">
        <v>690</v>
      </c>
      <c r="L236" s="220">
        <v>39516079000</v>
      </c>
      <c r="M236" s="206">
        <v>33800969000</v>
      </c>
      <c r="N236" s="206">
        <v>5715110000</v>
      </c>
      <c r="O236" s="206">
        <v>1605801000</v>
      </c>
      <c r="P236" s="206">
        <v>353186000</v>
      </c>
      <c r="Q236" s="206">
        <v>351733000</v>
      </c>
      <c r="R236" s="206">
        <v>263091000</v>
      </c>
      <c r="S236" s="275" t="s">
        <v>2326</v>
      </c>
      <c r="T236" s="275" t="s">
        <v>2326</v>
      </c>
      <c r="U236" s="275" t="s">
        <v>2326</v>
      </c>
      <c r="V236" s="275" t="s">
        <v>2326</v>
      </c>
      <c r="W236" s="275" t="s">
        <v>2326</v>
      </c>
      <c r="X236" s="275" t="s">
        <v>2326</v>
      </c>
      <c r="Y236" s="276"/>
      <c r="Z236" s="275" t="s">
        <v>2326</v>
      </c>
      <c r="AA236" s="275" t="s">
        <v>2326</v>
      </c>
      <c r="AB236" s="275" t="s">
        <v>2326</v>
      </c>
      <c r="AC236" s="275" t="s">
        <v>2326</v>
      </c>
      <c r="AD236" s="275" t="s">
        <v>2326</v>
      </c>
      <c r="AE236" s="275" t="s">
        <v>2326</v>
      </c>
      <c r="AF236" s="275"/>
      <c r="AG236" s="154">
        <v>1386</v>
      </c>
      <c r="AH236" s="421"/>
      <c r="AI236" s="409">
        <f t="shared" si="175"/>
        <v>0</v>
      </c>
      <c r="AJ236" s="409">
        <f t="shared" si="176"/>
        <v>25</v>
      </c>
      <c r="AK236" s="418">
        <f>AJ236*0.02</f>
        <v>0.5</v>
      </c>
      <c r="AL236" s="423"/>
      <c r="AM236" s="424">
        <v>0</v>
      </c>
      <c r="AN236" s="365">
        <f t="shared" si="199"/>
        <v>25</v>
      </c>
      <c r="AO236" s="322">
        <f>AN236*0.02</f>
        <v>0.5</v>
      </c>
      <c r="AP236" s="277">
        <f>_xlfn.XLOOKUP(C236, '1.건전성'!C:C, '1.건전성'!BE:BE)</f>
        <v>126976000</v>
      </c>
      <c r="AQ236" s="277">
        <f>_xlfn.XLOOKUP(C236, '1.건전성'!C:C, '1.건전성'!BF:BF)</f>
        <v>13567000</v>
      </c>
      <c r="AR236" s="410">
        <f t="shared" si="178"/>
        <v>140543000</v>
      </c>
      <c r="AS236" s="366">
        <f t="shared" si="173"/>
        <v>8.7522052857109944</v>
      </c>
      <c r="AT236" s="366">
        <f t="shared" si="179"/>
        <v>31.220255240485674</v>
      </c>
      <c r="AU236" s="321">
        <f t="shared" si="180"/>
        <v>0.31220255240485673</v>
      </c>
      <c r="AV236" s="15">
        <v>48368000</v>
      </c>
      <c r="AW236" s="361">
        <f t="shared" si="174"/>
        <v>3.0120793298796054</v>
      </c>
      <c r="AX236" s="361">
        <f t="shared" si="181"/>
        <v>47.061207044542464</v>
      </c>
      <c r="AY236" s="348">
        <f>AX236*0.01</f>
        <v>0.47061207044542464</v>
      </c>
      <c r="AZ236" s="411">
        <v>2.8</v>
      </c>
      <c r="BA236" s="412">
        <f t="shared" si="182"/>
        <v>20</v>
      </c>
      <c r="BB236" s="418">
        <f>BA236*0.01</f>
        <v>0.2</v>
      </c>
      <c r="BC236" s="204">
        <v>1</v>
      </c>
      <c r="BD236" s="407">
        <f t="shared" si="203"/>
        <v>100</v>
      </c>
      <c r="BE236" s="418">
        <f>BD236*0.01</f>
        <v>1</v>
      </c>
      <c r="BF236" s="204">
        <v>1</v>
      </c>
      <c r="BG236" s="204">
        <v>1</v>
      </c>
      <c r="BH236" s="204">
        <v>0</v>
      </c>
      <c r="BI236" s="272" t="str">
        <f t="shared" si="183"/>
        <v>C</v>
      </c>
      <c r="BJ236" s="247">
        <f t="shared" si="184"/>
        <v>50</v>
      </c>
      <c r="BK236" s="90">
        <f t="shared" si="185"/>
        <v>1.5</v>
      </c>
      <c r="BL236" s="406">
        <v>140</v>
      </c>
      <c r="BM236" s="413">
        <f t="shared" si="186"/>
        <v>10.1010101010101</v>
      </c>
      <c r="BN236" s="414">
        <f t="shared" si="187"/>
        <v>20</v>
      </c>
      <c r="BO236" s="415">
        <f t="shared" si="188"/>
        <v>0.6</v>
      </c>
      <c r="BP236" s="416">
        <v>0.84</v>
      </c>
      <c r="BQ236" s="417">
        <f t="shared" si="189"/>
        <v>66.666666666666671</v>
      </c>
      <c r="BR236" s="415">
        <f t="shared" si="190"/>
        <v>0.66666666666666674</v>
      </c>
      <c r="BS236" s="350">
        <f t="shared" si="191"/>
        <v>5.7494812895169476</v>
      </c>
    </row>
    <row r="237" spans="1:71" x14ac:dyDescent="0.6">
      <c r="A237" s="214" t="s">
        <v>828</v>
      </c>
      <c r="B237" s="13" t="s">
        <v>2217</v>
      </c>
      <c r="C237" s="219" t="s">
        <v>541</v>
      </c>
      <c r="D237" s="216" t="s">
        <v>202</v>
      </c>
      <c r="E237" s="217" t="s">
        <v>161</v>
      </c>
      <c r="F237" s="217" t="s">
        <v>1202</v>
      </c>
      <c r="G237" s="218">
        <v>35759</v>
      </c>
      <c r="H237" s="217" t="s">
        <v>830</v>
      </c>
      <c r="I237" s="217" t="s">
        <v>1831</v>
      </c>
      <c r="J237" s="217" t="s">
        <v>1092</v>
      </c>
      <c r="K237" s="217" t="s">
        <v>690</v>
      </c>
      <c r="L237" s="220">
        <v>620348530</v>
      </c>
      <c r="M237" s="206">
        <v>68839722</v>
      </c>
      <c r="N237" s="206">
        <v>551508808</v>
      </c>
      <c r="O237" s="206">
        <v>211778911</v>
      </c>
      <c r="P237" s="206">
        <v>46883729</v>
      </c>
      <c r="Q237" s="206">
        <v>54068760</v>
      </c>
      <c r="R237" s="206">
        <v>46885493</v>
      </c>
      <c r="S237" s="405">
        <v>0</v>
      </c>
      <c r="T237" s="405">
        <v>0</v>
      </c>
      <c r="U237" s="406">
        <v>0</v>
      </c>
      <c r="V237" s="406">
        <v>0</v>
      </c>
      <c r="W237" s="407">
        <f t="shared" ref="W237:W245" si="227">SUM(S237:V237)</f>
        <v>0</v>
      </c>
      <c r="X237" s="407">
        <f t="shared" ref="X237:X245" si="228">IF(W237=0, 100, IF(W237=1, 80, IF(W237=2, 60, IF(W237=3, 40, IF(W237=4, 20)))))</f>
        <v>100</v>
      </c>
      <c r="Y237" s="408">
        <f t="shared" ref="Y237:Y245" si="229">X237*0.03</f>
        <v>3</v>
      </c>
      <c r="Z237" s="444" t="s">
        <v>3460</v>
      </c>
      <c r="AA237" s="442">
        <v>0</v>
      </c>
      <c r="AB237" s="406">
        <v>1</v>
      </c>
      <c r="AC237" s="406">
        <v>0</v>
      </c>
      <c r="AD237" s="407">
        <f t="shared" ref="AD237:AD245" si="230">SUM(AA237:AC237)</f>
        <v>1</v>
      </c>
      <c r="AE237" s="364" t="str">
        <f t="shared" ref="AE237:AE245" si="231">IF(AD237&gt;=1,"100","50")</f>
        <v>100</v>
      </c>
      <c r="AF237" s="349">
        <f t="shared" ref="AF237:AF245" si="232">AE237*0.005</f>
        <v>0.5</v>
      </c>
      <c r="AG237" s="154">
        <v>223</v>
      </c>
      <c r="AH237" s="154">
        <v>75324</v>
      </c>
      <c r="AI237" s="409">
        <f t="shared" si="175"/>
        <v>337.77578475336321</v>
      </c>
      <c r="AJ237" s="409">
        <f t="shared" si="176"/>
        <v>100</v>
      </c>
      <c r="AK237" s="408">
        <f t="shared" ref="AK237:AK245" si="233">AJ237*0.01</f>
        <v>1</v>
      </c>
      <c r="AL237" s="45">
        <v>31683</v>
      </c>
      <c r="AM237" s="361">
        <f t="shared" si="177"/>
        <v>137.74263800776441</v>
      </c>
      <c r="AN237" s="365">
        <f t="shared" si="199"/>
        <v>50.826744626455834</v>
      </c>
      <c r="AO237" s="320">
        <f t="shared" ref="AO237:AO245" si="234">AN237*0.01</f>
        <v>0.50826744626455833</v>
      </c>
      <c r="AP237" s="277">
        <f>_xlfn.XLOOKUP(C237, '1.건전성'!C:C, '1.건전성'!BE:BE)</f>
        <v>10718757</v>
      </c>
      <c r="AQ237" s="277">
        <f>_xlfn.XLOOKUP(C237, '1.건전성'!C:C, '1.건전성'!BF:BF)</f>
        <v>700412</v>
      </c>
      <c r="AR237" s="410">
        <f t="shared" si="178"/>
        <v>11419169</v>
      </c>
      <c r="AS237" s="366">
        <f t="shared" si="173"/>
        <v>5.3920236656614033</v>
      </c>
      <c r="AT237" s="366">
        <f t="shared" si="179"/>
        <v>28.687455024367893</v>
      </c>
      <c r="AU237" s="321">
        <f t="shared" si="180"/>
        <v>0.28687455024367892</v>
      </c>
      <c r="AV237" s="15">
        <v>1409553</v>
      </c>
      <c r="AW237" s="361">
        <f t="shared" si="174"/>
        <v>0.6655776032392573</v>
      </c>
      <c r="AX237" s="361">
        <f t="shared" si="181"/>
        <v>29.284678812418615</v>
      </c>
      <c r="AY237" s="321">
        <f t="shared" ref="AY237:AY245" si="235">AX237*0.005</f>
        <v>0.14642339406209309</v>
      </c>
      <c r="AZ237" s="411">
        <v>4.3</v>
      </c>
      <c r="BA237" s="412">
        <f t="shared" si="182"/>
        <v>40</v>
      </c>
      <c r="BB237" s="408">
        <f t="shared" ref="BB237:BB245" si="236">BA237*0.005</f>
        <v>0.2</v>
      </c>
      <c r="BC237" s="204">
        <v>1</v>
      </c>
      <c r="BD237" s="407">
        <f t="shared" si="203"/>
        <v>100</v>
      </c>
      <c r="BE237" s="408">
        <f t="shared" ref="BE237:BE245" si="237">BD237*0.005</f>
        <v>0.5</v>
      </c>
      <c r="BF237" s="204">
        <v>0</v>
      </c>
      <c r="BG237" s="204">
        <v>0</v>
      </c>
      <c r="BH237" s="204">
        <v>0</v>
      </c>
      <c r="BI237" s="272" t="str">
        <f t="shared" si="183"/>
        <v>A</v>
      </c>
      <c r="BJ237" s="247">
        <f t="shared" si="184"/>
        <v>100</v>
      </c>
      <c r="BK237" s="90">
        <f t="shared" si="185"/>
        <v>3</v>
      </c>
      <c r="BL237" s="406">
        <v>7</v>
      </c>
      <c r="BM237" s="413">
        <f t="shared" si="186"/>
        <v>3.1390134529147984</v>
      </c>
      <c r="BN237" s="414">
        <f t="shared" si="187"/>
        <v>40</v>
      </c>
      <c r="BO237" s="415">
        <f t="shared" si="188"/>
        <v>1.2</v>
      </c>
      <c r="BP237" s="416">
        <v>0</v>
      </c>
      <c r="BQ237" s="417">
        <f t="shared" si="189"/>
        <v>33.333333333333336</v>
      </c>
      <c r="BR237" s="415">
        <f t="shared" si="190"/>
        <v>0.33333333333333337</v>
      </c>
      <c r="BS237" s="350">
        <f t="shared" si="191"/>
        <v>10.674898723903665</v>
      </c>
    </row>
    <row r="238" spans="1:71" x14ac:dyDescent="0.6">
      <c r="A238" s="214" t="s">
        <v>1832</v>
      </c>
      <c r="B238" s="13" t="s">
        <v>2218</v>
      </c>
      <c r="C238" s="219" t="s">
        <v>1833</v>
      </c>
      <c r="D238" s="14" t="s">
        <v>203</v>
      </c>
      <c r="E238" s="217" t="s">
        <v>188</v>
      </c>
      <c r="F238" s="217" t="s">
        <v>1834</v>
      </c>
      <c r="G238" s="218">
        <v>26840</v>
      </c>
      <c r="H238" s="217" t="s">
        <v>830</v>
      </c>
      <c r="I238" s="217" t="s">
        <v>1835</v>
      </c>
      <c r="J238" s="217" t="s">
        <v>1836</v>
      </c>
      <c r="K238" s="217" t="s">
        <v>91</v>
      </c>
      <c r="L238" s="220">
        <v>8803079613</v>
      </c>
      <c r="M238" s="206">
        <v>3891106993</v>
      </c>
      <c r="N238" s="206">
        <v>4911972621</v>
      </c>
      <c r="O238" s="206">
        <v>2701705575</v>
      </c>
      <c r="P238" s="206">
        <v>177791342</v>
      </c>
      <c r="Q238" s="206">
        <v>7918913</v>
      </c>
      <c r="R238" s="206">
        <v>7342768</v>
      </c>
      <c r="S238" s="405">
        <v>0</v>
      </c>
      <c r="T238" s="405">
        <v>0</v>
      </c>
      <c r="U238" s="406">
        <v>0</v>
      </c>
      <c r="V238" s="406">
        <v>1</v>
      </c>
      <c r="W238" s="407">
        <f t="shared" si="227"/>
        <v>1</v>
      </c>
      <c r="X238" s="407">
        <f t="shared" si="228"/>
        <v>80</v>
      </c>
      <c r="Y238" s="408">
        <f t="shared" si="229"/>
        <v>2.4</v>
      </c>
      <c r="Z238" s="444" t="s">
        <v>3461</v>
      </c>
      <c r="AA238" s="442">
        <v>0</v>
      </c>
      <c r="AB238" s="406">
        <v>1</v>
      </c>
      <c r="AC238" s="406">
        <v>0</v>
      </c>
      <c r="AD238" s="407">
        <f t="shared" si="230"/>
        <v>1</v>
      </c>
      <c r="AE238" s="364" t="str">
        <f t="shared" si="231"/>
        <v>100</v>
      </c>
      <c r="AF238" s="349">
        <f t="shared" si="232"/>
        <v>0.5</v>
      </c>
      <c r="AG238" s="154">
        <v>3432</v>
      </c>
      <c r="AH238" s="421"/>
      <c r="AI238" s="409">
        <f t="shared" si="175"/>
        <v>0</v>
      </c>
      <c r="AJ238" s="409">
        <f t="shared" si="176"/>
        <v>25</v>
      </c>
      <c r="AK238" s="408">
        <f t="shared" si="233"/>
        <v>0.25</v>
      </c>
      <c r="AL238" s="423"/>
      <c r="AM238" s="424">
        <v>0</v>
      </c>
      <c r="AN238" s="365">
        <f t="shared" si="199"/>
        <v>25</v>
      </c>
      <c r="AO238" s="320">
        <f t="shared" si="234"/>
        <v>0.25</v>
      </c>
      <c r="AP238" s="277">
        <f>_xlfn.XLOOKUP(C238, '1.건전성'!C:C, '1.건전성'!BE:BE)</f>
        <v>102571890</v>
      </c>
      <c r="AQ238" s="277">
        <f>_xlfn.XLOOKUP(C238, '1.건전성'!C:C, '1.건전성'!BF:BF)</f>
        <v>17821017</v>
      </c>
      <c r="AR238" s="410">
        <f t="shared" si="178"/>
        <v>120392907</v>
      </c>
      <c r="AS238" s="366">
        <f t="shared" si="173"/>
        <v>4.4561816103888372</v>
      </c>
      <c r="AT238" s="366">
        <f t="shared" si="179"/>
        <v>27.982046439991585</v>
      </c>
      <c r="AU238" s="321">
        <f t="shared" si="180"/>
        <v>0.27982046439991587</v>
      </c>
      <c r="AV238" s="15">
        <v>16666048</v>
      </c>
      <c r="AW238" s="361">
        <f t="shared" si="174"/>
        <v>0.61687136282420407</v>
      </c>
      <c r="AX238" s="361">
        <f t="shared" si="181"/>
        <v>28.915692142607607</v>
      </c>
      <c r="AY238" s="321">
        <f t="shared" si="235"/>
        <v>0.14457846071303804</v>
      </c>
      <c r="AZ238" s="411">
        <v>14.14</v>
      </c>
      <c r="BA238" s="412">
        <f t="shared" si="182"/>
        <v>100</v>
      </c>
      <c r="BB238" s="408">
        <f t="shared" si="236"/>
        <v>0.5</v>
      </c>
      <c r="BC238" s="204">
        <v>1</v>
      </c>
      <c r="BD238" s="407">
        <f t="shared" si="203"/>
        <v>100</v>
      </c>
      <c r="BE238" s="408">
        <f t="shared" si="237"/>
        <v>0.5</v>
      </c>
      <c r="BF238" s="204">
        <v>1</v>
      </c>
      <c r="BG238" s="204">
        <v>1</v>
      </c>
      <c r="BH238" s="204">
        <v>1</v>
      </c>
      <c r="BI238" s="272" t="str">
        <f t="shared" si="183"/>
        <v>D</v>
      </c>
      <c r="BJ238" s="247">
        <f t="shared" si="184"/>
        <v>25</v>
      </c>
      <c r="BK238" s="90">
        <f t="shared" si="185"/>
        <v>0.75</v>
      </c>
      <c r="BL238" s="406">
        <v>178</v>
      </c>
      <c r="BM238" s="413">
        <f t="shared" si="186"/>
        <v>5.1864801864801864</v>
      </c>
      <c r="BN238" s="414">
        <f t="shared" si="187"/>
        <v>40</v>
      </c>
      <c r="BO238" s="415">
        <f t="shared" si="188"/>
        <v>1.2</v>
      </c>
      <c r="BP238" s="416">
        <v>0</v>
      </c>
      <c r="BQ238" s="417">
        <f t="shared" si="189"/>
        <v>33.333333333333336</v>
      </c>
      <c r="BR238" s="415">
        <f t="shared" si="190"/>
        <v>0.33333333333333337</v>
      </c>
      <c r="BS238" s="350">
        <f t="shared" si="191"/>
        <v>7.107732258446287</v>
      </c>
    </row>
    <row r="239" spans="1:71" x14ac:dyDescent="0.6">
      <c r="A239" s="214" t="s">
        <v>26</v>
      </c>
      <c r="B239" s="13" t="s">
        <v>2219</v>
      </c>
      <c r="C239" s="219" t="s">
        <v>475</v>
      </c>
      <c r="D239" s="216" t="s">
        <v>202</v>
      </c>
      <c r="E239" s="217" t="s">
        <v>161</v>
      </c>
      <c r="F239" s="217" t="s">
        <v>985</v>
      </c>
      <c r="G239" s="218">
        <v>43074</v>
      </c>
      <c r="H239" s="217" t="s">
        <v>830</v>
      </c>
      <c r="I239" s="217" t="s">
        <v>1017</v>
      </c>
      <c r="J239" s="217" t="s">
        <v>1133</v>
      </c>
      <c r="K239" s="217" t="s">
        <v>690</v>
      </c>
      <c r="L239" s="220">
        <v>483313332</v>
      </c>
      <c r="M239" s="206">
        <v>57327965</v>
      </c>
      <c r="N239" s="206">
        <v>425985367</v>
      </c>
      <c r="O239" s="206">
        <v>378192950</v>
      </c>
      <c r="P239" s="206">
        <v>60336561</v>
      </c>
      <c r="Q239" s="206">
        <v>70491799</v>
      </c>
      <c r="R239" s="206">
        <v>55385939</v>
      </c>
      <c r="S239" s="405">
        <v>0</v>
      </c>
      <c r="T239" s="405">
        <v>0</v>
      </c>
      <c r="U239" s="406">
        <v>0</v>
      </c>
      <c r="V239" s="406">
        <v>0</v>
      </c>
      <c r="W239" s="407">
        <f t="shared" si="227"/>
        <v>0</v>
      </c>
      <c r="X239" s="407">
        <f t="shared" si="228"/>
        <v>100</v>
      </c>
      <c r="Y239" s="408">
        <f t="shared" si="229"/>
        <v>3</v>
      </c>
      <c r="Z239" s="444" t="s">
        <v>3462</v>
      </c>
      <c r="AA239" s="442">
        <v>0</v>
      </c>
      <c r="AB239" s="406">
        <v>1</v>
      </c>
      <c r="AC239" s="406">
        <v>0</v>
      </c>
      <c r="AD239" s="407">
        <f t="shared" si="230"/>
        <v>1</v>
      </c>
      <c r="AE239" s="364" t="str">
        <f t="shared" si="231"/>
        <v>100</v>
      </c>
      <c r="AF239" s="349">
        <f t="shared" si="232"/>
        <v>0.5</v>
      </c>
      <c r="AG239" s="154">
        <v>802</v>
      </c>
      <c r="AH239" s="421"/>
      <c r="AI239" s="409">
        <f t="shared" si="175"/>
        <v>0</v>
      </c>
      <c r="AJ239" s="409">
        <f t="shared" si="176"/>
        <v>25</v>
      </c>
      <c r="AK239" s="408">
        <f t="shared" si="233"/>
        <v>0.25</v>
      </c>
      <c r="AL239" s="423"/>
      <c r="AM239" s="424">
        <v>0</v>
      </c>
      <c r="AN239" s="365">
        <f t="shared" si="199"/>
        <v>25</v>
      </c>
      <c r="AO239" s="320">
        <f t="shared" si="234"/>
        <v>0.25</v>
      </c>
      <c r="AP239" s="277">
        <f>_xlfn.XLOOKUP(C239, '1.건전성'!C:C, '1.건전성'!BE:BE)</f>
        <v>9503727</v>
      </c>
      <c r="AQ239" s="277">
        <f>_xlfn.XLOOKUP(C239, '1.건전성'!C:C, '1.건전성'!BF:BF)</f>
        <v>702917</v>
      </c>
      <c r="AR239" s="410">
        <f t="shared" si="178"/>
        <v>10206644</v>
      </c>
      <c r="AS239" s="366">
        <f t="shared" si="173"/>
        <v>2.6987927723137091</v>
      </c>
      <c r="AT239" s="366">
        <f t="shared" si="179"/>
        <v>26.657381486668626</v>
      </c>
      <c r="AU239" s="321">
        <f t="shared" si="180"/>
        <v>0.26657381486668624</v>
      </c>
      <c r="AV239" s="15">
        <v>2834895</v>
      </c>
      <c r="AW239" s="361">
        <f t="shared" si="174"/>
        <v>0.74958959441205875</v>
      </c>
      <c r="AX239" s="361">
        <f t="shared" si="181"/>
        <v>29.921133291000444</v>
      </c>
      <c r="AY239" s="321">
        <f t="shared" si="235"/>
        <v>0.14960566645500223</v>
      </c>
      <c r="AZ239" s="411">
        <v>3.3</v>
      </c>
      <c r="BA239" s="412">
        <f t="shared" si="182"/>
        <v>20</v>
      </c>
      <c r="BB239" s="408">
        <f t="shared" si="236"/>
        <v>0.1</v>
      </c>
      <c r="BC239" s="204">
        <v>1</v>
      </c>
      <c r="BD239" s="407">
        <f t="shared" si="203"/>
        <v>100</v>
      </c>
      <c r="BE239" s="408">
        <f t="shared" si="237"/>
        <v>0.5</v>
      </c>
      <c r="BF239" s="204">
        <v>0</v>
      </c>
      <c r="BG239" s="204">
        <v>0</v>
      </c>
      <c r="BH239" s="204">
        <v>0</v>
      </c>
      <c r="BI239" s="272" t="str">
        <f t="shared" si="183"/>
        <v>A</v>
      </c>
      <c r="BJ239" s="247">
        <f t="shared" si="184"/>
        <v>100</v>
      </c>
      <c r="BK239" s="90">
        <f t="shared" si="185"/>
        <v>3</v>
      </c>
      <c r="BL239" s="406">
        <v>34</v>
      </c>
      <c r="BM239" s="413">
        <f t="shared" si="186"/>
        <v>4.2394014962593518</v>
      </c>
      <c r="BN239" s="414">
        <f t="shared" si="187"/>
        <v>40</v>
      </c>
      <c r="BO239" s="415">
        <f t="shared" si="188"/>
        <v>1.2</v>
      </c>
      <c r="BP239" s="416">
        <v>0</v>
      </c>
      <c r="BQ239" s="417">
        <f t="shared" si="189"/>
        <v>33.333333333333336</v>
      </c>
      <c r="BR239" s="415">
        <f t="shared" si="190"/>
        <v>0.33333333333333337</v>
      </c>
      <c r="BS239" s="350">
        <f t="shared" si="191"/>
        <v>9.5495128146550226</v>
      </c>
    </row>
    <row r="240" spans="1:71" x14ac:dyDescent="0.6">
      <c r="A240" s="214" t="s">
        <v>1837</v>
      </c>
      <c r="B240" s="13" t="s">
        <v>2220</v>
      </c>
      <c r="C240" s="219" t="s">
        <v>1838</v>
      </c>
      <c r="D240" s="14" t="s">
        <v>285</v>
      </c>
      <c r="E240" s="217" t="s">
        <v>1432</v>
      </c>
      <c r="F240" s="217" t="s">
        <v>1839</v>
      </c>
      <c r="G240" s="218">
        <v>28762</v>
      </c>
      <c r="H240" s="217" t="s">
        <v>830</v>
      </c>
      <c r="I240" s="217" t="s">
        <v>1840</v>
      </c>
      <c r="J240" s="217" t="s">
        <v>1841</v>
      </c>
      <c r="K240" s="217" t="s">
        <v>91</v>
      </c>
      <c r="L240" s="220">
        <v>501506960</v>
      </c>
      <c r="M240" s="206">
        <v>297824193</v>
      </c>
      <c r="N240" s="206">
        <v>203682767</v>
      </c>
      <c r="O240" s="206">
        <v>628065353</v>
      </c>
      <c r="P240" s="206">
        <v>22866089</v>
      </c>
      <c r="Q240" s="206">
        <v>14957802</v>
      </c>
      <c r="R240" s="206">
        <v>12222578</v>
      </c>
      <c r="S240" s="405">
        <v>0</v>
      </c>
      <c r="T240" s="405">
        <v>0</v>
      </c>
      <c r="U240" s="406">
        <v>0</v>
      </c>
      <c r="V240" s="406">
        <v>0</v>
      </c>
      <c r="W240" s="407">
        <f t="shared" si="227"/>
        <v>0</v>
      </c>
      <c r="X240" s="407">
        <f t="shared" si="228"/>
        <v>100</v>
      </c>
      <c r="Y240" s="408">
        <f t="shared" si="229"/>
        <v>3</v>
      </c>
      <c r="Z240" s="444" t="s">
        <v>3463</v>
      </c>
      <c r="AA240" s="442">
        <v>0</v>
      </c>
      <c r="AB240" s="406">
        <v>0</v>
      </c>
      <c r="AC240" s="406">
        <v>0</v>
      </c>
      <c r="AD240" s="407">
        <f t="shared" si="230"/>
        <v>0</v>
      </c>
      <c r="AE240" s="364" t="str">
        <f t="shared" si="231"/>
        <v>50</v>
      </c>
      <c r="AF240" s="349">
        <f t="shared" si="232"/>
        <v>0.25</v>
      </c>
      <c r="AG240" s="154">
        <v>461</v>
      </c>
      <c r="AH240" s="154">
        <v>160970</v>
      </c>
      <c r="AI240" s="409">
        <f t="shared" si="175"/>
        <v>349.17570498915399</v>
      </c>
      <c r="AJ240" s="409">
        <f t="shared" si="176"/>
        <v>100</v>
      </c>
      <c r="AK240" s="408">
        <f t="shared" si="233"/>
        <v>1</v>
      </c>
      <c r="AL240" s="45">
        <v>125523</v>
      </c>
      <c r="AM240" s="361">
        <f t="shared" si="177"/>
        <v>28.239446157277946</v>
      </c>
      <c r="AN240" s="365">
        <f t="shared" si="199"/>
        <v>30.294896154489614</v>
      </c>
      <c r="AO240" s="320">
        <f t="shared" si="234"/>
        <v>0.30294896154489614</v>
      </c>
      <c r="AP240" s="277">
        <f>_xlfn.XLOOKUP(C240, '1.건전성'!C:C, '1.건전성'!BE:BE)</f>
        <v>24510215</v>
      </c>
      <c r="AQ240" s="277">
        <f>_xlfn.XLOOKUP(C240, '1.건전성'!C:C, '1.건전성'!BF:BF)</f>
        <v>2202791</v>
      </c>
      <c r="AR240" s="410">
        <f t="shared" si="178"/>
        <v>26713006</v>
      </c>
      <c r="AS240" s="366">
        <f t="shared" si="173"/>
        <v>4.2532207631583843</v>
      </c>
      <c r="AT240" s="366">
        <f t="shared" si="179"/>
        <v>27.82906087675255</v>
      </c>
      <c r="AU240" s="321">
        <f t="shared" si="180"/>
        <v>0.27829060876752548</v>
      </c>
      <c r="AV240" s="15">
        <v>3445736</v>
      </c>
      <c r="AW240" s="361">
        <f t="shared" si="174"/>
        <v>0.54862698340884275</v>
      </c>
      <c r="AX240" s="361">
        <f t="shared" si="181"/>
        <v>28.398689268248809</v>
      </c>
      <c r="AY240" s="321">
        <f t="shared" si="235"/>
        <v>0.14199344634124406</v>
      </c>
      <c r="AZ240" s="411">
        <v>12.9</v>
      </c>
      <c r="BA240" s="412">
        <f t="shared" si="182"/>
        <v>100</v>
      </c>
      <c r="BB240" s="408">
        <f t="shared" si="236"/>
        <v>0.5</v>
      </c>
      <c r="BC240" s="204">
        <v>1</v>
      </c>
      <c r="BD240" s="407">
        <f t="shared" si="203"/>
        <v>100</v>
      </c>
      <c r="BE240" s="408">
        <f t="shared" si="237"/>
        <v>0.5</v>
      </c>
      <c r="BF240" s="204">
        <v>0</v>
      </c>
      <c r="BG240" s="204">
        <v>1</v>
      </c>
      <c r="BH240" s="204">
        <v>0</v>
      </c>
      <c r="BI240" s="272" t="str">
        <f t="shared" si="183"/>
        <v>C</v>
      </c>
      <c r="BJ240" s="247">
        <f t="shared" si="184"/>
        <v>50</v>
      </c>
      <c r="BK240" s="90">
        <f t="shared" si="185"/>
        <v>1.5</v>
      </c>
      <c r="BL240" s="406">
        <v>41</v>
      </c>
      <c r="BM240" s="413">
        <f t="shared" si="186"/>
        <v>8.8937093275488071</v>
      </c>
      <c r="BN240" s="414">
        <f t="shared" si="187"/>
        <v>20</v>
      </c>
      <c r="BO240" s="415">
        <f t="shared" si="188"/>
        <v>0.6</v>
      </c>
      <c r="BP240" s="416">
        <v>0</v>
      </c>
      <c r="BQ240" s="417">
        <f t="shared" si="189"/>
        <v>33.333333333333336</v>
      </c>
      <c r="BR240" s="415">
        <f t="shared" si="190"/>
        <v>0.33333333333333337</v>
      </c>
      <c r="BS240" s="350">
        <f t="shared" si="191"/>
        <v>8.4065663499869991</v>
      </c>
    </row>
    <row r="241" spans="1:71" x14ac:dyDescent="0.6">
      <c r="A241" s="214" t="s">
        <v>1842</v>
      </c>
      <c r="B241" s="13" t="s">
        <v>2221</v>
      </c>
      <c r="C241" s="219" t="s">
        <v>1843</v>
      </c>
      <c r="D241" s="14" t="s">
        <v>285</v>
      </c>
      <c r="E241" s="217" t="s">
        <v>1756</v>
      </c>
      <c r="F241" s="217" t="s">
        <v>1844</v>
      </c>
      <c r="G241" s="218">
        <v>44482</v>
      </c>
      <c r="H241" s="217" t="s">
        <v>830</v>
      </c>
      <c r="I241" s="217" t="s">
        <v>1845</v>
      </c>
      <c r="J241" s="217" t="s">
        <v>1846</v>
      </c>
      <c r="K241" s="217" t="s">
        <v>91</v>
      </c>
      <c r="L241" s="220">
        <v>534356691</v>
      </c>
      <c r="M241" s="206">
        <v>288535624</v>
      </c>
      <c r="N241" s="206">
        <v>245821067</v>
      </c>
      <c r="O241" s="206">
        <v>2177261974</v>
      </c>
      <c r="P241" s="206">
        <v>50047663</v>
      </c>
      <c r="Q241" s="206">
        <v>39570210</v>
      </c>
      <c r="R241" s="206">
        <v>30363689</v>
      </c>
      <c r="S241" s="405">
        <v>0</v>
      </c>
      <c r="T241" s="405">
        <v>0</v>
      </c>
      <c r="U241" s="406">
        <v>0</v>
      </c>
      <c r="V241" s="406">
        <v>0</v>
      </c>
      <c r="W241" s="407">
        <f t="shared" si="227"/>
        <v>0</v>
      </c>
      <c r="X241" s="407">
        <f t="shared" si="228"/>
        <v>100</v>
      </c>
      <c r="Y241" s="408">
        <f t="shared" si="229"/>
        <v>3</v>
      </c>
      <c r="Z241" s="444" t="s">
        <v>3464</v>
      </c>
      <c r="AA241" s="442">
        <v>0</v>
      </c>
      <c r="AB241" s="406">
        <v>0</v>
      </c>
      <c r="AC241" s="406">
        <v>0</v>
      </c>
      <c r="AD241" s="407">
        <f t="shared" si="230"/>
        <v>0</v>
      </c>
      <c r="AE241" s="364" t="str">
        <f t="shared" si="231"/>
        <v>50</v>
      </c>
      <c r="AF241" s="349">
        <f t="shared" si="232"/>
        <v>0.25</v>
      </c>
      <c r="AG241" s="154">
        <v>1147</v>
      </c>
      <c r="AH241" s="421"/>
      <c r="AI241" s="409">
        <f t="shared" si="175"/>
        <v>0</v>
      </c>
      <c r="AJ241" s="409">
        <f t="shared" si="176"/>
        <v>25</v>
      </c>
      <c r="AK241" s="408">
        <f t="shared" si="233"/>
        <v>0.25</v>
      </c>
      <c r="AL241" s="423"/>
      <c r="AM241" s="424">
        <v>0</v>
      </c>
      <c r="AN241" s="365">
        <f t="shared" si="199"/>
        <v>25</v>
      </c>
      <c r="AO241" s="320">
        <f t="shared" si="234"/>
        <v>0.25</v>
      </c>
      <c r="AP241" s="277">
        <f>_xlfn.XLOOKUP(C241, '1.건전성'!C:C, '1.건전성'!BE:BE)</f>
        <v>63365779</v>
      </c>
      <c r="AQ241" s="277">
        <f>_xlfn.XLOOKUP(C241, '1.건전성'!C:C, '1.건전성'!BF:BF)</f>
        <v>4742777</v>
      </c>
      <c r="AR241" s="410">
        <f t="shared" si="178"/>
        <v>68108556</v>
      </c>
      <c r="AS241" s="366">
        <f t="shared" si="173"/>
        <v>3.1281745978814399</v>
      </c>
      <c r="AT241" s="366">
        <f t="shared" si="179"/>
        <v>26.981036129056363</v>
      </c>
      <c r="AU241" s="321">
        <f t="shared" si="180"/>
        <v>0.26981036129056363</v>
      </c>
      <c r="AV241" s="15">
        <v>8215407</v>
      </c>
      <c r="AW241" s="361">
        <f t="shared" si="174"/>
        <v>0.37732744603566937</v>
      </c>
      <c r="AX241" s="361">
        <f t="shared" si="181"/>
        <v>27.100965500270224</v>
      </c>
      <c r="AY241" s="321">
        <f t="shared" si="235"/>
        <v>0.13550482750135112</v>
      </c>
      <c r="AZ241" s="411">
        <v>6.1</v>
      </c>
      <c r="BA241" s="412">
        <f t="shared" si="182"/>
        <v>60</v>
      </c>
      <c r="BB241" s="408">
        <f t="shared" si="236"/>
        <v>0.3</v>
      </c>
      <c r="BC241" s="204">
        <v>1</v>
      </c>
      <c r="BD241" s="407">
        <f t="shared" si="203"/>
        <v>100</v>
      </c>
      <c r="BE241" s="408">
        <f t="shared" si="237"/>
        <v>0.5</v>
      </c>
      <c r="BF241" s="204">
        <v>0</v>
      </c>
      <c r="BG241" s="204">
        <v>0</v>
      </c>
      <c r="BH241" s="204">
        <v>0</v>
      </c>
      <c r="BI241" s="272" t="str">
        <f t="shared" si="183"/>
        <v>A</v>
      </c>
      <c r="BJ241" s="247">
        <f t="shared" si="184"/>
        <v>100</v>
      </c>
      <c r="BK241" s="90">
        <f t="shared" si="185"/>
        <v>3</v>
      </c>
      <c r="BL241" s="406">
        <v>14</v>
      </c>
      <c r="BM241" s="413">
        <f t="shared" si="186"/>
        <v>1.2205754141238012</v>
      </c>
      <c r="BN241" s="414">
        <f t="shared" si="187"/>
        <v>60</v>
      </c>
      <c r="BO241" s="415">
        <f t="shared" si="188"/>
        <v>1.7999999999999998</v>
      </c>
      <c r="BP241" s="416">
        <v>0.6</v>
      </c>
      <c r="BQ241" s="417">
        <f t="shared" si="189"/>
        <v>66.666666666666671</v>
      </c>
      <c r="BR241" s="415">
        <f t="shared" si="190"/>
        <v>0.66666666666666674</v>
      </c>
      <c r="BS241" s="350">
        <f t="shared" si="191"/>
        <v>10.421981855458581</v>
      </c>
    </row>
    <row r="242" spans="1:71" x14ac:dyDescent="0.6">
      <c r="A242" s="214" t="s">
        <v>1847</v>
      </c>
      <c r="B242" s="13" t="s">
        <v>2222</v>
      </c>
      <c r="C242" s="219" t="s">
        <v>1848</v>
      </c>
      <c r="D242" s="14" t="s">
        <v>202</v>
      </c>
      <c r="E242" s="217" t="s">
        <v>56</v>
      </c>
      <c r="F242" s="217" t="s">
        <v>1849</v>
      </c>
      <c r="G242" s="218">
        <v>36152</v>
      </c>
      <c r="H242" s="217" t="s">
        <v>830</v>
      </c>
      <c r="I242" s="217" t="s">
        <v>1850</v>
      </c>
      <c r="J242" s="217" t="s">
        <v>1851</v>
      </c>
      <c r="K242" s="217" t="s">
        <v>690</v>
      </c>
      <c r="L242" s="220">
        <v>30417774000</v>
      </c>
      <c r="M242" s="206">
        <v>15559694000</v>
      </c>
      <c r="N242" s="206">
        <v>14858080000</v>
      </c>
      <c r="O242" s="206">
        <v>18289243000</v>
      </c>
      <c r="P242" s="206">
        <v>1168103000</v>
      </c>
      <c r="Q242" s="206">
        <v>1270743000</v>
      </c>
      <c r="R242" s="206">
        <v>763750000</v>
      </c>
      <c r="S242" s="405">
        <v>0</v>
      </c>
      <c r="T242" s="405">
        <v>0</v>
      </c>
      <c r="U242" s="406">
        <v>0</v>
      </c>
      <c r="V242" s="406">
        <v>0</v>
      </c>
      <c r="W242" s="407">
        <f t="shared" si="227"/>
        <v>0</v>
      </c>
      <c r="X242" s="407">
        <f t="shared" si="228"/>
        <v>100</v>
      </c>
      <c r="Y242" s="408">
        <f t="shared" si="229"/>
        <v>3</v>
      </c>
      <c r="Z242" s="444" t="s">
        <v>3465</v>
      </c>
      <c r="AA242" s="442">
        <v>0</v>
      </c>
      <c r="AB242" s="406">
        <v>0</v>
      </c>
      <c r="AC242" s="406">
        <v>1</v>
      </c>
      <c r="AD242" s="407">
        <f t="shared" si="230"/>
        <v>1</v>
      </c>
      <c r="AE242" s="364" t="str">
        <f t="shared" si="231"/>
        <v>100</v>
      </c>
      <c r="AF242" s="349">
        <f t="shared" si="232"/>
        <v>0.5</v>
      </c>
      <c r="AG242" s="154">
        <v>20544</v>
      </c>
      <c r="AH242" s="421"/>
      <c r="AI242" s="409">
        <f t="shared" si="175"/>
        <v>0</v>
      </c>
      <c r="AJ242" s="409">
        <f t="shared" si="176"/>
        <v>25</v>
      </c>
      <c r="AK242" s="408">
        <f t="shared" si="233"/>
        <v>0.25</v>
      </c>
      <c r="AL242" s="423"/>
      <c r="AM242" s="424">
        <v>0</v>
      </c>
      <c r="AN242" s="365">
        <f t="shared" si="199"/>
        <v>25</v>
      </c>
      <c r="AO242" s="320">
        <f t="shared" si="234"/>
        <v>0.25</v>
      </c>
      <c r="AP242" s="277">
        <f>_xlfn.XLOOKUP(C242, '1.건전성'!C:C, '1.건전성'!BE:BE)</f>
        <v>2380672000</v>
      </c>
      <c r="AQ242" s="277">
        <f>_xlfn.XLOOKUP(C242, '1.건전성'!C:C, '1.건전성'!BF:BF)</f>
        <v>160963000</v>
      </c>
      <c r="AR242" s="410">
        <f t="shared" si="178"/>
        <v>2541635000</v>
      </c>
      <c r="AS242" s="366">
        <f t="shared" si="173"/>
        <v>13.896884633224021</v>
      </c>
      <c r="AT242" s="366">
        <f t="shared" si="179"/>
        <v>35.098154246148759</v>
      </c>
      <c r="AU242" s="321">
        <f t="shared" si="180"/>
        <v>0.35098154246148761</v>
      </c>
      <c r="AV242" s="419"/>
      <c r="AW242" s="361">
        <f t="shared" si="174"/>
        <v>0</v>
      </c>
      <c r="AX242" s="361">
        <f t="shared" si="181"/>
        <v>25</v>
      </c>
      <c r="AY242" s="321">
        <f t="shared" si="235"/>
        <v>0.125</v>
      </c>
      <c r="AZ242" s="411">
        <v>22</v>
      </c>
      <c r="BA242" s="412">
        <f t="shared" si="182"/>
        <v>100</v>
      </c>
      <c r="BB242" s="408">
        <f t="shared" si="236"/>
        <v>0.5</v>
      </c>
      <c r="BC242" s="204">
        <v>1</v>
      </c>
      <c r="BD242" s="407">
        <f t="shared" si="203"/>
        <v>100</v>
      </c>
      <c r="BE242" s="408">
        <f t="shared" si="237"/>
        <v>0.5</v>
      </c>
      <c r="BF242" s="204">
        <v>1</v>
      </c>
      <c r="BG242" s="204">
        <v>1</v>
      </c>
      <c r="BH242" s="204">
        <v>1</v>
      </c>
      <c r="BI242" s="272" t="str">
        <f t="shared" si="183"/>
        <v>D</v>
      </c>
      <c r="BJ242" s="247">
        <f t="shared" si="184"/>
        <v>25</v>
      </c>
      <c r="BK242" s="90">
        <f t="shared" si="185"/>
        <v>0.75</v>
      </c>
      <c r="BL242" s="406">
        <v>721</v>
      </c>
      <c r="BM242" s="413">
        <f t="shared" si="186"/>
        <v>3.5095404984423677</v>
      </c>
      <c r="BN242" s="414">
        <f t="shared" si="187"/>
        <v>40</v>
      </c>
      <c r="BO242" s="415">
        <f t="shared" si="188"/>
        <v>1.2</v>
      </c>
      <c r="BP242" s="416">
        <v>3.86</v>
      </c>
      <c r="BQ242" s="417">
        <f t="shared" si="189"/>
        <v>66.666666666666671</v>
      </c>
      <c r="BR242" s="415">
        <f t="shared" si="190"/>
        <v>0.66666666666666674</v>
      </c>
      <c r="BS242" s="350">
        <f t="shared" si="191"/>
        <v>8.0926482091281535</v>
      </c>
    </row>
    <row r="243" spans="1:71" x14ac:dyDescent="0.6">
      <c r="A243" s="214" t="s">
        <v>1852</v>
      </c>
      <c r="B243" s="13" t="s">
        <v>2223</v>
      </c>
      <c r="C243" s="219" t="s">
        <v>1853</v>
      </c>
      <c r="D243" s="14" t="s">
        <v>285</v>
      </c>
      <c r="E243" s="217" t="s">
        <v>1854</v>
      </c>
      <c r="F243" s="217" t="s">
        <v>1855</v>
      </c>
      <c r="G243" s="218">
        <v>40697</v>
      </c>
      <c r="H243" s="217" t="s">
        <v>830</v>
      </c>
      <c r="I243" s="217" t="s">
        <v>1856</v>
      </c>
      <c r="J243" s="217" t="s">
        <v>1857</v>
      </c>
      <c r="K243" s="217" t="s">
        <v>91</v>
      </c>
      <c r="L243" s="220">
        <v>1160021099</v>
      </c>
      <c r="M243" s="206">
        <v>357640642</v>
      </c>
      <c r="N243" s="206">
        <v>802380457</v>
      </c>
      <c r="O243" s="206">
        <v>704927362</v>
      </c>
      <c r="P243" s="206">
        <v>50599970</v>
      </c>
      <c r="Q243" s="206">
        <v>45652874</v>
      </c>
      <c r="R243" s="206">
        <v>34327224</v>
      </c>
      <c r="S243" s="405">
        <v>0</v>
      </c>
      <c r="T243" s="405">
        <v>0</v>
      </c>
      <c r="U243" s="406">
        <v>0</v>
      </c>
      <c r="V243" s="406">
        <v>0</v>
      </c>
      <c r="W243" s="407">
        <f t="shared" si="227"/>
        <v>0</v>
      </c>
      <c r="X243" s="407">
        <f t="shared" si="228"/>
        <v>100</v>
      </c>
      <c r="Y243" s="408">
        <f t="shared" si="229"/>
        <v>3</v>
      </c>
      <c r="Z243" s="444" t="s">
        <v>3466</v>
      </c>
      <c r="AA243" s="442">
        <v>0</v>
      </c>
      <c r="AB243" s="406">
        <v>0</v>
      </c>
      <c r="AC243" s="406">
        <v>0</v>
      </c>
      <c r="AD243" s="407">
        <f t="shared" si="230"/>
        <v>0</v>
      </c>
      <c r="AE243" s="364" t="str">
        <f t="shared" si="231"/>
        <v>50</v>
      </c>
      <c r="AF243" s="349">
        <f t="shared" si="232"/>
        <v>0.25</v>
      </c>
      <c r="AG243" s="154">
        <v>379</v>
      </c>
      <c r="AH243" s="421"/>
      <c r="AI243" s="409">
        <f t="shared" si="175"/>
        <v>0</v>
      </c>
      <c r="AJ243" s="409">
        <f t="shared" si="176"/>
        <v>25</v>
      </c>
      <c r="AK243" s="408">
        <f t="shared" si="233"/>
        <v>0.25</v>
      </c>
      <c r="AL243" s="423"/>
      <c r="AM243" s="424">
        <v>0</v>
      </c>
      <c r="AN243" s="365">
        <f t="shared" si="199"/>
        <v>25</v>
      </c>
      <c r="AO243" s="320">
        <f t="shared" si="234"/>
        <v>0.25</v>
      </c>
      <c r="AP243" s="277">
        <f>_xlfn.XLOOKUP(C243, '1.건전성'!C:C, '1.건전성'!BE:BE)</f>
        <v>30951410</v>
      </c>
      <c r="AQ243" s="277">
        <f>_xlfn.XLOOKUP(C243, '1.건전성'!C:C, '1.건전성'!BF:BF)</f>
        <v>4442635</v>
      </c>
      <c r="AR243" s="410">
        <f t="shared" si="178"/>
        <v>35394045</v>
      </c>
      <c r="AS243" s="366">
        <f t="shared" si="173"/>
        <v>5.0209492364689909</v>
      </c>
      <c r="AT243" s="366">
        <f t="shared" si="179"/>
        <v>28.40775068075552</v>
      </c>
      <c r="AU243" s="321">
        <f t="shared" si="180"/>
        <v>0.28407750680755522</v>
      </c>
      <c r="AV243" s="15">
        <v>11676471</v>
      </c>
      <c r="AW243" s="361">
        <f t="shared" si="174"/>
        <v>1.6564076853070147</v>
      </c>
      <c r="AX243" s="361">
        <f t="shared" si="181"/>
        <v>36.790967312931926</v>
      </c>
      <c r="AY243" s="321">
        <f t="shared" si="235"/>
        <v>0.18395483656465964</v>
      </c>
      <c r="AZ243" s="411">
        <v>12.11</v>
      </c>
      <c r="BA243" s="412">
        <f t="shared" si="182"/>
        <v>100</v>
      </c>
      <c r="BB243" s="408">
        <f t="shared" si="236"/>
        <v>0.5</v>
      </c>
      <c r="BC243" s="204">
        <v>1</v>
      </c>
      <c r="BD243" s="407">
        <f t="shared" si="203"/>
        <v>100</v>
      </c>
      <c r="BE243" s="408">
        <f t="shared" si="237"/>
        <v>0.5</v>
      </c>
      <c r="BF243" s="204">
        <v>1</v>
      </c>
      <c r="BG243" s="204">
        <v>1</v>
      </c>
      <c r="BH243" s="204">
        <v>0</v>
      </c>
      <c r="BI243" s="272" t="str">
        <f t="shared" si="183"/>
        <v>C</v>
      </c>
      <c r="BJ243" s="247">
        <f t="shared" si="184"/>
        <v>50</v>
      </c>
      <c r="BK243" s="90">
        <f t="shared" si="185"/>
        <v>1.5</v>
      </c>
      <c r="BL243" s="406">
        <v>0</v>
      </c>
      <c r="BM243" s="413">
        <f t="shared" si="186"/>
        <v>0</v>
      </c>
      <c r="BN243" s="414">
        <f t="shared" si="187"/>
        <v>100</v>
      </c>
      <c r="BO243" s="415">
        <f t="shared" si="188"/>
        <v>3</v>
      </c>
      <c r="BP243" s="416">
        <v>0.37</v>
      </c>
      <c r="BQ243" s="417">
        <f t="shared" si="189"/>
        <v>66.666666666666671</v>
      </c>
      <c r="BR243" s="415">
        <f t="shared" si="190"/>
        <v>0.66666666666666674</v>
      </c>
      <c r="BS243" s="350">
        <f t="shared" si="191"/>
        <v>10.384699010038881</v>
      </c>
    </row>
    <row r="244" spans="1:71" x14ac:dyDescent="0.6">
      <c r="A244" s="214" t="s">
        <v>349</v>
      </c>
      <c r="B244" s="13" t="s">
        <v>2224</v>
      </c>
      <c r="C244" s="219" t="s">
        <v>60</v>
      </c>
      <c r="D244" s="216" t="s">
        <v>191</v>
      </c>
      <c r="E244" s="217" t="s">
        <v>417</v>
      </c>
      <c r="F244" s="217" t="s">
        <v>1135</v>
      </c>
      <c r="G244" s="218">
        <v>36441</v>
      </c>
      <c r="H244" s="217" t="s">
        <v>830</v>
      </c>
      <c r="I244" s="217" t="s">
        <v>612</v>
      </c>
      <c r="J244" s="217" t="s">
        <v>1011</v>
      </c>
      <c r="K244" s="217" t="s">
        <v>934</v>
      </c>
      <c r="L244" s="220">
        <v>10156905259</v>
      </c>
      <c r="M244" s="206">
        <v>2103300926</v>
      </c>
      <c r="N244" s="206">
        <v>8053604333</v>
      </c>
      <c r="O244" s="206">
        <v>3694358039</v>
      </c>
      <c r="P244" s="206">
        <v>1120293986</v>
      </c>
      <c r="Q244" s="206">
        <v>1315961612</v>
      </c>
      <c r="R244" s="206">
        <v>958039985</v>
      </c>
      <c r="S244" s="405">
        <v>0</v>
      </c>
      <c r="T244" s="405">
        <v>0</v>
      </c>
      <c r="U244" s="406">
        <v>0</v>
      </c>
      <c r="V244" s="406">
        <v>0</v>
      </c>
      <c r="W244" s="407">
        <f t="shared" si="227"/>
        <v>0</v>
      </c>
      <c r="X244" s="407">
        <f t="shared" si="228"/>
        <v>100</v>
      </c>
      <c r="Y244" s="408">
        <f t="shared" si="229"/>
        <v>3</v>
      </c>
      <c r="Z244" s="444" t="s">
        <v>3467</v>
      </c>
      <c r="AA244" s="442">
        <v>0</v>
      </c>
      <c r="AB244" s="406">
        <v>1</v>
      </c>
      <c r="AC244" s="406">
        <v>0</v>
      </c>
      <c r="AD244" s="407">
        <f t="shared" si="230"/>
        <v>1</v>
      </c>
      <c r="AE244" s="364" t="str">
        <f t="shared" si="231"/>
        <v>100</v>
      </c>
      <c r="AF244" s="349">
        <f t="shared" si="232"/>
        <v>0.5</v>
      </c>
      <c r="AG244" s="154">
        <v>4816</v>
      </c>
      <c r="AH244" s="154">
        <v>3565000</v>
      </c>
      <c r="AI244" s="409">
        <f t="shared" si="175"/>
        <v>740.24086378737536</v>
      </c>
      <c r="AJ244" s="409">
        <f t="shared" si="176"/>
        <v>100</v>
      </c>
      <c r="AK244" s="408">
        <f t="shared" si="233"/>
        <v>1</v>
      </c>
      <c r="AL244" s="45">
        <v>3173000</v>
      </c>
      <c r="AM244" s="361">
        <f t="shared" si="177"/>
        <v>12.354238890639774</v>
      </c>
      <c r="AN244" s="365">
        <f t="shared" si="199"/>
        <v>27.316419791994957</v>
      </c>
      <c r="AO244" s="320">
        <f t="shared" si="234"/>
        <v>0.27316419791994956</v>
      </c>
      <c r="AP244" s="277">
        <f>_xlfn.XLOOKUP(C244, '1.건전성'!C:C, '1.건전성'!BE:BE)</f>
        <v>295739000</v>
      </c>
      <c r="AQ244" s="277">
        <f>_xlfn.XLOOKUP(C244, '1.건전성'!C:C, '1.건전성'!BF:BF)</f>
        <v>37805000</v>
      </c>
      <c r="AR244" s="410">
        <f t="shared" si="178"/>
        <v>333544000</v>
      </c>
      <c r="AS244" s="366">
        <f t="shared" si="173"/>
        <v>9.0284698039252493</v>
      </c>
      <c r="AT244" s="366">
        <f t="shared" si="179"/>
        <v>31.428494827079334</v>
      </c>
      <c r="AU244" s="321">
        <f t="shared" si="180"/>
        <v>0.31428494827079334</v>
      </c>
      <c r="AV244" s="15">
        <v>36828000</v>
      </c>
      <c r="AW244" s="361">
        <f t="shared" si="174"/>
        <v>0.99687143506991316</v>
      </c>
      <c r="AX244" s="361">
        <f t="shared" si="181"/>
        <v>31.794480568711464</v>
      </c>
      <c r="AY244" s="321">
        <f t="shared" si="235"/>
        <v>0.15897240284355732</v>
      </c>
      <c r="AZ244" s="411">
        <v>17.5</v>
      </c>
      <c r="BA244" s="412">
        <f t="shared" si="182"/>
        <v>100</v>
      </c>
      <c r="BB244" s="408">
        <f t="shared" si="236"/>
        <v>0.5</v>
      </c>
      <c r="BC244" s="204">
        <v>1</v>
      </c>
      <c r="BD244" s="407">
        <f t="shared" si="203"/>
        <v>100</v>
      </c>
      <c r="BE244" s="408">
        <f t="shared" si="237"/>
        <v>0.5</v>
      </c>
      <c r="BF244" s="204">
        <v>1</v>
      </c>
      <c r="BG244" s="204">
        <v>1</v>
      </c>
      <c r="BH244" s="204">
        <v>0</v>
      </c>
      <c r="BI244" s="272" t="str">
        <f t="shared" si="183"/>
        <v>C</v>
      </c>
      <c r="BJ244" s="247">
        <f t="shared" si="184"/>
        <v>50</v>
      </c>
      <c r="BK244" s="90">
        <f t="shared" si="185"/>
        <v>1.5</v>
      </c>
      <c r="BL244" s="406">
        <v>312</v>
      </c>
      <c r="BM244" s="413">
        <f t="shared" si="186"/>
        <v>6.4784053156146175</v>
      </c>
      <c r="BN244" s="414">
        <f t="shared" si="187"/>
        <v>40</v>
      </c>
      <c r="BO244" s="415">
        <f t="shared" si="188"/>
        <v>1.2</v>
      </c>
      <c r="BP244" s="416">
        <v>2.96</v>
      </c>
      <c r="BQ244" s="417">
        <f t="shared" si="189"/>
        <v>66.666666666666671</v>
      </c>
      <c r="BR244" s="415">
        <f t="shared" si="190"/>
        <v>0.66666666666666674</v>
      </c>
      <c r="BS244" s="350">
        <f t="shared" si="191"/>
        <v>9.6130882157009658</v>
      </c>
    </row>
    <row r="245" spans="1:71" x14ac:dyDescent="0.6">
      <c r="A245" s="214" t="s">
        <v>90</v>
      </c>
      <c r="B245" s="13" t="s">
        <v>2225</v>
      </c>
      <c r="C245" s="219" t="s">
        <v>109</v>
      </c>
      <c r="D245" s="216" t="s">
        <v>202</v>
      </c>
      <c r="E245" s="217" t="s">
        <v>205</v>
      </c>
      <c r="F245" s="217" t="s">
        <v>1152</v>
      </c>
      <c r="G245" s="218">
        <v>31299</v>
      </c>
      <c r="H245" s="217" t="s">
        <v>830</v>
      </c>
      <c r="I245" s="217" t="s">
        <v>847</v>
      </c>
      <c r="J245" s="217" t="s">
        <v>1096</v>
      </c>
      <c r="K245" s="217" t="s">
        <v>690</v>
      </c>
      <c r="L245" s="220">
        <v>862006786</v>
      </c>
      <c r="M245" s="206">
        <v>408796042</v>
      </c>
      <c r="N245" s="206">
        <v>453210744</v>
      </c>
      <c r="O245" s="206">
        <v>804572920</v>
      </c>
      <c r="P245" s="206">
        <v>60293639</v>
      </c>
      <c r="Q245" s="206">
        <v>64653383</v>
      </c>
      <c r="R245" s="206">
        <v>54734419</v>
      </c>
      <c r="S245" s="405">
        <v>0</v>
      </c>
      <c r="T245" s="405">
        <v>0</v>
      </c>
      <c r="U245" s="406">
        <v>0</v>
      </c>
      <c r="V245" s="406">
        <v>0</v>
      </c>
      <c r="W245" s="407">
        <f t="shared" si="227"/>
        <v>0</v>
      </c>
      <c r="X245" s="407">
        <f t="shared" si="228"/>
        <v>100</v>
      </c>
      <c r="Y245" s="408">
        <f t="shared" si="229"/>
        <v>3</v>
      </c>
      <c r="Z245" s="444" t="s">
        <v>3468</v>
      </c>
      <c r="AA245" s="442">
        <v>0</v>
      </c>
      <c r="AB245" s="406">
        <v>0</v>
      </c>
      <c r="AC245" s="406">
        <v>0</v>
      </c>
      <c r="AD245" s="407">
        <f t="shared" si="230"/>
        <v>0</v>
      </c>
      <c r="AE245" s="364" t="str">
        <f t="shared" si="231"/>
        <v>50</v>
      </c>
      <c r="AF245" s="349">
        <f t="shared" si="232"/>
        <v>0.25</v>
      </c>
      <c r="AG245" s="154">
        <v>1247</v>
      </c>
      <c r="AH245" s="154">
        <v>70861</v>
      </c>
      <c r="AI245" s="409">
        <f t="shared" si="175"/>
        <v>56.825180433039293</v>
      </c>
      <c r="AJ245" s="409">
        <f t="shared" si="176"/>
        <v>67.61888532477947</v>
      </c>
      <c r="AK245" s="408">
        <f t="shared" si="233"/>
        <v>0.67618885324779476</v>
      </c>
      <c r="AL245" s="45">
        <v>2928</v>
      </c>
      <c r="AM245" s="361">
        <f t="shared" si="177"/>
        <v>2320.116120218579</v>
      </c>
      <c r="AN245" s="365">
        <f t="shared" si="199"/>
        <v>100</v>
      </c>
      <c r="AO245" s="320">
        <f t="shared" si="234"/>
        <v>1</v>
      </c>
      <c r="AP245" s="277">
        <f>_xlfn.XLOOKUP(C245, '1.건전성'!C:C, '1.건전성'!BE:BE)</f>
        <v>8942257</v>
      </c>
      <c r="AQ245" s="277">
        <f>_xlfn.XLOOKUP(C245, '1.건전성'!C:C, '1.건전성'!BF:BF)</f>
        <v>861046</v>
      </c>
      <c r="AR245" s="410">
        <f t="shared" si="178"/>
        <v>9803303</v>
      </c>
      <c r="AS245" s="366">
        <f t="shared" si="173"/>
        <v>1.2184480432177607</v>
      </c>
      <c r="AT245" s="366">
        <f t="shared" si="179"/>
        <v>25.541543751169165</v>
      </c>
      <c r="AU245" s="321">
        <f t="shared" si="180"/>
        <v>0.25541543751169166</v>
      </c>
      <c r="AV245" s="15">
        <v>1662731</v>
      </c>
      <c r="AW245" s="361">
        <f t="shared" si="174"/>
        <v>0.20666007501221892</v>
      </c>
      <c r="AX245" s="361">
        <f t="shared" si="181"/>
        <v>25.808030871304688</v>
      </c>
      <c r="AY245" s="321">
        <f t="shared" si="235"/>
        <v>0.12904015435652344</v>
      </c>
      <c r="AZ245" s="411">
        <v>2.6</v>
      </c>
      <c r="BA245" s="412">
        <f t="shared" si="182"/>
        <v>20</v>
      </c>
      <c r="BB245" s="408">
        <f t="shared" si="236"/>
        <v>0.1</v>
      </c>
      <c r="BC245" s="204">
        <v>1</v>
      </c>
      <c r="BD245" s="407">
        <f t="shared" si="203"/>
        <v>100</v>
      </c>
      <c r="BE245" s="408">
        <f t="shared" si="237"/>
        <v>0.5</v>
      </c>
      <c r="BF245" s="204">
        <v>1</v>
      </c>
      <c r="BG245" s="204">
        <v>1</v>
      </c>
      <c r="BH245" s="204">
        <v>0</v>
      </c>
      <c r="BI245" s="272" t="str">
        <f t="shared" si="183"/>
        <v>C</v>
      </c>
      <c r="BJ245" s="247">
        <f t="shared" si="184"/>
        <v>50</v>
      </c>
      <c r="BK245" s="90">
        <f t="shared" si="185"/>
        <v>1.5</v>
      </c>
      <c r="BL245" s="406">
        <v>59</v>
      </c>
      <c r="BM245" s="413">
        <f t="shared" si="186"/>
        <v>4.7313552526062548</v>
      </c>
      <c r="BN245" s="414">
        <f t="shared" si="187"/>
        <v>40</v>
      </c>
      <c r="BO245" s="415">
        <f t="shared" si="188"/>
        <v>1.2</v>
      </c>
      <c r="BP245" s="416">
        <v>7.0000000000000007E-2</v>
      </c>
      <c r="BQ245" s="417">
        <f t="shared" si="189"/>
        <v>66.666666666666671</v>
      </c>
      <c r="BR245" s="415">
        <f t="shared" si="190"/>
        <v>0.66666666666666674</v>
      </c>
      <c r="BS245" s="350">
        <f t="shared" si="191"/>
        <v>9.2773111117826765</v>
      </c>
    </row>
    <row r="246" spans="1:71" x14ac:dyDescent="0.6">
      <c r="A246" s="214" t="s">
        <v>1858</v>
      </c>
      <c r="B246" s="13" t="s">
        <v>2226</v>
      </c>
      <c r="C246" s="219" t="s">
        <v>340</v>
      </c>
      <c r="D246" s="221" t="s">
        <v>481</v>
      </c>
      <c r="E246" s="217" t="s">
        <v>434</v>
      </c>
      <c r="F246" s="217" t="s">
        <v>226</v>
      </c>
      <c r="G246" s="218">
        <v>25559</v>
      </c>
      <c r="H246" s="217" t="s">
        <v>830</v>
      </c>
      <c r="I246" s="217" t="s">
        <v>769</v>
      </c>
      <c r="J246" s="217" t="s">
        <v>1203</v>
      </c>
      <c r="K246" s="217" t="s">
        <v>91</v>
      </c>
      <c r="L246" s="220">
        <v>14636016261</v>
      </c>
      <c r="M246" s="206">
        <v>11750407058</v>
      </c>
      <c r="N246" s="206">
        <v>2885609203</v>
      </c>
      <c r="O246" s="206">
        <v>7176643744</v>
      </c>
      <c r="P246" s="206">
        <v>212022730</v>
      </c>
      <c r="Q246" s="206">
        <v>211256816</v>
      </c>
      <c r="R246" s="206">
        <v>175248934</v>
      </c>
      <c r="S246" s="275" t="s">
        <v>2326</v>
      </c>
      <c r="T246" s="275" t="s">
        <v>2326</v>
      </c>
      <c r="U246" s="275" t="s">
        <v>2326</v>
      </c>
      <c r="V246" s="275" t="s">
        <v>2326</v>
      </c>
      <c r="W246" s="275" t="s">
        <v>2326</v>
      </c>
      <c r="X246" s="275" t="s">
        <v>2326</v>
      </c>
      <c r="Y246" s="276"/>
      <c r="Z246" s="275" t="s">
        <v>2326</v>
      </c>
      <c r="AA246" s="275" t="s">
        <v>2326</v>
      </c>
      <c r="AB246" s="275" t="s">
        <v>2326</v>
      </c>
      <c r="AC246" s="275" t="s">
        <v>2326</v>
      </c>
      <c r="AD246" s="275" t="s">
        <v>2326</v>
      </c>
      <c r="AE246" s="275" t="s">
        <v>2326</v>
      </c>
      <c r="AF246" s="275"/>
      <c r="AG246" s="154">
        <v>417</v>
      </c>
      <c r="AH246" s="421"/>
      <c r="AI246" s="409">
        <f t="shared" si="175"/>
        <v>0</v>
      </c>
      <c r="AJ246" s="409">
        <f t="shared" si="176"/>
        <v>25</v>
      </c>
      <c r="AK246" s="418">
        <f>AJ246*0.02</f>
        <v>0.5</v>
      </c>
      <c r="AL246" s="423"/>
      <c r="AM246" s="424">
        <v>0</v>
      </c>
      <c r="AN246" s="365">
        <f t="shared" si="199"/>
        <v>25</v>
      </c>
      <c r="AO246" s="322">
        <f>AN246*0.02</f>
        <v>0.5</v>
      </c>
      <c r="AP246" s="277">
        <f>_xlfn.XLOOKUP(C246, '1.건전성'!C:C, '1.건전성'!BE:BE)</f>
        <v>87502000</v>
      </c>
      <c r="AQ246" s="277">
        <f>_xlfn.XLOOKUP(C246, '1.건전성'!C:C, '1.건전성'!BF:BF)</f>
        <v>9489000</v>
      </c>
      <c r="AR246" s="410">
        <f t="shared" si="178"/>
        <v>96991000</v>
      </c>
      <c r="AS246" s="366">
        <f t="shared" si="173"/>
        <v>1.3514813255303202</v>
      </c>
      <c r="AT246" s="366">
        <f t="shared" si="179"/>
        <v>25.641820094620844</v>
      </c>
      <c r="AU246" s="321">
        <f t="shared" si="180"/>
        <v>0.25641820094620843</v>
      </c>
      <c r="AV246" s="419"/>
      <c r="AW246" s="361">
        <f t="shared" si="174"/>
        <v>0</v>
      </c>
      <c r="AX246" s="361">
        <f t="shared" si="181"/>
        <v>25</v>
      </c>
      <c r="AY246" s="348">
        <f>AX246*0.01</f>
        <v>0.25</v>
      </c>
      <c r="AZ246" s="411">
        <v>10.199999999999999</v>
      </c>
      <c r="BA246" s="412">
        <f t="shared" si="182"/>
        <v>100</v>
      </c>
      <c r="BB246" s="418">
        <f>BA246*0.01</f>
        <v>1</v>
      </c>
      <c r="BC246" s="204">
        <v>1</v>
      </c>
      <c r="BD246" s="407">
        <f t="shared" si="203"/>
        <v>100</v>
      </c>
      <c r="BE246" s="418">
        <f>BD246*0.01</f>
        <v>1</v>
      </c>
      <c r="BF246" s="204">
        <v>0</v>
      </c>
      <c r="BG246" s="204">
        <v>1</v>
      </c>
      <c r="BH246" s="204">
        <v>0</v>
      </c>
      <c r="BI246" s="272" t="str">
        <f t="shared" si="183"/>
        <v>C</v>
      </c>
      <c r="BJ246" s="247">
        <f t="shared" si="184"/>
        <v>50</v>
      </c>
      <c r="BK246" s="90">
        <f t="shared" si="185"/>
        <v>1.5</v>
      </c>
      <c r="BL246" s="406">
        <v>8</v>
      </c>
      <c r="BM246" s="413">
        <f t="shared" si="186"/>
        <v>1.9184652278177456</v>
      </c>
      <c r="BN246" s="414">
        <f t="shared" si="187"/>
        <v>60</v>
      </c>
      <c r="BO246" s="415">
        <f t="shared" si="188"/>
        <v>1.7999999999999998</v>
      </c>
      <c r="BP246" s="416">
        <v>0.35</v>
      </c>
      <c r="BQ246" s="417">
        <f t="shared" si="189"/>
        <v>66.666666666666671</v>
      </c>
      <c r="BR246" s="415">
        <f t="shared" si="190"/>
        <v>0.66666666666666674</v>
      </c>
      <c r="BS246" s="350">
        <f t="shared" si="191"/>
        <v>7.4730848676128749</v>
      </c>
    </row>
    <row r="247" spans="1:71" x14ac:dyDescent="0.6">
      <c r="A247" s="214" t="s">
        <v>1859</v>
      </c>
      <c r="B247" s="13" t="s">
        <v>2227</v>
      </c>
      <c r="C247" s="219" t="s">
        <v>1860</v>
      </c>
      <c r="D247" s="14" t="s">
        <v>203</v>
      </c>
      <c r="E247" s="217" t="s">
        <v>188</v>
      </c>
      <c r="F247" s="217" t="s">
        <v>1861</v>
      </c>
      <c r="G247" s="218">
        <v>32048</v>
      </c>
      <c r="H247" s="217" t="s">
        <v>830</v>
      </c>
      <c r="I247" s="217" t="s">
        <v>1862</v>
      </c>
      <c r="J247" s="217" t="s">
        <v>1863</v>
      </c>
      <c r="K247" s="217" t="s">
        <v>317</v>
      </c>
      <c r="L247" s="220">
        <v>451321117</v>
      </c>
      <c r="M247" s="206">
        <v>200117020</v>
      </c>
      <c r="N247" s="206">
        <v>251204097</v>
      </c>
      <c r="O247" s="206">
        <v>485605244</v>
      </c>
      <c r="P247" s="206">
        <v>32475176</v>
      </c>
      <c r="Q247" s="206">
        <v>35572342</v>
      </c>
      <c r="R247" s="206">
        <v>27697028</v>
      </c>
      <c r="S247" s="405">
        <v>0</v>
      </c>
      <c r="T247" s="405">
        <v>0</v>
      </c>
      <c r="U247" s="406">
        <v>0</v>
      </c>
      <c r="V247" s="406">
        <v>0</v>
      </c>
      <c r="W247" s="407">
        <f>SUM(S247:V247)</f>
        <v>0</v>
      </c>
      <c r="X247" s="407">
        <f>IF(W247=0, 100, IF(W247=1, 80, IF(W247=2, 60, IF(W247=3, 40, IF(W247=4, 20)))))</f>
        <v>100</v>
      </c>
      <c r="Y247" s="408">
        <f>X247*0.03</f>
        <v>3</v>
      </c>
      <c r="Z247" s="444" t="s">
        <v>3469</v>
      </c>
      <c r="AA247" s="442">
        <v>1</v>
      </c>
      <c r="AB247" s="406">
        <v>1</v>
      </c>
      <c r="AC247" s="406">
        <v>0</v>
      </c>
      <c r="AD247" s="407">
        <f>SUM(AA247:AC247)</f>
        <v>2</v>
      </c>
      <c r="AE247" s="364" t="str">
        <f>IF(AD247&gt;=1,"100","50")</f>
        <v>100</v>
      </c>
      <c r="AF247" s="349">
        <f>AE247*0.005</f>
        <v>0.5</v>
      </c>
      <c r="AG247" s="154">
        <v>383</v>
      </c>
      <c r="AH247" s="154">
        <v>75328</v>
      </c>
      <c r="AI247" s="409">
        <f t="shared" si="175"/>
        <v>196.67885117493472</v>
      </c>
      <c r="AJ247" s="409">
        <f t="shared" si="176"/>
        <v>100</v>
      </c>
      <c r="AK247" s="408">
        <f>AJ247*0.01</f>
        <v>1</v>
      </c>
      <c r="AL247" s="45">
        <v>63232</v>
      </c>
      <c r="AM247" s="361">
        <f t="shared" si="177"/>
        <v>19.129554655870447</v>
      </c>
      <c r="AN247" s="365">
        <f t="shared" si="199"/>
        <v>28.58679149797571</v>
      </c>
      <c r="AO247" s="320">
        <f>AN247*0.01</f>
        <v>0.28586791497975711</v>
      </c>
      <c r="AP247" s="277">
        <f>_xlfn.XLOOKUP(C247, '1.건전성'!C:C, '1.건전성'!BE:BE)</f>
        <v>6228911.0980000002</v>
      </c>
      <c r="AQ247" s="277">
        <f>_xlfn.XLOOKUP(C247, '1.건전성'!C:C, '1.건전성'!BF:BF)</f>
        <v>583164.41399999999</v>
      </c>
      <c r="AR247" s="410">
        <f t="shared" si="178"/>
        <v>6812075.5120000001</v>
      </c>
      <c r="AS247" s="366">
        <f t="shared" si="173"/>
        <v>1.402801060360872</v>
      </c>
      <c r="AT247" s="366">
        <f t="shared" si="179"/>
        <v>25.680503311829803</v>
      </c>
      <c r="AU247" s="321">
        <f t="shared" si="180"/>
        <v>0.25680503311829805</v>
      </c>
      <c r="AV247" s="15">
        <v>832478</v>
      </c>
      <c r="AW247" s="361">
        <f t="shared" si="174"/>
        <v>0.17143101527132601</v>
      </c>
      <c r="AX247" s="361">
        <f t="shared" si="181"/>
        <v>25.541144055085802</v>
      </c>
      <c r="AY247" s="321">
        <f>AX247*0.005</f>
        <v>0.12770572027542901</v>
      </c>
      <c r="AZ247" s="411">
        <v>10.25</v>
      </c>
      <c r="BA247" s="412">
        <f t="shared" si="182"/>
        <v>100</v>
      </c>
      <c r="BB247" s="408">
        <f>BA247*0.005</f>
        <v>0.5</v>
      </c>
      <c r="BC247" s="204">
        <v>1</v>
      </c>
      <c r="BD247" s="407">
        <f t="shared" si="203"/>
        <v>100</v>
      </c>
      <c r="BE247" s="408">
        <f>BD247*0.005</f>
        <v>0.5</v>
      </c>
      <c r="BF247" s="204">
        <v>0</v>
      </c>
      <c r="BG247" s="204">
        <v>1</v>
      </c>
      <c r="BH247" s="204">
        <v>0</v>
      </c>
      <c r="BI247" s="272" t="str">
        <f t="shared" si="183"/>
        <v>C</v>
      </c>
      <c r="BJ247" s="247">
        <f t="shared" si="184"/>
        <v>50</v>
      </c>
      <c r="BK247" s="90">
        <f t="shared" si="185"/>
        <v>1.5</v>
      </c>
      <c r="BL247" s="406">
        <v>17</v>
      </c>
      <c r="BM247" s="413">
        <f t="shared" si="186"/>
        <v>4.4386422976501301</v>
      </c>
      <c r="BN247" s="414">
        <f t="shared" si="187"/>
        <v>40</v>
      </c>
      <c r="BO247" s="415">
        <f t="shared" si="188"/>
        <v>1.2</v>
      </c>
      <c r="BP247" s="416">
        <v>0</v>
      </c>
      <c r="BQ247" s="417">
        <f t="shared" si="189"/>
        <v>33.333333333333336</v>
      </c>
      <c r="BR247" s="415">
        <f t="shared" si="190"/>
        <v>0.33333333333333337</v>
      </c>
      <c r="BS247" s="350">
        <f t="shared" si="191"/>
        <v>9.203712001706819</v>
      </c>
    </row>
    <row r="248" spans="1:71" x14ac:dyDescent="0.6">
      <c r="A248" s="214" t="s">
        <v>685</v>
      </c>
      <c r="B248" s="13" t="s">
        <v>2228</v>
      </c>
      <c r="C248" s="219" t="s">
        <v>491</v>
      </c>
      <c r="D248" s="216" t="s">
        <v>285</v>
      </c>
      <c r="E248" s="217" t="s">
        <v>592</v>
      </c>
      <c r="F248" s="217" t="s">
        <v>637</v>
      </c>
      <c r="G248" s="218">
        <v>37110</v>
      </c>
      <c r="H248" s="217" t="s">
        <v>830</v>
      </c>
      <c r="I248" s="217" t="s">
        <v>1864</v>
      </c>
      <c r="J248" s="217" t="s">
        <v>1210</v>
      </c>
      <c r="K248" s="217" t="s">
        <v>425</v>
      </c>
      <c r="L248" s="220">
        <v>3441901071</v>
      </c>
      <c r="M248" s="206">
        <v>1466204520</v>
      </c>
      <c r="N248" s="206">
        <v>1975696551</v>
      </c>
      <c r="O248" s="206">
        <v>2813488928</v>
      </c>
      <c r="P248" s="206">
        <v>514746074</v>
      </c>
      <c r="Q248" s="206">
        <v>540938422</v>
      </c>
      <c r="R248" s="206">
        <v>371317773</v>
      </c>
      <c r="S248" s="405">
        <v>0</v>
      </c>
      <c r="T248" s="405">
        <v>0</v>
      </c>
      <c r="U248" s="406">
        <v>0</v>
      </c>
      <c r="V248" s="406">
        <v>0</v>
      </c>
      <c r="W248" s="407">
        <f>SUM(S248:V248)</f>
        <v>0</v>
      </c>
      <c r="X248" s="407">
        <f>IF(W248=0, 100, IF(W248=1, 80, IF(W248=2, 60, IF(W248=3, 40, IF(W248=4, 20)))))</f>
        <v>100</v>
      </c>
      <c r="Y248" s="408">
        <f>X248*0.03</f>
        <v>3</v>
      </c>
      <c r="Z248" s="444" t="s">
        <v>3470</v>
      </c>
      <c r="AA248" s="442">
        <v>0</v>
      </c>
      <c r="AB248" s="406">
        <v>1</v>
      </c>
      <c r="AC248" s="406">
        <v>0</v>
      </c>
      <c r="AD248" s="407">
        <f>SUM(AA248:AC248)</f>
        <v>1</v>
      </c>
      <c r="AE248" s="364" t="str">
        <f>IF(AD248&gt;=1,"100","50")</f>
        <v>100</v>
      </c>
      <c r="AF248" s="349">
        <f>AE248*0.005</f>
        <v>0.5</v>
      </c>
      <c r="AG248" s="154">
        <v>6442</v>
      </c>
      <c r="AH248" s="154">
        <v>5965098</v>
      </c>
      <c r="AI248" s="409">
        <f t="shared" si="175"/>
        <v>925.96988512884195</v>
      </c>
      <c r="AJ248" s="409">
        <f t="shared" si="176"/>
        <v>100</v>
      </c>
      <c r="AK248" s="408">
        <f>AJ248*0.01</f>
        <v>1</v>
      </c>
      <c r="AL248" s="45">
        <v>3908172</v>
      </c>
      <c r="AM248" s="361">
        <f t="shared" si="177"/>
        <v>52.631409262437792</v>
      </c>
      <c r="AN248" s="365">
        <f t="shared" si="199"/>
        <v>34.868389236707088</v>
      </c>
      <c r="AO248" s="320">
        <f>AN248*0.01</f>
        <v>0.34868389236707087</v>
      </c>
      <c r="AP248" s="277">
        <f>_xlfn.XLOOKUP(C248, '1.건전성'!C:C, '1.건전성'!BE:BE)</f>
        <v>358364842</v>
      </c>
      <c r="AQ248" s="277">
        <f>_xlfn.XLOOKUP(C248, '1.건전성'!C:C, '1.건전성'!BF:BF)</f>
        <v>48118936</v>
      </c>
      <c r="AR248" s="410">
        <f t="shared" si="178"/>
        <v>406483778</v>
      </c>
      <c r="AS248" s="366">
        <f t="shared" si="173"/>
        <v>14.44767647580378</v>
      </c>
      <c r="AT248" s="366">
        <f t="shared" si="179"/>
        <v>35.513323976736515</v>
      </c>
      <c r="AU248" s="321">
        <f t="shared" si="180"/>
        <v>0.35513323976736516</v>
      </c>
      <c r="AV248" s="15">
        <v>46765666</v>
      </c>
      <c r="AW248" s="361">
        <f t="shared" si="174"/>
        <v>1.662194776548984</v>
      </c>
      <c r="AX248" s="361">
        <f t="shared" si="181"/>
        <v>36.83480891324988</v>
      </c>
      <c r="AY248" s="321">
        <f>AX248*0.005</f>
        <v>0.18417404456624939</v>
      </c>
      <c r="AZ248" s="411">
        <v>7.81</v>
      </c>
      <c r="BA248" s="412">
        <f t="shared" si="182"/>
        <v>60</v>
      </c>
      <c r="BB248" s="408">
        <f>BA248*0.005</f>
        <v>0.3</v>
      </c>
      <c r="BC248" s="204">
        <v>1</v>
      </c>
      <c r="BD248" s="407">
        <f t="shared" si="203"/>
        <v>100</v>
      </c>
      <c r="BE248" s="408">
        <f>BD248*0.005</f>
        <v>0.5</v>
      </c>
      <c r="BF248" s="204">
        <v>0</v>
      </c>
      <c r="BG248" s="204">
        <v>1</v>
      </c>
      <c r="BH248" s="204">
        <v>0</v>
      </c>
      <c r="BI248" s="272" t="str">
        <f t="shared" si="183"/>
        <v>C</v>
      </c>
      <c r="BJ248" s="247">
        <f t="shared" si="184"/>
        <v>50</v>
      </c>
      <c r="BK248" s="90">
        <f t="shared" si="185"/>
        <v>1.5</v>
      </c>
      <c r="BL248" s="406">
        <v>137</v>
      </c>
      <c r="BM248" s="413">
        <f t="shared" si="186"/>
        <v>2.1266687364172618</v>
      </c>
      <c r="BN248" s="414">
        <f t="shared" si="187"/>
        <v>60</v>
      </c>
      <c r="BO248" s="415">
        <f t="shared" si="188"/>
        <v>1.7999999999999998</v>
      </c>
      <c r="BP248" s="416">
        <v>0</v>
      </c>
      <c r="BQ248" s="417">
        <f t="shared" si="189"/>
        <v>33.333333333333336</v>
      </c>
      <c r="BR248" s="415">
        <f t="shared" si="190"/>
        <v>0.33333333333333337</v>
      </c>
      <c r="BS248" s="350">
        <f t="shared" si="191"/>
        <v>9.8213245100340192</v>
      </c>
    </row>
    <row r="249" spans="1:71" x14ac:dyDescent="0.6">
      <c r="A249" s="214" t="s">
        <v>37</v>
      </c>
      <c r="B249" s="13" t="s">
        <v>2229</v>
      </c>
      <c r="C249" s="219" t="s">
        <v>69</v>
      </c>
      <c r="D249" s="216" t="s">
        <v>285</v>
      </c>
      <c r="E249" s="217" t="s">
        <v>629</v>
      </c>
      <c r="F249" s="217" t="s">
        <v>577</v>
      </c>
      <c r="G249" s="218">
        <v>43111</v>
      </c>
      <c r="H249" s="217" t="s">
        <v>830</v>
      </c>
      <c r="I249" s="217" t="s">
        <v>846</v>
      </c>
      <c r="J249" s="217" t="s">
        <v>1138</v>
      </c>
      <c r="K249" s="217" t="s">
        <v>690</v>
      </c>
      <c r="L249" s="220">
        <v>761133055</v>
      </c>
      <c r="M249" s="206">
        <v>116041955</v>
      </c>
      <c r="N249" s="206">
        <v>645091100</v>
      </c>
      <c r="O249" s="206">
        <v>691580207</v>
      </c>
      <c r="P249" s="206">
        <v>99955621</v>
      </c>
      <c r="Q249" s="206">
        <v>124537136</v>
      </c>
      <c r="R249" s="206">
        <v>116344338</v>
      </c>
      <c r="S249" s="405">
        <v>0</v>
      </c>
      <c r="T249" s="405">
        <v>0</v>
      </c>
      <c r="U249" s="406">
        <v>0</v>
      </c>
      <c r="V249" s="406">
        <v>0</v>
      </c>
      <c r="W249" s="407">
        <f>SUM(S249:V249)</f>
        <v>0</v>
      </c>
      <c r="X249" s="407">
        <f>IF(W249=0, 100, IF(W249=1, 80, IF(W249=2, 60, IF(W249=3, 40, IF(W249=4, 20)))))</f>
        <v>100</v>
      </c>
      <c r="Y249" s="408">
        <f>X249*0.03</f>
        <v>3</v>
      </c>
      <c r="Z249" s="444" t="s">
        <v>3471</v>
      </c>
      <c r="AA249" s="442">
        <v>0</v>
      </c>
      <c r="AB249" s="406">
        <v>0</v>
      </c>
      <c r="AC249" s="406">
        <v>0</v>
      </c>
      <c r="AD249" s="407">
        <f>SUM(AA249:AC249)</f>
        <v>0</v>
      </c>
      <c r="AE249" s="364" t="str">
        <f>IF(AD249&gt;=1,"100","50")</f>
        <v>50</v>
      </c>
      <c r="AF249" s="349">
        <f>AE249*0.005</f>
        <v>0.25</v>
      </c>
      <c r="AG249" s="154">
        <v>711</v>
      </c>
      <c r="AH249" s="421"/>
      <c r="AI249" s="409">
        <f t="shared" si="175"/>
        <v>0</v>
      </c>
      <c r="AJ249" s="409">
        <f t="shared" si="176"/>
        <v>25</v>
      </c>
      <c r="AK249" s="408">
        <f>AJ249*0.01</f>
        <v>0.25</v>
      </c>
      <c r="AL249" s="423"/>
      <c r="AM249" s="424">
        <v>0</v>
      </c>
      <c r="AN249" s="365">
        <f t="shared" si="199"/>
        <v>25</v>
      </c>
      <c r="AO249" s="320">
        <f>AN249*0.01</f>
        <v>0.25</v>
      </c>
      <c r="AP249" s="277">
        <f>_xlfn.XLOOKUP(C249, '1.건전성'!C:C, '1.건전성'!BE:BE)</f>
        <v>6792403</v>
      </c>
      <c r="AQ249" s="277">
        <f>_xlfn.XLOOKUP(C249, '1.건전성'!C:C, '1.건전성'!BF:BF)</f>
        <v>2946025</v>
      </c>
      <c r="AR249" s="410">
        <f t="shared" si="178"/>
        <v>9738428</v>
      </c>
      <c r="AS249" s="366">
        <f t="shared" si="173"/>
        <v>1.4081415143796907</v>
      </c>
      <c r="AT249" s="366">
        <f t="shared" si="179"/>
        <v>25.684528779683184</v>
      </c>
      <c r="AU249" s="321">
        <f t="shared" si="180"/>
        <v>0.25684528779683186</v>
      </c>
      <c r="AV249" s="419"/>
      <c r="AW249" s="361">
        <f t="shared" si="174"/>
        <v>0</v>
      </c>
      <c r="AX249" s="361">
        <f t="shared" si="181"/>
        <v>25</v>
      </c>
      <c r="AY249" s="321">
        <f>AX249*0.005</f>
        <v>0.125</v>
      </c>
      <c r="AZ249" s="411">
        <v>2.5</v>
      </c>
      <c r="BA249" s="412">
        <f t="shared" si="182"/>
        <v>20</v>
      </c>
      <c r="BB249" s="408">
        <f>BA249*0.005</f>
        <v>0.1</v>
      </c>
      <c r="BC249" s="204">
        <v>1</v>
      </c>
      <c r="BD249" s="407">
        <f t="shared" si="203"/>
        <v>100</v>
      </c>
      <c r="BE249" s="408">
        <f>BD249*0.005</f>
        <v>0.5</v>
      </c>
      <c r="BF249" s="204">
        <v>0</v>
      </c>
      <c r="BG249" s="204">
        <v>1</v>
      </c>
      <c r="BH249" s="204">
        <v>0</v>
      </c>
      <c r="BI249" s="272" t="str">
        <f t="shared" si="183"/>
        <v>C</v>
      </c>
      <c r="BJ249" s="247">
        <f t="shared" si="184"/>
        <v>50</v>
      </c>
      <c r="BK249" s="90">
        <f t="shared" si="185"/>
        <v>1.5</v>
      </c>
      <c r="BL249" s="406">
        <v>233</v>
      </c>
      <c r="BM249" s="413">
        <f t="shared" si="186"/>
        <v>32.770745428973278</v>
      </c>
      <c r="BN249" s="414">
        <f t="shared" si="187"/>
        <v>20</v>
      </c>
      <c r="BO249" s="415">
        <f t="shared" si="188"/>
        <v>0.6</v>
      </c>
      <c r="BP249" s="416">
        <v>0.03</v>
      </c>
      <c r="BQ249" s="417">
        <f t="shared" si="189"/>
        <v>66.666666666666671</v>
      </c>
      <c r="BR249" s="415">
        <f t="shared" si="190"/>
        <v>0.66666666666666674</v>
      </c>
      <c r="BS249" s="350">
        <f t="shared" si="191"/>
        <v>7.4985119544634982</v>
      </c>
    </row>
    <row r="250" spans="1:71" x14ac:dyDescent="0.6">
      <c r="A250" s="214" t="s">
        <v>352</v>
      </c>
      <c r="B250" s="13" t="s">
        <v>2230</v>
      </c>
      <c r="C250" s="219" t="s">
        <v>304</v>
      </c>
      <c r="D250" s="216" t="s">
        <v>191</v>
      </c>
      <c r="E250" s="217" t="s">
        <v>178</v>
      </c>
      <c r="F250" s="217" t="s">
        <v>273</v>
      </c>
      <c r="G250" s="218">
        <v>42836</v>
      </c>
      <c r="H250" s="217" t="s">
        <v>830</v>
      </c>
      <c r="I250" s="217" t="s">
        <v>811</v>
      </c>
      <c r="J250" s="217" t="s">
        <v>1132</v>
      </c>
      <c r="K250" s="217" t="s">
        <v>91</v>
      </c>
      <c r="L250" s="220">
        <v>330163311</v>
      </c>
      <c r="M250" s="206">
        <v>137897080</v>
      </c>
      <c r="N250" s="206">
        <v>192266231</v>
      </c>
      <c r="O250" s="206">
        <v>413638465</v>
      </c>
      <c r="P250" s="206">
        <v>17588318</v>
      </c>
      <c r="Q250" s="206">
        <v>36589302</v>
      </c>
      <c r="R250" s="206">
        <v>27057204</v>
      </c>
      <c r="S250" s="405">
        <v>0</v>
      </c>
      <c r="T250" s="405">
        <v>0</v>
      </c>
      <c r="U250" s="406">
        <v>0</v>
      </c>
      <c r="V250" s="406">
        <v>0</v>
      </c>
      <c r="W250" s="407">
        <f>SUM(S250:V250)</f>
        <v>0</v>
      </c>
      <c r="X250" s="407">
        <f>IF(W250=0, 100, IF(W250=1, 80, IF(W250=2, 60, IF(W250=3, 40, IF(W250=4, 20)))))</f>
        <v>100</v>
      </c>
      <c r="Y250" s="408">
        <f>X250*0.03</f>
        <v>3</v>
      </c>
      <c r="Z250" s="444" t="s">
        <v>3472</v>
      </c>
      <c r="AA250" s="442">
        <v>0</v>
      </c>
      <c r="AB250" s="406">
        <v>1</v>
      </c>
      <c r="AC250" s="406">
        <v>0</v>
      </c>
      <c r="AD250" s="407">
        <f>SUM(AA250:AC250)</f>
        <v>1</v>
      </c>
      <c r="AE250" s="364" t="str">
        <f>IF(AD250&gt;=1,"100","50")</f>
        <v>100</v>
      </c>
      <c r="AF250" s="349">
        <f>AE250*0.005</f>
        <v>0.5</v>
      </c>
      <c r="AG250" s="154">
        <v>1318</v>
      </c>
      <c r="AH250" s="154">
        <v>83191</v>
      </c>
      <c r="AI250" s="409">
        <f t="shared" si="175"/>
        <v>63.119119878603946</v>
      </c>
      <c r="AJ250" s="409">
        <f t="shared" si="176"/>
        <v>72.339339908952951</v>
      </c>
      <c r="AK250" s="408">
        <f>AJ250*0.01</f>
        <v>0.72339339908952949</v>
      </c>
      <c r="AL250" s="45">
        <v>61331</v>
      </c>
      <c r="AM250" s="361">
        <f t="shared" si="177"/>
        <v>35.642660318599077</v>
      </c>
      <c r="AN250" s="365">
        <f t="shared" si="199"/>
        <v>31.682998809737327</v>
      </c>
      <c r="AO250" s="320">
        <f>AN250*0.01</f>
        <v>0.31682998809737328</v>
      </c>
      <c r="AP250" s="277">
        <f>_xlfn.XLOOKUP(C250, '1.건전성'!C:C, '1.건전성'!BE:BE)</f>
        <v>27536184</v>
      </c>
      <c r="AQ250" s="277">
        <f>_xlfn.XLOOKUP(C250, '1.건전성'!C:C, '1.건전성'!BF:BF)</f>
        <v>2967982</v>
      </c>
      <c r="AR250" s="410">
        <f t="shared" si="178"/>
        <v>30504166</v>
      </c>
      <c r="AS250" s="366">
        <f t="shared" si="173"/>
        <v>7.3745960738926932</v>
      </c>
      <c r="AT250" s="366">
        <f t="shared" si="179"/>
        <v>30.181856337105046</v>
      </c>
      <c r="AU250" s="321">
        <f t="shared" si="180"/>
        <v>0.30181856337105045</v>
      </c>
      <c r="AV250" s="15">
        <v>5935575</v>
      </c>
      <c r="AW250" s="361">
        <f t="shared" si="174"/>
        <v>1.4349668858770184</v>
      </c>
      <c r="AX250" s="361">
        <f t="shared" si="181"/>
        <v>35.113385499068322</v>
      </c>
      <c r="AY250" s="321">
        <f>AX250*0.005</f>
        <v>0.17556692749534161</v>
      </c>
      <c r="AZ250" s="411">
        <v>10</v>
      </c>
      <c r="BA250" s="412">
        <f t="shared" si="182"/>
        <v>100</v>
      </c>
      <c r="BB250" s="408">
        <f>BA250*0.005</f>
        <v>0.5</v>
      </c>
      <c r="BC250" s="204">
        <v>1</v>
      </c>
      <c r="BD250" s="407">
        <f t="shared" si="203"/>
        <v>100</v>
      </c>
      <c r="BE250" s="408">
        <f>BD250*0.005</f>
        <v>0.5</v>
      </c>
      <c r="BF250" s="204">
        <v>0</v>
      </c>
      <c r="BG250" s="204">
        <v>0</v>
      </c>
      <c r="BH250" s="204">
        <v>0</v>
      </c>
      <c r="BI250" s="272" t="str">
        <f t="shared" si="183"/>
        <v>A</v>
      </c>
      <c r="BJ250" s="247">
        <f t="shared" si="184"/>
        <v>100</v>
      </c>
      <c r="BK250" s="90">
        <f t="shared" si="185"/>
        <v>3</v>
      </c>
      <c r="BL250" s="406">
        <v>134</v>
      </c>
      <c r="BM250" s="413">
        <f t="shared" si="186"/>
        <v>10.166919575113809</v>
      </c>
      <c r="BN250" s="414">
        <f t="shared" si="187"/>
        <v>20</v>
      </c>
      <c r="BO250" s="415">
        <f t="shared" si="188"/>
        <v>0.6</v>
      </c>
      <c r="BP250" s="416">
        <v>0</v>
      </c>
      <c r="BQ250" s="417">
        <f t="shared" si="189"/>
        <v>33.333333333333336</v>
      </c>
      <c r="BR250" s="415">
        <f t="shared" si="190"/>
        <v>0.33333333333333337</v>
      </c>
      <c r="BS250" s="350">
        <f t="shared" si="191"/>
        <v>9.9509422113866286</v>
      </c>
    </row>
    <row r="251" spans="1:71" x14ac:dyDescent="0.6">
      <c r="A251" s="214" t="s">
        <v>1865</v>
      </c>
      <c r="B251" s="13" t="s">
        <v>2231</v>
      </c>
      <c r="C251" s="219" t="s">
        <v>1866</v>
      </c>
      <c r="D251" s="14" t="s">
        <v>202</v>
      </c>
      <c r="E251" s="217" t="s">
        <v>605</v>
      </c>
      <c r="F251" s="217" t="s">
        <v>1867</v>
      </c>
      <c r="G251" s="218">
        <v>44418</v>
      </c>
      <c r="H251" s="217" t="s">
        <v>830</v>
      </c>
      <c r="I251" s="217" t="s">
        <v>1868</v>
      </c>
      <c r="J251" s="217" t="s">
        <v>1869</v>
      </c>
      <c r="K251" s="217" t="s">
        <v>91</v>
      </c>
      <c r="L251" s="220">
        <v>5774465580</v>
      </c>
      <c r="M251" s="206">
        <v>732161313</v>
      </c>
      <c r="N251" s="206">
        <v>5042304267</v>
      </c>
      <c r="O251" s="206">
        <v>1767775811</v>
      </c>
      <c r="P251" s="206">
        <v>737821913</v>
      </c>
      <c r="Q251" s="206">
        <v>666253605</v>
      </c>
      <c r="R251" s="206">
        <v>487142608</v>
      </c>
      <c r="S251" s="405">
        <v>0</v>
      </c>
      <c r="T251" s="405">
        <v>0</v>
      </c>
      <c r="U251" s="406">
        <v>0</v>
      </c>
      <c r="V251" s="406">
        <v>0</v>
      </c>
      <c r="W251" s="407">
        <f>SUM(S251:V251)</f>
        <v>0</v>
      </c>
      <c r="X251" s="407">
        <f>IF(W251=0, 100, IF(W251=1, 80, IF(W251=2, 60, IF(W251=3, 40, IF(W251=4, 20)))))</f>
        <v>100</v>
      </c>
      <c r="Y251" s="408">
        <f>X251*0.03</f>
        <v>3</v>
      </c>
      <c r="Z251" s="444" t="s">
        <v>3473</v>
      </c>
      <c r="AA251" s="442">
        <v>0</v>
      </c>
      <c r="AB251" s="406">
        <v>0</v>
      </c>
      <c r="AC251" s="406">
        <v>0</v>
      </c>
      <c r="AD251" s="407">
        <f>SUM(AA251:AC251)</f>
        <v>0</v>
      </c>
      <c r="AE251" s="364" t="str">
        <f>IF(AD251&gt;=1,"100","50")</f>
        <v>50</v>
      </c>
      <c r="AF251" s="349">
        <f>AE251*0.005</f>
        <v>0.25</v>
      </c>
      <c r="AG251" s="154">
        <v>1770</v>
      </c>
      <c r="AH251" s="421"/>
      <c r="AI251" s="409">
        <f t="shared" si="175"/>
        <v>0</v>
      </c>
      <c r="AJ251" s="409">
        <f t="shared" si="176"/>
        <v>25</v>
      </c>
      <c r="AK251" s="408">
        <f>AJ251*0.01</f>
        <v>0.25</v>
      </c>
      <c r="AL251" s="423"/>
      <c r="AM251" s="424">
        <v>0</v>
      </c>
      <c r="AN251" s="365">
        <f t="shared" si="199"/>
        <v>25</v>
      </c>
      <c r="AO251" s="320">
        <f>AN251*0.01</f>
        <v>0.25</v>
      </c>
      <c r="AP251" s="277">
        <f>_xlfn.XLOOKUP(C251, '1.건전성'!C:C, '1.건전성'!BE:BE)</f>
        <v>138144705</v>
      </c>
      <c r="AQ251" s="277">
        <f>_xlfn.XLOOKUP(C251, '1.건전성'!C:C, '1.건전성'!BF:BF)</f>
        <v>14689197</v>
      </c>
      <c r="AR251" s="410">
        <f t="shared" si="178"/>
        <v>152833902</v>
      </c>
      <c r="AS251" s="366">
        <f t="shared" si="173"/>
        <v>8.6455477583180933</v>
      </c>
      <c r="AT251" s="366">
        <f t="shared" si="179"/>
        <v>31.139860119335246</v>
      </c>
      <c r="AU251" s="321">
        <f t="shared" si="180"/>
        <v>0.31139860119335244</v>
      </c>
      <c r="AV251" s="15">
        <v>30583354</v>
      </c>
      <c r="AW251" s="361">
        <f t="shared" si="174"/>
        <v>1.7300470913616319</v>
      </c>
      <c r="AX251" s="361">
        <f t="shared" si="181"/>
        <v>37.348841601224485</v>
      </c>
      <c r="AY251" s="321">
        <f>AX251*0.005</f>
        <v>0.18674420800612243</v>
      </c>
      <c r="AZ251" s="411">
        <v>2.1</v>
      </c>
      <c r="BA251" s="412">
        <f t="shared" si="182"/>
        <v>20</v>
      </c>
      <c r="BB251" s="408">
        <f>BA251*0.005</f>
        <v>0.1</v>
      </c>
      <c r="BC251" s="204">
        <v>1</v>
      </c>
      <c r="BD251" s="407">
        <f t="shared" si="203"/>
        <v>100</v>
      </c>
      <c r="BE251" s="408">
        <f>BD251*0.005</f>
        <v>0.5</v>
      </c>
      <c r="BF251" s="204">
        <v>0</v>
      </c>
      <c r="BG251" s="204">
        <v>1</v>
      </c>
      <c r="BH251" s="204">
        <v>0</v>
      </c>
      <c r="BI251" s="272" t="str">
        <f t="shared" si="183"/>
        <v>C</v>
      </c>
      <c r="BJ251" s="247">
        <f t="shared" si="184"/>
        <v>50</v>
      </c>
      <c r="BK251" s="90">
        <f t="shared" si="185"/>
        <v>1.5</v>
      </c>
      <c r="BL251" s="406">
        <v>77</v>
      </c>
      <c r="BM251" s="413">
        <f t="shared" si="186"/>
        <v>4.3502824858757059</v>
      </c>
      <c r="BN251" s="414">
        <f t="shared" si="187"/>
        <v>40</v>
      </c>
      <c r="BO251" s="415">
        <f t="shared" si="188"/>
        <v>1.2</v>
      </c>
      <c r="BP251" s="416">
        <v>0.6</v>
      </c>
      <c r="BQ251" s="417">
        <f t="shared" si="189"/>
        <v>66.666666666666671</v>
      </c>
      <c r="BR251" s="415">
        <f t="shared" si="190"/>
        <v>0.66666666666666674</v>
      </c>
      <c r="BS251" s="350">
        <f t="shared" si="191"/>
        <v>8.2148094758661419</v>
      </c>
    </row>
    <row r="252" spans="1:71" x14ac:dyDescent="0.6">
      <c r="A252" s="214" t="s">
        <v>438</v>
      </c>
      <c r="B252" s="13" t="s">
        <v>2232</v>
      </c>
      <c r="C252" s="219" t="s">
        <v>36</v>
      </c>
      <c r="D252" s="221" t="s">
        <v>350</v>
      </c>
      <c r="E252" s="217" t="s">
        <v>179</v>
      </c>
      <c r="F252" s="217" t="s">
        <v>1111</v>
      </c>
      <c r="G252" s="218">
        <v>40028</v>
      </c>
      <c r="H252" s="217" t="s">
        <v>830</v>
      </c>
      <c r="I252" s="217" t="s">
        <v>810</v>
      </c>
      <c r="J252" s="217" t="s">
        <v>1139</v>
      </c>
      <c r="K252" s="217" t="s">
        <v>91</v>
      </c>
      <c r="L252" s="220">
        <v>39369287420</v>
      </c>
      <c r="M252" s="206">
        <v>35300144133</v>
      </c>
      <c r="N252" s="206">
        <v>4069143286</v>
      </c>
      <c r="O252" s="206">
        <v>8031651241</v>
      </c>
      <c r="P252" s="206">
        <v>645745222</v>
      </c>
      <c r="Q252" s="206">
        <v>663311108</v>
      </c>
      <c r="R252" s="206">
        <v>493104212</v>
      </c>
      <c r="S252" s="275" t="s">
        <v>2326</v>
      </c>
      <c r="T252" s="275" t="s">
        <v>2326</v>
      </c>
      <c r="U252" s="275" t="s">
        <v>2326</v>
      </c>
      <c r="V252" s="275" t="s">
        <v>2326</v>
      </c>
      <c r="W252" s="275" t="s">
        <v>2326</v>
      </c>
      <c r="X252" s="275" t="s">
        <v>2326</v>
      </c>
      <c r="Y252" s="276"/>
      <c r="Z252" s="275" t="s">
        <v>2326</v>
      </c>
      <c r="AA252" s="275" t="s">
        <v>2326</v>
      </c>
      <c r="AB252" s="275" t="s">
        <v>2326</v>
      </c>
      <c r="AC252" s="275" t="s">
        <v>2326</v>
      </c>
      <c r="AD252" s="275" t="s">
        <v>2326</v>
      </c>
      <c r="AE252" s="275" t="s">
        <v>2326</v>
      </c>
      <c r="AF252" s="275"/>
      <c r="AG252" s="154">
        <v>909</v>
      </c>
      <c r="AH252" s="421"/>
      <c r="AI252" s="409">
        <f t="shared" si="175"/>
        <v>0</v>
      </c>
      <c r="AJ252" s="409">
        <f t="shared" si="176"/>
        <v>25</v>
      </c>
      <c r="AK252" s="418">
        <f>AJ252*0.02</f>
        <v>0.5</v>
      </c>
      <c r="AL252" s="423"/>
      <c r="AM252" s="424">
        <v>0</v>
      </c>
      <c r="AN252" s="365">
        <f t="shared" si="199"/>
        <v>25</v>
      </c>
      <c r="AO252" s="322">
        <f>AN252*0.02</f>
        <v>0.5</v>
      </c>
      <c r="AP252" s="277">
        <f>_xlfn.XLOOKUP(C252, '1.건전성'!C:C, '1.건전성'!BE:BE)</f>
        <v>119688347</v>
      </c>
      <c r="AQ252" s="277">
        <f>_xlfn.XLOOKUP(C252, '1.건전성'!C:C, '1.건전성'!BF:BF)</f>
        <v>6368183</v>
      </c>
      <c r="AR252" s="410">
        <f t="shared" si="178"/>
        <v>126056530</v>
      </c>
      <c r="AS252" s="366">
        <f t="shared" si="173"/>
        <v>1.5694970587929193</v>
      </c>
      <c r="AT252" s="366">
        <f t="shared" si="179"/>
        <v>25.80615356190421</v>
      </c>
      <c r="AU252" s="321">
        <f t="shared" si="180"/>
        <v>0.2580615356190421</v>
      </c>
      <c r="AV252" s="15">
        <v>20580434</v>
      </c>
      <c r="AW252" s="361">
        <f t="shared" si="174"/>
        <v>0.256241629304581</v>
      </c>
      <c r="AX252" s="361">
        <f t="shared" si="181"/>
        <v>26.183648706852885</v>
      </c>
      <c r="AY252" s="348">
        <f>AX252*0.01</f>
        <v>0.26183648706852886</v>
      </c>
      <c r="AZ252" s="411">
        <v>5.1100000000000003</v>
      </c>
      <c r="BA252" s="412">
        <f t="shared" si="182"/>
        <v>40</v>
      </c>
      <c r="BB252" s="418">
        <f>BA252*0.01</f>
        <v>0.4</v>
      </c>
      <c r="BC252" s="204">
        <v>1</v>
      </c>
      <c r="BD252" s="407">
        <f t="shared" si="203"/>
        <v>100</v>
      </c>
      <c r="BE252" s="418">
        <f>BD252*0.01</f>
        <v>1</v>
      </c>
      <c r="BF252" s="204">
        <v>1</v>
      </c>
      <c r="BG252" s="204">
        <v>1</v>
      </c>
      <c r="BH252" s="204">
        <v>0</v>
      </c>
      <c r="BI252" s="272" t="str">
        <f t="shared" si="183"/>
        <v>C</v>
      </c>
      <c r="BJ252" s="247">
        <f t="shared" si="184"/>
        <v>50</v>
      </c>
      <c r="BK252" s="90">
        <f t="shared" si="185"/>
        <v>1.5</v>
      </c>
      <c r="BL252" s="406">
        <v>274</v>
      </c>
      <c r="BM252" s="413">
        <f t="shared" si="186"/>
        <v>30.143014301430142</v>
      </c>
      <c r="BN252" s="414">
        <f t="shared" si="187"/>
        <v>20</v>
      </c>
      <c r="BO252" s="415">
        <f t="shared" si="188"/>
        <v>0.6</v>
      </c>
      <c r="BP252" s="416">
        <v>0.01</v>
      </c>
      <c r="BQ252" s="417">
        <f t="shared" si="189"/>
        <v>66.666666666666671</v>
      </c>
      <c r="BR252" s="415">
        <f t="shared" si="190"/>
        <v>0.66666666666666674</v>
      </c>
      <c r="BS252" s="350">
        <f t="shared" si="191"/>
        <v>5.6865646893542374</v>
      </c>
    </row>
    <row r="253" spans="1:71" x14ac:dyDescent="0.6">
      <c r="A253" s="214" t="s">
        <v>535</v>
      </c>
      <c r="B253" s="13" t="s">
        <v>2233</v>
      </c>
      <c r="C253" s="219" t="s">
        <v>890</v>
      </c>
      <c r="D253" s="216" t="s">
        <v>203</v>
      </c>
      <c r="E253" s="217" t="s">
        <v>1179</v>
      </c>
      <c r="F253" s="217" t="s">
        <v>132</v>
      </c>
      <c r="G253" s="218">
        <v>33304</v>
      </c>
      <c r="H253" s="217" t="s">
        <v>830</v>
      </c>
      <c r="I253" s="217" t="s">
        <v>984</v>
      </c>
      <c r="J253" s="217" t="s">
        <v>1110</v>
      </c>
      <c r="K253" s="217" t="s">
        <v>91</v>
      </c>
      <c r="L253" s="220">
        <v>231015509</v>
      </c>
      <c r="M253" s="206">
        <v>75905969</v>
      </c>
      <c r="N253" s="206">
        <v>155109540</v>
      </c>
      <c r="O253" s="206">
        <v>285439614</v>
      </c>
      <c r="P253" s="206">
        <v>21520066</v>
      </c>
      <c r="Q253" s="206">
        <v>18501491</v>
      </c>
      <c r="R253" s="206">
        <v>19107420</v>
      </c>
      <c r="S253" s="405">
        <v>0</v>
      </c>
      <c r="T253" s="405">
        <v>0</v>
      </c>
      <c r="U253" s="406">
        <v>0</v>
      </c>
      <c r="V253" s="406">
        <v>0</v>
      </c>
      <c r="W253" s="407">
        <f t="shared" ref="W253:W289" si="238">SUM(S253:V253)</f>
        <v>0</v>
      </c>
      <c r="X253" s="407">
        <f t="shared" ref="X253:X289" si="239">IF(W253=0, 100, IF(W253=1, 80, IF(W253=2, 60, IF(W253=3, 40, IF(W253=4, 20)))))</f>
        <v>100</v>
      </c>
      <c r="Y253" s="408">
        <f t="shared" ref="Y253:Y289" si="240">X253*0.03</f>
        <v>3</v>
      </c>
      <c r="Z253" s="444" t="s">
        <v>3474</v>
      </c>
      <c r="AA253" s="442">
        <v>0</v>
      </c>
      <c r="AB253" s="406">
        <v>0</v>
      </c>
      <c r="AC253" s="406">
        <v>0</v>
      </c>
      <c r="AD253" s="407">
        <f t="shared" ref="AD253:AD289" si="241">SUM(AA253:AC253)</f>
        <v>0</v>
      </c>
      <c r="AE253" s="364" t="str">
        <f t="shared" ref="AE253:AE289" si="242">IF(AD253&gt;=1,"100","50")</f>
        <v>50</v>
      </c>
      <c r="AF253" s="349">
        <f t="shared" ref="AF253:AF289" si="243">AE253*0.005</f>
        <v>0.25</v>
      </c>
      <c r="AG253" s="154">
        <v>286</v>
      </c>
      <c r="AH253" s="154">
        <v>12203</v>
      </c>
      <c r="AI253" s="409">
        <f t="shared" si="175"/>
        <v>42.667832167832167</v>
      </c>
      <c r="AJ253" s="409">
        <f t="shared" si="176"/>
        <v>57.000874125874127</v>
      </c>
      <c r="AK253" s="408">
        <f t="shared" ref="AK253:AK289" si="244">AJ253*0.01</f>
        <v>0.57000874125874124</v>
      </c>
      <c r="AL253" s="45">
        <v>11270</v>
      </c>
      <c r="AM253" s="361">
        <f t="shared" si="177"/>
        <v>8.2786157941437448</v>
      </c>
      <c r="AN253" s="365">
        <f t="shared" si="199"/>
        <v>26.552240461401951</v>
      </c>
      <c r="AO253" s="320">
        <f t="shared" ref="AO253:AO289" si="245">AN253*0.01</f>
        <v>0.26552240461401949</v>
      </c>
      <c r="AP253" s="277">
        <f>_xlfn.XLOOKUP(C253, '1.건전성'!C:C, '1.건전성'!BE:BE)</f>
        <v>4175499</v>
      </c>
      <c r="AQ253" s="277">
        <f>_xlfn.XLOOKUP(C253, '1.건전성'!C:C, '1.건전성'!BF:BF)</f>
        <v>250273</v>
      </c>
      <c r="AR253" s="410">
        <f t="shared" si="178"/>
        <v>4425772</v>
      </c>
      <c r="AS253" s="366">
        <f t="shared" si="173"/>
        <v>1.5505107850937607</v>
      </c>
      <c r="AT253" s="366">
        <f t="shared" si="179"/>
        <v>25.791842300321932</v>
      </c>
      <c r="AU253" s="321">
        <f t="shared" si="180"/>
        <v>0.25791842300321932</v>
      </c>
      <c r="AV253" s="15">
        <v>649793</v>
      </c>
      <c r="AW253" s="361">
        <f t="shared" si="174"/>
        <v>0.2276463980924526</v>
      </c>
      <c r="AX253" s="361">
        <f t="shared" si="181"/>
        <v>25.967018167367065</v>
      </c>
      <c r="AY253" s="321">
        <f t="shared" ref="AY253:AY289" si="246">AX253*0.005</f>
        <v>0.12983509083683534</v>
      </c>
      <c r="AZ253" s="411">
        <v>11.64</v>
      </c>
      <c r="BA253" s="412">
        <f t="shared" si="182"/>
        <v>100</v>
      </c>
      <c r="BB253" s="408">
        <f t="shared" ref="BB253:BB289" si="247">BA253*0.005</f>
        <v>0.5</v>
      </c>
      <c r="BC253" s="204">
        <v>1</v>
      </c>
      <c r="BD253" s="407">
        <f t="shared" si="203"/>
        <v>100</v>
      </c>
      <c r="BE253" s="408">
        <f t="shared" ref="BE253:BE289" si="248">BD253*0.005</f>
        <v>0.5</v>
      </c>
      <c r="BF253" s="204">
        <v>0</v>
      </c>
      <c r="BG253" s="204">
        <v>1</v>
      </c>
      <c r="BH253" s="204">
        <v>0</v>
      </c>
      <c r="BI253" s="272" t="str">
        <f t="shared" si="183"/>
        <v>C</v>
      </c>
      <c r="BJ253" s="247">
        <f t="shared" si="184"/>
        <v>50</v>
      </c>
      <c r="BK253" s="90">
        <f t="shared" si="185"/>
        <v>1.5</v>
      </c>
      <c r="BL253" s="406">
        <v>9</v>
      </c>
      <c r="BM253" s="413">
        <f t="shared" si="186"/>
        <v>3.1468531468531471</v>
      </c>
      <c r="BN253" s="414">
        <f t="shared" si="187"/>
        <v>40</v>
      </c>
      <c r="BO253" s="415">
        <f t="shared" si="188"/>
        <v>1.2</v>
      </c>
      <c r="BP253" s="416">
        <v>0</v>
      </c>
      <c r="BQ253" s="417">
        <f t="shared" si="189"/>
        <v>33.333333333333336</v>
      </c>
      <c r="BR253" s="415">
        <f t="shared" si="190"/>
        <v>0.33333333333333337</v>
      </c>
      <c r="BS253" s="350">
        <f t="shared" si="191"/>
        <v>8.5066179930461487</v>
      </c>
    </row>
    <row r="254" spans="1:71" x14ac:dyDescent="0.6">
      <c r="A254" s="214" t="s">
        <v>1870</v>
      </c>
      <c r="B254" s="13" t="s">
        <v>2234</v>
      </c>
      <c r="C254" s="219" t="s">
        <v>529</v>
      </c>
      <c r="D254" s="216" t="s">
        <v>203</v>
      </c>
      <c r="E254" s="217" t="s">
        <v>180</v>
      </c>
      <c r="F254" s="217" t="s">
        <v>561</v>
      </c>
      <c r="G254" s="218">
        <v>35094</v>
      </c>
      <c r="H254" s="217" t="s">
        <v>830</v>
      </c>
      <c r="I254" s="217" t="s">
        <v>1871</v>
      </c>
      <c r="J254" s="217" t="s">
        <v>1230</v>
      </c>
      <c r="K254" s="217" t="s">
        <v>91</v>
      </c>
      <c r="L254" s="220">
        <v>221214840</v>
      </c>
      <c r="M254" s="206">
        <v>49139610</v>
      </c>
      <c r="N254" s="206">
        <v>172075230</v>
      </c>
      <c r="O254" s="206">
        <v>157798814</v>
      </c>
      <c r="P254" s="206">
        <v>10746927</v>
      </c>
      <c r="Q254" s="206">
        <v>5946963</v>
      </c>
      <c r="R254" s="206">
        <v>5654728</v>
      </c>
      <c r="S254" s="405">
        <v>0</v>
      </c>
      <c r="T254" s="405">
        <v>0</v>
      </c>
      <c r="U254" s="406">
        <v>0</v>
      </c>
      <c r="V254" s="406">
        <v>0</v>
      </c>
      <c r="W254" s="407">
        <f t="shared" si="238"/>
        <v>0</v>
      </c>
      <c r="X254" s="407">
        <f t="shared" si="239"/>
        <v>100</v>
      </c>
      <c r="Y254" s="408">
        <f t="shared" si="240"/>
        <v>3</v>
      </c>
      <c r="Z254" s="444" t="s">
        <v>3475</v>
      </c>
      <c r="AA254" s="442">
        <v>0</v>
      </c>
      <c r="AB254" s="406">
        <v>0</v>
      </c>
      <c r="AC254" s="406">
        <v>0</v>
      </c>
      <c r="AD254" s="407">
        <f t="shared" si="241"/>
        <v>0</v>
      </c>
      <c r="AE254" s="364" t="str">
        <f t="shared" si="242"/>
        <v>50</v>
      </c>
      <c r="AF254" s="349">
        <f t="shared" si="243"/>
        <v>0.25</v>
      </c>
      <c r="AG254" s="154">
        <v>247</v>
      </c>
      <c r="AH254" s="421"/>
      <c r="AI254" s="409">
        <f t="shared" si="175"/>
        <v>0</v>
      </c>
      <c r="AJ254" s="409">
        <f t="shared" si="176"/>
        <v>25</v>
      </c>
      <c r="AK254" s="408">
        <f t="shared" si="244"/>
        <v>0.25</v>
      </c>
      <c r="AL254" s="423"/>
      <c r="AM254" s="424">
        <v>0</v>
      </c>
      <c r="AN254" s="365">
        <f t="shared" si="199"/>
        <v>25</v>
      </c>
      <c r="AO254" s="320">
        <f t="shared" si="245"/>
        <v>0.25</v>
      </c>
      <c r="AP254" s="277">
        <f>_xlfn.XLOOKUP(C254, '1.건전성'!C:C, '1.건전성'!BE:BE)</f>
        <v>7174985</v>
      </c>
      <c r="AQ254" s="277">
        <f>_xlfn.XLOOKUP(C254, '1.건전성'!C:C, '1.건전성'!BF:BF)</f>
        <v>538789</v>
      </c>
      <c r="AR254" s="410">
        <f t="shared" si="178"/>
        <v>7713774</v>
      </c>
      <c r="AS254" s="366">
        <f t="shared" si="173"/>
        <v>4.8883599340613548</v>
      </c>
      <c r="AT254" s="366">
        <f t="shared" si="179"/>
        <v>28.307808995523633</v>
      </c>
      <c r="AU254" s="321">
        <f t="shared" si="180"/>
        <v>0.28307808995523631</v>
      </c>
      <c r="AV254" s="15">
        <v>903391</v>
      </c>
      <c r="AW254" s="361">
        <f t="shared" si="174"/>
        <v>0.57249543079582332</v>
      </c>
      <c r="AX254" s="361">
        <f t="shared" si="181"/>
        <v>28.5795108393623</v>
      </c>
      <c r="AY254" s="321">
        <f t="shared" si="246"/>
        <v>0.14289755419681149</v>
      </c>
      <c r="AZ254" s="411">
        <v>7.23</v>
      </c>
      <c r="BA254" s="412">
        <f t="shared" si="182"/>
        <v>60</v>
      </c>
      <c r="BB254" s="408">
        <f t="shared" si="247"/>
        <v>0.3</v>
      </c>
      <c r="BC254" s="204">
        <v>1</v>
      </c>
      <c r="BD254" s="407">
        <f t="shared" si="203"/>
        <v>100</v>
      </c>
      <c r="BE254" s="408">
        <f t="shared" si="248"/>
        <v>0.5</v>
      </c>
      <c r="BF254" s="204">
        <v>0</v>
      </c>
      <c r="BG254" s="204">
        <v>1</v>
      </c>
      <c r="BH254" s="204">
        <v>0</v>
      </c>
      <c r="BI254" s="272" t="str">
        <f t="shared" si="183"/>
        <v>C</v>
      </c>
      <c r="BJ254" s="247">
        <f t="shared" si="184"/>
        <v>50</v>
      </c>
      <c r="BK254" s="90">
        <f t="shared" si="185"/>
        <v>1.5</v>
      </c>
      <c r="BL254" s="406">
        <v>0</v>
      </c>
      <c r="BM254" s="413">
        <f t="shared" si="186"/>
        <v>0</v>
      </c>
      <c r="BN254" s="414">
        <f t="shared" si="187"/>
        <v>100</v>
      </c>
      <c r="BO254" s="415">
        <f t="shared" si="188"/>
        <v>3</v>
      </c>
      <c r="BP254" s="416">
        <v>0</v>
      </c>
      <c r="BQ254" s="417">
        <f t="shared" si="189"/>
        <v>33.333333333333336</v>
      </c>
      <c r="BR254" s="415">
        <f t="shared" si="190"/>
        <v>0.33333333333333337</v>
      </c>
      <c r="BS254" s="350">
        <f t="shared" si="191"/>
        <v>9.8093089774853812</v>
      </c>
    </row>
    <row r="255" spans="1:71" x14ac:dyDescent="0.6">
      <c r="A255" s="214" t="s">
        <v>366</v>
      </c>
      <c r="B255" s="13" t="s">
        <v>2235</v>
      </c>
      <c r="C255" s="219" t="s">
        <v>447</v>
      </c>
      <c r="D255" s="216" t="s">
        <v>203</v>
      </c>
      <c r="E255" s="217" t="s">
        <v>180</v>
      </c>
      <c r="F255" s="217" t="s">
        <v>990</v>
      </c>
      <c r="G255" s="218">
        <v>37649</v>
      </c>
      <c r="H255" s="217" t="s">
        <v>830</v>
      </c>
      <c r="I255" s="217" t="s">
        <v>814</v>
      </c>
      <c r="J255" s="217" t="s">
        <v>663</v>
      </c>
      <c r="K255" s="217" t="s">
        <v>91</v>
      </c>
      <c r="L255" s="220">
        <v>162863274</v>
      </c>
      <c r="M255" s="206">
        <v>17371202</v>
      </c>
      <c r="N255" s="206">
        <v>145492071</v>
      </c>
      <c r="O255" s="206">
        <v>56651970</v>
      </c>
      <c r="P255" s="206">
        <v>10708324</v>
      </c>
      <c r="Q255" s="206">
        <v>12207215</v>
      </c>
      <c r="R255" s="206">
        <v>9200816</v>
      </c>
      <c r="S255" s="405">
        <v>0</v>
      </c>
      <c r="T255" s="405">
        <v>0</v>
      </c>
      <c r="U255" s="406">
        <v>0</v>
      </c>
      <c r="V255" s="406">
        <v>0</v>
      </c>
      <c r="W255" s="407">
        <f t="shared" si="238"/>
        <v>0</v>
      </c>
      <c r="X255" s="407">
        <f t="shared" si="239"/>
        <v>100</v>
      </c>
      <c r="Y255" s="408">
        <f t="shared" si="240"/>
        <v>3</v>
      </c>
      <c r="Z255" s="444" t="s">
        <v>3476</v>
      </c>
      <c r="AA255" s="442">
        <v>0</v>
      </c>
      <c r="AB255" s="406">
        <v>0</v>
      </c>
      <c r="AC255" s="406">
        <v>0</v>
      </c>
      <c r="AD255" s="407">
        <f t="shared" si="241"/>
        <v>0</v>
      </c>
      <c r="AE255" s="364" t="str">
        <f t="shared" si="242"/>
        <v>50</v>
      </c>
      <c r="AF255" s="349">
        <f t="shared" si="243"/>
        <v>0.25</v>
      </c>
      <c r="AG255" s="154">
        <v>105</v>
      </c>
      <c r="AH255" s="154">
        <v>12645</v>
      </c>
      <c r="AI255" s="409">
        <f t="shared" si="175"/>
        <v>120.42857142857143</v>
      </c>
      <c r="AJ255" s="409">
        <f t="shared" si="176"/>
        <v>100</v>
      </c>
      <c r="AK255" s="408">
        <f t="shared" si="244"/>
        <v>1</v>
      </c>
      <c r="AL255" s="45">
        <v>9128</v>
      </c>
      <c r="AM255" s="361">
        <f t="shared" si="177"/>
        <v>38.529798422436457</v>
      </c>
      <c r="AN255" s="365">
        <f t="shared" si="199"/>
        <v>32.224337204206833</v>
      </c>
      <c r="AO255" s="320">
        <f t="shared" si="245"/>
        <v>0.32224337204206832</v>
      </c>
      <c r="AP255" s="277">
        <f>_xlfn.XLOOKUP(C255, '1.건전성'!C:C, '1.건전성'!BE:BE)</f>
        <v>2860944</v>
      </c>
      <c r="AQ255" s="277">
        <f>_xlfn.XLOOKUP(C255, '1.건전성'!C:C, '1.건전성'!BF:BF)</f>
        <v>231000</v>
      </c>
      <c r="AR255" s="410">
        <f t="shared" si="178"/>
        <v>3091944</v>
      </c>
      <c r="AS255" s="366">
        <f t="shared" si="173"/>
        <v>5.4577872578835303</v>
      </c>
      <c r="AT255" s="366">
        <f t="shared" si="179"/>
        <v>28.737025571268994</v>
      </c>
      <c r="AU255" s="321">
        <f t="shared" si="180"/>
        <v>0.28737025571268993</v>
      </c>
      <c r="AV255" s="15">
        <v>278179</v>
      </c>
      <c r="AW255" s="361">
        <f t="shared" si="174"/>
        <v>0.49103146810252141</v>
      </c>
      <c r="AX255" s="361">
        <f t="shared" si="181"/>
        <v>27.962359606837282</v>
      </c>
      <c r="AY255" s="321">
        <f t="shared" si="246"/>
        <v>0.13981179803418642</v>
      </c>
      <c r="AZ255" s="411">
        <v>8.1199999999999992</v>
      </c>
      <c r="BA255" s="412">
        <f t="shared" si="182"/>
        <v>80</v>
      </c>
      <c r="BB255" s="408">
        <f t="shared" si="247"/>
        <v>0.4</v>
      </c>
      <c r="BC255" s="204">
        <v>1</v>
      </c>
      <c r="BD255" s="407">
        <f t="shared" si="203"/>
        <v>100</v>
      </c>
      <c r="BE255" s="408">
        <f t="shared" si="248"/>
        <v>0.5</v>
      </c>
      <c r="BF255" s="204">
        <v>0</v>
      </c>
      <c r="BG255" s="204">
        <v>0</v>
      </c>
      <c r="BH255" s="204">
        <v>0</v>
      </c>
      <c r="BI255" s="272" t="str">
        <f t="shared" si="183"/>
        <v>A</v>
      </c>
      <c r="BJ255" s="247">
        <f t="shared" si="184"/>
        <v>100</v>
      </c>
      <c r="BK255" s="90">
        <f t="shared" si="185"/>
        <v>3</v>
      </c>
      <c r="BL255" s="406">
        <v>19</v>
      </c>
      <c r="BM255" s="413">
        <f t="shared" si="186"/>
        <v>18.095238095238095</v>
      </c>
      <c r="BN255" s="414">
        <f t="shared" si="187"/>
        <v>20</v>
      </c>
      <c r="BO255" s="415">
        <f t="shared" si="188"/>
        <v>0.6</v>
      </c>
      <c r="BP255" s="416">
        <v>0</v>
      </c>
      <c r="BQ255" s="417">
        <f t="shared" si="189"/>
        <v>33.333333333333336</v>
      </c>
      <c r="BR255" s="415">
        <f t="shared" si="190"/>
        <v>0.33333333333333337</v>
      </c>
      <c r="BS255" s="350">
        <f t="shared" si="191"/>
        <v>9.832758759122278</v>
      </c>
    </row>
    <row r="256" spans="1:71" x14ac:dyDescent="0.6">
      <c r="A256" s="214" t="s">
        <v>1872</v>
      </c>
      <c r="B256" s="13" t="s">
        <v>2236</v>
      </c>
      <c r="C256" s="219" t="s">
        <v>38</v>
      </c>
      <c r="D256" s="216" t="s">
        <v>285</v>
      </c>
      <c r="E256" s="217" t="s">
        <v>867</v>
      </c>
      <c r="F256" s="217" t="s">
        <v>589</v>
      </c>
      <c r="G256" s="218">
        <v>32825</v>
      </c>
      <c r="H256" s="217" t="s">
        <v>830</v>
      </c>
      <c r="I256" s="217" t="s">
        <v>744</v>
      </c>
      <c r="J256" s="217" t="s">
        <v>1100</v>
      </c>
      <c r="K256" s="217" t="s">
        <v>690</v>
      </c>
      <c r="L256" s="220">
        <v>2966326502</v>
      </c>
      <c r="M256" s="206">
        <v>2073747455</v>
      </c>
      <c r="N256" s="206">
        <v>892579047</v>
      </c>
      <c r="O256" s="206">
        <v>2518358924</v>
      </c>
      <c r="P256" s="206">
        <v>126264508</v>
      </c>
      <c r="Q256" s="206">
        <v>98571424</v>
      </c>
      <c r="R256" s="206">
        <v>79048061</v>
      </c>
      <c r="S256" s="405">
        <v>0</v>
      </c>
      <c r="T256" s="405">
        <v>1</v>
      </c>
      <c r="U256" s="406">
        <v>0</v>
      </c>
      <c r="V256" s="406">
        <v>0</v>
      </c>
      <c r="W256" s="407">
        <f t="shared" si="238"/>
        <v>1</v>
      </c>
      <c r="X256" s="407">
        <f t="shared" si="239"/>
        <v>80</v>
      </c>
      <c r="Y256" s="408">
        <f t="shared" si="240"/>
        <v>2.4</v>
      </c>
      <c r="Z256" s="444" t="s">
        <v>3477</v>
      </c>
      <c r="AA256" s="442">
        <v>1</v>
      </c>
      <c r="AB256" s="406">
        <v>1</v>
      </c>
      <c r="AC256" s="406">
        <v>0</v>
      </c>
      <c r="AD256" s="407">
        <f t="shared" si="241"/>
        <v>2</v>
      </c>
      <c r="AE256" s="364" t="str">
        <f t="shared" si="242"/>
        <v>100</v>
      </c>
      <c r="AF256" s="349">
        <f t="shared" si="243"/>
        <v>0.5</v>
      </c>
      <c r="AG256" s="154">
        <v>1784</v>
      </c>
      <c r="AH256" s="421"/>
      <c r="AI256" s="409">
        <f t="shared" si="175"/>
        <v>0</v>
      </c>
      <c r="AJ256" s="409">
        <f t="shared" si="176"/>
        <v>25</v>
      </c>
      <c r="AK256" s="408">
        <f t="shared" si="244"/>
        <v>0.25</v>
      </c>
      <c r="AL256" s="423"/>
      <c r="AM256" s="424">
        <v>0</v>
      </c>
      <c r="AN256" s="365">
        <f t="shared" si="199"/>
        <v>25</v>
      </c>
      <c r="AO256" s="320">
        <f t="shared" si="245"/>
        <v>0.25</v>
      </c>
      <c r="AP256" s="277">
        <f>_xlfn.XLOOKUP(C256, '1.건전성'!C:C, '1.건전성'!BE:BE)</f>
        <v>48013631</v>
      </c>
      <c r="AQ256" s="277">
        <f>_xlfn.XLOOKUP(C256, '1.건전성'!C:C, '1.건전성'!BF:BF)</f>
        <v>9960396</v>
      </c>
      <c r="AR256" s="410">
        <f t="shared" si="178"/>
        <v>57974027</v>
      </c>
      <c r="AS256" s="366">
        <f t="shared" si="173"/>
        <v>2.3020557732063773</v>
      </c>
      <c r="AT256" s="366">
        <f t="shared" si="179"/>
        <v>26.35833349739174</v>
      </c>
      <c r="AU256" s="321">
        <f t="shared" si="180"/>
        <v>0.26358333497391739</v>
      </c>
      <c r="AV256" s="419"/>
      <c r="AW256" s="361">
        <f t="shared" si="174"/>
        <v>0</v>
      </c>
      <c r="AX256" s="361">
        <f t="shared" si="181"/>
        <v>25</v>
      </c>
      <c r="AY256" s="321">
        <f t="shared" si="246"/>
        <v>0.125</v>
      </c>
      <c r="AZ256" s="411">
        <v>7.3</v>
      </c>
      <c r="BA256" s="412">
        <f t="shared" si="182"/>
        <v>60</v>
      </c>
      <c r="BB256" s="408">
        <f t="shared" si="247"/>
        <v>0.3</v>
      </c>
      <c r="BC256" s="204">
        <v>1</v>
      </c>
      <c r="BD256" s="407">
        <f t="shared" si="203"/>
        <v>100</v>
      </c>
      <c r="BE256" s="408">
        <f t="shared" si="248"/>
        <v>0.5</v>
      </c>
      <c r="BF256" s="204">
        <v>0</v>
      </c>
      <c r="BG256" s="204">
        <v>1</v>
      </c>
      <c r="BH256" s="204">
        <v>0</v>
      </c>
      <c r="BI256" s="272" t="str">
        <f t="shared" si="183"/>
        <v>C</v>
      </c>
      <c r="BJ256" s="247">
        <f t="shared" si="184"/>
        <v>50</v>
      </c>
      <c r="BK256" s="90">
        <f t="shared" si="185"/>
        <v>1.5</v>
      </c>
      <c r="BL256" s="406">
        <v>668</v>
      </c>
      <c r="BM256" s="413">
        <f t="shared" si="186"/>
        <v>37.44394618834081</v>
      </c>
      <c r="BN256" s="414">
        <f t="shared" si="187"/>
        <v>20</v>
      </c>
      <c r="BO256" s="415">
        <f t="shared" si="188"/>
        <v>0.6</v>
      </c>
      <c r="BP256" s="416">
        <v>0</v>
      </c>
      <c r="BQ256" s="417">
        <f t="shared" si="189"/>
        <v>33.333333333333336</v>
      </c>
      <c r="BR256" s="415">
        <f t="shared" si="190"/>
        <v>0.33333333333333337</v>
      </c>
      <c r="BS256" s="350">
        <f t="shared" si="191"/>
        <v>7.0219166683072496</v>
      </c>
    </row>
    <row r="257" spans="1:71" x14ac:dyDescent="0.6">
      <c r="A257" s="214" t="s">
        <v>1873</v>
      </c>
      <c r="B257" s="13" t="s">
        <v>2237</v>
      </c>
      <c r="C257" s="219" t="s">
        <v>1874</v>
      </c>
      <c r="D257" s="14" t="s">
        <v>191</v>
      </c>
      <c r="E257" s="217" t="s">
        <v>190</v>
      </c>
      <c r="F257" s="217" t="s">
        <v>1875</v>
      </c>
      <c r="G257" s="218">
        <v>34695</v>
      </c>
      <c r="H257" s="217" t="s">
        <v>830</v>
      </c>
      <c r="I257" s="217" t="s">
        <v>1876</v>
      </c>
      <c r="J257" s="217" t="s">
        <v>1877</v>
      </c>
      <c r="K257" s="217" t="s">
        <v>91</v>
      </c>
      <c r="L257" s="220">
        <v>638916718</v>
      </c>
      <c r="M257" s="206">
        <v>398803947</v>
      </c>
      <c r="N257" s="206">
        <v>240112771</v>
      </c>
      <c r="O257" s="206">
        <v>765025412</v>
      </c>
      <c r="P257" s="206">
        <v>47784093</v>
      </c>
      <c r="Q257" s="206">
        <v>26595933</v>
      </c>
      <c r="R257" s="206">
        <v>20153900</v>
      </c>
      <c r="S257" s="405">
        <v>0</v>
      </c>
      <c r="T257" s="405">
        <v>0</v>
      </c>
      <c r="U257" s="406">
        <v>0</v>
      </c>
      <c r="V257" s="406">
        <v>0</v>
      </c>
      <c r="W257" s="407">
        <f t="shared" si="238"/>
        <v>0</v>
      </c>
      <c r="X257" s="407">
        <f t="shared" si="239"/>
        <v>100</v>
      </c>
      <c r="Y257" s="408">
        <f t="shared" si="240"/>
        <v>3</v>
      </c>
      <c r="Z257" s="444" t="s">
        <v>3478</v>
      </c>
      <c r="AA257" s="442">
        <v>0</v>
      </c>
      <c r="AB257" s="406">
        <v>0</v>
      </c>
      <c r="AC257" s="406">
        <v>0</v>
      </c>
      <c r="AD257" s="407">
        <f t="shared" si="241"/>
        <v>0</v>
      </c>
      <c r="AE257" s="364" t="str">
        <f t="shared" si="242"/>
        <v>50</v>
      </c>
      <c r="AF257" s="349">
        <f t="shared" si="243"/>
        <v>0.25</v>
      </c>
      <c r="AG257" s="154">
        <v>341</v>
      </c>
      <c r="AH257" s="154">
        <v>124938</v>
      </c>
      <c r="AI257" s="409">
        <f t="shared" si="175"/>
        <v>366.38709677419354</v>
      </c>
      <c r="AJ257" s="409">
        <f t="shared" si="176"/>
        <v>100</v>
      </c>
      <c r="AK257" s="408">
        <f t="shared" si="244"/>
        <v>1</v>
      </c>
      <c r="AL257" s="45">
        <v>227610</v>
      </c>
      <c r="AM257" s="361">
        <f t="shared" si="177"/>
        <v>-45.108738631870303</v>
      </c>
      <c r="AN257" s="365">
        <f t="shared" si="199"/>
        <v>25</v>
      </c>
      <c r="AO257" s="320">
        <f t="shared" si="245"/>
        <v>0.25</v>
      </c>
      <c r="AP257" s="277">
        <f>_xlfn.XLOOKUP(C257, '1.건전성'!C:C, '1.건전성'!BE:BE)</f>
        <v>1810646</v>
      </c>
      <c r="AQ257" s="277">
        <f>_xlfn.XLOOKUP(C257, '1.건전성'!C:C, '1.건전성'!BF:BF)</f>
        <v>399709</v>
      </c>
      <c r="AR257" s="410">
        <f t="shared" si="178"/>
        <v>2210355</v>
      </c>
      <c r="AS257" s="366">
        <f t="shared" ref="AS257:AS320" si="249">(AR257/O257)*100</f>
        <v>0.28892569649699429</v>
      </c>
      <c r="AT257" s="366">
        <f t="shared" si="179"/>
        <v>25</v>
      </c>
      <c r="AU257" s="321">
        <f t="shared" si="180"/>
        <v>0.25</v>
      </c>
      <c r="AV257" s="419"/>
      <c r="AW257" s="361">
        <f t="shared" ref="AW257:AW320" si="250">(AV257/O257)*100</f>
        <v>0</v>
      </c>
      <c r="AX257" s="361">
        <f t="shared" si="181"/>
        <v>25</v>
      </c>
      <c r="AY257" s="321">
        <f t="shared" si="246"/>
        <v>0.125</v>
      </c>
      <c r="AZ257" s="411">
        <v>7.6</v>
      </c>
      <c r="BA257" s="412">
        <f t="shared" si="182"/>
        <v>60</v>
      </c>
      <c r="BB257" s="408">
        <f t="shared" si="247"/>
        <v>0.3</v>
      </c>
      <c r="BC257" s="204">
        <v>1</v>
      </c>
      <c r="BD257" s="407">
        <f t="shared" si="203"/>
        <v>100</v>
      </c>
      <c r="BE257" s="408">
        <f t="shared" si="248"/>
        <v>0.5</v>
      </c>
      <c r="BF257" s="204">
        <v>0</v>
      </c>
      <c r="BG257" s="204">
        <v>0</v>
      </c>
      <c r="BH257" s="204">
        <v>0</v>
      </c>
      <c r="BI257" s="272" t="str">
        <f t="shared" si="183"/>
        <v>A</v>
      </c>
      <c r="BJ257" s="247">
        <f t="shared" si="184"/>
        <v>100</v>
      </c>
      <c r="BK257" s="90">
        <f t="shared" si="185"/>
        <v>3</v>
      </c>
      <c r="BL257" s="406">
        <v>14</v>
      </c>
      <c r="BM257" s="413">
        <f t="shared" si="186"/>
        <v>4.1055718475073313</v>
      </c>
      <c r="BN257" s="414">
        <f t="shared" si="187"/>
        <v>40</v>
      </c>
      <c r="BO257" s="415">
        <f t="shared" si="188"/>
        <v>1.2</v>
      </c>
      <c r="BP257" s="416">
        <v>3.4</v>
      </c>
      <c r="BQ257" s="417">
        <f t="shared" si="189"/>
        <v>66.666666666666671</v>
      </c>
      <c r="BR257" s="415">
        <f t="shared" si="190"/>
        <v>0.66666666666666674</v>
      </c>
      <c r="BS257" s="350">
        <f t="shared" si="191"/>
        <v>10.541666666666666</v>
      </c>
    </row>
    <row r="258" spans="1:71" x14ac:dyDescent="0.6">
      <c r="A258" s="214" t="s">
        <v>1878</v>
      </c>
      <c r="B258" s="13" t="s">
        <v>2238</v>
      </c>
      <c r="C258" s="219" t="s">
        <v>1879</v>
      </c>
      <c r="D258" s="14" t="s">
        <v>203</v>
      </c>
      <c r="E258" s="217" t="s">
        <v>246</v>
      </c>
      <c r="F258" s="217" t="s">
        <v>1880</v>
      </c>
      <c r="G258" s="218">
        <v>43039</v>
      </c>
      <c r="H258" s="217" t="s">
        <v>830</v>
      </c>
      <c r="I258" s="217" t="s">
        <v>1881</v>
      </c>
      <c r="J258" s="217" t="s">
        <v>1882</v>
      </c>
      <c r="K258" s="217" t="s">
        <v>690</v>
      </c>
      <c r="L258" s="220">
        <v>136133552</v>
      </c>
      <c r="M258" s="206">
        <v>44833578</v>
      </c>
      <c r="N258" s="206">
        <v>91299975</v>
      </c>
      <c r="O258" s="206">
        <v>179753809</v>
      </c>
      <c r="P258" s="206">
        <v>24450342</v>
      </c>
      <c r="Q258" s="206">
        <v>25307795</v>
      </c>
      <c r="R258" s="206">
        <v>20467189</v>
      </c>
      <c r="S258" s="405">
        <v>0</v>
      </c>
      <c r="T258" s="405">
        <v>0</v>
      </c>
      <c r="U258" s="406">
        <v>0</v>
      </c>
      <c r="V258" s="406">
        <v>0</v>
      </c>
      <c r="W258" s="407">
        <f t="shared" si="238"/>
        <v>0</v>
      </c>
      <c r="X258" s="407">
        <f t="shared" si="239"/>
        <v>100</v>
      </c>
      <c r="Y258" s="408">
        <f t="shared" si="240"/>
        <v>3</v>
      </c>
      <c r="Z258" s="444" t="s">
        <v>3479</v>
      </c>
      <c r="AA258" s="442">
        <v>0</v>
      </c>
      <c r="AB258" s="406">
        <v>0</v>
      </c>
      <c r="AC258" s="406">
        <v>0</v>
      </c>
      <c r="AD258" s="407">
        <f t="shared" si="241"/>
        <v>0</v>
      </c>
      <c r="AE258" s="364" t="str">
        <f t="shared" si="242"/>
        <v>50</v>
      </c>
      <c r="AF258" s="349">
        <f t="shared" si="243"/>
        <v>0.25</v>
      </c>
      <c r="AG258" s="154">
        <v>396</v>
      </c>
      <c r="AH258" s="154">
        <v>107968</v>
      </c>
      <c r="AI258" s="409">
        <f t="shared" ref="AI258:AI321" si="251">AH258/AG258</f>
        <v>272.64646464646466</v>
      </c>
      <c r="AJ258" s="409">
        <f t="shared" ref="AJ258:AJ321" si="252">IF((25+((75*(AI258-0)/(100-0))))&gt;100, 100, IF((25+((75*(AI258-0)/(100-0))))&lt;25, 25, (25+((75*(AI258-0)/(100-0))))))</f>
        <v>100</v>
      </c>
      <c r="AK258" s="408">
        <f t="shared" si="244"/>
        <v>1</v>
      </c>
      <c r="AL258" s="45">
        <v>61898</v>
      </c>
      <c r="AM258" s="361">
        <f t="shared" ref="AM258:AM318" si="253">((AH258-AL258)/AL258)*100</f>
        <v>74.428899156677105</v>
      </c>
      <c r="AN258" s="365">
        <f t="shared" si="199"/>
        <v>38.955418591876956</v>
      </c>
      <c r="AO258" s="320">
        <f t="shared" si="245"/>
        <v>0.38955418591876956</v>
      </c>
      <c r="AP258" s="277">
        <f>_xlfn.XLOOKUP(C258, '1.건전성'!C:C, '1.건전성'!BE:BE)</f>
        <v>5192911</v>
      </c>
      <c r="AQ258" s="277">
        <f>_xlfn.XLOOKUP(C258, '1.건전성'!C:C, '1.건전성'!BF:BF)</f>
        <v>433805</v>
      </c>
      <c r="AR258" s="410">
        <f t="shared" ref="AR258:AR321" si="254">AP258+AQ258</f>
        <v>5626716</v>
      </c>
      <c r="AS258" s="366">
        <f t="shared" si="249"/>
        <v>3.1302346422044387</v>
      </c>
      <c r="AT258" s="366">
        <f t="shared" ref="AT258:AT321" si="255">IF((25+(75*(AS258-0.5)/(100-0.5)))&gt;100, 100, IF((25+(75*(AS258-0.5)/(100-0.5)))&lt;25, 25, (25+(75*(AS258-0.5)/(100-0.5)))))</f>
        <v>26.982588926284752</v>
      </c>
      <c r="AU258" s="321">
        <f t="shared" ref="AU258:AU321" si="256">AT258*0.01</f>
        <v>0.26982588926284751</v>
      </c>
      <c r="AV258" s="15">
        <v>765879</v>
      </c>
      <c r="AW258" s="361">
        <f t="shared" si="250"/>
        <v>0.42607108258829723</v>
      </c>
      <c r="AX258" s="361">
        <f t="shared" ref="AX258:AX321" si="257">IF((25+((75*(AW258-0.1))/(10-0.1)))&gt;100, 100, IF((25+((75*(AW258-0.1))/(10-0.1)))&lt;25, 25, (25+((75*(AW258-0.1))/(10-0.1)))))</f>
        <v>27.470235474153768</v>
      </c>
      <c r="AY258" s="321">
        <f t="shared" si="246"/>
        <v>0.13735117737076885</v>
      </c>
      <c r="AZ258" s="411">
        <v>5.2</v>
      </c>
      <c r="BA258" s="412">
        <f t="shared" ref="BA258:BA321" si="258">IF(AZ258&lt;4, 20, IF(AZ258&lt;6, 40, IF(AZ258&lt;8, 60, IF(AZ258&lt;10, 80, IF(AZ258&gt;=10, 100)))))</f>
        <v>40</v>
      </c>
      <c r="BB258" s="408">
        <f t="shared" si="247"/>
        <v>0.2</v>
      </c>
      <c r="BC258" s="204">
        <v>1</v>
      </c>
      <c r="BD258" s="407">
        <f t="shared" si="203"/>
        <v>100</v>
      </c>
      <c r="BE258" s="408">
        <f t="shared" si="248"/>
        <v>0.5</v>
      </c>
      <c r="BF258" s="204">
        <v>0</v>
      </c>
      <c r="BG258" s="204">
        <v>0</v>
      </c>
      <c r="BH258" s="204">
        <v>0</v>
      </c>
      <c r="BI258" s="272" t="str">
        <f t="shared" ref="BI258:BI321" si="259">IF(BH258=1, "D", IF(BG258=1, "C", IF(BF258=1, "B", "A")))</f>
        <v>A</v>
      </c>
      <c r="BJ258" s="247">
        <f t="shared" ref="BJ258:BJ321" si="260">IF(BI258="A", 100, IF(BI258="B", 75, IF(BI258="C", 50, IF(BI258="D", 25))))</f>
        <v>100</v>
      </c>
      <c r="BK258" s="90">
        <f t="shared" ref="BK258:BK321" si="261">BJ258*0.03</f>
        <v>3</v>
      </c>
      <c r="BL258" s="406">
        <v>4</v>
      </c>
      <c r="BM258" s="413">
        <f t="shared" ref="BM258:BM321" si="262">(BL258/AG258)*100</f>
        <v>1.0101010101010102</v>
      </c>
      <c r="BN258" s="414">
        <f t="shared" ref="BN258:BN321" si="263">IF(BM258&lt;0.5, 100, IF(BM258&lt;1, 80, IF(BM258&lt;3, 60, IF(BM258&lt;7, 40, IF(BM258&gt;=7, 20)))))</f>
        <v>60</v>
      </c>
      <c r="BO258" s="415">
        <f t="shared" ref="BO258:BO321" si="264">BN258*0.03</f>
        <v>1.7999999999999998</v>
      </c>
      <c r="BP258" s="416">
        <v>0.64</v>
      </c>
      <c r="BQ258" s="417">
        <f t="shared" ref="BQ258:BQ321" si="265">IF(BP258=0, 100/3, IF(BP258&lt;5, 200/3, 100))</f>
        <v>66.666666666666671</v>
      </c>
      <c r="BR258" s="415">
        <f t="shared" ref="BR258:BR321" si="266">BQ258*0.01</f>
        <v>0.66666666666666674</v>
      </c>
      <c r="BS258" s="350">
        <f t="shared" ref="BS258:BS321" si="267">Y258+AF258+AK258+AO258+AU258+AY258+BB258+BE258+BK258+BO258+BR258</f>
        <v>11.213397919219053</v>
      </c>
    </row>
    <row r="259" spans="1:71" x14ac:dyDescent="0.6">
      <c r="A259" s="214" t="s">
        <v>469</v>
      </c>
      <c r="B259" s="13" t="s">
        <v>2239</v>
      </c>
      <c r="C259" s="219" t="s">
        <v>889</v>
      </c>
      <c r="D259" s="216" t="s">
        <v>285</v>
      </c>
      <c r="E259" s="217" t="s">
        <v>112</v>
      </c>
      <c r="F259" s="217" t="s">
        <v>167</v>
      </c>
      <c r="G259" s="218">
        <v>38188</v>
      </c>
      <c r="H259" s="217" t="s">
        <v>830</v>
      </c>
      <c r="I259" s="217" t="s">
        <v>747</v>
      </c>
      <c r="J259" s="217" t="s">
        <v>1221</v>
      </c>
      <c r="K259" s="217" t="s">
        <v>91</v>
      </c>
      <c r="L259" s="220">
        <v>132073637</v>
      </c>
      <c r="M259" s="206">
        <v>20552807</v>
      </c>
      <c r="N259" s="206">
        <v>111520830</v>
      </c>
      <c r="O259" s="206">
        <v>42568935</v>
      </c>
      <c r="P259" s="206">
        <v>2855339</v>
      </c>
      <c r="Q259" s="206">
        <v>4551046</v>
      </c>
      <c r="R259" s="206">
        <v>3850592</v>
      </c>
      <c r="S259" s="405">
        <v>0</v>
      </c>
      <c r="T259" s="405">
        <v>0</v>
      </c>
      <c r="U259" s="406">
        <v>0</v>
      </c>
      <c r="V259" s="406">
        <v>0</v>
      </c>
      <c r="W259" s="407">
        <f t="shared" si="238"/>
        <v>0</v>
      </c>
      <c r="X259" s="407">
        <f t="shared" si="239"/>
        <v>100</v>
      </c>
      <c r="Y259" s="408">
        <f t="shared" si="240"/>
        <v>3</v>
      </c>
      <c r="Z259" s="444" t="s">
        <v>3480</v>
      </c>
      <c r="AA259" s="442">
        <v>0</v>
      </c>
      <c r="AB259" s="406">
        <v>0</v>
      </c>
      <c r="AC259" s="406">
        <v>0</v>
      </c>
      <c r="AD259" s="407">
        <f t="shared" si="241"/>
        <v>0</v>
      </c>
      <c r="AE259" s="364" t="str">
        <f t="shared" si="242"/>
        <v>50</v>
      </c>
      <c r="AF259" s="349">
        <f t="shared" si="243"/>
        <v>0.25</v>
      </c>
      <c r="AG259" s="154">
        <v>179</v>
      </c>
      <c r="AH259" s="421"/>
      <c r="AI259" s="409">
        <f t="shared" si="251"/>
        <v>0</v>
      </c>
      <c r="AJ259" s="409">
        <f t="shared" si="252"/>
        <v>25</v>
      </c>
      <c r="AK259" s="408">
        <f t="shared" si="244"/>
        <v>0.25</v>
      </c>
      <c r="AL259" s="423"/>
      <c r="AM259" s="424">
        <v>0</v>
      </c>
      <c r="AN259" s="365">
        <f t="shared" ref="AN259:AN322" si="268">IF((25+((75*(AM259-0)/(400-0))))&gt;100, 100, IF((25+((75*(AM259-0)/(400-0))))&lt;25, 25, (25+((75*(AM259-0)/(400-0))))))</f>
        <v>25</v>
      </c>
      <c r="AO259" s="320">
        <f t="shared" si="245"/>
        <v>0.25</v>
      </c>
      <c r="AP259" s="277">
        <f>_xlfn.XLOOKUP(C259, '1.건전성'!C:C, '1.건전성'!BE:BE)</f>
        <v>4344825</v>
      </c>
      <c r="AQ259" s="277">
        <f>_xlfn.XLOOKUP(C259, '1.건전성'!C:C, '1.건전성'!BF:BF)</f>
        <v>345333</v>
      </c>
      <c r="AR259" s="410">
        <f t="shared" si="254"/>
        <v>4690158</v>
      </c>
      <c r="AS259" s="366">
        <f t="shared" si="249"/>
        <v>11.017795018832395</v>
      </c>
      <c r="AT259" s="366">
        <f t="shared" si="255"/>
        <v>32.927986195099798</v>
      </c>
      <c r="AU259" s="321">
        <f t="shared" si="256"/>
        <v>0.32927986195099801</v>
      </c>
      <c r="AV259" s="15">
        <v>230259</v>
      </c>
      <c r="AW259" s="361">
        <f t="shared" si="250"/>
        <v>0.54090852871935846</v>
      </c>
      <c r="AX259" s="361">
        <f t="shared" si="257"/>
        <v>28.340216126661808</v>
      </c>
      <c r="AY259" s="321">
        <f t="shared" si="246"/>
        <v>0.14170108063330905</v>
      </c>
      <c r="AZ259" s="411">
        <v>9.9499999999999993</v>
      </c>
      <c r="BA259" s="412">
        <f t="shared" si="258"/>
        <v>80</v>
      </c>
      <c r="BB259" s="408">
        <f t="shared" si="247"/>
        <v>0.4</v>
      </c>
      <c r="BC259" s="204">
        <v>1</v>
      </c>
      <c r="BD259" s="407">
        <f t="shared" ref="BD259:BD322" si="269">IF(BC259=1, 100, 50)</f>
        <v>100</v>
      </c>
      <c r="BE259" s="408">
        <f t="shared" si="248"/>
        <v>0.5</v>
      </c>
      <c r="BF259" s="204">
        <v>0</v>
      </c>
      <c r="BG259" s="204">
        <v>0</v>
      </c>
      <c r="BH259" s="204">
        <v>0</v>
      </c>
      <c r="BI259" s="272" t="str">
        <f t="shared" si="259"/>
        <v>A</v>
      </c>
      <c r="BJ259" s="247">
        <f t="shared" si="260"/>
        <v>100</v>
      </c>
      <c r="BK259" s="90">
        <f t="shared" si="261"/>
        <v>3</v>
      </c>
      <c r="BL259" s="406">
        <v>0</v>
      </c>
      <c r="BM259" s="413">
        <f t="shared" si="262"/>
        <v>0</v>
      </c>
      <c r="BN259" s="414">
        <f t="shared" si="263"/>
        <v>100</v>
      </c>
      <c r="BO259" s="415">
        <f t="shared" si="264"/>
        <v>3</v>
      </c>
      <c r="BP259" s="416">
        <v>0</v>
      </c>
      <c r="BQ259" s="417">
        <f t="shared" si="265"/>
        <v>33.333333333333336</v>
      </c>
      <c r="BR259" s="415">
        <f t="shared" si="266"/>
        <v>0.33333333333333337</v>
      </c>
      <c r="BS259" s="350">
        <f t="shared" si="267"/>
        <v>11.454314275917641</v>
      </c>
    </row>
    <row r="260" spans="1:71" x14ac:dyDescent="0.6">
      <c r="A260" s="214" t="s">
        <v>85</v>
      </c>
      <c r="B260" s="13" t="s">
        <v>2240</v>
      </c>
      <c r="C260" s="219" t="s">
        <v>901</v>
      </c>
      <c r="D260" s="216" t="s">
        <v>203</v>
      </c>
      <c r="E260" s="217" t="s">
        <v>188</v>
      </c>
      <c r="F260" s="217" t="s">
        <v>243</v>
      </c>
      <c r="G260" s="218">
        <v>37536</v>
      </c>
      <c r="H260" s="217" t="s">
        <v>830</v>
      </c>
      <c r="I260" s="217" t="s">
        <v>1883</v>
      </c>
      <c r="J260" s="217" t="s">
        <v>1136</v>
      </c>
      <c r="K260" s="217" t="s">
        <v>91</v>
      </c>
      <c r="L260" s="220">
        <v>941352875</v>
      </c>
      <c r="M260" s="206">
        <v>201162049</v>
      </c>
      <c r="N260" s="206">
        <v>740190827</v>
      </c>
      <c r="O260" s="206">
        <v>1235837871</v>
      </c>
      <c r="P260" s="206">
        <v>117135007</v>
      </c>
      <c r="Q260" s="206">
        <v>105510103</v>
      </c>
      <c r="R260" s="206">
        <v>81809433</v>
      </c>
      <c r="S260" s="405">
        <v>0</v>
      </c>
      <c r="T260" s="405">
        <v>0</v>
      </c>
      <c r="U260" s="406">
        <v>0</v>
      </c>
      <c r="V260" s="406">
        <v>0</v>
      </c>
      <c r="W260" s="407">
        <f t="shared" si="238"/>
        <v>0</v>
      </c>
      <c r="X260" s="407">
        <f t="shared" si="239"/>
        <v>100</v>
      </c>
      <c r="Y260" s="408">
        <f t="shared" si="240"/>
        <v>3</v>
      </c>
      <c r="Z260" s="444" t="s">
        <v>3481</v>
      </c>
      <c r="AA260" s="442">
        <v>0</v>
      </c>
      <c r="AB260" s="406">
        <v>0</v>
      </c>
      <c r="AC260" s="406">
        <v>0</v>
      </c>
      <c r="AD260" s="407">
        <f t="shared" si="241"/>
        <v>0</v>
      </c>
      <c r="AE260" s="364" t="str">
        <f t="shared" si="242"/>
        <v>50</v>
      </c>
      <c r="AF260" s="349">
        <f t="shared" si="243"/>
        <v>0.25</v>
      </c>
      <c r="AG260" s="154">
        <v>263</v>
      </c>
      <c r="AH260" s="154">
        <v>130694</v>
      </c>
      <c r="AI260" s="409">
        <f t="shared" si="251"/>
        <v>496.93536121673003</v>
      </c>
      <c r="AJ260" s="409">
        <f t="shared" si="252"/>
        <v>100</v>
      </c>
      <c r="AK260" s="408">
        <f t="shared" si="244"/>
        <v>1</v>
      </c>
      <c r="AL260" s="45">
        <v>127755</v>
      </c>
      <c r="AM260" s="361">
        <f t="shared" si="253"/>
        <v>2.3004970451254354</v>
      </c>
      <c r="AN260" s="365">
        <f t="shared" si="268"/>
        <v>25.43134319596102</v>
      </c>
      <c r="AO260" s="320">
        <f t="shared" si="245"/>
        <v>0.2543134319596102</v>
      </c>
      <c r="AP260" s="277">
        <f>_xlfn.XLOOKUP(C260, '1.건전성'!C:C, '1.건전성'!BE:BE)</f>
        <v>14363765</v>
      </c>
      <c r="AQ260" s="277">
        <f>_xlfn.XLOOKUP(C260, '1.건전성'!C:C, '1.건전성'!BF:BF)</f>
        <v>2223807</v>
      </c>
      <c r="AR260" s="410">
        <f t="shared" si="254"/>
        <v>16587572</v>
      </c>
      <c r="AS260" s="366">
        <f t="shared" si="249"/>
        <v>1.3422126307375475</v>
      </c>
      <c r="AT260" s="366">
        <f t="shared" si="255"/>
        <v>25.634833641259458</v>
      </c>
      <c r="AU260" s="321">
        <f t="shared" si="256"/>
        <v>0.25634833641259458</v>
      </c>
      <c r="AV260" s="15">
        <v>2692987</v>
      </c>
      <c r="AW260" s="361">
        <f t="shared" si="250"/>
        <v>0.21790779059237941</v>
      </c>
      <c r="AX260" s="361">
        <f t="shared" si="257"/>
        <v>25.893240837821057</v>
      </c>
      <c r="AY260" s="321">
        <f t="shared" si="246"/>
        <v>0.12946620418910529</v>
      </c>
      <c r="AZ260" s="411">
        <v>16</v>
      </c>
      <c r="BA260" s="412">
        <f t="shared" si="258"/>
        <v>100</v>
      </c>
      <c r="BB260" s="408">
        <f t="shared" si="247"/>
        <v>0.5</v>
      </c>
      <c r="BC260" s="204">
        <v>1</v>
      </c>
      <c r="BD260" s="407">
        <f t="shared" si="269"/>
        <v>100</v>
      </c>
      <c r="BE260" s="408">
        <f t="shared" si="248"/>
        <v>0.5</v>
      </c>
      <c r="BF260" s="204">
        <v>0</v>
      </c>
      <c r="BG260" s="204">
        <v>1</v>
      </c>
      <c r="BH260" s="204">
        <v>0</v>
      </c>
      <c r="BI260" s="272" t="str">
        <f t="shared" si="259"/>
        <v>C</v>
      </c>
      <c r="BJ260" s="247">
        <f t="shared" si="260"/>
        <v>50</v>
      </c>
      <c r="BK260" s="90">
        <f t="shared" si="261"/>
        <v>1.5</v>
      </c>
      <c r="BL260" s="406">
        <v>7</v>
      </c>
      <c r="BM260" s="413">
        <f t="shared" si="262"/>
        <v>2.6615969581749046</v>
      </c>
      <c r="BN260" s="414">
        <f t="shared" si="263"/>
        <v>60</v>
      </c>
      <c r="BO260" s="415">
        <f t="shared" si="264"/>
        <v>1.7999999999999998</v>
      </c>
      <c r="BP260" s="416">
        <v>0.01</v>
      </c>
      <c r="BQ260" s="417">
        <f t="shared" si="265"/>
        <v>66.666666666666671</v>
      </c>
      <c r="BR260" s="415">
        <f t="shared" si="266"/>
        <v>0.66666666666666674</v>
      </c>
      <c r="BS260" s="350">
        <f t="shared" si="267"/>
        <v>9.8567946392279762</v>
      </c>
    </row>
    <row r="261" spans="1:71" x14ac:dyDescent="0.6">
      <c r="A261" s="214" t="s">
        <v>797</v>
      </c>
      <c r="B261" s="13" t="s">
        <v>2241</v>
      </c>
      <c r="C261" s="219" t="s">
        <v>939</v>
      </c>
      <c r="D261" s="216" t="s">
        <v>191</v>
      </c>
      <c r="E261" s="217" t="s">
        <v>1091</v>
      </c>
      <c r="F261" s="217" t="s">
        <v>216</v>
      </c>
      <c r="G261" s="218">
        <v>32283</v>
      </c>
      <c r="H261" s="217" t="s">
        <v>830</v>
      </c>
      <c r="I261" s="217" t="s">
        <v>722</v>
      </c>
      <c r="J261" s="217" t="s">
        <v>1219</v>
      </c>
      <c r="K261" s="217" t="s">
        <v>91</v>
      </c>
      <c r="L261" s="220">
        <v>112694189</v>
      </c>
      <c r="M261" s="206">
        <v>32982274</v>
      </c>
      <c r="N261" s="206">
        <v>79711915</v>
      </c>
      <c r="O261" s="206">
        <v>60181807</v>
      </c>
      <c r="P261" s="206">
        <v>8873367</v>
      </c>
      <c r="Q261" s="206">
        <v>5968958</v>
      </c>
      <c r="R261" s="206">
        <v>10884761</v>
      </c>
      <c r="S261" s="405">
        <v>0</v>
      </c>
      <c r="T261" s="405">
        <v>0</v>
      </c>
      <c r="U261" s="406">
        <v>0</v>
      </c>
      <c r="V261" s="406">
        <v>0</v>
      </c>
      <c r="W261" s="407">
        <f t="shared" si="238"/>
        <v>0</v>
      </c>
      <c r="X261" s="407">
        <f t="shared" si="239"/>
        <v>100</v>
      </c>
      <c r="Y261" s="408">
        <f t="shared" si="240"/>
        <v>3</v>
      </c>
      <c r="Z261" s="444" t="s">
        <v>3482</v>
      </c>
      <c r="AA261" s="442">
        <v>0</v>
      </c>
      <c r="AB261" s="406">
        <v>0</v>
      </c>
      <c r="AC261" s="406">
        <v>0</v>
      </c>
      <c r="AD261" s="407">
        <f t="shared" si="241"/>
        <v>0</v>
      </c>
      <c r="AE261" s="364" t="str">
        <f t="shared" si="242"/>
        <v>50</v>
      </c>
      <c r="AF261" s="349">
        <f t="shared" si="243"/>
        <v>0.25</v>
      </c>
      <c r="AG261" s="154">
        <v>127</v>
      </c>
      <c r="AH261" s="421"/>
      <c r="AI261" s="409">
        <f t="shared" si="251"/>
        <v>0</v>
      </c>
      <c r="AJ261" s="409">
        <f t="shared" si="252"/>
        <v>25</v>
      </c>
      <c r="AK261" s="408">
        <f t="shared" si="244"/>
        <v>0.25</v>
      </c>
      <c r="AL261" s="423"/>
      <c r="AM261" s="424">
        <v>0</v>
      </c>
      <c r="AN261" s="365">
        <f t="shared" si="268"/>
        <v>25</v>
      </c>
      <c r="AO261" s="320">
        <f t="shared" si="245"/>
        <v>0.25</v>
      </c>
      <c r="AP261" s="277">
        <f>_xlfn.XLOOKUP(C261, '1.건전성'!C:C, '1.건전성'!BE:BE)</f>
        <v>3510165</v>
      </c>
      <c r="AQ261" s="277">
        <f>_xlfn.XLOOKUP(C261, '1.건전성'!C:C, '1.건전성'!BF:BF)</f>
        <v>360527</v>
      </c>
      <c r="AR261" s="410">
        <f t="shared" si="254"/>
        <v>3870692</v>
      </c>
      <c r="AS261" s="366">
        <f t="shared" si="249"/>
        <v>6.4316646391159376</v>
      </c>
      <c r="AT261" s="366">
        <f t="shared" si="255"/>
        <v>29.471103999333621</v>
      </c>
      <c r="AU261" s="321">
        <f t="shared" si="256"/>
        <v>0.2947110399933362</v>
      </c>
      <c r="AV261" s="15">
        <v>1321763</v>
      </c>
      <c r="AW261" s="361">
        <f t="shared" si="250"/>
        <v>2.1962833385843665</v>
      </c>
      <c r="AX261" s="361">
        <f t="shared" si="257"/>
        <v>40.8809343832149</v>
      </c>
      <c r="AY261" s="321">
        <f t="shared" si="246"/>
        <v>0.2044046719160745</v>
      </c>
      <c r="AZ261" s="411">
        <v>7.4</v>
      </c>
      <c r="BA261" s="412">
        <f t="shared" si="258"/>
        <v>60</v>
      </c>
      <c r="BB261" s="408">
        <f t="shared" si="247"/>
        <v>0.3</v>
      </c>
      <c r="BC261" s="204">
        <v>1</v>
      </c>
      <c r="BD261" s="407">
        <f t="shared" si="269"/>
        <v>100</v>
      </c>
      <c r="BE261" s="408">
        <f t="shared" si="248"/>
        <v>0.5</v>
      </c>
      <c r="BF261" s="204">
        <v>0</v>
      </c>
      <c r="BG261" s="204">
        <v>1</v>
      </c>
      <c r="BH261" s="204">
        <v>0</v>
      </c>
      <c r="BI261" s="272" t="str">
        <f t="shared" si="259"/>
        <v>C</v>
      </c>
      <c r="BJ261" s="247">
        <f t="shared" si="260"/>
        <v>50</v>
      </c>
      <c r="BK261" s="90">
        <f t="shared" si="261"/>
        <v>1.5</v>
      </c>
      <c r="BL261" s="406">
        <v>1</v>
      </c>
      <c r="BM261" s="413">
        <f t="shared" si="262"/>
        <v>0.78740157480314954</v>
      </c>
      <c r="BN261" s="414">
        <f t="shared" si="263"/>
        <v>80</v>
      </c>
      <c r="BO261" s="415">
        <f t="shared" si="264"/>
        <v>2.4</v>
      </c>
      <c r="BP261" s="416">
        <v>0.3</v>
      </c>
      <c r="BQ261" s="417">
        <f t="shared" si="265"/>
        <v>66.666666666666671</v>
      </c>
      <c r="BR261" s="415">
        <f t="shared" si="266"/>
        <v>0.66666666666666674</v>
      </c>
      <c r="BS261" s="350">
        <f t="shared" si="267"/>
        <v>9.6157823785760765</v>
      </c>
    </row>
    <row r="262" spans="1:71" x14ac:dyDescent="0.6">
      <c r="A262" s="214" t="s">
        <v>1884</v>
      </c>
      <c r="B262" s="13" t="s">
        <v>2242</v>
      </c>
      <c r="C262" s="219" t="s">
        <v>1885</v>
      </c>
      <c r="D262" s="14" t="s">
        <v>285</v>
      </c>
      <c r="E262" s="217" t="s">
        <v>534</v>
      </c>
      <c r="F262" s="217" t="s">
        <v>1886</v>
      </c>
      <c r="G262" s="218">
        <v>39346</v>
      </c>
      <c r="H262" s="217" t="s">
        <v>830</v>
      </c>
      <c r="I262" s="217" t="s">
        <v>1887</v>
      </c>
      <c r="J262" s="217" t="s">
        <v>1888</v>
      </c>
      <c r="K262" s="217" t="s">
        <v>91</v>
      </c>
      <c r="L262" s="220">
        <v>7391490000</v>
      </c>
      <c r="M262" s="206">
        <v>2951621000</v>
      </c>
      <c r="N262" s="206">
        <v>4439869000</v>
      </c>
      <c r="O262" s="206">
        <v>5700446000</v>
      </c>
      <c r="P262" s="206">
        <v>784634000</v>
      </c>
      <c r="Q262" s="206">
        <v>676532000</v>
      </c>
      <c r="R262" s="206">
        <v>676532000</v>
      </c>
      <c r="S262" s="405">
        <v>0</v>
      </c>
      <c r="T262" s="405">
        <v>0</v>
      </c>
      <c r="U262" s="406">
        <v>0</v>
      </c>
      <c r="V262" s="406">
        <v>0</v>
      </c>
      <c r="W262" s="407">
        <f t="shared" si="238"/>
        <v>0</v>
      </c>
      <c r="X262" s="407">
        <f t="shared" si="239"/>
        <v>100</v>
      </c>
      <c r="Y262" s="408">
        <f t="shared" si="240"/>
        <v>3</v>
      </c>
      <c r="Z262" s="444" t="s">
        <v>3483</v>
      </c>
      <c r="AA262" s="442">
        <v>0</v>
      </c>
      <c r="AB262" s="406">
        <v>0</v>
      </c>
      <c r="AC262" s="406">
        <v>0</v>
      </c>
      <c r="AD262" s="407">
        <f t="shared" si="241"/>
        <v>0</v>
      </c>
      <c r="AE262" s="364" t="str">
        <f t="shared" si="242"/>
        <v>50</v>
      </c>
      <c r="AF262" s="349">
        <f t="shared" si="243"/>
        <v>0.25</v>
      </c>
      <c r="AG262" s="154">
        <v>1146</v>
      </c>
      <c r="AH262" s="421"/>
      <c r="AI262" s="409">
        <f t="shared" si="251"/>
        <v>0</v>
      </c>
      <c r="AJ262" s="409">
        <f t="shared" si="252"/>
        <v>25</v>
      </c>
      <c r="AK262" s="408">
        <f t="shared" si="244"/>
        <v>0.25</v>
      </c>
      <c r="AL262" s="423"/>
      <c r="AM262" s="424">
        <v>0</v>
      </c>
      <c r="AN262" s="365">
        <f t="shared" si="268"/>
        <v>25</v>
      </c>
      <c r="AO262" s="320">
        <f t="shared" si="245"/>
        <v>0.25</v>
      </c>
      <c r="AP262" s="277">
        <f>_xlfn.XLOOKUP(C262, '1.건전성'!C:C, '1.건전성'!BE:BE)</f>
        <v>190494000</v>
      </c>
      <c r="AQ262" s="277">
        <f>_xlfn.XLOOKUP(C262, '1.건전성'!C:C, '1.건전성'!BF:BF)</f>
        <v>9456000</v>
      </c>
      <c r="AR262" s="410">
        <f t="shared" si="254"/>
        <v>199950000</v>
      </c>
      <c r="AS262" s="366">
        <f t="shared" si="249"/>
        <v>3.5076202809394212</v>
      </c>
      <c r="AT262" s="366">
        <f t="shared" si="255"/>
        <v>27.267050463019665</v>
      </c>
      <c r="AU262" s="321">
        <f t="shared" si="256"/>
        <v>0.27267050463019665</v>
      </c>
      <c r="AV262" s="15">
        <v>51016000</v>
      </c>
      <c r="AW262" s="361">
        <f t="shared" si="250"/>
        <v>0.89494751814156293</v>
      </c>
      <c r="AX262" s="361">
        <f t="shared" si="257"/>
        <v>31.022329682890629</v>
      </c>
      <c r="AY262" s="321">
        <f t="shared" si="246"/>
        <v>0.15511164841445316</v>
      </c>
      <c r="AZ262" s="411">
        <v>8.9</v>
      </c>
      <c r="BA262" s="412">
        <f t="shared" si="258"/>
        <v>80</v>
      </c>
      <c r="BB262" s="408">
        <f t="shared" si="247"/>
        <v>0.4</v>
      </c>
      <c r="BC262" s="204">
        <v>1</v>
      </c>
      <c r="BD262" s="407">
        <f t="shared" si="269"/>
        <v>100</v>
      </c>
      <c r="BE262" s="408">
        <f t="shared" si="248"/>
        <v>0.5</v>
      </c>
      <c r="BF262" s="204">
        <v>1</v>
      </c>
      <c r="BG262" s="204">
        <v>1</v>
      </c>
      <c r="BH262" s="204">
        <v>0</v>
      </c>
      <c r="BI262" s="272" t="str">
        <f t="shared" si="259"/>
        <v>C</v>
      </c>
      <c r="BJ262" s="247">
        <f t="shared" si="260"/>
        <v>50</v>
      </c>
      <c r="BK262" s="90">
        <f t="shared" si="261"/>
        <v>1.5</v>
      </c>
      <c r="BL262" s="406">
        <v>312</v>
      </c>
      <c r="BM262" s="413">
        <f t="shared" si="262"/>
        <v>27.225130890052355</v>
      </c>
      <c r="BN262" s="414">
        <f t="shared" si="263"/>
        <v>20</v>
      </c>
      <c r="BO262" s="415">
        <f t="shared" si="264"/>
        <v>0.6</v>
      </c>
      <c r="BP262" s="416">
        <v>0.02</v>
      </c>
      <c r="BQ262" s="417">
        <f t="shared" si="265"/>
        <v>66.666666666666671</v>
      </c>
      <c r="BR262" s="415">
        <f t="shared" si="266"/>
        <v>0.66666666666666674</v>
      </c>
      <c r="BS262" s="350">
        <f t="shared" si="267"/>
        <v>7.8444488197113174</v>
      </c>
    </row>
    <row r="263" spans="1:71" x14ac:dyDescent="0.6">
      <c r="A263" s="214" t="s">
        <v>1889</v>
      </c>
      <c r="B263" s="13" t="s">
        <v>2243</v>
      </c>
      <c r="C263" s="219" t="s">
        <v>1890</v>
      </c>
      <c r="D263" s="14" t="s">
        <v>202</v>
      </c>
      <c r="E263" s="217" t="s">
        <v>606</v>
      </c>
      <c r="F263" s="217" t="s">
        <v>1891</v>
      </c>
      <c r="G263" s="218">
        <v>32638</v>
      </c>
      <c r="H263" s="217" t="s">
        <v>830</v>
      </c>
      <c r="I263" s="217" t="s">
        <v>1892</v>
      </c>
      <c r="J263" s="217" t="s">
        <v>1893</v>
      </c>
      <c r="K263" s="217" t="s">
        <v>50</v>
      </c>
      <c r="L263" s="220">
        <v>211309948</v>
      </c>
      <c r="M263" s="206">
        <v>154647755</v>
      </c>
      <c r="N263" s="206">
        <v>56662193</v>
      </c>
      <c r="O263" s="206">
        <v>160154490</v>
      </c>
      <c r="P263" s="206">
        <v>3112928</v>
      </c>
      <c r="Q263" s="206">
        <v>4592986</v>
      </c>
      <c r="R263" s="206">
        <v>1794177</v>
      </c>
      <c r="S263" s="405">
        <v>0</v>
      </c>
      <c r="T263" s="405">
        <v>0</v>
      </c>
      <c r="U263" s="406">
        <v>0</v>
      </c>
      <c r="V263" s="406">
        <v>0</v>
      </c>
      <c r="W263" s="407">
        <f t="shared" si="238"/>
        <v>0</v>
      </c>
      <c r="X263" s="407">
        <f t="shared" si="239"/>
        <v>100</v>
      </c>
      <c r="Y263" s="408">
        <f t="shared" si="240"/>
        <v>3</v>
      </c>
      <c r="Z263" s="444" t="s">
        <v>3484</v>
      </c>
      <c r="AA263" s="442">
        <v>0</v>
      </c>
      <c r="AB263" s="406">
        <v>0</v>
      </c>
      <c r="AC263" s="406">
        <v>0</v>
      </c>
      <c r="AD263" s="407">
        <f t="shared" si="241"/>
        <v>0</v>
      </c>
      <c r="AE263" s="364" t="str">
        <f t="shared" si="242"/>
        <v>50</v>
      </c>
      <c r="AF263" s="349">
        <f t="shared" si="243"/>
        <v>0.25</v>
      </c>
      <c r="AG263" s="154">
        <v>370</v>
      </c>
      <c r="AH263" s="421"/>
      <c r="AI263" s="409">
        <f t="shared" si="251"/>
        <v>0</v>
      </c>
      <c r="AJ263" s="409">
        <f t="shared" si="252"/>
        <v>25</v>
      </c>
      <c r="AK263" s="408">
        <f t="shared" si="244"/>
        <v>0.25</v>
      </c>
      <c r="AL263" s="423"/>
      <c r="AM263" s="424">
        <v>0</v>
      </c>
      <c r="AN263" s="365">
        <f t="shared" si="268"/>
        <v>25</v>
      </c>
      <c r="AO263" s="320">
        <f t="shared" si="245"/>
        <v>0.25</v>
      </c>
      <c r="AP263" s="277">
        <f>_xlfn.XLOOKUP(C263, '1.건전성'!C:C, '1.건전성'!BE:BE)</f>
        <v>3307155</v>
      </c>
      <c r="AQ263" s="277">
        <f>_xlfn.XLOOKUP(C263, '1.건전성'!C:C, '1.건전성'!BF:BF)</f>
        <v>265920</v>
      </c>
      <c r="AR263" s="410">
        <f t="shared" si="254"/>
        <v>3573075</v>
      </c>
      <c r="AS263" s="366">
        <f t="shared" si="249"/>
        <v>2.2310176879836461</v>
      </c>
      <c r="AT263" s="366">
        <f t="shared" si="255"/>
        <v>26.304787201997723</v>
      </c>
      <c r="AU263" s="321">
        <f t="shared" si="256"/>
        <v>0.26304787201997726</v>
      </c>
      <c r="AV263" s="15">
        <v>803718</v>
      </c>
      <c r="AW263" s="361">
        <f t="shared" si="250"/>
        <v>0.501839192894311</v>
      </c>
      <c r="AX263" s="361">
        <f t="shared" si="257"/>
        <v>28.044236309805385</v>
      </c>
      <c r="AY263" s="321">
        <f t="shared" si="246"/>
        <v>0.14022118154902694</v>
      </c>
      <c r="AZ263" s="411">
        <v>17.899999999999999</v>
      </c>
      <c r="BA263" s="412">
        <f t="shared" si="258"/>
        <v>100</v>
      </c>
      <c r="BB263" s="408">
        <f t="shared" si="247"/>
        <v>0.5</v>
      </c>
      <c r="BC263" s="204">
        <v>1</v>
      </c>
      <c r="BD263" s="407">
        <f t="shared" si="269"/>
        <v>100</v>
      </c>
      <c r="BE263" s="408">
        <f t="shared" si="248"/>
        <v>0.5</v>
      </c>
      <c r="BF263" s="204">
        <v>0</v>
      </c>
      <c r="BG263" s="204">
        <v>0</v>
      </c>
      <c r="BH263" s="204">
        <v>0</v>
      </c>
      <c r="BI263" s="272" t="str">
        <f t="shared" si="259"/>
        <v>A</v>
      </c>
      <c r="BJ263" s="247">
        <f t="shared" si="260"/>
        <v>100</v>
      </c>
      <c r="BK263" s="90">
        <f t="shared" si="261"/>
        <v>3</v>
      </c>
      <c r="BL263" s="406">
        <v>8</v>
      </c>
      <c r="BM263" s="413">
        <f t="shared" si="262"/>
        <v>2.1621621621621623</v>
      </c>
      <c r="BN263" s="414">
        <f t="shared" si="263"/>
        <v>60</v>
      </c>
      <c r="BO263" s="415">
        <f t="shared" si="264"/>
        <v>1.7999999999999998</v>
      </c>
      <c r="BP263" s="416">
        <v>0</v>
      </c>
      <c r="BQ263" s="417">
        <f t="shared" si="265"/>
        <v>33.333333333333336</v>
      </c>
      <c r="BR263" s="415">
        <f t="shared" si="266"/>
        <v>0.33333333333333337</v>
      </c>
      <c r="BS263" s="350">
        <f t="shared" si="267"/>
        <v>10.28660238690234</v>
      </c>
    </row>
    <row r="264" spans="1:71" x14ac:dyDescent="0.6">
      <c r="A264" s="214" t="s">
        <v>740</v>
      </c>
      <c r="B264" s="13" t="s">
        <v>2244</v>
      </c>
      <c r="C264" s="219" t="s">
        <v>455</v>
      </c>
      <c r="D264" s="216" t="s">
        <v>191</v>
      </c>
      <c r="E264" s="217" t="s">
        <v>554</v>
      </c>
      <c r="F264" s="217" t="s">
        <v>1010</v>
      </c>
      <c r="G264" s="218">
        <v>35423</v>
      </c>
      <c r="H264" s="217" t="s">
        <v>830</v>
      </c>
      <c r="I264" s="217" t="s">
        <v>399</v>
      </c>
      <c r="J264" s="217" t="s">
        <v>1126</v>
      </c>
      <c r="K264" s="217" t="s">
        <v>91</v>
      </c>
      <c r="L264" s="220">
        <v>557374543</v>
      </c>
      <c r="M264" s="206">
        <v>67942165</v>
      </c>
      <c r="N264" s="206">
        <v>489432378</v>
      </c>
      <c r="O264" s="206">
        <v>373267542</v>
      </c>
      <c r="P264" s="206">
        <v>36440646</v>
      </c>
      <c r="Q264" s="206">
        <v>14928841</v>
      </c>
      <c r="R264" s="206">
        <v>9950190</v>
      </c>
      <c r="S264" s="405">
        <v>0</v>
      </c>
      <c r="T264" s="405">
        <v>0</v>
      </c>
      <c r="U264" s="406">
        <v>0</v>
      </c>
      <c r="V264" s="406">
        <v>0</v>
      </c>
      <c r="W264" s="407">
        <f t="shared" si="238"/>
        <v>0</v>
      </c>
      <c r="X264" s="407">
        <f t="shared" si="239"/>
        <v>100</v>
      </c>
      <c r="Y264" s="408">
        <f t="shared" si="240"/>
        <v>3</v>
      </c>
      <c r="Z264" s="444" t="s">
        <v>3485</v>
      </c>
      <c r="AA264" s="442">
        <v>0</v>
      </c>
      <c r="AB264" s="406">
        <v>1</v>
      </c>
      <c r="AC264" s="406">
        <v>0</v>
      </c>
      <c r="AD264" s="407">
        <f t="shared" si="241"/>
        <v>1</v>
      </c>
      <c r="AE264" s="364" t="str">
        <f t="shared" si="242"/>
        <v>100</v>
      </c>
      <c r="AF264" s="349">
        <f t="shared" si="243"/>
        <v>0.5</v>
      </c>
      <c r="AG264" s="154">
        <v>219</v>
      </c>
      <c r="AH264" s="154">
        <v>214893</v>
      </c>
      <c r="AI264" s="409">
        <f t="shared" si="251"/>
        <v>981.2465753424658</v>
      </c>
      <c r="AJ264" s="409">
        <f t="shared" si="252"/>
        <v>100</v>
      </c>
      <c r="AK264" s="408">
        <f t="shared" si="244"/>
        <v>1</v>
      </c>
      <c r="AL264" s="45">
        <v>167751</v>
      </c>
      <c r="AM264" s="361">
        <f t="shared" si="253"/>
        <v>28.102366006760022</v>
      </c>
      <c r="AN264" s="365">
        <f t="shared" si="268"/>
        <v>30.269193626267505</v>
      </c>
      <c r="AO264" s="320">
        <f t="shared" si="245"/>
        <v>0.30269193626267504</v>
      </c>
      <c r="AP264" s="277">
        <f>_xlfn.XLOOKUP(C264, '1.건전성'!C:C, '1.건전성'!BE:BE)</f>
        <v>8233382.79</v>
      </c>
      <c r="AQ264" s="277">
        <f>_xlfn.XLOOKUP(C264, '1.건전성'!C:C, '1.건전성'!BF:BF)</f>
        <v>645393.45600000001</v>
      </c>
      <c r="AR264" s="410">
        <f t="shared" si="254"/>
        <v>8878776.2459999993</v>
      </c>
      <c r="AS264" s="366">
        <f t="shared" si="249"/>
        <v>2.3786628214247463</v>
      </c>
      <c r="AT264" s="366">
        <f t="shared" si="255"/>
        <v>26.416077503586493</v>
      </c>
      <c r="AU264" s="321">
        <f t="shared" si="256"/>
        <v>0.26416077503586494</v>
      </c>
      <c r="AV264" s="15">
        <v>1747229</v>
      </c>
      <c r="AW264" s="361">
        <f t="shared" si="250"/>
        <v>0.46809025789871656</v>
      </c>
      <c r="AX264" s="361">
        <f t="shared" si="257"/>
        <v>27.788562559838763</v>
      </c>
      <c r="AY264" s="321">
        <f t="shared" si="246"/>
        <v>0.13894281279919382</v>
      </c>
      <c r="AZ264" s="411">
        <v>8.77</v>
      </c>
      <c r="BA264" s="412">
        <f t="shared" si="258"/>
        <v>80</v>
      </c>
      <c r="BB264" s="408">
        <f t="shared" si="247"/>
        <v>0.4</v>
      </c>
      <c r="BC264" s="204">
        <v>1</v>
      </c>
      <c r="BD264" s="407">
        <f t="shared" si="269"/>
        <v>100</v>
      </c>
      <c r="BE264" s="408">
        <f t="shared" si="248"/>
        <v>0.5</v>
      </c>
      <c r="BF264" s="204">
        <v>0</v>
      </c>
      <c r="BG264" s="204">
        <v>0</v>
      </c>
      <c r="BH264" s="204">
        <v>0</v>
      </c>
      <c r="BI264" s="272" t="str">
        <f t="shared" si="259"/>
        <v>A</v>
      </c>
      <c r="BJ264" s="247">
        <f t="shared" si="260"/>
        <v>100</v>
      </c>
      <c r="BK264" s="90">
        <f t="shared" si="261"/>
        <v>3</v>
      </c>
      <c r="BL264" s="406">
        <v>3</v>
      </c>
      <c r="BM264" s="413">
        <f t="shared" si="262"/>
        <v>1.3698630136986301</v>
      </c>
      <c r="BN264" s="414">
        <f t="shared" si="263"/>
        <v>60</v>
      </c>
      <c r="BO264" s="415">
        <f t="shared" si="264"/>
        <v>1.7999999999999998</v>
      </c>
      <c r="BP264" s="416">
        <v>0</v>
      </c>
      <c r="BQ264" s="417">
        <f t="shared" si="265"/>
        <v>33.333333333333336</v>
      </c>
      <c r="BR264" s="415">
        <f t="shared" si="266"/>
        <v>0.33333333333333337</v>
      </c>
      <c r="BS264" s="350">
        <f t="shared" si="267"/>
        <v>11.239128857431067</v>
      </c>
    </row>
    <row r="265" spans="1:71" x14ac:dyDescent="0.6">
      <c r="A265" s="214" t="s">
        <v>16</v>
      </c>
      <c r="B265" s="13" t="s">
        <v>2245</v>
      </c>
      <c r="C265" s="219" t="s">
        <v>334</v>
      </c>
      <c r="D265" s="216" t="s">
        <v>203</v>
      </c>
      <c r="E265" s="217" t="s">
        <v>195</v>
      </c>
      <c r="F265" s="217" t="s">
        <v>562</v>
      </c>
      <c r="G265" s="218">
        <v>37484</v>
      </c>
      <c r="H265" s="217" t="s">
        <v>830</v>
      </c>
      <c r="I265" s="217" t="s">
        <v>827</v>
      </c>
      <c r="J265" s="217" t="s">
        <v>1102</v>
      </c>
      <c r="K265" s="217" t="s">
        <v>31</v>
      </c>
      <c r="L265" s="220">
        <v>531890343</v>
      </c>
      <c r="M265" s="206">
        <v>201052570</v>
      </c>
      <c r="N265" s="206">
        <v>330837773</v>
      </c>
      <c r="O265" s="206">
        <v>1181624867</v>
      </c>
      <c r="P265" s="206">
        <v>33106219</v>
      </c>
      <c r="Q265" s="206">
        <v>25624309</v>
      </c>
      <c r="R265" s="206">
        <v>17479918</v>
      </c>
      <c r="S265" s="405">
        <v>0</v>
      </c>
      <c r="T265" s="405">
        <v>0</v>
      </c>
      <c r="U265" s="406">
        <v>0</v>
      </c>
      <c r="V265" s="406">
        <v>0</v>
      </c>
      <c r="W265" s="407">
        <f t="shared" si="238"/>
        <v>0</v>
      </c>
      <c r="X265" s="407">
        <f t="shared" si="239"/>
        <v>100</v>
      </c>
      <c r="Y265" s="408">
        <f t="shared" si="240"/>
        <v>3</v>
      </c>
      <c r="Z265" s="444" t="s">
        <v>3486</v>
      </c>
      <c r="AA265" s="442">
        <v>1</v>
      </c>
      <c r="AB265" s="406">
        <v>0</v>
      </c>
      <c r="AC265" s="406">
        <v>0</v>
      </c>
      <c r="AD265" s="407">
        <f t="shared" si="241"/>
        <v>1</v>
      </c>
      <c r="AE265" s="364" t="str">
        <f t="shared" si="242"/>
        <v>100</v>
      </c>
      <c r="AF265" s="349">
        <f t="shared" si="243"/>
        <v>0.5</v>
      </c>
      <c r="AG265" s="154">
        <v>434</v>
      </c>
      <c r="AH265" s="154">
        <v>171340</v>
      </c>
      <c r="AI265" s="409">
        <f t="shared" si="251"/>
        <v>394.79262672811058</v>
      </c>
      <c r="AJ265" s="409">
        <f t="shared" si="252"/>
        <v>100</v>
      </c>
      <c r="AK265" s="408">
        <f t="shared" si="244"/>
        <v>1</v>
      </c>
      <c r="AL265" s="45">
        <v>199452</v>
      </c>
      <c r="AM265" s="361">
        <f t="shared" si="253"/>
        <v>-14.094619256763533</v>
      </c>
      <c r="AN265" s="365">
        <f t="shared" si="268"/>
        <v>25</v>
      </c>
      <c r="AO265" s="320">
        <f t="shared" si="245"/>
        <v>0.25</v>
      </c>
      <c r="AP265" s="277">
        <f>_xlfn.XLOOKUP(C265, '1.건전성'!C:C, '1.건전성'!BE:BE)</f>
        <v>15409374</v>
      </c>
      <c r="AQ265" s="277">
        <f>_xlfn.XLOOKUP(C265, '1.건전성'!C:C, '1.건전성'!BF:BF)</f>
        <v>1296182</v>
      </c>
      <c r="AR265" s="410">
        <f t="shared" si="254"/>
        <v>16705556</v>
      </c>
      <c r="AS265" s="366">
        <f t="shared" si="249"/>
        <v>1.4137783036348373</v>
      </c>
      <c r="AT265" s="366">
        <f t="shared" si="255"/>
        <v>25.688777615805154</v>
      </c>
      <c r="AU265" s="321">
        <f t="shared" si="256"/>
        <v>0.25688777615805153</v>
      </c>
      <c r="AV265" s="15">
        <v>3698364</v>
      </c>
      <c r="AW265" s="361">
        <f t="shared" si="250"/>
        <v>0.31298968930720716</v>
      </c>
      <c r="AX265" s="361">
        <f t="shared" si="257"/>
        <v>26.613558252327326</v>
      </c>
      <c r="AY265" s="321">
        <f t="shared" si="246"/>
        <v>0.13306779126163665</v>
      </c>
      <c r="AZ265" s="411">
        <v>15.7</v>
      </c>
      <c r="BA265" s="412">
        <f t="shared" si="258"/>
        <v>100</v>
      </c>
      <c r="BB265" s="408">
        <f t="shared" si="247"/>
        <v>0.5</v>
      </c>
      <c r="BC265" s="204">
        <v>1</v>
      </c>
      <c r="BD265" s="407">
        <f t="shared" si="269"/>
        <v>100</v>
      </c>
      <c r="BE265" s="408">
        <f t="shared" si="248"/>
        <v>0.5</v>
      </c>
      <c r="BF265" s="204">
        <v>0</v>
      </c>
      <c r="BG265" s="204">
        <v>0</v>
      </c>
      <c r="BH265" s="204">
        <v>0</v>
      </c>
      <c r="BI265" s="272" t="str">
        <f t="shared" si="259"/>
        <v>A</v>
      </c>
      <c r="BJ265" s="247">
        <f t="shared" si="260"/>
        <v>100</v>
      </c>
      <c r="BK265" s="90">
        <f t="shared" si="261"/>
        <v>3</v>
      </c>
      <c r="BL265" s="406">
        <v>12</v>
      </c>
      <c r="BM265" s="413">
        <f t="shared" si="262"/>
        <v>2.7649769585253456</v>
      </c>
      <c r="BN265" s="414">
        <f t="shared" si="263"/>
        <v>60</v>
      </c>
      <c r="BO265" s="415">
        <f t="shared" si="264"/>
        <v>1.7999999999999998</v>
      </c>
      <c r="BP265" s="416">
        <v>0</v>
      </c>
      <c r="BQ265" s="417">
        <f t="shared" si="265"/>
        <v>33.333333333333336</v>
      </c>
      <c r="BR265" s="415">
        <f t="shared" si="266"/>
        <v>0.33333333333333337</v>
      </c>
      <c r="BS265" s="350">
        <f t="shared" si="267"/>
        <v>11.273288900753021</v>
      </c>
    </row>
    <row r="266" spans="1:71" x14ac:dyDescent="0.6">
      <c r="A266" s="214" t="s">
        <v>1894</v>
      </c>
      <c r="B266" s="13" t="s">
        <v>2246</v>
      </c>
      <c r="C266" s="219" t="s">
        <v>63</v>
      </c>
      <c r="D266" s="216" t="s">
        <v>203</v>
      </c>
      <c r="E266" s="217" t="s">
        <v>617</v>
      </c>
      <c r="F266" s="217" t="s">
        <v>983</v>
      </c>
      <c r="G266" s="218">
        <v>43614</v>
      </c>
      <c r="H266" s="217" t="s">
        <v>830</v>
      </c>
      <c r="I266" s="217" t="s">
        <v>1895</v>
      </c>
      <c r="J266" s="217" t="s">
        <v>1896</v>
      </c>
      <c r="K266" s="217" t="s">
        <v>31</v>
      </c>
      <c r="L266" s="220">
        <v>4276625735</v>
      </c>
      <c r="M266" s="206">
        <v>1849501419</v>
      </c>
      <c r="N266" s="206">
        <v>2427124316</v>
      </c>
      <c r="O266" s="206">
        <v>3041287029</v>
      </c>
      <c r="P266" s="206">
        <v>153190221</v>
      </c>
      <c r="Q266" s="206">
        <v>125561645</v>
      </c>
      <c r="R266" s="206">
        <v>114853461</v>
      </c>
      <c r="S266" s="405">
        <v>0</v>
      </c>
      <c r="T266" s="405">
        <v>0</v>
      </c>
      <c r="U266" s="406">
        <v>0</v>
      </c>
      <c r="V266" s="406">
        <v>0</v>
      </c>
      <c r="W266" s="407">
        <f t="shared" si="238"/>
        <v>0</v>
      </c>
      <c r="X266" s="407">
        <f t="shared" si="239"/>
        <v>100</v>
      </c>
      <c r="Y266" s="408">
        <f t="shared" si="240"/>
        <v>3</v>
      </c>
      <c r="Z266" s="444" t="s">
        <v>3487</v>
      </c>
      <c r="AA266" s="442">
        <v>0</v>
      </c>
      <c r="AB266" s="406">
        <v>0</v>
      </c>
      <c r="AC266" s="406">
        <v>0</v>
      </c>
      <c r="AD266" s="407">
        <f t="shared" si="241"/>
        <v>0</v>
      </c>
      <c r="AE266" s="364" t="str">
        <f t="shared" si="242"/>
        <v>50</v>
      </c>
      <c r="AF266" s="349">
        <f t="shared" si="243"/>
        <v>0.25</v>
      </c>
      <c r="AG266" s="154">
        <v>2335</v>
      </c>
      <c r="AH266" s="154">
        <v>1277088</v>
      </c>
      <c r="AI266" s="409">
        <f t="shared" si="251"/>
        <v>546.93276231263383</v>
      </c>
      <c r="AJ266" s="409">
        <f t="shared" si="252"/>
        <v>100</v>
      </c>
      <c r="AK266" s="408">
        <f t="shared" si="244"/>
        <v>1</v>
      </c>
      <c r="AL266" s="45">
        <v>749585</v>
      </c>
      <c r="AM266" s="361">
        <f t="shared" si="253"/>
        <v>70.372672878993043</v>
      </c>
      <c r="AN266" s="365">
        <f t="shared" si="268"/>
        <v>38.194876164811198</v>
      </c>
      <c r="AO266" s="320">
        <f t="shared" si="245"/>
        <v>0.38194876164811198</v>
      </c>
      <c r="AP266" s="277">
        <f>_xlfn.XLOOKUP(C266, '1.건전성'!C:C, '1.건전성'!BE:BE)</f>
        <v>41939722</v>
      </c>
      <c r="AQ266" s="277">
        <f>_xlfn.XLOOKUP(C266, '1.건전성'!C:C, '1.건전성'!BF:BF)</f>
        <v>2865170</v>
      </c>
      <c r="AR266" s="410">
        <f t="shared" si="254"/>
        <v>44804892</v>
      </c>
      <c r="AS266" s="366">
        <f t="shared" si="249"/>
        <v>1.4732214214826087</v>
      </c>
      <c r="AT266" s="366">
        <f t="shared" si="255"/>
        <v>25.733583986042166</v>
      </c>
      <c r="AU266" s="321">
        <f t="shared" si="256"/>
        <v>0.25733583986042169</v>
      </c>
      <c r="AV266" s="15">
        <v>13536563</v>
      </c>
      <c r="AW266" s="361">
        <f t="shared" si="250"/>
        <v>0.44509324081952673</v>
      </c>
      <c r="AX266" s="361">
        <f t="shared" si="257"/>
        <v>27.614342733481262</v>
      </c>
      <c r="AY266" s="321">
        <f t="shared" si="246"/>
        <v>0.13807171366740631</v>
      </c>
      <c r="AZ266" s="411">
        <v>9.6999999999999993</v>
      </c>
      <c r="BA266" s="412">
        <f t="shared" si="258"/>
        <v>80</v>
      </c>
      <c r="BB266" s="408">
        <f t="shared" si="247"/>
        <v>0.4</v>
      </c>
      <c r="BC266" s="204">
        <v>1</v>
      </c>
      <c r="BD266" s="407">
        <f t="shared" si="269"/>
        <v>100</v>
      </c>
      <c r="BE266" s="408">
        <f t="shared" si="248"/>
        <v>0.5</v>
      </c>
      <c r="BF266" s="204">
        <v>1</v>
      </c>
      <c r="BG266" s="204">
        <v>1</v>
      </c>
      <c r="BH266" s="204">
        <v>1</v>
      </c>
      <c r="BI266" s="272" t="str">
        <f t="shared" si="259"/>
        <v>D</v>
      </c>
      <c r="BJ266" s="247">
        <f t="shared" si="260"/>
        <v>25</v>
      </c>
      <c r="BK266" s="90">
        <f t="shared" si="261"/>
        <v>0.75</v>
      </c>
      <c r="BL266" s="406">
        <v>384</v>
      </c>
      <c r="BM266" s="413">
        <f t="shared" si="262"/>
        <v>16.445396145610278</v>
      </c>
      <c r="BN266" s="414">
        <f t="shared" si="263"/>
        <v>20</v>
      </c>
      <c r="BO266" s="415">
        <f t="shared" si="264"/>
        <v>0.6</v>
      </c>
      <c r="BP266" s="416">
        <v>1.1499999999999999</v>
      </c>
      <c r="BQ266" s="417">
        <f t="shared" si="265"/>
        <v>66.666666666666671</v>
      </c>
      <c r="BR266" s="415">
        <f t="shared" si="266"/>
        <v>0.66666666666666674</v>
      </c>
      <c r="BS266" s="350">
        <f t="shared" si="267"/>
        <v>7.9440229818426067</v>
      </c>
    </row>
    <row r="267" spans="1:71" x14ac:dyDescent="0.6">
      <c r="A267" s="214" t="s">
        <v>770</v>
      </c>
      <c r="B267" s="13" t="s">
        <v>2247</v>
      </c>
      <c r="C267" s="219" t="s">
        <v>54</v>
      </c>
      <c r="D267" s="216" t="s">
        <v>191</v>
      </c>
      <c r="E267" s="217" t="s">
        <v>178</v>
      </c>
      <c r="F267" s="217" t="s">
        <v>138</v>
      </c>
      <c r="G267" s="218">
        <v>34977</v>
      </c>
      <c r="H267" s="217" t="s">
        <v>830</v>
      </c>
      <c r="I267" s="217" t="s">
        <v>823</v>
      </c>
      <c r="J267" s="217" t="s">
        <v>1204</v>
      </c>
      <c r="K267" s="217" t="s">
        <v>317</v>
      </c>
      <c r="L267" s="220">
        <v>661278860</v>
      </c>
      <c r="M267" s="206">
        <v>160390048</v>
      </c>
      <c r="N267" s="206">
        <v>500888812</v>
      </c>
      <c r="O267" s="206">
        <v>123375352</v>
      </c>
      <c r="P267" s="206">
        <v>27450398</v>
      </c>
      <c r="Q267" s="206">
        <v>12038623</v>
      </c>
      <c r="R267" s="206">
        <v>8192124</v>
      </c>
      <c r="S267" s="405">
        <v>0</v>
      </c>
      <c r="T267" s="405">
        <v>0</v>
      </c>
      <c r="U267" s="406">
        <v>0</v>
      </c>
      <c r="V267" s="406">
        <v>0</v>
      </c>
      <c r="W267" s="407">
        <f t="shared" si="238"/>
        <v>0</v>
      </c>
      <c r="X267" s="407">
        <f t="shared" si="239"/>
        <v>100</v>
      </c>
      <c r="Y267" s="408">
        <f t="shared" si="240"/>
        <v>3</v>
      </c>
      <c r="Z267" s="444" t="s">
        <v>3488</v>
      </c>
      <c r="AA267" s="442">
        <v>0</v>
      </c>
      <c r="AB267" s="406">
        <v>0</v>
      </c>
      <c r="AC267" s="406">
        <v>0</v>
      </c>
      <c r="AD267" s="407">
        <f t="shared" si="241"/>
        <v>0</v>
      </c>
      <c r="AE267" s="364" t="str">
        <f t="shared" si="242"/>
        <v>50</v>
      </c>
      <c r="AF267" s="349">
        <f t="shared" si="243"/>
        <v>0.25</v>
      </c>
      <c r="AG267" s="154">
        <v>507</v>
      </c>
      <c r="AH267" s="154">
        <v>2560118</v>
      </c>
      <c r="AI267" s="409">
        <f t="shared" si="251"/>
        <v>5049.542406311637</v>
      </c>
      <c r="AJ267" s="409">
        <f t="shared" si="252"/>
        <v>100</v>
      </c>
      <c r="AK267" s="408">
        <f t="shared" si="244"/>
        <v>1</v>
      </c>
      <c r="AL267" s="45">
        <v>2242882</v>
      </c>
      <c r="AM267" s="361">
        <f t="shared" si="253"/>
        <v>14.144123498249128</v>
      </c>
      <c r="AN267" s="365">
        <f t="shared" si="268"/>
        <v>27.652023155921711</v>
      </c>
      <c r="AO267" s="320">
        <f t="shared" si="245"/>
        <v>0.27652023155921712</v>
      </c>
      <c r="AP267" s="277">
        <f>_xlfn.XLOOKUP(C267, '1.건전성'!C:C, '1.건전성'!BE:BE)</f>
        <v>22468662</v>
      </c>
      <c r="AQ267" s="277">
        <f>_xlfn.XLOOKUP(C267, '1.건전성'!C:C, '1.건전성'!BF:BF)</f>
        <v>2687960</v>
      </c>
      <c r="AR267" s="410">
        <f t="shared" si="254"/>
        <v>25156622</v>
      </c>
      <c r="AS267" s="366">
        <f t="shared" si="249"/>
        <v>20.390314266337413</v>
      </c>
      <c r="AT267" s="366">
        <f t="shared" si="255"/>
        <v>39.992699195731717</v>
      </c>
      <c r="AU267" s="321">
        <f t="shared" si="256"/>
        <v>0.39992699195731718</v>
      </c>
      <c r="AV267" s="15">
        <v>4406413</v>
      </c>
      <c r="AW267" s="361">
        <f t="shared" si="250"/>
        <v>3.5715504990008049</v>
      </c>
      <c r="AX267" s="361">
        <f t="shared" si="257"/>
        <v>51.299624992430338</v>
      </c>
      <c r="AY267" s="321">
        <f t="shared" si="246"/>
        <v>0.25649812496215169</v>
      </c>
      <c r="AZ267" s="411">
        <v>6.2</v>
      </c>
      <c r="BA267" s="412">
        <f t="shared" si="258"/>
        <v>60</v>
      </c>
      <c r="BB267" s="408">
        <f t="shared" si="247"/>
        <v>0.3</v>
      </c>
      <c r="BC267" s="204">
        <v>1</v>
      </c>
      <c r="BD267" s="407">
        <f t="shared" si="269"/>
        <v>100</v>
      </c>
      <c r="BE267" s="408">
        <f t="shared" si="248"/>
        <v>0.5</v>
      </c>
      <c r="BF267" s="204">
        <v>1</v>
      </c>
      <c r="BG267" s="204">
        <v>1</v>
      </c>
      <c r="BH267" s="204">
        <v>0</v>
      </c>
      <c r="BI267" s="272" t="str">
        <f t="shared" si="259"/>
        <v>C</v>
      </c>
      <c r="BJ267" s="247">
        <f t="shared" si="260"/>
        <v>50</v>
      </c>
      <c r="BK267" s="90">
        <f t="shared" si="261"/>
        <v>1.5</v>
      </c>
      <c r="BL267" s="406">
        <v>37</v>
      </c>
      <c r="BM267" s="413">
        <f t="shared" si="262"/>
        <v>7.2978303747534516</v>
      </c>
      <c r="BN267" s="414">
        <f t="shared" si="263"/>
        <v>20</v>
      </c>
      <c r="BO267" s="415">
        <f t="shared" si="264"/>
        <v>0.6</v>
      </c>
      <c r="BP267" s="416">
        <v>0</v>
      </c>
      <c r="BQ267" s="417">
        <f t="shared" si="265"/>
        <v>33.333333333333336</v>
      </c>
      <c r="BR267" s="415">
        <f t="shared" si="266"/>
        <v>0.33333333333333337</v>
      </c>
      <c r="BS267" s="350">
        <f t="shared" si="267"/>
        <v>8.4162786818120185</v>
      </c>
    </row>
    <row r="268" spans="1:71" x14ac:dyDescent="0.6">
      <c r="A268" s="214" t="s">
        <v>805</v>
      </c>
      <c r="B268" s="13" t="s">
        <v>2248</v>
      </c>
      <c r="C268" s="219" t="s">
        <v>315</v>
      </c>
      <c r="D268" s="216" t="s">
        <v>203</v>
      </c>
      <c r="E268" s="217" t="s">
        <v>200</v>
      </c>
      <c r="F268" s="217">
        <v>0</v>
      </c>
      <c r="G268" s="218">
        <v>39659</v>
      </c>
      <c r="H268" s="217" t="s">
        <v>830</v>
      </c>
      <c r="I268" s="217" t="s">
        <v>337</v>
      </c>
      <c r="J268" s="217" t="s">
        <v>1217</v>
      </c>
      <c r="K268" s="217" t="s">
        <v>690</v>
      </c>
      <c r="L268" s="220">
        <v>3060678472</v>
      </c>
      <c r="M268" s="206">
        <v>1220679297</v>
      </c>
      <c r="N268" s="206">
        <v>1839999175</v>
      </c>
      <c r="O268" s="206">
        <v>3257164379</v>
      </c>
      <c r="P268" s="206">
        <v>203168169</v>
      </c>
      <c r="Q268" s="206">
        <v>220419231</v>
      </c>
      <c r="R268" s="206">
        <v>175385732</v>
      </c>
      <c r="S268" s="405">
        <v>0</v>
      </c>
      <c r="T268" s="405">
        <v>0</v>
      </c>
      <c r="U268" s="406">
        <v>0</v>
      </c>
      <c r="V268" s="406">
        <v>0</v>
      </c>
      <c r="W268" s="407">
        <f t="shared" si="238"/>
        <v>0</v>
      </c>
      <c r="X268" s="407">
        <f t="shared" si="239"/>
        <v>100</v>
      </c>
      <c r="Y268" s="408">
        <f t="shared" si="240"/>
        <v>3</v>
      </c>
      <c r="Z268" s="444" t="s">
        <v>3489</v>
      </c>
      <c r="AA268" s="442">
        <v>0</v>
      </c>
      <c r="AB268" s="406">
        <v>0</v>
      </c>
      <c r="AC268" s="406">
        <v>1</v>
      </c>
      <c r="AD268" s="407">
        <f t="shared" si="241"/>
        <v>1</v>
      </c>
      <c r="AE268" s="364" t="str">
        <f t="shared" si="242"/>
        <v>100</v>
      </c>
      <c r="AF268" s="349">
        <f t="shared" si="243"/>
        <v>0.5</v>
      </c>
      <c r="AG268" s="154">
        <v>3412</v>
      </c>
      <c r="AH268" s="154">
        <v>429000</v>
      </c>
      <c r="AI268" s="409">
        <f t="shared" si="251"/>
        <v>125.7327080890973</v>
      </c>
      <c r="AJ268" s="409">
        <f t="shared" si="252"/>
        <v>100</v>
      </c>
      <c r="AK268" s="408">
        <f t="shared" si="244"/>
        <v>1</v>
      </c>
      <c r="AL268" s="45">
        <v>262000</v>
      </c>
      <c r="AM268" s="361">
        <f t="shared" si="253"/>
        <v>63.74045801526718</v>
      </c>
      <c r="AN268" s="365">
        <f t="shared" si="268"/>
        <v>36.951335877862597</v>
      </c>
      <c r="AO268" s="320">
        <f t="shared" si="245"/>
        <v>0.36951335877862596</v>
      </c>
      <c r="AP268" s="277">
        <f>_xlfn.XLOOKUP(C268, '1.건전성'!C:C, '1.건전성'!BE:BE)</f>
        <v>27571000</v>
      </c>
      <c r="AQ268" s="277">
        <f>_xlfn.XLOOKUP(C268, '1.건전성'!C:C, '1.건전성'!BF:BF)</f>
        <v>3098000</v>
      </c>
      <c r="AR268" s="410">
        <f t="shared" si="254"/>
        <v>30669000</v>
      </c>
      <c r="AS268" s="366">
        <f t="shared" si="249"/>
        <v>0.94158588365183638</v>
      </c>
      <c r="AT268" s="366">
        <f t="shared" si="255"/>
        <v>25.332853681144599</v>
      </c>
      <c r="AU268" s="321">
        <f t="shared" si="256"/>
        <v>0.25332853681144601</v>
      </c>
      <c r="AV268" s="15">
        <v>9828000</v>
      </c>
      <c r="AW268" s="361">
        <f t="shared" si="250"/>
        <v>0.30173484836578457</v>
      </c>
      <c r="AX268" s="361">
        <f t="shared" si="257"/>
        <v>26.528294305801399</v>
      </c>
      <c r="AY268" s="321">
        <f t="shared" si="246"/>
        <v>0.13264147152900699</v>
      </c>
      <c r="AZ268" s="411">
        <v>17.5</v>
      </c>
      <c r="BA268" s="412">
        <f t="shared" si="258"/>
        <v>100</v>
      </c>
      <c r="BB268" s="408">
        <f t="shared" si="247"/>
        <v>0.5</v>
      </c>
      <c r="BC268" s="204">
        <v>1</v>
      </c>
      <c r="BD268" s="407">
        <f t="shared" si="269"/>
        <v>100</v>
      </c>
      <c r="BE268" s="408">
        <f t="shared" si="248"/>
        <v>0.5</v>
      </c>
      <c r="BF268" s="204">
        <v>0</v>
      </c>
      <c r="BG268" s="204">
        <v>0</v>
      </c>
      <c r="BH268" s="204">
        <v>0</v>
      </c>
      <c r="BI268" s="272" t="str">
        <f t="shared" si="259"/>
        <v>A</v>
      </c>
      <c r="BJ268" s="247">
        <f t="shared" si="260"/>
        <v>100</v>
      </c>
      <c r="BK268" s="90">
        <f t="shared" si="261"/>
        <v>3</v>
      </c>
      <c r="BL268" s="406">
        <v>638</v>
      </c>
      <c r="BM268" s="413">
        <f t="shared" si="262"/>
        <v>18.698710433763189</v>
      </c>
      <c r="BN268" s="414">
        <f t="shared" si="263"/>
        <v>20</v>
      </c>
      <c r="BO268" s="415">
        <f t="shared" si="264"/>
        <v>0.6</v>
      </c>
      <c r="BP268" s="416">
        <v>0.08</v>
      </c>
      <c r="BQ268" s="417">
        <f t="shared" si="265"/>
        <v>66.666666666666671</v>
      </c>
      <c r="BR268" s="415">
        <f t="shared" si="266"/>
        <v>0.66666666666666674</v>
      </c>
      <c r="BS268" s="350">
        <f t="shared" si="267"/>
        <v>10.522150033785746</v>
      </c>
    </row>
    <row r="269" spans="1:71" x14ac:dyDescent="0.6">
      <c r="A269" s="214" t="s">
        <v>30</v>
      </c>
      <c r="B269" s="13" t="s">
        <v>2249</v>
      </c>
      <c r="C269" s="219" t="s">
        <v>861</v>
      </c>
      <c r="D269" s="216" t="s">
        <v>191</v>
      </c>
      <c r="E269" s="217" t="s">
        <v>34</v>
      </c>
      <c r="F269" s="217" t="s">
        <v>433</v>
      </c>
      <c r="G269" s="218">
        <v>43375</v>
      </c>
      <c r="H269" s="217" t="s">
        <v>830</v>
      </c>
      <c r="I269" s="217" t="s">
        <v>1897</v>
      </c>
      <c r="J269" s="217" t="s">
        <v>1142</v>
      </c>
      <c r="K269" s="217" t="s">
        <v>690</v>
      </c>
      <c r="L269" s="220">
        <v>345964556</v>
      </c>
      <c r="M269" s="206">
        <v>77567636</v>
      </c>
      <c r="N269" s="206">
        <v>268396921</v>
      </c>
      <c r="O269" s="206">
        <v>210844992</v>
      </c>
      <c r="P269" s="206">
        <v>31170755</v>
      </c>
      <c r="Q269" s="206">
        <v>30718351</v>
      </c>
      <c r="R269" s="206">
        <v>24307179</v>
      </c>
      <c r="S269" s="405">
        <v>0</v>
      </c>
      <c r="T269" s="405">
        <v>0</v>
      </c>
      <c r="U269" s="406">
        <v>0</v>
      </c>
      <c r="V269" s="406">
        <v>0</v>
      </c>
      <c r="W269" s="407">
        <f t="shared" si="238"/>
        <v>0</v>
      </c>
      <c r="X269" s="407">
        <f t="shared" si="239"/>
        <v>100</v>
      </c>
      <c r="Y269" s="408">
        <f t="shared" si="240"/>
        <v>3</v>
      </c>
      <c r="Z269" s="444" t="s">
        <v>3490</v>
      </c>
      <c r="AA269" s="442">
        <v>0</v>
      </c>
      <c r="AB269" s="406">
        <v>0</v>
      </c>
      <c r="AC269" s="406">
        <v>0</v>
      </c>
      <c r="AD269" s="407">
        <f t="shared" si="241"/>
        <v>0</v>
      </c>
      <c r="AE269" s="364" t="str">
        <f t="shared" si="242"/>
        <v>50</v>
      </c>
      <c r="AF269" s="349">
        <f t="shared" si="243"/>
        <v>0.25</v>
      </c>
      <c r="AG269" s="154">
        <v>674</v>
      </c>
      <c r="AH269" s="154">
        <v>1884760</v>
      </c>
      <c r="AI269" s="409">
        <f t="shared" si="251"/>
        <v>2796.3798219584569</v>
      </c>
      <c r="AJ269" s="409">
        <f t="shared" si="252"/>
        <v>100</v>
      </c>
      <c r="AK269" s="408">
        <f t="shared" si="244"/>
        <v>1</v>
      </c>
      <c r="AL269" s="45">
        <v>1153693</v>
      </c>
      <c r="AM269" s="361">
        <f t="shared" si="253"/>
        <v>63.367550986267574</v>
      </c>
      <c r="AN269" s="365">
        <f t="shared" si="268"/>
        <v>36.881415809925173</v>
      </c>
      <c r="AO269" s="320">
        <f t="shared" si="245"/>
        <v>0.36881415809925172</v>
      </c>
      <c r="AP269" s="277">
        <f>_xlfn.XLOOKUP(C269, '1.건전성'!C:C, '1.건전성'!BE:BE)</f>
        <v>33156681</v>
      </c>
      <c r="AQ269" s="277">
        <f>_xlfn.XLOOKUP(C269, '1.건전성'!C:C, '1.건전성'!BF:BF)</f>
        <v>714257</v>
      </c>
      <c r="AR269" s="410">
        <f t="shared" si="254"/>
        <v>33870938</v>
      </c>
      <c r="AS269" s="366">
        <f t="shared" si="249"/>
        <v>16.064378707178399</v>
      </c>
      <c r="AT269" s="366">
        <f t="shared" si="255"/>
        <v>36.731943749129449</v>
      </c>
      <c r="AU269" s="321">
        <f t="shared" si="256"/>
        <v>0.36731943749129448</v>
      </c>
      <c r="AV269" s="15">
        <v>8549244</v>
      </c>
      <c r="AW269" s="361">
        <f t="shared" si="250"/>
        <v>4.0547531714673113</v>
      </c>
      <c r="AX269" s="361">
        <f t="shared" si="257"/>
        <v>54.960251298994777</v>
      </c>
      <c r="AY269" s="321">
        <f t="shared" si="246"/>
        <v>0.27480125649497389</v>
      </c>
      <c r="AZ269" s="411">
        <v>6.1</v>
      </c>
      <c r="BA269" s="412">
        <f t="shared" si="258"/>
        <v>60</v>
      </c>
      <c r="BB269" s="408">
        <f t="shared" si="247"/>
        <v>0.3</v>
      </c>
      <c r="BC269" s="204">
        <v>1</v>
      </c>
      <c r="BD269" s="407">
        <f t="shared" si="269"/>
        <v>100</v>
      </c>
      <c r="BE269" s="408">
        <f t="shared" si="248"/>
        <v>0.5</v>
      </c>
      <c r="BF269" s="204">
        <v>0</v>
      </c>
      <c r="BG269" s="204">
        <v>1</v>
      </c>
      <c r="BH269" s="204">
        <v>0</v>
      </c>
      <c r="BI269" s="272" t="str">
        <f t="shared" si="259"/>
        <v>C</v>
      </c>
      <c r="BJ269" s="247">
        <f t="shared" si="260"/>
        <v>50</v>
      </c>
      <c r="BK269" s="90">
        <f t="shared" si="261"/>
        <v>1.5</v>
      </c>
      <c r="BL269" s="406">
        <v>61</v>
      </c>
      <c r="BM269" s="413">
        <f t="shared" si="262"/>
        <v>9.0504451038575677</v>
      </c>
      <c r="BN269" s="414">
        <f t="shared" si="263"/>
        <v>20</v>
      </c>
      <c r="BO269" s="415">
        <f t="shared" si="264"/>
        <v>0.6</v>
      </c>
      <c r="BP269" s="416">
        <v>2.79</v>
      </c>
      <c r="BQ269" s="417">
        <f t="shared" si="265"/>
        <v>66.666666666666671</v>
      </c>
      <c r="BR269" s="415">
        <f t="shared" si="266"/>
        <v>0.66666666666666674</v>
      </c>
      <c r="BS269" s="350">
        <f t="shared" si="267"/>
        <v>8.8276015187521857</v>
      </c>
    </row>
    <row r="270" spans="1:71" x14ac:dyDescent="0.6">
      <c r="A270" s="214" t="s">
        <v>1898</v>
      </c>
      <c r="B270" s="13" t="s">
        <v>2250</v>
      </c>
      <c r="C270" s="219" t="s">
        <v>1899</v>
      </c>
      <c r="D270" s="14" t="s">
        <v>191</v>
      </c>
      <c r="E270" s="217" t="s">
        <v>1900</v>
      </c>
      <c r="F270" s="217" t="s">
        <v>1901</v>
      </c>
      <c r="G270" s="218">
        <v>40105</v>
      </c>
      <c r="H270" s="217" t="s">
        <v>830</v>
      </c>
      <c r="I270" s="217" t="s">
        <v>1902</v>
      </c>
      <c r="J270" s="217" t="s">
        <v>1903</v>
      </c>
      <c r="K270" s="217" t="s">
        <v>91</v>
      </c>
      <c r="L270" s="220">
        <v>3107792300</v>
      </c>
      <c r="M270" s="206">
        <v>1945483554</v>
      </c>
      <c r="N270" s="206">
        <v>1162308746</v>
      </c>
      <c r="O270" s="206">
        <v>2222161984</v>
      </c>
      <c r="P270" s="206">
        <v>165474689</v>
      </c>
      <c r="Q270" s="206">
        <v>92802035</v>
      </c>
      <c r="R270" s="206">
        <v>66847561</v>
      </c>
      <c r="S270" s="405">
        <v>0</v>
      </c>
      <c r="T270" s="405">
        <v>0</v>
      </c>
      <c r="U270" s="406">
        <v>0</v>
      </c>
      <c r="V270" s="406">
        <v>0</v>
      </c>
      <c r="W270" s="407">
        <f t="shared" si="238"/>
        <v>0</v>
      </c>
      <c r="X270" s="407">
        <f t="shared" si="239"/>
        <v>100</v>
      </c>
      <c r="Y270" s="408">
        <f t="shared" si="240"/>
        <v>3</v>
      </c>
      <c r="Z270" s="444" t="s">
        <v>3491</v>
      </c>
      <c r="AA270" s="442">
        <v>0</v>
      </c>
      <c r="AB270" s="406">
        <v>1</v>
      </c>
      <c r="AC270" s="406">
        <v>0</v>
      </c>
      <c r="AD270" s="407">
        <f t="shared" si="241"/>
        <v>1</v>
      </c>
      <c r="AE270" s="364" t="str">
        <f t="shared" si="242"/>
        <v>100</v>
      </c>
      <c r="AF270" s="349">
        <f t="shared" si="243"/>
        <v>0.5</v>
      </c>
      <c r="AG270" s="154">
        <v>3077</v>
      </c>
      <c r="AH270" s="421"/>
      <c r="AI270" s="409">
        <f t="shared" si="251"/>
        <v>0</v>
      </c>
      <c r="AJ270" s="409">
        <f t="shared" si="252"/>
        <v>25</v>
      </c>
      <c r="AK270" s="408">
        <f t="shared" si="244"/>
        <v>0.25</v>
      </c>
      <c r="AL270" s="423"/>
      <c r="AM270" s="424">
        <v>0</v>
      </c>
      <c r="AN270" s="365">
        <f t="shared" si="268"/>
        <v>25</v>
      </c>
      <c r="AO270" s="320">
        <f t="shared" si="245"/>
        <v>0.25</v>
      </c>
      <c r="AP270" s="277">
        <f>_xlfn.XLOOKUP(C270, '1.건전성'!C:C, '1.건전성'!BE:BE)</f>
        <v>152104463.463</v>
      </c>
      <c r="AQ270" s="277">
        <f>_xlfn.XLOOKUP(C270, '1.건전성'!C:C, '1.건전성'!BF:BF)</f>
        <v>55640103.568000004</v>
      </c>
      <c r="AR270" s="410">
        <f t="shared" si="254"/>
        <v>207744567.03100002</v>
      </c>
      <c r="AS270" s="366">
        <f t="shared" si="249"/>
        <v>9.3487589350732048</v>
      </c>
      <c r="AT270" s="366">
        <f t="shared" si="255"/>
        <v>31.669918795281312</v>
      </c>
      <c r="AU270" s="321">
        <f t="shared" si="256"/>
        <v>0.3166991879528131</v>
      </c>
      <c r="AV270" s="15">
        <v>34924238</v>
      </c>
      <c r="AW270" s="361">
        <f t="shared" si="250"/>
        <v>1.5716333125785309</v>
      </c>
      <c r="AX270" s="361">
        <f t="shared" si="257"/>
        <v>36.148737216504017</v>
      </c>
      <c r="AY270" s="321">
        <f t="shared" si="246"/>
        <v>0.18074368608252009</v>
      </c>
      <c r="AZ270" s="411">
        <v>16</v>
      </c>
      <c r="BA270" s="412">
        <f t="shared" si="258"/>
        <v>100</v>
      </c>
      <c r="BB270" s="408">
        <f t="shared" si="247"/>
        <v>0.5</v>
      </c>
      <c r="BC270" s="204">
        <v>1</v>
      </c>
      <c r="BD270" s="407">
        <f t="shared" si="269"/>
        <v>100</v>
      </c>
      <c r="BE270" s="408">
        <f t="shared" si="248"/>
        <v>0.5</v>
      </c>
      <c r="BF270" s="204">
        <v>0</v>
      </c>
      <c r="BG270" s="204">
        <v>1</v>
      </c>
      <c r="BH270" s="204">
        <v>1</v>
      </c>
      <c r="BI270" s="272" t="str">
        <f t="shared" si="259"/>
        <v>D</v>
      </c>
      <c r="BJ270" s="247">
        <f t="shared" si="260"/>
        <v>25</v>
      </c>
      <c r="BK270" s="90">
        <f t="shared" si="261"/>
        <v>0.75</v>
      </c>
      <c r="BL270" s="406">
        <v>137</v>
      </c>
      <c r="BM270" s="413">
        <f t="shared" si="262"/>
        <v>4.452388690282743</v>
      </c>
      <c r="BN270" s="414">
        <f t="shared" si="263"/>
        <v>40</v>
      </c>
      <c r="BO270" s="415">
        <f t="shared" si="264"/>
        <v>1.2</v>
      </c>
      <c r="BP270" s="416">
        <v>0.2</v>
      </c>
      <c r="BQ270" s="417">
        <f t="shared" si="265"/>
        <v>66.666666666666671</v>
      </c>
      <c r="BR270" s="415">
        <f t="shared" si="266"/>
        <v>0.66666666666666674</v>
      </c>
      <c r="BS270" s="350">
        <f t="shared" si="267"/>
        <v>8.1141095407019996</v>
      </c>
    </row>
    <row r="271" spans="1:71" x14ac:dyDescent="0.6">
      <c r="A271" s="214" t="s">
        <v>1904</v>
      </c>
      <c r="B271" s="13" t="s">
        <v>2251</v>
      </c>
      <c r="C271" s="219" t="s">
        <v>1905</v>
      </c>
      <c r="D271" s="14" t="s">
        <v>203</v>
      </c>
      <c r="E271" s="217" t="s">
        <v>998</v>
      </c>
      <c r="F271" s="217" t="s">
        <v>1906</v>
      </c>
      <c r="G271" s="218">
        <v>36815</v>
      </c>
      <c r="H271" s="217" t="s">
        <v>830</v>
      </c>
      <c r="I271" s="217" t="s">
        <v>1907</v>
      </c>
      <c r="J271" s="13" t="s">
        <v>2252</v>
      </c>
      <c r="K271" s="217" t="s">
        <v>425</v>
      </c>
      <c r="L271" s="220">
        <v>291713102</v>
      </c>
      <c r="M271" s="206">
        <v>71415596</v>
      </c>
      <c r="N271" s="206">
        <v>220297507</v>
      </c>
      <c r="O271" s="206">
        <v>256067814</v>
      </c>
      <c r="P271" s="206">
        <v>8760193</v>
      </c>
      <c r="Q271" s="206">
        <v>3858993</v>
      </c>
      <c r="R271" s="206">
        <v>3132350</v>
      </c>
      <c r="S271" s="405">
        <v>0</v>
      </c>
      <c r="T271" s="405">
        <v>0</v>
      </c>
      <c r="U271" s="406">
        <v>0</v>
      </c>
      <c r="V271" s="406">
        <v>0</v>
      </c>
      <c r="W271" s="407">
        <f t="shared" si="238"/>
        <v>0</v>
      </c>
      <c r="X271" s="407">
        <f t="shared" si="239"/>
        <v>100</v>
      </c>
      <c r="Y271" s="408">
        <f t="shared" si="240"/>
        <v>3</v>
      </c>
      <c r="Z271" s="444" t="s">
        <v>3492</v>
      </c>
      <c r="AA271" s="442">
        <v>0</v>
      </c>
      <c r="AB271" s="406">
        <v>1</v>
      </c>
      <c r="AC271" s="406">
        <v>0</v>
      </c>
      <c r="AD271" s="407">
        <f t="shared" si="241"/>
        <v>1</v>
      </c>
      <c r="AE271" s="364" t="str">
        <f t="shared" si="242"/>
        <v>100</v>
      </c>
      <c r="AF271" s="349">
        <f t="shared" si="243"/>
        <v>0.5</v>
      </c>
      <c r="AG271" s="154">
        <v>609</v>
      </c>
      <c r="AH271" s="154">
        <v>42112</v>
      </c>
      <c r="AI271" s="409">
        <f t="shared" si="251"/>
        <v>69.149425287356323</v>
      </c>
      <c r="AJ271" s="409">
        <f t="shared" si="252"/>
        <v>76.862068965517238</v>
      </c>
      <c r="AK271" s="408">
        <f t="shared" si="244"/>
        <v>0.76862068965517238</v>
      </c>
      <c r="AL271" s="45">
        <v>23285</v>
      </c>
      <c r="AM271" s="361">
        <f t="shared" si="253"/>
        <v>80.85462744255959</v>
      </c>
      <c r="AN271" s="365">
        <f t="shared" si="268"/>
        <v>40.160242645479926</v>
      </c>
      <c r="AO271" s="320">
        <f t="shared" si="245"/>
        <v>0.40160242645479927</v>
      </c>
      <c r="AP271" s="277">
        <f>_xlfn.XLOOKUP(C271, '1.건전성'!C:C, '1.건전성'!BE:BE)</f>
        <v>6942653</v>
      </c>
      <c r="AQ271" s="277">
        <f>_xlfn.XLOOKUP(C271, '1.건전성'!C:C, '1.건전성'!BF:BF)</f>
        <v>126382</v>
      </c>
      <c r="AR271" s="410">
        <f t="shared" si="254"/>
        <v>7069035</v>
      </c>
      <c r="AS271" s="366">
        <f t="shared" si="249"/>
        <v>2.7606105154629077</v>
      </c>
      <c r="AT271" s="366">
        <f t="shared" si="255"/>
        <v>26.703977775474552</v>
      </c>
      <c r="AU271" s="321">
        <f t="shared" si="256"/>
        <v>0.26703977775474552</v>
      </c>
      <c r="AV271" s="15">
        <v>1471090</v>
      </c>
      <c r="AW271" s="361">
        <f t="shared" si="250"/>
        <v>0.5744923491243612</v>
      </c>
      <c r="AX271" s="361">
        <f t="shared" si="257"/>
        <v>28.594639008517888</v>
      </c>
      <c r="AY271" s="321">
        <f t="shared" si="246"/>
        <v>0.14297319504258943</v>
      </c>
      <c r="AZ271" s="411">
        <v>10.6</v>
      </c>
      <c r="BA271" s="412">
        <f t="shared" si="258"/>
        <v>100</v>
      </c>
      <c r="BB271" s="408">
        <f t="shared" si="247"/>
        <v>0.5</v>
      </c>
      <c r="BC271" s="204">
        <v>1</v>
      </c>
      <c r="BD271" s="407">
        <f t="shared" si="269"/>
        <v>100</v>
      </c>
      <c r="BE271" s="408">
        <f t="shared" si="248"/>
        <v>0.5</v>
      </c>
      <c r="BF271" s="204">
        <v>0</v>
      </c>
      <c r="BG271" s="204">
        <v>1</v>
      </c>
      <c r="BH271" s="204">
        <v>0</v>
      </c>
      <c r="BI271" s="272" t="str">
        <f t="shared" si="259"/>
        <v>C</v>
      </c>
      <c r="BJ271" s="247">
        <f t="shared" si="260"/>
        <v>50</v>
      </c>
      <c r="BK271" s="90">
        <f t="shared" si="261"/>
        <v>1.5</v>
      </c>
      <c r="BL271" s="406">
        <v>0</v>
      </c>
      <c r="BM271" s="413">
        <f t="shared" si="262"/>
        <v>0</v>
      </c>
      <c r="BN271" s="414">
        <f t="shared" si="263"/>
        <v>100</v>
      </c>
      <c r="BO271" s="415">
        <f t="shared" si="264"/>
        <v>3</v>
      </c>
      <c r="BP271" s="416">
        <v>0</v>
      </c>
      <c r="BQ271" s="417">
        <f t="shared" si="265"/>
        <v>33.333333333333336</v>
      </c>
      <c r="BR271" s="415">
        <f t="shared" si="266"/>
        <v>0.33333333333333337</v>
      </c>
      <c r="BS271" s="350">
        <f t="shared" si="267"/>
        <v>10.91356942224064</v>
      </c>
    </row>
    <row r="272" spans="1:71" x14ac:dyDescent="0.6">
      <c r="A272" s="214" t="s">
        <v>483</v>
      </c>
      <c r="B272" s="13" t="s">
        <v>2253</v>
      </c>
      <c r="C272" s="219" t="s">
        <v>897</v>
      </c>
      <c r="D272" s="216" t="s">
        <v>202</v>
      </c>
      <c r="E272" s="217" t="s">
        <v>382</v>
      </c>
      <c r="F272" s="217" t="s">
        <v>163</v>
      </c>
      <c r="G272" s="218">
        <v>35354</v>
      </c>
      <c r="H272" s="217" t="s">
        <v>830</v>
      </c>
      <c r="I272" s="217" t="s">
        <v>528</v>
      </c>
      <c r="J272" s="217" t="s">
        <v>1018</v>
      </c>
      <c r="K272" s="217" t="s">
        <v>346</v>
      </c>
      <c r="L272" s="220">
        <v>1115216321</v>
      </c>
      <c r="M272" s="206">
        <v>343407952</v>
      </c>
      <c r="N272" s="206">
        <v>771808369</v>
      </c>
      <c r="O272" s="206">
        <v>1105239370</v>
      </c>
      <c r="P272" s="206">
        <v>45133384</v>
      </c>
      <c r="Q272" s="206">
        <v>54914570</v>
      </c>
      <c r="R272" s="206">
        <v>41039812</v>
      </c>
      <c r="S272" s="405">
        <v>0</v>
      </c>
      <c r="T272" s="405">
        <v>0</v>
      </c>
      <c r="U272" s="406">
        <v>0</v>
      </c>
      <c r="V272" s="406">
        <v>0</v>
      </c>
      <c r="W272" s="407">
        <f t="shared" si="238"/>
        <v>0</v>
      </c>
      <c r="X272" s="407">
        <f t="shared" si="239"/>
        <v>100</v>
      </c>
      <c r="Y272" s="408">
        <f t="shared" si="240"/>
        <v>3</v>
      </c>
      <c r="Z272" s="444" t="s">
        <v>3493</v>
      </c>
      <c r="AA272" s="442">
        <v>0</v>
      </c>
      <c r="AB272" s="406">
        <v>0</v>
      </c>
      <c r="AC272" s="406">
        <v>0</v>
      </c>
      <c r="AD272" s="407">
        <f t="shared" si="241"/>
        <v>0</v>
      </c>
      <c r="AE272" s="364" t="str">
        <f t="shared" si="242"/>
        <v>50</v>
      </c>
      <c r="AF272" s="349">
        <f t="shared" si="243"/>
        <v>0.25</v>
      </c>
      <c r="AG272" s="154">
        <v>1176</v>
      </c>
      <c r="AH272" s="154">
        <v>80166</v>
      </c>
      <c r="AI272" s="409">
        <f t="shared" si="251"/>
        <v>68.16836734693878</v>
      </c>
      <c r="AJ272" s="409">
        <f t="shared" si="252"/>
        <v>76.126275510204096</v>
      </c>
      <c r="AK272" s="408">
        <f t="shared" si="244"/>
        <v>0.761262755102041</v>
      </c>
      <c r="AL272" s="45">
        <v>63460</v>
      </c>
      <c r="AM272" s="361">
        <f t="shared" si="253"/>
        <v>26.325244248345413</v>
      </c>
      <c r="AN272" s="365">
        <f t="shared" si="268"/>
        <v>29.935983296564764</v>
      </c>
      <c r="AO272" s="320">
        <f t="shared" si="245"/>
        <v>0.29935983296564767</v>
      </c>
      <c r="AP272" s="277">
        <f>_xlfn.XLOOKUP(C272, '1.건전성'!C:C, '1.건전성'!BE:BE)</f>
        <v>19616611</v>
      </c>
      <c r="AQ272" s="277">
        <f>_xlfn.XLOOKUP(C272, '1.건전성'!C:C, '1.건전성'!BF:BF)</f>
        <v>2171428</v>
      </c>
      <c r="AR272" s="410">
        <f t="shared" si="254"/>
        <v>21788039</v>
      </c>
      <c r="AS272" s="366">
        <f t="shared" si="249"/>
        <v>1.9713411946228443</v>
      </c>
      <c r="AT272" s="366">
        <f t="shared" si="255"/>
        <v>26.109051151725762</v>
      </c>
      <c r="AU272" s="321">
        <f t="shared" si="256"/>
        <v>0.2610905115172576</v>
      </c>
      <c r="AV272" s="15">
        <v>3423459</v>
      </c>
      <c r="AW272" s="361">
        <f t="shared" si="250"/>
        <v>0.30974819509008261</v>
      </c>
      <c r="AX272" s="361">
        <f t="shared" si="257"/>
        <v>26.589001477955172</v>
      </c>
      <c r="AY272" s="321">
        <f t="shared" si="246"/>
        <v>0.13294500738977585</v>
      </c>
      <c r="AZ272" s="411">
        <v>9</v>
      </c>
      <c r="BA272" s="412">
        <f t="shared" si="258"/>
        <v>80</v>
      </c>
      <c r="BB272" s="408">
        <f t="shared" si="247"/>
        <v>0.4</v>
      </c>
      <c r="BC272" s="204">
        <v>1</v>
      </c>
      <c r="BD272" s="407">
        <f t="shared" si="269"/>
        <v>100</v>
      </c>
      <c r="BE272" s="408">
        <f t="shared" si="248"/>
        <v>0.5</v>
      </c>
      <c r="BF272" s="204">
        <v>0</v>
      </c>
      <c r="BG272" s="204">
        <v>0</v>
      </c>
      <c r="BH272" s="204">
        <v>0</v>
      </c>
      <c r="BI272" s="272" t="str">
        <f t="shared" si="259"/>
        <v>A</v>
      </c>
      <c r="BJ272" s="247">
        <f t="shared" si="260"/>
        <v>100</v>
      </c>
      <c r="BK272" s="90">
        <f t="shared" si="261"/>
        <v>3</v>
      </c>
      <c r="BL272" s="406">
        <v>84</v>
      </c>
      <c r="BM272" s="413">
        <f t="shared" si="262"/>
        <v>7.1428571428571423</v>
      </c>
      <c r="BN272" s="414">
        <f t="shared" si="263"/>
        <v>20</v>
      </c>
      <c r="BO272" s="415">
        <f t="shared" si="264"/>
        <v>0.6</v>
      </c>
      <c r="BP272" s="416">
        <v>0.01</v>
      </c>
      <c r="BQ272" s="417">
        <f t="shared" si="265"/>
        <v>66.666666666666671</v>
      </c>
      <c r="BR272" s="415">
        <f t="shared" si="266"/>
        <v>0.66666666666666674</v>
      </c>
      <c r="BS272" s="350">
        <f t="shared" si="267"/>
        <v>9.8713247736413869</v>
      </c>
    </row>
    <row r="273" spans="1:71" x14ac:dyDescent="0.6">
      <c r="A273" s="214" t="s">
        <v>1908</v>
      </c>
      <c r="B273" s="13" t="s">
        <v>2254</v>
      </c>
      <c r="C273" s="219" t="s">
        <v>542</v>
      </c>
      <c r="D273" s="216" t="s">
        <v>202</v>
      </c>
      <c r="E273" s="217" t="s">
        <v>954</v>
      </c>
      <c r="F273" s="217" t="s">
        <v>155</v>
      </c>
      <c r="G273" s="218">
        <v>32052</v>
      </c>
      <c r="H273" s="217" t="s">
        <v>830</v>
      </c>
      <c r="I273" s="217" t="s">
        <v>844</v>
      </c>
      <c r="J273" s="217" t="s">
        <v>1909</v>
      </c>
      <c r="K273" s="217" t="s">
        <v>407</v>
      </c>
      <c r="L273" s="220">
        <v>486136593</v>
      </c>
      <c r="M273" s="206">
        <v>256604490</v>
      </c>
      <c r="N273" s="206">
        <v>229532103</v>
      </c>
      <c r="O273" s="206">
        <v>766770906</v>
      </c>
      <c r="P273" s="206">
        <v>14724318</v>
      </c>
      <c r="Q273" s="206">
        <v>26927489</v>
      </c>
      <c r="R273" s="206">
        <v>22719488</v>
      </c>
      <c r="S273" s="405">
        <v>0</v>
      </c>
      <c r="T273" s="405">
        <v>0</v>
      </c>
      <c r="U273" s="406">
        <v>0</v>
      </c>
      <c r="V273" s="406">
        <v>0</v>
      </c>
      <c r="W273" s="407">
        <f t="shared" si="238"/>
        <v>0</v>
      </c>
      <c r="X273" s="407">
        <f t="shared" si="239"/>
        <v>100</v>
      </c>
      <c r="Y273" s="408">
        <f t="shared" si="240"/>
        <v>3</v>
      </c>
      <c r="Z273" s="444" t="s">
        <v>3494</v>
      </c>
      <c r="AA273" s="442">
        <v>0</v>
      </c>
      <c r="AB273" s="406">
        <v>0</v>
      </c>
      <c r="AC273" s="406">
        <v>0</v>
      </c>
      <c r="AD273" s="407">
        <f t="shared" si="241"/>
        <v>0</v>
      </c>
      <c r="AE273" s="364" t="str">
        <f t="shared" si="242"/>
        <v>50</v>
      </c>
      <c r="AF273" s="349">
        <f t="shared" si="243"/>
        <v>0.25</v>
      </c>
      <c r="AG273" s="154">
        <v>495</v>
      </c>
      <c r="AH273" s="154">
        <v>52003</v>
      </c>
      <c r="AI273" s="409">
        <f t="shared" si="251"/>
        <v>105.05656565656565</v>
      </c>
      <c r="AJ273" s="409">
        <f t="shared" si="252"/>
        <v>100</v>
      </c>
      <c r="AK273" s="408">
        <f t="shared" si="244"/>
        <v>1</v>
      </c>
      <c r="AL273" s="45">
        <v>34505</v>
      </c>
      <c r="AM273" s="361">
        <f t="shared" si="253"/>
        <v>50.711491088248081</v>
      </c>
      <c r="AN273" s="365">
        <f t="shared" si="268"/>
        <v>34.508404579046513</v>
      </c>
      <c r="AO273" s="320">
        <f t="shared" si="245"/>
        <v>0.34508404579046514</v>
      </c>
      <c r="AP273" s="277">
        <f>_xlfn.XLOOKUP(C273, '1.건전성'!C:C, '1.건전성'!BE:BE)</f>
        <v>7700205</v>
      </c>
      <c r="AQ273" s="277">
        <f>_xlfn.XLOOKUP(C273, '1.건전성'!C:C, '1.건전성'!BF:BF)</f>
        <v>501460</v>
      </c>
      <c r="AR273" s="410">
        <f t="shared" si="254"/>
        <v>8201665</v>
      </c>
      <c r="AS273" s="366">
        <f t="shared" si="249"/>
        <v>1.0696369588128321</v>
      </c>
      <c r="AT273" s="366">
        <f t="shared" si="255"/>
        <v>25.429374592069973</v>
      </c>
      <c r="AU273" s="321">
        <f t="shared" si="256"/>
        <v>0.25429374592069975</v>
      </c>
      <c r="AV273" s="15">
        <v>2441782</v>
      </c>
      <c r="AW273" s="361">
        <f t="shared" si="250"/>
        <v>0.31845000650037703</v>
      </c>
      <c r="AX273" s="361">
        <f t="shared" si="257"/>
        <v>26.654924291669523</v>
      </c>
      <c r="AY273" s="321">
        <f t="shared" si="246"/>
        <v>0.13327462145834762</v>
      </c>
      <c r="AZ273" s="411">
        <v>22.67</v>
      </c>
      <c r="BA273" s="412">
        <f t="shared" si="258"/>
        <v>100</v>
      </c>
      <c r="BB273" s="408">
        <f t="shared" si="247"/>
        <v>0.5</v>
      </c>
      <c r="BC273" s="204">
        <v>1</v>
      </c>
      <c r="BD273" s="407">
        <f t="shared" si="269"/>
        <v>100</v>
      </c>
      <c r="BE273" s="408">
        <f t="shared" si="248"/>
        <v>0.5</v>
      </c>
      <c r="BF273" s="204">
        <v>0</v>
      </c>
      <c r="BG273" s="204">
        <v>0</v>
      </c>
      <c r="BH273" s="204">
        <v>1</v>
      </c>
      <c r="BI273" s="272" t="str">
        <f t="shared" si="259"/>
        <v>D</v>
      </c>
      <c r="BJ273" s="247">
        <f t="shared" si="260"/>
        <v>25</v>
      </c>
      <c r="BK273" s="90">
        <f t="shared" si="261"/>
        <v>0.75</v>
      </c>
      <c r="BL273" s="406">
        <v>57</v>
      </c>
      <c r="BM273" s="413">
        <f t="shared" si="262"/>
        <v>11.515151515151516</v>
      </c>
      <c r="BN273" s="414">
        <f t="shared" si="263"/>
        <v>20</v>
      </c>
      <c r="BO273" s="415">
        <f t="shared" si="264"/>
        <v>0.6</v>
      </c>
      <c r="BP273" s="416">
        <v>0</v>
      </c>
      <c r="BQ273" s="417">
        <f t="shared" si="265"/>
        <v>33.333333333333336</v>
      </c>
      <c r="BR273" s="415">
        <f t="shared" si="266"/>
        <v>0.33333333333333337</v>
      </c>
      <c r="BS273" s="350">
        <f t="shared" si="267"/>
        <v>7.6659857465028454</v>
      </c>
    </row>
    <row r="274" spans="1:71" x14ac:dyDescent="0.6">
      <c r="A274" s="214" t="s">
        <v>182</v>
      </c>
      <c r="B274" s="13" t="s">
        <v>2255</v>
      </c>
      <c r="C274" s="219" t="s">
        <v>345</v>
      </c>
      <c r="D274" s="216" t="s">
        <v>191</v>
      </c>
      <c r="E274" s="217" t="s">
        <v>1029</v>
      </c>
      <c r="F274" s="217" t="s">
        <v>1000</v>
      </c>
      <c r="G274" s="218">
        <v>27208</v>
      </c>
      <c r="H274" s="217" t="s">
        <v>830</v>
      </c>
      <c r="I274" s="217" t="s">
        <v>662</v>
      </c>
      <c r="J274" s="217" t="s">
        <v>1207</v>
      </c>
      <c r="K274" s="217" t="s">
        <v>91</v>
      </c>
      <c r="L274" s="220">
        <v>339571178</v>
      </c>
      <c r="M274" s="206">
        <v>63823811</v>
      </c>
      <c r="N274" s="206">
        <v>275747368</v>
      </c>
      <c r="O274" s="206">
        <v>336657527</v>
      </c>
      <c r="P274" s="206">
        <v>25257329</v>
      </c>
      <c r="Q274" s="206">
        <v>26498807</v>
      </c>
      <c r="R274" s="206">
        <v>20001837</v>
      </c>
      <c r="S274" s="405">
        <v>0</v>
      </c>
      <c r="T274" s="405">
        <v>0</v>
      </c>
      <c r="U274" s="406">
        <v>0</v>
      </c>
      <c r="V274" s="406">
        <v>0</v>
      </c>
      <c r="W274" s="407">
        <f t="shared" si="238"/>
        <v>0</v>
      </c>
      <c r="X274" s="407">
        <f t="shared" si="239"/>
        <v>100</v>
      </c>
      <c r="Y274" s="408">
        <f t="shared" si="240"/>
        <v>3</v>
      </c>
      <c r="Z274" s="444" t="s">
        <v>3495</v>
      </c>
      <c r="AA274" s="442">
        <v>0</v>
      </c>
      <c r="AB274" s="406">
        <v>1</v>
      </c>
      <c r="AC274" s="406">
        <v>0</v>
      </c>
      <c r="AD274" s="407">
        <f t="shared" si="241"/>
        <v>1</v>
      </c>
      <c r="AE274" s="364" t="str">
        <f t="shared" si="242"/>
        <v>100</v>
      </c>
      <c r="AF274" s="349">
        <f t="shared" si="243"/>
        <v>0.5</v>
      </c>
      <c r="AG274" s="154">
        <v>402</v>
      </c>
      <c r="AH274" s="154">
        <v>298</v>
      </c>
      <c r="AI274" s="409">
        <f t="shared" si="251"/>
        <v>0.74129353233830841</v>
      </c>
      <c r="AJ274" s="409">
        <f t="shared" si="252"/>
        <v>25.555970149253731</v>
      </c>
      <c r="AK274" s="408">
        <f t="shared" si="244"/>
        <v>0.25555970149253732</v>
      </c>
      <c r="AL274" s="45">
        <v>30</v>
      </c>
      <c r="AM274" s="361">
        <f t="shared" si="253"/>
        <v>893.33333333333337</v>
      </c>
      <c r="AN274" s="365">
        <f t="shared" si="268"/>
        <v>100</v>
      </c>
      <c r="AO274" s="320">
        <f t="shared" si="245"/>
        <v>1</v>
      </c>
      <c r="AP274" s="277">
        <f>_xlfn.XLOOKUP(C274, '1.건전성'!C:C, '1.건전성'!BE:BE)</f>
        <v>3656517</v>
      </c>
      <c r="AQ274" s="277">
        <f>_xlfn.XLOOKUP(C274, '1.건전성'!C:C, '1.건전성'!BF:BF)</f>
        <v>313308</v>
      </c>
      <c r="AR274" s="410">
        <f t="shared" si="254"/>
        <v>3969825</v>
      </c>
      <c r="AS274" s="366">
        <f t="shared" si="249"/>
        <v>1.1791879526281912</v>
      </c>
      <c r="AT274" s="366">
        <f t="shared" si="255"/>
        <v>25.511950718061449</v>
      </c>
      <c r="AU274" s="321">
        <f t="shared" si="256"/>
        <v>0.25511950718061449</v>
      </c>
      <c r="AV274" s="15">
        <v>209365</v>
      </c>
      <c r="AW274" s="361">
        <f t="shared" si="250"/>
        <v>6.2189312048264403E-2</v>
      </c>
      <c r="AX274" s="361">
        <f t="shared" si="257"/>
        <v>25</v>
      </c>
      <c r="AY274" s="321">
        <f t="shared" si="246"/>
        <v>0.125</v>
      </c>
      <c r="AZ274" s="411">
        <v>9.4</v>
      </c>
      <c r="BA274" s="412">
        <f t="shared" si="258"/>
        <v>80</v>
      </c>
      <c r="BB274" s="408">
        <f t="shared" si="247"/>
        <v>0.4</v>
      </c>
      <c r="BC274" s="204">
        <v>1</v>
      </c>
      <c r="BD274" s="407">
        <f t="shared" si="269"/>
        <v>100</v>
      </c>
      <c r="BE274" s="408">
        <f t="shared" si="248"/>
        <v>0.5</v>
      </c>
      <c r="BF274" s="204">
        <v>0</v>
      </c>
      <c r="BG274" s="204">
        <v>0</v>
      </c>
      <c r="BH274" s="204">
        <v>0</v>
      </c>
      <c r="BI274" s="272" t="str">
        <f t="shared" si="259"/>
        <v>A</v>
      </c>
      <c r="BJ274" s="247">
        <f t="shared" si="260"/>
        <v>100</v>
      </c>
      <c r="BK274" s="90">
        <f t="shared" si="261"/>
        <v>3</v>
      </c>
      <c r="BL274" s="406">
        <v>0</v>
      </c>
      <c r="BM274" s="413">
        <f t="shared" si="262"/>
        <v>0</v>
      </c>
      <c r="BN274" s="414">
        <f t="shared" si="263"/>
        <v>100</v>
      </c>
      <c r="BO274" s="415">
        <f t="shared" si="264"/>
        <v>3</v>
      </c>
      <c r="BP274" s="416">
        <v>0</v>
      </c>
      <c r="BQ274" s="417">
        <f t="shared" si="265"/>
        <v>33.333333333333336</v>
      </c>
      <c r="BR274" s="415">
        <f t="shared" si="266"/>
        <v>0.33333333333333337</v>
      </c>
      <c r="BS274" s="350">
        <f t="shared" si="267"/>
        <v>12.369012542006486</v>
      </c>
    </row>
    <row r="275" spans="1:71" x14ac:dyDescent="0.6">
      <c r="A275" s="214" t="s">
        <v>948</v>
      </c>
      <c r="B275" s="13" t="s">
        <v>2256</v>
      </c>
      <c r="C275" s="219" t="s">
        <v>915</v>
      </c>
      <c r="D275" s="216" t="s">
        <v>203</v>
      </c>
      <c r="E275" s="217" t="s">
        <v>187</v>
      </c>
      <c r="F275" s="217" t="s">
        <v>603</v>
      </c>
      <c r="G275" s="218">
        <v>32365</v>
      </c>
      <c r="H275" s="217" t="s">
        <v>830</v>
      </c>
      <c r="I275" s="217" t="s">
        <v>233</v>
      </c>
      <c r="J275" s="217" t="s">
        <v>1113</v>
      </c>
      <c r="K275" s="217" t="s">
        <v>484</v>
      </c>
      <c r="L275" s="220">
        <v>172340454</v>
      </c>
      <c r="M275" s="206">
        <v>59384706</v>
      </c>
      <c r="N275" s="206">
        <v>112955748</v>
      </c>
      <c r="O275" s="206">
        <v>301642199</v>
      </c>
      <c r="P275" s="206">
        <v>35071601</v>
      </c>
      <c r="Q275" s="206">
        <v>36329377</v>
      </c>
      <c r="R275" s="206">
        <v>26721327</v>
      </c>
      <c r="S275" s="405">
        <v>0</v>
      </c>
      <c r="T275" s="405">
        <v>0</v>
      </c>
      <c r="U275" s="406">
        <v>0</v>
      </c>
      <c r="V275" s="406">
        <v>0</v>
      </c>
      <c r="W275" s="407">
        <f t="shared" si="238"/>
        <v>0</v>
      </c>
      <c r="X275" s="407">
        <f t="shared" si="239"/>
        <v>100</v>
      </c>
      <c r="Y275" s="408">
        <f t="shared" si="240"/>
        <v>3</v>
      </c>
      <c r="Z275" s="444" t="s">
        <v>3496</v>
      </c>
      <c r="AA275" s="442">
        <v>0</v>
      </c>
      <c r="AB275" s="406">
        <v>1</v>
      </c>
      <c r="AC275" s="406">
        <v>0</v>
      </c>
      <c r="AD275" s="407">
        <f t="shared" si="241"/>
        <v>1</v>
      </c>
      <c r="AE275" s="364" t="str">
        <f t="shared" si="242"/>
        <v>100</v>
      </c>
      <c r="AF275" s="349">
        <f t="shared" si="243"/>
        <v>0.5</v>
      </c>
      <c r="AG275" s="154">
        <v>110</v>
      </c>
      <c r="AH275" s="154">
        <v>73522</v>
      </c>
      <c r="AI275" s="409">
        <f t="shared" si="251"/>
        <v>668.38181818181818</v>
      </c>
      <c r="AJ275" s="409">
        <f t="shared" si="252"/>
        <v>100</v>
      </c>
      <c r="AK275" s="408">
        <f t="shared" si="244"/>
        <v>1</v>
      </c>
      <c r="AL275" s="45">
        <v>38698</v>
      </c>
      <c r="AM275" s="361">
        <f t="shared" si="253"/>
        <v>89.98914672592899</v>
      </c>
      <c r="AN275" s="365">
        <f t="shared" si="268"/>
        <v>41.872965011111688</v>
      </c>
      <c r="AO275" s="320">
        <f t="shared" si="245"/>
        <v>0.4187296501111169</v>
      </c>
      <c r="AP275" s="277">
        <f>_xlfn.XLOOKUP(C275, '1.건전성'!C:C, '1.건전성'!BE:BE)</f>
        <v>10450497</v>
      </c>
      <c r="AQ275" s="277">
        <f>_xlfn.XLOOKUP(C275, '1.건전성'!C:C, '1.건전성'!BF:BF)</f>
        <v>1233257</v>
      </c>
      <c r="AR275" s="410">
        <f t="shared" si="254"/>
        <v>11683754</v>
      </c>
      <c r="AS275" s="366">
        <f t="shared" si="249"/>
        <v>3.8733817876722214</v>
      </c>
      <c r="AT275" s="366">
        <f t="shared" si="255"/>
        <v>27.542750091210216</v>
      </c>
      <c r="AU275" s="321">
        <f t="shared" si="256"/>
        <v>0.27542750091210216</v>
      </c>
      <c r="AV275" s="15">
        <v>1656497</v>
      </c>
      <c r="AW275" s="361">
        <f t="shared" si="250"/>
        <v>0.54915956901640273</v>
      </c>
      <c r="AX275" s="361">
        <f t="shared" si="257"/>
        <v>28.402724007700019</v>
      </c>
      <c r="AY275" s="321">
        <f t="shared" si="246"/>
        <v>0.1420136200385001</v>
      </c>
      <c r="AZ275" s="411">
        <v>17.079999999999998</v>
      </c>
      <c r="BA275" s="412">
        <f t="shared" si="258"/>
        <v>100</v>
      </c>
      <c r="BB275" s="408">
        <f t="shared" si="247"/>
        <v>0.5</v>
      </c>
      <c r="BC275" s="204">
        <v>1</v>
      </c>
      <c r="BD275" s="407">
        <f t="shared" si="269"/>
        <v>100</v>
      </c>
      <c r="BE275" s="408">
        <f t="shared" si="248"/>
        <v>0.5</v>
      </c>
      <c r="BF275" s="204">
        <v>0</v>
      </c>
      <c r="BG275" s="204">
        <v>0</v>
      </c>
      <c r="BH275" s="204">
        <v>0</v>
      </c>
      <c r="BI275" s="272" t="str">
        <f t="shared" si="259"/>
        <v>A</v>
      </c>
      <c r="BJ275" s="247">
        <f t="shared" si="260"/>
        <v>100</v>
      </c>
      <c r="BK275" s="90">
        <f t="shared" si="261"/>
        <v>3</v>
      </c>
      <c r="BL275" s="406">
        <v>4</v>
      </c>
      <c r="BM275" s="413">
        <f t="shared" si="262"/>
        <v>3.6363636363636362</v>
      </c>
      <c r="BN275" s="414">
        <f t="shared" si="263"/>
        <v>40</v>
      </c>
      <c r="BO275" s="415">
        <f t="shared" si="264"/>
        <v>1.2</v>
      </c>
      <c r="BP275" s="416">
        <v>0</v>
      </c>
      <c r="BQ275" s="417">
        <f t="shared" si="265"/>
        <v>33.333333333333336</v>
      </c>
      <c r="BR275" s="415">
        <f t="shared" si="266"/>
        <v>0.33333333333333337</v>
      </c>
      <c r="BS275" s="350">
        <f t="shared" si="267"/>
        <v>10.869504104395054</v>
      </c>
    </row>
    <row r="276" spans="1:71" x14ac:dyDescent="0.6">
      <c r="A276" s="214" t="s">
        <v>853</v>
      </c>
      <c r="B276" s="13" t="s">
        <v>2257</v>
      </c>
      <c r="C276" s="219" t="s">
        <v>886</v>
      </c>
      <c r="D276" s="216" t="s">
        <v>285</v>
      </c>
      <c r="E276" s="217" t="s">
        <v>1167</v>
      </c>
      <c r="F276" s="217" t="s">
        <v>1125</v>
      </c>
      <c r="G276" s="218">
        <v>40661</v>
      </c>
      <c r="H276" s="217" t="s">
        <v>830</v>
      </c>
      <c r="I276" s="217" t="s">
        <v>715</v>
      </c>
      <c r="J276" s="217" t="s">
        <v>1129</v>
      </c>
      <c r="K276" s="217" t="s">
        <v>690</v>
      </c>
      <c r="L276" s="220">
        <v>332695360</v>
      </c>
      <c r="M276" s="206">
        <v>183900048</v>
      </c>
      <c r="N276" s="206">
        <v>148795312</v>
      </c>
      <c r="O276" s="206">
        <v>283702516</v>
      </c>
      <c r="P276" s="206">
        <v>5425717</v>
      </c>
      <c r="Q276" s="206">
        <v>6710645</v>
      </c>
      <c r="R276" s="206">
        <v>3799292</v>
      </c>
      <c r="S276" s="405">
        <v>0</v>
      </c>
      <c r="T276" s="405">
        <v>0</v>
      </c>
      <c r="U276" s="406">
        <v>0</v>
      </c>
      <c r="V276" s="406">
        <v>0</v>
      </c>
      <c r="W276" s="407">
        <f t="shared" si="238"/>
        <v>0</v>
      </c>
      <c r="X276" s="407">
        <f t="shared" si="239"/>
        <v>100</v>
      </c>
      <c r="Y276" s="408">
        <f t="shared" si="240"/>
        <v>3</v>
      </c>
      <c r="Z276" s="444" t="s">
        <v>3497</v>
      </c>
      <c r="AA276" s="442">
        <v>0</v>
      </c>
      <c r="AB276" s="406">
        <v>0</v>
      </c>
      <c r="AC276" s="406">
        <v>0</v>
      </c>
      <c r="AD276" s="407">
        <f t="shared" si="241"/>
        <v>0</v>
      </c>
      <c r="AE276" s="364" t="str">
        <f t="shared" si="242"/>
        <v>50</v>
      </c>
      <c r="AF276" s="349">
        <f t="shared" si="243"/>
        <v>0.25</v>
      </c>
      <c r="AG276" s="154">
        <v>1617</v>
      </c>
      <c r="AH276" s="421"/>
      <c r="AI276" s="409">
        <f t="shared" si="251"/>
        <v>0</v>
      </c>
      <c r="AJ276" s="409">
        <f t="shared" si="252"/>
        <v>25</v>
      </c>
      <c r="AK276" s="408">
        <f t="shared" si="244"/>
        <v>0.25</v>
      </c>
      <c r="AL276" s="423"/>
      <c r="AM276" s="424">
        <v>0</v>
      </c>
      <c r="AN276" s="365">
        <f t="shared" si="268"/>
        <v>25</v>
      </c>
      <c r="AO276" s="320">
        <f t="shared" si="245"/>
        <v>0.25</v>
      </c>
      <c r="AP276" s="277">
        <f>_xlfn.XLOOKUP(C276, '1.건전성'!C:C, '1.건전성'!BE:BE)</f>
        <v>15697973</v>
      </c>
      <c r="AQ276" s="277">
        <f>_xlfn.XLOOKUP(C276, '1.건전성'!C:C, '1.건전성'!BF:BF)</f>
        <v>683300</v>
      </c>
      <c r="AR276" s="410">
        <f t="shared" si="254"/>
        <v>16381273</v>
      </c>
      <c r="AS276" s="366">
        <f t="shared" si="249"/>
        <v>5.7741021232254424</v>
      </c>
      <c r="AT276" s="366">
        <f t="shared" si="255"/>
        <v>28.975453861727722</v>
      </c>
      <c r="AU276" s="321">
        <f t="shared" si="256"/>
        <v>0.28975453861727724</v>
      </c>
      <c r="AV276" s="15">
        <v>1270662</v>
      </c>
      <c r="AW276" s="361">
        <f t="shared" si="250"/>
        <v>0.44788534762236654</v>
      </c>
      <c r="AX276" s="361">
        <f t="shared" si="257"/>
        <v>27.635495057745203</v>
      </c>
      <c r="AY276" s="321">
        <f t="shared" si="246"/>
        <v>0.13817747528872601</v>
      </c>
      <c r="AZ276" s="411">
        <v>8.5</v>
      </c>
      <c r="BA276" s="412">
        <f t="shared" si="258"/>
        <v>80</v>
      </c>
      <c r="BB276" s="408">
        <f t="shared" si="247"/>
        <v>0.4</v>
      </c>
      <c r="BC276" s="204">
        <v>1</v>
      </c>
      <c r="BD276" s="407">
        <f t="shared" si="269"/>
        <v>100</v>
      </c>
      <c r="BE276" s="408">
        <f t="shared" si="248"/>
        <v>0.5</v>
      </c>
      <c r="BF276" s="204">
        <v>0</v>
      </c>
      <c r="BG276" s="204">
        <v>1</v>
      </c>
      <c r="BH276" s="204">
        <v>1</v>
      </c>
      <c r="BI276" s="272" t="str">
        <f t="shared" si="259"/>
        <v>D</v>
      </c>
      <c r="BJ276" s="247">
        <f t="shared" si="260"/>
        <v>25</v>
      </c>
      <c r="BK276" s="90">
        <f t="shared" si="261"/>
        <v>0.75</v>
      </c>
      <c r="BL276" s="406">
        <v>531</v>
      </c>
      <c r="BM276" s="413">
        <f t="shared" si="262"/>
        <v>32.838589981447122</v>
      </c>
      <c r="BN276" s="414">
        <f t="shared" si="263"/>
        <v>20</v>
      </c>
      <c r="BO276" s="415">
        <f t="shared" si="264"/>
        <v>0.6</v>
      </c>
      <c r="BP276" s="416">
        <v>0</v>
      </c>
      <c r="BQ276" s="417">
        <f t="shared" si="265"/>
        <v>33.333333333333336</v>
      </c>
      <c r="BR276" s="415">
        <f t="shared" si="266"/>
        <v>0.33333333333333337</v>
      </c>
      <c r="BS276" s="350">
        <f t="shared" si="267"/>
        <v>6.7612653472393367</v>
      </c>
    </row>
    <row r="277" spans="1:71" x14ac:dyDescent="0.6">
      <c r="A277" s="214" t="s">
        <v>1910</v>
      </c>
      <c r="B277" s="13" t="s">
        <v>2258</v>
      </c>
      <c r="C277" s="219" t="s">
        <v>1911</v>
      </c>
      <c r="D277" s="14" t="s">
        <v>203</v>
      </c>
      <c r="E277" s="217" t="s">
        <v>195</v>
      </c>
      <c r="F277" s="217" t="s">
        <v>1912</v>
      </c>
      <c r="G277" s="218">
        <v>25549</v>
      </c>
      <c r="H277" s="217" t="s">
        <v>830</v>
      </c>
      <c r="I277" s="217" t="s">
        <v>1913</v>
      </c>
      <c r="J277" s="217" t="s">
        <v>1914</v>
      </c>
      <c r="K277" s="217" t="s">
        <v>484</v>
      </c>
      <c r="L277" s="220">
        <v>319037628</v>
      </c>
      <c r="M277" s="206">
        <v>46527487</v>
      </c>
      <c r="N277" s="206">
        <v>272510141</v>
      </c>
      <c r="O277" s="206">
        <v>118960265</v>
      </c>
      <c r="P277" s="206">
        <v>9521305</v>
      </c>
      <c r="Q277" s="206">
        <v>26092874</v>
      </c>
      <c r="R277" s="206">
        <v>23518478</v>
      </c>
      <c r="S277" s="405">
        <v>0</v>
      </c>
      <c r="T277" s="405">
        <v>0</v>
      </c>
      <c r="U277" s="406">
        <v>0</v>
      </c>
      <c r="V277" s="406">
        <v>0</v>
      </c>
      <c r="W277" s="407">
        <f t="shared" si="238"/>
        <v>0</v>
      </c>
      <c r="X277" s="407">
        <f t="shared" si="239"/>
        <v>100</v>
      </c>
      <c r="Y277" s="408">
        <f t="shared" si="240"/>
        <v>3</v>
      </c>
      <c r="Z277" s="444" t="s">
        <v>3498</v>
      </c>
      <c r="AA277" s="442">
        <v>0</v>
      </c>
      <c r="AB277" s="406">
        <v>0</v>
      </c>
      <c r="AC277" s="406">
        <v>0</v>
      </c>
      <c r="AD277" s="407">
        <f t="shared" si="241"/>
        <v>0</v>
      </c>
      <c r="AE277" s="364" t="str">
        <f t="shared" si="242"/>
        <v>50</v>
      </c>
      <c r="AF277" s="349">
        <f t="shared" si="243"/>
        <v>0.25</v>
      </c>
      <c r="AG277" s="154">
        <v>142</v>
      </c>
      <c r="AH277" s="154">
        <v>3817</v>
      </c>
      <c r="AI277" s="409">
        <f t="shared" si="251"/>
        <v>26.880281690140844</v>
      </c>
      <c r="AJ277" s="409">
        <f t="shared" si="252"/>
        <v>45.160211267605632</v>
      </c>
      <c r="AK277" s="408">
        <f t="shared" si="244"/>
        <v>0.45160211267605632</v>
      </c>
      <c r="AL277" s="45">
        <v>2930</v>
      </c>
      <c r="AM277" s="361">
        <f t="shared" si="253"/>
        <v>30.273037542662117</v>
      </c>
      <c r="AN277" s="365">
        <f t="shared" si="268"/>
        <v>30.676194539249146</v>
      </c>
      <c r="AO277" s="320">
        <f t="shared" si="245"/>
        <v>0.30676194539249146</v>
      </c>
      <c r="AP277" s="277">
        <f>_xlfn.XLOOKUP(C277, '1.건전성'!C:C, '1.건전성'!BE:BE)</f>
        <v>9810883</v>
      </c>
      <c r="AQ277" s="277">
        <f>_xlfn.XLOOKUP(C277, '1.건전성'!C:C, '1.건전성'!BF:BF)</f>
        <v>713653</v>
      </c>
      <c r="AR277" s="410">
        <f t="shared" si="254"/>
        <v>10524536</v>
      </c>
      <c r="AS277" s="366">
        <f t="shared" si="249"/>
        <v>8.8471020134328047</v>
      </c>
      <c r="AT277" s="366">
        <f t="shared" si="255"/>
        <v>31.291785437260909</v>
      </c>
      <c r="AU277" s="321">
        <f t="shared" si="256"/>
        <v>0.31291785437260911</v>
      </c>
      <c r="AV277" s="15">
        <v>2500921</v>
      </c>
      <c r="AW277" s="361">
        <f t="shared" si="250"/>
        <v>2.1023162650150451</v>
      </c>
      <c r="AX277" s="361">
        <f t="shared" si="257"/>
        <v>40.169062613750341</v>
      </c>
      <c r="AY277" s="321">
        <f t="shared" si="246"/>
        <v>0.20084531306875172</v>
      </c>
      <c r="AZ277" s="411">
        <v>16.2</v>
      </c>
      <c r="BA277" s="412">
        <f t="shared" si="258"/>
        <v>100</v>
      </c>
      <c r="BB277" s="408">
        <f t="shared" si="247"/>
        <v>0.5</v>
      </c>
      <c r="BC277" s="204">
        <v>1</v>
      </c>
      <c r="BD277" s="407">
        <f t="shared" si="269"/>
        <v>100</v>
      </c>
      <c r="BE277" s="408">
        <f t="shared" si="248"/>
        <v>0.5</v>
      </c>
      <c r="BF277" s="204">
        <v>0</v>
      </c>
      <c r="BG277" s="204">
        <v>0</v>
      </c>
      <c r="BH277" s="204">
        <v>0</v>
      </c>
      <c r="BI277" s="272" t="str">
        <f t="shared" si="259"/>
        <v>A</v>
      </c>
      <c r="BJ277" s="247">
        <f t="shared" si="260"/>
        <v>100</v>
      </c>
      <c r="BK277" s="90">
        <f t="shared" si="261"/>
        <v>3</v>
      </c>
      <c r="BL277" s="406">
        <v>0</v>
      </c>
      <c r="BM277" s="413">
        <f t="shared" si="262"/>
        <v>0</v>
      </c>
      <c r="BN277" s="414">
        <f t="shared" si="263"/>
        <v>100</v>
      </c>
      <c r="BO277" s="415">
        <f t="shared" si="264"/>
        <v>3</v>
      </c>
      <c r="BP277" s="416">
        <v>0</v>
      </c>
      <c r="BQ277" s="417">
        <f t="shared" si="265"/>
        <v>33.333333333333336</v>
      </c>
      <c r="BR277" s="415">
        <f t="shared" si="266"/>
        <v>0.33333333333333337</v>
      </c>
      <c r="BS277" s="350">
        <f t="shared" si="267"/>
        <v>11.855460558843243</v>
      </c>
    </row>
    <row r="278" spans="1:71" x14ac:dyDescent="0.6">
      <c r="A278" s="214" t="s">
        <v>1915</v>
      </c>
      <c r="B278" s="13" t="s">
        <v>2259</v>
      </c>
      <c r="C278" s="219" t="s">
        <v>887</v>
      </c>
      <c r="D278" s="216" t="s">
        <v>203</v>
      </c>
      <c r="E278" s="217" t="s">
        <v>1209</v>
      </c>
      <c r="F278" s="217" t="s">
        <v>151</v>
      </c>
      <c r="G278" s="218">
        <v>34888</v>
      </c>
      <c r="H278" s="217" t="s">
        <v>830</v>
      </c>
      <c r="I278" s="217" t="s">
        <v>615</v>
      </c>
      <c r="J278" s="217" t="s">
        <v>1094</v>
      </c>
      <c r="K278" s="217" t="s">
        <v>50</v>
      </c>
      <c r="L278" s="220">
        <v>573791494</v>
      </c>
      <c r="M278" s="206">
        <v>172708851</v>
      </c>
      <c r="N278" s="206">
        <v>401082642</v>
      </c>
      <c r="O278" s="206">
        <v>340208179</v>
      </c>
      <c r="P278" s="206">
        <v>28719054</v>
      </c>
      <c r="Q278" s="206">
        <v>9790753</v>
      </c>
      <c r="R278" s="206">
        <v>2174394</v>
      </c>
      <c r="S278" s="405">
        <v>0</v>
      </c>
      <c r="T278" s="405">
        <v>0</v>
      </c>
      <c r="U278" s="406">
        <v>0</v>
      </c>
      <c r="V278" s="406">
        <v>0</v>
      </c>
      <c r="W278" s="407">
        <f t="shared" si="238"/>
        <v>0</v>
      </c>
      <c r="X278" s="407">
        <f t="shared" si="239"/>
        <v>100</v>
      </c>
      <c r="Y278" s="408">
        <f t="shared" si="240"/>
        <v>3</v>
      </c>
      <c r="Z278" s="444" t="s">
        <v>3499</v>
      </c>
      <c r="AA278" s="442">
        <v>0</v>
      </c>
      <c r="AB278" s="406">
        <v>0</v>
      </c>
      <c r="AC278" s="406">
        <v>0</v>
      </c>
      <c r="AD278" s="407">
        <f t="shared" si="241"/>
        <v>0</v>
      </c>
      <c r="AE278" s="364" t="str">
        <f t="shared" si="242"/>
        <v>50</v>
      </c>
      <c r="AF278" s="349">
        <f t="shared" si="243"/>
        <v>0.25</v>
      </c>
      <c r="AG278" s="154">
        <v>489</v>
      </c>
      <c r="AH278" s="421"/>
      <c r="AI278" s="409">
        <f t="shared" si="251"/>
        <v>0</v>
      </c>
      <c r="AJ278" s="409">
        <f t="shared" si="252"/>
        <v>25</v>
      </c>
      <c r="AK278" s="408">
        <f t="shared" si="244"/>
        <v>0.25</v>
      </c>
      <c r="AL278" s="423"/>
      <c r="AM278" s="424">
        <v>0</v>
      </c>
      <c r="AN278" s="365">
        <f t="shared" si="268"/>
        <v>25</v>
      </c>
      <c r="AO278" s="320">
        <f t="shared" si="245"/>
        <v>0.25</v>
      </c>
      <c r="AP278" s="277">
        <f>_xlfn.XLOOKUP(C278, '1.건전성'!C:C, '1.건전성'!BE:BE)</f>
        <v>7964683</v>
      </c>
      <c r="AQ278" s="277">
        <f>_xlfn.XLOOKUP(C278, '1.건전성'!C:C, '1.건전성'!BF:BF)</f>
        <v>1152844</v>
      </c>
      <c r="AR278" s="410">
        <f t="shared" si="254"/>
        <v>9117527</v>
      </c>
      <c r="AS278" s="366">
        <f t="shared" si="249"/>
        <v>2.6799846572765671</v>
      </c>
      <c r="AT278" s="366">
        <f t="shared" si="255"/>
        <v>26.6432045155351</v>
      </c>
      <c r="AU278" s="321">
        <f t="shared" si="256"/>
        <v>0.26643204515535102</v>
      </c>
      <c r="AV278" s="15">
        <v>1630991</v>
      </c>
      <c r="AW278" s="361">
        <f t="shared" si="250"/>
        <v>0.47940969696675045</v>
      </c>
      <c r="AX278" s="361">
        <f t="shared" si="257"/>
        <v>27.874315886111745</v>
      </c>
      <c r="AY278" s="321">
        <f t="shared" si="246"/>
        <v>0.13937157943055872</v>
      </c>
      <c r="AZ278" s="411">
        <v>8.5</v>
      </c>
      <c r="BA278" s="412">
        <f t="shared" si="258"/>
        <v>80</v>
      </c>
      <c r="BB278" s="408">
        <f t="shared" si="247"/>
        <v>0.4</v>
      </c>
      <c r="BC278" s="204">
        <v>1</v>
      </c>
      <c r="BD278" s="407">
        <f t="shared" si="269"/>
        <v>100</v>
      </c>
      <c r="BE278" s="408">
        <f t="shared" si="248"/>
        <v>0.5</v>
      </c>
      <c r="BF278" s="204">
        <v>0</v>
      </c>
      <c r="BG278" s="204">
        <v>0</v>
      </c>
      <c r="BH278" s="204">
        <v>0</v>
      </c>
      <c r="BI278" s="272" t="str">
        <f t="shared" si="259"/>
        <v>A</v>
      </c>
      <c r="BJ278" s="247">
        <f t="shared" si="260"/>
        <v>100</v>
      </c>
      <c r="BK278" s="90">
        <f t="shared" si="261"/>
        <v>3</v>
      </c>
      <c r="BL278" s="406">
        <v>7</v>
      </c>
      <c r="BM278" s="413">
        <f t="shared" si="262"/>
        <v>1.4314928425357873</v>
      </c>
      <c r="BN278" s="414">
        <f t="shared" si="263"/>
        <v>60</v>
      </c>
      <c r="BO278" s="415">
        <f t="shared" si="264"/>
        <v>1.7999999999999998</v>
      </c>
      <c r="BP278" s="416">
        <v>0</v>
      </c>
      <c r="BQ278" s="417">
        <f t="shared" si="265"/>
        <v>33.333333333333336</v>
      </c>
      <c r="BR278" s="415">
        <f t="shared" si="266"/>
        <v>0.33333333333333337</v>
      </c>
      <c r="BS278" s="350">
        <f t="shared" si="267"/>
        <v>10.189136957919244</v>
      </c>
    </row>
    <row r="279" spans="1:71" x14ac:dyDescent="0.6">
      <c r="A279" s="214" t="s">
        <v>1916</v>
      </c>
      <c r="B279" s="13" t="s">
        <v>2260</v>
      </c>
      <c r="C279" s="219" t="s">
        <v>1917</v>
      </c>
      <c r="D279" s="14" t="s">
        <v>203</v>
      </c>
      <c r="E279" s="217" t="s">
        <v>195</v>
      </c>
      <c r="F279" s="217" t="s">
        <v>1918</v>
      </c>
      <c r="G279" s="218">
        <v>32825</v>
      </c>
      <c r="H279" s="217" t="s">
        <v>830</v>
      </c>
      <c r="I279" s="217" t="s">
        <v>1919</v>
      </c>
      <c r="J279" s="217" t="s">
        <v>1920</v>
      </c>
      <c r="K279" s="217" t="s">
        <v>50</v>
      </c>
      <c r="L279" s="220">
        <v>549828404</v>
      </c>
      <c r="M279" s="206">
        <v>348575829</v>
      </c>
      <c r="N279" s="206">
        <v>201252575</v>
      </c>
      <c r="O279" s="206">
        <v>795939631</v>
      </c>
      <c r="P279" s="206">
        <v>30699585</v>
      </c>
      <c r="Q279" s="206">
        <v>32334911</v>
      </c>
      <c r="R279" s="206">
        <v>40221401</v>
      </c>
      <c r="S279" s="405">
        <v>0</v>
      </c>
      <c r="T279" s="405">
        <v>0</v>
      </c>
      <c r="U279" s="406">
        <v>0</v>
      </c>
      <c r="V279" s="406">
        <v>0</v>
      </c>
      <c r="W279" s="407">
        <f t="shared" si="238"/>
        <v>0</v>
      </c>
      <c r="X279" s="407">
        <f t="shared" si="239"/>
        <v>100</v>
      </c>
      <c r="Y279" s="408">
        <f t="shared" si="240"/>
        <v>3</v>
      </c>
      <c r="Z279" s="444" t="s">
        <v>3500</v>
      </c>
      <c r="AA279" s="442">
        <v>0</v>
      </c>
      <c r="AB279" s="406">
        <v>1</v>
      </c>
      <c r="AC279" s="406">
        <v>0</v>
      </c>
      <c r="AD279" s="407">
        <f t="shared" si="241"/>
        <v>1</v>
      </c>
      <c r="AE279" s="364" t="str">
        <f t="shared" si="242"/>
        <v>100</v>
      </c>
      <c r="AF279" s="349">
        <f t="shared" si="243"/>
        <v>0.5</v>
      </c>
      <c r="AG279" s="154">
        <v>542</v>
      </c>
      <c r="AH279" s="421"/>
      <c r="AI279" s="409">
        <f t="shared" si="251"/>
        <v>0</v>
      </c>
      <c r="AJ279" s="409">
        <f t="shared" si="252"/>
        <v>25</v>
      </c>
      <c r="AK279" s="408">
        <f t="shared" si="244"/>
        <v>0.25</v>
      </c>
      <c r="AL279" s="423"/>
      <c r="AM279" s="424">
        <v>0</v>
      </c>
      <c r="AN279" s="365">
        <f t="shared" si="268"/>
        <v>25</v>
      </c>
      <c r="AO279" s="320">
        <f t="shared" si="245"/>
        <v>0.25</v>
      </c>
      <c r="AP279" s="277">
        <f>_xlfn.XLOOKUP(C279, '1.건전성'!C:C, '1.건전성'!BE:BE)</f>
        <v>5040331</v>
      </c>
      <c r="AQ279" s="277">
        <f>_xlfn.XLOOKUP(C279, '1.건전성'!C:C, '1.건전성'!BF:BF)</f>
        <v>510773</v>
      </c>
      <c r="AR279" s="410">
        <f t="shared" si="254"/>
        <v>5551104</v>
      </c>
      <c r="AS279" s="366">
        <f t="shared" si="249"/>
        <v>0.69742776760917435</v>
      </c>
      <c r="AT279" s="366">
        <f t="shared" si="255"/>
        <v>25.14881490020792</v>
      </c>
      <c r="AU279" s="321">
        <f t="shared" si="256"/>
        <v>0.25148814900207922</v>
      </c>
      <c r="AV279" s="15">
        <v>585665</v>
      </c>
      <c r="AW279" s="361">
        <f t="shared" si="250"/>
        <v>7.3581585485846979E-2</v>
      </c>
      <c r="AX279" s="361">
        <f t="shared" si="257"/>
        <v>25</v>
      </c>
      <c r="AY279" s="321">
        <f t="shared" si="246"/>
        <v>0.125</v>
      </c>
      <c r="AZ279" s="411">
        <v>8.3000000000000007</v>
      </c>
      <c r="BA279" s="412">
        <f t="shared" si="258"/>
        <v>80</v>
      </c>
      <c r="BB279" s="408">
        <f t="shared" si="247"/>
        <v>0.4</v>
      </c>
      <c r="BC279" s="204">
        <v>0</v>
      </c>
      <c r="BD279" s="407">
        <f t="shared" si="269"/>
        <v>50</v>
      </c>
      <c r="BE279" s="408">
        <f t="shared" si="248"/>
        <v>0.25</v>
      </c>
      <c r="BF279" s="204">
        <v>0</v>
      </c>
      <c r="BG279" s="204">
        <v>1</v>
      </c>
      <c r="BH279" s="204">
        <v>0</v>
      </c>
      <c r="BI279" s="272" t="str">
        <f t="shared" si="259"/>
        <v>C</v>
      </c>
      <c r="BJ279" s="247">
        <f t="shared" si="260"/>
        <v>50</v>
      </c>
      <c r="BK279" s="90">
        <f t="shared" si="261"/>
        <v>1.5</v>
      </c>
      <c r="BL279" s="406">
        <v>20</v>
      </c>
      <c r="BM279" s="413">
        <f t="shared" si="262"/>
        <v>3.6900369003690034</v>
      </c>
      <c r="BN279" s="414">
        <f t="shared" si="263"/>
        <v>40</v>
      </c>
      <c r="BO279" s="415">
        <f t="shared" si="264"/>
        <v>1.2</v>
      </c>
      <c r="BP279" s="416">
        <v>1.73</v>
      </c>
      <c r="BQ279" s="417">
        <f t="shared" si="265"/>
        <v>66.666666666666671</v>
      </c>
      <c r="BR279" s="415">
        <f t="shared" si="266"/>
        <v>0.66666666666666674</v>
      </c>
      <c r="BS279" s="350">
        <f t="shared" si="267"/>
        <v>8.3931548156687459</v>
      </c>
    </row>
    <row r="280" spans="1:71" x14ac:dyDescent="0.6">
      <c r="A280" s="214" t="s">
        <v>794</v>
      </c>
      <c r="B280" s="13" t="s">
        <v>2261</v>
      </c>
      <c r="C280" s="219" t="s">
        <v>516</v>
      </c>
      <c r="D280" s="216" t="s">
        <v>191</v>
      </c>
      <c r="E280" s="217" t="s">
        <v>34</v>
      </c>
      <c r="F280" s="217" t="s">
        <v>642</v>
      </c>
      <c r="G280" s="218">
        <v>27941</v>
      </c>
      <c r="H280" s="217" t="s">
        <v>830</v>
      </c>
      <c r="I280" s="217" t="s">
        <v>284</v>
      </c>
      <c r="J280" s="217" t="s">
        <v>1146</v>
      </c>
      <c r="K280" s="217" t="s">
        <v>91</v>
      </c>
      <c r="L280" s="220">
        <v>888665301</v>
      </c>
      <c r="M280" s="206">
        <v>485651737</v>
      </c>
      <c r="N280" s="206">
        <v>403013565</v>
      </c>
      <c r="O280" s="206">
        <v>536574431</v>
      </c>
      <c r="P280" s="206">
        <v>29103159</v>
      </c>
      <c r="Q280" s="206">
        <v>20616127</v>
      </c>
      <c r="R280" s="206">
        <v>17834953</v>
      </c>
      <c r="S280" s="405">
        <v>0</v>
      </c>
      <c r="T280" s="405">
        <v>0</v>
      </c>
      <c r="U280" s="406">
        <v>0</v>
      </c>
      <c r="V280" s="406">
        <v>0</v>
      </c>
      <c r="W280" s="407">
        <f t="shared" si="238"/>
        <v>0</v>
      </c>
      <c r="X280" s="407">
        <f t="shared" si="239"/>
        <v>100</v>
      </c>
      <c r="Y280" s="408">
        <f t="shared" si="240"/>
        <v>3</v>
      </c>
      <c r="Z280" s="444" t="s">
        <v>3501</v>
      </c>
      <c r="AA280" s="442">
        <v>0</v>
      </c>
      <c r="AB280" s="406">
        <v>1</v>
      </c>
      <c r="AC280" s="406">
        <v>0</v>
      </c>
      <c r="AD280" s="407">
        <f t="shared" si="241"/>
        <v>1</v>
      </c>
      <c r="AE280" s="364" t="str">
        <f t="shared" si="242"/>
        <v>100</v>
      </c>
      <c r="AF280" s="349">
        <f t="shared" si="243"/>
        <v>0.5</v>
      </c>
      <c r="AG280" s="154">
        <v>964</v>
      </c>
      <c r="AH280" s="154">
        <v>1168481</v>
      </c>
      <c r="AI280" s="409">
        <f t="shared" si="251"/>
        <v>1212.1172199170123</v>
      </c>
      <c r="AJ280" s="409">
        <f t="shared" si="252"/>
        <v>100</v>
      </c>
      <c r="AK280" s="408">
        <f t="shared" si="244"/>
        <v>1</v>
      </c>
      <c r="AL280" s="45">
        <v>904276</v>
      </c>
      <c r="AM280" s="361">
        <f t="shared" si="253"/>
        <v>29.217296489125001</v>
      </c>
      <c r="AN280" s="365">
        <f t="shared" si="268"/>
        <v>30.478243091710937</v>
      </c>
      <c r="AO280" s="320">
        <f t="shared" si="245"/>
        <v>0.30478243091710938</v>
      </c>
      <c r="AP280" s="277">
        <f>_xlfn.XLOOKUP(C280, '1.건전성'!C:C, '1.건전성'!BE:BE)</f>
        <v>46611498</v>
      </c>
      <c r="AQ280" s="277">
        <f>_xlfn.XLOOKUP(C280, '1.건전성'!C:C, '1.건전성'!BF:BF)</f>
        <v>5686166</v>
      </c>
      <c r="AR280" s="410">
        <f t="shared" si="254"/>
        <v>52297664</v>
      </c>
      <c r="AS280" s="366">
        <f t="shared" si="249"/>
        <v>9.7465814579599304</v>
      </c>
      <c r="AT280" s="366">
        <f t="shared" si="255"/>
        <v>31.96978501856276</v>
      </c>
      <c r="AU280" s="321">
        <f t="shared" si="256"/>
        <v>0.31969785018562763</v>
      </c>
      <c r="AV280" s="15">
        <v>6412024</v>
      </c>
      <c r="AW280" s="361">
        <f t="shared" si="250"/>
        <v>1.1949924613534184</v>
      </c>
      <c r="AX280" s="361">
        <f t="shared" si="257"/>
        <v>33.295397434495591</v>
      </c>
      <c r="AY280" s="321">
        <f t="shared" si="246"/>
        <v>0.16647698717247797</v>
      </c>
      <c r="AZ280" s="411">
        <v>10.71</v>
      </c>
      <c r="BA280" s="412">
        <f t="shared" si="258"/>
        <v>100</v>
      </c>
      <c r="BB280" s="408">
        <f t="shared" si="247"/>
        <v>0.5</v>
      </c>
      <c r="BC280" s="204">
        <v>1</v>
      </c>
      <c r="BD280" s="407">
        <f t="shared" si="269"/>
        <v>100</v>
      </c>
      <c r="BE280" s="408">
        <f t="shared" si="248"/>
        <v>0.5</v>
      </c>
      <c r="BF280" s="204">
        <v>0</v>
      </c>
      <c r="BG280" s="204">
        <v>0</v>
      </c>
      <c r="BH280" s="204">
        <v>0</v>
      </c>
      <c r="BI280" s="272" t="str">
        <f t="shared" si="259"/>
        <v>A</v>
      </c>
      <c r="BJ280" s="247">
        <f t="shared" si="260"/>
        <v>100</v>
      </c>
      <c r="BK280" s="90">
        <f t="shared" si="261"/>
        <v>3</v>
      </c>
      <c r="BL280" s="406">
        <v>38</v>
      </c>
      <c r="BM280" s="413">
        <f t="shared" si="262"/>
        <v>3.9419087136929458</v>
      </c>
      <c r="BN280" s="414">
        <f t="shared" si="263"/>
        <v>40</v>
      </c>
      <c r="BO280" s="415">
        <f t="shared" si="264"/>
        <v>1.2</v>
      </c>
      <c r="BP280" s="416">
        <v>0.06</v>
      </c>
      <c r="BQ280" s="417">
        <f t="shared" si="265"/>
        <v>66.666666666666671</v>
      </c>
      <c r="BR280" s="415">
        <f t="shared" si="266"/>
        <v>0.66666666666666674</v>
      </c>
      <c r="BS280" s="350">
        <f t="shared" si="267"/>
        <v>11.15762393494188</v>
      </c>
    </row>
    <row r="281" spans="1:71" x14ac:dyDescent="0.6">
      <c r="A281" s="214" t="s">
        <v>43</v>
      </c>
      <c r="B281" s="13" t="s">
        <v>2262</v>
      </c>
      <c r="C281" s="219" t="s">
        <v>298</v>
      </c>
      <c r="D281" s="216" t="s">
        <v>285</v>
      </c>
      <c r="E281" s="217" t="s">
        <v>1167</v>
      </c>
      <c r="F281" s="217" t="s">
        <v>385</v>
      </c>
      <c r="G281" s="218">
        <v>39987</v>
      </c>
      <c r="H281" s="217" t="s">
        <v>830</v>
      </c>
      <c r="I281" s="217" t="s">
        <v>274</v>
      </c>
      <c r="J281" s="217" t="s">
        <v>1244</v>
      </c>
      <c r="K281" s="217" t="s">
        <v>91</v>
      </c>
      <c r="L281" s="220">
        <v>217613616</v>
      </c>
      <c r="M281" s="206">
        <v>69409850</v>
      </c>
      <c r="N281" s="206">
        <v>148203766</v>
      </c>
      <c r="O281" s="206">
        <v>174397667</v>
      </c>
      <c r="P281" s="206">
        <v>12289879</v>
      </c>
      <c r="Q281" s="206">
        <v>16933913</v>
      </c>
      <c r="R281" s="206">
        <v>14379092</v>
      </c>
      <c r="S281" s="405">
        <v>0</v>
      </c>
      <c r="T281" s="405">
        <v>0</v>
      </c>
      <c r="U281" s="406">
        <v>0</v>
      </c>
      <c r="V281" s="406">
        <v>0</v>
      </c>
      <c r="W281" s="407">
        <f t="shared" si="238"/>
        <v>0</v>
      </c>
      <c r="X281" s="407">
        <f t="shared" si="239"/>
        <v>100</v>
      </c>
      <c r="Y281" s="408">
        <f t="shared" si="240"/>
        <v>3</v>
      </c>
      <c r="Z281" s="444" t="s">
        <v>3502</v>
      </c>
      <c r="AA281" s="442">
        <v>0</v>
      </c>
      <c r="AB281" s="406">
        <v>0</v>
      </c>
      <c r="AC281" s="406">
        <v>0</v>
      </c>
      <c r="AD281" s="407">
        <f t="shared" si="241"/>
        <v>0</v>
      </c>
      <c r="AE281" s="364" t="str">
        <f t="shared" si="242"/>
        <v>50</v>
      </c>
      <c r="AF281" s="349">
        <f t="shared" si="243"/>
        <v>0.25</v>
      </c>
      <c r="AG281" s="154">
        <v>1077</v>
      </c>
      <c r="AH281" s="154">
        <v>1132371</v>
      </c>
      <c r="AI281" s="409">
        <f t="shared" si="251"/>
        <v>1051.4122562674095</v>
      </c>
      <c r="AJ281" s="409">
        <f t="shared" si="252"/>
        <v>100</v>
      </c>
      <c r="AK281" s="408">
        <f t="shared" si="244"/>
        <v>1</v>
      </c>
      <c r="AL281" s="45">
        <v>580028</v>
      </c>
      <c r="AM281" s="361">
        <f t="shared" si="253"/>
        <v>95.226954560814306</v>
      </c>
      <c r="AN281" s="365">
        <f t="shared" si="268"/>
        <v>42.855053980152682</v>
      </c>
      <c r="AO281" s="320">
        <f t="shared" si="245"/>
        <v>0.42855053980152685</v>
      </c>
      <c r="AP281" s="277">
        <f>_xlfn.XLOOKUP(C281, '1.건전성'!C:C, '1.건전성'!BE:BE)</f>
        <v>15447268.76039784</v>
      </c>
      <c r="AQ281" s="277">
        <f>_xlfn.XLOOKUP(C281, '1.건전성'!C:C, '1.건전성'!BF:BF)</f>
        <v>1111120.2396021597</v>
      </c>
      <c r="AR281" s="410">
        <f t="shared" si="254"/>
        <v>16558389</v>
      </c>
      <c r="AS281" s="366">
        <f t="shared" si="249"/>
        <v>9.4946161177718054</v>
      </c>
      <c r="AT281" s="366">
        <f t="shared" si="255"/>
        <v>31.779861395305382</v>
      </c>
      <c r="AU281" s="321">
        <f t="shared" si="256"/>
        <v>0.31779861395305381</v>
      </c>
      <c r="AV281" s="15">
        <v>2589143</v>
      </c>
      <c r="AW281" s="361">
        <f t="shared" si="250"/>
        <v>1.4846202042370211</v>
      </c>
      <c r="AX281" s="361">
        <f t="shared" si="257"/>
        <v>35.489547001795614</v>
      </c>
      <c r="AY281" s="321">
        <f t="shared" si="246"/>
        <v>0.17744773500897806</v>
      </c>
      <c r="AZ281" s="411">
        <v>5.0999999999999996</v>
      </c>
      <c r="BA281" s="412">
        <f t="shared" si="258"/>
        <v>40</v>
      </c>
      <c r="BB281" s="408">
        <f t="shared" si="247"/>
        <v>0.2</v>
      </c>
      <c r="BC281" s="204">
        <v>1</v>
      </c>
      <c r="BD281" s="407">
        <f t="shared" si="269"/>
        <v>100</v>
      </c>
      <c r="BE281" s="408">
        <f t="shared" si="248"/>
        <v>0.5</v>
      </c>
      <c r="BF281" s="204">
        <v>0</v>
      </c>
      <c r="BG281" s="204">
        <v>0</v>
      </c>
      <c r="BH281" s="204">
        <v>0</v>
      </c>
      <c r="BI281" s="272" t="str">
        <f t="shared" si="259"/>
        <v>A</v>
      </c>
      <c r="BJ281" s="247">
        <f t="shared" si="260"/>
        <v>100</v>
      </c>
      <c r="BK281" s="90">
        <f t="shared" si="261"/>
        <v>3</v>
      </c>
      <c r="BL281" s="406">
        <v>471</v>
      </c>
      <c r="BM281" s="413">
        <f t="shared" si="262"/>
        <v>43.732590529247908</v>
      </c>
      <c r="BN281" s="414">
        <f t="shared" si="263"/>
        <v>20</v>
      </c>
      <c r="BO281" s="415">
        <f t="shared" si="264"/>
        <v>0.6</v>
      </c>
      <c r="BP281" s="416">
        <v>0.7</v>
      </c>
      <c r="BQ281" s="417">
        <f t="shared" si="265"/>
        <v>66.666666666666671</v>
      </c>
      <c r="BR281" s="415">
        <f t="shared" si="266"/>
        <v>0.66666666666666674</v>
      </c>
      <c r="BS281" s="350">
        <f t="shared" si="267"/>
        <v>10.140463555430223</v>
      </c>
    </row>
    <row r="282" spans="1:71" x14ac:dyDescent="0.6">
      <c r="A282" s="214" t="s">
        <v>935</v>
      </c>
      <c r="B282" s="13" t="s">
        <v>2263</v>
      </c>
      <c r="C282" s="219" t="s">
        <v>463</v>
      </c>
      <c r="D282" s="216" t="s">
        <v>202</v>
      </c>
      <c r="E282" s="217" t="s">
        <v>572</v>
      </c>
      <c r="F282" s="217" t="s">
        <v>660</v>
      </c>
      <c r="G282" s="218">
        <v>38555</v>
      </c>
      <c r="H282" s="217" t="s">
        <v>830</v>
      </c>
      <c r="I282" s="217" t="s">
        <v>764</v>
      </c>
      <c r="J282" s="217" t="s">
        <v>1224</v>
      </c>
      <c r="K282" s="217" t="s">
        <v>346</v>
      </c>
      <c r="L282" s="220">
        <v>441490503</v>
      </c>
      <c r="M282" s="206">
        <v>66273961</v>
      </c>
      <c r="N282" s="206">
        <v>375216542</v>
      </c>
      <c r="O282" s="206">
        <v>323948862</v>
      </c>
      <c r="P282" s="206">
        <v>109531252</v>
      </c>
      <c r="Q282" s="206">
        <v>126178452</v>
      </c>
      <c r="R282" s="206">
        <v>91469843</v>
      </c>
      <c r="S282" s="405">
        <v>0</v>
      </c>
      <c r="T282" s="405">
        <v>0</v>
      </c>
      <c r="U282" s="406">
        <v>0</v>
      </c>
      <c r="V282" s="406">
        <v>0</v>
      </c>
      <c r="W282" s="407">
        <f t="shared" si="238"/>
        <v>0</v>
      </c>
      <c r="X282" s="407">
        <f t="shared" si="239"/>
        <v>100</v>
      </c>
      <c r="Y282" s="408">
        <f t="shared" si="240"/>
        <v>3</v>
      </c>
      <c r="Z282" s="444" t="s">
        <v>3503</v>
      </c>
      <c r="AA282" s="442">
        <v>0</v>
      </c>
      <c r="AB282" s="406">
        <v>1</v>
      </c>
      <c r="AC282" s="406">
        <v>0</v>
      </c>
      <c r="AD282" s="407">
        <f t="shared" si="241"/>
        <v>1</v>
      </c>
      <c r="AE282" s="364" t="str">
        <f t="shared" si="242"/>
        <v>100</v>
      </c>
      <c r="AF282" s="349">
        <f t="shared" si="243"/>
        <v>0.5</v>
      </c>
      <c r="AG282" s="154">
        <v>634</v>
      </c>
      <c r="AH282" s="422"/>
      <c r="AI282" s="409">
        <f t="shared" si="251"/>
        <v>0</v>
      </c>
      <c r="AJ282" s="409">
        <f t="shared" si="252"/>
        <v>25</v>
      </c>
      <c r="AK282" s="408">
        <f t="shared" si="244"/>
        <v>0.25</v>
      </c>
      <c r="AL282" s="423"/>
      <c r="AM282" s="424">
        <v>0</v>
      </c>
      <c r="AN282" s="365">
        <f t="shared" si="268"/>
        <v>25</v>
      </c>
      <c r="AO282" s="320">
        <f t="shared" si="245"/>
        <v>0.25</v>
      </c>
      <c r="AP282" s="277">
        <f>_xlfn.XLOOKUP(C282, '1.건전성'!C:C, '1.건전성'!BE:BE)</f>
        <v>11729820</v>
      </c>
      <c r="AQ282" s="277">
        <f>_xlfn.XLOOKUP(C282, '1.건전성'!C:C, '1.건전성'!BF:BF)</f>
        <v>613673</v>
      </c>
      <c r="AR282" s="410">
        <f t="shared" si="254"/>
        <v>12343493</v>
      </c>
      <c r="AS282" s="366">
        <f t="shared" si="249"/>
        <v>3.8103214574650983</v>
      </c>
      <c r="AT282" s="366">
        <f t="shared" si="255"/>
        <v>27.495217178993791</v>
      </c>
      <c r="AU282" s="321">
        <f t="shared" si="256"/>
        <v>0.27495217178993792</v>
      </c>
      <c r="AV282" s="15">
        <v>858950</v>
      </c>
      <c r="AW282" s="361">
        <f t="shared" si="250"/>
        <v>0.26514987417983277</v>
      </c>
      <c r="AX282" s="361">
        <f t="shared" si="257"/>
        <v>26.25113541045328</v>
      </c>
      <c r="AY282" s="321">
        <f t="shared" si="246"/>
        <v>0.1312556770522664</v>
      </c>
      <c r="AZ282" s="411">
        <v>8.1</v>
      </c>
      <c r="BA282" s="412">
        <f t="shared" si="258"/>
        <v>80</v>
      </c>
      <c r="BB282" s="408">
        <f t="shared" si="247"/>
        <v>0.4</v>
      </c>
      <c r="BC282" s="204">
        <v>1</v>
      </c>
      <c r="BD282" s="407">
        <f t="shared" si="269"/>
        <v>100</v>
      </c>
      <c r="BE282" s="408">
        <f t="shared" si="248"/>
        <v>0.5</v>
      </c>
      <c r="BF282" s="204">
        <v>0</v>
      </c>
      <c r="BG282" s="204">
        <v>0</v>
      </c>
      <c r="BH282" s="204">
        <v>0</v>
      </c>
      <c r="BI282" s="272" t="str">
        <f t="shared" si="259"/>
        <v>A</v>
      </c>
      <c r="BJ282" s="247">
        <f t="shared" si="260"/>
        <v>100</v>
      </c>
      <c r="BK282" s="90">
        <f t="shared" si="261"/>
        <v>3</v>
      </c>
      <c r="BL282" s="406">
        <v>6</v>
      </c>
      <c r="BM282" s="413">
        <f t="shared" si="262"/>
        <v>0.94637223974763407</v>
      </c>
      <c r="BN282" s="414">
        <f t="shared" si="263"/>
        <v>80</v>
      </c>
      <c r="BO282" s="415">
        <f t="shared" si="264"/>
        <v>2.4</v>
      </c>
      <c r="BP282" s="416">
        <v>0</v>
      </c>
      <c r="BQ282" s="417">
        <f t="shared" si="265"/>
        <v>33.333333333333336</v>
      </c>
      <c r="BR282" s="415">
        <f t="shared" si="266"/>
        <v>0.33333333333333337</v>
      </c>
      <c r="BS282" s="350">
        <f t="shared" si="267"/>
        <v>11.039541182175538</v>
      </c>
    </row>
    <row r="283" spans="1:71" x14ac:dyDescent="0.6">
      <c r="A283" s="214" t="s">
        <v>462</v>
      </c>
      <c r="B283" s="13" t="s">
        <v>2264</v>
      </c>
      <c r="C283" s="219" t="s">
        <v>893</v>
      </c>
      <c r="D283" s="216" t="s">
        <v>191</v>
      </c>
      <c r="E283" s="217" t="s">
        <v>34</v>
      </c>
      <c r="F283" s="217" t="s">
        <v>818</v>
      </c>
      <c r="G283" s="218">
        <v>40389</v>
      </c>
      <c r="H283" s="217" t="s">
        <v>830</v>
      </c>
      <c r="I283" s="217" t="s">
        <v>1921</v>
      </c>
      <c r="J283" s="1" t="s">
        <v>2309</v>
      </c>
      <c r="K283" s="217" t="s">
        <v>690</v>
      </c>
      <c r="L283" s="220">
        <v>1399293783</v>
      </c>
      <c r="M283" s="206">
        <v>813470761</v>
      </c>
      <c r="N283" s="206">
        <v>585823022</v>
      </c>
      <c r="O283" s="206">
        <v>982048866</v>
      </c>
      <c r="P283" s="206">
        <v>79110747</v>
      </c>
      <c r="Q283" s="206">
        <v>59432696</v>
      </c>
      <c r="R283" s="206">
        <v>50327230</v>
      </c>
      <c r="S283" s="405">
        <v>0</v>
      </c>
      <c r="T283" s="405">
        <v>0</v>
      </c>
      <c r="U283" s="406">
        <v>0</v>
      </c>
      <c r="V283" s="406">
        <v>0</v>
      </c>
      <c r="W283" s="407">
        <f t="shared" si="238"/>
        <v>0</v>
      </c>
      <c r="X283" s="407">
        <f t="shared" si="239"/>
        <v>100</v>
      </c>
      <c r="Y283" s="408">
        <f t="shared" si="240"/>
        <v>3</v>
      </c>
      <c r="Z283" s="444" t="s">
        <v>3504</v>
      </c>
      <c r="AA283" s="442">
        <v>0</v>
      </c>
      <c r="AB283" s="406">
        <v>0</v>
      </c>
      <c r="AC283" s="406">
        <v>0</v>
      </c>
      <c r="AD283" s="407">
        <f t="shared" si="241"/>
        <v>0</v>
      </c>
      <c r="AE283" s="364" t="str">
        <f t="shared" si="242"/>
        <v>50</v>
      </c>
      <c r="AF283" s="349">
        <f t="shared" si="243"/>
        <v>0.25</v>
      </c>
      <c r="AG283" s="154">
        <v>2297</v>
      </c>
      <c r="AH283" s="154">
        <v>2113644</v>
      </c>
      <c r="AI283" s="409">
        <f t="shared" si="251"/>
        <v>920.17588158467561</v>
      </c>
      <c r="AJ283" s="409">
        <f t="shared" si="252"/>
        <v>100</v>
      </c>
      <c r="AK283" s="408">
        <f t="shared" si="244"/>
        <v>1</v>
      </c>
      <c r="AL283" s="45">
        <v>1617211</v>
      </c>
      <c r="AM283" s="361">
        <f t="shared" si="253"/>
        <v>30.696860211809096</v>
      </c>
      <c r="AN283" s="365">
        <f t="shared" si="268"/>
        <v>30.755661289714205</v>
      </c>
      <c r="AO283" s="320">
        <f t="shared" si="245"/>
        <v>0.30755661289714203</v>
      </c>
      <c r="AP283" s="277">
        <f>_xlfn.XLOOKUP(C283, '1.건전성'!C:C, '1.건전성'!BE:BE)</f>
        <v>79202956</v>
      </c>
      <c r="AQ283" s="277">
        <f>_xlfn.XLOOKUP(C283, '1.건전성'!C:C, '1.건전성'!BF:BF)</f>
        <v>7094563</v>
      </c>
      <c r="AR283" s="410">
        <f t="shared" si="254"/>
        <v>86297519</v>
      </c>
      <c r="AS283" s="366">
        <f t="shared" si="249"/>
        <v>8.7874974441444955</v>
      </c>
      <c r="AT283" s="366">
        <f t="shared" si="255"/>
        <v>31.246857369958164</v>
      </c>
      <c r="AU283" s="321">
        <f t="shared" si="256"/>
        <v>0.31246857369958164</v>
      </c>
      <c r="AV283" s="15">
        <v>20506644</v>
      </c>
      <c r="AW283" s="361">
        <f t="shared" si="250"/>
        <v>2.0881490432880354</v>
      </c>
      <c r="AX283" s="361">
        <f t="shared" si="257"/>
        <v>40.061735176424513</v>
      </c>
      <c r="AY283" s="321">
        <f t="shared" si="246"/>
        <v>0.20030867588212256</v>
      </c>
      <c r="AZ283" s="411">
        <v>8.1999999999999993</v>
      </c>
      <c r="BA283" s="412">
        <f t="shared" si="258"/>
        <v>80</v>
      </c>
      <c r="BB283" s="408">
        <f t="shared" si="247"/>
        <v>0.4</v>
      </c>
      <c r="BC283" s="204">
        <v>1</v>
      </c>
      <c r="BD283" s="407">
        <f t="shared" si="269"/>
        <v>100</v>
      </c>
      <c r="BE283" s="408">
        <f t="shared" si="248"/>
        <v>0.5</v>
      </c>
      <c r="BF283" s="204">
        <v>0</v>
      </c>
      <c r="BG283" s="204">
        <v>0</v>
      </c>
      <c r="BH283" s="204">
        <v>0</v>
      </c>
      <c r="BI283" s="272" t="str">
        <f t="shared" si="259"/>
        <v>A</v>
      </c>
      <c r="BJ283" s="247">
        <f t="shared" si="260"/>
        <v>100</v>
      </c>
      <c r="BK283" s="90">
        <f t="shared" si="261"/>
        <v>3</v>
      </c>
      <c r="BL283" s="406">
        <v>92</v>
      </c>
      <c r="BM283" s="413">
        <f t="shared" si="262"/>
        <v>4.0052242054854155</v>
      </c>
      <c r="BN283" s="414">
        <f t="shared" si="263"/>
        <v>40</v>
      </c>
      <c r="BO283" s="415">
        <f t="shared" si="264"/>
        <v>1.2</v>
      </c>
      <c r="BP283" s="416">
        <v>0.02</v>
      </c>
      <c r="BQ283" s="417">
        <f t="shared" si="265"/>
        <v>66.666666666666671</v>
      </c>
      <c r="BR283" s="415">
        <f t="shared" si="266"/>
        <v>0.66666666666666674</v>
      </c>
      <c r="BS283" s="350">
        <f t="shared" si="267"/>
        <v>10.837000529145511</v>
      </c>
    </row>
    <row r="284" spans="1:71" x14ac:dyDescent="0.6">
      <c r="A284" s="214" t="s">
        <v>1922</v>
      </c>
      <c r="B284" s="13" t="s">
        <v>2265</v>
      </c>
      <c r="C284" s="219" t="s">
        <v>882</v>
      </c>
      <c r="D284" s="216" t="s">
        <v>191</v>
      </c>
      <c r="E284" s="217" t="s">
        <v>190</v>
      </c>
      <c r="F284" s="217" t="s">
        <v>677</v>
      </c>
      <c r="G284" s="218">
        <v>35249</v>
      </c>
      <c r="H284" s="217" t="s">
        <v>830</v>
      </c>
      <c r="I284" s="217" t="s">
        <v>835</v>
      </c>
      <c r="J284" s="217" t="s">
        <v>1208</v>
      </c>
      <c r="K284" s="217" t="s">
        <v>91</v>
      </c>
      <c r="L284" s="220">
        <v>1687627808</v>
      </c>
      <c r="M284" s="206">
        <v>342539051</v>
      </c>
      <c r="N284" s="206">
        <v>1345088757</v>
      </c>
      <c r="O284" s="206">
        <v>1537082442</v>
      </c>
      <c r="P284" s="206">
        <v>174260144</v>
      </c>
      <c r="Q284" s="206">
        <v>166140393</v>
      </c>
      <c r="R284" s="206">
        <v>125065962</v>
      </c>
      <c r="S284" s="405">
        <v>0</v>
      </c>
      <c r="T284" s="405">
        <v>0</v>
      </c>
      <c r="U284" s="406">
        <v>0</v>
      </c>
      <c r="V284" s="406">
        <v>0</v>
      </c>
      <c r="W284" s="407">
        <f t="shared" si="238"/>
        <v>0</v>
      </c>
      <c r="X284" s="407">
        <f t="shared" si="239"/>
        <v>100</v>
      </c>
      <c r="Y284" s="408">
        <f t="shared" si="240"/>
        <v>3</v>
      </c>
      <c r="Z284" s="444" t="s">
        <v>3505</v>
      </c>
      <c r="AA284" s="442">
        <v>0</v>
      </c>
      <c r="AB284" s="406">
        <v>0</v>
      </c>
      <c r="AC284" s="406">
        <v>0</v>
      </c>
      <c r="AD284" s="407">
        <f t="shared" si="241"/>
        <v>0</v>
      </c>
      <c r="AE284" s="364" t="str">
        <f t="shared" si="242"/>
        <v>50</v>
      </c>
      <c r="AF284" s="349">
        <f t="shared" si="243"/>
        <v>0.25</v>
      </c>
      <c r="AG284" s="154">
        <v>1596</v>
      </c>
      <c r="AH284" s="421"/>
      <c r="AI284" s="409">
        <f t="shared" si="251"/>
        <v>0</v>
      </c>
      <c r="AJ284" s="409">
        <f t="shared" si="252"/>
        <v>25</v>
      </c>
      <c r="AK284" s="408">
        <f t="shared" si="244"/>
        <v>0.25</v>
      </c>
      <c r="AL284" s="423"/>
      <c r="AM284" s="424">
        <v>0</v>
      </c>
      <c r="AN284" s="365">
        <f t="shared" si="268"/>
        <v>25</v>
      </c>
      <c r="AO284" s="320">
        <f t="shared" si="245"/>
        <v>0.25</v>
      </c>
      <c r="AP284" s="277">
        <f>_xlfn.XLOOKUP(C284, '1.건전성'!C:C, '1.건전성'!BE:BE)</f>
        <v>59354504</v>
      </c>
      <c r="AQ284" s="277">
        <f>_xlfn.XLOOKUP(C284, '1.건전성'!C:C, '1.건전성'!BF:BF)</f>
        <v>6028875</v>
      </c>
      <c r="AR284" s="410">
        <f t="shared" si="254"/>
        <v>65383379</v>
      </c>
      <c r="AS284" s="366">
        <f t="shared" si="249"/>
        <v>4.2537327350461007</v>
      </c>
      <c r="AT284" s="366">
        <f t="shared" si="255"/>
        <v>27.829446785210628</v>
      </c>
      <c r="AU284" s="321">
        <f t="shared" si="256"/>
        <v>0.27829446785210626</v>
      </c>
      <c r="AV284" s="15">
        <v>9254650</v>
      </c>
      <c r="AW284" s="361">
        <f t="shared" si="250"/>
        <v>0.60209197289106764</v>
      </c>
      <c r="AX284" s="361">
        <f t="shared" si="257"/>
        <v>28.803727067356572</v>
      </c>
      <c r="AY284" s="321">
        <f t="shared" si="246"/>
        <v>0.14401863533678286</v>
      </c>
      <c r="AZ284" s="411">
        <v>6.6</v>
      </c>
      <c r="BA284" s="412">
        <f t="shared" si="258"/>
        <v>60</v>
      </c>
      <c r="BB284" s="408">
        <f t="shared" si="247"/>
        <v>0.3</v>
      </c>
      <c r="BC284" s="204">
        <v>1</v>
      </c>
      <c r="BD284" s="407">
        <f t="shared" si="269"/>
        <v>100</v>
      </c>
      <c r="BE284" s="408">
        <f t="shared" si="248"/>
        <v>0.5</v>
      </c>
      <c r="BF284" s="204">
        <v>0</v>
      </c>
      <c r="BG284" s="204">
        <v>1</v>
      </c>
      <c r="BH284" s="204">
        <v>0</v>
      </c>
      <c r="BI284" s="272" t="str">
        <f t="shared" si="259"/>
        <v>C</v>
      </c>
      <c r="BJ284" s="247">
        <f t="shared" si="260"/>
        <v>50</v>
      </c>
      <c r="BK284" s="90">
        <f t="shared" si="261"/>
        <v>1.5</v>
      </c>
      <c r="BL284" s="406">
        <v>94</v>
      </c>
      <c r="BM284" s="413">
        <f t="shared" si="262"/>
        <v>5.8897243107769421</v>
      </c>
      <c r="BN284" s="414">
        <f t="shared" si="263"/>
        <v>40</v>
      </c>
      <c r="BO284" s="415">
        <f t="shared" si="264"/>
        <v>1.2</v>
      </c>
      <c r="BP284" s="416">
        <v>0</v>
      </c>
      <c r="BQ284" s="417">
        <f t="shared" si="265"/>
        <v>33.333333333333336</v>
      </c>
      <c r="BR284" s="415">
        <f t="shared" si="266"/>
        <v>0.33333333333333337</v>
      </c>
      <c r="BS284" s="350">
        <f t="shared" si="267"/>
        <v>8.0056464365222233</v>
      </c>
    </row>
    <row r="285" spans="1:71" x14ac:dyDescent="0.6">
      <c r="A285" s="214" t="s">
        <v>904</v>
      </c>
      <c r="B285" s="13" t="s">
        <v>2266</v>
      </c>
      <c r="C285" s="219" t="s">
        <v>494</v>
      </c>
      <c r="D285" s="216" t="s">
        <v>191</v>
      </c>
      <c r="E285" s="217" t="s">
        <v>190</v>
      </c>
      <c r="F285" s="217" t="s">
        <v>920</v>
      </c>
      <c r="G285" s="218">
        <v>39892</v>
      </c>
      <c r="H285" s="217" t="s">
        <v>830</v>
      </c>
      <c r="I285" s="217" t="s">
        <v>1923</v>
      </c>
      <c r="J285" s="217" t="s">
        <v>1130</v>
      </c>
      <c r="K285" s="217" t="s">
        <v>91</v>
      </c>
      <c r="L285" s="220">
        <v>1063253032</v>
      </c>
      <c r="M285" s="206">
        <v>502967240</v>
      </c>
      <c r="N285" s="206">
        <v>560285793</v>
      </c>
      <c r="O285" s="206">
        <v>2146018022</v>
      </c>
      <c r="P285" s="206">
        <v>175483550</v>
      </c>
      <c r="Q285" s="206">
        <v>145218477</v>
      </c>
      <c r="R285" s="206">
        <v>104290709</v>
      </c>
      <c r="S285" s="405">
        <v>0</v>
      </c>
      <c r="T285" s="405">
        <v>0</v>
      </c>
      <c r="U285" s="406">
        <v>0</v>
      </c>
      <c r="V285" s="406">
        <v>0</v>
      </c>
      <c r="W285" s="407">
        <f t="shared" si="238"/>
        <v>0</v>
      </c>
      <c r="X285" s="407">
        <f t="shared" si="239"/>
        <v>100</v>
      </c>
      <c r="Y285" s="408">
        <f t="shared" si="240"/>
        <v>3</v>
      </c>
      <c r="Z285" s="444" t="s">
        <v>3506</v>
      </c>
      <c r="AA285" s="442">
        <v>0</v>
      </c>
      <c r="AB285" s="406">
        <v>0</v>
      </c>
      <c r="AC285" s="406">
        <v>0</v>
      </c>
      <c r="AD285" s="407">
        <f t="shared" si="241"/>
        <v>0</v>
      </c>
      <c r="AE285" s="364" t="str">
        <f t="shared" si="242"/>
        <v>50</v>
      </c>
      <c r="AF285" s="349">
        <f t="shared" si="243"/>
        <v>0.25</v>
      </c>
      <c r="AG285" s="154">
        <v>508</v>
      </c>
      <c r="AH285" s="421"/>
      <c r="AI285" s="409">
        <f t="shared" si="251"/>
        <v>0</v>
      </c>
      <c r="AJ285" s="409">
        <f t="shared" si="252"/>
        <v>25</v>
      </c>
      <c r="AK285" s="408">
        <f t="shared" si="244"/>
        <v>0.25</v>
      </c>
      <c r="AL285" s="423"/>
      <c r="AM285" s="424">
        <v>0</v>
      </c>
      <c r="AN285" s="365">
        <f t="shared" si="268"/>
        <v>25</v>
      </c>
      <c r="AO285" s="320">
        <f t="shared" si="245"/>
        <v>0.25</v>
      </c>
      <c r="AP285" s="277">
        <f>_xlfn.XLOOKUP(C285, '1.건전성'!C:C, '1.건전성'!BE:BE)</f>
        <v>42178502</v>
      </c>
      <c r="AQ285" s="277">
        <f>_xlfn.XLOOKUP(C285, '1.건전성'!C:C, '1.건전성'!BF:BF)</f>
        <v>3858982</v>
      </c>
      <c r="AR285" s="410">
        <f t="shared" si="254"/>
        <v>46037484</v>
      </c>
      <c r="AS285" s="366">
        <f t="shared" si="249"/>
        <v>2.1452515089829007</v>
      </c>
      <c r="AT285" s="366">
        <f t="shared" si="255"/>
        <v>26.240139328379072</v>
      </c>
      <c r="AU285" s="321">
        <f t="shared" si="256"/>
        <v>0.26240139328379075</v>
      </c>
      <c r="AV285" s="15">
        <v>7673531</v>
      </c>
      <c r="AW285" s="361">
        <f t="shared" si="250"/>
        <v>0.35757066908732604</v>
      </c>
      <c r="AX285" s="361">
        <f t="shared" si="257"/>
        <v>26.951292947631259</v>
      </c>
      <c r="AY285" s="321">
        <f t="shared" si="246"/>
        <v>0.13475646473815631</v>
      </c>
      <c r="AZ285" s="411">
        <v>6.83</v>
      </c>
      <c r="BA285" s="412">
        <f t="shared" si="258"/>
        <v>60</v>
      </c>
      <c r="BB285" s="408">
        <f t="shared" si="247"/>
        <v>0.3</v>
      </c>
      <c r="BC285" s="204">
        <v>1</v>
      </c>
      <c r="BD285" s="407">
        <f t="shared" si="269"/>
        <v>100</v>
      </c>
      <c r="BE285" s="408">
        <f t="shared" si="248"/>
        <v>0.5</v>
      </c>
      <c r="BF285" s="204">
        <v>0</v>
      </c>
      <c r="BG285" s="204">
        <v>0</v>
      </c>
      <c r="BH285" s="204">
        <v>0</v>
      </c>
      <c r="BI285" s="272" t="str">
        <f t="shared" si="259"/>
        <v>A</v>
      </c>
      <c r="BJ285" s="247">
        <f t="shared" si="260"/>
        <v>100</v>
      </c>
      <c r="BK285" s="90">
        <f t="shared" si="261"/>
        <v>3</v>
      </c>
      <c r="BL285" s="406">
        <v>16</v>
      </c>
      <c r="BM285" s="413">
        <f t="shared" si="262"/>
        <v>3.1496062992125982</v>
      </c>
      <c r="BN285" s="414">
        <f t="shared" si="263"/>
        <v>40</v>
      </c>
      <c r="BO285" s="415">
        <f t="shared" si="264"/>
        <v>1.2</v>
      </c>
      <c r="BP285" s="416">
        <v>0.7</v>
      </c>
      <c r="BQ285" s="417">
        <f t="shared" si="265"/>
        <v>66.666666666666671</v>
      </c>
      <c r="BR285" s="415">
        <f t="shared" si="266"/>
        <v>0.66666666666666674</v>
      </c>
      <c r="BS285" s="350">
        <f t="shared" si="267"/>
        <v>9.8138245246886129</v>
      </c>
    </row>
    <row r="286" spans="1:71" x14ac:dyDescent="0.6">
      <c r="A286" s="214" t="s">
        <v>929</v>
      </c>
      <c r="B286" s="13" t="s">
        <v>2267</v>
      </c>
      <c r="C286" s="219" t="s">
        <v>925</v>
      </c>
      <c r="D286" s="216" t="s">
        <v>285</v>
      </c>
      <c r="E286" s="217" t="s">
        <v>622</v>
      </c>
      <c r="F286" s="217" t="s">
        <v>142</v>
      </c>
      <c r="G286" s="218">
        <v>32825</v>
      </c>
      <c r="H286" s="217" t="s">
        <v>830</v>
      </c>
      <c r="I286" s="217" t="s">
        <v>825</v>
      </c>
      <c r="J286" s="217" t="s">
        <v>645</v>
      </c>
      <c r="K286" s="217" t="s">
        <v>91</v>
      </c>
      <c r="L286" s="220">
        <v>155630578</v>
      </c>
      <c r="M286" s="206">
        <v>90528054</v>
      </c>
      <c r="N286" s="206">
        <v>65102524</v>
      </c>
      <c r="O286" s="206">
        <v>645266960</v>
      </c>
      <c r="P286" s="206">
        <v>10863969</v>
      </c>
      <c r="Q286" s="206">
        <v>8506214</v>
      </c>
      <c r="R286" s="206">
        <v>6849115</v>
      </c>
      <c r="S286" s="405">
        <v>0</v>
      </c>
      <c r="T286" s="405">
        <v>0</v>
      </c>
      <c r="U286" s="406">
        <v>0</v>
      </c>
      <c r="V286" s="406">
        <v>0</v>
      </c>
      <c r="W286" s="407">
        <f t="shared" si="238"/>
        <v>0</v>
      </c>
      <c r="X286" s="407">
        <f t="shared" si="239"/>
        <v>100</v>
      </c>
      <c r="Y286" s="408">
        <f t="shared" si="240"/>
        <v>3</v>
      </c>
      <c r="Z286" s="444" t="s">
        <v>3507</v>
      </c>
      <c r="AA286" s="442">
        <v>0</v>
      </c>
      <c r="AB286" s="406">
        <v>0</v>
      </c>
      <c r="AC286" s="406">
        <v>0</v>
      </c>
      <c r="AD286" s="407">
        <f t="shared" si="241"/>
        <v>0</v>
      </c>
      <c r="AE286" s="364" t="str">
        <f t="shared" si="242"/>
        <v>50</v>
      </c>
      <c r="AF286" s="349">
        <f t="shared" si="243"/>
        <v>0.25</v>
      </c>
      <c r="AG286" s="154">
        <v>292</v>
      </c>
      <c r="AH286" s="154">
        <v>278404</v>
      </c>
      <c r="AI286" s="409">
        <f t="shared" si="251"/>
        <v>953.43835616438355</v>
      </c>
      <c r="AJ286" s="409">
        <f t="shared" si="252"/>
        <v>100</v>
      </c>
      <c r="AK286" s="408">
        <f t="shared" si="244"/>
        <v>1</v>
      </c>
      <c r="AL286" s="45">
        <v>128106</v>
      </c>
      <c r="AM286" s="361">
        <f t="shared" si="253"/>
        <v>117.32315426287605</v>
      </c>
      <c r="AN286" s="365">
        <f t="shared" si="268"/>
        <v>46.998091424289257</v>
      </c>
      <c r="AO286" s="320">
        <f t="shared" si="245"/>
        <v>0.46998091424289257</v>
      </c>
      <c r="AP286" s="277">
        <f>_xlfn.XLOOKUP(C286, '1.건전성'!C:C, '1.건전성'!BE:BE)</f>
        <v>9510581</v>
      </c>
      <c r="AQ286" s="277">
        <f>_xlfn.XLOOKUP(C286, '1.건전성'!C:C, '1.건전성'!BF:BF)</f>
        <v>828215</v>
      </c>
      <c r="AR286" s="410">
        <f t="shared" si="254"/>
        <v>10338796</v>
      </c>
      <c r="AS286" s="366">
        <f t="shared" si="249"/>
        <v>1.6022509505213161</v>
      </c>
      <c r="AT286" s="366">
        <f t="shared" si="255"/>
        <v>25.830842425016066</v>
      </c>
      <c r="AU286" s="321">
        <f t="shared" si="256"/>
        <v>0.25830842425016065</v>
      </c>
      <c r="AV286" s="15">
        <v>4221058</v>
      </c>
      <c r="AW286" s="361">
        <f t="shared" si="250"/>
        <v>0.65415684695835041</v>
      </c>
      <c r="AX286" s="361">
        <f t="shared" si="257"/>
        <v>29.198157931502656</v>
      </c>
      <c r="AY286" s="321">
        <f t="shared" si="246"/>
        <v>0.14599078965751328</v>
      </c>
      <c r="AZ286" s="411">
        <v>7.6</v>
      </c>
      <c r="BA286" s="412">
        <f t="shared" si="258"/>
        <v>60</v>
      </c>
      <c r="BB286" s="408">
        <f t="shared" si="247"/>
        <v>0.3</v>
      </c>
      <c r="BC286" s="204">
        <v>1</v>
      </c>
      <c r="BD286" s="407">
        <f t="shared" si="269"/>
        <v>100</v>
      </c>
      <c r="BE286" s="408">
        <f t="shared" si="248"/>
        <v>0.5</v>
      </c>
      <c r="BF286" s="204">
        <v>0</v>
      </c>
      <c r="BG286" s="204">
        <v>0</v>
      </c>
      <c r="BH286" s="204">
        <v>0</v>
      </c>
      <c r="BI286" s="272" t="str">
        <f t="shared" si="259"/>
        <v>A</v>
      </c>
      <c r="BJ286" s="247">
        <f t="shared" si="260"/>
        <v>100</v>
      </c>
      <c r="BK286" s="90">
        <f t="shared" si="261"/>
        <v>3</v>
      </c>
      <c r="BL286" s="406">
        <v>31</v>
      </c>
      <c r="BM286" s="413">
        <f t="shared" si="262"/>
        <v>10.616438356164384</v>
      </c>
      <c r="BN286" s="414">
        <f t="shared" si="263"/>
        <v>20</v>
      </c>
      <c r="BO286" s="415">
        <f t="shared" si="264"/>
        <v>0.6</v>
      </c>
      <c r="BP286" s="416">
        <v>0.13</v>
      </c>
      <c r="BQ286" s="417">
        <f t="shared" si="265"/>
        <v>66.666666666666671</v>
      </c>
      <c r="BR286" s="415">
        <f t="shared" si="266"/>
        <v>0.66666666666666674</v>
      </c>
      <c r="BS286" s="350">
        <f t="shared" si="267"/>
        <v>10.190946794817233</v>
      </c>
    </row>
    <row r="287" spans="1:71" x14ac:dyDescent="0.6">
      <c r="A287" s="214" t="s">
        <v>467</v>
      </c>
      <c r="B287" s="13" t="s">
        <v>2268</v>
      </c>
      <c r="C287" s="219" t="s">
        <v>41</v>
      </c>
      <c r="D287" s="216" t="s">
        <v>203</v>
      </c>
      <c r="E287" s="217" t="s">
        <v>180</v>
      </c>
      <c r="F287" s="217" t="s">
        <v>135</v>
      </c>
      <c r="G287" s="218">
        <v>32648</v>
      </c>
      <c r="H287" s="217" t="s">
        <v>830</v>
      </c>
      <c r="I287" s="217" t="s">
        <v>788</v>
      </c>
      <c r="J287" s="217" t="s">
        <v>649</v>
      </c>
      <c r="K287" s="217" t="s">
        <v>91</v>
      </c>
      <c r="L287" s="220">
        <v>969016968</v>
      </c>
      <c r="M287" s="206">
        <v>318689082</v>
      </c>
      <c r="N287" s="206">
        <v>650327885</v>
      </c>
      <c r="O287" s="206">
        <v>637646664</v>
      </c>
      <c r="P287" s="206">
        <v>145266257</v>
      </c>
      <c r="Q287" s="206">
        <v>152220142</v>
      </c>
      <c r="R287" s="206">
        <v>120839991</v>
      </c>
      <c r="S287" s="405">
        <v>0</v>
      </c>
      <c r="T287" s="405">
        <v>0</v>
      </c>
      <c r="U287" s="406">
        <v>0</v>
      </c>
      <c r="V287" s="406">
        <v>0</v>
      </c>
      <c r="W287" s="407">
        <f t="shared" si="238"/>
        <v>0</v>
      </c>
      <c r="X287" s="407">
        <f t="shared" si="239"/>
        <v>100</v>
      </c>
      <c r="Y287" s="408">
        <f t="shared" si="240"/>
        <v>3</v>
      </c>
      <c r="Z287" s="444" t="s">
        <v>3508</v>
      </c>
      <c r="AA287" s="442">
        <v>0</v>
      </c>
      <c r="AB287" s="406">
        <v>1</v>
      </c>
      <c r="AC287" s="406">
        <v>0</v>
      </c>
      <c r="AD287" s="407">
        <f t="shared" si="241"/>
        <v>1</v>
      </c>
      <c r="AE287" s="364" t="str">
        <f t="shared" si="242"/>
        <v>100</v>
      </c>
      <c r="AF287" s="349">
        <f t="shared" si="243"/>
        <v>0.5</v>
      </c>
      <c r="AG287" s="154">
        <v>652</v>
      </c>
      <c r="AH287" s="421"/>
      <c r="AI287" s="409">
        <f t="shared" si="251"/>
        <v>0</v>
      </c>
      <c r="AJ287" s="409">
        <f t="shared" si="252"/>
        <v>25</v>
      </c>
      <c r="AK287" s="408">
        <f t="shared" si="244"/>
        <v>0.25</v>
      </c>
      <c r="AL287" s="423"/>
      <c r="AM287" s="424">
        <v>0</v>
      </c>
      <c r="AN287" s="365">
        <f t="shared" si="268"/>
        <v>25</v>
      </c>
      <c r="AO287" s="320">
        <f t="shared" si="245"/>
        <v>0.25</v>
      </c>
      <c r="AP287" s="277">
        <f>_xlfn.XLOOKUP(C287, '1.건전성'!C:C, '1.건전성'!BE:BE)</f>
        <v>20495578</v>
      </c>
      <c r="AQ287" s="277">
        <f>_xlfn.XLOOKUP(C287, '1.건전성'!C:C, '1.건전성'!BF:BF)</f>
        <v>2389347</v>
      </c>
      <c r="AR287" s="410">
        <f t="shared" si="254"/>
        <v>22884925</v>
      </c>
      <c r="AS287" s="366">
        <f t="shared" si="249"/>
        <v>3.5889664750131902</v>
      </c>
      <c r="AT287" s="366">
        <f t="shared" si="255"/>
        <v>27.328366689708435</v>
      </c>
      <c r="AU287" s="321">
        <f t="shared" si="256"/>
        <v>0.27328366689708433</v>
      </c>
      <c r="AV287" s="15">
        <v>2271505</v>
      </c>
      <c r="AW287" s="361">
        <f t="shared" si="250"/>
        <v>0.3562325545233308</v>
      </c>
      <c r="AX287" s="361">
        <f t="shared" si="257"/>
        <v>26.941155716085838</v>
      </c>
      <c r="AY287" s="321">
        <f t="shared" si="246"/>
        <v>0.1347057785804292</v>
      </c>
      <c r="AZ287" s="411">
        <v>8</v>
      </c>
      <c r="BA287" s="412">
        <f t="shared" si="258"/>
        <v>80</v>
      </c>
      <c r="BB287" s="408">
        <f t="shared" si="247"/>
        <v>0.4</v>
      </c>
      <c r="BC287" s="204">
        <v>1</v>
      </c>
      <c r="BD287" s="407">
        <f t="shared" si="269"/>
        <v>100</v>
      </c>
      <c r="BE287" s="408">
        <f t="shared" si="248"/>
        <v>0.5</v>
      </c>
      <c r="BF287" s="204">
        <v>0</v>
      </c>
      <c r="BG287" s="204">
        <v>0</v>
      </c>
      <c r="BH287" s="204">
        <v>0</v>
      </c>
      <c r="BI287" s="272" t="str">
        <f t="shared" si="259"/>
        <v>A</v>
      </c>
      <c r="BJ287" s="247">
        <f t="shared" si="260"/>
        <v>100</v>
      </c>
      <c r="BK287" s="90">
        <f t="shared" si="261"/>
        <v>3</v>
      </c>
      <c r="BL287" s="406">
        <v>94</v>
      </c>
      <c r="BM287" s="413">
        <f t="shared" si="262"/>
        <v>14.417177914110429</v>
      </c>
      <c r="BN287" s="414">
        <f t="shared" si="263"/>
        <v>20</v>
      </c>
      <c r="BO287" s="415">
        <f t="shared" si="264"/>
        <v>0.6</v>
      </c>
      <c r="BP287" s="416">
        <v>2.64</v>
      </c>
      <c r="BQ287" s="417">
        <f t="shared" si="265"/>
        <v>66.666666666666671</v>
      </c>
      <c r="BR287" s="415">
        <f t="shared" si="266"/>
        <v>0.66666666666666674</v>
      </c>
      <c r="BS287" s="350">
        <f t="shared" si="267"/>
        <v>9.5746561121441793</v>
      </c>
    </row>
    <row r="288" spans="1:71" x14ac:dyDescent="0.6">
      <c r="A288" s="214" t="s">
        <v>296</v>
      </c>
      <c r="B288" s="13" t="s">
        <v>2269</v>
      </c>
      <c r="C288" s="219" t="s">
        <v>459</v>
      </c>
      <c r="D288" s="216" t="s">
        <v>285</v>
      </c>
      <c r="E288" s="217" t="s">
        <v>171</v>
      </c>
      <c r="F288" s="217" t="s">
        <v>168</v>
      </c>
      <c r="G288" s="218">
        <v>32659</v>
      </c>
      <c r="H288" s="217" t="s">
        <v>830</v>
      </c>
      <c r="I288" s="217" t="s">
        <v>630</v>
      </c>
      <c r="J288" s="217" t="s">
        <v>1223</v>
      </c>
      <c r="K288" s="217" t="s">
        <v>91</v>
      </c>
      <c r="L288" s="220">
        <v>121534902</v>
      </c>
      <c r="M288" s="206">
        <v>73176603</v>
      </c>
      <c r="N288" s="206">
        <v>48358299</v>
      </c>
      <c r="O288" s="206">
        <v>290909595</v>
      </c>
      <c r="P288" s="206">
        <v>4928985</v>
      </c>
      <c r="Q288" s="206">
        <v>3719511</v>
      </c>
      <c r="R288" s="206">
        <v>2563552</v>
      </c>
      <c r="S288" s="405">
        <v>0</v>
      </c>
      <c r="T288" s="405">
        <v>0</v>
      </c>
      <c r="U288" s="406">
        <v>0</v>
      </c>
      <c r="V288" s="406">
        <v>0</v>
      </c>
      <c r="W288" s="407">
        <f t="shared" si="238"/>
        <v>0</v>
      </c>
      <c r="X288" s="407">
        <f t="shared" si="239"/>
        <v>100</v>
      </c>
      <c r="Y288" s="408">
        <f t="shared" si="240"/>
        <v>3</v>
      </c>
      <c r="Z288" s="444" t="s">
        <v>3509</v>
      </c>
      <c r="AA288" s="442">
        <v>0</v>
      </c>
      <c r="AB288" s="406">
        <v>0</v>
      </c>
      <c r="AC288" s="406">
        <v>0</v>
      </c>
      <c r="AD288" s="407">
        <f t="shared" si="241"/>
        <v>0</v>
      </c>
      <c r="AE288" s="364" t="str">
        <f t="shared" si="242"/>
        <v>50</v>
      </c>
      <c r="AF288" s="349">
        <f t="shared" si="243"/>
        <v>0.25</v>
      </c>
      <c r="AG288" s="154">
        <v>263</v>
      </c>
      <c r="AH288" s="154">
        <v>203560</v>
      </c>
      <c r="AI288" s="409">
        <f t="shared" si="251"/>
        <v>773.9923954372623</v>
      </c>
      <c r="AJ288" s="409">
        <f t="shared" si="252"/>
        <v>100</v>
      </c>
      <c r="AK288" s="408">
        <f t="shared" si="244"/>
        <v>1</v>
      </c>
      <c r="AL288" s="45">
        <v>122101</v>
      </c>
      <c r="AM288" s="361">
        <f t="shared" si="253"/>
        <v>66.714441323166881</v>
      </c>
      <c r="AN288" s="365">
        <f t="shared" si="268"/>
        <v>37.508957748093792</v>
      </c>
      <c r="AO288" s="320">
        <f t="shared" si="245"/>
        <v>0.37508957748093791</v>
      </c>
      <c r="AP288" s="277">
        <f>_xlfn.XLOOKUP(C288, '1.건전성'!C:C, '1.건전성'!BE:BE)</f>
        <v>7505230</v>
      </c>
      <c r="AQ288" s="277">
        <f>_xlfn.XLOOKUP(C288, '1.건전성'!C:C, '1.건전성'!BF:BF)</f>
        <v>783469</v>
      </c>
      <c r="AR288" s="410">
        <f t="shared" si="254"/>
        <v>8288699</v>
      </c>
      <c r="AS288" s="366">
        <f t="shared" si="249"/>
        <v>2.8492353440593803</v>
      </c>
      <c r="AT288" s="366">
        <f t="shared" si="255"/>
        <v>26.770780410095011</v>
      </c>
      <c r="AU288" s="321">
        <f t="shared" si="256"/>
        <v>0.26770780410095013</v>
      </c>
      <c r="AV288" s="15">
        <v>2346048</v>
      </c>
      <c r="AW288" s="361">
        <f t="shared" si="250"/>
        <v>0.80645260256884954</v>
      </c>
      <c r="AX288" s="361">
        <f t="shared" si="257"/>
        <v>30.351913655824617</v>
      </c>
      <c r="AY288" s="321">
        <f t="shared" si="246"/>
        <v>0.1517595682791231</v>
      </c>
      <c r="AZ288" s="411">
        <v>6</v>
      </c>
      <c r="BA288" s="412">
        <f t="shared" si="258"/>
        <v>60</v>
      </c>
      <c r="BB288" s="408">
        <f t="shared" si="247"/>
        <v>0.3</v>
      </c>
      <c r="BC288" s="204">
        <v>1</v>
      </c>
      <c r="BD288" s="407">
        <f t="shared" si="269"/>
        <v>100</v>
      </c>
      <c r="BE288" s="408">
        <f t="shared" si="248"/>
        <v>0.5</v>
      </c>
      <c r="BF288" s="204">
        <v>0</v>
      </c>
      <c r="BG288" s="204">
        <v>1</v>
      </c>
      <c r="BH288" s="204">
        <v>0</v>
      </c>
      <c r="BI288" s="272" t="str">
        <f t="shared" si="259"/>
        <v>C</v>
      </c>
      <c r="BJ288" s="247">
        <f t="shared" si="260"/>
        <v>50</v>
      </c>
      <c r="BK288" s="90">
        <f t="shared" si="261"/>
        <v>1.5</v>
      </c>
      <c r="BL288" s="406">
        <v>1</v>
      </c>
      <c r="BM288" s="413">
        <f t="shared" si="262"/>
        <v>0.38022813688212925</v>
      </c>
      <c r="BN288" s="414">
        <f t="shared" si="263"/>
        <v>100</v>
      </c>
      <c r="BO288" s="415">
        <f t="shared" si="264"/>
        <v>3</v>
      </c>
      <c r="BP288" s="416">
        <v>0.02</v>
      </c>
      <c r="BQ288" s="417">
        <f t="shared" si="265"/>
        <v>66.666666666666671</v>
      </c>
      <c r="BR288" s="415">
        <f t="shared" si="266"/>
        <v>0.66666666666666674</v>
      </c>
      <c r="BS288" s="350">
        <f t="shared" si="267"/>
        <v>11.011223616527678</v>
      </c>
    </row>
    <row r="289" spans="1:71" x14ac:dyDescent="0.6">
      <c r="A289" s="214" t="s">
        <v>1924</v>
      </c>
      <c r="B289" s="13" t="s">
        <v>2270</v>
      </c>
      <c r="C289" s="219" t="s">
        <v>1925</v>
      </c>
      <c r="D289" s="14" t="s">
        <v>285</v>
      </c>
      <c r="E289" s="217" t="s">
        <v>872</v>
      </c>
      <c r="F289" s="217" t="s">
        <v>1926</v>
      </c>
      <c r="G289" s="218">
        <v>27948</v>
      </c>
      <c r="H289" s="217" t="s">
        <v>830</v>
      </c>
      <c r="I289" s="217" t="s">
        <v>1927</v>
      </c>
      <c r="J289" s="217" t="s">
        <v>1928</v>
      </c>
      <c r="K289" s="217" t="s">
        <v>690</v>
      </c>
      <c r="L289" s="220">
        <v>1997213424</v>
      </c>
      <c r="M289" s="206">
        <v>1274120644</v>
      </c>
      <c r="N289" s="206">
        <v>723092780</v>
      </c>
      <c r="O289" s="206">
        <v>1190595681</v>
      </c>
      <c r="P289" s="206">
        <v>36051365</v>
      </c>
      <c r="Q289" s="206">
        <v>66290683</v>
      </c>
      <c r="R289" s="206">
        <v>50369228</v>
      </c>
      <c r="S289" s="405">
        <v>0</v>
      </c>
      <c r="T289" s="405">
        <v>0</v>
      </c>
      <c r="U289" s="406">
        <v>0</v>
      </c>
      <c r="V289" s="406">
        <v>0</v>
      </c>
      <c r="W289" s="407">
        <f t="shared" si="238"/>
        <v>0</v>
      </c>
      <c r="X289" s="407">
        <f t="shared" si="239"/>
        <v>100</v>
      </c>
      <c r="Y289" s="408">
        <f t="shared" si="240"/>
        <v>3</v>
      </c>
      <c r="Z289" s="444" t="s">
        <v>3510</v>
      </c>
      <c r="AA289" s="442">
        <v>0</v>
      </c>
      <c r="AB289" s="406">
        <v>0</v>
      </c>
      <c r="AC289" s="406">
        <v>0</v>
      </c>
      <c r="AD289" s="407">
        <f t="shared" si="241"/>
        <v>0</v>
      </c>
      <c r="AE289" s="364" t="str">
        <f t="shared" si="242"/>
        <v>50</v>
      </c>
      <c r="AF289" s="349">
        <f t="shared" si="243"/>
        <v>0.25</v>
      </c>
      <c r="AG289" s="154">
        <v>996</v>
      </c>
      <c r="AH289" s="154">
        <v>34000</v>
      </c>
      <c r="AI289" s="409">
        <f t="shared" si="251"/>
        <v>34.136546184738954</v>
      </c>
      <c r="AJ289" s="409">
        <f t="shared" si="252"/>
        <v>50.602409638554214</v>
      </c>
      <c r="AK289" s="408">
        <f t="shared" si="244"/>
        <v>0.50602409638554213</v>
      </c>
      <c r="AL289" s="45">
        <v>47000</v>
      </c>
      <c r="AM289" s="361">
        <f t="shared" si="253"/>
        <v>-27.659574468085108</v>
      </c>
      <c r="AN289" s="365">
        <f t="shared" si="268"/>
        <v>25</v>
      </c>
      <c r="AO289" s="320">
        <f t="shared" si="245"/>
        <v>0.25</v>
      </c>
      <c r="AP289" s="277">
        <f>_xlfn.XLOOKUP(C289, '1.건전성'!C:C, '1.건전성'!BE:BE)</f>
        <v>21088000</v>
      </c>
      <c r="AQ289" s="277">
        <f>_xlfn.XLOOKUP(C289, '1.건전성'!C:C, '1.건전성'!BF:BF)</f>
        <v>2312000</v>
      </c>
      <c r="AR289" s="410">
        <f t="shared" si="254"/>
        <v>23400000</v>
      </c>
      <c r="AS289" s="366">
        <f t="shared" si="249"/>
        <v>1.965402728518717</v>
      </c>
      <c r="AT289" s="366">
        <f t="shared" si="255"/>
        <v>26.104574920994008</v>
      </c>
      <c r="AU289" s="321">
        <f t="shared" si="256"/>
        <v>0.26104574920994006</v>
      </c>
      <c r="AV289" s="15">
        <v>1643000</v>
      </c>
      <c r="AW289" s="361">
        <f t="shared" si="250"/>
        <v>0.13799814884428427</v>
      </c>
      <c r="AX289" s="361">
        <f t="shared" si="257"/>
        <v>25.28786476397185</v>
      </c>
      <c r="AY289" s="321">
        <f t="shared" si="246"/>
        <v>0.12643932381985926</v>
      </c>
      <c r="AZ289" s="411">
        <v>10.9</v>
      </c>
      <c r="BA289" s="412">
        <f t="shared" si="258"/>
        <v>100</v>
      </c>
      <c r="BB289" s="408">
        <f t="shared" si="247"/>
        <v>0.5</v>
      </c>
      <c r="BC289" s="204">
        <v>1</v>
      </c>
      <c r="BD289" s="407">
        <f t="shared" si="269"/>
        <v>100</v>
      </c>
      <c r="BE289" s="408">
        <f t="shared" si="248"/>
        <v>0.5</v>
      </c>
      <c r="BF289" s="204">
        <v>0</v>
      </c>
      <c r="BG289" s="204">
        <v>1</v>
      </c>
      <c r="BH289" s="204">
        <v>1</v>
      </c>
      <c r="BI289" s="272" t="str">
        <f t="shared" si="259"/>
        <v>D</v>
      </c>
      <c r="BJ289" s="247">
        <f t="shared" si="260"/>
        <v>25</v>
      </c>
      <c r="BK289" s="90">
        <f t="shared" si="261"/>
        <v>0.75</v>
      </c>
      <c r="BL289" s="406">
        <v>276</v>
      </c>
      <c r="BM289" s="413">
        <f t="shared" si="262"/>
        <v>27.710843373493976</v>
      </c>
      <c r="BN289" s="414">
        <f t="shared" si="263"/>
        <v>20</v>
      </c>
      <c r="BO289" s="415">
        <f t="shared" si="264"/>
        <v>0.6</v>
      </c>
      <c r="BP289" s="416">
        <v>4.0000000000000001E-3</v>
      </c>
      <c r="BQ289" s="417">
        <f t="shared" si="265"/>
        <v>66.666666666666671</v>
      </c>
      <c r="BR289" s="415">
        <f t="shared" si="266"/>
        <v>0.66666666666666674</v>
      </c>
      <c r="BS289" s="350">
        <f t="shared" si="267"/>
        <v>7.4101758360820087</v>
      </c>
    </row>
    <row r="290" spans="1:71" x14ac:dyDescent="0.6">
      <c r="A290" s="214" t="s">
        <v>1929</v>
      </c>
      <c r="B290" s="13" t="s">
        <v>2271</v>
      </c>
      <c r="C290" s="219" t="s">
        <v>928</v>
      </c>
      <c r="D290" s="221" t="s">
        <v>350</v>
      </c>
      <c r="E290" s="217" t="s">
        <v>179</v>
      </c>
      <c r="F290" s="217" t="s">
        <v>808</v>
      </c>
      <c r="G290" s="218">
        <v>32206</v>
      </c>
      <c r="H290" s="217" t="s">
        <v>830</v>
      </c>
      <c r="I290" s="217" t="s">
        <v>817</v>
      </c>
      <c r="J290" s="217" t="s">
        <v>1121</v>
      </c>
      <c r="K290" s="217" t="s">
        <v>91</v>
      </c>
      <c r="L290" s="220">
        <v>1502891064</v>
      </c>
      <c r="M290" s="206">
        <v>1043504163</v>
      </c>
      <c r="N290" s="206">
        <v>459386901</v>
      </c>
      <c r="O290" s="206">
        <v>1117144964</v>
      </c>
      <c r="P290" s="206">
        <v>37196835</v>
      </c>
      <c r="Q290" s="206">
        <v>35531502</v>
      </c>
      <c r="R290" s="206">
        <v>24033308</v>
      </c>
      <c r="S290" s="275" t="s">
        <v>2326</v>
      </c>
      <c r="T290" s="275" t="s">
        <v>2326</v>
      </c>
      <c r="U290" s="275" t="s">
        <v>2326</v>
      </c>
      <c r="V290" s="275" t="s">
        <v>2326</v>
      </c>
      <c r="W290" s="275" t="s">
        <v>2326</v>
      </c>
      <c r="X290" s="275" t="s">
        <v>2326</v>
      </c>
      <c r="Y290" s="276"/>
      <c r="Z290" s="275" t="s">
        <v>2326</v>
      </c>
      <c r="AA290" s="275" t="s">
        <v>2326</v>
      </c>
      <c r="AB290" s="275" t="s">
        <v>2326</v>
      </c>
      <c r="AC290" s="275" t="s">
        <v>2326</v>
      </c>
      <c r="AD290" s="275" t="s">
        <v>2326</v>
      </c>
      <c r="AE290" s="275" t="s">
        <v>2326</v>
      </c>
      <c r="AF290" s="275"/>
      <c r="AG290" s="154">
        <v>520</v>
      </c>
      <c r="AH290" s="421"/>
      <c r="AI290" s="409">
        <f t="shared" si="251"/>
        <v>0</v>
      </c>
      <c r="AJ290" s="409">
        <f t="shared" si="252"/>
        <v>25</v>
      </c>
      <c r="AK290" s="418">
        <f>AJ290*0.02</f>
        <v>0.5</v>
      </c>
      <c r="AL290" s="423"/>
      <c r="AM290" s="424">
        <v>0</v>
      </c>
      <c r="AN290" s="365">
        <f t="shared" si="268"/>
        <v>25</v>
      </c>
      <c r="AO290" s="322">
        <f>AN290*0.02</f>
        <v>0.5</v>
      </c>
      <c r="AP290" s="277">
        <f>_xlfn.XLOOKUP(C290, '1.건전성'!C:C, '1.건전성'!BE:BE)</f>
        <v>69893871</v>
      </c>
      <c r="AQ290" s="277">
        <f>_xlfn.XLOOKUP(C290, '1.건전성'!C:C, '1.건전성'!BF:BF)</f>
        <v>2800636</v>
      </c>
      <c r="AR290" s="410">
        <f t="shared" si="254"/>
        <v>72694507</v>
      </c>
      <c r="AS290" s="366">
        <f t="shared" si="249"/>
        <v>6.5071686614164435</v>
      </c>
      <c r="AT290" s="366">
        <f t="shared" si="255"/>
        <v>29.528016578957118</v>
      </c>
      <c r="AU290" s="321">
        <f t="shared" si="256"/>
        <v>0.29528016578957117</v>
      </c>
      <c r="AV290" s="15">
        <v>12709435</v>
      </c>
      <c r="AW290" s="361">
        <f t="shared" si="250"/>
        <v>1.1376710641466938</v>
      </c>
      <c r="AX290" s="361">
        <f t="shared" si="257"/>
        <v>32.861144425353743</v>
      </c>
      <c r="AY290" s="348">
        <f>AX290*0.01</f>
        <v>0.32861144425353744</v>
      </c>
      <c r="AZ290" s="411">
        <v>6.7</v>
      </c>
      <c r="BA290" s="412">
        <f t="shared" si="258"/>
        <v>60</v>
      </c>
      <c r="BB290" s="418">
        <f>BA290*0.01</f>
        <v>0.6</v>
      </c>
      <c r="BC290" s="204">
        <v>1</v>
      </c>
      <c r="BD290" s="407">
        <f t="shared" si="269"/>
        <v>100</v>
      </c>
      <c r="BE290" s="418">
        <f>BD290*0.01</f>
        <v>1</v>
      </c>
      <c r="BF290" s="204">
        <v>0</v>
      </c>
      <c r="BG290" s="204">
        <v>0</v>
      </c>
      <c r="BH290" s="204">
        <v>0</v>
      </c>
      <c r="BI290" s="272" t="str">
        <f t="shared" si="259"/>
        <v>A</v>
      </c>
      <c r="BJ290" s="247">
        <f t="shared" si="260"/>
        <v>100</v>
      </c>
      <c r="BK290" s="90">
        <f t="shared" si="261"/>
        <v>3</v>
      </c>
      <c r="BL290" s="406">
        <v>274</v>
      </c>
      <c r="BM290" s="413">
        <f t="shared" si="262"/>
        <v>52.692307692307693</v>
      </c>
      <c r="BN290" s="414">
        <f t="shared" si="263"/>
        <v>20</v>
      </c>
      <c r="BO290" s="415">
        <f t="shared" si="264"/>
        <v>0.6</v>
      </c>
      <c r="BP290" s="416">
        <v>0</v>
      </c>
      <c r="BQ290" s="417">
        <f t="shared" si="265"/>
        <v>33.333333333333336</v>
      </c>
      <c r="BR290" s="415">
        <f t="shared" si="266"/>
        <v>0.33333333333333337</v>
      </c>
      <c r="BS290" s="350">
        <f t="shared" si="267"/>
        <v>7.1572249433764412</v>
      </c>
    </row>
    <row r="291" spans="1:71" x14ac:dyDescent="0.6">
      <c r="A291" s="214" t="s">
        <v>540</v>
      </c>
      <c r="B291" s="13" t="s">
        <v>2272</v>
      </c>
      <c r="C291" s="219" t="s">
        <v>902</v>
      </c>
      <c r="D291" s="216" t="s">
        <v>191</v>
      </c>
      <c r="E291" s="217" t="s">
        <v>34</v>
      </c>
      <c r="F291" s="217" t="s">
        <v>995</v>
      </c>
      <c r="G291" s="218">
        <v>32860</v>
      </c>
      <c r="H291" s="217" t="s">
        <v>830</v>
      </c>
      <c r="I291" s="217" t="s">
        <v>1930</v>
      </c>
      <c r="J291" s="217" t="s">
        <v>1134</v>
      </c>
      <c r="K291" s="217" t="s">
        <v>934</v>
      </c>
      <c r="L291" s="220">
        <v>213430249</v>
      </c>
      <c r="M291" s="206">
        <v>44956203</v>
      </c>
      <c r="N291" s="206">
        <v>168474046</v>
      </c>
      <c r="O291" s="206">
        <v>109995419</v>
      </c>
      <c r="P291" s="206">
        <v>1769754</v>
      </c>
      <c r="Q291" s="206">
        <v>2224437</v>
      </c>
      <c r="R291" s="206">
        <v>546481</v>
      </c>
      <c r="S291" s="405">
        <v>0</v>
      </c>
      <c r="T291" s="405">
        <v>0</v>
      </c>
      <c r="U291" s="406">
        <v>0</v>
      </c>
      <c r="V291" s="406">
        <v>0</v>
      </c>
      <c r="W291" s="407">
        <f t="shared" ref="W291:W296" si="270">SUM(S291:V291)</f>
        <v>0</v>
      </c>
      <c r="X291" s="407">
        <f t="shared" ref="X291:X296" si="271">IF(W291=0, 100, IF(W291=1, 80, IF(W291=2, 60, IF(W291=3, 40, IF(W291=4, 20)))))</f>
        <v>100</v>
      </c>
      <c r="Y291" s="408">
        <f t="shared" ref="Y291:Y296" si="272">X291*0.03</f>
        <v>3</v>
      </c>
      <c r="Z291" s="444" t="s">
        <v>3511</v>
      </c>
      <c r="AA291" s="442">
        <v>0</v>
      </c>
      <c r="AB291" s="406">
        <v>0</v>
      </c>
      <c r="AC291" s="406">
        <v>0</v>
      </c>
      <c r="AD291" s="407">
        <f t="shared" ref="AD291:AD296" si="273">SUM(AA291:AC291)</f>
        <v>0</v>
      </c>
      <c r="AE291" s="364" t="str">
        <f t="shared" ref="AE291:AE296" si="274">IF(AD291&gt;=1,"100","50")</f>
        <v>50</v>
      </c>
      <c r="AF291" s="349">
        <f t="shared" ref="AF291:AF296" si="275">AE291*0.005</f>
        <v>0.25</v>
      </c>
      <c r="AG291" s="154">
        <v>314</v>
      </c>
      <c r="AH291" s="154">
        <v>48159</v>
      </c>
      <c r="AI291" s="409">
        <f t="shared" si="251"/>
        <v>153.37261146496814</v>
      </c>
      <c r="AJ291" s="409">
        <f t="shared" si="252"/>
        <v>100</v>
      </c>
      <c r="AK291" s="408">
        <f t="shared" ref="AK291:AK296" si="276">AJ291*0.01</f>
        <v>1</v>
      </c>
      <c r="AL291" s="45">
        <v>30225</v>
      </c>
      <c r="AM291" s="361">
        <f t="shared" si="253"/>
        <v>59.334987593052112</v>
      </c>
      <c r="AN291" s="365">
        <f t="shared" si="268"/>
        <v>36.125310173697272</v>
      </c>
      <c r="AO291" s="320">
        <f t="shared" ref="AO291:AO296" si="277">AN291*0.01</f>
        <v>0.36125310173697273</v>
      </c>
      <c r="AP291" s="277">
        <f>_xlfn.XLOOKUP(C291, '1.건전성'!C:C, '1.건전성'!BE:BE)</f>
        <v>14718320</v>
      </c>
      <c r="AQ291" s="277">
        <f>_xlfn.XLOOKUP(C291, '1.건전성'!C:C, '1.건전성'!BF:BF)</f>
        <v>1203838</v>
      </c>
      <c r="AR291" s="410">
        <f t="shared" si="254"/>
        <v>15922158</v>
      </c>
      <c r="AS291" s="366">
        <f t="shared" si="249"/>
        <v>14.475291921020819</v>
      </c>
      <c r="AT291" s="366">
        <f t="shared" si="255"/>
        <v>35.534139638960418</v>
      </c>
      <c r="AU291" s="321">
        <f t="shared" si="256"/>
        <v>0.35534139638960421</v>
      </c>
      <c r="AV291" s="15">
        <v>2212982</v>
      </c>
      <c r="AW291" s="361">
        <f t="shared" si="250"/>
        <v>2.0118856040722934</v>
      </c>
      <c r="AX291" s="361">
        <f t="shared" si="257"/>
        <v>39.483981849032524</v>
      </c>
      <c r="AY291" s="321">
        <f t="shared" ref="AY291:AY296" si="278">AX291*0.005</f>
        <v>0.19741990924516262</v>
      </c>
      <c r="AZ291" s="411">
        <v>13.9</v>
      </c>
      <c r="BA291" s="412">
        <f t="shared" si="258"/>
        <v>100</v>
      </c>
      <c r="BB291" s="408">
        <f t="shared" ref="BB291:BB296" si="279">BA291*0.005</f>
        <v>0.5</v>
      </c>
      <c r="BC291" s="204">
        <v>1</v>
      </c>
      <c r="BD291" s="407">
        <f t="shared" si="269"/>
        <v>100</v>
      </c>
      <c r="BE291" s="408">
        <f t="shared" ref="BE291:BE296" si="280">BD291*0.005</f>
        <v>0.5</v>
      </c>
      <c r="BF291" s="204">
        <v>0</v>
      </c>
      <c r="BG291" s="204">
        <v>1</v>
      </c>
      <c r="BH291" s="204">
        <v>0</v>
      </c>
      <c r="BI291" s="272" t="str">
        <f t="shared" si="259"/>
        <v>C</v>
      </c>
      <c r="BJ291" s="247">
        <f t="shared" si="260"/>
        <v>50</v>
      </c>
      <c r="BK291" s="90">
        <f t="shared" si="261"/>
        <v>1.5</v>
      </c>
      <c r="BL291" s="406">
        <v>13</v>
      </c>
      <c r="BM291" s="413">
        <f t="shared" si="262"/>
        <v>4.1401273885350314</v>
      </c>
      <c r="BN291" s="414">
        <f t="shared" si="263"/>
        <v>40</v>
      </c>
      <c r="BO291" s="415">
        <f t="shared" si="264"/>
        <v>1.2</v>
      </c>
      <c r="BP291" s="416">
        <v>0</v>
      </c>
      <c r="BQ291" s="417">
        <f t="shared" si="265"/>
        <v>33.333333333333336</v>
      </c>
      <c r="BR291" s="415">
        <f t="shared" si="266"/>
        <v>0.33333333333333337</v>
      </c>
      <c r="BS291" s="350">
        <f t="shared" si="267"/>
        <v>9.197347740705073</v>
      </c>
    </row>
    <row r="292" spans="1:71" x14ac:dyDescent="0.6">
      <c r="A292" s="214" t="s">
        <v>291</v>
      </c>
      <c r="B292" s="13" t="s">
        <v>2273</v>
      </c>
      <c r="C292" s="219" t="s">
        <v>894</v>
      </c>
      <c r="D292" s="216" t="s">
        <v>203</v>
      </c>
      <c r="E292" s="217" t="s">
        <v>1179</v>
      </c>
      <c r="F292" s="217" t="s">
        <v>379</v>
      </c>
      <c r="G292" s="218">
        <v>43318</v>
      </c>
      <c r="H292" s="217" t="s">
        <v>830</v>
      </c>
      <c r="I292" s="217" t="s">
        <v>801</v>
      </c>
      <c r="J292" s="217" t="s">
        <v>1240</v>
      </c>
      <c r="K292" s="217" t="s">
        <v>91</v>
      </c>
      <c r="L292" s="220">
        <v>1920187832</v>
      </c>
      <c r="M292" s="206">
        <v>578102236</v>
      </c>
      <c r="N292" s="206">
        <v>1342085595</v>
      </c>
      <c r="O292" s="206">
        <v>1059617234</v>
      </c>
      <c r="P292" s="206">
        <v>81393435</v>
      </c>
      <c r="Q292" s="206">
        <v>87194859</v>
      </c>
      <c r="R292" s="206">
        <v>65472999</v>
      </c>
      <c r="S292" s="405">
        <v>0</v>
      </c>
      <c r="T292" s="405">
        <v>0</v>
      </c>
      <c r="U292" s="406">
        <v>0</v>
      </c>
      <c r="V292" s="406">
        <v>0</v>
      </c>
      <c r="W292" s="407">
        <f t="shared" si="270"/>
        <v>0</v>
      </c>
      <c r="X292" s="407">
        <f t="shared" si="271"/>
        <v>100</v>
      </c>
      <c r="Y292" s="408">
        <f t="shared" si="272"/>
        <v>3</v>
      </c>
      <c r="Z292" s="444" t="s">
        <v>3512</v>
      </c>
      <c r="AA292" s="442">
        <v>0</v>
      </c>
      <c r="AB292" s="406">
        <v>1</v>
      </c>
      <c r="AC292" s="406">
        <v>0</v>
      </c>
      <c r="AD292" s="407">
        <f t="shared" si="273"/>
        <v>1</v>
      </c>
      <c r="AE292" s="364" t="str">
        <f t="shared" si="274"/>
        <v>100</v>
      </c>
      <c r="AF292" s="349">
        <f t="shared" si="275"/>
        <v>0.5</v>
      </c>
      <c r="AG292" s="154">
        <v>640</v>
      </c>
      <c r="AH292" s="421"/>
      <c r="AI292" s="409">
        <f t="shared" si="251"/>
        <v>0</v>
      </c>
      <c r="AJ292" s="409">
        <f t="shared" si="252"/>
        <v>25</v>
      </c>
      <c r="AK292" s="408">
        <f t="shared" si="276"/>
        <v>0.25</v>
      </c>
      <c r="AL292" s="423"/>
      <c r="AM292" s="424">
        <v>0</v>
      </c>
      <c r="AN292" s="365">
        <f t="shared" si="268"/>
        <v>25</v>
      </c>
      <c r="AO292" s="320">
        <f t="shared" si="277"/>
        <v>0.25</v>
      </c>
      <c r="AP292" s="277">
        <f>_xlfn.XLOOKUP(C292, '1.건전성'!C:C, '1.건전성'!BE:BE)</f>
        <v>12126233</v>
      </c>
      <c r="AQ292" s="277">
        <f>_xlfn.XLOOKUP(C292, '1.건전성'!C:C, '1.건전성'!BF:BF)</f>
        <v>4532883</v>
      </c>
      <c r="AR292" s="410">
        <f t="shared" si="254"/>
        <v>16659116</v>
      </c>
      <c r="AS292" s="366">
        <f t="shared" si="249"/>
        <v>1.5721824320573479</v>
      </c>
      <c r="AT292" s="366">
        <f t="shared" si="255"/>
        <v>25.808177712606042</v>
      </c>
      <c r="AU292" s="321">
        <f t="shared" si="256"/>
        <v>0.25808177712606045</v>
      </c>
      <c r="AV292" s="15">
        <v>14090717</v>
      </c>
      <c r="AW292" s="361">
        <f t="shared" si="250"/>
        <v>1.3297931128213416</v>
      </c>
      <c r="AX292" s="361">
        <f t="shared" si="257"/>
        <v>34.316614491070766</v>
      </c>
      <c r="AY292" s="321">
        <f t="shared" si="278"/>
        <v>0.17158307245535384</v>
      </c>
      <c r="AZ292" s="411">
        <v>4</v>
      </c>
      <c r="BA292" s="412">
        <f t="shared" si="258"/>
        <v>40</v>
      </c>
      <c r="BB292" s="408">
        <f t="shared" si="279"/>
        <v>0.2</v>
      </c>
      <c r="BC292" s="204">
        <v>1</v>
      </c>
      <c r="BD292" s="407">
        <f t="shared" si="269"/>
        <v>100</v>
      </c>
      <c r="BE292" s="408">
        <f t="shared" si="280"/>
        <v>0.5</v>
      </c>
      <c r="BF292" s="204">
        <v>0</v>
      </c>
      <c r="BG292" s="204">
        <v>1</v>
      </c>
      <c r="BH292" s="204">
        <v>0</v>
      </c>
      <c r="BI292" s="272" t="str">
        <f t="shared" si="259"/>
        <v>C</v>
      </c>
      <c r="BJ292" s="247">
        <f t="shared" si="260"/>
        <v>50</v>
      </c>
      <c r="BK292" s="90">
        <f t="shared" si="261"/>
        <v>1.5</v>
      </c>
      <c r="BL292" s="406">
        <v>13</v>
      </c>
      <c r="BM292" s="413">
        <f t="shared" si="262"/>
        <v>2.03125</v>
      </c>
      <c r="BN292" s="414">
        <f t="shared" si="263"/>
        <v>60</v>
      </c>
      <c r="BO292" s="415">
        <f t="shared" si="264"/>
        <v>1.7999999999999998</v>
      </c>
      <c r="BP292" s="416">
        <v>0</v>
      </c>
      <c r="BQ292" s="417">
        <f t="shared" si="265"/>
        <v>33.333333333333336</v>
      </c>
      <c r="BR292" s="415">
        <f t="shared" si="266"/>
        <v>0.33333333333333337</v>
      </c>
      <c r="BS292" s="350">
        <f t="shared" si="267"/>
        <v>8.7629981829147479</v>
      </c>
    </row>
    <row r="293" spans="1:71" x14ac:dyDescent="0.6">
      <c r="A293" s="214" t="s">
        <v>354</v>
      </c>
      <c r="B293" s="13" t="s">
        <v>2274</v>
      </c>
      <c r="C293" s="219" t="s">
        <v>368</v>
      </c>
      <c r="D293" s="216" t="s">
        <v>203</v>
      </c>
      <c r="E293" s="217" t="s">
        <v>1179</v>
      </c>
      <c r="F293" s="217" t="s">
        <v>145</v>
      </c>
      <c r="G293" s="218">
        <v>27754</v>
      </c>
      <c r="H293" s="217" t="s">
        <v>830</v>
      </c>
      <c r="I293" s="217" t="s">
        <v>801</v>
      </c>
      <c r="J293" s="217" t="s">
        <v>651</v>
      </c>
      <c r="K293" s="217" t="s">
        <v>91</v>
      </c>
      <c r="L293" s="220">
        <v>649126014</v>
      </c>
      <c r="M293" s="206">
        <v>285245442</v>
      </c>
      <c r="N293" s="206">
        <v>363880572</v>
      </c>
      <c r="O293" s="206">
        <v>471150174</v>
      </c>
      <c r="P293" s="206">
        <v>35168294</v>
      </c>
      <c r="Q293" s="206">
        <v>44443695</v>
      </c>
      <c r="R293" s="206">
        <v>35704071</v>
      </c>
      <c r="S293" s="405">
        <v>0</v>
      </c>
      <c r="T293" s="405">
        <v>0</v>
      </c>
      <c r="U293" s="406">
        <v>0</v>
      </c>
      <c r="V293" s="406">
        <v>0</v>
      </c>
      <c r="W293" s="407">
        <f t="shared" si="270"/>
        <v>0</v>
      </c>
      <c r="X293" s="407">
        <f t="shared" si="271"/>
        <v>100</v>
      </c>
      <c r="Y293" s="408">
        <f t="shared" si="272"/>
        <v>3</v>
      </c>
      <c r="Z293" s="444" t="s">
        <v>3513</v>
      </c>
      <c r="AA293" s="442">
        <v>0</v>
      </c>
      <c r="AB293" s="406">
        <v>1</v>
      </c>
      <c r="AC293" s="406">
        <v>0</v>
      </c>
      <c r="AD293" s="407">
        <f t="shared" si="273"/>
        <v>1</v>
      </c>
      <c r="AE293" s="364" t="str">
        <f t="shared" si="274"/>
        <v>100</v>
      </c>
      <c r="AF293" s="349">
        <f t="shared" si="275"/>
        <v>0.5</v>
      </c>
      <c r="AG293" s="154">
        <v>441</v>
      </c>
      <c r="AH293" s="421"/>
      <c r="AI293" s="409">
        <f t="shared" si="251"/>
        <v>0</v>
      </c>
      <c r="AJ293" s="409">
        <f t="shared" si="252"/>
        <v>25</v>
      </c>
      <c r="AK293" s="408">
        <f t="shared" si="276"/>
        <v>0.25</v>
      </c>
      <c r="AL293" s="423"/>
      <c r="AM293" s="424">
        <v>0</v>
      </c>
      <c r="AN293" s="365">
        <f t="shared" si="268"/>
        <v>25</v>
      </c>
      <c r="AO293" s="320">
        <f t="shared" si="277"/>
        <v>0.25</v>
      </c>
      <c r="AP293" s="277">
        <f>_xlfn.XLOOKUP(C293, '1.건전성'!C:C, '1.건전성'!BE:BE)</f>
        <v>9353276</v>
      </c>
      <c r="AQ293" s="277">
        <f>_xlfn.XLOOKUP(C293, '1.건전성'!C:C, '1.건전성'!BF:BF)</f>
        <v>4044480</v>
      </c>
      <c r="AR293" s="410">
        <f t="shared" si="254"/>
        <v>13397756</v>
      </c>
      <c r="AS293" s="366">
        <f t="shared" si="249"/>
        <v>2.8436275182188515</v>
      </c>
      <c r="AT293" s="366">
        <f t="shared" si="255"/>
        <v>26.766553405692601</v>
      </c>
      <c r="AU293" s="321">
        <f t="shared" si="256"/>
        <v>0.267665534056926</v>
      </c>
      <c r="AV293" s="15">
        <v>1875700</v>
      </c>
      <c r="AW293" s="361">
        <f t="shared" si="250"/>
        <v>0.39811085796181839</v>
      </c>
      <c r="AX293" s="361">
        <f t="shared" si="257"/>
        <v>27.258415590619837</v>
      </c>
      <c r="AY293" s="321">
        <f t="shared" si="278"/>
        <v>0.13629207795309919</v>
      </c>
      <c r="AZ293" s="411">
        <v>17.5</v>
      </c>
      <c r="BA293" s="412">
        <f t="shared" si="258"/>
        <v>100</v>
      </c>
      <c r="BB293" s="408">
        <f t="shared" si="279"/>
        <v>0.5</v>
      </c>
      <c r="BC293" s="204">
        <v>1</v>
      </c>
      <c r="BD293" s="407">
        <f t="shared" si="269"/>
        <v>100</v>
      </c>
      <c r="BE293" s="408">
        <f t="shared" si="280"/>
        <v>0.5</v>
      </c>
      <c r="BF293" s="204">
        <v>1</v>
      </c>
      <c r="BG293" s="204">
        <v>1</v>
      </c>
      <c r="BH293" s="204">
        <v>1</v>
      </c>
      <c r="BI293" s="272" t="str">
        <f t="shared" si="259"/>
        <v>D</v>
      </c>
      <c r="BJ293" s="247">
        <f t="shared" si="260"/>
        <v>25</v>
      </c>
      <c r="BK293" s="90">
        <f t="shared" si="261"/>
        <v>0.75</v>
      </c>
      <c r="BL293" s="406">
        <v>0</v>
      </c>
      <c r="BM293" s="413">
        <f t="shared" si="262"/>
        <v>0</v>
      </c>
      <c r="BN293" s="414">
        <f t="shared" si="263"/>
        <v>100</v>
      </c>
      <c r="BO293" s="415">
        <f t="shared" si="264"/>
        <v>3</v>
      </c>
      <c r="BP293" s="416">
        <v>0</v>
      </c>
      <c r="BQ293" s="417">
        <f t="shared" si="265"/>
        <v>33.333333333333336</v>
      </c>
      <c r="BR293" s="415">
        <f t="shared" si="266"/>
        <v>0.33333333333333337</v>
      </c>
      <c r="BS293" s="350">
        <f t="shared" si="267"/>
        <v>9.4872909453433589</v>
      </c>
    </row>
    <row r="294" spans="1:71" x14ac:dyDescent="0.6">
      <c r="A294" s="214" t="s">
        <v>1931</v>
      </c>
      <c r="B294" s="13" t="s">
        <v>2275</v>
      </c>
      <c r="C294" s="219" t="s">
        <v>1932</v>
      </c>
      <c r="D294" s="14" t="s">
        <v>285</v>
      </c>
      <c r="E294" s="217" t="s">
        <v>1167</v>
      </c>
      <c r="F294" s="217" t="s">
        <v>1933</v>
      </c>
      <c r="G294" s="218">
        <v>40528</v>
      </c>
      <c r="H294" s="217" t="s">
        <v>830</v>
      </c>
      <c r="I294" s="217" t="s">
        <v>1934</v>
      </c>
      <c r="J294" s="217" t="s">
        <v>1935</v>
      </c>
      <c r="K294" s="217" t="s">
        <v>91</v>
      </c>
      <c r="L294" s="220">
        <v>152002052</v>
      </c>
      <c r="M294" s="206">
        <v>59834292</v>
      </c>
      <c r="N294" s="206">
        <v>92167760</v>
      </c>
      <c r="O294" s="206">
        <v>337599455</v>
      </c>
      <c r="P294" s="206">
        <v>14950788</v>
      </c>
      <c r="Q294" s="206">
        <v>19578310</v>
      </c>
      <c r="R294" s="206">
        <v>14881619</v>
      </c>
      <c r="S294" s="405">
        <v>0</v>
      </c>
      <c r="T294" s="405">
        <v>0</v>
      </c>
      <c r="U294" s="406">
        <v>0</v>
      </c>
      <c r="V294" s="406">
        <v>0</v>
      </c>
      <c r="W294" s="407">
        <f t="shared" si="270"/>
        <v>0</v>
      </c>
      <c r="X294" s="407">
        <f t="shared" si="271"/>
        <v>100</v>
      </c>
      <c r="Y294" s="408">
        <f t="shared" si="272"/>
        <v>3</v>
      </c>
      <c r="Z294" s="444" t="s">
        <v>3514</v>
      </c>
      <c r="AA294" s="442">
        <v>0</v>
      </c>
      <c r="AB294" s="406">
        <v>0</v>
      </c>
      <c r="AC294" s="406">
        <v>0</v>
      </c>
      <c r="AD294" s="407">
        <f t="shared" si="273"/>
        <v>0</v>
      </c>
      <c r="AE294" s="364" t="str">
        <f t="shared" si="274"/>
        <v>50</v>
      </c>
      <c r="AF294" s="349">
        <f t="shared" si="275"/>
        <v>0.25</v>
      </c>
      <c r="AG294" s="154">
        <v>3227</v>
      </c>
      <c r="AH294" s="154">
        <v>96838</v>
      </c>
      <c r="AI294" s="409">
        <f t="shared" si="251"/>
        <v>30.008676789587852</v>
      </c>
      <c r="AJ294" s="409">
        <f t="shared" si="252"/>
        <v>47.506507592190886</v>
      </c>
      <c r="AK294" s="408">
        <f t="shared" si="276"/>
        <v>0.47506507592190889</v>
      </c>
      <c r="AL294" s="45">
        <v>58909</v>
      </c>
      <c r="AM294" s="361">
        <f t="shared" si="253"/>
        <v>64.385747508869613</v>
      </c>
      <c r="AN294" s="365">
        <f t="shared" si="268"/>
        <v>37.07232765791305</v>
      </c>
      <c r="AO294" s="320">
        <f t="shared" si="277"/>
        <v>0.37072327657913051</v>
      </c>
      <c r="AP294" s="277">
        <f>_xlfn.XLOOKUP(C294, '1.건전성'!C:C, '1.건전성'!BE:BE)</f>
        <v>8481895.0429999996</v>
      </c>
      <c r="AQ294" s="277">
        <f>_xlfn.XLOOKUP(C294, '1.건전성'!C:C, '1.건전성'!BF:BF)</f>
        <v>739781.01899999997</v>
      </c>
      <c r="AR294" s="410">
        <f t="shared" si="254"/>
        <v>9221676.061999999</v>
      </c>
      <c r="AS294" s="366">
        <f t="shared" si="249"/>
        <v>2.7315435275213935</v>
      </c>
      <c r="AT294" s="366">
        <f t="shared" si="255"/>
        <v>26.682067985568889</v>
      </c>
      <c r="AU294" s="321">
        <f t="shared" si="256"/>
        <v>0.26682067985568891</v>
      </c>
      <c r="AV294" s="15">
        <v>2330568</v>
      </c>
      <c r="AW294" s="361">
        <f t="shared" si="250"/>
        <v>0.69033523765611526</v>
      </c>
      <c r="AX294" s="361">
        <f t="shared" si="257"/>
        <v>29.472236648909963</v>
      </c>
      <c r="AY294" s="321">
        <f t="shared" si="278"/>
        <v>0.1473611832445498</v>
      </c>
      <c r="AZ294" s="411">
        <v>10.3</v>
      </c>
      <c r="BA294" s="412">
        <f t="shared" si="258"/>
        <v>100</v>
      </c>
      <c r="BB294" s="408">
        <f t="shared" si="279"/>
        <v>0.5</v>
      </c>
      <c r="BC294" s="204">
        <v>1</v>
      </c>
      <c r="BD294" s="407">
        <f t="shared" si="269"/>
        <v>100</v>
      </c>
      <c r="BE294" s="408">
        <f t="shared" si="280"/>
        <v>0.5</v>
      </c>
      <c r="BF294" s="204">
        <v>0</v>
      </c>
      <c r="BG294" s="204">
        <v>0</v>
      </c>
      <c r="BH294" s="204">
        <v>0</v>
      </c>
      <c r="BI294" s="272" t="str">
        <f t="shared" si="259"/>
        <v>A</v>
      </c>
      <c r="BJ294" s="247">
        <f t="shared" si="260"/>
        <v>100</v>
      </c>
      <c r="BK294" s="90">
        <f t="shared" si="261"/>
        <v>3</v>
      </c>
      <c r="BL294" s="406">
        <v>581</v>
      </c>
      <c r="BM294" s="413">
        <f t="shared" si="262"/>
        <v>18.004338394793926</v>
      </c>
      <c r="BN294" s="414">
        <f t="shared" si="263"/>
        <v>20</v>
      </c>
      <c r="BO294" s="415">
        <f t="shared" si="264"/>
        <v>0.6</v>
      </c>
      <c r="BP294" s="416">
        <v>0.05</v>
      </c>
      <c r="BQ294" s="417">
        <f t="shared" si="265"/>
        <v>66.666666666666671</v>
      </c>
      <c r="BR294" s="415">
        <f t="shared" si="266"/>
        <v>0.66666666666666674</v>
      </c>
      <c r="BS294" s="350">
        <f t="shared" si="267"/>
        <v>9.7766368822679439</v>
      </c>
    </row>
    <row r="295" spans="1:71" x14ac:dyDescent="0.6">
      <c r="A295" s="214" t="s">
        <v>1936</v>
      </c>
      <c r="B295" s="13" t="s">
        <v>2276</v>
      </c>
      <c r="C295" s="219" t="s">
        <v>1937</v>
      </c>
      <c r="D295" s="14" t="s">
        <v>285</v>
      </c>
      <c r="E295" s="217" t="s">
        <v>1432</v>
      </c>
      <c r="F295" s="217" t="s">
        <v>1938</v>
      </c>
      <c r="G295" s="218">
        <v>27253</v>
      </c>
      <c r="H295" s="217" t="s">
        <v>830</v>
      </c>
      <c r="I295" s="217" t="s">
        <v>1939</v>
      </c>
      <c r="J295" s="217" t="s">
        <v>1940</v>
      </c>
      <c r="K295" s="217" t="s">
        <v>91</v>
      </c>
      <c r="L295" s="220">
        <v>3024613663</v>
      </c>
      <c r="M295" s="206">
        <v>1557554254</v>
      </c>
      <c r="N295" s="206">
        <v>1467059409</v>
      </c>
      <c r="O295" s="206">
        <v>2424482980</v>
      </c>
      <c r="P295" s="206">
        <v>27380412</v>
      </c>
      <c r="Q295" s="206">
        <v>6360460</v>
      </c>
      <c r="R295" s="206">
        <v>12168775</v>
      </c>
      <c r="S295" s="405">
        <v>0</v>
      </c>
      <c r="T295" s="405">
        <v>0</v>
      </c>
      <c r="U295" s="406">
        <v>0</v>
      </c>
      <c r="V295" s="406">
        <v>0</v>
      </c>
      <c r="W295" s="407">
        <f t="shared" si="270"/>
        <v>0</v>
      </c>
      <c r="X295" s="407">
        <f t="shared" si="271"/>
        <v>100</v>
      </c>
      <c r="Y295" s="408">
        <f t="shared" si="272"/>
        <v>3</v>
      </c>
      <c r="Z295" s="444" t="s">
        <v>3515</v>
      </c>
      <c r="AA295" s="442">
        <v>0</v>
      </c>
      <c r="AB295" s="406">
        <v>1</v>
      </c>
      <c r="AC295" s="406">
        <v>0</v>
      </c>
      <c r="AD295" s="407">
        <f t="shared" si="273"/>
        <v>1</v>
      </c>
      <c r="AE295" s="364" t="str">
        <f t="shared" si="274"/>
        <v>100</v>
      </c>
      <c r="AF295" s="349">
        <f t="shared" si="275"/>
        <v>0.5</v>
      </c>
      <c r="AG295" s="154">
        <v>1510</v>
      </c>
      <c r="AH295" s="154">
        <v>517000</v>
      </c>
      <c r="AI295" s="409">
        <f t="shared" si="251"/>
        <v>342.38410596026489</v>
      </c>
      <c r="AJ295" s="409">
        <f t="shared" si="252"/>
        <v>100</v>
      </c>
      <c r="AK295" s="408">
        <f t="shared" si="276"/>
        <v>1</v>
      </c>
      <c r="AL295" s="45">
        <v>182000</v>
      </c>
      <c r="AM295" s="361">
        <f t="shared" si="253"/>
        <v>184.06593406593404</v>
      </c>
      <c r="AN295" s="365">
        <f t="shared" si="268"/>
        <v>59.512362637362635</v>
      </c>
      <c r="AO295" s="320">
        <f t="shared" si="277"/>
        <v>0.59512362637362637</v>
      </c>
      <c r="AP295" s="277">
        <f>_xlfn.XLOOKUP(C295, '1.건전성'!C:C, '1.건전성'!BE:BE)</f>
        <v>20016000</v>
      </c>
      <c r="AQ295" s="277">
        <f>_xlfn.XLOOKUP(C295, '1.건전성'!C:C, '1.건전성'!BF:BF)</f>
        <v>1928000</v>
      </c>
      <c r="AR295" s="410">
        <f t="shared" si="254"/>
        <v>21944000</v>
      </c>
      <c r="AS295" s="366">
        <f t="shared" si="249"/>
        <v>0.90510018758721089</v>
      </c>
      <c r="AT295" s="366">
        <f t="shared" si="255"/>
        <v>25.305351900191365</v>
      </c>
      <c r="AU295" s="321">
        <f t="shared" si="256"/>
        <v>0.25305351900191364</v>
      </c>
      <c r="AV295" s="15">
        <v>6807000</v>
      </c>
      <c r="AW295" s="361">
        <f t="shared" si="250"/>
        <v>0.28076089030742546</v>
      </c>
      <c r="AX295" s="361">
        <f t="shared" si="257"/>
        <v>26.369400684147163</v>
      </c>
      <c r="AY295" s="321">
        <f t="shared" si="278"/>
        <v>0.13184700342073583</v>
      </c>
      <c r="AZ295" s="411">
        <v>13.8</v>
      </c>
      <c r="BA295" s="412">
        <f t="shared" si="258"/>
        <v>100</v>
      </c>
      <c r="BB295" s="408">
        <f t="shared" si="279"/>
        <v>0.5</v>
      </c>
      <c r="BC295" s="204">
        <v>1</v>
      </c>
      <c r="BD295" s="407">
        <f t="shared" si="269"/>
        <v>100</v>
      </c>
      <c r="BE295" s="408">
        <f t="shared" si="280"/>
        <v>0.5</v>
      </c>
      <c r="BF295" s="204">
        <v>1</v>
      </c>
      <c r="BG295" s="204">
        <v>1</v>
      </c>
      <c r="BH295" s="204">
        <v>1</v>
      </c>
      <c r="BI295" s="272" t="str">
        <f t="shared" si="259"/>
        <v>D</v>
      </c>
      <c r="BJ295" s="247">
        <f t="shared" si="260"/>
        <v>25</v>
      </c>
      <c r="BK295" s="90">
        <f t="shared" si="261"/>
        <v>0.75</v>
      </c>
      <c r="BL295" s="406">
        <v>31</v>
      </c>
      <c r="BM295" s="413">
        <f t="shared" si="262"/>
        <v>2.052980132450331</v>
      </c>
      <c r="BN295" s="414">
        <f t="shared" si="263"/>
        <v>60</v>
      </c>
      <c r="BO295" s="415">
        <f t="shared" si="264"/>
        <v>1.7999999999999998</v>
      </c>
      <c r="BP295" s="416">
        <v>3.37</v>
      </c>
      <c r="BQ295" s="417">
        <f t="shared" si="265"/>
        <v>66.666666666666671</v>
      </c>
      <c r="BR295" s="415">
        <f t="shared" si="266"/>
        <v>0.66666666666666674</v>
      </c>
      <c r="BS295" s="350">
        <f t="shared" si="267"/>
        <v>9.6966908154629419</v>
      </c>
    </row>
    <row r="296" spans="1:71" x14ac:dyDescent="0.6">
      <c r="A296" s="214" t="s">
        <v>1941</v>
      </c>
      <c r="B296" s="13" t="s">
        <v>2277</v>
      </c>
      <c r="C296" s="219" t="s">
        <v>1942</v>
      </c>
      <c r="D296" s="14" t="s">
        <v>202</v>
      </c>
      <c r="E296" s="217" t="s">
        <v>189</v>
      </c>
      <c r="F296" s="217" t="s">
        <v>1943</v>
      </c>
      <c r="G296" s="218">
        <v>44425</v>
      </c>
      <c r="H296" s="217" t="s">
        <v>830</v>
      </c>
      <c r="I296" s="217" t="s">
        <v>1944</v>
      </c>
      <c r="J296" s="217" t="s">
        <v>1945</v>
      </c>
      <c r="K296" s="217" t="s">
        <v>690</v>
      </c>
      <c r="L296" s="220">
        <v>201249262</v>
      </c>
      <c r="M296" s="206">
        <v>74147423</v>
      </c>
      <c r="N296" s="206">
        <v>127101839</v>
      </c>
      <c r="O296" s="206">
        <v>92809851</v>
      </c>
      <c r="P296" s="206">
        <v>557375</v>
      </c>
      <c r="Q296" s="206">
        <v>21284021</v>
      </c>
      <c r="R296" s="206">
        <v>16494864</v>
      </c>
      <c r="S296" s="405">
        <v>0</v>
      </c>
      <c r="T296" s="405">
        <v>0</v>
      </c>
      <c r="U296" s="406">
        <v>0</v>
      </c>
      <c r="V296" s="406">
        <v>0</v>
      </c>
      <c r="W296" s="407">
        <f t="shared" si="270"/>
        <v>0</v>
      </c>
      <c r="X296" s="407">
        <f t="shared" si="271"/>
        <v>100</v>
      </c>
      <c r="Y296" s="408">
        <f t="shared" si="272"/>
        <v>3</v>
      </c>
      <c r="Z296" s="444" t="s">
        <v>3516</v>
      </c>
      <c r="AA296" s="442">
        <v>0</v>
      </c>
      <c r="AB296" s="406">
        <v>0</v>
      </c>
      <c r="AC296" s="406">
        <v>0</v>
      </c>
      <c r="AD296" s="407">
        <f t="shared" si="273"/>
        <v>0</v>
      </c>
      <c r="AE296" s="364" t="str">
        <f t="shared" si="274"/>
        <v>50</v>
      </c>
      <c r="AF296" s="349">
        <f t="shared" si="275"/>
        <v>0.25</v>
      </c>
      <c r="AG296" s="154">
        <v>224</v>
      </c>
      <c r="AH296" s="154">
        <v>17808</v>
      </c>
      <c r="AI296" s="409">
        <f t="shared" si="251"/>
        <v>79.5</v>
      </c>
      <c r="AJ296" s="409">
        <f t="shared" si="252"/>
        <v>84.625</v>
      </c>
      <c r="AK296" s="408">
        <f t="shared" si="276"/>
        <v>0.84625000000000006</v>
      </c>
      <c r="AL296" s="45">
        <v>8524</v>
      </c>
      <c r="AM296" s="361">
        <f t="shared" si="253"/>
        <v>108.91600187705303</v>
      </c>
      <c r="AN296" s="365">
        <f t="shared" si="268"/>
        <v>45.421750351947445</v>
      </c>
      <c r="AO296" s="320">
        <f t="shared" si="277"/>
        <v>0.45421750351947443</v>
      </c>
      <c r="AP296" s="277">
        <f>_xlfn.XLOOKUP(C296, '1.건전성'!C:C, '1.건전성'!BE:BE)</f>
        <v>4970165</v>
      </c>
      <c r="AQ296" s="277">
        <f>_xlfn.XLOOKUP(C296, '1.건전성'!C:C, '1.건전성'!BF:BF)</f>
        <v>382938</v>
      </c>
      <c r="AR296" s="410">
        <f t="shared" si="254"/>
        <v>5353103</v>
      </c>
      <c r="AS296" s="366">
        <f t="shared" si="249"/>
        <v>5.7678176856463228</v>
      </c>
      <c r="AT296" s="366">
        <f t="shared" si="255"/>
        <v>28.970716848477128</v>
      </c>
      <c r="AU296" s="321">
        <f t="shared" si="256"/>
        <v>0.28970716848477129</v>
      </c>
      <c r="AV296" s="15">
        <v>2145081</v>
      </c>
      <c r="AW296" s="361">
        <f t="shared" si="250"/>
        <v>2.3112643505914043</v>
      </c>
      <c r="AX296" s="361">
        <f t="shared" si="257"/>
        <v>41.752002655995483</v>
      </c>
      <c r="AY296" s="321">
        <f t="shared" si="278"/>
        <v>0.20876001327997742</v>
      </c>
      <c r="AZ296" s="411">
        <v>6.5</v>
      </c>
      <c r="BA296" s="412">
        <f t="shared" si="258"/>
        <v>60</v>
      </c>
      <c r="BB296" s="408">
        <f t="shared" si="279"/>
        <v>0.3</v>
      </c>
      <c r="BC296" s="204">
        <v>1</v>
      </c>
      <c r="BD296" s="407">
        <f t="shared" si="269"/>
        <v>100</v>
      </c>
      <c r="BE296" s="408">
        <f t="shared" si="280"/>
        <v>0.5</v>
      </c>
      <c r="BF296" s="204">
        <v>0</v>
      </c>
      <c r="BG296" s="204">
        <v>1</v>
      </c>
      <c r="BH296" s="204">
        <v>0</v>
      </c>
      <c r="BI296" s="272" t="str">
        <f t="shared" si="259"/>
        <v>C</v>
      </c>
      <c r="BJ296" s="247">
        <f t="shared" si="260"/>
        <v>50</v>
      </c>
      <c r="BK296" s="90">
        <f t="shared" si="261"/>
        <v>1.5</v>
      </c>
      <c r="BL296" s="406">
        <v>24</v>
      </c>
      <c r="BM296" s="413">
        <f t="shared" si="262"/>
        <v>10.714285714285714</v>
      </c>
      <c r="BN296" s="414">
        <f t="shared" si="263"/>
        <v>20</v>
      </c>
      <c r="BO296" s="415">
        <f t="shared" si="264"/>
        <v>0.6</v>
      </c>
      <c r="BP296" s="416">
        <v>0</v>
      </c>
      <c r="BQ296" s="417">
        <f t="shared" si="265"/>
        <v>33.333333333333336</v>
      </c>
      <c r="BR296" s="415">
        <f t="shared" si="266"/>
        <v>0.33333333333333337</v>
      </c>
      <c r="BS296" s="350">
        <f t="shared" si="267"/>
        <v>8.2822680186175557</v>
      </c>
    </row>
    <row r="297" spans="1:71" x14ac:dyDescent="0.6">
      <c r="A297" s="214" t="s">
        <v>1946</v>
      </c>
      <c r="B297" s="13" t="s">
        <v>2278</v>
      </c>
      <c r="C297" s="219" t="s">
        <v>1947</v>
      </c>
      <c r="D297" s="79" t="s">
        <v>481</v>
      </c>
      <c r="E297" s="217" t="s">
        <v>704</v>
      </c>
      <c r="F297" s="217" t="s">
        <v>360</v>
      </c>
      <c r="G297" s="218">
        <v>40254</v>
      </c>
      <c r="H297" s="217" t="s">
        <v>830</v>
      </c>
      <c r="I297" s="217" t="s">
        <v>1948</v>
      </c>
      <c r="J297" s="217" t="s">
        <v>1949</v>
      </c>
      <c r="K297" s="217" t="s">
        <v>91</v>
      </c>
      <c r="L297" s="220">
        <v>126780143235</v>
      </c>
      <c r="M297" s="206">
        <v>120464648467</v>
      </c>
      <c r="N297" s="206">
        <v>6315494768</v>
      </c>
      <c r="O297" s="206">
        <v>21180061711</v>
      </c>
      <c r="P297" s="206">
        <v>31900539</v>
      </c>
      <c r="Q297" s="206">
        <v>432611603</v>
      </c>
      <c r="R297" s="206">
        <v>354341909</v>
      </c>
      <c r="S297" s="275" t="s">
        <v>2326</v>
      </c>
      <c r="T297" s="275" t="s">
        <v>2326</v>
      </c>
      <c r="U297" s="275" t="s">
        <v>2326</v>
      </c>
      <c r="V297" s="275" t="s">
        <v>2326</v>
      </c>
      <c r="W297" s="275" t="s">
        <v>2326</v>
      </c>
      <c r="X297" s="275" t="s">
        <v>2326</v>
      </c>
      <c r="Y297" s="276"/>
      <c r="Z297" s="275" t="s">
        <v>2326</v>
      </c>
      <c r="AA297" s="275" t="s">
        <v>2326</v>
      </c>
      <c r="AB297" s="275" t="s">
        <v>2326</v>
      </c>
      <c r="AC297" s="275" t="s">
        <v>2326</v>
      </c>
      <c r="AD297" s="275" t="s">
        <v>2326</v>
      </c>
      <c r="AE297" s="275" t="s">
        <v>2326</v>
      </c>
      <c r="AF297" s="275"/>
      <c r="AG297" s="154">
        <v>2622</v>
      </c>
      <c r="AH297" s="421"/>
      <c r="AI297" s="409">
        <f t="shared" si="251"/>
        <v>0</v>
      </c>
      <c r="AJ297" s="409">
        <f t="shared" si="252"/>
        <v>25</v>
      </c>
      <c r="AK297" s="418">
        <f>AJ297*0.02</f>
        <v>0.5</v>
      </c>
      <c r="AL297" s="423"/>
      <c r="AM297" s="424">
        <v>0</v>
      </c>
      <c r="AN297" s="365">
        <f t="shared" si="268"/>
        <v>25</v>
      </c>
      <c r="AO297" s="322">
        <f>AN297*0.02</f>
        <v>0.5</v>
      </c>
      <c r="AP297" s="277">
        <f>_xlfn.XLOOKUP(C297, '1.건전성'!C:C, '1.건전성'!BE:BE)</f>
        <v>13296000</v>
      </c>
      <c r="AQ297" s="277">
        <f>_xlfn.XLOOKUP(C297, '1.건전성'!C:C, '1.건전성'!BF:BF)</f>
        <v>4958000</v>
      </c>
      <c r="AR297" s="410">
        <f t="shared" si="254"/>
        <v>18254000</v>
      </c>
      <c r="AS297" s="366">
        <f t="shared" si="249"/>
        <v>8.6184829152408327E-2</v>
      </c>
      <c r="AT297" s="366">
        <f t="shared" si="255"/>
        <v>25</v>
      </c>
      <c r="AU297" s="321">
        <f t="shared" si="256"/>
        <v>0.25</v>
      </c>
      <c r="AV297" s="15">
        <v>47065000</v>
      </c>
      <c r="AW297" s="361">
        <f t="shared" si="250"/>
        <v>0.2222137057115206</v>
      </c>
      <c r="AX297" s="361">
        <f t="shared" si="257"/>
        <v>25.925861406905458</v>
      </c>
      <c r="AY297" s="348">
        <f>AX297*0.01</f>
        <v>0.25925861406905459</v>
      </c>
      <c r="AZ297" s="411">
        <v>17.2</v>
      </c>
      <c r="BA297" s="412">
        <f t="shared" si="258"/>
        <v>100</v>
      </c>
      <c r="BB297" s="418">
        <f>BA297*0.01</f>
        <v>1</v>
      </c>
      <c r="BC297" s="204">
        <v>1</v>
      </c>
      <c r="BD297" s="407">
        <f t="shared" si="269"/>
        <v>100</v>
      </c>
      <c r="BE297" s="418">
        <f>BD297*0.01</f>
        <v>1</v>
      </c>
      <c r="BF297" s="204">
        <v>1</v>
      </c>
      <c r="BG297" s="204">
        <v>1</v>
      </c>
      <c r="BH297" s="204">
        <v>0</v>
      </c>
      <c r="BI297" s="272" t="str">
        <f t="shared" si="259"/>
        <v>C</v>
      </c>
      <c r="BJ297" s="247">
        <f t="shared" si="260"/>
        <v>50</v>
      </c>
      <c r="BK297" s="90">
        <f t="shared" si="261"/>
        <v>1.5</v>
      </c>
      <c r="BL297" s="406">
        <v>100</v>
      </c>
      <c r="BM297" s="413">
        <f t="shared" si="262"/>
        <v>3.8138825324180017</v>
      </c>
      <c r="BN297" s="414">
        <f t="shared" si="263"/>
        <v>40</v>
      </c>
      <c r="BO297" s="415">
        <f t="shared" si="264"/>
        <v>1.2</v>
      </c>
      <c r="BP297" s="416">
        <v>0.14000000000000001</v>
      </c>
      <c r="BQ297" s="417">
        <f t="shared" si="265"/>
        <v>66.666666666666671</v>
      </c>
      <c r="BR297" s="415">
        <f t="shared" si="266"/>
        <v>0.66666666666666674</v>
      </c>
      <c r="BS297" s="350">
        <f t="shared" si="267"/>
        <v>6.8759252807357214</v>
      </c>
    </row>
    <row r="298" spans="1:71" x14ac:dyDescent="0.6">
      <c r="A298" s="214" t="s">
        <v>1950</v>
      </c>
      <c r="B298" s="13" t="s">
        <v>2279</v>
      </c>
      <c r="C298" s="219" t="s">
        <v>1951</v>
      </c>
      <c r="D298" s="79" t="s">
        <v>481</v>
      </c>
      <c r="E298" s="217" t="s">
        <v>704</v>
      </c>
      <c r="F298" s="217" t="s">
        <v>551</v>
      </c>
      <c r="G298" s="218">
        <v>27575</v>
      </c>
      <c r="H298" s="217" t="s">
        <v>830</v>
      </c>
      <c r="I298" s="217" t="s">
        <v>1952</v>
      </c>
      <c r="J298" s="217" t="s">
        <v>1953</v>
      </c>
      <c r="K298" s="217" t="s">
        <v>91</v>
      </c>
      <c r="L298" s="220">
        <v>20186911158</v>
      </c>
      <c r="M298" s="206">
        <v>19938637638</v>
      </c>
      <c r="N298" s="206">
        <v>248273521</v>
      </c>
      <c r="O298" s="206">
        <v>5105380445</v>
      </c>
      <c r="P298" s="206">
        <v>326922757</v>
      </c>
      <c r="Q298" s="206">
        <v>400409213</v>
      </c>
      <c r="R298" s="206">
        <v>302102769</v>
      </c>
      <c r="S298" s="275" t="s">
        <v>2326</v>
      </c>
      <c r="T298" s="275" t="s">
        <v>2326</v>
      </c>
      <c r="U298" s="275" t="s">
        <v>2326</v>
      </c>
      <c r="V298" s="275" t="s">
        <v>2326</v>
      </c>
      <c r="W298" s="275" t="s">
        <v>2326</v>
      </c>
      <c r="X298" s="275" t="s">
        <v>2326</v>
      </c>
      <c r="Y298" s="276"/>
      <c r="Z298" s="275" t="s">
        <v>2326</v>
      </c>
      <c r="AA298" s="275" t="s">
        <v>2326</v>
      </c>
      <c r="AB298" s="275" t="s">
        <v>2326</v>
      </c>
      <c r="AC298" s="275" t="s">
        <v>2326</v>
      </c>
      <c r="AD298" s="275" t="s">
        <v>2326</v>
      </c>
      <c r="AE298" s="275" t="s">
        <v>2326</v>
      </c>
      <c r="AF298" s="275"/>
      <c r="AG298" s="154">
        <v>2974</v>
      </c>
      <c r="AH298" s="421"/>
      <c r="AI298" s="409">
        <f t="shared" si="251"/>
        <v>0</v>
      </c>
      <c r="AJ298" s="409">
        <f t="shared" si="252"/>
        <v>25</v>
      </c>
      <c r="AK298" s="418">
        <f>AJ298*0.02</f>
        <v>0.5</v>
      </c>
      <c r="AL298" s="423"/>
      <c r="AM298" s="424">
        <v>0</v>
      </c>
      <c r="AN298" s="365">
        <f t="shared" si="268"/>
        <v>25</v>
      </c>
      <c r="AO298" s="322">
        <f>AN298*0.02</f>
        <v>0.5</v>
      </c>
      <c r="AP298" s="277">
        <f>_xlfn.XLOOKUP(C298, '1.건전성'!C:C, '1.건전성'!BE:BE)</f>
        <v>166024511</v>
      </c>
      <c r="AQ298" s="277">
        <f>_xlfn.XLOOKUP(C298, '1.건전성'!C:C, '1.건전성'!BF:BF)</f>
        <v>24255541</v>
      </c>
      <c r="AR298" s="410">
        <f t="shared" si="254"/>
        <v>190280052</v>
      </c>
      <c r="AS298" s="366">
        <f t="shared" si="249"/>
        <v>3.7270494148257352</v>
      </c>
      <c r="AT298" s="366">
        <f t="shared" si="255"/>
        <v>27.432449307657588</v>
      </c>
      <c r="AU298" s="321">
        <f t="shared" si="256"/>
        <v>0.27432449307657591</v>
      </c>
      <c r="AV298" s="15">
        <v>36038290</v>
      </c>
      <c r="AW298" s="361">
        <f t="shared" si="250"/>
        <v>0.70588843257106182</v>
      </c>
      <c r="AX298" s="361">
        <f t="shared" si="257"/>
        <v>29.590063883114105</v>
      </c>
      <c r="AY298" s="348">
        <f>AX298*0.01</f>
        <v>0.29590063883114104</v>
      </c>
      <c r="AZ298" s="411">
        <v>15.2</v>
      </c>
      <c r="BA298" s="412">
        <f t="shared" si="258"/>
        <v>100</v>
      </c>
      <c r="BB298" s="418">
        <f>BA298*0.01</f>
        <v>1</v>
      </c>
      <c r="BC298" s="204">
        <v>1</v>
      </c>
      <c r="BD298" s="407">
        <f t="shared" si="269"/>
        <v>100</v>
      </c>
      <c r="BE298" s="418">
        <f>BD298*0.01</f>
        <v>1</v>
      </c>
      <c r="BF298" s="204">
        <v>1</v>
      </c>
      <c r="BG298" s="204">
        <v>1</v>
      </c>
      <c r="BH298" s="204">
        <v>0</v>
      </c>
      <c r="BI298" s="272" t="str">
        <f t="shared" si="259"/>
        <v>C</v>
      </c>
      <c r="BJ298" s="247">
        <f t="shared" si="260"/>
        <v>50</v>
      </c>
      <c r="BK298" s="90">
        <f t="shared" si="261"/>
        <v>1.5</v>
      </c>
      <c r="BL298" s="406">
        <v>145</v>
      </c>
      <c r="BM298" s="413">
        <f t="shared" si="262"/>
        <v>4.8755884330867518</v>
      </c>
      <c r="BN298" s="414">
        <f t="shared" si="263"/>
        <v>40</v>
      </c>
      <c r="BO298" s="415">
        <f t="shared" si="264"/>
        <v>1.2</v>
      </c>
      <c r="BP298" s="416">
        <v>2.88</v>
      </c>
      <c r="BQ298" s="417">
        <f t="shared" si="265"/>
        <v>66.666666666666671</v>
      </c>
      <c r="BR298" s="415">
        <f t="shared" si="266"/>
        <v>0.66666666666666674</v>
      </c>
      <c r="BS298" s="350">
        <f t="shared" si="267"/>
        <v>6.9368917985743845</v>
      </c>
    </row>
    <row r="299" spans="1:71" x14ac:dyDescent="0.6">
      <c r="A299" s="214" t="s">
        <v>472</v>
      </c>
      <c r="B299" s="13" t="s">
        <v>2280</v>
      </c>
      <c r="C299" s="219" t="s">
        <v>877</v>
      </c>
      <c r="D299" s="216" t="s">
        <v>202</v>
      </c>
      <c r="E299" s="217" t="s">
        <v>205</v>
      </c>
      <c r="F299" s="217" t="s">
        <v>133</v>
      </c>
      <c r="G299" s="218">
        <v>43782</v>
      </c>
      <c r="H299" s="217" t="s">
        <v>830</v>
      </c>
      <c r="I299" s="217" t="s">
        <v>836</v>
      </c>
      <c r="J299" s="217" t="s">
        <v>1218</v>
      </c>
      <c r="K299" s="217" t="s">
        <v>31</v>
      </c>
      <c r="L299" s="220">
        <v>4152100072</v>
      </c>
      <c r="M299" s="206">
        <v>1905070749</v>
      </c>
      <c r="N299" s="206">
        <v>2247029323</v>
      </c>
      <c r="O299" s="206">
        <v>2187405670</v>
      </c>
      <c r="P299" s="206">
        <v>93679890</v>
      </c>
      <c r="Q299" s="206">
        <v>53049827</v>
      </c>
      <c r="R299" s="206">
        <v>28545981</v>
      </c>
      <c r="S299" s="405">
        <v>0</v>
      </c>
      <c r="T299" s="405">
        <v>0</v>
      </c>
      <c r="U299" s="406">
        <v>0</v>
      </c>
      <c r="V299" s="406">
        <v>0</v>
      </c>
      <c r="W299" s="407">
        <f t="shared" ref="W299:W307" si="281">SUM(S299:V299)</f>
        <v>0</v>
      </c>
      <c r="X299" s="407">
        <f t="shared" ref="X299:X307" si="282">IF(W299=0, 100, IF(W299=1, 80, IF(W299=2, 60, IF(W299=3, 40, IF(W299=4, 20)))))</f>
        <v>100</v>
      </c>
      <c r="Y299" s="408">
        <f t="shared" ref="Y299:Y307" si="283">X299*0.03</f>
        <v>3</v>
      </c>
      <c r="Z299" s="444" t="s">
        <v>3517</v>
      </c>
      <c r="AA299" s="442">
        <v>1</v>
      </c>
      <c r="AB299" s="406">
        <v>0</v>
      </c>
      <c r="AC299" s="406">
        <v>0</v>
      </c>
      <c r="AD299" s="407">
        <f t="shared" ref="AD299:AD307" si="284">SUM(AA299:AC299)</f>
        <v>1</v>
      </c>
      <c r="AE299" s="364" t="str">
        <f t="shared" ref="AE299:AE307" si="285">IF(AD299&gt;=1,"100","50")</f>
        <v>100</v>
      </c>
      <c r="AF299" s="349">
        <f t="shared" ref="AF299:AF307" si="286">AE299*0.005</f>
        <v>0.5</v>
      </c>
      <c r="AG299" s="154">
        <v>4307</v>
      </c>
      <c r="AH299" s="421"/>
      <c r="AI299" s="409">
        <f t="shared" si="251"/>
        <v>0</v>
      </c>
      <c r="AJ299" s="409">
        <f t="shared" si="252"/>
        <v>25</v>
      </c>
      <c r="AK299" s="408">
        <f t="shared" ref="AK299:AK307" si="287">AJ299*0.01</f>
        <v>0.25</v>
      </c>
      <c r="AL299" s="423"/>
      <c r="AM299" s="424">
        <v>0</v>
      </c>
      <c r="AN299" s="365">
        <f t="shared" si="268"/>
        <v>25</v>
      </c>
      <c r="AO299" s="320">
        <f t="shared" ref="AO299:AO307" si="288">AN299*0.01</f>
        <v>0.25</v>
      </c>
      <c r="AP299" s="277">
        <f>_xlfn.XLOOKUP(C299, '1.건전성'!C:C, '1.건전성'!BE:BE)</f>
        <v>79133650</v>
      </c>
      <c r="AQ299" s="277">
        <f>_xlfn.XLOOKUP(C299, '1.건전성'!C:C, '1.건전성'!BF:BF)</f>
        <v>31250342</v>
      </c>
      <c r="AR299" s="410">
        <f t="shared" si="254"/>
        <v>110383992</v>
      </c>
      <c r="AS299" s="366">
        <f t="shared" si="249"/>
        <v>5.0463429584142929</v>
      </c>
      <c r="AT299" s="366">
        <f t="shared" si="255"/>
        <v>28.426891677196704</v>
      </c>
      <c r="AU299" s="321">
        <f t="shared" si="256"/>
        <v>0.28426891677196703</v>
      </c>
      <c r="AV299" s="15">
        <v>15949590</v>
      </c>
      <c r="AW299" s="361">
        <f t="shared" si="250"/>
        <v>0.72915555713997948</v>
      </c>
      <c r="AX299" s="361">
        <f t="shared" si="257"/>
        <v>29.766329978333179</v>
      </c>
      <c r="AY299" s="321">
        <f t="shared" ref="AY299:AY307" si="289">AX299*0.005</f>
        <v>0.14883164989166589</v>
      </c>
      <c r="AZ299" s="411">
        <v>9.8000000000000007</v>
      </c>
      <c r="BA299" s="412">
        <f t="shared" si="258"/>
        <v>80</v>
      </c>
      <c r="BB299" s="408">
        <f t="shared" ref="BB299:BB307" si="290">BA299*0.005</f>
        <v>0.4</v>
      </c>
      <c r="BC299" s="204">
        <v>1</v>
      </c>
      <c r="BD299" s="407">
        <f t="shared" si="269"/>
        <v>100</v>
      </c>
      <c r="BE299" s="408">
        <f t="shared" ref="BE299:BE307" si="291">BD299*0.005</f>
        <v>0.5</v>
      </c>
      <c r="BF299" s="204">
        <v>0</v>
      </c>
      <c r="BG299" s="204">
        <v>1</v>
      </c>
      <c r="BH299" s="204">
        <v>0</v>
      </c>
      <c r="BI299" s="272" t="str">
        <f t="shared" si="259"/>
        <v>C</v>
      </c>
      <c r="BJ299" s="247">
        <f t="shared" si="260"/>
        <v>50</v>
      </c>
      <c r="BK299" s="90">
        <f t="shared" si="261"/>
        <v>1.5</v>
      </c>
      <c r="BL299" s="406">
        <v>280</v>
      </c>
      <c r="BM299" s="413">
        <f t="shared" si="262"/>
        <v>6.50104481077316</v>
      </c>
      <c r="BN299" s="414">
        <f t="shared" si="263"/>
        <v>40</v>
      </c>
      <c r="BO299" s="415">
        <f t="shared" si="264"/>
        <v>1.2</v>
      </c>
      <c r="BP299" s="416">
        <v>6.48</v>
      </c>
      <c r="BQ299" s="417">
        <f t="shared" si="265"/>
        <v>100</v>
      </c>
      <c r="BR299" s="415">
        <f t="shared" si="266"/>
        <v>1</v>
      </c>
      <c r="BS299" s="350">
        <f t="shared" si="267"/>
        <v>9.0331005666636326</v>
      </c>
    </row>
    <row r="300" spans="1:71" x14ac:dyDescent="0.6">
      <c r="A300" s="214" t="s">
        <v>916</v>
      </c>
      <c r="B300" s="13" t="s">
        <v>2281</v>
      </c>
      <c r="C300" s="219" t="s">
        <v>327</v>
      </c>
      <c r="D300" s="216" t="s">
        <v>285</v>
      </c>
      <c r="E300" s="217" t="s">
        <v>867</v>
      </c>
      <c r="F300" s="217" t="s">
        <v>114</v>
      </c>
      <c r="G300" s="218">
        <v>31038</v>
      </c>
      <c r="H300" s="217" t="s">
        <v>830</v>
      </c>
      <c r="I300" s="217" t="s">
        <v>694</v>
      </c>
      <c r="J300" s="217" t="s">
        <v>1012</v>
      </c>
      <c r="K300" s="217" t="s">
        <v>91</v>
      </c>
      <c r="L300" s="220">
        <v>13738416000</v>
      </c>
      <c r="M300" s="206">
        <v>7344179000</v>
      </c>
      <c r="N300" s="206">
        <v>6394237000</v>
      </c>
      <c r="O300" s="206">
        <v>11978479000</v>
      </c>
      <c r="P300" s="206">
        <v>346342000</v>
      </c>
      <c r="Q300" s="206">
        <v>503694000</v>
      </c>
      <c r="R300" s="206">
        <v>346572000</v>
      </c>
      <c r="S300" s="405">
        <v>1</v>
      </c>
      <c r="T300" s="405">
        <v>0</v>
      </c>
      <c r="U300" s="406">
        <v>0</v>
      </c>
      <c r="V300" s="406">
        <v>0</v>
      </c>
      <c r="W300" s="407">
        <f t="shared" si="281"/>
        <v>1</v>
      </c>
      <c r="X300" s="407">
        <f t="shared" si="282"/>
        <v>80</v>
      </c>
      <c r="Y300" s="408">
        <f t="shared" si="283"/>
        <v>2.4</v>
      </c>
      <c r="Z300" s="444" t="s">
        <v>3518</v>
      </c>
      <c r="AA300" s="442">
        <v>1</v>
      </c>
      <c r="AB300" s="406">
        <v>1</v>
      </c>
      <c r="AC300" s="406">
        <v>0</v>
      </c>
      <c r="AD300" s="407">
        <f t="shared" si="284"/>
        <v>2</v>
      </c>
      <c r="AE300" s="364" t="str">
        <f t="shared" si="285"/>
        <v>100</v>
      </c>
      <c r="AF300" s="349">
        <f t="shared" si="286"/>
        <v>0.5</v>
      </c>
      <c r="AG300" s="154">
        <v>6902</v>
      </c>
      <c r="AH300" s="421"/>
      <c r="AI300" s="409">
        <f t="shared" si="251"/>
        <v>0</v>
      </c>
      <c r="AJ300" s="409">
        <f t="shared" si="252"/>
        <v>25</v>
      </c>
      <c r="AK300" s="408">
        <f t="shared" si="287"/>
        <v>0.25</v>
      </c>
      <c r="AL300" s="423"/>
      <c r="AM300" s="424">
        <v>0</v>
      </c>
      <c r="AN300" s="365">
        <f t="shared" si="268"/>
        <v>25</v>
      </c>
      <c r="AO300" s="320">
        <f t="shared" si="288"/>
        <v>0.25</v>
      </c>
      <c r="AP300" s="277">
        <f>_xlfn.XLOOKUP(C300, '1.건전성'!C:C, '1.건전성'!BE:BE)</f>
        <v>230697000</v>
      </c>
      <c r="AQ300" s="277">
        <f>_xlfn.XLOOKUP(C300, '1.건전성'!C:C, '1.건전성'!BF:BF)</f>
        <v>13049000</v>
      </c>
      <c r="AR300" s="410">
        <f t="shared" si="254"/>
        <v>243746000</v>
      </c>
      <c r="AS300" s="366">
        <f t="shared" si="249"/>
        <v>2.0348660293180796</v>
      </c>
      <c r="AT300" s="366">
        <f t="shared" si="255"/>
        <v>26.156934192953326</v>
      </c>
      <c r="AU300" s="321">
        <f t="shared" si="256"/>
        <v>0.26156934192953324</v>
      </c>
      <c r="AV300" s="15">
        <v>31967000</v>
      </c>
      <c r="AW300" s="361">
        <f t="shared" si="250"/>
        <v>0.26687027626796356</v>
      </c>
      <c r="AX300" s="361">
        <f t="shared" si="257"/>
        <v>26.264168759605784</v>
      </c>
      <c r="AY300" s="321">
        <f t="shared" si="289"/>
        <v>0.13132084379802891</v>
      </c>
      <c r="AZ300" s="411">
        <v>13.4</v>
      </c>
      <c r="BA300" s="412">
        <f t="shared" si="258"/>
        <v>100</v>
      </c>
      <c r="BB300" s="408">
        <f t="shared" si="290"/>
        <v>0.5</v>
      </c>
      <c r="BC300" s="204">
        <v>1</v>
      </c>
      <c r="BD300" s="407">
        <f t="shared" si="269"/>
        <v>100</v>
      </c>
      <c r="BE300" s="408">
        <f t="shared" si="291"/>
        <v>0.5</v>
      </c>
      <c r="BF300" s="204">
        <v>0</v>
      </c>
      <c r="BG300" s="204">
        <v>0</v>
      </c>
      <c r="BH300" s="204">
        <v>0</v>
      </c>
      <c r="BI300" s="272" t="str">
        <f t="shared" si="259"/>
        <v>A</v>
      </c>
      <c r="BJ300" s="247">
        <f t="shared" si="260"/>
        <v>100</v>
      </c>
      <c r="BK300" s="90">
        <f t="shared" si="261"/>
        <v>3</v>
      </c>
      <c r="BL300" s="406">
        <v>2456</v>
      </c>
      <c r="BM300" s="413">
        <f t="shared" si="262"/>
        <v>35.583888727904956</v>
      </c>
      <c r="BN300" s="414">
        <f t="shared" si="263"/>
        <v>20</v>
      </c>
      <c r="BO300" s="415">
        <f t="shared" si="264"/>
        <v>0.6</v>
      </c>
      <c r="BP300" s="416">
        <v>0</v>
      </c>
      <c r="BQ300" s="417">
        <f t="shared" si="265"/>
        <v>33.333333333333336</v>
      </c>
      <c r="BR300" s="415">
        <f t="shared" si="266"/>
        <v>0.33333333333333337</v>
      </c>
      <c r="BS300" s="350">
        <f t="shared" si="267"/>
        <v>8.7262235190608965</v>
      </c>
    </row>
    <row r="301" spans="1:71" x14ac:dyDescent="0.6">
      <c r="A301" s="214" t="s">
        <v>454</v>
      </c>
      <c r="B301" s="13" t="s">
        <v>2282</v>
      </c>
      <c r="C301" s="219" t="s">
        <v>84</v>
      </c>
      <c r="D301" s="216" t="s">
        <v>285</v>
      </c>
      <c r="E301" s="217" t="s">
        <v>622</v>
      </c>
      <c r="F301" s="217" t="s">
        <v>653</v>
      </c>
      <c r="G301" s="218">
        <v>38712</v>
      </c>
      <c r="H301" s="217" t="s">
        <v>830</v>
      </c>
      <c r="I301" s="217" t="s">
        <v>1954</v>
      </c>
      <c r="J301" s="217" t="s">
        <v>1124</v>
      </c>
      <c r="K301" s="217" t="s">
        <v>91</v>
      </c>
      <c r="L301" s="220">
        <v>11586104724</v>
      </c>
      <c r="M301" s="206">
        <v>5729632009</v>
      </c>
      <c r="N301" s="206">
        <v>5856472715</v>
      </c>
      <c r="O301" s="206">
        <v>21528979386</v>
      </c>
      <c r="P301" s="206">
        <v>1595700562</v>
      </c>
      <c r="Q301" s="206">
        <v>1527487113</v>
      </c>
      <c r="R301" s="206">
        <v>1209437646</v>
      </c>
      <c r="S301" s="405">
        <v>0</v>
      </c>
      <c r="T301" s="405">
        <v>0</v>
      </c>
      <c r="U301" s="406">
        <v>0</v>
      </c>
      <c r="V301" s="406">
        <v>0</v>
      </c>
      <c r="W301" s="407">
        <f t="shared" si="281"/>
        <v>0</v>
      </c>
      <c r="X301" s="407">
        <f t="shared" si="282"/>
        <v>100</v>
      </c>
      <c r="Y301" s="408">
        <f t="shared" si="283"/>
        <v>3</v>
      </c>
      <c r="Z301" s="444" t="s">
        <v>3519</v>
      </c>
      <c r="AA301" s="442">
        <v>0</v>
      </c>
      <c r="AB301" s="406">
        <v>0</v>
      </c>
      <c r="AC301" s="406">
        <v>0</v>
      </c>
      <c r="AD301" s="407">
        <f t="shared" si="284"/>
        <v>0</v>
      </c>
      <c r="AE301" s="364" t="str">
        <f t="shared" si="285"/>
        <v>50</v>
      </c>
      <c r="AF301" s="349">
        <f t="shared" si="286"/>
        <v>0.25</v>
      </c>
      <c r="AG301" s="154">
        <v>1945</v>
      </c>
      <c r="AH301" s="154">
        <v>3502619</v>
      </c>
      <c r="AI301" s="409">
        <f t="shared" si="251"/>
        <v>1800.8323907455012</v>
      </c>
      <c r="AJ301" s="409">
        <f t="shared" si="252"/>
        <v>100</v>
      </c>
      <c r="AK301" s="408">
        <f t="shared" si="287"/>
        <v>1</v>
      </c>
      <c r="AL301" s="45">
        <v>1592359</v>
      </c>
      <c r="AM301" s="361">
        <f t="shared" si="253"/>
        <v>119.96415381204866</v>
      </c>
      <c r="AN301" s="365">
        <f t="shared" si="268"/>
        <v>47.493278839759128</v>
      </c>
      <c r="AO301" s="320">
        <f t="shared" si="288"/>
        <v>0.47493278839759129</v>
      </c>
      <c r="AP301" s="277">
        <f>_xlfn.XLOOKUP(C301, '1.건전성'!C:C, '1.건전성'!BE:BE)</f>
        <v>136838004</v>
      </c>
      <c r="AQ301" s="277">
        <f>_xlfn.XLOOKUP(C301, '1.건전성'!C:C, '1.건전성'!BF:BF)</f>
        <v>13310333</v>
      </c>
      <c r="AR301" s="410">
        <f t="shared" si="254"/>
        <v>150148337</v>
      </c>
      <c r="AS301" s="366">
        <f t="shared" si="249"/>
        <v>0.69742431495679447</v>
      </c>
      <c r="AT301" s="366">
        <f t="shared" si="255"/>
        <v>25.148812297706126</v>
      </c>
      <c r="AU301" s="321">
        <f t="shared" si="256"/>
        <v>0.25148812297706125</v>
      </c>
      <c r="AV301" s="15">
        <v>24939396</v>
      </c>
      <c r="AW301" s="361">
        <f t="shared" si="250"/>
        <v>0.11584105104498241</v>
      </c>
      <c r="AX301" s="361">
        <f t="shared" si="257"/>
        <v>25.120007962461987</v>
      </c>
      <c r="AY301" s="321">
        <f t="shared" si="289"/>
        <v>0.12560003981230994</v>
      </c>
      <c r="AZ301" s="411">
        <v>6.95</v>
      </c>
      <c r="BA301" s="412">
        <f t="shared" si="258"/>
        <v>60</v>
      </c>
      <c r="BB301" s="408">
        <f t="shared" si="290"/>
        <v>0.3</v>
      </c>
      <c r="BC301" s="204">
        <v>1</v>
      </c>
      <c r="BD301" s="407">
        <f t="shared" si="269"/>
        <v>100</v>
      </c>
      <c r="BE301" s="408">
        <f t="shared" si="291"/>
        <v>0.5</v>
      </c>
      <c r="BF301" s="204">
        <v>0</v>
      </c>
      <c r="BG301" s="204">
        <v>0</v>
      </c>
      <c r="BH301" s="204">
        <v>1</v>
      </c>
      <c r="BI301" s="272" t="str">
        <f t="shared" si="259"/>
        <v>D</v>
      </c>
      <c r="BJ301" s="247">
        <f t="shared" si="260"/>
        <v>25</v>
      </c>
      <c r="BK301" s="90">
        <f t="shared" si="261"/>
        <v>0.75</v>
      </c>
      <c r="BL301" s="406">
        <v>120</v>
      </c>
      <c r="BM301" s="413">
        <f t="shared" si="262"/>
        <v>6.1696658097686372</v>
      </c>
      <c r="BN301" s="414">
        <f t="shared" si="263"/>
        <v>40</v>
      </c>
      <c r="BO301" s="415">
        <f t="shared" si="264"/>
        <v>1.2</v>
      </c>
      <c r="BP301" s="416">
        <v>0</v>
      </c>
      <c r="BQ301" s="417">
        <f t="shared" si="265"/>
        <v>33.333333333333336</v>
      </c>
      <c r="BR301" s="415">
        <f t="shared" si="266"/>
        <v>0.33333333333333337</v>
      </c>
      <c r="BS301" s="350">
        <f t="shared" si="267"/>
        <v>8.1853542845202973</v>
      </c>
    </row>
    <row r="302" spans="1:71" x14ac:dyDescent="0.6">
      <c r="A302" s="214" t="s">
        <v>1955</v>
      </c>
      <c r="B302" s="13" t="s">
        <v>2283</v>
      </c>
      <c r="C302" s="219" t="s">
        <v>1956</v>
      </c>
      <c r="D302" s="14" t="s">
        <v>202</v>
      </c>
      <c r="E302" s="217" t="s">
        <v>1957</v>
      </c>
      <c r="F302" s="217" t="s">
        <v>1958</v>
      </c>
      <c r="G302" s="218">
        <v>41577</v>
      </c>
      <c r="H302" s="217" t="s">
        <v>830</v>
      </c>
      <c r="I302" s="217" t="s">
        <v>1959</v>
      </c>
      <c r="J302" s="217" t="s">
        <v>1960</v>
      </c>
      <c r="K302" s="217" t="s">
        <v>50</v>
      </c>
      <c r="L302" s="220">
        <v>4676787304</v>
      </c>
      <c r="M302" s="206">
        <v>3212555016</v>
      </c>
      <c r="N302" s="206">
        <v>1464232288</v>
      </c>
      <c r="O302" s="206">
        <v>3106010725</v>
      </c>
      <c r="P302" s="206">
        <v>177983235</v>
      </c>
      <c r="Q302" s="206">
        <v>122548827</v>
      </c>
      <c r="R302" s="206">
        <v>213700726</v>
      </c>
      <c r="S302" s="405">
        <v>0</v>
      </c>
      <c r="T302" s="405">
        <v>0</v>
      </c>
      <c r="U302" s="406">
        <v>0</v>
      </c>
      <c r="V302" s="406">
        <v>0</v>
      </c>
      <c r="W302" s="407">
        <f t="shared" si="281"/>
        <v>0</v>
      </c>
      <c r="X302" s="407">
        <f t="shared" si="282"/>
        <v>100</v>
      </c>
      <c r="Y302" s="408">
        <f t="shared" si="283"/>
        <v>3</v>
      </c>
      <c r="Z302" s="444" t="s">
        <v>3520</v>
      </c>
      <c r="AA302" s="442">
        <v>0</v>
      </c>
      <c r="AB302" s="406">
        <v>1</v>
      </c>
      <c r="AC302" s="406">
        <v>0</v>
      </c>
      <c r="AD302" s="407">
        <f t="shared" si="284"/>
        <v>1</v>
      </c>
      <c r="AE302" s="364" t="str">
        <f t="shared" si="285"/>
        <v>100</v>
      </c>
      <c r="AF302" s="349">
        <f t="shared" si="286"/>
        <v>0.5</v>
      </c>
      <c r="AG302" s="154">
        <v>3591</v>
      </c>
      <c r="AH302" s="154">
        <v>917245</v>
      </c>
      <c r="AI302" s="409">
        <f t="shared" si="251"/>
        <v>255.42884990253413</v>
      </c>
      <c r="AJ302" s="409">
        <f t="shared" si="252"/>
        <v>100</v>
      </c>
      <c r="AK302" s="408">
        <f t="shared" si="287"/>
        <v>1</v>
      </c>
      <c r="AL302" s="45">
        <v>565154</v>
      </c>
      <c r="AM302" s="361">
        <f t="shared" si="253"/>
        <v>62.300010262689462</v>
      </c>
      <c r="AN302" s="365">
        <f t="shared" si="268"/>
        <v>36.681251924254276</v>
      </c>
      <c r="AO302" s="320">
        <f t="shared" si="288"/>
        <v>0.36681251924254277</v>
      </c>
      <c r="AP302" s="277">
        <f>_xlfn.XLOOKUP(C302, '1.건전성'!C:C, '1.건전성'!BE:BE)</f>
        <v>78761759</v>
      </c>
      <c r="AQ302" s="277">
        <f>_xlfn.XLOOKUP(C302, '1.건전성'!C:C, '1.건전성'!BF:BF)</f>
        <v>5979052</v>
      </c>
      <c r="AR302" s="410">
        <f t="shared" si="254"/>
        <v>84740811</v>
      </c>
      <c r="AS302" s="366">
        <f t="shared" si="249"/>
        <v>2.7282845586439501</v>
      </c>
      <c r="AT302" s="366">
        <f t="shared" si="255"/>
        <v>26.679611476364787</v>
      </c>
      <c r="AU302" s="321">
        <f t="shared" si="256"/>
        <v>0.2667961147636479</v>
      </c>
      <c r="AV302" s="15">
        <v>12578241</v>
      </c>
      <c r="AW302" s="361">
        <f t="shared" si="250"/>
        <v>0.40496450636048592</v>
      </c>
      <c r="AX302" s="361">
        <f t="shared" si="257"/>
        <v>27.31033716939762</v>
      </c>
      <c r="AY302" s="321">
        <f t="shared" si="289"/>
        <v>0.1365516858469881</v>
      </c>
      <c r="AZ302" s="411">
        <v>15</v>
      </c>
      <c r="BA302" s="412">
        <f t="shared" si="258"/>
        <v>100</v>
      </c>
      <c r="BB302" s="408">
        <f t="shared" si="290"/>
        <v>0.5</v>
      </c>
      <c r="BC302" s="204">
        <v>1</v>
      </c>
      <c r="BD302" s="407">
        <f t="shared" si="269"/>
        <v>100</v>
      </c>
      <c r="BE302" s="408">
        <f t="shared" si="291"/>
        <v>0.5</v>
      </c>
      <c r="BF302" s="204">
        <v>1</v>
      </c>
      <c r="BG302" s="204">
        <v>1</v>
      </c>
      <c r="BH302" s="204">
        <v>0</v>
      </c>
      <c r="BI302" s="272" t="str">
        <f t="shared" si="259"/>
        <v>C</v>
      </c>
      <c r="BJ302" s="247">
        <f t="shared" si="260"/>
        <v>50</v>
      </c>
      <c r="BK302" s="90">
        <f t="shared" si="261"/>
        <v>1.5</v>
      </c>
      <c r="BL302" s="406">
        <v>310</v>
      </c>
      <c r="BM302" s="413">
        <f t="shared" si="262"/>
        <v>8.632692843219159</v>
      </c>
      <c r="BN302" s="414">
        <f t="shared" si="263"/>
        <v>20</v>
      </c>
      <c r="BO302" s="415">
        <f t="shared" si="264"/>
        <v>0.6</v>
      </c>
      <c r="BP302" s="416">
        <v>0</v>
      </c>
      <c r="BQ302" s="417">
        <f t="shared" si="265"/>
        <v>33.333333333333336</v>
      </c>
      <c r="BR302" s="415">
        <f t="shared" si="266"/>
        <v>0.33333333333333337</v>
      </c>
      <c r="BS302" s="350">
        <f t="shared" si="267"/>
        <v>8.7034936531865128</v>
      </c>
    </row>
    <row r="303" spans="1:71" x14ac:dyDescent="0.6">
      <c r="A303" s="214" t="s">
        <v>910</v>
      </c>
      <c r="B303" s="13" t="s">
        <v>2284</v>
      </c>
      <c r="C303" s="219" t="s">
        <v>480</v>
      </c>
      <c r="D303" s="216" t="s">
        <v>202</v>
      </c>
      <c r="E303" s="217" t="s">
        <v>954</v>
      </c>
      <c r="F303" s="217" t="s">
        <v>150</v>
      </c>
      <c r="G303" s="218">
        <v>32756</v>
      </c>
      <c r="H303" s="217" t="s">
        <v>830</v>
      </c>
      <c r="I303" s="217" t="s">
        <v>269</v>
      </c>
      <c r="J303" s="217" t="s">
        <v>1140</v>
      </c>
      <c r="K303" s="217" t="s">
        <v>91</v>
      </c>
      <c r="L303" s="220">
        <v>34782050000</v>
      </c>
      <c r="M303" s="206">
        <v>8693623000</v>
      </c>
      <c r="N303" s="206">
        <v>26088427000</v>
      </c>
      <c r="O303" s="206">
        <v>34052113000</v>
      </c>
      <c r="P303" s="206">
        <v>1405333000</v>
      </c>
      <c r="Q303" s="206">
        <v>2049859000</v>
      </c>
      <c r="R303" s="206">
        <v>1576460000</v>
      </c>
      <c r="S303" s="405">
        <v>0</v>
      </c>
      <c r="T303" s="405">
        <v>0</v>
      </c>
      <c r="U303" s="406">
        <v>0</v>
      </c>
      <c r="V303" s="406">
        <v>0</v>
      </c>
      <c r="W303" s="407">
        <f t="shared" si="281"/>
        <v>0</v>
      </c>
      <c r="X303" s="407">
        <f t="shared" si="282"/>
        <v>100</v>
      </c>
      <c r="Y303" s="408">
        <f t="shared" si="283"/>
        <v>3</v>
      </c>
      <c r="Z303" s="444" t="s">
        <v>3521</v>
      </c>
      <c r="AA303" s="442">
        <v>1</v>
      </c>
      <c r="AB303" s="406">
        <v>1</v>
      </c>
      <c r="AC303" s="406">
        <v>0</v>
      </c>
      <c r="AD303" s="407">
        <f t="shared" si="284"/>
        <v>2</v>
      </c>
      <c r="AE303" s="364" t="str">
        <f t="shared" si="285"/>
        <v>100</v>
      </c>
      <c r="AF303" s="349">
        <f t="shared" si="286"/>
        <v>0.5</v>
      </c>
      <c r="AG303" s="154">
        <v>11632</v>
      </c>
      <c r="AH303" s="421"/>
      <c r="AI303" s="409">
        <f t="shared" si="251"/>
        <v>0</v>
      </c>
      <c r="AJ303" s="409">
        <f t="shared" si="252"/>
        <v>25</v>
      </c>
      <c r="AK303" s="408">
        <f t="shared" si="287"/>
        <v>0.25</v>
      </c>
      <c r="AL303" s="423"/>
      <c r="AM303" s="424">
        <v>0</v>
      </c>
      <c r="AN303" s="365">
        <f t="shared" si="268"/>
        <v>25</v>
      </c>
      <c r="AO303" s="320">
        <f t="shared" si="288"/>
        <v>0.25</v>
      </c>
      <c r="AP303" s="277">
        <f>_xlfn.XLOOKUP(C303, '1.건전성'!C:C, '1.건전성'!BE:BE)</f>
        <v>478277000</v>
      </c>
      <c r="AQ303" s="277">
        <f>_xlfn.XLOOKUP(C303, '1.건전성'!C:C, '1.건전성'!BF:BF)</f>
        <v>65137000</v>
      </c>
      <c r="AR303" s="410">
        <f t="shared" si="254"/>
        <v>543414000</v>
      </c>
      <c r="AS303" s="366">
        <f t="shared" si="249"/>
        <v>1.59583048488063</v>
      </c>
      <c r="AT303" s="366">
        <f t="shared" si="255"/>
        <v>25.826002878050726</v>
      </c>
      <c r="AU303" s="321">
        <f t="shared" si="256"/>
        <v>0.25826002878050724</v>
      </c>
      <c r="AV303" s="15">
        <v>100562000</v>
      </c>
      <c r="AW303" s="361">
        <f t="shared" si="250"/>
        <v>0.29531794399953976</v>
      </c>
      <c r="AX303" s="361">
        <f t="shared" si="257"/>
        <v>26.479681393935905</v>
      </c>
      <c r="AY303" s="321">
        <f t="shared" si="289"/>
        <v>0.13239840696967953</v>
      </c>
      <c r="AZ303" s="411">
        <v>12.8</v>
      </c>
      <c r="BA303" s="412">
        <f t="shared" si="258"/>
        <v>100</v>
      </c>
      <c r="BB303" s="408">
        <f t="shared" si="290"/>
        <v>0.5</v>
      </c>
      <c r="BC303" s="204">
        <v>1</v>
      </c>
      <c r="BD303" s="407">
        <f t="shared" si="269"/>
        <v>100</v>
      </c>
      <c r="BE303" s="408">
        <f t="shared" si="291"/>
        <v>0.5</v>
      </c>
      <c r="BF303" s="204">
        <v>0</v>
      </c>
      <c r="BG303" s="204">
        <v>1</v>
      </c>
      <c r="BH303" s="204">
        <v>1</v>
      </c>
      <c r="BI303" s="272" t="str">
        <f t="shared" si="259"/>
        <v>D</v>
      </c>
      <c r="BJ303" s="247">
        <f t="shared" si="260"/>
        <v>25</v>
      </c>
      <c r="BK303" s="90">
        <f t="shared" si="261"/>
        <v>0.75</v>
      </c>
      <c r="BL303" s="406">
        <v>531</v>
      </c>
      <c r="BM303" s="413">
        <f t="shared" si="262"/>
        <v>4.5649931224209084</v>
      </c>
      <c r="BN303" s="414">
        <f t="shared" si="263"/>
        <v>40</v>
      </c>
      <c r="BO303" s="415">
        <f t="shared" si="264"/>
        <v>1.2</v>
      </c>
      <c r="BP303" s="416">
        <v>0.27</v>
      </c>
      <c r="BQ303" s="417">
        <f t="shared" si="265"/>
        <v>66.666666666666671</v>
      </c>
      <c r="BR303" s="415">
        <f t="shared" si="266"/>
        <v>0.66666666666666674</v>
      </c>
      <c r="BS303" s="350">
        <f t="shared" si="267"/>
        <v>8.0073251024168535</v>
      </c>
    </row>
    <row r="304" spans="1:71" x14ac:dyDescent="0.6">
      <c r="A304" s="214" t="s">
        <v>923</v>
      </c>
      <c r="B304" s="13" t="s">
        <v>2285</v>
      </c>
      <c r="C304" s="219" t="s">
        <v>367</v>
      </c>
      <c r="D304" s="216" t="s">
        <v>285</v>
      </c>
      <c r="E304" s="217" t="s">
        <v>504</v>
      </c>
      <c r="F304" s="217" t="s">
        <v>713</v>
      </c>
      <c r="G304" s="218">
        <v>37585</v>
      </c>
      <c r="H304" s="217" t="s">
        <v>830</v>
      </c>
      <c r="I304" s="217" t="s">
        <v>1101</v>
      </c>
      <c r="J304" s="217" t="s">
        <v>1168</v>
      </c>
      <c r="K304" s="217" t="s">
        <v>91</v>
      </c>
      <c r="L304" s="220">
        <v>7747981793</v>
      </c>
      <c r="M304" s="206">
        <v>3561063599</v>
      </c>
      <c r="N304" s="206">
        <v>4186918194</v>
      </c>
      <c r="O304" s="206">
        <v>1655713149</v>
      </c>
      <c r="P304" s="206">
        <v>252210667</v>
      </c>
      <c r="Q304" s="206">
        <v>205090876</v>
      </c>
      <c r="R304" s="206">
        <v>160877945</v>
      </c>
      <c r="S304" s="405">
        <v>0</v>
      </c>
      <c r="T304" s="405">
        <v>0</v>
      </c>
      <c r="U304" s="406">
        <v>0</v>
      </c>
      <c r="V304" s="406">
        <v>0</v>
      </c>
      <c r="W304" s="407">
        <f t="shared" si="281"/>
        <v>0</v>
      </c>
      <c r="X304" s="407">
        <f t="shared" si="282"/>
        <v>100</v>
      </c>
      <c r="Y304" s="408">
        <f t="shared" si="283"/>
        <v>3</v>
      </c>
      <c r="Z304" s="444" t="s">
        <v>3522</v>
      </c>
      <c r="AA304" s="442">
        <v>0</v>
      </c>
      <c r="AB304" s="406">
        <v>0</v>
      </c>
      <c r="AC304" s="406">
        <v>0</v>
      </c>
      <c r="AD304" s="407">
        <f t="shared" si="284"/>
        <v>0</v>
      </c>
      <c r="AE304" s="364" t="str">
        <f t="shared" si="285"/>
        <v>50</v>
      </c>
      <c r="AF304" s="349">
        <f t="shared" si="286"/>
        <v>0.25</v>
      </c>
      <c r="AG304" s="154">
        <v>3142</v>
      </c>
      <c r="AH304" s="154">
        <v>615166</v>
      </c>
      <c r="AI304" s="409">
        <f t="shared" si="251"/>
        <v>195.78803309993634</v>
      </c>
      <c r="AJ304" s="409">
        <f t="shared" si="252"/>
        <v>100</v>
      </c>
      <c r="AK304" s="408">
        <f t="shared" si="287"/>
        <v>1</v>
      </c>
      <c r="AL304" s="45">
        <v>640414</v>
      </c>
      <c r="AM304" s="361">
        <f t="shared" si="253"/>
        <v>-3.9424497278323081</v>
      </c>
      <c r="AN304" s="365">
        <f t="shared" si="268"/>
        <v>25</v>
      </c>
      <c r="AO304" s="320">
        <f t="shared" si="288"/>
        <v>0.25</v>
      </c>
      <c r="AP304" s="277">
        <f>_xlfn.XLOOKUP(C304, '1.건전성'!C:C, '1.건전성'!BE:BE)</f>
        <v>173974703</v>
      </c>
      <c r="AQ304" s="277">
        <f>_xlfn.XLOOKUP(C304, '1.건전성'!C:C, '1.건전성'!BF:BF)</f>
        <v>20749438</v>
      </c>
      <c r="AR304" s="410">
        <f t="shared" si="254"/>
        <v>194724141</v>
      </c>
      <c r="AS304" s="366">
        <f t="shared" si="249"/>
        <v>11.760741352909314</v>
      </c>
      <c r="AT304" s="366">
        <f t="shared" si="255"/>
        <v>33.487995994655265</v>
      </c>
      <c r="AU304" s="321">
        <f t="shared" si="256"/>
        <v>0.33487995994655267</v>
      </c>
      <c r="AV304" s="15">
        <v>54143145</v>
      </c>
      <c r="AW304" s="361">
        <f t="shared" si="250"/>
        <v>3.2700800276123188</v>
      </c>
      <c r="AX304" s="361">
        <f t="shared" si="257"/>
        <v>49.015757784941812</v>
      </c>
      <c r="AY304" s="321">
        <f t="shared" si="289"/>
        <v>0.24507878892470905</v>
      </c>
      <c r="AZ304" s="411">
        <v>8.4</v>
      </c>
      <c r="BA304" s="412">
        <f t="shared" si="258"/>
        <v>80</v>
      </c>
      <c r="BB304" s="408">
        <f t="shared" si="290"/>
        <v>0.4</v>
      </c>
      <c r="BC304" s="204">
        <v>1</v>
      </c>
      <c r="BD304" s="407">
        <f t="shared" si="269"/>
        <v>100</v>
      </c>
      <c r="BE304" s="408">
        <f t="shared" si="291"/>
        <v>0.5</v>
      </c>
      <c r="BF304" s="204">
        <v>0</v>
      </c>
      <c r="BG304" s="204">
        <v>1</v>
      </c>
      <c r="BH304" s="204">
        <v>0</v>
      </c>
      <c r="BI304" s="272" t="str">
        <f t="shared" si="259"/>
        <v>C</v>
      </c>
      <c r="BJ304" s="247">
        <f t="shared" si="260"/>
        <v>50</v>
      </c>
      <c r="BK304" s="90">
        <f t="shared" si="261"/>
        <v>1.5</v>
      </c>
      <c r="BL304" s="406">
        <v>0</v>
      </c>
      <c r="BM304" s="413">
        <f t="shared" si="262"/>
        <v>0</v>
      </c>
      <c r="BN304" s="414">
        <f t="shared" si="263"/>
        <v>100</v>
      </c>
      <c r="BO304" s="415">
        <f t="shared" si="264"/>
        <v>3</v>
      </c>
      <c r="BP304" s="416">
        <v>0.01</v>
      </c>
      <c r="BQ304" s="417">
        <f t="shared" si="265"/>
        <v>66.666666666666671</v>
      </c>
      <c r="BR304" s="415">
        <f t="shared" si="266"/>
        <v>0.66666666666666674</v>
      </c>
      <c r="BS304" s="350">
        <f t="shared" si="267"/>
        <v>11.146625415537928</v>
      </c>
    </row>
    <row r="305" spans="1:71" x14ac:dyDescent="0.6">
      <c r="A305" s="214" t="s">
        <v>918</v>
      </c>
      <c r="B305" s="13" t="s">
        <v>2286</v>
      </c>
      <c r="C305" s="219" t="s">
        <v>848</v>
      </c>
      <c r="D305" s="216" t="s">
        <v>202</v>
      </c>
      <c r="E305" s="217" t="s">
        <v>575</v>
      </c>
      <c r="F305" s="217" t="s">
        <v>0</v>
      </c>
      <c r="G305" s="218">
        <v>35249</v>
      </c>
      <c r="H305" s="217" t="s">
        <v>830</v>
      </c>
      <c r="I305" s="217" t="s">
        <v>678</v>
      </c>
      <c r="J305" s="217" t="s">
        <v>383</v>
      </c>
      <c r="K305" s="217" t="s">
        <v>317</v>
      </c>
      <c r="L305" s="220">
        <v>2341218033</v>
      </c>
      <c r="M305" s="206">
        <v>1123345096</v>
      </c>
      <c r="N305" s="206">
        <v>1217872936</v>
      </c>
      <c r="O305" s="206">
        <v>1657192106</v>
      </c>
      <c r="P305" s="206">
        <v>70857294</v>
      </c>
      <c r="Q305" s="206">
        <v>155414095</v>
      </c>
      <c r="R305" s="206">
        <v>119214196</v>
      </c>
      <c r="S305" s="405">
        <v>1</v>
      </c>
      <c r="T305" s="405">
        <v>0</v>
      </c>
      <c r="U305" s="406">
        <v>0</v>
      </c>
      <c r="V305" s="406">
        <v>0</v>
      </c>
      <c r="W305" s="407">
        <f t="shared" si="281"/>
        <v>1</v>
      </c>
      <c r="X305" s="407">
        <f t="shared" si="282"/>
        <v>80</v>
      </c>
      <c r="Y305" s="408">
        <f t="shared" si="283"/>
        <v>2.4</v>
      </c>
      <c r="Z305" s="444" t="s">
        <v>3523</v>
      </c>
      <c r="AA305" s="442">
        <v>0</v>
      </c>
      <c r="AB305" s="406">
        <v>1</v>
      </c>
      <c r="AC305" s="406">
        <v>0</v>
      </c>
      <c r="AD305" s="407">
        <f t="shared" si="284"/>
        <v>1</v>
      </c>
      <c r="AE305" s="364" t="str">
        <f t="shared" si="285"/>
        <v>100</v>
      </c>
      <c r="AF305" s="349">
        <f t="shared" si="286"/>
        <v>0.5</v>
      </c>
      <c r="AG305" s="154">
        <v>2735</v>
      </c>
      <c r="AH305" s="421"/>
      <c r="AI305" s="409">
        <f t="shared" si="251"/>
        <v>0</v>
      </c>
      <c r="AJ305" s="409">
        <f t="shared" si="252"/>
        <v>25</v>
      </c>
      <c r="AK305" s="408">
        <f t="shared" si="287"/>
        <v>0.25</v>
      </c>
      <c r="AL305" s="423"/>
      <c r="AM305" s="424">
        <v>0</v>
      </c>
      <c r="AN305" s="365">
        <f t="shared" si="268"/>
        <v>25</v>
      </c>
      <c r="AO305" s="320">
        <f t="shared" si="288"/>
        <v>0.25</v>
      </c>
      <c r="AP305" s="277">
        <f>_xlfn.XLOOKUP(C305, '1.건전성'!C:C, '1.건전성'!BE:BE)</f>
        <v>59801747</v>
      </c>
      <c r="AQ305" s="277">
        <f>_xlfn.XLOOKUP(C305, '1.건전성'!C:C, '1.건전성'!BF:BF)</f>
        <v>5020806</v>
      </c>
      <c r="AR305" s="410">
        <f t="shared" si="254"/>
        <v>64822553</v>
      </c>
      <c r="AS305" s="366">
        <f t="shared" si="249"/>
        <v>3.9115895354138259</v>
      </c>
      <c r="AT305" s="366">
        <f t="shared" si="255"/>
        <v>27.571549901065698</v>
      </c>
      <c r="AU305" s="321">
        <f t="shared" si="256"/>
        <v>0.27571549901065701</v>
      </c>
      <c r="AV305" s="419"/>
      <c r="AW305" s="361">
        <f t="shared" si="250"/>
        <v>0</v>
      </c>
      <c r="AX305" s="361">
        <f t="shared" si="257"/>
        <v>25</v>
      </c>
      <c r="AY305" s="321">
        <f t="shared" si="289"/>
        <v>0.125</v>
      </c>
      <c r="AZ305" s="411">
        <v>10.3</v>
      </c>
      <c r="BA305" s="412">
        <f t="shared" si="258"/>
        <v>100</v>
      </c>
      <c r="BB305" s="408">
        <f t="shared" si="290"/>
        <v>0.5</v>
      </c>
      <c r="BC305" s="204">
        <v>1</v>
      </c>
      <c r="BD305" s="407">
        <f t="shared" si="269"/>
        <v>100</v>
      </c>
      <c r="BE305" s="408">
        <f t="shared" si="291"/>
        <v>0.5</v>
      </c>
      <c r="BF305" s="204">
        <v>1</v>
      </c>
      <c r="BG305" s="204">
        <v>1</v>
      </c>
      <c r="BH305" s="204">
        <v>1</v>
      </c>
      <c r="BI305" s="272" t="str">
        <f t="shared" si="259"/>
        <v>D</v>
      </c>
      <c r="BJ305" s="247">
        <f t="shared" si="260"/>
        <v>25</v>
      </c>
      <c r="BK305" s="90">
        <f t="shared" si="261"/>
        <v>0.75</v>
      </c>
      <c r="BL305" s="406">
        <v>127</v>
      </c>
      <c r="BM305" s="413">
        <f t="shared" si="262"/>
        <v>4.6435100548446062</v>
      </c>
      <c r="BN305" s="414">
        <f t="shared" si="263"/>
        <v>40</v>
      </c>
      <c r="BO305" s="415">
        <f t="shared" si="264"/>
        <v>1.2</v>
      </c>
      <c r="BP305" s="416">
        <v>0.01</v>
      </c>
      <c r="BQ305" s="417">
        <f t="shared" si="265"/>
        <v>66.666666666666671</v>
      </c>
      <c r="BR305" s="415">
        <f t="shared" si="266"/>
        <v>0.66666666666666674</v>
      </c>
      <c r="BS305" s="350">
        <f t="shared" si="267"/>
        <v>7.4173821656773242</v>
      </c>
    </row>
    <row r="306" spans="1:71" x14ac:dyDescent="0.6">
      <c r="A306" s="214" t="s">
        <v>502</v>
      </c>
      <c r="B306" s="13" t="s">
        <v>2287</v>
      </c>
      <c r="C306" s="219" t="s">
        <v>465</v>
      </c>
      <c r="D306" s="216" t="s">
        <v>285</v>
      </c>
      <c r="E306" s="217" t="s">
        <v>605</v>
      </c>
      <c r="F306" s="217" t="s">
        <v>386</v>
      </c>
      <c r="G306" s="218">
        <v>43552</v>
      </c>
      <c r="H306" s="217" t="s">
        <v>830</v>
      </c>
      <c r="I306" s="217" t="s">
        <v>822</v>
      </c>
      <c r="J306" s="217" t="s">
        <v>655</v>
      </c>
      <c r="K306" s="217" t="s">
        <v>91</v>
      </c>
      <c r="L306" s="220">
        <v>2408631121</v>
      </c>
      <c r="M306" s="206">
        <v>987330400</v>
      </c>
      <c r="N306" s="206">
        <v>1421300721</v>
      </c>
      <c r="O306" s="206">
        <v>2240816395</v>
      </c>
      <c r="P306" s="206">
        <v>124351998</v>
      </c>
      <c r="Q306" s="206">
        <v>138563322</v>
      </c>
      <c r="R306" s="206">
        <v>106628632</v>
      </c>
      <c r="S306" s="405">
        <v>0</v>
      </c>
      <c r="T306" s="405">
        <v>0</v>
      </c>
      <c r="U306" s="406">
        <v>0</v>
      </c>
      <c r="V306" s="406">
        <v>0</v>
      </c>
      <c r="W306" s="407">
        <f t="shared" si="281"/>
        <v>0</v>
      </c>
      <c r="X306" s="407">
        <f t="shared" si="282"/>
        <v>100</v>
      </c>
      <c r="Y306" s="408">
        <f t="shared" si="283"/>
        <v>3</v>
      </c>
      <c r="Z306" s="444" t="s">
        <v>3524</v>
      </c>
      <c r="AA306" s="442">
        <v>0</v>
      </c>
      <c r="AB306" s="406">
        <v>1</v>
      </c>
      <c r="AC306" s="406">
        <v>0</v>
      </c>
      <c r="AD306" s="407">
        <f t="shared" si="284"/>
        <v>1</v>
      </c>
      <c r="AE306" s="364" t="str">
        <f t="shared" si="285"/>
        <v>100</v>
      </c>
      <c r="AF306" s="349">
        <f t="shared" si="286"/>
        <v>0.5</v>
      </c>
      <c r="AG306" s="154">
        <v>4138</v>
      </c>
      <c r="AH306" s="154">
        <v>834314</v>
      </c>
      <c r="AI306" s="409">
        <f t="shared" si="251"/>
        <v>201.62252295795071</v>
      </c>
      <c r="AJ306" s="409">
        <f t="shared" si="252"/>
        <v>100</v>
      </c>
      <c r="AK306" s="408">
        <f t="shared" si="287"/>
        <v>1</v>
      </c>
      <c r="AL306" s="45">
        <v>451161</v>
      </c>
      <c r="AM306" s="361">
        <f t="shared" si="253"/>
        <v>84.92600202588433</v>
      </c>
      <c r="AN306" s="365">
        <f t="shared" si="268"/>
        <v>40.923625379853313</v>
      </c>
      <c r="AO306" s="320">
        <f t="shared" si="288"/>
        <v>0.40923625379853312</v>
      </c>
      <c r="AP306" s="277">
        <f>_xlfn.XLOOKUP(C306, '1.건전성'!C:C, '1.건전성'!BE:BE)</f>
        <v>50228358</v>
      </c>
      <c r="AQ306" s="277">
        <f>_xlfn.XLOOKUP(C306, '1.건전성'!C:C, '1.건전성'!BF:BF)</f>
        <v>4585487</v>
      </c>
      <c r="AR306" s="410">
        <f t="shared" si="254"/>
        <v>54813845</v>
      </c>
      <c r="AS306" s="366">
        <f t="shared" si="249"/>
        <v>2.4461551210669357</v>
      </c>
      <c r="AT306" s="366">
        <f t="shared" si="255"/>
        <v>26.466951096281608</v>
      </c>
      <c r="AU306" s="321">
        <f t="shared" si="256"/>
        <v>0.2646695109628161</v>
      </c>
      <c r="AV306" s="15">
        <v>81126749</v>
      </c>
      <c r="AW306" s="361">
        <f t="shared" si="250"/>
        <v>3.6204103638754392</v>
      </c>
      <c r="AX306" s="361">
        <f t="shared" si="257"/>
        <v>51.669775483904843</v>
      </c>
      <c r="AY306" s="321">
        <f t="shared" si="289"/>
        <v>0.25834887741952423</v>
      </c>
      <c r="AZ306" s="411">
        <v>6.2</v>
      </c>
      <c r="BA306" s="412">
        <f t="shared" si="258"/>
        <v>60</v>
      </c>
      <c r="BB306" s="408">
        <f t="shared" si="290"/>
        <v>0.3</v>
      </c>
      <c r="BC306" s="204">
        <v>1</v>
      </c>
      <c r="BD306" s="407">
        <f t="shared" si="269"/>
        <v>100</v>
      </c>
      <c r="BE306" s="408">
        <f t="shared" si="291"/>
        <v>0.5</v>
      </c>
      <c r="BF306" s="204">
        <v>0</v>
      </c>
      <c r="BG306" s="204">
        <v>1</v>
      </c>
      <c r="BH306" s="204">
        <v>0</v>
      </c>
      <c r="BI306" s="272" t="str">
        <f t="shared" si="259"/>
        <v>C</v>
      </c>
      <c r="BJ306" s="247">
        <f t="shared" si="260"/>
        <v>50</v>
      </c>
      <c r="BK306" s="90">
        <f t="shared" si="261"/>
        <v>1.5</v>
      </c>
      <c r="BL306" s="406">
        <v>45</v>
      </c>
      <c r="BM306" s="413">
        <f t="shared" si="262"/>
        <v>1.0874818753020783</v>
      </c>
      <c r="BN306" s="414">
        <f t="shared" si="263"/>
        <v>60</v>
      </c>
      <c r="BO306" s="415">
        <f t="shared" si="264"/>
        <v>1.7999999999999998</v>
      </c>
      <c r="BP306" s="416">
        <v>0.46</v>
      </c>
      <c r="BQ306" s="417">
        <f t="shared" si="265"/>
        <v>66.666666666666671</v>
      </c>
      <c r="BR306" s="415">
        <f t="shared" si="266"/>
        <v>0.66666666666666674</v>
      </c>
      <c r="BS306" s="350">
        <f t="shared" si="267"/>
        <v>10.19892130884754</v>
      </c>
    </row>
    <row r="307" spans="1:71" x14ac:dyDescent="0.6">
      <c r="A307" s="214" t="s">
        <v>931</v>
      </c>
      <c r="B307" s="13" t="s">
        <v>2288</v>
      </c>
      <c r="C307" s="219" t="s">
        <v>466</v>
      </c>
      <c r="D307" s="216" t="s">
        <v>202</v>
      </c>
      <c r="E307" s="217" t="s">
        <v>996</v>
      </c>
      <c r="F307" s="217" t="s">
        <v>2</v>
      </c>
      <c r="G307" s="218">
        <v>27208</v>
      </c>
      <c r="H307" s="217" t="s">
        <v>830</v>
      </c>
      <c r="I307" s="217" t="s">
        <v>1148</v>
      </c>
      <c r="J307" s="217" t="s">
        <v>1143</v>
      </c>
      <c r="K307" s="217" t="s">
        <v>91</v>
      </c>
      <c r="L307" s="220">
        <v>83412349000</v>
      </c>
      <c r="M307" s="206">
        <v>27656534000</v>
      </c>
      <c r="N307" s="206">
        <v>55755815000</v>
      </c>
      <c r="O307" s="206">
        <v>65308350000</v>
      </c>
      <c r="P307" s="206">
        <v>2828569000</v>
      </c>
      <c r="Q307" s="206">
        <v>4175475000</v>
      </c>
      <c r="R307" s="206">
        <v>3701958000</v>
      </c>
      <c r="S307" s="405">
        <v>1</v>
      </c>
      <c r="T307" s="405">
        <v>0</v>
      </c>
      <c r="U307" s="406">
        <v>0</v>
      </c>
      <c r="V307" s="406">
        <v>0</v>
      </c>
      <c r="W307" s="407">
        <f t="shared" si="281"/>
        <v>1</v>
      </c>
      <c r="X307" s="407">
        <f t="shared" si="282"/>
        <v>80</v>
      </c>
      <c r="Y307" s="408">
        <f t="shared" si="283"/>
        <v>2.4</v>
      </c>
      <c r="Z307" s="444" t="s">
        <v>3525</v>
      </c>
      <c r="AA307" s="442">
        <v>0</v>
      </c>
      <c r="AB307" s="406">
        <v>1</v>
      </c>
      <c r="AC307" s="406">
        <v>0</v>
      </c>
      <c r="AD307" s="407">
        <f t="shared" si="284"/>
        <v>1</v>
      </c>
      <c r="AE307" s="364" t="str">
        <f t="shared" si="285"/>
        <v>100</v>
      </c>
      <c r="AF307" s="349">
        <f t="shared" si="286"/>
        <v>0.5</v>
      </c>
      <c r="AG307" s="154">
        <v>72689</v>
      </c>
      <c r="AH307" s="421"/>
      <c r="AI307" s="409">
        <f t="shared" si="251"/>
        <v>0</v>
      </c>
      <c r="AJ307" s="409">
        <f t="shared" si="252"/>
        <v>25</v>
      </c>
      <c r="AK307" s="408">
        <f t="shared" si="287"/>
        <v>0.25</v>
      </c>
      <c r="AL307" s="423"/>
      <c r="AM307" s="424">
        <v>0</v>
      </c>
      <c r="AN307" s="365">
        <f t="shared" si="268"/>
        <v>25</v>
      </c>
      <c r="AO307" s="320">
        <f t="shared" si="288"/>
        <v>0.25</v>
      </c>
      <c r="AP307" s="277">
        <f>_xlfn.XLOOKUP(C307, '1.건전성'!C:C, '1.건전성'!BE:BE)</f>
        <v>1687960000</v>
      </c>
      <c r="AQ307" s="277">
        <f>_xlfn.XLOOKUP(C307, '1.건전성'!C:C, '1.건전성'!BF:BF)</f>
        <v>116939000</v>
      </c>
      <c r="AR307" s="410">
        <f t="shared" si="254"/>
        <v>1804899000</v>
      </c>
      <c r="AS307" s="366">
        <f t="shared" si="249"/>
        <v>2.7636573271258578</v>
      </c>
      <c r="AT307" s="366">
        <f t="shared" si="255"/>
        <v>26.706274367180296</v>
      </c>
      <c r="AU307" s="321">
        <f t="shared" si="256"/>
        <v>0.26706274367180294</v>
      </c>
      <c r="AV307" s="15">
        <v>233168000</v>
      </c>
      <c r="AW307" s="361">
        <f t="shared" si="250"/>
        <v>0.35702632205529616</v>
      </c>
      <c r="AX307" s="361">
        <f t="shared" si="257"/>
        <v>26.947169106479517</v>
      </c>
      <c r="AY307" s="321">
        <f t="shared" si="289"/>
        <v>0.13473584553239759</v>
      </c>
      <c r="AZ307" s="411">
        <v>17.600000000000001</v>
      </c>
      <c r="BA307" s="412">
        <f t="shared" si="258"/>
        <v>100</v>
      </c>
      <c r="BB307" s="408">
        <f t="shared" si="290"/>
        <v>0.5</v>
      </c>
      <c r="BC307" s="204">
        <v>1</v>
      </c>
      <c r="BD307" s="407">
        <f t="shared" si="269"/>
        <v>100</v>
      </c>
      <c r="BE307" s="408">
        <f t="shared" si="291"/>
        <v>0.5</v>
      </c>
      <c r="BF307" s="204">
        <v>1</v>
      </c>
      <c r="BG307" s="204">
        <v>1</v>
      </c>
      <c r="BH307" s="204">
        <v>0</v>
      </c>
      <c r="BI307" s="272" t="str">
        <f t="shared" si="259"/>
        <v>C</v>
      </c>
      <c r="BJ307" s="247">
        <f t="shared" si="260"/>
        <v>50</v>
      </c>
      <c r="BK307" s="90">
        <f t="shared" si="261"/>
        <v>1.5</v>
      </c>
      <c r="BL307" s="406">
        <v>7849</v>
      </c>
      <c r="BM307" s="413">
        <f t="shared" si="262"/>
        <v>10.798057477747665</v>
      </c>
      <c r="BN307" s="414">
        <f t="shared" si="263"/>
        <v>20</v>
      </c>
      <c r="BO307" s="415">
        <f t="shared" si="264"/>
        <v>0.6</v>
      </c>
      <c r="BP307" s="416">
        <v>1.34</v>
      </c>
      <c r="BQ307" s="417">
        <f t="shared" si="265"/>
        <v>66.666666666666671</v>
      </c>
      <c r="BR307" s="415">
        <f t="shared" si="266"/>
        <v>0.66666666666666674</v>
      </c>
      <c r="BS307" s="350">
        <f t="shared" si="267"/>
        <v>7.5684652558708665</v>
      </c>
    </row>
    <row r="308" spans="1:71" x14ac:dyDescent="0.6">
      <c r="A308" s="214" t="s">
        <v>373</v>
      </c>
      <c r="B308" s="13" t="s">
        <v>2289</v>
      </c>
      <c r="C308" s="219" t="s">
        <v>473</v>
      </c>
      <c r="D308" s="221" t="s">
        <v>350</v>
      </c>
      <c r="E308" s="217" t="s">
        <v>179</v>
      </c>
      <c r="F308" s="217" t="s">
        <v>648</v>
      </c>
      <c r="G308" s="218">
        <v>33033</v>
      </c>
      <c r="H308" s="217" t="s">
        <v>830</v>
      </c>
      <c r="I308" s="217" t="s">
        <v>826</v>
      </c>
      <c r="J308" s="217" t="s">
        <v>979</v>
      </c>
      <c r="K308" s="217" t="s">
        <v>91</v>
      </c>
      <c r="L308" s="220">
        <v>9431771000</v>
      </c>
      <c r="M308" s="206">
        <v>8215533000</v>
      </c>
      <c r="N308" s="206">
        <v>1216238000</v>
      </c>
      <c r="O308" s="206">
        <v>1147815000</v>
      </c>
      <c r="P308" s="206">
        <v>107043000</v>
      </c>
      <c r="Q308" s="206">
        <v>107816000</v>
      </c>
      <c r="R308" s="206">
        <v>80172000</v>
      </c>
      <c r="S308" s="275" t="s">
        <v>2326</v>
      </c>
      <c r="T308" s="275" t="s">
        <v>2326</v>
      </c>
      <c r="U308" s="275" t="s">
        <v>2326</v>
      </c>
      <c r="V308" s="275" t="s">
        <v>2326</v>
      </c>
      <c r="W308" s="275" t="s">
        <v>2326</v>
      </c>
      <c r="X308" s="275" t="s">
        <v>2326</v>
      </c>
      <c r="Y308" s="276"/>
      <c r="Z308" s="275" t="s">
        <v>2326</v>
      </c>
      <c r="AA308" s="275" t="s">
        <v>2326</v>
      </c>
      <c r="AB308" s="275" t="s">
        <v>2326</v>
      </c>
      <c r="AC308" s="275" t="s">
        <v>2326</v>
      </c>
      <c r="AD308" s="275" t="s">
        <v>2326</v>
      </c>
      <c r="AE308" s="275" t="s">
        <v>2326</v>
      </c>
      <c r="AF308" s="275"/>
      <c r="AG308" s="154">
        <v>871</v>
      </c>
      <c r="AH308" s="421"/>
      <c r="AI308" s="409">
        <f t="shared" si="251"/>
        <v>0</v>
      </c>
      <c r="AJ308" s="409">
        <f t="shared" si="252"/>
        <v>25</v>
      </c>
      <c r="AK308" s="418">
        <f>AJ308*0.02</f>
        <v>0.5</v>
      </c>
      <c r="AL308" s="423"/>
      <c r="AM308" s="424">
        <v>0</v>
      </c>
      <c r="AN308" s="365">
        <f t="shared" si="268"/>
        <v>25</v>
      </c>
      <c r="AO308" s="322">
        <f>AN308*0.02</f>
        <v>0.5</v>
      </c>
      <c r="AP308" s="277">
        <f>_xlfn.XLOOKUP(C308, '1.건전성'!C:C, '1.건전성'!BE:BE)</f>
        <v>129769000</v>
      </c>
      <c r="AQ308" s="277">
        <f>_xlfn.XLOOKUP(C308, '1.건전성'!C:C, '1.건전성'!BF:BF)</f>
        <v>6614000</v>
      </c>
      <c r="AR308" s="410">
        <f t="shared" si="254"/>
        <v>136383000</v>
      </c>
      <c r="AS308" s="366">
        <f t="shared" si="249"/>
        <v>11.881967041727108</v>
      </c>
      <c r="AT308" s="366">
        <f t="shared" si="255"/>
        <v>33.579372142005354</v>
      </c>
      <c r="AU308" s="321">
        <f t="shared" si="256"/>
        <v>0.33579372142005354</v>
      </c>
      <c r="AV308" s="15">
        <v>17843000</v>
      </c>
      <c r="AW308" s="361">
        <f t="shared" si="250"/>
        <v>1.554518803117227</v>
      </c>
      <c r="AX308" s="361">
        <f t="shared" si="257"/>
        <v>36.019081841797174</v>
      </c>
      <c r="AY308" s="348">
        <f>AX308*0.01</f>
        <v>0.36019081841797174</v>
      </c>
      <c r="AZ308" s="411">
        <v>8</v>
      </c>
      <c r="BA308" s="412">
        <f t="shared" si="258"/>
        <v>80</v>
      </c>
      <c r="BB308" s="418">
        <f>BA308*0.01</f>
        <v>0.8</v>
      </c>
      <c r="BC308" s="204">
        <v>0</v>
      </c>
      <c r="BD308" s="407">
        <f t="shared" si="269"/>
        <v>50</v>
      </c>
      <c r="BE308" s="418">
        <f>BD308*0.01</f>
        <v>0.5</v>
      </c>
      <c r="BF308" s="204">
        <v>1</v>
      </c>
      <c r="BG308" s="204">
        <v>1</v>
      </c>
      <c r="BH308" s="204">
        <v>0</v>
      </c>
      <c r="BI308" s="272" t="str">
        <f t="shared" si="259"/>
        <v>C</v>
      </c>
      <c r="BJ308" s="247">
        <f t="shared" si="260"/>
        <v>50</v>
      </c>
      <c r="BK308" s="90">
        <f t="shared" si="261"/>
        <v>1.5</v>
      </c>
      <c r="BL308" s="406">
        <v>322</v>
      </c>
      <c r="BM308" s="413">
        <f t="shared" si="262"/>
        <v>36.969001148105626</v>
      </c>
      <c r="BN308" s="414">
        <f t="shared" si="263"/>
        <v>20</v>
      </c>
      <c r="BO308" s="415">
        <f t="shared" si="264"/>
        <v>0.6</v>
      </c>
      <c r="BP308" s="416">
        <v>0.05</v>
      </c>
      <c r="BQ308" s="417">
        <f t="shared" si="265"/>
        <v>66.666666666666671</v>
      </c>
      <c r="BR308" s="415">
        <f t="shared" si="266"/>
        <v>0.66666666666666674</v>
      </c>
      <c r="BS308" s="350">
        <f t="shared" si="267"/>
        <v>5.7626512065046915</v>
      </c>
    </row>
    <row r="309" spans="1:71" x14ac:dyDescent="0.6">
      <c r="A309" s="214" t="s">
        <v>914</v>
      </c>
      <c r="B309" s="13" t="s">
        <v>2290</v>
      </c>
      <c r="C309" s="219" t="s">
        <v>859</v>
      </c>
      <c r="D309" s="216" t="s">
        <v>285</v>
      </c>
      <c r="E309" s="217" t="s">
        <v>245</v>
      </c>
      <c r="F309" s="217" t="s">
        <v>130</v>
      </c>
      <c r="G309" s="218">
        <v>28460</v>
      </c>
      <c r="H309" s="217" t="s">
        <v>830</v>
      </c>
      <c r="I309" s="217" t="s">
        <v>1149</v>
      </c>
      <c r="J309" s="217" t="s">
        <v>641</v>
      </c>
      <c r="K309" s="217" t="s">
        <v>91</v>
      </c>
      <c r="L309" s="220">
        <v>1308741234</v>
      </c>
      <c r="M309" s="206">
        <v>878633042</v>
      </c>
      <c r="N309" s="206">
        <v>430108191</v>
      </c>
      <c r="O309" s="206">
        <v>4311279621</v>
      </c>
      <c r="P309" s="206">
        <v>29265563</v>
      </c>
      <c r="Q309" s="206">
        <v>78592213</v>
      </c>
      <c r="R309" s="206">
        <v>78671213</v>
      </c>
      <c r="S309" s="405">
        <v>0</v>
      </c>
      <c r="T309" s="405">
        <v>0</v>
      </c>
      <c r="U309" s="406">
        <v>0</v>
      </c>
      <c r="V309" s="406">
        <v>0</v>
      </c>
      <c r="W309" s="407">
        <f>SUM(S309:V309)</f>
        <v>0</v>
      </c>
      <c r="X309" s="407">
        <f>IF(W309=0, 100, IF(W309=1, 80, IF(W309=2, 60, IF(W309=3, 40, IF(W309=4, 20)))))</f>
        <v>100</v>
      </c>
      <c r="Y309" s="408">
        <f>X309*0.03</f>
        <v>3</v>
      </c>
      <c r="Z309" s="444" t="s">
        <v>3526</v>
      </c>
      <c r="AA309" s="442">
        <v>0</v>
      </c>
      <c r="AB309" s="406">
        <v>0</v>
      </c>
      <c r="AC309" s="406">
        <v>0</v>
      </c>
      <c r="AD309" s="407">
        <f>SUM(AA309:AC309)</f>
        <v>0</v>
      </c>
      <c r="AE309" s="364" t="str">
        <f>IF(AD309&gt;=1,"100","50")</f>
        <v>50</v>
      </c>
      <c r="AF309" s="349">
        <f>AE309*0.005</f>
        <v>0.25</v>
      </c>
      <c r="AG309" s="154">
        <v>224</v>
      </c>
      <c r="AH309" s="421"/>
      <c r="AI309" s="409">
        <f t="shared" si="251"/>
        <v>0</v>
      </c>
      <c r="AJ309" s="409">
        <f t="shared" si="252"/>
        <v>25</v>
      </c>
      <c r="AK309" s="408">
        <f>AJ309*0.01</f>
        <v>0.25</v>
      </c>
      <c r="AL309" s="423"/>
      <c r="AM309" s="424">
        <v>0</v>
      </c>
      <c r="AN309" s="365">
        <f t="shared" si="268"/>
        <v>25</v>
      </c>
      <c r="AO309" s="320">
        <f>AN309*0.01</f>
        <v>0.25</v>
      </c>
      <c r="AP309" s="277">
        <f>_xlfn.XLOOKUP(C309, '1.건전성'!C:C, '1.건전성'!BE:BE)</f>
        <v>28942000</v>
      </c>
      <c r="AQ309" s="277">
        <f>_xlfn.XLOOKUP(C309, '1.건전성'!C:C, '1.건전성'!BF:BF)</f>
        <v>2280000</v>
      </c>
      <c r="AR309" s="410">
        <f t="shared" si="254"/>
        <v>31222000</v>
      </c>
      <c r="AS309" s="366">
        <f t="shared" si="249"/>
        <v>0.7241933426892424</v>
      </c>
      <c r="AT309" s="366">
        <f t="shared" si="255"/>
        <v>25.168989956800935</v>
      </c>
      <c r="AU309" s="321">
        <f t="shared" si="256"/>
        <v>0.25168989956800936</v>
      </c>
      <c r="AV309" s="15">
        <v>2488000</v>
      </c>
      <c r="AW309" s="361">
        <f t="shared" si="250"/>
        <v>5.770908451126882E-2</v>
      </c>
      <c r="AX309" s="361">
        <f t="shared" si="257"/>
        <v>25</v>
      </c>
      <c r="AY309" s="321">
        <f>AX309*0.005</f>
        <v>0.125</v>
      </c>
      <c r="AZ309" s="411">
        <v>9.3000000000000007</v>
      </c>
      <c r="BA309" s="412">
        <f t="shared" si="258"/>
        <v>80</v>
      </c>
      <c r="BB309" s="408">
        <f>BA309*0.005</f>
        <v>0.4</v>
      </c>
      <c r="BC309" s="204">
        <v>1</v>
      </c>
      <c r="BD309" s="407">
        <f t="shared" si="269"/>
        <v>100</v>
      </c>
      <c r="BE309" s="408">
        <f>BD309*0.005</f>
        <v>0.5</v>
      </c>
      <c r="BF309" s="204">
        <v>0</v>
      </c>
      <c r="BG309" s="204">
        <v>0</v>
      </c>
      <c r="BH309" s="204">
        <v>0</v>
      </c>
      <c r="BI309" s="272" t="str">
        <f t="shared" si="259"/>
        <v>A</v>
      </c>
      <c r="BJ309" s="247">
        <f t="shared" si="260"/>
        <v>100</v>
      </c>
      <c r="BK309" s="90">
        <f t="shared" si="261"/>
        <v>3</v>
      </c>
      <c r="BL309" s="406">
        <v>11</v>
      </c>
      <c r="BM309" s="413">
        <f t="shared" si="262"/>
        <v>4.9107142857142856</v>
      </c>
      <c r="BN309" s="414">
        <f t="shared" si="263"/>
        <v>40</v>
      </c>
      <c r="BO309" s="415">
        <f t="shared" si="264"/>
        <v>1.2</v>
      </c>
      <c r="BP309" s="416">
        <v>0</v>
      </c>
      <c r="BQ309" s="417">
        <f t="shared" si="265"/>
        <v>33.333333333333336</v>
      </c>
      <c r="BR309" s="415">
        <f t="shared" si="266"/>
        <v>0.33333333333333337</v>
      </c>
      <c r="BS309" s="350">
        <f t="shared" si="267"/>
        <v>9.5600232329013419</v>
      </c>
    </row>
    <row r="310" spans="1:71" x14ac:dyDescent="0.6">
      <c r="A310" s="214" t="s">
        <v>299</v>
      </c>
      <c r="B310" s="13" t="s">
        <v>2291</v>
      </c>
      <c r="C310" s="219" t="s">
        <v>530</v>
      </c>
      <c r="D310" s="221" t="s">
        <v>481</v>
      </c>
      <c r="E310" s="217" t="s">
        <v>704</v>
      </c>
      <c r="F310" s="217" t="s">
        <v>275</v>
      </c>
      <c r="G310" s="218">
        <v>32745</v>
      </c>
      <c r="H310" s="217" t="s">
        <v>830</v>
      </c>
      <c r="I310" s="217" t="s">
        <v>219</v>
      </c>
      <c r="J310" s="217" t="s">
        <v>957</v>
      </c>
      <c r="K310" s="217" t="s">
        <v>91</v>
      </c>
      <c r="L310" s="220">
        <v>51608012236</v>
      </c>
      <c r="M310" s="206">
        <v>47532258211</v>
      </c>
      <c r="N310" s="206">
        <v>4075754025</v>
      </c>
      <c r="O310" s="206">
        <v>14222654630</v>
      </c>
      <c r="P310" s="206">
        <v>798504080</v>
      </c>
      <c r="Q310" s="206">
        <v>768353165</v>
      </c>
      <c r="R310" s="206">
        <v>560901654</v>
      </c>
      <c r="S310" s="275" t="s">
        <v>2326</v>
      </c>
      <c r="T310" s="275" t="s">
        <v>2326</v>
      </c>
      <c r="U310" s="275" t="s">
        <v>2326</v>
      </c>
      <c r="V310" s="275" t="s">
        <v>2326</v>
      </c>
      <c r="W310" s="275" t="s">
        <v>2326</v>
      </c>
      <c r="X310" s="275" t="s">
        <v>2326</v>
      </c>
      <c r="Y310" s="276"/>
      <c r="Z310" s="275" t="s">
        <v>2326</v>
      </c>
      <c r="AA310" s="275" t="s">
        <v>2326</v>
      </c>
      <c r="AB310" s="275" t="s">
        <v>2326</v>
      </c>
      <c r="AC310" s="275" t="s">
        <v>2326</v>
      </c>
      <c r="AD310" s="275" t="s">
        <v>2326</v>
      </c>
      <c r="AE310" s="275" t="s">
        <v>2326</v>
      </c>
      <c r="AF310" s="275"/>
      <c r="AG310" s="154">
        <v>4011</v>
      </c>
      <c r="AH310" s="421"/>
      <c r="AI310" s="409">
        <f t="shared" si="251"/>
        <v>0</v>
      </c>
      <c r="AJ310" s="409">
        <f t="shared" si="252"/>
        <v>25</v>
      </c>
      <c r="AK310" s="418">
        <f>AJ310*0.02</f>
        <v>0.5</v>
      </c>
      <c r="AL310" s="423"/>
      <c r="AM310" s="424">
        <v>0</v>
      </c>
      <c r="AN310" s="365">
        <f t="shared" si="268"/>
        <v>25</v>
      </c>
      <c r="AO310" s="322">
        <f>AN310*0.02</f>
        <v>0.5</v>
      </c>
      <c r="AP310" s="277">
        <f>_xlfn.XLOOKUP(C310, '1.건전성'!C:C, '1.건전성'!BE:BE)</f>
        <v>366264466</v>
      </c>
      <c r="AQ310" s="277">
        <f>_xlfn.XLOOKUP(C310, '1.건전성'!C:C, '1.건전성'!BF:BF)</f>
        <v>50914917</v>
      </c>
      <c r="AR310" s="410">
        <f t="shared" si="254"/>
        <v>417179383</v>
      </c>
      <c r="AS310" s="366">
        <f t="shared" si="249"/>
        <v>2.9332033565663544</v>
      </c>
      <c r="AT310" s="366">
        <f t="shared" si="255"/>
        <v>26.834072881833936</v>
      </c>
      <c r="AU310" s="321">
        <f t="shared" si="256"/>
        <v>0.26834072881833937</v>
      </c>
      <c r="AV310" s="15">
        <v>54770776</v>
      </c>
      <c r="AW310" s="361">
        <f t="shared" si="250"/>
        <v>0.38509531043854084</v>
      </c>
      <c r="AX310" s="361">
        <f t="shared" si="257"/>
        <v>27.159812957867732</v>
      </c>
      <c r="AY310" s="348">
        <f>AX310*0.01</f>
        <v>0.27159812957867735</v>
      </c>
      <c r="AZ310" s="411">
        <v>14.1</v>
      </c>
      <c r="BA310" s="412">
        <f t="shared" si="258"/>
        <v>100</v>
      </c>
      <c r="BB310" s="418">
        <f>BA310*0.01</f>
        <v>1</v>
      </c>
      <c r="BC310" s="204">
        <v>1</v>
      </c>
      <c r="BD310" s="407">
        <f t="shared" si="269"/>
        <v>100</v>
      </c>
      <c r="BE310" s="418">
        <f>BD310*0.01</f>
        <v>1</v>
      </c>
      <c r="BF310" s="204">
        <v>1</v>
      </c>
      <c r="BG310" s="204">
        <v>1</v>
      </c>
      <c r="BH310" s="204">
        <v>0</v>
      </c>
      <c r="BI310" s="272" t="str">
        <f t="shared" si="259"/>
        <v>C</v>
      </c>
      <c r="BJ310" s="247">
        <f t="shared" si="260"/>
        <v>50</v>
      </c>
      <c r="BK310" s="90">
        <f t="shared" si="261"/>
        <v>1.5</v>
      </c>
      <c r="BL310" s="406">
        <v>172</v>
      </c>
      <c r="BM310" s="413">
        <f t="shared" si="262"/>
        <v>4.2882074295686863</v>
      </c>
      <c r="BN310" s="414">
        <f t="shared" si="263"/>
        <v>40</v>
      </c>
      <c r="BO310" s="415">
        <f t="shared" si="264"/>
        <v>1.2</v>
      </c>
      <c r="BP310" s="416">
        <v>0</v>
      </c>
      <c r="BQ310" s="417">
        <f t="shared" si="265"/>
        <v>33.333333333333336</v>
      </c>
      <c r="BR310" s="415">
        <f t="shared" si="266"/>
        <v>0.33333333333333337</v>
      </c>
      <c r="BS310" s="350">
        <f t="shared" si="267"/>
        <v>6.57327219173035</v>
      </c>
    </row>
    <row r="311" spans="1:71" x14ac:dyDescent="0.6">
      <c r="A311" s="214" t="s">
        <v>936</v>
      </c>
      <c r="B311" s="13" t="s">
        <v>2292</v>
      </c>
      <c r="C311" s="219" t="s">
        <v>17</v>
      </c>
      <c r="D311" s="216" t="s">
        <v>285</v>
      </c>
      <c r="E311" s="217" t="s">
        <v>851</v>
      </c>
      <c r="F311" s="217" t="s">
        <v>1141</v>
      </c>
      <c r="G311" s="218">
        <v>40434</v>
      </c>
      <c r="H311" s="217" t="s">
        <v>830</v>
      </c>
      <c r="I311" s="217" t="s">
        <v>1013</v>
      </c>
      <c r="J311" s="217" t="s">
        <v>1147</v>
      </c>
      <c r="K311" s="217" t="s">
        <v>91</v>
      </c>
      <c r="L311" s="220">
        <v>1865948929</v>
      </c>
      <c r="M311" s="206">
        <v>318378114</v>
      </c>
      <c r="N311" s="206">
        <v>1547570816</v>
      </c>
      <c r="O311" s="206">
        <v>1101635299</v>
      </c>
      <c r="P311" s="206">
        <v>112712450</v>
      </c>
      <c r="Q311" s="206">
        <v>74367602</v>
      </c>
      <c r="R311" s="206">
        <v>67521538</v>
      </c>
      <c r="S311" s="405">
        <v>0</v>
      </c>
      <c r="T311" s="405">
        <v>0</v>
      </c>
      <c r="U311" s="406">
        <v>0</v>
      </c>
      <c r="V311" s="406">
        <v>0</v>
      </c>
      <c r="W311" s="407">
        <f t="shared" ref="W311:W321" si="292">SUM(S311:V311)</f>
        <v>0</v>
      </c>
      <c r="X311" s="407">
        <f t="shared" ref="X311:X321" si="293">IF(W311=0, 100, IF(W311=1, 80, IF(W311=2, 60, IF(W311=3, 40, IF(W311=4, 20)))))</f>
        <v>100</v>
      </c>
      <c r="Y311" s="408">
        <f t="shared" ref="Y311:Y321" si="294">X311*0.03</f>
        <v>3</v>
      </c>
      <c r="Z311" s="444" t="s">
        <v>3527</v>
      </c>
      <c r="AA311" s="442">
        <v>0</v>
      </c>
      <c r="AB311" s="406">
        <v>0</v>
      </c>
      <c r="AC311" s="406">
        <v>0</v>
      </c>
      <c r="AD311" s="407">
        <f t="shared" ref="AD311:AD321" si="295">SUM(AA311:AC311)</f>
        <v>0</v>
      </c>
      <c r="AE311" s="364" t="str">
        <f t="shared" ref="AE311:AE321" si="296">IF(AD311&gt;=1,"100","50")</f>
        <v>50</v>
      </c>
      <c r="AF311" s="349">
        <f t="shared" ref="AF311:AF321" si="297">AE311*0.005</f>
        <v>0.25</v>
      </c>
      <c r="AG311" s="154">
        <v>1048</v>
      </c>
      <c r="AH311" s="154">
        <v>1837892</v>
      </c>
      <c r="AI311" s="409">
        <f t="shared" si="251"/>
        <v>1753.7137404580153</v>
      </c>
      <c r="AJ311" s="409">
        <f t="shared" si="252"/>
        <v>100</v>
      </c>
      <c r="AK311" s="408">
        <f t="shared" ref="AK311:AK321" si="298">AJ311*0.01</f>
        <v>1</v>
      </c>
      <c r="AL311" s="45">
        <v>1468345</v>
      </c>
      <c r="AM311" s="361">
        <f t="shared" si="253"/>
        <v>25.167586636655553</v>
      </c>
      <c r="AN311" s="365">
        <f t="shared" si="268"/>
        <v>29.718922494372915</v>
      </c>
      <c r="AO311" s="320">
        <f t="shared" ref="AO311:AO321" si="299">AN311*0.01</f>
        <v>0.29718922494372918</v>
      </c>
      <c r="AP311" s="277">
        <f>_xlfn.XLOOKUP(C311, '1.건전성'!C:C, '1.건전성'!BE:BE)</f>
        <v>68160362</v>
      </c>
      <c r="AQ311" s="277">
        <f>_xlfn.XLOOKUP(C311, '1.건전성'!C:C, '1.건전성'!BF:BF)</f>
        <v>7826279</v>
      </c>
      <c r="AR311" s="410">
        <f t="shared" si="254"/>
        <v>75986641</v>
      </c>
      <c r="AS311" s="366">
        <f t="shared" si="249"/>
        <v>6.8976222048237039</v>
      </c>
      <c r="AT311" s="366">
        <f t="shared" si="255"/>
        <v>29.822328295093243</v>
      </c>
      <c r="AU311" s="321">
        <f t="shared" si="256"/>
        <v>0.29822328295093242</v>
      </c>
      <c r="AV311" s="15">
        <v>11964865</v>
      </c>
      <c r="AW311" s="361">
        <f t="shared" si="250"/>
        <v>1.086100364690656</v>
      </c>
      <c r="AX311" s="361">
        <f t="shared" si="257"/>
        <v>32.470457308262546</v>
      </c>
      <c r="AY311" s="321">
        <f t="shared" ref="AY311:AY321" si="300">AX311*0.005</f>
        <v>0.16235228654131273</v>
      </c>
      <c r="AZ311" s="411">
        <v>6.32</v>
      </c>
      <c r="BA311" s="412">
        <f t="shared" si="258"/>
        <v>60</v>
      </c>
      <c r="BB311" s="408">
        <f t="shared" ref="BB311:BB321" si="301">BA311*0.005</f>
        <v>0.3</v>
      </c>
      <c r="BC311" s="204">
        <v>1</v>
      </c>
      <c r="BD311" s="407">
        <f t="shared" si="269"/>
        <v>100</v>
      </c>
      <c r="BE311" s="408">
        <f t="shared" ref="BE311:BE321" si="302">BD311*0.005</f>
        <v>0.5</v>
      </c>
      <c r="BF311" s="204">
        <v>1</v>
      </c>
      <c r="BG311" s="204">
        <v>1</v>
      </c>
      <c r="BH311" s="204">
        <v>0</v>
      </c>
      <c r="BI311" s="272" t="str">
        <f t="shared" si="259"/>
        <v>C</v>
      </c>
      <c r="BJ311" s="247">
        <f t="shared" si="260"/>
        <v>50</v>
      </c>
      <c r="BK311" s="90">
        <f t="shared" si="261"/>
        <v>1.5</v>
      </c>
      <c r="BL311" s="406">
        <v>26</v>
      </c>
      <c r="BM311" s="413">
        <f t="shared" si="262"/>
        <v>2.4809160305343512</v>
      </c>
      <c r="BN311" s="414">
        <f t="shared" si="263"/>
        <v>60</v>
      </c>
      <c r="BO311" s="415">
        <f t="shared" si="264"/>
        <v>1.7999999999999998</v>
      </c>
      <c r="BP311" s="416">
        <v>0.01</v>
      </c>
      <c r="BQ311" s="417">
        <f t="shared" si="265"/>
        <v>66.666666666666671</v>
      </c>
      <c r="BR311" s="415">
        <f t="shared" si="266"/>
        <v>0.66666666666666674</v>
      </c>
      <c r="BS311" s="350">
        <f t="shared" si="267"/>
        <v>9.7744314611026386</v>
      </c>
    </row>
    <row r="312" spans="1:71" x14ac:dyDescent="0.6">
      <c r="A312" s="214" t="s">
        <v>318</v>
      </c>
      <c r="B312" s="13" t="s">
        <v>2293</v>
      </c>
      <c r="C312" s="219" t="s">
        <v>539</v>
      </c>
      <c r="D312" s="216" t="s">
        <v>285</v>
      </c>
      <c r="E312" s="217" t="s">
        <v>872</v>
      </c>
      <c r="F312" s="217" t="s">
        <v>44</v>
      </c>
      <c r="G312" s="218">
        <v>32415</v>
      </c>
      <c r="H312" s="217" t="s">
        <v>830</v>
      </c>
      <c r="I312" s="217" t="s">
        <v>435</v>
      </c>
      <c r="J312" s="217" t="s">
        <v>1145</v>
      </c>
      <c r="K312" s="217" t="s">
        <v>308</v>
      </c>
      <c r="L312" s="220">
        <v>564413385</v>
      </c>
      <c r="M312" s="206">
        <v>200073929</v>
      </c>
      <c r="N312" s="206">
        <v>364339456</v>
      </c>
      <c r="O312" s="206">
        <v>645826449</v>
      </c>
      <c r="P312" s="206">
        <v>23890019</v>
      </c>
      <c r="Q312" s="206">
        <v>40898213</v>
      </c>
      <c r="R312" s="206">
        <v>31433619</v>
      </c>
      <c r="S312" s="405">
        <v>0</v>
      </c>
      <c r="T312" s="405">
        <v>0</v>
      </c>
      <c r="U312" s="406">
        <v>0</v>
      </c>
      <c r="V312" s="406">
        <v>0</v>
      </c>
      <c r="W312" s="407">
        <f t="shared" si="292"/>
        <v>0</v>
      </c>
      <c r="X312" s="407">
        <f t="shared" si="293"/>
        <v>100</v>
      </c>
      <c r="Y312" s="408">
        <f t="shared" si="294"/>
        <v>3</v>
      </c>
      <c r="Z312" s="444" t="s">
        <v>3528</v>
      </c>
      <c r="AA312" s="442">
        <v>0</v>
      </c>
      <c r="AB312" s="406">
        <v>1</v>
      </c>
      <c r="AC312" s="406">
        <v>0</v>
      </c>
      <c r="AD312" s="407">
        <f t="shared" si="295"/>
        <v>1</v>
      </c>
      <c r="AE312" s="364" t="str">
        <f t="shared" si="296"/>
        <v>100</v>
      </c>
      <c r="AF312" s="349">
        <f t="shared" si="297"/>
        <v>0.5</v>
      </c>
      <c r="AG312" s="154">
        <v>414</v>
      </c>
      <c r="AH312" s="154">
        <v>61847</v>
      </c>
      <c r="AI312" s="409">
        <f t="shared" si="251"/>
        <v>149.38888888888889</v>
      </c>
      <c r="AJ312" s="409">
        <f t="shared" si="252"/>
        <v>100</v>
      </c>
      <c r="AK312" s="408">
        <f t="shared" si="298"/>
        <v>1</v>
      </c>
      <c r="AL312" s="45">
        <v>52202</v>
      </c>
      <c r="AM312" s="361">
        <f t="shared" si="253"/>
        <v>18.47630358990077</v>
      </c>
      <c r="AN312" s="365">
        <f t="shared" si="268"/>
        <v>28.464306923106395</v>
      </c>
      <c r="AO312" s="320">
        <f t="shared" si="299"/>
        <v>0.28464306923106397</v>
      </c>
      <c r="AP312" s="277">
        <f>_xlfn.XLOOKUP(C312, '1.건전성'!C:C, '1.건전성'!BE:BE)</f>
        <v>11729300</v>
      </c>
      <c r="AQ312" s="277">
        <f>_xlfn.XLOOKUP(C312, '1.건전성'!C:C, '1.건전성'!BF:BF)</f>
        <v>1036112</v>
      </c>
      <c r="AR312" s="410">
        <f t="shared" si="254"/>
        <v>12765412</v>
      </c>
      <c r="AS312" s="366">
        <f t="shared" si="249"/>
        <v>1.9766009923820882</v>
      </c>
      <c r="AT312" s="366">
        <f t="shared" si="255"/>
        <v>26.113015823403583</v>
      </c>
      <c r="AU312" s="321">
        <f t="shared" si="256"/>
        <v>0.26113015823403585</v>
      </c>
      <c r="AV312" s="15">
        <v>1490029</v>
      </c>
      <c r="AW312" s="361">
        <f t="shared" si="250"/>
        <v>0.2307166270918706</v>
      </c>
      <c r="AX312" s="361">
        <f t="shared" si="257"/>
        <v>25.990277477968718</v>
      </c>
      <c r="AY312" s="321">
        <f t="shared" si="300"/>
        <v>0.1299513873898436</v>
      </c>
      <c r="AZ312" s="411">
        <v>9.1</v>
      </c>
      <c r="BA312" s="412">
        <f t="shared" si="258"/>
        <v>80</v>
      </c>
      <c r="BB312" s="408">
        <f t="shared" si="301"/>
        <v>0.4</v>
      </c>
      <c r="BC312" s="204">
        <v>1</v>
      </c>
      <c r="BD312" s="407">
        <f t="shared" si="269"/>
        <v>100</v>
      </c>
      <c r="BE312" s="408">
        <f t="shared" si="302"/>
        <v>0.5</v>
      </c>
      <c r="BF312" s="204">
        <v>0</v>
      </c>
      <c r="BG312" s="204">
        <v>1</v>
      </c>
      <c r="BH312" s="204">
        <v>0</v>
      </c>
      <c r="BI312" s="272" t="str">
        <f t="shared" si="259"/>
        <v>C</v>
      </c>
      <c r="BJ312" s="247">
        <f t="shared" si="260"/>
        <v>50</v>
      </c>
      <c r="BK312" s="90">
        <f t="shared" si="261"/>
        <v>1.5</v>
      </c>
      <c r="BL312" s="406">
        <v>93</v>
      </c>
      <c r="BM312" s="413">
        <f t="shared" si="262"/>
        <v>22.463768115942027</v>
      </c>
      <c r="BN312" s="414">
        <f t="shared" si="263"/>
        <v>20</v>
      </c>
      <c r="BO312" s="415">
        <f t="shared" si="264"/>
        <v>0.6</v>
      </c>
      <c r="BP312" s="416">
        <v>0</v>
      </c>
      <c r="BQ312" s="417">
        <f t="shared" si="265"/>
        <v>33.333333333333336</v>
      </c>
      <c r="BR312" s="415">
        <f t="shared" si="266"/>
        <v>0.33333333333333337</v>
      </c>
      <c r="BS312" s="350">
        <f t="shared" si="267"/>
        <v>8.5090579481882784</v>
      </c>
    </row>
    <row r="313" spans="1:71" x14ac:dyDescent="0.6">
      <c r="A313" s="214" t="s">
        <v>1961</v>
      </c>
      <c r="B313" s="13" t="s">
        <v>2294</v>
      </c>
      <c r="C313" s="219" t="s">
        <v>1962</v>
      </c>
      <c r="D313" s="14" t="s">
        <v>202</v>
      </c>
      <c r="E313" s="217" t="s">
        <v>954</v>
      </c>
      <c r="F313" s="217" t="s">
        <v>1963</v>
      </c>
      <c r="G313" s="218">
        <v>44270</v>
      </c>
      <c r="H313" s="217" t="s">
        <v>830</v>
      </c>
      <c r="I313" s="217" t="s">
        <v>1964</v>
      </c>
      <c r="J313" s="217" t="s">
        <v>1965</v>
      </c>
      <c r="K313" s="217" t="s">
        <v>50</v>
      </c>
      <c r="L313" s="220">
        <v>395294330</v>
      </c>
      <c r="M313" s="206">
        <v>302633820</v>
      </c>
      <c r="N313" s="206">
        <v>92660510</v>
      </c>
      <c r="O313" s="206">
        <v>657241500</v>
      </c>
      <c r="P313" s="206">
        <v>12719529</v>
      </c>
      <c r="Q313" s="206">
        <v>15411762</v>
      </c>
      <c r="R313" s="206">
        <v>12684598</v>
      </c>
      <c r="S313" s="405">
        <v>0</v>
      </c>
      <c r="T313" s="405">
        <v>0</v>
      </c>
      <c r="U313" s="406">
        <v>0</v>
      </c>
      <c r="V313" s="406">
        <v>0</v>
      </c>
      <c r="W313" s="407">
        <f t="shared" si="292"/>
        <v>0</v>
      </c>
      <c r="X313" s="407">
        <f t="shared" si="293"/>
        <v>100</v>
      </c>
      <c r="Y313" s="408">
        <f t="shared" si="294"/>
        <v>3</v>
      </c>
      <c r="Z313" s="444" t="s">
        <v>3529</v>
      </c>
      <c r="AA313" s="442">
        <v>0</v>
      </c>
      <c r="AB313" s="406">
        <v>0</v>
      </c>
      <c r="AC313" s="406">
        <v>0</v>
      </c>
      <c r="AD313" s="407">
        <f t="shared" si="295"/>
        <v>0</v>
      </c>
      <c r="AE313" s="364" t="str">
        <f t="shared" si="296"/>
        <v>50</v>
      </c>
      <c r="AF313" s="349">
        <f t="shared" si="297"/>
        <v>0.25</v>
      </c>
      <c r="AG313" s="154">
        <v>621</v>
      </c>
      <c r="AH313" s="154">
        <v>84558</v>
      </c>
      <c r="AI313" s="409">
        <f t="shared" si="251"/>
        <v>136.16425120772948</v>
      </c>
      <c r="AJ313" s="409">
        <f t="shared" si="252"/>
        <v>100</v>
      </c>
      <c r="AK313" s="408">
        <f t="shared" si="298"/>
        <v>1</v>
      </c>
      <c r="AL313" s="45">
        <v>50659</v>
      </c>
      <c r="AM313" s="361">
        <f t="shared" si="253"/>
        <v>66.916046507037251</v>
      </c>
      <c r="AN313" s="365">
        <f t="shared" si="268"/>
        <v>37.546758720069484</v>
      </c>
      <c r="AO313" s="320">
        <f t="shared" si="299"/>
        <v>0.37546758720069484</v>
      </c>
      <c r="AP313" s="277">
        <f>_xlfn.XLOOKUP(C313, '1.건전성'!C:C, '1.건전성'!BE:BE)</f>
        <v>15980390</v>
      </c>
      <c r="AQ313" s="277">
        <f>_xlfn.XLOOKUP(C313, '1.건전성'!C:C, '1.건전성'!BF:BF)</f>
        <v>2309595</v>
      </c>
      <c r="AR313" s="410">
        <f t="shared" si="254"/>
        <v>18289985</v>
      </c>
      <c r="AS313" s="366">
        <f t="shared" si="249"/>
        <v>2.7828408583450681</v>
      </c>
      <c r="AT313" s="366">
        <f t="shared" si="255"/>
        <v>26.720734315335477</v>
      </c>
      <c r="AU313" s="321">
        <f t="shared" si="256"/>
        <v>0.26720734315335476</v>
      </c>
      <c r="AV313" s="15">
        <v>3828690</v>
      </c>
      <c r="AW313" s="361">
        <f t="shared" si="250"/>
        <v>0.58253929491670875</v>
      </c>
      <c r="AX313" s="361">
        <f t="shared" si="257"/>
        <v>28.655600719065976</v>
      </c>
      <c r="AY313" s="321">
        <f t="shared" si="300"/>
        <v>0.14327800359532988</v>
      </c>
      <c r="AZ313" s="411">
        <v>12</v>
      </c>
      <c r="BA313" s="412">
        <f t="shared" si="258"/>
        <v>100</v>
      </c>
      <c r="BB313" s="408">
        <f t="shared" si="301"/>
        <v>0.5</v>
      </c>
      <c r="BC313" s="204">
        <v>1</v>
      </c>
      <c r="BD313" s="407">
        <f t="shared" si="269"/>
        <v>100</v>
      </c>
      <c r="BE313" s="408">
        <f t="shared" si="302"/>
        <v>0.5</v>
      </c>
      <c r="BF313" s="204">
        <v>0</v>
      </c>
      <c r="BG313" s="204">
        <v>0</v>
      </c>
      <c r="BH313" s="204">
        <v>0</v>
      </c>
      <c r="BI313" s="272" t="str">
        <f t="shared" si="259"/>
        <v>A</v>
      </c>
      <c r="BJ313" s="247">
        <f t="shared" si="260"/>
        <v>100</v>
      </c>
      <c r="BK313" s="90">
        <f t="shared" si="261"/>
        <v>3</v>
      </c>
      <c r="BL313" s="406">
        <v>30</v>
      </c>
      <c r="BM313" s="413">
        <f t="shared" si="262"/>
        <v>4.8309178743961354</v>
      </c>
      <c r="BN313" s="414">
        <f t="shared" si="263"/>
        <v>40</v>
      </c>
      <c r="BO313" s="415">
        <f t="shared" si="264"/>
        <v>1.2</v>
      </c>
      <c r="BP313" s="416">
        <v>0</v>
      </c>
      <c r="BQ313" s="417">
        <f t="shared" si="265"/>
        <v>33.333333333333336</v>
      </c>
      <c r="BR313" s="415">
        <f t="shared" si="266"/>
        <v>0.33333333333333337</v>
      </c>
      <c r="BS313" s="350">
        <f t="shared" si="267"/>
        <v>10.569286267282711</v>
      </c>
    </row>
    <row r="314" spans="1:71" x14ac:dyDescent="0.6">
      <c r="A314" s="214" t="s">
        <v>1966</v>
      </c>
      <c r="B314" s="13" t="s">
        <v>2295</v>
      </c>
      <c r="C314" s="219" t="s">
        <v>456</v>
      </c>
      <c r="D314" s="216" t="s">
        <v>191</v>
      </c>
      <c r="E314" s="217" t="s">
        <v>359</v>
      </c>
      <c r="F314" s="217">
        <v>0</v>
      </c>
      <c r="G314" s="218">
        <v>42647</v>
      </c>
      <c r="H314" s="217" t="s">
        <v>830</v>
      </c>
      <c r="I314" s="217" t="s">
        <v>838</v>
      </c>
      <c r="J314" s="217" t="s">
        <v>674</v>
      </c>
      <c r="K314" s="217" t="s">
        <v>484</v>
      </c>
      <c r="L314" s="220">
        <v>385322070</v>
      </c>
      <c r="M314" s="206">
        <v>21439724</v>
      </c>
      <c r="N314" s="206">
        <v>363882347</v>
      </c>
      <c r="O314" s="206">
        <v>6697506</v>
      </c>
      <c r="P314" s="206">
        <v>3662683</v>
      </c>
      <c r="Q314" s="206">
        <v>13457274</v>
      </c>
      <c r="R314" s="206">
        <v>10765577</v>
      </c>
      <c r="S314" s="405">
        <v>0</v>
      </c>
      <c r="T314" s="405">
        <v>0</v>
      </c>
      <c r="U314" s="406">
        <v>0</v>
      </c>
      <c r="V314" s="406">
        <v>0</v>
      </c>
      <c r="W314" s="407">
        <f t="shared" si="292"/>
        <v>0</v>
      </c>
      <c r="X314" s="407">
        <f t="shared" si="293"/>
        <v>100</v>
      </c>
      <c r="Y314" s="408">
        <f t="shared" si="294"/>
        <v>3</v>
      </c>
      <c r="Z314" s="444" t="s">
        <v>3530</v>
      </c>
      <c r="AA314" s="442">
        <v>0</v>
      </c>
      <c r="AB314" s="406">
        <v>0</v>
      </c>
      <c r="AC314" s="406">
        <v>0</v>
      </c>
      <c r="AD314" s="407">
        <f t="shared" si="295"/>
        <v>0</v>
      </c>
      <c r="AE314" s="364" t="str">
        <f t="shared" si="296"/>
        <v>50</v>
      </c>
      <c r="AF314" s="349">
        <f t="shared" si="297"/>
        <v>0.25</v>
      </c>
      <c r="AG314" s="154">
        <v>5</v>
      </c>
      <c r="AH314" s="154">
        <v>133825</v>
      </c>
      <c r="AI314" s="409">
        <f t="shared" si="251"/>
        <v>26765</v>
      </c>
      <c r="AJ314" s="409">
        <f t="shared" si="252"/>
        <v>100</v>
      </c>
      <c r="AK314" s="408">
        <f t="shared" si="298"/>
        <v>1</v>
      </c>
      <c r="AL314" s="45">
        <v>76464</v>
      </c>
      <c r="AM314" s="361">
        <f t="shared" si="253"/>
        <v>75.017001464741568</v>
      </c>
      <c r="AN314" s="365">
        <f t="shared" si="268"/>
        <v>39.065687774639045</v>
      </c>
      <c r="AO314" s="320">
        <f t="shared" si="299"/>
        <v>0.39065687774639046</v>
      </c>
      <c r="AP314" s="277">
        <f>_xlfn.XLOOKUP(C314, '1.건전성'!C:C, '1.건전성'!BE:BE)</f>
        <v>979448</v>
      </c>
      <c r="AQ314" s="277">
        <f>_xlfn.XLOOKUP(C314, '1.건전성'!C:C, '1.건전성'!BF:BF)</f>
        <v>136529</v>
      </c>
      <c r="AR314" s="410">
        <f t="shared" si="254"/>
        <v>1115977</v>
      </c>
      <c r="AS314" s="366">
        <f t="shared" si="249"/>
        <v>16.662575591570953</v>
      </c>
      <c r="AT314" s="366">
        <f t="shared" si="255"/>
        <v>37.182845923294686</v>
      </c>
      <c r="AU314" s="321">
        <f t="shared" si="256"/>
        <v>0.37182845923294688</v>
      </c>
      <c r="AV314" s="15">
        <v>93610</v>
      </c>
      <c r="AW314" s="361">
        <f t="shared" si="250"/>
        <v>1.3976844514958255</v>
      </c>
      <c r="AX314" s="361">
        <f t="shared" si="257"/>
        <v>34.830942814362317</v>
      </c>
      <c r="AY314" s="321">
        <f t="shared" si="300"/>
        <v>0.17415471407181157</v>
      </c>
      <c r="AZ314" s="411">
        <v>3.7</v>
      </c>
      <c r="BA314" s="412">
        <f t="shared" si="258"/>
        <v>20</v>
      </c>
      <c r="BB314" s="408">
        <f t="shared" si="301"/>
        <v>0.1</v>
      </c>
      <c r="BC314" s="204">
        <v>1</v>
      </c>
      <c r="BD314" s="407">
        <f t="shared" si="269"/>
        <v>100</v>
      </c>
      <c r="BE314" s="408">
        <f t="shared" si="302"/>
        <v>0.5</v>
      </c>
      <c r="BF314" s="204">
        <v>0</v>
      </c>
      <c r="BG314" s="204">
        <v>0</v>
      </c>
      <c r="BH314" s="204">
        <v>0</v>
      </c>
      <c r="BI314" s="272" t="str">
        <f t="shared" si="259"/>
        <v>A</v>
      </c>
      <c r="BJ314" s="247">
        <f t="shared" si="260"/>
        <v>100</v>
      </c>
      <c r="BK314" s="90">
        <f t="shared" si="261"/>
        <v>3</v>
      </c>
      <c r="BL314" s="406">
        <v>0</v>
      </c>
      <c r="BM314" s="413">
        <f t="shared" si="262"/>
        <v>0</v>
      </c>
      <c r="BN314" s="414">
        <f t="shared" si="263"/>
        <v>100</v>
      </c>
      <c r="BO314" s="415">
        <f t="shared" si="264"/>
        <v>3</v>
      </c>
      <c r="BP314" s="416">
        <v>0</v>
      </c>
      <c r="BQ314" s="417">
        <f t="shared" si="265"/>
        <v>33.333333333333336</v>
      </c>
      <c r="BR314" s="415">
        <f t="shared" si="266"/>
        <v>0.33333333333333337</v>
      </c>
      <c r="BS314" s="350">
        <f t="shared" si="267"/>
        <v>12.119973384384481</v>
      </c>
    </row>
    <row r="315" spans="1:71" x14ac:dyDescent="0.6">
      <c r="A315" s="214" t="s">
        <v>110</v>
      </c>
      <c r="B315" s="13" t="s">
        <v>2296</v>
      </c>
      <c r="C315" s="219" t="s">
        <v>415</v>
      </c>
      <c r="D315" s="216" t="s">
        <v>202</v>
      </c>
      <c r="E315" s="217" t="s">
        <v>572</v>
      </c>
      <c r="F315" s="217" t="s">
        <v>140</v>
      </c>
      <c r="G315" s="218">
        <v>36482</v>
      </c>
      <c r="H315" s="217" t="s">
        <v>830</v>
      </c>
      <c r="I315" s="217" t="s">
        <v>574</v>
      </c>
      <c r="J315" s="217" t="s">
        <v>1128</v>
      </c>
      <c r="K315" s="217" t="s">
        <v>487</v>
      </c>
      <c r="L315" s="220">
        <v>431960683</v>
      </c>
      <c r="M315" s="206">
        <v>113198118</v>
      </c>
      <c r="N315" s="206">
        <v>318762565</v>
      </c>
      <c r="O315" s="206">
        <v>214284471</v>
      </c>
      <c r="P315" s="206">
        <v>4478641</v>
      </c>
      <c r="Q315" s="206">
        <v>40192166</v>
      </c>
      <c r="R315" s="206">
        <v>33648333</v>
      </c>
      <c r="S315" s="405">
        <v>0</v>
      </c>
      <c r="T315" s="405">
        <v>0</v>
      </c>
      <c r="U315" s="406">
        <v>0</v>
      </c>
      <c r="V315" s="406">
        <v>0</v>
      </c>
      <c r="W315" s="407">
        <f t="shared" si="292"/>
        <v>0</v>
      </c>
      <c r="X315" s="407">
        <f t="shared" si="293"/>
        <v>100</v>
      </c>
      <c r="Y315" s="408">
        <f t="shared" si="294"/>
        <v>3</v>
      </c>
      <c r="Z315" s="444" t="s">
        <v>3531</v>
      </c>
      <c r="AA315" s="442">
        <v>0</v>
      </c>
      <c r="AB315" s="406">
        <v>1</v>
      </c>
      <c r="AC315" s="406">
        <v>0</v>
      </c>
      <c r="AD315" s="407">
        <f t="shared" si="295"/>
        <v>1</v>
      </c>
      <c r="AE315" s="364" t="str">
        <f t="shared" si="296"/>
        <v>100</v>
      </c>
      <c r="AF315" s="349">
        <f t="shared" si="297"/>
        <v>0.5</v>
      </c>
      <c r="AG315" s="154">
        <v>322</v>
      </c>
      <c r="AH315" s="154">
        <v>17916</v>
      </c>
      <c r="AI315" s="409">
        <f t="shared" si="251"/>
        <v>55.639751552795033</v>
      </c>
      <c r="AJ315" s="409">
        <f t="shared" si="252"/>
        <v>66.729813664596278</v>
      </c>
      <c r="AK315" s="408">
        <f t="shared" si="298"/>
        <v>0.66729813664596282</v>
      </c>
      <c r="AL315" s="45">
        <v>7450</v>
      </c>
      <c r="AM315" s="361">
        <f t="shared" si="253"/>
        <v>140.48322147651007</v>
      </c>
      <c r="AN315" s="365">
        <f t="shared" si="268"/>
        <v>51.340604026845639</v>
      </c>
      <c r="AO315" s="320">
        <f t="shared" si="299"/>
        <v>0.51340604026845638</v>
      </c>
      <c r="AP315" s="277">
        <f>_xlfn.XLOOKUP(C315, '1.건전성'!C:C, '1.건전성'!BE:BE)</f>
        <v>7651205</v>
      </c>
      <c r="AQ315" s="277">
        <f>_xlfn.XLOOKUP(C315, '1.건전성'!C:C, '1.건전성'!BF:BF)</f>
        <v>167422</v>
      </c>
      <c r="AR315" s="410">
        <f t="shared" si="254"/>
        <v>7818627</v>
      </c>
      <c r="AS315" s="366">
        <f t="shared" si="249"/>
        <v>3.6487137698372925</v>
      </c>
      <c r="AT315" s="366">
        <f t="shared" si="255"/>
        <v>27.373402339073337</v>
      </c>
      <c r="AU315" s="321">
        <f t="shared" si="256"/>
        <v>0.27373402339073338</v>
      </c>
      <c r="AV315" s="15">
        <v>162138</v>
      </c>
      <c r="AW315" s="361">
        <f t="shared" si="250"/>
        <v>7.5664839007395915E-2</v>
      </c>
      <c r="AX315" s="361">
        <f t="shared" si="257"/>
        <v>25</v>
      </c>
      <c r="AY315" s="321">
        <f t="shared" si="300"/>
        <v>0.125</v>
      </c>
      <c r="AZ315" s="411">
        <v>14.1</v>
      </c>
      <c r="BA315" s="412">
        <f t="shared" si="258"/>
        <v>100</v>
      </c>
      <c r="BB315" s="408">
        <f t="shared" si="301"/>
        <v>0.5</v>
      </c>
      <c r="BC315" s="204">
        <v>1</v>
      </c>
      <c r="BD315" s="407">
        <f t="shared" si="269"/>
        <v>100</v>
      </c>
      <c r="BE315" s="408">
        <f t="shared" si="302"/>
        <v>0.5</v>
      </c>
      <c r="BF315" s="204">
        <v>0</v>
      </c>
      <c r="BG315" s="204">
        <v>0</v>
      </c>
      <c r="BH315" s="204">
        <v>0</v>
      </c>
      <c r="BI315" s="272" t="str">
        <f t="shared" si="259"/>
        <v>A</v>
      </c>
      <c r="BJ315" s="247">
        <f t="shared" si="260"/>
        <v>100</v>
      </c>
      <c r="BK315" s="90">
        <f t="shared" si="261"/>
        <v>3</v>
      </c>
      <c r="BL315" s="406">
        <v>19</v>
      </c>
      <c r="BM315" s="413">
        <f t="shared" si="262"/>
        <v>5.9006211180124222</v>
      </c>
      <c r="BN315" s="414">
        <f t="shared" si="263"/>
        <v>40</v>
      </c>
      <c r="BO315" s="415">
        <f t="shared" si="264"/>
        <v>1.2</v>
      </c>
      <c r="BP315" s="416">
        <v>0</v>
      </c>
      <c r="BQ315" s="417">
        <f t="shared" si="265"/>
        <v>33.333333333333336</v>
      </c>
      <c r="BR315" s="415">
        <f t="shared" si="266"/>
        <v>0.33333333333333337</v>
      </c>
      <c r="BS315" s="350">
        <f t="shared" si="267"/>
        <v>10.612771533638485</v>
      </c>
    </row>
    <row r="316" spans="1:71" x14ac:dyDescent="0.6">
      <c r="A316" s="214" t="s">
        <v>526</v>
      </c>
      <c r="B316" s="13" t="s">
        <v>2297</v>
      </c>
      <c r="C316" s="219" t="s">
        <v>294</v>
      </c>
      <c r="D316" s="216" t="s">
        <v>203</v>
      </c>
      <c r="E316" s="217" t="s">
        <v>200</v>
      </c>
      <c r="F316" s="217" t="s">
        <v>614</v>
      </c>
      <c r="G316" s="218">
        <v>40115</v>
      </c>
      <c r="H316" s="217" t="s">
        <v>830</v>
      </c>
      <c r="I316" s="217" t="s">
        <v>841</v>
      </c>
      <c r="J316" s="217" t="s">
        <v>1127</v>
      </c>
      <c r="K316" s="217" t="s">
        <v>690</v>
      </c>
      <c r="L316" s="220">
        <v>292166785</v>
      </c>
      <c r="M316" s="206">
        <v>44275143</v>
      </c>
      <c r="N316" s="206">
        <v>247891642</v>
      </c>
      <c r="O316" s="206">
        <v>161284519</v>
      </c>
      <c r="P316" s="206">
        <v>27840640</v>
      </c>
      <c r="Q316" s="206">
        <v>28718534</v>
      </c>
      <c r="R316" s="206">
        <v>22454629</v>
      </c>
      <c r="S316" s="405">
        <v>0</v>
      </c>
      <c r="T316" s="405">
        <v>0</v>
      </c>
      <c r="U316" s="406">
        <v>0</v>
      </c>
      <c r="V316" s="406">
        <v>0</v>
      </c>
      <c r="W316" s="407">
        <f t="shared" si="292"/>
        <v>0</v>
      </c>
      <c r="X316" s="407">
        <f t="shared" si="293"/>
        <v>100</v>
      </c>
      <c r="Y316" s="408">
        <f t="shared" si="294"/>
        <v>3</v>
      </c>
      <c r="Z316" s="444" t="s">
        <v>3532</v>
      </c>
      <c r="AA316" s="442">
        <v>0</v>
      </c>
      <c r="AB316" s="406">
        <v>1</v>
      </c>
      <c r="AC316" s="406">
        <v>0</v>
      </c>
      <c r="AD316" s="407">
        <f t="shared" si="295"/>
        <v>1</v>
      </c>
      <c r="AE316" s="364" t="str">
        <f t="shared" si="296"/>
        <v>100</v>
      </c>
      <c r="AF316" s="349">
        <f t="shared" si="297"/>
        <v>0.5</v>
      </c>
      <c r="AG316" s="154">
        <v>121</v>
      </c>
      <c r="AH316" s="154">
        <v>2796</v>
      </c>
      <c r="AI316" s="409">
        <f t="shared" si="251"/>
        <v>23.107438016528924</v>
      </c>
      <c r="AJ316" s="409">
        <f t="shared" si="252"/>
        <v>42.330578512396698</v>
      </c>
      <c r="AK316" s="408">
        <f t="shared" si="298"/>
        <v>0.42330578512396699</v>
      </c>
      <c r="AL316" s="45">
        <v>2174</v>
      </c>
      <c r="AM316" s="361">
        <f t="shared" si="253"/>
        <v>28.610855565777371</v>
      </c>
      <c r="AN316" s="365">
        <f t="shared" si="268"/>
        <v>30.364535418583259</v>
      </c>
      <c r="AO316" s="320">
        <f t="shared" si="299"/>
        <v>0.30364535418583261</v>
      </c>
      <c r="AP316" s="277">
        <f>_xlfn.XLOOKUP(C316, '1.건전성'!C:C, '1.건전성'!BE:BE)</f>
        <v>3276556</v>
      </c>
      <c r="AQ316" s="277">
        <f>_xlfn.XLOOKUP(C316, '1.건전성'!C:C, '1.건전성'!BF:BF)</f>
        <v>277587</v>
      </c>
      <c r="AR316" s="410">
        <f t="shared" si="254"/>
        <v>3554143</v>
      </c>
      <c r="AS316" s="366">
        <f t="shared" si="249"/>
        <v>2.2036479521013419</v>
      </c>
      <c r="AT316" s="366">
        <f t="shared" si="255"/>
        <v>26.284156747815082</v>
      </c>
      <c r="AU316" s="321">
        <f t="shared" si="256"/>
        <v>0.26284156747815085</v>
      </c>
      <c r="AV316" s="15">
        <v>1199423</v>
      </c>
      <c r="AW316" s="361">
        <f t="shared" si="250"/>
        <v>0.74366901884736991</v>
      </c>
      <c r="AX316" s="361">
        <f t="shared" si="257"/>
        <v>29.876280445813407</v>
      </c>
      <c r="AY316" s="321">
        <f t="shared" si="300"/>
        <v>0.14938140222906704</v>
      </c>
      <c r="AZ316" s="411">
        <v>6.82</v>
      </c>
      <c r="BA316" s="412">
        <f t="shared" si="258"/>
        <v>60</v>
      </c>
      <c r="BB316" s="408">
        <f t="shared" si="301"/>
        <v>0.3</v>
      </c>
      <c r="BC316" s="204">
        <v>1</v>
      </c>
      <c r="BD316" s="407">
        <f t="shared" si="269"/>
        <v>100</v>
      </c>
      <c r="BE316" s="408">
        <f t="shared" si="302"/>
        <v>0.5</v>
      </c>
      <c r="BF316" s="204">
        <v>0</v>
      </c>
      <c r="BG316" s="204">
        <v>0</v>
      </c>
      <c r="BH316" s="204">
        <v>0</v>
      </c>
      <c r="BI316" s="272" t="str">
        <f t="shared" si="259"/>
        <v>A</v>
      </c>
      <c r="BJ316" s="247">
        <f t="shared" si="260"/>
        <v>100</v>
      </c>
      <c r="BK316" s="90">
        <f t="shared" si="261"/>
        <v>3</v>
      </c>
      <c r="BL316" s="406">
        <v>13</v>
      </c>
      <c r="BM316" s="413">
        <f t="shared" si="262"/>
        <v>10.743801652892563</v>
      </c>
      <c r="BN316" s="414">
        <f t="shared" si="263"/>
        <v>20</v>
      </c>
      <c r="BO316" s="415">
        <f t="shared" si="264"/>
        <v>0.6</v>
      </c>
      <c r="BP316" s="416">
        <v>0</v>
      </c>
      <c r="BQ316" s="417">
        <f t="shared" si="265"/>
        <v>33.333333333333336</v>
      </c>
      <c r="BR316" s="415">
        <f t="shared" si="266"/>
        <v>0.33333333333333337</v>
      </c>
      <c r="BS316" s="350">
        <f t="shared" si="267"/>
        <v>9.3725074423503507</v>
      </c>
    </row>
    <row r="317" spans="1:71" x14ac:dyDescent="0.6">
      <c r="A317" s="214" t="s">
        <v>926</v>
      </c>
      <c r="B317" s="13" t="s">
        <v>2298</v>
      </c>
      <c r="C317" s="219" t="s">
        <v>10</v>
      </c>
      <c r="D317" s="216" t="s">
        <v>285</v>
      </c>
      <c r="E317" s="217" t="s">
        <v>619</v>
      </c>
      <c r="F317" s="217" t="s">
        <v>667</v>
      </c>
      <c r="G317" s="218">
        <v>39380</v>
      </c>
      <c r="H317" s="217" t="s">
        <v>830</v>
      </c>
      <c r="I317" s="217" t="s">
        <v>705</v>
      </c>
      <c r="J317" s="217" t="s">
        <v>1214</v>
      </c>
      <c r="K317" s="217" t="s">
        <v>91</v>
      </c>
      <c r="L317" s="220">
        <v>176403782</v>
      </c>
      <c r="M317" s="206">
        <v>111131085</v>
      </c>
      <c r="N317" s="206">
        <v>65272696</v>
      </c>
      <c r="O317" s="206">
        <v>510498450</v>
      </c>
      <c r="P317" s="206">
        <v>22273886</v>
      </c>
      <c r="Q317" s="206">
        <v>19802511</v>
      </c>
      <c r="R317" s="206">
        <v>15083749</v>
      </c>
      <c r="S317" s="405">
        <v>0</v>
      </c>
      <c r="T317" s="405">
        <v>0</v>
      </c>
      <c r="U317" s="406">
        <v>0</v>
      </c>
      <c r="V317" s="406">
        <v>0</v>
      </c>
      <c r="W317" s="407">
        <f t="shared" si="292"/>
        <v>0</v>
      </c>
      <c r="X317" s="407">
        <f t="shared" si="293"/>
        <v>100</v>
      </c>
      <c r="Y317" s="408">
        <f t="shared" si="294"/>
        <v>3</v>
      </c>
      <c r="Z317" s="444" t="s">
        <v>3533</v>
      </c>
      <c r="AA317" s="442">
        <v>0</v>
      </c>
      <c r="AB317" s="406">
        <v>0</v>
      </c>
      <c r="AC317" s="406">
        <v>0</v>
      </c>
      <c r="AD317" s="407">
        <f t="shared" si="295"/>
        <v>0</v>
      </c>
      <c r="AE317" s="364" t="str">
        <f t="shared" si="296"/>
        <v>50</v>
      </c>
      <c r="AF317" s="349">
        <f t="shared" si="297"/>
        <v>0.25</v>
      </c>
      <c r="AG317" s="154">
        <v>8201</v>
      </c>
      <c r="AH317" s="154">
        <v>134176</v>
      </c>
      <c r="AI317" s="409">
        <f t="shared" si="251"/>
        <v>16.360931593708084</v>
      </c>
      <c r="AJ317" s="409">
        <f t="shared" si="252"/>
        <v>37.270698695281062</v>
      </c>
      <c r="AK317" s="408">
        <f t="shared" si="298"/>
        <v>0.37270698695281063</v>
      </c>
      <c r="AL317" s="45">
        <v>88636</v>
      </c>
      <c r="AM317" s="361">
        <f t="shared" si="253"/>
        <v>51.378672322758248</v>
      </c>
      <c r="AN317" s="365">
        <f t="shared" si="268"/>
        <v>34.633501060517169</v>
      </c>
      <c r="AO317" s="320">
        <f t="shared" si="299"/>
        <v>0.34633501060517169</v>
      </c>
      <c r="AP317" s="277">
        <f>_xlfn.XLOOKUP(C317, '1.건전성'!C:C, '1.건전성'!BE:BE)</f>
        <v>15450998</v>
      </c>
      <c r="AQ317" s="277">
        <f>_xlfn.XLOOKUP(C317, '1.건전성'!C:C, '1.건전성'!BF:BF)</f>
        <v>1587722</v>
      </c>
      <c r="AR317" s="410">
        <f t="shared" si="254"/>
        <v>17038720</v>
      </c>
      <c r="AS317" s="366">
        <f t="shared" si="249"/>
        <v>3.3376634150407316</v>
      </c>
      <c r="AT317" s="366">
        <f t="shared" si="255"/>
        <v>27.138942272643767</v>
      </c>
      <c r="AU317" s="321">
        <f t="shared" si="256"/>
        <v>0.27138942272643768</v>
      </c>
      <c r="AV317" s="15">
        <v>2016489</v>
      </c>
      <c r="AW317" s="361">
        <f t="shared" si="250"/>
        <v>0.39500394173576819</v>
      </c>
      <c r="AX317" s="361">
        <f t="shared" si="257"/>
        <v>27.234878346483093</v>
      </c>
      <c r="AY317" s="321">
        <f t="shared" si="300"/>
        <v>0.13617439173241547</v>
      </c>
      <c r="AZ317" s="411">
        <v>2.6</v>
      </c>
      <c r="BA317" s="412">
        <f t="shared" si="258"/>
        <v>20</v>
      </c>
      <c r="BB317" s="408">
        <f t="shared" si="301"/>
        <v>0.1</v>
      </c>
      <c r="BC317" s="204">
        <v>0</v>
      </c>
      <c r="BD317" s="407">
        <f t="shared" si="269"/>
        <v>50</v>
      </c>
      <c r="BE317" s="408">
        <f t="shared" si="302"/>
        <v>0.25</v>
      </c>
      <c r="BF317" s="204">
        <v>0</v>
      </c>
      <c r="BG317" s="204">
        <v>0</v>
      </c>
      <c r="BH317" s="204">
        <v>0</v>
      </c>
      <c r="BI317" s="272" t="str">
        <f t="shared" si="259"/>
        <v>A</v>
      </c>
      <c r="BJ317" s="247">
        <f t="shared" si="260"/>
        <v>100</v>
      </c>
      <c r="BK317" s="90">
        <f t="shared" si="261"/>
        <v>3</v>
      </c>
      <c r="BL317" s="406">
        <v>753</v>
      </c>
      <c r="BM317" s="413">
        <f t="shared" si="262"/>
        <v>9.1818070966955254</v>
      </c>
      <c r="BN317" s="414">
        <f t="shared" si="263"/>
        <v>20</v>
      </c>
      <c r="BO317" s="415">
        <f t="shared" si="264"/>
        <v>0.6</v>
      </c>
      <c r="BP317" s="416">
        <v>0.01</v>
      </c>
      <c r="BQ317" s="417">
        <f t="shared" si="265"/>
        <v>66.666666666666671</v>
      </c>
      <c r="BR317" s="415">
        <f t="shared" si="266"/>
        <v>0.66666666666666674</v>
      </c>
      <c r="BS317" s="350">
        <f t="shared" si="267"/>
        <v>8.993272478683501</v>
      </c>
    </row>
    <row r="318" spans="1:71" x14ac:dyDescent="0.6">
      <c r="A318" s="214" t="s">
        <v>1967</v>
      </c>
      <c r="B318" s="13" t="s">
        <v>2299</v>
      </c>
      <c r="C318" s="219" t="s">
        <v>1968</v>
      </c>
      <c r="D318" s="14" t="s">
        <v>203</v>
      </c>
      <c r="E318" s="217" t="s">
        <v>240</v>
      </c>
      <c r="F318" s="217" t="s">
        <v>1969</v>
      </c>
      <c r="G318" s="218">
        <v>43294</v>
      </c>
      <c r="H318" s="217" t="s">
        <v>830</v>
      </c>
      <c r="I318" s="217" t="s">
        <v>1970</v>
      </c>
      <c r="J318" s="217" t="s">
        <v>1971</v>
      </c>
      <c r="K318" s="217" t="s">
        <v>91</v>
      </c>
      <c r="L318" s="220">
        <v>1354651786</v>
      </c>
      <c r="M318" s="206">
        <v>616821573</v>
      </c>
      <c r="N318" s="206">
        <v>737830213</v>
      </c>
      <c r="O318" s="206">
        <v>858081181</v>
      </c>
      <c r="P318" s="206">
        <v>96465703</v>
      </c>
      <c r="Q318" s="206">
        <v>259022901</v>
      </c>
      <c r="R318" s="206">
        <v>212549126</v>
      </c>
      <c r="S318" s="405">
        <v>0</v>
      </c>
      <c r="T318" s="405">
        <v>0</v>
      </c>
      <c r="U318" s="406">
        <v>0</v>
      </c>
      <c r="V318" s="406">
        <v>0</v>
      </c>
      <c r="W318" s="407">
        <f t="shared" si="292"/>
        <v>0</v>
      </c>
      <c r="X318" s="407">
        <f t="shared" si="293"/>
        <v>100</v>
      </c>
      <c r="Y318" s="408">
        <f t="shared" si="294"/>
        <v>3</v>
      </c>
      <c r="Z318" s="444" t="s">
        <v>3534</v>
      </c>
      <c r="AA318" s="442">
        <v>0</v>
      </c>
      <c r="AB318" s="406">
        <v>1</v>
      </c>
      <c r="AC318" s="406">
        <v>0</v>
      </c>
      <c r="AD318" s="407">
        <f t="shared" si="295"/>
        <v>1</v>
      </c>
      <c r="AE318" s="364" t="str">
        <f t="shared" si="296"/>
        <v>100</v>
      </c>
      <c r="AF318" s="349">
        <f t="shared" si="297"/>
        <v>0.5</v>
      </c>
      <c r="AG318" s="154">
        <v>951</v>
      </c>
      <c r="AH318" s="154">
        <v>139000</v>
      </c>
      <c r="AI318" s="409">
        <f t="shared" si="251"/>
        <v>146.16193480546792</v>
      </c>
      <c r="AJ318" s="409">
        <f t="shared" si="252"/>
        <v>100</v>
      </c>
      <c r="AK318" s="408">
        <f t="shared" si="298"/>
        <v>1</v>
      </c>
      <c r="AL318" s="45">
        <v>139000</v>
      </c>
      <c r="AM318" s="361">
        <f t="shared" si="253"/>
        <v>0</v>
      </c>
      <c r="AN318" s="365">
        <f t="shared" si="268"/>
        <v>25</v>
      </c>
      <c r="AO318" s="320">
        <f t="shared" si="299"/>
        <v>0.25</v>
      </c>
      <c r="AP318" s="277">
        <f>_xlfn.XLOOKUP(C318, '1.건전성'!C:C, '1.건전성'!BE:BE)</f>
        <v>9951000</v>
      </c>
      <c r="AQ318" s="277">
        <f>_xlfn.XLOOKUP(C318, '1.건전성'!C:C, '1.건전성'!BF:BF)</f>
        <v>15619000</v>
      </c>
      <c r="AR318" s="410">
        <f t="shared" si="254"/>
        <v>25570000</v>
      </c>
      <c r="AS318" s="366">
        <f t="shared" si="249"/>
        <v>2.979904531899995</v>
      </c>
      <c r="AT318" s="366">
        <f t="shared" si="255"/>
        <v>26.869274772788941</v>
      </c>
      <c r="AU318" s="321">
        <f t="shared" si="256"/>
        <v>0.26869274772788942</v>
      </c>
      <c r="AV318" s="15">
        <v>1166000</v>
      </c>
      <c r="AW318" s="361">
        <f t="shared" si="250"/>
        <v>0.13588457896735998</v>
      </c>
      <c r="AX318" s="361">
        <f t="shared" si="257"/>
        <v>25.27185287096485</v>
      </c>
      <c r="AY318" s="321">
        <f t="shared" si="300"/>
        <v>0.12635926435482425</v>
      </c>
      <c r="AZ318" s="411">
        <v>14.3</v>
      </c>
      <c r="BA318" s="412">
        <f t="shared" si="258"/>
        <v>100</v>
      </c>
      <c r="BB318" s="408">
        <f t="shared" si="301"/>
        <v>0.5</v>
      </c>
      <c r="BC318" s="204">
        <v>1</v>
      </c>
      <c r="BD318" s="407">
        <f t="shared" si="269"/>
        <v>100</v>
      </c>
      <c r="BE318" s="408">
        <f t="shared" si="302"/>
        <v>0.5</v>
      </c>
      <c r="BF318" s="204">
        <v>0</v>
      </c>
      <c r="BG318" s="204">
        <v>1</v>
      </c>
      <c r="BH318" s="204">
        <v>0</v>
      </c>
      <c r="BI318" s="272" t="str">
        <f t="shared" si="259"/>
        <v>C</v>
      </c>
      <c r="BJ318" s="247">
        <f t="shared" si="260"/>
        <v>50</v>
      </c>
      <c r="BK318" s="90">
        <f t="shared" si="261"/>
        <v>1.5</v>
      </c>
      <c r="BL318" s="406">
        <v>106</v>
      </c>
      <c r="BM318" s="413">
        <f t="shared" si="262"/>
        <v>11.146161934805468</v>
      </c>
      <c r="BN318" s="414">
        <f t="shared" si="263"/>
        <v>20</v>
      </c>
      <c r="BO318" s="415">
        <f t="shared" si="264"/>
        <v>0.6</v>
      </c>
      <c r="BP318" s="416">
        <v>0</v>
      </c>
      <c r="BQ318" s="417">
        <f t="shared" si="265"/>
        <v>33.333333333333336</v>
      </c>
      <c r="BR318" s="415">
        <f t="shared" si="266"/>
        <v>0.33333333333333337</v>
      </c>
      <c r="BS318" s="350">
        <f t="shared" si="267"/>
        <v>8.5783853454160468</v>
      </c>
    </row>
    <row r="319" spans="1:71" x14ac:dyDescent="0.6">
      <c r="A319" s="214" t="s">
        <v>72</v>
      </c>
      <c r="B319" s="13" t="s">
        <v>2300</v>
      </c>
      <c r="C319" s="219" t="s">
        <v>424</v>
      </c>
      <c r="D319" s="216" t="s">
        <v>203</v>
      </c>
      <c r="E319" s="217" t="s">
        <v>240</v>
      </c>
      <c r="F319" s="217" t="s">
        <v>669</v>
      </c>
      <c r="G319" s="218">
        <v>43294</v>
      </c>
      <c r="H319" s="217" t="s">
        <v>830</v>
      </c>
      <c r="I319" s="217" t="s">
        <v>815</v>
      </c>
      <c r="J319" s="217" t="s">
        <v>1220</v>
      </c>
      <c r="K319" s="217" t="s">
        <v>91</v>
      </c>
      <c r="L319" s="220">
        <v>1677616350</v>
      </c>
      <c r="M319" s="206">
        <v>845718444</v>
      </c>
      <c r="N319" s="206">
        <v>831897906</v>
      </c>
      <c r="O319" s="206">
        <v>5364505670</v>
      </c>
      <c r="P319" s="206">
        <v>178825560</v>
      </c>
      <c r="Q319" s="206">
        <v>303615954</v>
      </c>
      <c r="R319" s="206">
        <v>289706110</v>
      </c>
      <c r="S319" s="405">
        <v>0</v>
      </c>
      <c r="T319" s="405">
        <v>0</v>
      </c>
      <c r="U319" s="406">
        <v>0</v>
      </c>
      <c r="V319" s="406">
        <v>0</v>
      </c>
      <c r="W319" s="407">
        <f t="shared" si="292"/>
        <v>0</v>
      </c>
      <c r="X319" s="407">
        <f t="shared" si="293"/>
        <v>100</v>
      </c>
      <c r="Y319" s="408">
        <f t="shared" si="294"/>
        <v>3</v>
      </c>
      <c r="Z319" s="444" t="s">
        <v>3535</v>
      </c>
      <c r="AA319" s="442">
        <v>0</v>
      </c>
      <c r="AB319" s="406">
        <v>1</v>
      </c>
      <c r="AC319" s="406">
        <v>0</v>
      </c>
      <c r="AD319" s="407">
        <f t="shared" si="295"/>
        <v>1</v>
      </c>
      <c r="AE319" s="364" t="str">
        <f t="shared" si="296"/>
        <v>100</v>
      </c>
      <c r="AF319" s="349">
        <f t="shared" si="297"/>
        <v>0.5</v>
      </c>
      <c r="AG319" s="154">
        <v>1435</v>
      </c>
      <c r="AH319" s="421"/>
      <c r="AI319" s="409">
        <f t="shared" si="251"/>
        <v>0</v>
      </c>
      <c r="AJ319" s="409">
        <f t="shared" si="252"/>
        <v>25</v>
      </c>
      <c r="AK319" s="408">
        <f t="shared" si="298"/>
        <v>0.25</v>
      </c>
      <c r="AL319" s="423"/>
      <c r="AM319" s="424">
        <v>0</v>
      </c>
      <c r="AN319" s="365">
        <f t="shared" si="268"/>
        <v>25</v>
      </c>
      <c r="AO319" s="320">
        <f t="shared" si="299"/>
        <v>0.25</v>
      </c>
      <c r="AP319" s="277">
        <f>_xlfn.XLOOKUP(C319, '1.건전성'!C:C, '1.건전성'!BE:BE)</f>
        <v>42677000</v>
      </c>
      <c r="AQ319" s="277">
        <f>_xlfn.XLOOKUP(C319, '1.건전성'!C:C, '1.건전성'!BF:BF)</f>
        <v>9256000</v>
      </c>
      <c r="AR319" s="410">
        <f t="shared" si="254"/>
        <v>51933000</v>
      </c>
      <c r="AS319" s="366">
        <f t="shared" si="249"/>
        <v>0.9680854713310425</v>
      </c>
      <c r="AT319" s="366">
        <f t="shared" si="255"/>
        <v>25.352828244721891</v>
      </c>
      <c r="AU319" s="321">
        <f t="shared" si="256"/>
        <v>0.25352828244721892</v>
      </c>
      <c r="AV319" s="15">
        <v>5656000</v>
      </c>
      <c r="AW319" s="361">
        <f t="shared" si="250"/>
        <v>0.10543375937936142</v>
      </c>
      <c r="AX319" s="361">
        <f t="shared" si="257"/>
        <v>25.04116484378304</v>
      </c>
      <c r="AY319" s="321">
        <f t="shared" si="300"/>
        <v>0.12520582421891521</v>
      </c>
      <c r="AZ319" s="411">
        <v>14.4</v>
      </c>
      <c r="BA319" s="412">
        <f t="shared" si="258"/>
        <v>100</v>
      </c>
      <c r="BB319" s="408">
        <f t="shared" si="301"/>
        <v>0.5</v>
      </c>
      <c r="BC319" s="204">
        <v>1</v>
      </c>
      <c r="BD319" s="407">
        <f t="shared" si="269"/>
        <v>100</v>
      </c>
      <c r="BE319" s="408">
        <f t="shared" si="302"/>
        <v>0.5</v>
      </c>
      <c r="BF319" s="204">
        <v>0</v>
      </c>
      <c r="BG319" s="204">
        <v>1</v>
      </c>
      <c r="BH319" s="204">
        <v>0</v>
      </c>
      <c r="BI319" s="272" t="str">
        <f t="shared" si="259"/>
        <v>C</v>
      </c>
      <c r="BJ319" s="247">
        <f t="shared" si="260"/>
        <v>50</v>
      </c>
      <c r="BK319" s="90">
        <f t="shared" si="261"/>
        <v>1.5</v>
      </c>
      <c r="BL319" s="406">
        <v>73</v>
      </c>
      <c r="BM319" s="413">
        <f t="shared" si="262"/>
        <v>5.0871080139372822</v>
      </c>
      <c r="BN319" s="414">
        <f t="shared" si="263"/>
        <v>40</v>
      </c>
      <c r="BO319" s="415">
        <f t="shared" si="264"/>
        <v>1.2</v>
      </c>
      <c r="BP319" s="416">
        <v>0</v>
      </c>
      <c r="BQ319" s="417">
        <f t="shared" si="265"/>
        <v>33.333333333333336</v>
      </c>
      <c r="BR319" s="415">
        <f t="shared" si="266"/>
        <v>0.33333333333333337</v>
      </c>
      <c r="BS319" s="350">
        <f t="shared" si="267"/>
        <v>8.4120674399994684</v>
      </c>
    </row>
    <row r="320" spans="1:71" x14ac:dyDescent="0.6">
      <c r="A320" s="214" t="s">
        <v>1972</v>
      </c>
      <c r="B320" s="13" t="s">
        <v>2301</v>
      </c>
      <c r="C320" s="219" t="s">
        <v>1973</v>
      </c>
      <c r="D320" s="14" t="s">
        <v>203</v>
      </c>
      <c r="E320" s="217" t="s">
        <v>180</v>
      </c>
      <c r="F320" s="217" t="s">
        <v>1974</v>
      </c>
      <c r="G320" s="218">
        <v>39073</v>
      </c>
      <c r="H320" s="217" t="s">
        <v>830</v>
      </c>
      <c r="I320" s="217" t="s">
        <v>1975</v>
      </c>
      <c r="J320" s="217" t="s">
        <v>1976</v>
      </c>
      <c r="K320" s="217" t="s">
        <v>690</v>
      </c>
      <c r="L320" s="220">
        <v>554634238</v>
      </c>
      <c r="M320" s="206">
        <v>196390631</v>
      </c>
      <c r="N320" s="206">
        <v>358243607</v>
      </c>
      <c r="O320" s="206">
        <v>413339538</v>
      </c>
      <c r="P320" s="206">
        <v>76175846</v>
      </c>
      <c r="Q320" s="206">
        <v>71041699</v>
      </c>
      <c r="R320" s="206">
        <v>55937358</v>
      </c>
      <c r="S320" s="405">
        <v>0</v>
      </c>
      <c r="T320" s="405">
        <v>0</v>
      </c>
      <c r="U320" s="406">
        <v>0</v>
      </c>
      <c r="V320" s="406">
        <v>0</v>
      </c>
      <c r="W320" s="407">
        <f t="shared" si="292"/>
        <v>0</v>
      </c>
      <c r="X320" s="407">
        <f t="shared" si="293"/>
        <v>100</v>
      </c>
      <c r="Y320" s="408">
        <f t="shared" si="294"/>
        <v>3</v>
      </c>
      <c r="Z320" s="444" t="s">
        <v>3536</v>
      </c>
      <c r="AA320" s="442">
        <v>0</v>
      </c>
      <c r="AB320" s="406">
        <v>1</v>
      </c>
      <c r="AC320" s="406">
        <v>0</v>
      </c>
      <c r="AD320" s="407">
        <f t="shared" si="295"/>
        <v>1</v>
      </c>
      <c r="AE320" s="364" t="str">
        <f t="shared" si="296"/>
        <v>100</v>
      </c>
      <c r="AF320" s="349">
        <f t="shared" si="297"/>
        <v>0.5</v>
      </c>
      <c r="AG320" s="154">
        <v>373</v>
      </c>
      <c r="AH320" s="421"/>
      <c r="AI320" s="409">
        <f t="shared" si="251"/>
        <v>0</v>
      </c>
      <c r="AJ320" s="409">
        <f t="shared" si="252"/>
        <v>25</v>
      </c>
      <c r="AK320" s="408">
        <f t="shared" si="298"/>
        <v>0.25</v>
      </c>
      <c r="AL320" s="423"/>
      <c r="AM320" s="424">
        <v>0</v>
      </c>
      <c r="AN320" s="365">
        <f t="shared" si="268"/>
        <v>25</v>
      </c>
      <c r="AO320" s="320">
        <f t="shared" si="299"/>
        <v>0.25</v>
      </c>
      <c r="AP320" s="277">
        <f>_xlfn.XLOOKUP(C320, '1.건전성'!C:C, '1.건전성'!BE:BE)</f>
        <v>8427666</v>
      </c>
      <c r="AQ320" s="277">
        <f>_xlfn.XLOOKUP(C320, '1.건전성'!C:C, '1.건전성'!BF:BF)</f>
        <v>657310</v>
      </c>
      <c r="AR320" s="410">
        <f t="shared" si="254"/>
        <v>9084976</v>
      </c>
      <c r="AS320" s="366">
        <f t="shared" si="249"/>
        <v>2.1979450705245624</v>
      </c>
      <c r="AT320" s="366">
        <f t="shared" si="255"/>
        <v>26.279858093360222</v>
      </c>
      <c r="AU320" s="321">
        <f t="shared" si="256"/>
        <v>0.2627985809336022</v>
      </c>
      <c r="AV320" s="15">
        <v>2483453</v>
      </c>
      <c r="AW320" s="361">
        <f t="shared" si="250"/>
        <v>0.60082638404652211</v>
      </c>
      <c r="AX320" s="361">
        <f t="shared" si="257"/>
        <v>28.794139273079715</v>
      </c>
      <c r="AY320" s="321">
        <f t="shared" si="300"/>
        <v>0.14397069636539858</v>
      </c>
      <c r="AZ320" s="411">
        <v>7.33</v>
      </c>
      <c r="BA320" s="412">
        <f t="shared" si="258"/>
        <v>60</v>
      </c>
      <c r="BB320" s="408">
        <f t="shared" si="301"/>
        <v>0.3</v>
      </c>
      <c r="BC320" s="204">
        <v>1</v>
      </c>
      <c r="BD320" s="407">
        <f t="shared" si="269"/>
        <v>100</v>
      </c>
      <c r="BE320" s="408">
        <f t="shared" si="302"/>
        <v>0.5</v>
      </c>
      <c r="BF320" s="204">
        <v>0</v>
      </c>
      <c r="BG320" s="204">
        <v>0</v>
      </c>
      <c r="BH320" s="204">
        <v>0</v>
      </c>
      <c r="BI320" s="272" t="str">
        <f t="shared" si="259"/>
        <v>A</v>
      </c>
      <c r="BJ320" s="247">
        <f t="shared" si="260"/>
        <v>100</v>
      </c>
      <c r="BK320" s="90">
        <f t="shared" si="261"/>
        <v>3</v>
      </c>
      <c r="BL320" s="406">
        <v>7</v>
      </c>
      <c r="BM320" s="413">
        <f t="shared" si="262"/>
        <v>1.8766756032171581</v>
      </c>
      <c r="BN320" s="414">
        <f t="shared" si="263"/>
        <v>60</v>
      </c>
      <c r="BO320" s="415">
        <f t="shared" si="264"/>
        <v>1.7999999999999998</v>
      </c>
      <c r="BP320" s="416">
        <v>0</v>
      </c>
      <c r="BQ320" s="417">
        <f t="shared" si="265"/>
        <v>33.333333333333336</v>
      </c>
      <c r="BR320" s="415">
        <f t="shared" si="266"/>
        <v>0.33333333333333337</v>
      </c>
      <c r="BS320" s="350">
        <f t="shared" si="267"/>
        <v>10.340102610632334</v>
      </c>
    </row>
    <row r="321" spans="1:71" x14ac:dyDescent="0.6">
      <c r="A321" s="214" t="s">
        <v>272</v>
      </c>
      <c r="B321" s="13" t="s">
        <v>2302</v>
      </c>
      <c r="C321" s="219" t="s">
        <v>58</v>
      </c>
      <c r="D321" s="216" t="s">
        <v>202</v>
      </c>
      <c r="E321" s="217" t="s">
        <v>623</v>
      </c>
      <c r="F321" s="217" t="s">
        <v>1201</v>
      </c>
      <c r="G321" s="218">
        <v>33484</v>
      </c>
      <c r="H321" s="217" t="s">
        <v>830</v>
      </c>
      <c r="I321" s="217" t="s">
        <v>839</v>
      </c>
      <c r="J321" s="217" t="s">
        <v>1144</v>
      </c>
      <c r="K321" s="217" t="s">
        <v>346</v>
      </c>
      <c r="L321" s="220">
        <v>304125357</v>
      </c>
      <c r="M321" s="206">
        <v>159788539</v>
      </c>
      <c r="N321" s="206">
        <v>144336819</v>
      </c>
      <c r="O321" s="206">
        <v>222470898</v>
      </c>
      <c r="P321" s="206">
        <v>12661325</v>
      </c>
      <c r="Q321" s="206">
        <v>13022728</v>
      </c>
      <c r="R321" s="206">
        <v>9259054</v>
      </c>
      <c r="S321" s="405">
        <v>0</v>
      </c>
      <c r="T321" s="405">
        <v>0</v>
      </c>
      <c r="U321" s="406">
        <v>0</v>
      </c>
      <c r="V321" s="406">
        <v>0</v>
      </c>
      <c r="W321" s="407">
        <f t="shared" si="292"/>
        <v>0</v>
      </c>
      <c r="X321" s="407">
        <f t="shared" si="293"/>
        <v>100</v>
      </c>
      <c r="Y321" s="408">
        <f t="shared" si="294"/>
        <v>3</v>
      </c>
      <c r="Z321" s="444" t="s">
        <v>3537</v>
      </c>
      <c r="AA321" s="442">
        <v>0</v>
      </c>
      <c r="AB321" s="406">
        <v>0</v>
      </c>
      <c r="AC321" s="406">
        <v>0</v>
      </c>
      <c r="AD321" s="407">
        <f t="shared" si="295"/>
        <v>0</v>
      </c>
      <c r="AE321" s="364" t="str">
        <f t="shared" si="296"/>
        <v>50</v>
      </c>
      <c r="AF321" s="349">
        <f t="shared" si="297"/>
        <v>0.25</v>
      </c>
      <c r="AG321" s="154">
        <v>364</v>
      </c>
      <c r="AH321" s="421"/>
      <c r="AI321" s="409">
        <f t="shared" si="251"/>
        <v>0</v>
      </c>
      <c r="AJ321" s="409">
        <f t="shared" si="252"/>
        <v>25</v>
      </c>
      <c r="AK321" s="408">
        <f t="shared" si="298"/>
        <v>0.25</v>
      </c>
      <c r="AL321" s="423"/>
      <c r="AM321" s="424">
        <v>0</v>
      </c>
      <c r="AN321" s="365">
        <f t="shared" si="268"/>
        <v>25</v>
      </c>
      <c r="AO321" s="320">
        <f t="shared" si="299"/>
        <v>0.25</v>
      </c>
      <c r="AP321" s="277">
        <f>_xlfn.XLOOKUP(C321, '1.건전성'!C:C, '1.건전성'!BE:BE)</f>
        <v>9335380</v>
      </c>
      <c r="AQ321" s="277">
        <f>_xlfn.XLOOKUP(C321, '1.건전성'!C:C, '1.건전성'!BF:BF)</f>
        <v>915745</v>
      </c>
      <c r="AR321" s="410">
        <f t="shared" si="254"/>
        <v>10251125</v>
      </c>
      <c r="AS321" s="366">
        <f t="shared" ref="AS321:AS322" si="303">(AR321/O321)*100</f>
        <v>4.6078498770657186</v>
      </c>
      <c r="AT321" s="366">
        <f t="shared" si="255"/>
        <v>28.096369254069636</v>
      </c>
      <c r="AU321" s="321">
        <f t="shared" si="256"/>
        <v>0.28096369254069636</v>
      </c>
      <c r="AV321" s="15">
        <v>993680</v>
      </c>
      <c r="AW321" s="361">
        <f>(AV321/O321)*100</f>
        <v>0.4466561734290298</v>
      </c>
      <c r="AX321" s="361">
        <f t="shared" si="257"/>
        <v>27.626183132038104</v>
      </c>
      <c r="AY321" s="321">
        <f t="shared" si="300"/>
        <v>0.13813091566019053</v>
      </c>
      <c r="AZ321" s="411">
        <v>7.6</v>
      </c>
      <c r="BA321" s="412">
        <f t="shared" si="258"/>
        <v>60</v>
      </c>
      <c r="BB321" s="408">
        <f t="shared" si="301"/>
        <v>0.3</v>
      </c>
      <c r="BC321" s="204">
        <v>1</v>
      </c>
      <c r="BD321" s="407">
        <f t="shared" si="269"/>
        <v>100</v>
      </c>
      <c r="BE321" s="408">
        <f t="shared" si="302"/>
        <v>0.5</v>
      </c>
      <c r="BF321" s="204">
        <v>0</v>
      </c>
      <c r="BG321" s="204">
        <v>0</v>
      </c>
      <c r="BH321" s="204">
        <v>0</v>
      </c>
      <c r="BI321" s="272" t="str">
        <f t="shared" si="259"/>
        <v>A</v>
      </c>
      <c r="BJ321" s="247">
        <f t="shared" si="260"/>
        <v>100</v>
      </c>
      <c r="BK321" s="90">
        <f t="shared" si="261"/>
        <v>3</v>
      </c>
      <c r="BL321" s="406">
        <v>20</v>
      </c>
      <c r="BM321" s="413">
        <f t="shared" si="262"/>
        <v>5.4945054945054945</v>
      </c>
      <c r="BN321" s="414">
        <f t="shared" si="263"/>
        <v>40</v>
      </c>
      <c r="BO321" s="415">
        <f t="shared" si="264"/>
        <v>1.2</v>
      </c>
      <c r="BP321" s="416">
        <v>0</v>
      </c>
      <c r="BQ321" s="417">
        <f t="shared" si="265"/>
        <v>33.333333333333336</v>
      </c>
      <c r="BR321" s="415">
        <f t="shared" si="266"/>
        <v>0.33333333333333337</v>
      </c>
      <c r="BS321" s="350">
        <f t="shared" si="267"/>
        <v>9.5024279415342203</v>
      </c>
    </row>
    <row r="322" spans="1:71" x14ac:dyDescent="0.6">
      <c r="A322" s="214" t="s">
        <v>1977</v>
      </c>
      <c r="B322" s="13" t="s">
        <v>2303</v>
      </c>
      <c r="C322" s="219" t="s">
        <v>348</v>
      </c>
      <c r="D322" s="221" t="s">
        <v>481</v>
      </c>
      <c r="E322" s="217" t="s">
        <v>704</v>
      </c>
      <c r="F322" s="217" t="s">
        <v>551</v>
      </c>
      <c r="G322" s="218">
        <v>27368</v>
      </c>
      <c r="H322" s="217" t="s">
        <v>830</v>
      </c>
      <c r="I322" s="217" t="s">
        <v>802</v>
      </c>
      <c r="J322" s="217" t="s">
        <v>1222</v>
      </c>
      <c r="K322" s="217" t="s">
        <v>91</v>
      </c>
      <c r="L322" s="220">
        <v>13966098000</v>
      </c>
      <c r="M322" s="206">
        <v>13246051000</v>
      </c>
      <c r="N322" s="206">
        <v>720047000</v>
      </c>
      <c r="O322" s="206">
        <v>2423214000</v>
      </c>
      <c r="P322" s="206">
        <v>185978000</v>
      </c>
      <c r="Q322" s="206">
        <v>186768000</v>
      </c>
      <c r="R322" s="206">
        <v>147508000</v>
      </c>
      <c r="S322" s="275" t="s">
        <v>2326</v>
      </c>
      <c r="T322" s="275" t="s">
        <v>2326</v>
      </c>
      <c r="U322" s="275" t="s">
        <v>2326</v>
      </c>
      <c r="V322" s="275" t="s">
        <v>2326</v>
      </c>
      <c r="W322" s="275" t="s">
        <v>2326</v>
      </c>
      <c r="X322" s="275" t="s">
        <v>2326</v>
      </c>
      <c r="Y322" s="276"/>
      <c r="Z322" s="275" t="s">
        <v>2326</v>
      </c>
      <c r="AA322" s="446" t="s">
        <v>2326</v>
      </c>
      <c r="AB322" s="275" t="s">
        <v>2326</v>
      </c>
      <c r="AC322" s="275" t="s">
        <v>2326</v>
      </c>
      <c r="AD322" s="275" t="s">
        <v>2326</v>
      </c>
      <c r="AE322" s="275" t="s">
        <v>2326</v>
      </c>
      <c r="AF322" s="275"/>
      <c r="AG322" s="154">
        <v>898</v>
      </c>
      <c r="AH322" s="421"/>
      <c r="AI322" s="409">
        <f>AH322/AG322</f>
        <v>0</v>
      </c>
      <c r="AJ322" s="409">
        <f>IF((25+((75*(AI322-0)/(100-0))))&gt;100, 100, IF((25+((75*(AI322-0)/(100-0))))&lt;25, 25, (25+((75*(AI322-0)/(100-0))))))</f>
        <v>25</v>
      </c>
      <c r="AK322" s="418">
        <f>AJ322*0.02</f>
        <v>0.5</v>
      </c>
      <c r="AL322" s="423"/>
      <c r="AM322" s="424">
        <v>0</v>
      </c>
      <c r="AN322" s="365">
        <f t="shared" si="268"/>
        <v>25</v>
      </c>
      <c r="AO322" s="322">
        <f>AN322*0.02</f>
        <v>0.5</v>
      </c>
      <c r="AP322" s="277">
        <f>_xlfn.XLOOKUP(C322, '1.건전성'!C:C, '1.건전성'!BE:BE)</f>
        <v>113657000</v>
      </c>
      <c r="AQ322" s="277">
        <f>_xlfn.XLOOKUP(C322, '1.건전성'!C:C, '1.건전성'!BF:BF)</f>
        <v>6504000</v>
      </c>
      <c r="AR322" s="410">
        <f t="shared" ref="AR322" si="304">AP322+AQ322</f>
        <v>120161000</v>
      </c>
      <c r="AS322" s="366">
        <f t="shared" si="303"/>
        <v>4.9587448735439787</v>
      </c>
      <c r="AT322" s="366">
        <f t="shared" ref="AT322" si="305">IF((25+(75*(AS322-0.5)/(100-0.5)))&gt;100, 100, IF((25+(75*(AS322-0.5)/(100-0.5)))&lt;25, 25, (25+(75*(AS322-0.5)/(100-0.5)))))</f>
        <v>28.360862970008025</v>
      </c>
      <c r="AU322" s="321">
        <f>AT322*0.01</f>
        <v>0.28360862970008027</v>
      </c>
      <c r="AV322" s="15">
        <v>2498000</v>
      </c>
      <c r="AW322" s="361">
        <f>(AV322/O322)*100</f>
        <v>0.10308623175666698</v>
      </c>
      <c r="AX322" s="361">
        <f>IF((25+((75*(AW322-0.1))/(10-0.1)))&gt;100, 100, IF((25+((75*(AW322-0.1))/(10-0.1)))&lt;25, 25, (25+((75*(AW322-0.1))/(10-0.1)))))</f>
        <v>25.023380543611115</v>
      </c>
      <c r="AY322" s="348">
        <f>AX322*0.01</f>
        <v>0.25023380543611118</v>
      </c>
      <c r="AZ322" s="411">
        <v>8.4</v>
      </c>
      <c r="BA322" s="412">
        <f>IF(AZ322&lt;4, 20, IF(AZ322&lt;6, 40, IF(AZ322&lt;8, 60, IF(AZ322&lt;10, 80, IF(AZ322&gt;=10, 100)))))</f>
        <v>80</v>
      </c>
      <c r="BB322" s="418">
        <f>BA322*0.01</f>
        <v>0.8</v>
      </c>
      <c r="BC322" s="204">
        <v>1</v>
      </c>
      <c r="BD322" s="407">
        <f t="shared" si="269"/>
        <v>100</v>
      </c>
      <c r="BE322" s="418">
        <f>BD322*0.01</f>
        <v>1</v>
      </c>
      <c r="BF322" s="204">
        <v>0</v>
      </c>
      <c r="BG322" s="204">
        <v>1</v>
      </c>
      <c r="BH322" s="204">
        <v>0</v>
      </c>
      <c r="BI322" s="272" t="str">
        <f>IF(BH322=1, "D", IF(BG322=1, "C", IF(BF322=1, "B", "A")))</f>
        <v>C</v>
      </c>
      <c r="BJ322" s="247">
        <f>IF(BI322="A", 100, IF(BI322="B", 75, IF(BI322="C", 50, IF(BI322="D", 25))))</f>
        <v>50</v>
      </c>
      <c r="BK322" s="90">
        <f>BJ322*0.03</f>
        <v>1.5</v>
      </c>
      <c r="BL322" s="406">
        <v>41</v>
      </c>
      <c r="BM322" s="413">
        <f>(BL322/AG322)*100</f>
        <v>4.5657015590200443</v>
      </c>
      <c r="BN322" s="414">
        <f>IF(BM322&lt;0.5, 100, IF(BM322&lt;1, 80, IF(BM322&lt;3, 60, IF(BM322&lt;7, 40, IF(BM322&gt;=7, 20)))))</f>
        <v>40</v>
      </c>
      <c r="BO322" s="415">
        <f>BN322*0.03</f>
        <v>1.2</v>
      </c>
      <c r="BP322" s="416">
        <v>0.06</v>
      </c>
      <c r="BQ322" s="417">
        <f>IF(BP322=0, 100/3, IF(BP322&lt;5, 200/3, 100))</f>
        <v>66.666666666666671</v>
      </c>
      <c r="BR322" s="415">
        <f>BQ322*0.01</f>
        <v>0.66666666666666674</v>
      </c>
      <c r="BS322" s="350">
        <f>Y322+AF322+AK322+AO322+AU322+AY322+BB322+BE322+BK322+BO322+BR322</f>
        <v>6.7005091018028589</v>
      </c>
    </row>
  </sheetData>
  <autoFilter ref="A1:BS322"/>
  <phoneticPr fontId="16" type="noConversion"/>
  <dataValidations disablePrompts="1" count="1">
    <dataValidation type="list" allowBlank="1" showInputMessage="1" showErrorMessage="1" sqref="S291:V296 S299:V307 S309:V309 S2:V7 S9:V35 S37:V45 S47:V62 S64:V75 S77:V101 S123:V129 S131:V135 S137:V140 S144:V178 S180:V193 S195:V206 S209:V225 S227:V235 S237:V245 S247:V251 S253:V289 S311:V321 AA9:AC35 AA37:AC45 AA47:AC62 AA64:AC75 AA77:AC101 AA123:AC129 AA137:AC140 AA131:AC135 AA144:AC178 AA180:AC193 AA195:AC206 AA209:AC225 AA227:AC235 AA237:AC245 AA247:AC251 AA253:AC289 AA291:AC296 AA299:AC307 AA309:AC309 AA311:AC321 AA103:AC120 BF2:BH322 S103:V120 BC2:BC322 AA2:AC7">
      <formula1>"1, 0"</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J79" r:id="rId79"/>
    <hyperlink ref="B80" r:id="rId80"/>
    <hyperlink ref="B81" r:id="rId81"/>
    <hyperlink ref="B82" r:id="rId82"/>
    <hyperlink ref="B83" r:id="rId83"/>
    <hyperlink ref="B84" r:id="rId84"/>
    <hyperlink ref="B85" r:id="rId85"/>
    <hyperlink ref="B86" r:id="rId86"/>
    <hyperlink ref="J74" r:id="rId87"/>
    <hyperlink ref="J11" r:id="rId88"/>
    <hyperlink ref="B87" r:id="rId89"/>
    <hyperlink ref="B88" r:id="rId90"/>
    <hyperlink ref="B89" r:id="rId91"/>
    <hyperlink ref="B90" r:id="rId92"/>
    <hyperlink ref="B91" r:id="rId93"/>
    <hyperlink ref="B92" r:id="rId94"/>
    <hyperlink ref="B93" r:id="rId95"/>
    <hyperlink ref="B94" r:id="rId96"/>
    <hyperlink ref="B95" r:id="rId97"/>
    <hyperlink ref="B96" r:id="rId98"/>
    <hyperlink ref="B97" r:id="rId99"/>
    <hyperlink ref="B98" r:id="rId100"/>
    <hyperlink ref="B99" r:id="rId101"/>
    <hyperlink ref="B100" r:id="rId102"/>
    <hyperlink ref="B101" r:id="rId103"/>
    <hyperlink ref="B102" r:id="rId104"/>
    <hyperlink ref="B103" r:id="rId105"/>
    <hyperlink ref="B104" r:id="rId106"/>
    <hyperlink ref="B105" r:id="rId107"/>
    <hyperlink ref="B106" r:id="rId108"/>
    <hyperlink ref="B107" r:id="rId109"/>
    <hyperlink ref="B108" r:id="rId110"/>
    <hyperlink ref="B109" r:id="rId111"/>
    <hyperlink ref="B110" r:id="rId112"/>
    <hyperlink ref="B111" r:id="rId113"/>
    <hyperlink ref="B112" r:id="rId114"/>
    <hyperlink ref="B113" r:id="rId115"/>
    <hyperlink ref="B114" r:id="rId116"/>
    <hyperlink ref="B115" r:id="rId117"/>
    <hyperlink ref="B116" r:id="rId118"/>
    <hyperlink ref="B117" r:id="rId119"/>
    <hyperlink ref="B118" r:id="rId120"/>
    <hyperlink ref="B119" r:id="rId121"/>
    <hyperlink ref="B120" r:id="rId122"/>
    <hyperlink ref="B121" r:id="rId123"/>
    <hyperlink ref="B122" r:id="rId124"/>
    <hyperlink ref="B123" r:id="rId125"/>
    <hyperlink ref="B124" r:id="rId126"/>
    <hyperlink ref="B125" r:id="rId127"/>
    <hyperlink ref="B126" r:id="rId128"/>
    <hyperlink ref="B127" r:id="rId129"/>
    <hyperlink ref="B128" r:id="rId130"/>
    <hyperlink ref="B129" r:id="rId131"/>
    <hyperlink ref="B130" r:id="rId132"/>
    <hyperlink ref="B131" r:id="rId133"/>
    <hyperlink ref="B132" r:id="rId134"/>
    <hyperlink ref="B133" r:id="rId135"/>
    <hyperlink ref="B134" r:id="rId136"/>
    <hyperlink ref="B136" r:id="rId137"/>
    <hyperlink ref="B137" r:id="rId138"/>
    <hyperlink ref="B138" r:id="rId139"/>
    <hyperlink ref="B139" r:id="rId140"/>
    <hyperlink ref="B140" r:id="rId141"/>
    <hyperlink ref="B141" r:id="rId142"/>
    <hyperlink ref="B142" r:id="rId143"/>
    <hyperlink ref="B143" r:id="rId144"/>
    <hyperlink ref="B144" r:id="rId145"/>
    <hyperlink ref="B145" r:id="rId146"/>
    <hyperlink ref="B146" r:id="rId147"/>
    <hyperlink ref="B147" r:id="rId148"/>
    <hyperlink ref="B148" r:id="rId149"/>
    <hyperlink ref="B149" r:id="rId150"/>
    <hyperlink ref="B150" r:id="rId151"/>
    <hyperlink ref="B151" r:id="rId152"/>
    <hyperlink ref="B152" r:id="rId153"/>
    <hyperlink ref="B153" r:id="rId154"/>
    <hyperlink ref="B154" r:id="rId155"/>
    <hyperlink ref="B155" r:id="rId156"/>
    <hyperlink ref="B156" r:id="rId157"/>
    <hyperlink ref="B157" r:id="rId158"/>
    <hyperlink ref="B158" r:id="rId159"/>
    <hyperlink ref="B159" r:id="rId160"/>
    <hyperlink ref="B160" r:id="rId161"/>
    <hyperlink ref="B161" r:id="rId162"/>
    <hyperlink ref="B162" r:id="rId163"/>
    <hyperlink ref="B163" r:id="rId164"/>
    <hyperlink ref="B164" r:id="rId165"/>
    <hyperlink ref="B165" r:id="rId166"/>
    <hyperlink ref="B166" r:id="rId167"/>
    <hyperlink ref="B167" r:id="rId168"/>
    <hyperlink ref="B168" r:id="rId169"/>
    <hyperlink ref="B169" r:id="rId170"/>
    <hyperlink ref="B170" r:id="rId171"/>
    <hyperlink ref="B171" r:id="rId172"/>
    <hyperlink ref="B172" r:id="rId173"/>
    <hyperlink ref="B173" r:id="rId174"/>
    <hyperlink ref="B174" r:id="rId175"/>
    <hyperlink ref="B175" r:id="rId176"/>
    <hyperlink ref="B176" r:id="rId177"/>
    <hyperlink ref="B177" r:id="rId178"/>
    <hyperlink ref="B178" r:id="rId179"/>
    <hyperlink ref="B179" r:id="rId180"/>
    <hyperlink ref="B180" r:id="rId181"/>
    <hyperlink ref="B181" r:id="rId182"/>
    <hyperlink ref="B182" r:id="rId183"/>
    <hyperlink ref="B183" r:id="rId184"/>
    <hyperlink ref="B184" r:id="rId185"/>
    <hyperlink ref="B185" r:id="rId186"/>
    <hyperlink ref="B186" r:id="rId187"/>
    <hyperlink ref="B187" r:id="rId188"/>
    <hyperlink ref="B188" r:id="rId189"/>
    <hyperlink ref="B189" r:id="rId190"/>
    <hyperlink ref="B190" r:id="rId191"/>
    <hyperlink ref="B191" r:id="rId192"/>
    <hyperlink ref="B192" r:id="rId193"/>
    <hyperlink ref="B193" r:id="rId194"/>
    <hyperlink ref="B194" r:id="rId195"/>
    <hyperlink ref="B195" r:id="rId196"/>
    <hyperlink ref="B196" r:id="rId197"/>
    <hyperlink ref="B197" r:id="rId198"/>
    <hyperlink ref="B198" r:id="rId199"/>
    <hyperlink ref="B199" r:id="rId200"/>
    <hyperlink ref="B200" r:id="rId201"/>
    <hyperlink ref="B201" r:id="rId202"/>
    <hyperlink ref="B202" r:id="rId203"/>
    <hyperlink ref="B203" r:id="rId204"/>
    <hyperlink ref="B204" r:id="rId205"/>
    <hyperlink ref="B205" r:id="rId206"/>
    <hyperlink ref="B206" r:id="rId207"/>
    <hyperlink ref="B207" r:id="rId208"/>
    <hyperlink ref="B208" r:id="rId209"/>
    <hyperlink ref="B209" r:id="rId210"/>
    <hyperlink ref="B210" r:id="rId211"/>
    <hyperlink ref="B211" r:id="rId212"/>
    <hyperlink ref="B212" r:id="rId213"/>
    <hyperlink ref="B214" r:id="rId214"/>
    <hyperlink ref="B215" r:id="rId215"/>
    <hyperlink ref="B213" r:id="rId216"/>
    <hyperlink ref="B216" r:id="rId217"/>
    <hyperlink ref="B217" r:id="rId218"/>
    <hyperlink ref="B218" r:id="rId219"/>
    <hyperlink ref="B219" r:id="rId220"/>
    <hyperlink ref="B220" r:id="rId221"/>
    <hyperlink ref="B221" r:id="rId222"/>
    <hyperlink ref="B222" r:id="rId223"/>
    <hyperlink ref="B223" r:id="rId224"/>
    <hyperlink ref="B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J271" r:id="rId273"/>
    <hyperlink ref="B272" r:id="rId274"/>
    <hyperlink ref="B273" r:id="rId275"/>
    <hyperlink ref="B274" r:id="rId276"/>
    <hyperlink ref="B275" r:id="rId277"/>
    <hyperlink ref="B276" r:id="rId278"/>
    <hyperlink ref="B277" r:id="rId279"/>
    <hyperlink ref="B278" r:id="rId280"/>
    <hyperlink ref="B279" r:id="rId281"/>
    <hyperlink ref="B280" r:id="rId282"/>
    <hyperlink ref="B281" r:id="rId283"/>
    <hyperlink ref="B282" r:id="rId284"/>
    <hyperlink ref="B283" r:id="rId285"/>
    <hyperlink ref="B284" r:id="rId286"/>
    <hyperlink ref="B285" r:id="rId287"/>
    <hyperlink ref="B286" r:id="rId288"/>
    <hyperlink ref="B287" r:id="rId289"/>
    <hyperlink ref="B288" r:id="rId290"/>
    <hyperlink ref="B289" r:id="rId291"/>
    <hyperlink ref="B290" r:id="rId292"/>
    <hyperlink ref="B291" r:id="rId293"/>
    <hyperlink ref="B292" r:id="rId294"/>
    <hyperlink ref="B293" r:id="rId295"/>
    <hyperlink ref="B294" r:id="rId296"/>
    <hyperlink ref="B295" r:id="rId297"/>
    <hyperlink ref="B296" r:id="rId298"/>
    <hyperlink ref="B297" r:id="rId299"/>
    <hyperlink ref="B298" r:id="rId300"/>
    <hyperlink ref="B299" r:id="rId301"/>
    <hyperlink ref="B300" r:id="rId302"/>
    <hyperlink ref="B301" r:id="rId303"/>
    <hyperlink ref="B302" r:id="rId304"/>
    <hyperlink ref="B303" r:id="rId305"/>
    <hyperlink ref="B304" r:id="rId306"/>
    <hyperlink ref="B305" r:id="rId307"/>
    <hyperlink ref="B306" r:id="rId308"/>
    <hyperlink ref="B307" r:id="rId309"/>
    <hyperlink ref="B308" r:id="rId310"/>
    <hyperlink ref="B309" r:id="rId311"/>
    <hyperlink ref="B310" r:id="rId312"/>
    <hyperlink ref="B311" r:id="rId313"/>
    <hyperlink ref="B312" r:id="rId314"/>
    <hyperlink ref="B313" r:id="rId315"/>
    <hyperlink ref="B314" r:id="rId316"/>
    <hyperlink ref="B315" r:id="rId317"/>
    <hyperlink ref="B316" r:id="rId318"/>
    <hyperlink ref="B317" r:id="rId319"/>
    <hyperlink ref="B318" r:id="rId320"/>
    <hyperlink ref="B319" r:id="rId321"/>
    <hyperlink ref="B320" r:id="rId322"/>
    <hyperlink ref="B321" r:id="rId323"/>
    <hyperlink ref="B322" r:id="rId324"/>
    <hyperlink ref="B135" r:id="rId325"/>
    <hyperlink ref="J161" r:id="rId326"/>
    <hyperlink ref="J194" r:id="rId327"/>
    <hyperlink ref="J198" r:id="rId328"/>
    <hyperlink ref="J221" r:id="rId329"/>
    <hyperlink ref="J236" r:id="rId330"/>
    <hyperlink ref="J283" r:id="rId331"/>
    <hyperlink ref="AB1" r:id="rId332" display="https://miis.kosha.or.kr/minwon/stat/listStatScBiz.do"/>
    <hyperlink ref="AA1" r:id="rId333" display="https://www.kab.or.kr/page/s0104.php"/>
  </hyperlinks>
  <pageMargins left="0.69972223043441772" right="0.69972223043441772" top="0.75" bottom="0.75" header="0.30000001192092896" footer="0.30000001192092896"/>
  <pageSetup paperSize="9" orientation="portrait"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J322"/>
  <sheetViews>
    <sheetView zoomScale="90" zoomScaleNormal="90" workbookViewId="0">
      <selection activeCell="L3" sqref="L3"/>
    </sheetView>
  </sheetViews>
  <sheetFormatPr defaultRowHeight="16.899999999999999" x14ac:dyDescent="0.6"/>
  <cols>
    <col min="1" max="1" width="31.75" bestFit="1" customWidth="1"/>
    <col min="2" max="2" width="9.25" style="156" hidden="1" customWidth="1"/>
    <col min="3" max="3" width="20.5625" customWidth="1"/>
    <col min="4" max="9" width="15.5625" style="67" customWidth="1"/>
    <col min="10" max="10" width="15.5625" style="170" customWidth="1"/>
  </cols>
  <sheetData>
    <row r="1" spans="1:10" ht="100.05" customHeight="1" x14ac:dyDescent="0.6">
      <c r="A1" s="7" t="s">
        <v>695</v>
      </c>
      <c r="B1" s="159" t="s">
        <v>510</v>
      </c>
      <c r="C1" s="4" t="s">
        <v>441</v>
      </c>
      <c r="D1" s="164" t="s">
        <v>1420</v>
      </c>
      <c r="E1" s="165" t="s">
        <v>1421</v>
      </c>
      <c r="F1" s="166" t="s">
        <v>1422</v>
      </c>
      <c r="G1" s="167" t="s">
        <v>1423</v>
      </c>
      <c r="H1" s="168" t="s">
        <v>1426</v>
      </c>
      <c r="I1" s="169" t="s">
        <v>1424</v>
      </c>
      <c r="J1" s="171" t="s">
        <v>1427</v>
      </c>
    </row>
    <row r="2" spans="1:10" x14ac:dyDescent="0.6">
      <c r="A2" s="214" t="s">
        <v>462</v>
      </c>
      <c r="B2" s="219" t="s">
        <v>893</v>
      </c>
      <c r="C2" s="216" t="s">
        <v>191</v>
      </c>
      <c r="D2" s="35">
        <f>_xlfn.XLOOKUP(B2, '1.건전성'!C:C, '1.건전성'!CW:CW)</f>
        <v>20.475479791929416</v>
      </c>
      <c r="E2" s="35">
        <f>_xlfn.XLOOKUP(B2, '2.공정성'!C:C, '2.공정성'!BS:BS)</f>
        <v>19.5</v>
      </c>
      <c r="F2" s="35">
        <f>_xlfn.XLOOKUP(B2, '3.사회공헌'!C:C, '3.사회공헌'!BL:BL)</f>
        <v>11.989078608742064</v>
      </c>
      <c r="G2" s="35">
        <f>_xlfn.XLOOKUP(B2, '4.소비자보호'!C:C, '4.소비자보호'!BE:BE)</f>
        <v>11.25</v>
      </c>
      <c r="H2" s="35">
        <f>_xlfn.XLOOKUP(B2, '5.환경경영'!C:C, '5.환경경영'!AX:AX)</f>
        <v>7.3333333333333339</v>
      </c>
      <c r="I2" s="35">
        <f>_xlfn.XLOOKUP(B2, '6.직원만족'!C:C, '6.직원만족'!BS:BS)</f>
        <v>10.837000529145511</v>
      </c>
      <c r="J2" s="162">
        <f t="shared" ref="J2:J65" si="0">SUM(D2:I2)</f>
        <v>81.38489226315032</v>
      </c>
    </row>
    <row r="3" spans="1:10" x14ac:dyDescent="0.6">
      <c r="A3" s="214" t="s">
        <v>405</v>
      </c>
      <c r="B3" s="219" t="s">
        <v>522</v>
      </c>
      <c r="C3" s="216" t="s">
        <v>191</v>
      </c>
      <c r="D3" s="35">
        <f>_xlfn.XLOOKUP(B3, '1.건전성'!C:C, '1.건전성'!CW:CW)</f>
        <v>20.175994466438542</v>
      </c>
      <c r="E3" s="35">
        <f>_xlfn.XLOOKUP(B3, '2.공정성'!C:C, '2.공정성'!BS:BS)</f>
        <v>19.5</v>
      </c>
      <c r="F3" s="35">
        <f>_xlfn.XLOOKUP(B3, '3.사회공헌'!C:C, '3.사회공헌'!BL:BL)</f>
        <v>10.355556803473823</v>
      </c>
      <c r="G3" s="35">
        <f>_xlfn.XLOOKUP(B3, '4.소비자보호'!C:C, '4.소비자보호'!BE:BE)</f>
        <v>11.25</v>
      </c>
      <c r="H3" s="35">
        <f>_xlfn.XLOOKUP(B3, '5.환경경영'!C:C, '5.환경경영'!AX:AX)</f>
        <v>7.8333333333333339</v>
      </c>
      <c r="I3" s="35">
        <f>_xlfn.XLOOKUP(B3, '6.직원만족'!C:C, '6.직원만족'!BS:BS)</f>
        <v>11.396381585454753</v>
      </c>
      <c r="J3" s="162">
        <f t="shared" si="0"/>
        <v>80.511266188700446</v>
      </c>
    </row>
    <row r="4" spans="1:10" x14ac:dyDescent="0.6">
      <c r="A4" s="214" t="s">
        <v>797</v>
      </c>
      <c r="B4" s="219" t="s">
        <v>939</v>
      </c>
      <c r="C4" s="216" t="s">
        <v>191</v>
      </c>
      <c r="D4" s="35">
        <f>_xlfn.XLOOKUP(B4, '1.건전성'!C:C, '1.건전성'!CW:CW)</f>
        <v>22.60629095243349</v>
      </c>
      <c r="E4" s="35">
        <f>_xlfn.XLOOKUP(B4, '2.공정성'!C:C, '2.공정성'!BS:BS)</f>
        <v>19.5</v>
      </c>
      <c r="F4" s="35">
        <f>_xlfn.XLOOKUP(B4, '3.사회공헌'!C:C, '3.사회공헌'!BL:BL)</f>
        <v>10.207007599891261</v>
      </c>
      <c r="G4" s="35">
        <f>_xlfn.XLOOKUP(B4, '4.소비자보호'!C:C, '4.소비자보호'!BE:BE)</f>
        <v>12</v>
      </c>
      <c r="H4" s="35">
        <f>_xlfn.XLOOKUP(B4, '5.환경경영'!C:C, '5.환경경영'!AX:AX)</f>
        <v>5.5833333333333339</v>
      </c>
      <c r="I4" s="35">
        <f>_xlfn.XLOOKUP(B4, '6.직원만족'!C:C, '6.직원만족'!BS:BS)</f>
        <v>9.6157823785760765</v>
      </c>
      <c r="J4" s="162">
        <f t="shared" si="0"/>
        <v>79.512414264234152</v>
      </c>
    </row>
    <row r="5" spans="1:10" x14ac:dyDescent="0.6">
      <c r="A5" s="214" t="s">
        <v>326</v>
      </c>
      <c r="B5" s="219" t="s">
        <v>76</v>
      </c>
      <c r="C5" s="216" t="s">
        <v>191</v>
      </c>
      <c r="D5" s="35">
        <f>_xlfn.XLOOKUP(B5, '1.건전성'!C:C, '1.건전성'!CW:CW)</f>
        <v>19.186770858269291</v>
      </c>
      <c r="E5" s="35">
        <f>_xlfn.XLOOKUP(B5, '2.공정성'!C:C, '2.공정성'!BS:BS)</f>
        <v>19</v>
      </c>
      <c r="F5" s="35">
        <f>_xlfn.XLOOKUP(B5, '3.사회공헌'!C:C, '3.사회공헌'!BL:BL)</f>
        <v>11.465659275374394</v>
      </c>
      <c r="G5" s="35">
        <f>_xlfn.XLOOKUP(B5, '4.소비자보호'!C:C, '4.소비자보호'!BE:BE)</f>
        <v>11.25</v>
      </c>
      <c r="H5" s="35">
        <f>_xlfn.XLOOKUP(B5, '5.환경경영'!C:C, '5.환경경영'!AX:AX)</f>
        <v>6.0833333333333339</v>
      </c>
      <c r="I5" s="35">
        <f>_xlfn.XLOOKUP(B5, '6.직원만족'!C:C, '6.직원만족'!BS:BS)</f>
        <v>12.193762883756325</v>
      </c>
      <c r="J5" s="162">
        <f t="shared" si="0"/>
        <v>79.17952635073334</v>
      </c>
    </row>
    <row r="6" spans="1:10" x14ac:dyDescent="0.6">
      <c r="A6" s="214" t="s">
        <v>408</v>
      </c>
      <c r="B6" s="219" t="s">
        <v>874</v>
      </c>
      <c r="C6" s="216" t="s">
        <v>285</v>
      </c>
      <c r="D6" s="35">
        <f>_xlfn.XLOOKUP(B6, '1.건전성'!C:C, '1.건전성'!CW:CW)</f>
        <v>20.506148989052011</v>
      </c>
      <c r="E6" s="35">
        <f>_xlfn.XLOOKUP(B6, '2.공정성'!C:C, '2.공정성'!BS:BS)</f>
        <v>18.5</v>
      </c>
      <c r="F6" s="35">
        <f>_xlfn.XLOOKUP(B6, '3.사회공헌'!C:C, '3.사회공헌'!BL:BL)</f>
        <v>11.878617561018391</v>
      </c>
      <c r="G6" s="35">
        <f>_xlfn.XLOOKUP(B6, '4.소비자보호'!C:C, '4.소비자보호'!BE:BE)</f>
        <v>12.25</v>
      </c>
      <c r="H6" s="35">
        <f>_xlfn.XLOOKUP(B6, '5.환경경영'!C:C, '5.환경경영'!AX:AX)</f>
        <v>6.0833333333333339</v>
      </c>
      <c r="I6" s="35">
        <f>_xlfn.XLOOKUP(B6, '6.직원만족'!C:C, '6.직원만족'!BS:BS)</f>
        <v>9.6574001831636966</v>
      </c>
      <c r="J6" s="162">
        <f t="shared" si="0"/>
        <v>78.875500066567426</v>
      </c>
    </row>
    <row r="7" spans="1:10" x14ac:dyDescent="0.6">
      <c r="A7" s="214" t="s">
        <v>1516</v>
      </c>
      <c r="B7" s="219" t="s">
        <v>1517</v>
      </c>
      <c r="C7" s="14" t="s">
        <v>203</v>
      </c>
      <c r="D7" s="35">
        <f>_xlfn.XLOOKUP(B7, '1.건전성'!C:C, '1.건전성'!CW:CW)</f>
        <v>20.917034024288874</v>
      </c>
      <c r="E7" s="35">
        <f>_xlfn.XLOOKUP(B7, '2.공정성'!C:C, '2.공정성'!BS:BS)</f>
        <v>19.5</v>
      </c>
      <c r="F7" s="35">
        <f>_xlfn.XLOOKUP(B7, '3.사회공헌'!C:C, '3.사회공헌'!BL:BL)</f>
        <v>8.8610509471856851</v>
      </c>
      <c r="G7" s="35">
        <f>_xlfn.XLOOKUP(B7, '4.소비자보호'!C:C, '4.소비자보호'!BE:BE)</f>
        <v>11.25</v>
      </c>
      <c r="H7" s="35">
        <f>_xlfn.XLOOKUP(B7, '5.환경경영'!C:C, '5.환경경영'!AX:AX)</f>
        <v>6.0833333333333339</v>
      </c>
      <c r="I7" s="35">
        <f>_xlfn.XLOOKUP(B7, '6.직원만족'!C:C, '6.직원만족'!BS:BS)</f>
        <v>11.449980911298846</v>
      </c>
      <c r="J7" s="162">
        <f t="shared" si="0"/>
        <v>78.061399216106736</v>
      </c>
    </row>
    <row r="8" spans="1:10" x14ac:dyDescent="0.6">
      <c r="A8" s="214" t="s">
        <v>1936</v>
      </c>
      <c r="B8" s="219" t="s">
        <v>1937</v>
      </c>
      <c r="C8" s="14" t="s">
        <v>285</v>
      </c>
      <c r="D8" s="35">
        <f>_xlfn.XLOOKUP(B8, '1.건전성'!C:C, '1.건전성'!CW:CW)</f>
        <v>19.496269887569845</v>
      </c>
      <c r="E8" s="35">
        <f>_xlfn.XLOOKUP(B8, '2.공정성'!C:C, '2.공정성'!BS:BS)</f>
        <v>18.25</v>
      </c>
      <c r="F8" s="35">
        <f>_xlfn.XLOOKUP(B8, '3.사회공헌'!C:C, '3.사회공헌'!BL:BL)</f>
        <v>11.850000000000001</v>
      </c>
      <c r="G8" s="35">
        <f>_xlfn.XLOOKUP(B8, '4.소비자보호'!C:C, '4.소비자보호'!BE:BE)</f>
        <v>12</v>
      </c>
      <c r="H8" s="35">
        <f>_xlfn.XLOOKUP(B8, '5.환경경영'!C:C, '5.환경경영'!AX:AX)</f>
        <v>6.5833333333333339</v>
      </c>
      <c r="I8" s="35">
        <f>_xlfn.XLOOKUP(B8, '6.직원만족'!C:C, '6.직원만족'!BS:BS)</f>
        <v>9.6966908154629419</v>
      </c>
      <c r="J8" s="162">
        <f t="shared" si="0"/>
        <v>77.876294036366119</v>
      </c>
    </row>
    <row r="9" spans="1:10" x14ac:dyDescent="0.6">
      <c r="A9" s="214" t="s">
        <v>440</v>
      </c>
      <c r="B9" s="219" t="s">
        <v>108</v>
      </c>
      <c r="C9" s="216" t="s">
        <v>191</v>
      </c>
      <c r="D9" s="35">
        <f>_xlfn.XLOOKUP(B9, '1.건전성'!C:C, '1.건전성'!CW:CW)</f>
        <v>21.5817353543382</v>
      </c>
      <c r="E9" s="35">
        <f>_xlfn.XLOOKUP(B9, '2.공정성'!C:C, '2.공정성'!BS:BS)</f>
        <v>17.5</v>
      </c>
      <c r="F9" s="35">
        <f>_xlfn.XLOOKUP(B9, '3.사회공헌'!C:C, '3.사회공헌'!BL:BL)</f>
        <v>8.8568029680370675</v>
      </c>
      <c r="G9" s="35">
        <f>_xlfn.XLOOKUP(B9, '4.소비자보호'!C:C, '4.소비자보호'!BE:BE)</f>
        <v>11.75</v>
      </c>
      <c r="H9" s="35">
        <f>_xlfn.XLOOKUP(B9, '5.환경경영'!C:C, '5.환경경영'!AX:AX)</f>
        <v>6.8333333333333339</v>
      </c>
      <c r="I9" s="35">
        <f>_xlfn.XLOOKUP(B9, '6.직원만족'!C:C, '6.직원만족'!BS:BS)</f>
        <v>11.251889359956978</v>
      </c>
      <c r="J9" s="162">
        <f t="shared" si="0"/>
        <v>77.773761015665571</v>
      </c>
    </row>
    <row r="10" spans="1:10" x14ac:dyDescent="0.6">
      <c r="A10" s="214" t="s">
        <v>1534</v>
      </c>
      <c r="B10" s="219" t="s">
        <v>1535</v>
      </c>
      <c r="C10" s="14" t="s">
        <v>191</v>
      </c>
      <c r="D10" s="35">
        <f>_xlfn.XLOOKUP(B10, '1.건전성'!C:C, '1.건전성'!CW:CW)</f>
        <v>21.559578872505664</v>
      </c>
      <c r="E10" s="35">
        <f>_xlfn.XLOOKUP(B10, '2.공정성'!C:C, '2.공정성'!BS:BS)</f>
        <v>16.5</v>
      </c>
      <c r="F10" s="35">
        <f>_xlfn.XLOOKUP(B10, '3.사회공헌'!C:C, '3.사회공헌'!BL:BL)</f>
        <v>12.355179080186707</v>
      </c>
      <c r="G10" s="35">
        <f>_xlfn.XLOOKUP(B10, '4.소비자보호'!C:C, '4.소비자보호'!BE:BE)</f>
        <v>11.25</v>
      </c>
      <c r="H10" s="35">
        <f>_xlfn.XLOOKUP(B10, '5.환경경영'!C:C, '5.환경경영'!AX:AX)</f>
        <v>6.0833333333333339</v>
      </c>
      <c r="I10" s="35">
        <f>_xlfn.XLOOKUP(B10, '6.직원만족'!C:C, '6.직원만족'!BS:BS)</f>
        <v>9.9398204783148341</v>
      </c>
      <c r="J10" s="162">
        <f t="shared" si="0"/>
        <v>77.687911764340541</v>
      </c>
    </row>
    <row r="11" spans="1:10" x14ac:dyDescent="0.6">
      <c r="A11" s="214" t="s">
        <v>1500</v>
      </c>
      <c r="B11" s="219" t="s">
        <v>74</v>
      </c>
      <c r="C11" s="216" t="s">
        <v>285</v>
      </c>
      <c r="D11" s="35">
        <f>_xlfn.XLOOKUP(B11, '1.건전성'!C:C, '1.건전성'!CW:CW)</f>
        <v>20.301628348566688</v>
      </c>
      <c r="E11" s="35">
        <f>_xlfn.XLOOKUP(B11, '2.공정성'!C:C, '2.공정성'!BS:BS)</f>
        <v>19.25</v>
      </c>
      <c r="F11" s="35">
        <f>_xlfn.XLOOKUP(B11, '3.사회공헌'!C:C, '3.사회공헌'!BL:BL)</f>
        <v>8.7720138512105219</v>
      </c>
      <c r="G11" s="35">
        <f>_xlfn.XLOOKUP(B11, '4.소비자보호'!C:C, '4.소비자보호'!BE:BE)</f>
        <v>11.25</v>
      </c>
      <c r="H11" s="35">
        <f>_xlfn.XLOOKUP(B11, '5.환경경영'!C:C, '5.환경경영'!AX:AX)</f>
        <v>6.5833333333333339</v>
      </c>
      <c r="I11" s="35">
        <f>_xlfn.XLOOKUP(B11, '6.직원만족'!C:C, '6.직원만족'!BS:BS)</f>
        <v>11.485970695387412</v>
      </c>
      <c r="J11" s="162">
        <f t="shared" si="0"/>
        <v>77.642946228497948</v>
      </c>
    </row>
    <row r="12" spans="1:10" x14ac:dyDescent="0.6">
      <c r="A12" s="214" t="s">
        <v>370</v>
      </c>
      <c r="B12" s="219" t="s">
        <v>319</v>
      </c>
      <c r="C12" s="216" t="s">
        <v>191</v>
      </c>
      <c r="D12" s="35">
        <f>_xlfn.XLOOKUP(B12, '1.건전성'!C:C, '1.건전성'!CW:CW)</f>
        <v>21.276615443378059</v>
      </c>
      <c r="E12" s="35">
        <f>_xlfn.XLOOKUP(B12, '2.공정성'!C:C, '2.공정성'!BS:BS)</f>
        <v>17.5</v>
      </c>
      <c r="F12" s="35">
        <f>_xlfn.XLOOKUP(B12, '3.사회공헌'!C:C, '3.사회공헌'!BL:BL)</f>
        <v>9.1844805180330251</v>
      </c>
      <c r="G12" s="35">
        <f>_xlfn.XLOOKUP(B12, '4.소비자보호'!C:C, '4.소비자보호'!BE:BE)</f>
        <v>11.25</v>
      </c>
      <c r="H12" s="35">
        <f>_xlfn.XLOOKUP(B12, '5.환경경영'!C:C, '5.환경경영'!AX:AX)</f>
        <v>7.3333333333333339</v>
      </c>
      <c r="I12" s="35">
        <f>_xlfn.XLOOKUP(B12, '6.직원만족'!C:C, '6.직원만족'!BS:BS)</f>
        <v>10.968066831448555</v>
      </c>
      <c r="J12" s="162">
        <f t="shared" si="0"/>
        <v>77.512496126192971</v>
      </c>
    </row>
    <row r="13" spans="1:10" x14ac:dyDescent="0.6">
      <c r="A13" s="214" t="s">
        <v>429</v>
      </c>
      <c r="B13" s="219" t="s">
        <v>445</v>
      </c>
      <c r="C13" s="216" t="s">
        <v>203</v>
      </c>
      <c r="D13" s="35">
        <f>_xlfn.XLOOKUP(B13, '1.건전성'!C:C, '1.건전성'!CW:CW)</f>
        <v>16.173403201797296</v>
      </c>
      <c r="E13" s="35">
        <f>_xlfn.XLOOKUP(B13, '2.공정성'!C:C, '2.공정성'!BS:BS)</f>
        <v>19.5</v>
      </c>
      <c r="F13" s="35">
        <f>_xlfn.XLOOKUP(B13, '3.사회공헌'!C:C, '3.사회공헌'!BL:BL)</f>
        <v>11.699836231328652</v>
      </c>
      <c r="G13" s="35">
        <f>_xlfn.XLOOKUP(B13, '4.소비자보호'!C:C, '4.소비자보호'!BE:BE)</f>
        <v>11.25</v>
      </c>
      <c r="H13" s="35">
        <f>_xlfn.XLOOKUP(B13, '5.환경경영'!C:C, '5.환경경영'!AX:AX)</f>
        <v>8.8333333333333339</v>
      </c>
      <c r="I13" s="35">
        <f>_xlfn.XLOOKUP(B13, '6.직원만족'!C:C, '6.직원만족'!BS:BS)</f>
        <v>10.024555039398603</v>
      </c>
      <c r="J13" s="162">
        <f t="shared" si="0"/>
        <v>77.481127805857895</v>
      </c>
    </row>
    <row r="14" spans="1:10" x14ac:dyDescent="0.6">
      <c r="A14" s="214" t="s">
        <v>349</v>
      </c>
      <c r="B14" s="219" t="s">
        <v>60</v>
      </c>
      <c r="C14" s="216" t="s">
        <v>191</v>
      </c>
      <c r="D14" s="35">
        <f>_xlfn.XLOOKUP(B14, '1.건전성'!C:C, '1.건전성'!CW:CW)</f>
        <v>20.833199813221025</v>
      </c>
      <c r="E14" s="35">
        <f>_xlfn.XLOOKUP(B14, '2.공정성'!C:C, '2.공정성'!BS:BS)</f>
        <v>18.75</v>
      </c>
      <c r="F14" s="35">
        <f>_xlfn.XLOOKUP(B14, '3.사회공헌'!C:C, '3.사회공헌'!BL:BL)</f>
        <v>11.081106496520931</v>
      </c>
      <c r="G14" s="35">
        <f>_xlfn.XLOOKUP(B14, '4.소비자보호'!C:C, '4.소비자보호'!BE:BE)</f>
        <v>11.75</v>
      </c>
      <c r="H14" s="35">
        <f>_xlfn.XLOOKUP(B14, '5.환경경영'!C:C, '5.환경경영'!AX:AX)</f>
        <v>5.3333333333333339</v>
      </c>
      <c r="I14" s="35">
        <f>_xlfn.XLOOKUP(B14, '6.직원만족'!C:C, '6.직원만족'!BS:BS)</f>
        <v>9.6130882157009658</v>
      </c>
      <c r="J14" s="162">
        <f t="shared" si="0"/>
        <v>77.360727858776258</v>
      </c>
    </row>
    <row r="15" spans="1:10" x14ac:dyDescent="0.6">
      <c r="A15" s="214" t="s">
        <v>43</v>
      </c>
      <c r="B15" s="219" t="s">
        <v>298</v>
      </c>
      <c r="C15" s="216" t="s">
        <v>285</v>
      </c>
      <c r="D15" s="35">
        <f>_xlfn.XLOOKUP(B15, '1.건전성'!C:C, '1.건전성'!CW:CW)</f>
        <v>19.881729016355251</v>
      </c>
      <c r="E15" s="35">
        <f>_xlfn.XLOOKUP(B15, '2.공정성'!C:C, '2.공정성'!BS:BS)</f>
        <v>17.5</v>
      </c>
      <c r="F15" s="35">
        <f>_xlfn.XLOOKUP(B15, '3.사회공헌'!C:C, '3.사회공헌'!BL:BL)</f>
        <v>11.769740984264429</v>
      </c>
      <c r="G15" s="35">
        <f>_xlfn.XLOOKUP(B15, '4.소비자보호'!C:C, '4.소비자보호'!BE:BE)</f>
        <v>11.25</v>
      </c>
      <c r="H15" s="35">
        <f>_xlfn.XLOOKUP(B15, '5.환경경영'!C:C, '5.환경경영'!AX:AX)</f>
        <v>6.5833333333333339</v>
      </c>
      <c r="I15" s="35">
        <f>_xlfn.XLOOKUP(B15, '6.직원만족'!C:C, '6.직원만족'!BS:BS)</f>
        <v>10.140463555430223</v>
      </c>
      <c r="J15" s="162">
        <f t="shared" si="0"/>
        <v>77.125266889383226</v>
      </c>
    </row>
    <row r="16" spans="1:10" x14ac:dyDescent="0.6">
      <c r="A16" s="214" t="s">
        <v>339</v>
      </c>
      <c r="B16" s="219" t="s">
        <v>461</v>
      </c>
      <c r="C16" s="216" t="s">
        <v>203</v>
      </c>
      <c r="D16" s="35">
        <f>_xlfn.XLOOKUP(B16, '1.건전성'!C:C, '1.건전성'!CW:CW)</f>
        <v>18.589781292023869</v>
      </c>
      <c r="E16" s="35">
        <f>_xlfn.XLOOKUP(B16, '2.공정성'!C:C, '2.공정성'!BS:BS)</f>
        <v>19.25</v>
      </c>
      <c r="F16" s="35">
        <f>_xlfn.XLOOKUP(B16, '3.사회공헌'!C:C, '3.사회공헌'!BL:BL)</f>
        <v>7.7140935700143274</v>
      </c>
      <c r="G16" s="35">
        <f>_xlfn.XLOOKUP(B16, '4.소비자보호'!C:C, '4.소비자보호'!BE:BE)</f>
        <v>11.25</v>
      </c>
      <c r="H16" s="35">
        <f>_xlfn.XLOOKUP(B16, '5.환경경영'!C:C, '5.환경경영'!AX:AX)</f>
        <v>6.5833333333333339</v>
      </c>
      <c r="I16" s="35">
        <f>_xlfn.XLOOKUP(B16, '6.직원만족'!C:C, '6.직원만족'!BS:BS)</f>
        <v>13.693836268003565</v>
      </c>
      <c r="J16" s="162">
        <f t="shared" si="0"/>
        <v>77.081044463375093</v>
      </c>
    </row>
    <row r="17" spans="1:10" x14ac:dyDescent="0.6">
      <c r="A17" s="214" t="s">
        <v>828</v>
      </c>
      <c r="B17" s="219" t="s">
        <v>541</v>
      </c>
      <c r="C17" s="216" t="s">
        <v>202</v>
      </c>
      <c r="D17" s="35">
        <f>_xlfn.XLOOKUP(B17, '1.건전성'!C:C, '1.건전성'!CW:CW)</f>
        <v>19.32879326116009</v>
      </c>
      <c r="E17" s="35">
        <f>_xlfn.XLOOKUP(B17, '2.공정성'!C:C, '2.공정성'!BS:BS)</f>
        <v>19.5</v>
      </c>
      <c r="F17" s="35">
        <f>_xlfn.XLOOKUP(B17, '3.사회공헌'!C:C, '3.사회공헌'!BL:BL)</f>
        <v>8.6849898646799684</v>
      </c>
      <c r="G17" s="35">
        <f>_xlfn.XLOOKUP(B17, '4.소비자보호'!C:C, '4.소비자보호'!BE:BE)</f>
        <v>11.25</v>
      </c>
      <c r="H17" s="35">
        <f>_xlfn.XLOOKUP(B17, '5.환경경영'!C:C, '5.환경경영'!AX:AX)</f>
        <v>7.5833333333333339</v>
      </c>
      <c r="I17" s="35">
        <f>_xlfn.XLOOKUP(B17, '6.직원만족'!C:C, '6.직원만족'!BS:BS)</f>
        <v>10.674898723903665</v>
      </c>
      <c r="J17" s="162">
        <f t="shared" si="0"/>
        <v>77.022015183077059</v>
      </c>
    </row>
    <row r="18" spans="1:10" x14ac:dyDescent="0.6">
      <c r="A18" s="214" t="s">
        <v>1858</v>
      </c>
      <c r="B18" s="219" t="s">
        <v>340</v>
      </c>
      <c r="C18" s="221" t="s">
        <v>481</v>
      </c>
      <c r="D18" s="35">
        <f>_xlfn.XLOOKUP(B18, '1.건전성'!C:C, '1.건전성'!CW:CW)</f>
        <v>29.129043740299082</v>
      </c>
      <c r="E18" s="35">
        <f>_xlfn.XLOOKUP(B18, '2.공정성'!C:C, '2.공정성'!BS:BS)</f>
        <v>19.5</v>
      </c>
      <c r="F18" s="35">
        <f>_xlfn.XLOOKUP(B18, '3.사회공헌'!C:C, '3.사회공헌'!BL:BL)</f>
        <v>9.2986188348695293</v>
      </c>
      <c r="G18" s="35">
        <f>_xlfn.XLOOKUP(B18, '4.소비자보호'!C:C, '4.소비자보호'!BE:BE)</f>
        <v>11.55</v>
      </c>
      <c r="H18" s="35">
        <f>_xlfn.XLOOKUP(B18, '5.환경경영'!C:C, '5.환경경영'!AX:AX)</f>
        <v>0</v>
      </c>
      <c r="I18" s="35">
        <f>_xlfn.XLOOKUP(B18, '6.직원만족'!C:C, '6.직원만족'!BS:BS)</f>
        <v>7.4730848676128749</v>
      </c>
      <c r="J18" s="162">
        <f t="shared" si="0"/>
        <v>76.950747442781477</v>
      </c>
    </row>
    <row r="19" spans="1:10" x14ac:dyDescent="0.6">
      <c r="A19" s="214" t="s">
        <v>469</v>
      </c>
      <c r="B19" s="219" t="s">
        <v>889</v>
      </c>
      <c r="C19" s="216" t="s">
        <v>285</v>
      </c>
      <c r="D19" s="35">
        <f>_xlfn.XLOOKUP(B19, '1.건전성'!C:C, '1.건전성'!CW:CW)</f>
        <v>18.823447441570348</v>
      </c>
      <c r="E19" s="35">
        <f>_xlfn.XLOOKUP(B19, '2.공정성'!C:C, '2.공정성'!BS:BS)</f>
        <v>19.5</v>
      </c>
      <c r="F19" s="35">
        <f>_xlfn.XLOOKUP(B19, '3.사회공헌'!C:C, '3.사회공헌'!BL:BL)</f>
        <v>9.678485953406252</v>
      </c>
      <c r="G19" s="35">
        <f>_xlfn.XLOOKUP(B19, '4.소비자보호'!C:C, '4.소비자보호'!BE:BE)</f>
        <v>11.25</v>
      </c>
      <c r="H19" s="35">
        <f>_xlfn.XLOOKUP(B19, '5.환경경영'!C:C, '5.환경경영'!AX:AX)</f>
        <v>6.0833333333333339</v>
      </c>
      <c r="I19" s="35">
        <f>_xlfn.XLOOKUP(B19, '6.직원만족'!C:C, '6.직원만족'!BS:BS)</f>
        <v>11.454314275917641</v>
      </c>
      <c r="J19" s="162">
        <f t="shared" si="0"/>
        <v>76.789581004227571</v>
      </c>
    </row>
    <row r="20" spans="1:10" x14ac:dyDescent="0.6">
      <c r="A20" s="214" t="s">
        <v>794</v>
      </c>
      <c r="B20" s="219" t="s">
        <v>516</v>
      </c>
      <c r="C20" s="216" t="s">
        <v>191</v>
      </c>
      <c r="D20" s="35">
        <f>_xlfn.XLOOKUP(B20, '1.건전성'!C:C, '1.건전성'!CW:CW)</f>
        <v>19.802423616408849</v>
      </c>
      <c r="E20" s="35">
        <f>_xlfn.XLOOKUP(B20, '2.공정성'!C:C, '2.공정성'!BS:BS)</f>
        <v>19.5</v>
      </c>
      <c r="F20" s="35">
        <f>_xlfn.XLOOKUP(B20, '3.사회공헌'!C:C, '3.사회공헌'!BL:BL)</f>
        <v>9.87774803939549</v>
      </c>
      <c r="G20" s="35">
        <f>_xlfn.XLOOKUP(B20, '4.소비자보호'!C:C, '4.소비자보호'!BE:BE)</f>
        <v>11.25</v>
      </c>
      <c r="H20" s="35">
        <f>_xlfn.XLOOKUP(B20, '5.환경경영'!C:C, '5.환경경영'!AX:AX)</f>
        <v>5.0833333333333339</v>
      </c>
      <c r="I20" s="35">
        <f>_xlfn.XLOOKUP(B20, '6.직원만족'!C:C, '6.직원만족'!BS:BS)</f>
        <v>11.15762393494188</v>
      </c>
      <c r="J20" s="162">
        <f t="shared" si="0"/>
        <v>76.671128924079554</v>
      </c>
    </row>
    <row r="21" spans="1:10" x14ac:dyDescent="0.6">
      <c r="A21" s="214" t="s">
        <v>1929</v>
      </c>
      <c r="B21" s="219" t="s">
        <v>928</v>
      </c>
      <c r="C21" s="221" t="s">
        <v>350</v>
      </c>
      <c r="D21" s="35">
        <f>_xlfn.XLOOKUP(B21, '1.건전성'!C:C, '1.건전성'!CW:CW)</f>
        <v>27.542051415894559</v>
      </c>
      <c r="E21" s="35">
        <f>_xlfn.XLOOKUP(B21, '2.공정성'!C:C, '2.공정성'!BS:BS)</f>
        <v>19.25</v>
      </c>
      <c r="F21" s="35">
        <f>_xlfn.XLOOKUP(B21, '3.사회공헌'!C:C, '3.사회공헌'!BL:BL)</f>
        <v>11.05438722418123</v>
      </c>
      <c r="G21" s="35">
        <f>_xlfn.XLOOKUP(B21, '4.소비자보호'!C:C, '4.소비자보호'!BE:BE)</f>
        <v>11.55</v>
      </c>
      <c r="H21" s="35">
        <f>_xlfn.XLOOKUP(B21, '5.환경경영'!C:C, '5.환경경영'!AX:AX)</f>
        <v>0</v>
      </c>
      <c r="I21" s="35">
        <f>_xlfn.XLOOKUP(B21, '6.직원만족'!C:C, '6.직원만족'!BS:BS)</f>
        <v>7.1572249433764412</v>
      </c>
      <c r="J21" s="162">
        <f t="shared" si="0"/>
        <v>76.55366358345222</v>
      </c>
    </row>
    <row r="22" spans="1:10" x14ac:dyDescent="0.6">
      <c r="A22" s="214" t="s">
        <v>472</v>
      </c>
      <c r="B22" s="219" t="s">
        <v>877</v>
      </c>
      <c r="C22" s="216" t="s">
        <v>202</v>
      </c>
      <c r="D22" s="35">
        <f>_xlfn.XLOOKUP(B22, '1.건전성'!C:C, '1.건전성'!CW:CW)</f>
        <v>20.126849027317093</v>
      </c>
      <c r="E22" s="35">
        <f>_xlfn.XLOOKUP(B22, '2.공정성'!C:C, '2.공정성'!BS:BS)</f>
        <v>16.5</v>
      </c>
      <c r="F22" s="35">
        <f>_xlfn.XLOOKUP(B22, '3.사회공헌'!C:C, '3.사회공헌'!BL:BL)</f>
        <v>12.418033618565138</v>
      </c>
      <c r="G22" s="35">
        <f>_xlfn.XLOOKUP(B22, '4.소비자보호'!C:C, '4.소비자보호'!BE:BE)</f>
        <v>11.75</v>
      </c>
      <c r="H22" s="35">
        <f>_xlfn.XLOOKUP(B22, '5.환경경영'!C:C, '5.환경경영'!AX:AX)</f>
        <v>6.5833333333333339</v>
      </c>
      <c r="I22" s="35">
        <f>_xlfn.XLOOKUP(B22, '6.직원만족'!C:C, '6.직원만족'!BS:BS)</f>
        <v>9.0331005666636326</v>
      </c>
      <c r="J22" s="162">
        <f t="shared" si="0"/>
        <v>76.411316545879203</v>
      </c>
    </row>
    <row r="23" spans="1:10" x14ac:dyDescent="0.6">
      <c r="A23" s="214" t="s">
        <v>26</v>
      </c>
      <c r="B23" s="219" t="s">
        <v>475</v>
      </c>
      <c r="C23" s="216" t="s">
        <v>202</v>
      </c>
      <c r="D23" s="35">
        <f>_xlfn.XLOOKUP(B23, '1.건전성'!C:C, '1.건전성'!CW:CW)</f>
        <v>20.546986487355181</v>
      </c>
      <c r="E23" s="35">
        <f>_xlfn.XLOOKUP(B23, '2.공정성'!C:C, '2.공정성'!BS:BS)</f>
        <v>19.5</v>
      </c>
      <c r="F23" s="35">
        <f>_xlfn.XLOOKUP(B23, '3.사회공헌'!C:C, '3.사회공헌'!BL:BL)</f>
        <v>8.4653826732329591</v>
      </c>
      <c r="G23" s="35">
        <f>_xlfn.XLOOKUP(B23, '4.소비자보호'!C:C, '4.소비자보호'!BE:BE)</f>
        <v>11.25</v>
      </c>
      <c r="H23" s="35">
        <f>_xlfn.XLOOKUP(B23, '5.환경경영'!C:C, '5.환경경영'!AX:AX)</f>
        <v>7.0833333333333339</v>
      </c>
      <c r="I23" s="35">
        <f>_xlfn.XLOOKUP(B23, '6.직원만족'!C:C, '6.직원만족'!BS:BS)</f>
        <v>9.5495128146550226</v>
      </c>
      <c r="J23" s="162">
        <f t="shared" si="0"/>
        <v>76.395215308576496</v>
      </c>
    </row>
    <row r="24" spans="1:10" x14ac:dyDescent="0.6">
      <c r="A24" s="214" t="s">
        <v>354</v>
      </c>
      <c r="B24" s="219" t="s">
        <v>368</v>
      </c>
      <c r="C24" s="216" t="s">
        <v>203</v>
      </c>
      <c r="D24" s="35">
        <f>_xlfn.XLOOKUP(B24, '1.건전성'!C:C, '1.건전성'!CW:CW)</f>
        <v>18.641703239615147</v>
      </c>
      <c r="E24" s="35">
        <f>_xlfn.XLOOKUP(B24, '2.공정성'!C:C, '2.공정성'!BS:BS)</f>
        <v>19.25</v>
      </c>
      <c r="F24" s="35">
        <f>_xlfn.XLOOKUP(B24, '3.사회공헌'!C:C, '3.사회공헌'!BL:BL)</f>
        <v>9.3282432592288504</v>
      </c>
      <c r="G24" s="35">
        <f>_xlfn.XLOOKUP(B24, '4.소비자보호'!C:C, '4.소비자보호'!BE:BE)</f>
        <v>11.25</v>
      </c>
      <c r="H24" s="35">
        <f>_xlfn.XLOOKUP(B24, '5.환경경영'!C:C, '5.환경경영'!AX:AX)</f>
        <v>8.3333333333333339</v>
      </c>
      <c r="I24" s="35">
        <f>_xlfn.XLOOKUP(B24, '6.직원만족'!C:C, '6.직원만족'!BS:BS)</f>
        <v>9.4872909453433589</v>
      </c>
      <c r="J24" s="162">
        <f t="shared" si="0"/>
        <v>76.290570777520685</v>
      </c>
    </row>
    <row r="25" spans="1:10" x14ac:dyDescent="0.6">
      <c r="A25" s="214" t="s">
        <v>775</v>
      </c>
      <c r="B25" s="219" t="s">
        <v>64</v>
      </c>
      <c r="C25" s="216" t="s">
        <v>191</v>
      </c>
      <c r="D25" s="35">
        <f>_xlfn.XLOOKUP(B25, '1.건전성'!C:C, '1.건전성'!CW:CW)</f>
        <v>18.580607779025815</v>
      </c>
      <c r="E25" s="35">
        <f>_xlfn.XLOOKUP(B25, '2.공정성'!C:C, '2.공정성'!BS:BS)</f>
        <v>19.5</v>
      </c>
      <c r="F25" s="35">
        <f>_xlfn.XLOOKUP(B25, '3.사회공헌'!C:C, '3.사회공헌'!BL:BL)</f>
        <v>9.5217479371376168</v>
      </c>
      <c r="G25" s="35">
        <f>_xlfn.XLOOKUP(B25, '4.소비자보호'!C:C, '4.소비자보호'!BE:BE)</f>
        <v>11.25</v>
      </c>
      <c r="H25" s="35">
        <f>_xlfn.XLOOKUP(B25, '5.환경경영'!C:C, '5.환경경영'!AX:AX)</f>
        <v>7.0833333333333339</v>
      </c>
      <c r="I25" s="35">
        <f>_xlfn.XLOOKUP(B25, '6.직원만족'!C:C, '6.직원만족'!BS:BS)</f>
        <v>10.354624246250593</v>
      </c>
      <c r="J25" s="162">
        <f t="shared" si="0"/>
        <v>76.290313295747353</v>
      </c>
    </row>
    <row r="26" spans="1:10" x14ac:dyDescent="0.6">
      <c r="A26" s="214" t="s">
        <v>923</v>
      </c>
      <c r="B26" s="219" t="s">
        <v>367</v>
      </c>
      <c r="C26" s="216" t="s">
        <v>285</v>
      </c>
      <c r="D26" s="35">
        <f>_xlfn.XLOOKUP(B26, '1.건전성'!C:C, '1.건전성'!CW:CW)</f>
        <v>18.693288375286858</v>
      </c>
      <c r="E26" s="35">
        <f>_xlfn.XLOOKUP(B26, '2.공정성'!C:C, '2.공정성'!BS:BS)</f>
        <v>18.5</v>
      </c>
      <c r="F26" s="35">
        <f>_xlfn.XLOOKUP(B26, '3.사회공헌'!C:C, '3.사회공헌'!BL:BL)</f>
        <v>10.089570641126716</v>
      </c>
      <c r="G26" s="35">
        <f>_xlfn.XLOOKUP(B26, '4.소비자보호'!C:C, '4.소비자보호'!BE:BE)</f>
        <v>11.25</v>
      </c>
      <c r="H26" s="35">
        <f>_xlfn.XLOOKUP(B26, '5.환경경영'!C:C, '5.환경경영'!AX:AX)</f>
        <v>6.5833333333333339</v>
      </c>
      <c r="I26" s="35">
        <f>_xlfn.XLOOKUP(B26, '6.직원만족'!C:C, '6.직원만족'!BS:BS)</f>
        <v>11.146625415537928</v>
      </c>
      <c r="J26" s="162">
        <f t="shared" si="0"/>
        <v>76.262817765284822</v>
      </c>
    </row>
    <row r="27" spans="1:10" x14ac:dyDescent="0.6">
      <c r="A27" s="214" t="s">
        <v>479</v>
      </c>
      <c r="B27" s="219" t="s">
        <v>907</v>
      </c>
      <c r="C27" s="216" t="s">
        <v>202</v>
      </c>
      <c r="D27" s="35">
        <f>_xlfn.XLOOKUP(B27, '1.건전성'!C:C, '1.건전성'!CW:CW)</f>
        <v>22.116253504204174</v>
      </c>
      <c r="E27" s="35">
        <f>_xlfn.XLOOKUP(B27, '2.공정성'!C:C, '2.공정성'!BS:BS)</f>
        <v>16.5</v>
      </c>
      <c r="F27" s="35">
        <f>_xlfn.XLOOKUP(B27, '3.사회공헌'!C:C, '3.사회공헌'!BL:BL)</f>
        <v>10.755187474090745</v>
      </c>
      <c r="G27" s="35">
        <f>_xlfn.XLOOKUP(B27, '4.소비자보호'!C:C, '4.소비자보호'!BE:BE)</f>
        <v>11.25</v>
      </c>
      <c r="H27" s="35">
        <f>_xlfn.XLOOKUP(B27, '5.환경경영'!C:C, '5.환경경영'!AX:AX)</f>
        <v>5.5833333333333339</v>
      </c>
      <c r="I27" s="35">
        <f>_xlfn.XLOOKUP(B27, '6.직원만족'!C:C, '6.직원만족'!BS:BS)</f>
        <v>9.7997942475452628</v>
      </c>
      <c r="J27" s="162">
        <f t="shared" si="0"/>
        <v>76.004568559173521</v>
      </c>
    </row>
    <row r="28" spans="1:10" x14ac:dyDescent="0.6">
      <c r="A28" s="214" t="s">
        <v>1878</v>
      </c>
      <c r="B28" s="219" t="s">
        <v>1879</v>
      </c>
      <c r="C28" s="14" t="s">
        <v>203</v>
      </c>
      <c r="D28" s="35">
        <f>_xlfn.XLOOKUP(B28, '1.건전성'!C:C, '1.건전성'!CW:CW)</f>
        <v>20.195127527078419</v>
      </c>
      <c r="E28" s="35">
        <f>_xlfn.XLOOKUP(B28, '2.공정성'!C:C, '2.공정성'!BS:BS)</f>
        <v>18.25</v>
      </c>
      <c r="F28" s="35">
        <f>_xlfn.XLOOKUP(B28, '3.사회공헌'!C:C, '3.사회공헌'!BL:BL)</f>
        <v>8.3720179583411731</v>
      </c>
      <c r="G28" s="35">
        <f>_xlfn.XLOOKUP(B28, '4.소비자보호'!C:C, '4.소비자보호'!BE:BE)</f>
        <v>11.25</v>
      </c>
      <c r="H28" s="35">
        <f>_xlfn.XLOOKUP(B28, '5.환경경영'!C:C, '5.환경경영'!AX:AX)</f>
        <v>6.5833333333333339</v>
      </c>
      <c r="I28" s="35">
        <f>_xlfn.XLOOKUP(B28, '6.직원만족'!C:C, '6.직원만족'!BS:BS)</f>
        <v>11.213397919219053</v>
      </c>
      <c r="J28" s="162">
        <f t="shared" si="0"/>
        <v>75.863876737971978</v>
      </c>
    </row>
    <row r="29" spans="1:10" x14ac:dyDescent="0.6">
      <c r="A29" s="214" t="s">
        <v>1922</v>
      </c>
      <c r="B29" s="219" t="s">
        <v>882</v>
      </c>
      <c r="C29" s="216" t="s">
        <v>191</v>
      </c>
      <c r="D29" s="35">
        <f>_xlfn.XLOOKUP(B29, '1.건전성'!C:C, '1.건전성'!CW:CW)</f>
        <v>20.167286044959361</v>
      </c>
      <c r="E29" s="35">
        <f>_xlfn.XLOOKUP(B29, '2.공정성'!C:C, '2.공정성'!BS:BS)</f>
        <v>18.5</v>
      </c>
      <c r="F29" s="35">
        <f>_xlfn.XLOOKUP(B29, '3.사회공헌'!C:C, '3.사회공헌'!BL:BL)</f>
        <v>12.35083501584881</v>
      </c>
      <c r="G29" s="35">
        <f>_xlfn.XLOOKUP(B29, '4.소비자보호'!C:C, '4.소비자보호'!BE:BE)</f>
        <v>11.75</v>
      </c>
      <c r="H29" s="35">
        <f>_xlfn.XLOOKUP(B29, '5.환경경영'!C:C, '5.환경경영'!AX:AX)</f>
        <v>5.0833333333333339</v>
      </c>
      <c r="I29" s="35">
        <f>_xlfn.XLOOKUP(B29, '6.직원만족'!C:C, '6.직원만족'!BS:BS)</f>
        <v>8.0056464365222233</v>
      </c>
      <c r="J29" s="162">
        <f t="shared" si="0"/>
        <v>75.857100830663725</v>
      </c>
    </row>
    <row r="30" spans="1:10" x14ac:dyDescent="0.6">
      <c r="A30" s="214" t="s">
        <v>729</v>
      </c>
      <c r="B30" s="219" t="s">
        <v>493</v>
      </c>
      <c r="C30" s="216" t="s">
        <v>191</v>
      </c>
      <c r="D30" s="35">
        <f>_xlfn.XLOOKUP(B30, '1.건전성'!C:C, '1.건전성'!CW:CW)</f>
        <v>20.513193182906061</v>
      </c>
      <c r="E30" s="35">
        <f>_xlfn.XLOOKUP(B30, '2.공정성'!C:C, '2.공정성'!BS:BS)</f>
        <v>19.5</v>
      </c>
      <c r="F30" s="35">
        <f>_xlfn.XLOOKUP(B30, '3.사회공헌'!C:C, '3.사회공헌'!BL:BL)</f>
        <v>10.130123794063604</v>
      </c>
      <c r="G30" s="35">
        <f>_xlfn.XLOOKUP(B30, '4.소비자보호'!C:C, '4.소비자보호'!BE:BE)</f>
        <v>11.25</v>
      </c>
      <c r="H30" s="35">
        <f>_xlfn.XLOOKUP(B30, '5.환경경영'!C:C, '5.환경경영'!AX:AX)</f>
        <v>7.0833333333333339</v>
      </c>
      <c r="I30" s="35">
        <f>_xlfn.XLOOKUP(B30, '6.직원만족'!C:C, '6.직원만족'!BS:BS)</f>
        <v>7.3405991803799848</v>
      </c>
      <c r="J30" s="162">
        <f t="shared" si="0"/>
        <v>75.817249490682983</v>
      </c>
    </row>
    <row r="31" spans="1:10" x14ac:dyDescent="0.6">
      <c r="A31" s="214" t="s">
        <v>770</v>
      </c>
      <c r="B31" s="219" t="s">
        <v>54</v>
      </c>
      <c r="C31" s="216" t="s">
        <v>191</v>
      </c>
      <c r="D31" s="35">
        <f>_xlfn.XLOOKUP(B31, '1.건전성'!C:C, '1.건전성'!CW:CW)</f>
        <v>18.022375314395301</v>
      </c>
      <c r="E31" s="35">
        <f>_xlfn.XLOOKUP(B31, '2.공정성'!C:C, '2.공정성'!BS:BS)</f>
        <v>19.75</v>
      </c>
      <c r="F31" s="35">
        <f>_xlfn.XLOOKUP(B31, '3.사회공헌'!C:C, '3.사회공헌'!BL:BL)</f>
        <v>11.717658118616756</v>
      </c>
      <c r="G31" s="35">
        <f>_xlfn.XLOOKUP(B31, '4.소비자보호'!C:C, '4.소비자보호'!BE:BE)</f>
        <v>11.25</v>
      </c>
      <c r="H31" s="35">
        <f>_xlfn.XLOOKUP(B31, '5.환경경영'!C:C, '5.환경경영'!AX:AX)</f>
        <v>6.5833333333333339</v>
      </c>
      <c r="I31" s="35">
        <f>_xlfn.XLOOKUP(B31, '6.직원만족'!C:C, '6.직원만족'!BS:BS)</f>
        <v>8.4162786818120185</v>
      </c>
      <c r="J31" s="162">
        <f t="shared" si="0"/>
        <v>75.739645448157404</v>
      </c>
    </row>
    <row r="32" spans="1:10" x14ac:dyDescent="0.6">
      <c r="A32" s="214" t="s">
        <v>1599</v>
      </c>
      <c r="B32" s="219" t="s">
        <v>1600</v>
      </c>
      <c r="C32" s="14" t="s">
        <v>191</v>
      </c>
      <c r="D32" s="35">
        <f>_xlfn.XLOOKUP(B32, '1.건전성'!C:C, '1.건전성'!CW:CW)</f>
        <v>19.271032120774841</v>
      </c>
      <c r="E32" s="35">
        <f>_xlfn.XLOOKUP(B32, '2.공정성'!C:C, '2.공정성'!BS:BS)</f>
        <v>17.5</v>
      </c>
      <c r="F32" s="35">
        <f>_xlfn.XLOOKUP(B32, '3.사회공헌'!C:C, '3.사회공헌'!BL:BL)</f>
        <v>11.613683353742775</v>
      </c>
      <c r="G32" s="35">
        <f>_xlfn.XLOOKUP(B32, '4.소비자보호'!C:C, '4.소비자보호'!BE:BE)</f>
        <v>11.25</v>
      </c>
      <c r="H32" s="35">
        <f>_xlfn.XLOOKUP(B32, '5.환경경영'!C:C, '5.환경경영'!AX:AX)</f>
        <v>6.0833333333333339</v>
      </c>
      <c r="I32" s="35">
        <f>_xlfn.XLOOKUP(B32, '6.직원만족'!C:C, '6.직원만족'!BS:BS)</f>
        <v>9.9873233778018804</v>
      </c>
      <c r="J32" s="162">
        <f t="shared" si="0"/>
        <v>75.705372185652834</v>
      </c>
    </row>
    <row r="33" spans="1:10" x14ac:dyDescent="0.6">
      <c r="A33" s="214" t="s">
        <v>508</v>
      </c>
      <c r="B33" s="219" t="s">
        <v>460</v>
      </c>
      <c r="C33" s="216" t="s">
        <v>191</v>
      </c>
      <c r="D33" s="35">
        <f>_xlfn.XLOOKUP(B33, '1.건전성'!C:C, '1.건전성'!CW:CW)</f>
        <v>20.320123653028745</v>
      </c>
      <c r="E33" s="35">
        <f>_xlfn.XLOOKUP(B33, '2.공정성'!C:C, '2.공정성'!BS:BS)</f>
        <v>19.25</v>
      </c>
      <c r="F33" s="35">
        <f>_xlfn.XLOOKUP(B33, '3.사회공헌'!C:C, '3.사회공헌'!BL:BL)</f>
        <v>9.0230882947616546</v>
      </c>
      <c r="G33" s="35">
        <f>_xlfn.XLOOKUP(B33, '4.소비자보호'!C:C, '4.소비자보호'!BE:BE)</f>
        <v>10.45</v>
      </c>
      <c r="H33" s="35">
        <f>_xlfn.XLOOKUP(B33, '5.환경경영'!C:C, '5.환경경영'!AX:AX)</f>
        <v>5.0833333333333339</v>
      </c>
      <c r="I33" s="35">
        <f>_xlfn.XLOOKUP(B33, '6.직원만족'!C:C, '6.직원만족'!BS:BS)</f>
        <v>11.551709272797938</v>
      </c>
      <c r="J33" s="162">
        <f t="shared" si="0"/>
        <v>75.678254553921661</v>
      </c>
    </row>
    <row r="34" spans="1:10" x14ac:dyDescent="0.6">
      <c r="A34" s="214" t="s">
        <v>511</v>
      </c>
      <c r="B34" s="219" t="s">
        <v>515</v>
      </c>
      <c r="C34" s="216" t="s">
        <v>203</v>
      </c>
      <c r="D34" s="35">
        <f>_xlfn.XLOOKUP(B34, '1.건전성'!C:C, '1.건전성'!CW:CW)</f>
        <v>19.422384922982214</v>
      </c>
      <c r="E34" s="35">
        <f>_xlfn.XLOOKUP(B34, '2.공정성'!C:C, '2.공정성'!BS:BS)</f>
        <v>16.5</v>
      </c>
      <c r="F34" s="35">
        <f>_xlfn.XLOOKUP(B34, '3.사회공헌'!C:C, '3.사회공헌'!BL:BL)</f>
        <v>10.980939938998221</v>
      </c>
      <c r="G34" s="35">
        <f>_xlfn.XLOOKUP(B34, '4.소비자보호'!C:C, '4.소비자보호'!BE:BE)</f>
        <v>11.25</v>
      </c>
      <c r="H34" s="35">
        <f>_xlfn.XLOOKUP(B34, '5.환경경영'!C:C, '5.환경경영'!AX:AX)</f>
        <v>6.5833333333333339</v>
      </c>
      <c r="I34" s="35">
        <f>_xlfn.XLOOKUP(B34, '6.직원만족'!C:C, '6.직원만족'!BS:BS)</f>
        <v>10.862214363115834</v>
      </c>
      <c r="J34" s="162">
        <f t="shared" si="0"/>
        <v>75.598872558429605</v>
      </c>
    </row>
    <row r="35" spans="1:10" x14ac:dyDescent="0.6">
      <c r="A35" s="214" t="s">
        <v>540</v>
      </c>
      <c r="B35" s="219" t="s">
        <v>902</v>
      </c>
      <c r="C35" s="216" t="s">
        <v>191</v>
      </c>
      <c r="D35" s="35">
        <f>_xlfn.XLOOKUP(B35, '1.건전성'!C:C, '1.건전성'!CW:CW)</f>
        <v>21.279559544251917</v>
      </c>
      <c r="E35" s="35">
        <f>_xlfn.XLOOKUP(B35, '2.공정성'!C:C, '2.공정성'!BS:BS)</f>
        <v>19.5</v>
      </c>
      <c r="F35" s="35">
        <f>_xlfn.XLOOKUP(B35, '3.사회공헌'!C:C, '3.사회공헌'!BL:BL)</f>
        <v>9.2788217112023545</v>
      </c>
      <c r="G35" s="35">
        <f>_xlfn.XLOOKUP(B35, '4.소비자보호'!C:C, '4.소비자보호'!BE:BE)</f>
        <v>11.25</v>
      </c>
      <c r="H35" s="35">
        <f>_xlfn.XLOOKUP(B35, '5.환경경영'!C:C, '5.환경경영'!AX:AX)</f>
        <v>5.0833333333333339</v>
      </c>
      <c r="I35" s="35">
        <f>_xlfn.XLOOKUP(B35, '6.직원만족'!C:C, '6.직원만족'!BS:BS)</f>
        <v>9.197347740705073</v>
      </c>
      <c r="J35" s="162">
        <f t="shared" si="0"/>
        <v>75.589062329492677</v>
      </c>
    </row>
    <row r="36" spans="1:10" x14ac:dyDescent="0.6">
      <c r="A36" s="214" t="s">
        <v>1865</v>
      </c>
      <c r="B36" s="219" t="s">
        <v>1866</v>
      </c>
      <c r="C36" s="14" t="s">
        <v>202</v>
      </c>
      <c r="D36" s="35">
        <f>_xlfn.XLOOKUP(B36, '1.건전성'!C:C, '1.건전성'!CW:CW)</f>
        <v>19.826773101117674</v>
      </c>
      <c r="E36" s="35">
        <f>_xlfn.XLOOKUP(B36, '2.공정성'!C:C, '2.공정성'!BS:BS)</f>
        <v>18.75</v>
      </c>
      <c r="F36" s="35">
        <f>_xlfn.XLOOKUP(B36, '3.사회공헌'!C:C, '3.사회공헌'!BL:BL)</f>
        <v>10.436728464532095</v>
      </c>
      <c r="G36" s="35">
        <f>_xlfn.XLOOKUP(B36, '4.소비자보호'!C:C, '4.소비자보호'!BE:BE)</f>
        <v>11.25</v>
      </c>
      <c r="H36" s="35">
        <f>_xlfn.XLOOKUP(B36, '5.환경경영'!C:C, '5.환경경영'!AX:AX)</f>
        <v>7.0833333333333339</v>
      </c>
      <c r="I36" s="35">
        <f>_xlfn.XLOOKUP(B36, '6.직원만족'!C:C, '6.직원만족'!BS:BS)</f>
        <v>8.2148094758661419</v>
      </c>
      <c r="J36" s="162">
        <f t="shared" si="0"/>
        <v>75.561644374849251</v>
      </c>
    </row>
    <row r="37" spans="1:10" x14ac:dyDescent="0.6">
      <c r="A37" s="214" t="s">
        <v>30</v>
      </c>
      <c r="B37" s="219" t="s">
        <v>861</v>
      </c>
      <c r="C37" s="216" t="s">
        <v>191</v>
      </c>
      <c r="D37" s="35">
        <f>_xlfn.XLOOKUP(B37, '1.건전성'!C:C, '1.건전성'!CW:CW)</f>
        <v>19.923127426174482</v>
      </c>
      <c r="E37" s="35">
        <f>_xlfn.XLOOKUP(B37, '2.공정성'!C:C, '2.공정성'!BS:BS)</f>
        <v>19.25</v>
      </c>
      <c r="F37" s="35">
        <f>_xlfn.XLOOKUP(B37, '3.사회공헌'!C:C, '3.사회공헌'!BL:BL)</f>
        <v>10.720752722049276</v>
      </c>
      <c r="G37" s="35">
        <f>_xlfn.XLOOKUP(B37, '4.소비자보호'!C:C, '4.소비자보호'!BE:BE)</f>
        <v>11.25</v>
      </c>
      <c r="H37" s="35">
        <f>_xlfn.XLOOKUP(B37, '5.환경경영'!C:C, '5.환경경영'!AX:AX)</f>
        <v>5.5833333333333339</v>
      </c>
      <c r="I37" s="35">
        <f>_xlfn.XLOOKUP(B37, '6.직원만족'!C:C, '6.직원만족'!BS:BS)</f>
        <v>8.8276015187521857</v>
      </c>
      <c r="J37" s="162">
        <f t="shared" si="0"/>
        <v>75.554815000309276</v>
      </c>
    </row>
    <row r="38" spans="1:10" x14ac:dyDescent="0.6">
      <c r="A38" s="214" t="s">
        <v>896</v>
      </c>
      <c r="B38" s="219" t="s">
        <v>501</v>
      </c>
      <c r="C38" s="216" t="s">
        <v>203</v>
      </c>
      <c r="D38" s="35">
        <f>_xlfn.XLOOKUP(B38, '1.건전성'!C:C, '1.건전성'!CW:CW)</f>
        <v>18.068024536210391</v>
      </c>
      <c r="E38" s="35">
        <f>_xlfn.XLOOKUP(B38, '2.공정성'!C:C, '2.공정성'!BS:BS)</f>
        <v>18.5</v>
      </c>
      <c r="F38" s="35">
        <f>_xlfn.XLOOKUP(B38, '3.사회공헌'!C:C, '3.사회공헌'!BL:BL)</f>
        <v>9.6872663501559657</v>
      </c>
      <c r="G38" s="35">
        <f>_xlfn.XLOOKUP(B38, '4.소비자보호'!C:C, '4.소비자보호'!BE:BE)</f>
        <v>11.25</v>
      </c>
      <c r="H38" s="35">
        <f>_xlfn.XLOOKUP(B38, '5.환경경영'!C:C, '5.환경경영'!AX:AX)</f>
        <v>7.0833333333333339</v>
      </c>
      <c r="I38" s="35">
        <f>_xlfn.XLOOKUP(B38, '6.직원만족'!C:C, '6.직원만족'!BS:BS)</f>
        <v>10.808576797951027</v>
      </c>
      <c r="J38" s="162">
        <f t="shared" si="0"/>
        <v>75.397201017650701</v>
      </c>
    </row>
    <row r="39" spans="1:10" x14ac:dyDescent="0.6">
      <c r="A39" s="214" t="s">
        <v>1806</v>
      </c>
      <c r="B39" s="219" t="s">
        <v>1807</v>
      </c>
      <c r="C39" s="79" t="s">
        <v>88</v>
      </c>
      <c r="D39" s="35">
        <f>_xlfn.XLOOKUP(B39, '1.건전성'!C:C, '1.건전성'!CW:CW)</f>
        <v>29.803525810671246</v>
      </c>
      <c r="E39" s="35">
        <f>_xlfn.XLOOKUP(B39, '2.공정성'!C:C, '2.공정성'!BS:BS)</f>
        <v>17.75</v>
      </c>
      <c r="F39" s="35">
        <f>_xlfn.XLOOKUP(B39, '3.사회공헌'!C:C, '3.사회공헌'!BL:BL)</f>
        <v>8.1066241440861955</v>
      </c>
      <c r="G39" s="35">
        <f>_xlfn.XLOOKUP(B39, '4.소비자보호'!C:C, '4.소비자보호'!BE:BE)</f>
        <v>11.55</v>
      </c>
      <c r="H39" s="35">
        <f>_xlfn.XLOOKUP(B39, '5.환경경영'!C:C, '5.환경경영'!AX:AX)</f>
        <v>0</v>
      </c>
      <c r="I39" s="35">
        <f>_xlfn.XLOOKUP(B39, '6.직원만족'!C:C, '6.직원만족'!BS:BS)</f>
        <v>8.1545252186373602</v>
      </c>
      <c r="J39" s="162">
        <f t="shared" si="0"/>
        <v>75.364675173394801</v>
      </c>
    </row>
    <row r="40" spans="1:10" x14ac:dyDescent="0.6">
      <c r="A40" s="214" t="s">
        <v>948</v>
      </c>
      <c r="B40" s="219" t="s">
        <v>915</v>
      </c>
      <c r="C40" s="216" t="s">
        <v>203</v>
      </c>
      <c r="D40" s="35">
        <f>_xlfn.XLOOKUP(B40, '1.건전성'!C:C, '1.건전성'!CW:CW)</f>
        <v>19.791855428286986</v>
      </c>
      <c r="E40" s="35">
        <f>_xlfn.XLOOKUP(B40, '2.공정성'!C:C, '2.공정성'!BS:BS)</f>
        <v>19.5</v>
      </c>
      <c r="F40" s="35">
        <f>_xlfn.XLOOKUP(B40, '3.사회공헌'!C:C, '3.사회공헌'!BL:BL)</f>
        <v>7.3682042494668938</v>
      </c>
      <c r="G40" s="35">
        <f>_xlfn.XLOOKUP(B40, '4.소비자보호'!C:C, '4.소비자보호'!BE:BE)</f>
        <v>11.25</v>
      </c>
      <c r="H40" s="35">
        <f>_xlfn.XLOOKUP(B40, '5.환경경영'!C:C, '5.환경경영'!AX:AX)</f>
        <v>6.5833333333333339</v>
      </c>
      <c r="I40" s="35">
        <f>_xlfn.XLOOKUP(B40, '6.직원만족'!C:C, '6.직원만족'!BS:BS)</f>
        <v>10.869504104395054</v>
      </c>
      <c r="J40" s="162">
        <f t="shared" si="0"/>
        <v>75.362897115482255</v>
      </c>
    </row>
    <row r="41" spans="1:10" x14ac:dyDescent="0.6">
      <c r="A41" s="214" t="s">
        <v>371</v>
      </c>
      <c r="B41" s="219" t="s">
        <v>930</v>
      </c>
      <c r="C41" s="216" t="s">
        <v>202</v>
      </c>
      <c r="D41" s="35">
        <f>_xlfn.XLOOKUP(B41, '1.건전성'!C:C, '1.건전성'!CW:CW)</f>
        <v>16.665092403283417</v>
      </c>
      <c r="E41" s="35">
        <f>_xlfn.XLOOKUP(B41, '2.공정성'!C:C, '2.공정성'!BS:BS)</f>
        <v>19.25</v>
      </c>
      <c r="F41" s="35">
        <f>_xlfn.XLOOKUP(B41, '3.사회공헌'!C:C, '3.사회공헌'!BL:BL)</f>
        <v>10.333161124286868</v>
      </c>
      <c r="G41" s="35">
        <f>_xlfn.XLOOKUP(B41, '4.소비자보호'!C:C, '4.소비자보호'!BE:BE)</f>
        <v>11.25</v>
      </c>
      <c r="H41" s="35">
        <f>_xlfn.XLOOKUP(B41, '5.환경경영'!C:C, '5.환경경영'!AX:AX)</f>
        <v>6.5833333333333339</v>
      </c>
      <c r="I41" s="35">
        <f>_xlfn.XLOOKUP(B41, '6.직원만족'!C:C, '6.직원만족'!BS:BS)</f>
        <v>11.253124927457307</v>
      </c>
      <c r="J41" s="162">
        <f t="shared" si="0"/>
        <v>75.33471178836092</v>
      </c>
    </row>
    <row r="42" spans="1:10" x14ac:dyDescent="0.6">
      <c r="A42" s="214" t="s">
        <v>353</v>
      </c>
      <c r="B42" s="219" t="s">
        <v>492</v>
      </c>
      <c r="C42" s="216" t="s">
        <v>285</v>
      </c>
      <c r="D42" s="35">
        <f>_xlfn.XLOOKUP(B42, '1.건전성'!C:C, '1.건전성'!CW:CW)</f>
        <v>21.201584267538884</v>
      </c>
      <c r="E42" s="35">
        <f>_xlfn.XLOOKUP(B42, '2.공정성'!C:C, '2.공정성'!BS:BS)</f>
        <v>16.75</v>
      </c>
      <c r="F42" s="35">
        <f>_xlfn.XLOOKUP(B42, '3.사회공헌'!C:C, '3.사회공헌'!BL:BL)</f>
        <v>9.5056308921961392</v>
      </c>
      <c r="G42" s="35">
        <f>_xlfn.XLOOKUP(B42, '4.소비자보호'!C:C, '4.소비자보호'!BE:BE)</f>
        <v>11.25</v>
      </c>
      <c r="H42" s="35">
        <f>_xlfn.XLOOKUP(B42, '5.환경경영'!C:C, '5.환경경영'!AX:AX)</f>
        <v>5.0833333333333339</v>
      </c>
      <c r="I42" s="35">
        <f>_xlfn.XLOOKUP(B42, '6.직원만족'!C:C, '6.직원만족'!BS:BS)</f>
        <v>11.525113470326877</v>
      </c>
      <c r="J42" s="162">
        <f t="shared" si="0"/>
        <v>75.315661963395229</v>
      </c>
    </row>
    <row r="43" spans="1:10" x14ac:dyDescent="0.6">
      <c r="A43" s="214" t="s">
        <v>18</v>
      </c>
      <c r="B43" s="219" t="s">
        <v>912</v>
      </c>
      <c r="C43" s="216" t="s">
        <v>203</v>
      </c>
      <c r="D43" s="35">
        <f>_xlfn.XLOOKUP(B43, '1.건전성'!C:C, '1.건전성'!CW:CW)</f>
        <v>19.059739219124072</v>
      </c>
      <c r="E43" s="35">
        <f>_xlfn.XLOOKUP(B43, '2.공정성'!C:C, '2.공정성'!BS:BS)</f>
        <v>16.5</v>
      </c>
      <c r="F43" s="35">
        <f>_xlfn.XLOOKUP(B43, '3.사회공헌'!C:C, '3.사회공헌'!BL:BL)</f>
        <v>12.104453324823464</v>
      </c>
      <c r="G43" s="35">
        <f>_xlfn.XLOOKUP(B43, '4.소비자보호'!C:C, '4.소비자보호'!BE:BE)</f>
        <v>11.25</v>
      </c>
      <c r="H43" s="35">
        <f>_xlfn.XLOOKUP(B43, '5.환경경영'!C:C, '5.환경경영'!AX:AX)</f>
        <v>6.8333333333333339</v>
      </c>
      <c r="I43" s="35">
        <f>_xlfn.XLOOKUP(B43, '6.직원만족'!C:C, '6.직원만족'!BS:BS)</f>
        <v>9.5424280405966329</v>
      </c>
      <c r="J43" s="162">
        <f t="shared" si="0"/>
        <v>75.289953917877497</v>
      </c>
    </row>
    <row r="44" spans="1:10" x14ac:dyDescent="0.6">
      <c r="A44" s="214" t="s">
        <v>1627</v>
      </c>
      <c r="B44" s="219" t="s">
        <v>856</v>
      </c>
      <c r="C44" s="216" t="s">
        <v>203</v>
      </c>
      <c r="D44" s="35">
        <f>_xlfn.XLOOKUP(B44, '1.건전성'!C:C, '1.건전성'!CW:CW)</f>
        <v>19.546295050851626</v>
      </c>
      <c r="E44" s="35">
        <f>_xlfn.XLOOKUP(B44, '2.공정성'!C:C, '2.공정성'!BS:BS)</f>
        <v>19.25</v>
      </c>
      <c r="F44" s="35">
        <f>_xlfn.XLOOKUP(B44, '3.사회공헌'!C:C, '3.사회공헌'!BL:BL)</f>
        <v>7.3206589211292448</v>
      </c>
      <c r="G44" s="35">
        <f>_xlfn.XLOOKUP(B44, '4.소비자보호'!C:C, '4.소비자보호'!BE:BE)</f>
        <v>11.25</v>
      </c>
      <c r="H44" s="35">
        <f>_xlfn.XLOOKUP(B44, '5.환경경영'!C:C, '5.환경경영'!AX:AX)</f>
        <v>6.5833333333333339</v>
      </c>
      <c r="I44" s="35">
        <f>_xlfn.XLOOKUP(B44, '6.직원만족'!C:C, '6.직원만족'!BS:BS)</f>
        <v>10.981750949621157</v>
      </c>
      <c r="J44" s="162">
        <f t="shared" si="0"/>
        <v>74.932038254935364</v>
      </c>
    </row>
    <row r="45" spans="1:10" x14ac:dyDescent="0.6">
      <c r="A45" s="214" t="s">
        <v>524</v>
      </c>
      <c r="B45" s="219" t="s">
        <v>905</v>
      </c>
      <c r="C45" s="216" t="s">
        <v>203</v>
      </c>
      <c r="D45" s="35">
        <f>_xlfn.XLOOKUP(B45, '1.건전성'!C:C, '1.건전성'!CW:CW)</f>
        <v>17.999554907858862</v>
      </c>
      <c r="E45" s="35">
        <f>_xlfn.XLOOKUP(B45, '2.공정성'!C:C, '2.공정성'!BS:BS)</f>
        <v>19.25</v>
      </c>
      <c r="F45" s="35">
        <f>_xlfn.XLOOKUP(B45, '3.사회공헌'!C:C, '3.사회공헌'!BL:BL)</f>
        <v>7.7914531137010972</v>
      </c>
      <c r="G45" s="35">
        <f>_xlfn.XLOOKUP(B45, '4.소비자보호'!C:C, '4.소비자보호'!BE:BE)</f>
        <v>11.25</v>
      </c>
      <c r="H45" s="35">
        <f>_xlfn.XLOOKUP(B45, '5.환경경영'!C:C, '5.환경경영'!AX:AX)</f>
        <v>6.5833333333333339</v>
      </c>
      <c r="I45" s="35">
        <f>_xlfn.XLOOKUP(B45, '6.직원만족'!C:C, '6.직원만족'!BS:BS)</f>
        <v>12.029368695104379</v>
      </c>
      <c r="J45" s="162">
        <f t="shared" si="0"/>
        <v>74.90371004999767</v>
      </c>
    </row>
    <row r="46" spans="1:10" x14ac:dyDescent="0.6">
      <c r="A46" s="214" t="s">
        <v>1812</v>
      </c>
      <c r="B46" s="219" t="s">
        <v>1813</v>
      </c>
      <c r="C46" s="14" t="s">
        <v>191</v>
      </c>
      <c r="D46" s="35">
        <f>_xlfn.XLOOKUP(B46, '1.건전성'!C:C, '1.건전성'!CW:CW)</f>
        <v>19.803311253000253</v>
      </c>
      <c r="E46" s="35">
        <f>_xlfn.XLOOKUP(B46, '2.공정성'!C:C, '2.공정성'!BS:BS)</f>
        <v>19.25</v>
      </c>
      <c r="F46" s="35">
        <f>_xlfn.XLOOKUP(B46, '3.사회공헌'!C:C, '3.사회공헌'!BL:BL)</f>
        <v>8</v>
      </c>
      <c r="G46" s="35">
        <f>_xlfn.XLOOKUP(B46, '4.소비자보호'!C:C, '4.소비자보호'!BE:BE)</f>
        <v>11.25</v>
      </c>
      <c r="H46" s="35">
        <f>_xlfn.XLOOKUP(B46, '5.환경경영'!C:C, '5.환경경영'!AX:AX)</f>
        <v>5.0833333333333339</v>
      </c>
      <c r="I46" s="35">
        <f>_xlfn.XLOOKUP(B46, '6.직원만족'!C:C, '6.직원만족'!BS:BS)</f>
        <v>11.476031267433632</v>
      </c>
      <c r="J46" s="162">
        <f t="shared" si="0"/>
        <v>74.862675853767215</v>
      </c>
    </row>
    <row r="47" spans="1:10" x14ac:dyDescent="0.6">
      <c r="A47" s="214" t="s">
        <v>936</v>
      </c>
      <c r="B47" s="219" t="s">
        <v>17</v>
      </c>
      <c r="C47" s="216" t="s">
        <v>285</v>
      </c>
      <c r="D47" s="35">
        <f>_xlfn.XLOOKUP(B47, '1.건전성'!C:C, '1.건전성'!CW:CW)</f>
        <v>17.935120945269006</v>
      </c>
      <c r="E47" s="35">
        <f>_xlfn.XLOOKUP(B47, '2.공정성'!C:C, '2.공정성'!BS:BS)</f>
        <v>17.25</v>
      </c>
      <c r="F47" s="35">
        <f>_xlfn.XLOOKUP(B47, '3.사회공헌'!C:C, '3.사회공헌'!BL:BL)</f>
        <v>12.043216838724408</v>
      </c>
      <c r="G47" s="35">
        <f>_xlfn.XLOOKUP(B47, '4.소비자보호'!C:C, '4.소비자보호'!BE:BE)</f>
        <v>12.25</v>
      </c>
      <c r="H47" s="35">
        <f>_xlfn.XLOOKUP(B47, '5.환경경영'!C:C, '5.환경경영'!AX:AX)</f>
        <v>5.5833333333333339</v>
      </c>
      <c r="I47" s="35">
        <f>_xlfn.XLOOKUP(B47, '6.직원만족'!C:C, '6.직원만족'!BS:BS)</f>
        <v>9.7744314611026386</v>
      </c>
      <c r="J47" s="162">
        <f t="shared" si="0"/>
        <v>74.836102578429376</v>
      </c>
    </row>
    <row r="48" spans="1:10" x14ac:dyDescent="0.6">
      <c r="A48" s="214" t="s">
        <v>483</v>
      </c>
      <c r="B48" s="219" t="s">
        <v>897</v>
      </c>
      <c r="C48" s="216" t="s">
        <v>202</v>
      </c>
      <c r="D48" s="35">
        <f>_xlfn.XLOOKUP(B48, '1.건전성'!C:C, '1.건전성'!CW:CW)</f>
        <v>19.972262433792853</v>
      </c>
      <c r="E48" s="35">
        <f>_xlfn.XLOOKUP(B48, '2.공정성'!C:C, '2.공정성'!BS:BS)</f>
        <v>19.5</v>
      </c>
      <c r="F48" s="35">
        <f>_xlfn.XLOOKUP(B48, '3.사회공헌'!C:C, '3.사회공헌'!BL:BL)</f>
        <v>8.0979546521388688</v>
      </c>
      <c r="G48" s="35">
        <f>_xlfn.XLOOKUP(B48, '4.소비자보호'!C:C, '4.소비자보호'!BE:BE)</f>
        <v>11.25</v>
      </c>
      <c r="H48" s="35">
        <f>_xlfn.XLOOKUP(B48, '5.환경경영'!C:C, '5.환경경영'!AX:AX)</f>
        <v>6.0833333333333339</v>
      </c>
      <c r="I48" s="35">
        <f>_xlfn.XLOOKUP(B48, '6.직원만족'!C:C, '6.직원만족'!BS:BS)</f>
        <v>9.8713247736413869</v>
      </c>
      <c r="J48" s="162">
        <f t="shared" si="0"/>
        <v>74.774875192906435</v>
      </c>
    </row>
    <row r="49" spans="1:10" x14ac:dyDescent="0.6">
      <c r="A49" s="214" t="s">
        <v>1915</v>
      </c>
      <c r="B49" s="219" t="s">
        <v>887</v>
      </c>
      <c r="C49" s="216" t="s">
        <v>203</v>
      </c>
      <c r="D49" s="35">
        <f>_xlfn.XLOOKUP(B49, '1.건전성'!C:C, '1.건전성'!CW:CW)</f>
        <v>20.060366619650566</v>
      </c>
      <c r="E49" s="35">
        <f>_xlfn.XLOOKUP(B49, '2.공정성'!C:C, '2.공정성'!BS:BS)</f>
        <v>19.5</v>
      </c>
      <c r="F49" s="35">
        <f>_xlfn.XLOOKUP(B49, '3.사회공헌'!C:C, '3.사회공헌'!BL:BL)</f>
        <v>6.6832180540896076</v>
      </c>
      <c r="G49" s="35">
        <f>_xlfn.XLOOKUP(B49, '4.소비자보호'!C:C, '4.소비자보호'!BE:BE)</f>
        <v>11.25</v>
      </c>
      <c r="H49" s="35">
        <f>_xlfn.XLOOKUP(B49, '5.환경경영'!C:C, '5.환경경영'!AX:AX)</f>
        <v>7.0833333333333339</v>
      </c>
      <c r="I49" s="35">
        <f>_xlfn.XLOOKUP(B49, '6.직원만족'!C:C, '6.직원만족'!BS:BS)</f>
        <v>10.189136957919244</v>
      </c>
      <c r="J49" s="162">
        <f t="shared" si="0"/>
        <v>74.766054964992748</v>
      </c>
    </row>
    <row r="50" spans="1:10" x14ac:dyDescent="0.6">
      <c r="A50" s="214" t="s">
        <v>502</v>
      </c>
      <c r="B50" s="219" t="s">
        <v>465</v>
      </c>
      <c r="C50" s="216" t="s">
        <v>285</v>
      </c>
      <c r="D50" s="35">
        <f>_xlfn.XLOOKUP(B50, '1.건전성'!C:C, '1.건전성'!CW:CW)</f>
        <v>18.611828764208227</v>
      </c>
      <c r="E50" s="35">
        <f>_xlfn.XLOOKUP(B50, '2.공정성'!C:C, '2.공정성'!BS:BS)</f>
        <v>16.5</v>
      </c>
      <c r="F50" s="35">
        <f>_xlfn.XLOOKUP(B50, '3.사회공헌'!C:C, '3.사회공헌'!BL:BL)</f>
        <v>10.586277198405611</v>
      </c>
      <c r="G50" s="35">
        <f>_xlfn.XLOOKUP(B50, '4.소비자보호'!C:C, '4.소비자보호'!BE:BE)</f>
        <v>11.75</v>
      </c>
      <c r="H50" s="35">
        <f>_xlfn.XLOOKUP(B50, '5.환경경영'!C:C, '5.환경경영'!AX:AX)</f>
        <v>7.0833333333333339</v>
      </c>
      <c r="I50" s="35">
        <f>_xlfn.XLOOKUP(B50, '6.직원만족'!C:C, '6.직원만족'!BS:BS)</f>
        <v>10.19892130884754</v>
      </c>
      <c r="J50" s="162">
        <f t="shared" si="0"/>
        <v>74.730360604794711</v>
      </c>
    </row>
    <row r="51" spans="1:10" x14ac:dyDescent="0.6">
      <c r="A51" s="214" t="s">
        <v>290</v>
      </c>
      <c r="B51" s="219" t="s">
        <v>325</v>
      </c>
      <c r="C51" s="216" t="s">
        <v>202</v>
      </c>
      <c r="D51" s="35">
        <f>_xlfn.XLOOKUP(B51, '1.건전성'!C:C, '1.건전성'!CW:CW)</f>
        <v>20.801936126483653</v>
      </c>
      <c r="E51" s="35">
        <f>_xlfn.XLOOKUP(B51, '2.공정성'!C:C, '2.공정성'!BS:BS)</f>
        <v>19.75</v>
      </c>
      <c r="F51" s="35">
        <f>_xlfn.XLOOKUP(B51, '3.사회공헌'!C:C, '3.사회공헌'!BL:BL)</f>
        <v>5.3604910387361295</v>
      </c>
      <c r="G51" s="35">
        <f>_xlfn.XLOOKUP(B51, '4.소비자보호'!C:C, '4.소비자보호'!BE:BE)</f>
        <v>11.25</v>
      </c>
      <c r="H51" s="35">
        <f>_xlfn.XLOOKUP(B51, '5.환경경영'!C:C, '5.환경경영'!AX:AX)</f>
        <v>5.0833333333333339</v>
      </c>
      <c r="I51" s="35">
        <f>_xlfn.XLOOKUP(B51, '6.직원만족'!C:C, '6.직원만족'!BS:BS)</f>
        <v>12.306174365080896</v>
      </c>
      <c r="J51" s="162">
        <f t="shared" si="0"/>
        <v>74.551934863634017</v>
      </c>
    </row>
    <row r="52" spans="1:10" x14ac:dyDescent="0.6">
      <c r="A52" s="214" t="s">
        <v>7</v>
      </c>
      <c r="B52" s="219" t="s">
        <v>42</v>
      </c>
      <c r="C52" s="216" t="s">
        <v>203</v>
      </c>
      <c r="D52" s="35">
        <f>_xlfn.XLOOKUP(B52, '1.건전성'!C:C, '1.건전성'!CW:CW)</f>
        <v>18.55947436550959</v>
      </c>
      <c r="E52" s="35">
        <f>_xlfn.XLOOKUP(B52, '2.공정성'!C:C, '2.공정성'!BS:BS)</f>
        <v>19.25</v>
      </c>
      <c r="F52" s="35">
        <f>_xlfn.XLOOKUP(B52, '3.사회공헌'!C:C, '3.사회공헌'!BL:BL)</f>
        <v>8.6534915722209362</v>
      </c>
      <c r="G52" s="35">
        <f>_xlfn.XLOOKUP(B52, '4.소비자보호'!C:C, '4.소비자보호'!BE:BE)</f>
        <v>11.25</v>
      </c>
      <c r="H52" s="35">
        <f>_xlfn.XLOOKUP(B52, '5.환경경영'!C:C, '5.환경경영'!AX:AX)</f>
        <v>6.5833333333333339</v>
      </c>
      <c r="I52" s="35">
        <f>_xlfn.XLOOKUP(B52, '6.직원만족'!C:C, '6.직원만족'!BS:BS)</f>
        <v>10.24266242038358</v>
      </c>
      <c r="J52" s="162">
        <f t="shared" si="0"/>
        <v>74.53896169144744</v>
      </c>
    </row>
    <row r="53" spans="1:10" x14ac:dyDescent="0.6">
      <c r="A53" s="214" t="s">
        <v>1661</v>
      </c>
      <c r="B53" s="219" t="s">
        <v>933</v>
      </c>
      <c r="C53" s="216" t="s">
        <v>203</v>
      </c>
      <c r="D53" s="35">
        <f>_xlfn.XLOOKUP(B53, '1.건전성'!C:C, '1.건전성'!CW:CW)</f>
        <v>18.178578620749875</v>
      </c>
      <c r="E53" s="35">
        <f>_xlfn.XLOOKUP(B53, '2.공정성'!C:C, '2.공정성'!BS:BS)</f>
        <v>19.25</v>
      </c>
      <c r="F53" s="35">
        <f>_xlfn.XLOOKUP(B53, '3.사회공헌'!C:C, '3.사회공헌'!BL:BL)</f>
        <v>8.7976311152231883</v>
      </c>
      <c r="G53" s="35">
        <f>_xlfn.XLOOKUP(B53, '4.소비자보호'!C:C, '4.소비자보호'!BE:BE)</f>
        <v>11.25</v>
      </c>
      <c r="H53" s="35">
        <f>_xlfn.XLOOKUP(B53, '5.환경경영'!C:C, '5.환경경영'!AX:AX)</f>
        <v>5.0833333333333339</v>
      </c>
      <c r="I53" s="35">
        <f>_xlfn.XLOOKUP(B53, '6.직원만족'!C:C, '6.직원만족'!BS:BS)</f>
        <v>11.955010726189505</v>
      </c>
      <c r="J53" s="162">
        <f t="shared" si="0"/>
        <v>74.5145537954959</v>
      </c>
    </row>
    <row r="54" spans="1:10" x14ac:dyDescent="0.6">
      <c r="A54" s="214" t="s">
        <v>553</v>
      </c>
      <c r="B54" s="219" t="s">
        <v>47</v>
      </c>
      <c r="C54" s="216" t="s">
        <v>203</v>
      </c>
      <c r="D54" s="35">
        <f>_xlfn.XLOOKUP(B54, '1.건전성'!C:C, '1.건전성'!CW:CW)</f>
        <v>17.289229451100329</v>
      </c>
      <c r="E54" s="35">
        <f>_xlfn.XLOOKUP(B54, '2.공정성'!C:C, '2.공정성'!BS:BS)</f>
        <v>19.5</v>
      </c>
      <c r="F54" s="35">
        <f>_xlfn.XLOOKUP(B54, '3.사회공헌'!C:C, '3.사회공헌'!BL:BL)</f>
        <v>11.435548134225851</v>
      </c>
      <c r="G54" s="35">
        <f>_xlfn.XLOOKUP(B54, '4.소비자보호'!C:C, '4.소비자보호'!BE:BE)</f>
        <v>11.25</v>
      </c>
      <c r="H54" s="35">
        <f>_xlfn.XLOOKUP(B54, '5.환경경영'!C:C, '5.환경경영'!AX:AX)</f>
        <v>6.3333333333333339</v>
      </c>
      <c r="I54" s="35">
        <f>_xlfn.XLOOKUP(B54, '6.직원만족'!C:C, '6.직원만족'!BS:BS)</f>
        <v>8.6835532685590984</v>
      </c>
      <c r="J54" s="162">
        <f t="shared" si="0"/>
        <v>74.491664187218603</v>
      </c>
    </row>
    <row r="55" spans="1:10" x14ac:dyDescent="0.6">
      <c r="A55" s="214" t="s">
        <v>947</v>
      </c>
      <c r="B55" s="219" t="s">
        <v>895</v>
      </c>
      <c r="C55" s="216" t="s">
        <v>202</v>
      </c>
      <c r="D55" s="35">
        <f>_xlfn.XLOOKUP(B55, '1.건전성'!C:C, '1.건전성'!CW:CW)</f>
        <v>20.642651637200544</v>
      </c>
      <c r="E55" s="35">
        <f>_xlfn.XLOOKUP(B55, '2.공정성'!C:C, '2.공정성'!BS:BS)</f>
        <v>17.5</v>
      </c>
      <c r="F55" s="35">
        <f>_xlfn.XLOOKUP(B55, '3.사회공헌'!C:C, '3.사회공헌'!BL:BL)</f>
        <v>9.4891634107643856</v>
      </c>
      <c r="G55" s="35">
        <f>_xlfn.XLOOKUP(B55, '4.소비자보호'!C:C, '4.소비자보호'!BE:BE)</f>
        <v>11.25</v>
      </c>
      <c r="H55" s="35">
        <f>_xlfn.XLOOKUP(B55, '5.환경경영'!C:C, '5.환경경영'!AX:AX)</f>
        <v>6.8333333333333339</v>
      </c>
      <c r="I55" s="35">
        <f>_xlfn.XLOOKUP(B55, '6.직원만족'!C:C, '6.직원만족'!BS:BS)</f>
        <v>8.7758085529373542</v>
      </c>
      <c r="J55" s="162">
        <f t="shared" si="0"/>
        <v>74.490956934235612</v>
      </c>
    </row>
    <row r="56" spans="1:10" x14ac:dyDescent="0.6">
      <c r="A56" s="214" t="s">
        <v>16</v>
      </c>
      <c r="B56" s="219" t="s">
        <v>334</v>
      </c>
      <c r="C56" s="216" t="s">
        <v>203</v>
      </c>
      <c r="D56" s="35">
        <f>_xlfn.XLOOKUP(B56, '1.건전성'!C:C, '1.건전성'!CW:CW)</f>
        <v>18.75505174430932</v>
      </c>
      <c r="E56" s="35">
        <f>_xlfn.XLOOKUP(B56, '2.공정성'!C:C, '2.공정성'!BS:BS)</f>
        <v>18.5</v>
      </c>
      <c r="F56" s="35">
        <f>_xlfn.XLOOKUP(B56, '3.사회공헌'!C:C, '3.사회공헌'!BL:BL)</f>
        <v>9.1172404615435934</v>
      </c>
      <c r="G56" s="35">
        <f>_xlfn.XLOOKUP(B56, '4.소비자보호'!C:C, '4.소비자보호'!BE:BE)</f>
        <v>11.25</v>
      </c>
      <c r="H56" s="35">
        <f>_xlfn.XLOOKUP(B56, '5.환경경영'!C:C, '5.환경경영'!AX:AX)</f>
        <v>5.5833333333333339</v>
      </c>
      <c r="I56" s="35">
        <f>_xlfn.XLOOKUP(B56, '6.직원만족'!C:C, '6.직원만족'!BS:BS)</f>
        <v>11.273288900753021</v>
      </c>
      <c r="J56" s="162">
        <f t="shared" si="0"/>
        <v>74.478914439939274</v>
      </c>
    </row>
    <row r="57" spans="1:10" x14ac:dyDescent="0.6">
      <c r="A57" s="214" t="s">
        <v>1768</v>
      </c>
      <c r="B57" s="219" t="s">
        <v>1769</v>
      </c>
      <c r="C57" s="14" t="s">
        <v>285</v>
      </c>
      <c r="D57" s="35">
        <f>_xlfn.XLOOKUP(B57, '1.건전성'!C:C, '1.건전성'!CW:CW)</f>
        <v>17.52060666763386</v>
      </c>
      <c r="E57" s="35">
        <f>_xlfn.XLOOKUP(B57, '2.공정성'!C:C, '2.공정성'!BS:BS)</f>
        <v>18.5</v>
      </c>
      <c r="F57" s="35">
        <f>_xlfn.XLOOKUP(B57, '3.사회공헌'!C:C, '3.사회공헌'!BL:BL)</f>
        <v>12.071603042446881</v>
      </c>
      <c r="G57" s="35">
        <f>_xlfn.XLOOKUP(B57, '4.소비자보호'!C:C, '4.소비자보호'!BE:BE)</f>
        <v>11.25</v>
      </c>
      <c r="H57" s="35">
        <f>_xlfn.XLOOKUP(B57, '5.환경경영'!C:C, '5.환경경영'!AX:AX)</f>
        <v>5.0833333333333339</v>
      </c>
      <c r="I57" s="35">
        <f>_xlfn.XLOOKUP(B57, '6.직원만족'!C:C, '6.직원만족'!BS:BS)</f>
        <v>10.042540135636195</v>
      </c>
      <c r="J57" s="162">
        <f t="shared" si="0"/>
        <v>74.468083179050268</v>
      </c>
    </row>
    <row r="58" spans="1:10" x14ac:dyDescent="0.6">
      <c r="A58" s="214" t="s">
        <v>1588</v>
      </c>
      <c r="B58" s="219" t="s">
        <v>1589</v>
      </c>
      <c r="C58" s="14" t="s">
        <v>202</v>
      </c>
      <c r="D58" s="35">
        <f>_xlfn.XLOOKUP(B58, '1.건전성'!C:C, '1.건전성'!CW:CW)</f>
        <v>19.816108845115362</v>
      </c>
      <c r="E58" s="35">
        <f>_xlfn.XLOOKUP(B58, '2.공정성'!C:C, '2.공정성'!BS:BS)</f>
        <v>19.25</v>
      </c>
      <c r="F58" s="35">
        <f>_xlfn.XLOOKUP(B58, '3.사회공헌'!C:C, '3.사회공헌'!BL:BL)</f>
        <v>8.9206963845706397</v>
      </c>
      <c r="G58" s="35">
        <f>_xlfn.XLOOKUP(B58, '4.소비자보호'!C:C, '4.소비자보호'!BE:BE)</f>
        <v>11.25</v>
      </c>
      <c r="H58" s="35">
        <f>_xlfn.XLOOKUP(B58, '5.환경경영'!C:C, '5.환경경영'!AX:AX)</f>
        <v>7.0833333333333339</v>
      </c>
      <c r="I58" s="35">
        <f>_xlfn.XLOOKUP(B58, '6.직원만족'!C:C, '6.직원만족'!BS:BS)</f>
        <v>8.0220299760549896</v>
      </c>
      <c r="J58" s="162">
        <f t="shared" si="0"/>
        <v>74.342168539074336</v>
      </c>
    </row>
    <row r="59" spans="1:10" x14ac:dyDescent="0.6">
      <c r="A59" s="214" t="s">
        <v>85</v>
      </c>
      <c r="B59" s="219" t="s">
        <v>901</v>
      </c>
      <c r="C59" s="216" t="s">
        <v>203</v>
      </c>
      <c r="D59" s="35">
        <f>_xlfn.XLOOKUP(B59, '1.건전성'!C:C, '1.건전성'!CW:CW)</f>
        <v>20.880144527689787</v>
      </c>
      <c r="E59" s="35">
        <f>_xlfn.XLOOKUP(B59, '2.공정성'!C:C, '2.공정성'!BS:BS)</f>
        <v>19.5</v>
      </c>
      <c r="F59" s="35">
        <f>_xlfn.XLOOKUP(B59, '3.사회공헌'!C:C, '3.사회공헌'!BL:BL)</f>
        <v>7.2330100192764322</v>
      </c>
      <c r="G59" s="35">
        <f>_xlfn.XLOOKUP(B59, '4.소비자보호'!C:C, '4.소비자보호'!BE:BE)</f>
        <v>11.25</v>
      </c>
      <c r="H59" s="35">
        <f>_xlfn.XLOOKUP(B59, '5.환경경영'!C:C, '5.환경경영'!AX:AX)</f>
        <v>5.5833333333333339</v>
      </c>
      <c r="I59" s="35">
        <f>_xlfn.XLOOKUP(B59, '6.직원만족'!C:C, '6.직원만족'!BS:BS)</f>
        <v>9.8567946392279762</v>
      </c>
      <c r="J59" s="162">
        <f t="shared" si="0"/>
        <v>74.303282519527528</v>
      </c>
    </row>
    <row r="60" spans="1:10" x14ac:dyDescent="0.6">
      <c r="A60" s="214" t="s">
        <v>28</v>
      </c>
      <c r="B60" s="219" t="s">
        <v>849</v>
      </c>
      <c r="C60" s="216" t="s">
        <v>203</v>
      </c>
      <c r="D60" s="35">
        <f>_xlfn.XLOOKUP(B60, '1.건전성'!C:C, '1.건전성'!CW:CW)</f>
        <v>18.989807798908217</v>
      </c>
      <c r="E60" s="35">
        <f>_xlfn.XLOOKUP(B60, '2.공정성'!C:C, '2.공정성'!BS:BS)</f>
        <v>17.25</v>
      </c>
      <c r="F60" s="35">
        <f>_xlfn.XLOOKUP(B60, '3.사회공헌'!C:C, '3.사회공헌'!BL:BL)</f>
        <v>8.578348721499145</v>
      </c>
      <c r="G60" s="35">
        <f>_xlfn.XLOOKUP(B60, '4.소비자보호'!C:C, '4.소비자보호'!BE:BE)</f>
        <v>11.25</v>
      </c>
      <c r="H60" s="35">
        <f>_xlfn.XLOOKUP(B60, '5.환경경영'!C:C, '5.환경경영'!AX:AX)</f>
        <v>7.0833333333333339</v>
      </c>
      <c r="I60" s="35">
        <f>_xlfn.XLOOKUP(B60, '6.직원만족'!C:C, '6.직원만족'!BS:BS)</f>
        <v>11.072750034797481</v>
      </c>
      <c r="J60" s="162">
        <f t="shared" si="0"/>
        <v>74.224239888538179</v>
      </c>
    </row>
    <row r="61" spans="1:10" x14ac:dyDescent="0.6">
      <c r="A61" s="214" t="s">
        <v>446</v>
      </c>
      <c r="B61" s="219" t="s">
        <v>523</v>
      </c>
      <c r="C61" s="216" t="s">
        <v>202</v>
      </c>
      <c r="D61" s="35">
        <f>_xlfn.XLOOKUP(B61, '1.건전성'!C:C, '1.건전성'!CW:CW)</f>
        <v>22.284770108891159</v>
      </c>
      <c r="E61" s="35">
        <f>_xlfn.XLOOKUP(B61, '2.공정성'!C:C, '2.공정성'!BS:BS)</f>
        <v>16.75</v>
      </c>
      <c r="F61" s="35">
        <f>_xlfn.XLOOKUP(B61, '3.사회공헌'!C:C, '3.사회공헌'!BL:BL)</f>
        <v>7.7198432816900766</v>
      </c>
      <c r="G61" s="35">
        <f>_xlfn.XLOOKUP(B61, '4.소비자보호'!C:C, '4.소비자보호'!BE:BE)</f>
        <v>11.25</v>
      </c>
      <c r="H61" s="35">
        <f>_xlfn.XLOOKUP(B61, '5.환경경영'!C:C, '5.환경경영'!AX:AX)</f>
        <v>6.5833333333333339</v>
      </c>
      <c r="I61" s="35">
        <f>_xlfn.XLOOKUP(B61, '6.직원만족'!C:C, '6.직원만족'!BS:BS)</f>
        <v>9.5515543570040791</v>
      </c>
      <c r="J61" s="162">
        <f t="shared" si="0"/>
        <v>74.139501080918649</v>
      </c>
    </row>
    <row r="62" spans="1:10" x14ac:dyDescent="0.6">
      <c r="A62" s="214" t="s">
        <v>1763</v>
      </c>
      <c r="B62" s="219" t="s">
        <v>1764</v>
      </c>
      <c r="C62" s="14" t="s">
        <v>202</v>
      </c>
      <c r="D62" s="35">
        <f>_xlfn.XLOOKUP(B62, '1.건전성'!C:C, '1.건전성'!CW:CW)</f>
        <v>18.059805934413895</v>
      </c>
      <c r="E62" s="35">
        <f>_xlfn.XLOOKUP(B62, '2.공정성'!C:C, '2.공정성'!BS:BS)</f>
        <v>19.5</v>
      </c>
      <c r="F62" s="35">
        <f>_xlfn.XLOOKUP(B62, '3.사회공헌'!C:C, '3.사회공헌'!BL:BL)</f>
        <v>8.1996489015252401</v>
      </c>
      <c r="G62" s="35">
        <f>_xlfn.XLOOKUP(B62, '4.소비자보호'!C:C, '4.소비자보호'!BE:BE)</f>
        <v>11.25</v>
      </c>
      <c r="H62" s="35">
        <f>_xlfn.XLOOKUP(B62, '5.환경경영'!C:C, '5.환경경영'!AX:AX)</f>
        <v>5.5833333333333339</v>
      </c>
      <c r="I62" s="35">
        <f>_xlfn.XLOOKUP(B62, '6.직원만족'!C:C, '6.직원만족'!BS:BS)</f>
        <v>11.544497869000372</v>
      </c>
      <c r="J62" s="162">
        <f t="shared" si="0"/>
        <v>74.137286038272848</v>
      </c>
    </row>
    <row r="63" spans="1:10" x14ac:dyDescent="0.6">
      <c r="A63" s="214" t="s">
        <v>467</v>
      </c>
      <c r="B63" s="219" t="s">
        <v>41</v>
      </c>
      <c r="C63" s="216" t="s">
        <v>203</v>
      </c>
      <c r="D63" s="35">
        <f>_xlfn.XLOOKUP(B63, '1.건전성'!C:C, '1.건전성'!CW:CW)</f>
        <v>20.292297860339033</v>
      </c>
      <c r="E63" s="35">
        <f>_xlfn.XLOOKUP(B63, '2.공정성'!C:C, '2.공정성'!BS:BS)</f>
        <v>18.25</v>
      </c>
      <c r="F63" s="35">
        <f>_xlfn.XLOOKUP(B63, '3.사회공헌'!C:C, '3.사회공헌'!BL:BL)</f>
        <v>7.6720992839924795</v>
      </c>
      <c r="G63" s="35">
        <f>_xlfn.XLOOKUP(B63, '4.소비자보호'!C:C, '4.소비자보호'!BE:BE)</f>
        <v>11.25</v>
      </c>
      <c r="H63" s="35">
        <f>_xlfn.XLOOKUP(B63, '5.환경경영'!C:C, '5.환경경영'!AX:AX)</f>
        <v>7.0833333333333339</v>
      </c>
      <c r="I63" s="35">
        <f>_xlfn.XLOOKUP(B63, '6.직원만족'!C:C, '6.직원만족'!BS:BS)</f>
        <v>9.5746561121441793</v>
      </c>
      <c r="J63" s="162">
        <f t="shared" si="0"/>
        <v>74.122386589809025</v>
      </c>
    </row>
    <row r="64" spans="1:10" x14ac:dyDescent="0.6">
      <c r="A64" s="214" t="s">
        <v>468</v>
      </c>
      <c r="B64" s="219" t="s">
        <v>527</v>
      </c>
      <c r="C64" s="216" t="s">
        <v>285</v>
      </c>
      <c r="D64" s="35">
        <f>_xlfn.XLOOKUP(B64, '1.건전성'!C:C, '1.건전성'!CW:CW)</f>
        <v>17.642020024791282</v>
      </c>
      <c r="E64" s="35">
        <f>_xlfn.XLOOKUP(B64, '2.공정성'!C:C, '2.공정성'!BS:BS)</f>
        <v>19.5</v>
      </c>
      <c r="F64" s="35">
        <f>_xlfn.XLOOKUP(B64, '3.사회공헌'!C:C, '3.사회공헌'!BL:BL)</f>
        <v>10.079362984673693</v>
      </c>
      <c r="G64" s="35">
        <f>_xlfn.XLOOKUP(B64, '4.소비자보호'!C:C, '4.소비자보호'!BE:BE)</f>
        <v>11.25</v>
      </c>
      <c r="H64" s="35">
        <f>_xlfn.XLOOKUP(B64, '5.환경경영'!C:C, '5.환경경영'!AX:AX)</f>
        <v>5.0833333333333339</v>
      </c>
      <c r="I64" s="35">
        <f>_xlfn.XLOOKUP(B64, '6.직원만족'!C:C, '6.직원만족'!BS:BS)</f>
        <v>10.500668639137995</v>
      </c>
      <c r="J64" s="162">
        <f t="shared" si="0"/>
        <v>74.055384981936299</v>
      </c>
    </row>
    <row r="65" spans="1:10" x14ac:dyDescent="0.6">
      <c r="A65" s="214" t="s">
        <v>1437</v>
      </c>
      <c r="B65" s="219" t="s">
        <v>1438</v>
      </c>
      <c r="C65" s="14" t="s">
        <v>191</v>
      </c>
      <c r="D65" s="35">
        <f>_xlfn.XLOOKUP(B65, '1.건전성'!C:C, '1.건전성'!CW:CW)</f>
        <v>18.273307341016697</v>
      </c>
      <c r="E65" s="35">
        <f>_xlfn.XLOOKUP(B65, '2.공정성'!C:C, '2.공정성'!BS:BS)</f>
        <v>15</v>
      </c>
      <c r="F65" s="35">
        <f>_xlfn.XLOOKUP(B65, '3.사회공헌'!C:C, '3.사회공헌'!BL:BL)</f>
        <v>12.529732134574116</v>
      </c>
      <c r="G65" s="35">
        <f>_xlfn.XLOOKUP(B65, '4.소비자보호'!C:C, '4.소비자보호'!BE:BE)</f>
        <v>11.25</v>
      </c>
      <c r="H65" s="35">
        <f>_xlfn.XLOOKUP(B65, '5.환경경영'!C:C, '5.환경경영'!AX:AX)</f>
        <v>7.0833333333333339</v>
      </c>
      <c r="I65" s="35">
        <f>_xlfn.XLOOKUP(B65, '6.직원만족'!C:C, '6.직원만족'!BS:BS)</f>
        <v>9.8629278048803961</v>
      </c>
      <c r="J65" s="162">
        <f t="shared" si="0"/>
        <v>73.99930061380455</v>
      </c>
    </row>
    <row r="66" spans="1:10" x14ac:dyDescent="0.6">
      <c r="A66" s="214" t="s">
        <v>1788</v>
      </c>
      <c r="B66" s="219" t="s">
        <v>1789</v>
      </c>
      <c r="C66" s="14" t="s">
        <v>202</v>
      </c>
      <c r="D66" s="35">
        <f>_xlfn.XLOOKUP(B66, '1.건전성'!C:C, '1.건전성'!CW:CW)</f>
        <v>16.549131516498232</v>
      </c>
      <c r="E66" s="35">
        <f>_xlfn.XLOOKUP(B66, '2.공정성'!C:C, '2.공정성'!BS:BS)</f>
        <v>19.25</v>
      </c>
      <c r="F66" s="35">
        <f>_xlfn.XLOOKUP(B66, '3.사회공헌'!C:C, '3.사회공헌'!BL:BL)</f>
        <v>7.9503639778533692</v>
      </c>
      <c r="G66" s="35">
        <f>_xlfn.XLOOKUP(B66, '4.소비자보호'!C:C, '4.소비자보호'!BE:BE)</f>
        <v>11.25</v>
      </c>
      <c r="H66" s="35">
        <f>_xlfn.XLOOKUP(B66, '5.환경경영'!C:C, '5.환경경영'!AX:AX)</f>
        <v>6.0833333333333339</v>
      </c>
      <c r="I66" s="35">
        <f>_xlfn.XLOOKUP(B66, '6.직원만족'!C:C, '6.직원만족'!BS:BS)</f>
        <v>12.877440290849252</v>
      </c>
      <c r="J66" s="162">
        <f t="shared" ref="J66:J129" si="1">SUM(D66:I66)</f>
        <v>73.9602691185342</v>
      </c>
    </row>
    <row r="67" spans="1:10" x14ac:dyDescent="0.6">
      <c r="A67" s="214" t="s">
        <v>55</v>
      </c>
      <c r="B67" s="219" t="s">
        <v>356</v>
      </c>
      <c r="C67" s="216" t="s">
        <v>203</v>
      </c>
      <c r="D67" s="35">
        <f>_xlfn.XLOOKUP(B67, '1.건전성'!C:C, '1.건전성'!CW:CW)</f>
        <v>20.344878124285191</v>
      </c>
      <c r="E67" s="35">
        <f>_xlfn.XLOOKUP(B67, '2.공정성'!C:C, '2.공정성'!BS:BS)</f>
        <v>19.5</v>
      </c>
      <c r="F67" s="35">
        <f>_xlfn.XLOOKUP(B67, '3.사회공헌'!C:C, '3.사회공헌'!BL:BL)</f>
        <v>7.476743420787118</v>
      </c>
      <c r="G67" s="35">
        <f>_xlfn.XLOOKUP(B67, '4.소비자보호'!C:C, '4.소비자보호'!BE:BE)</f>
        <v>11.25</v>
      </c>
      <c r="H67" s="35">
        <f>_xlfn.XLOOKUP(B67, '5.환경경영'!C:C, '5.환경경영'!AX:AX)</f>
        <v>5.0833333333333339</v>
      </c>
      <c r="I67" s="35">
        <f>_xlfn.XLOOKUP(B67, '6.직원만족'!C:C, '6.직원만족'!BS:BS)</f>
        <v>10.297265225076179</v>
      </c>
      <c r="J67" s="162">
        <f t="shared" si="1"/>
        <v>73.952220103481821</v>
      </c>
    </row>
    <row r="68" spans="1:10" x14ac:dyDescent="0.6">
      <c r="A68" s="214" t="s">
        <v>82</v>
      </c>
      <c r="B68" s="219" t="s">
        <v>427</v>
      </c>
      <c r="C68" s="14" t="s">
        <v>203</v>
      </c>
      <c r="D68" s="35">
        <f>_xlfn.XLOOKUP(B68, '1.건전성'!C:C, '1.건전성'!CW:CW)</f>
        <v>18.546958999530268</v>
      </c>
      <c r="E68" s="35">
        <f>_xlfn.XLOOKUP(B68, '2.공정성'!C:C, '2.공정성'!BS:BS)</f>
        <v>18.5</v>
      </c>
      <c r="F68" s="35">
        <f>_xlfn.XLOOKUP(B68, '3.사회공헌'!C:C, '3.사회공헌'!BL:BL)</f>
        <v>8.7581045189581204</v>
      </c>
      <c r="G68" s="35">
        <f>_xlfn.XLOOKUP(B68, '4.소비자보호'!C:C, '4.소비자보호'!BE:BE)</f>
        <v>11.25</v>
      </c>
      <c r="H68" s="35">
        <f>_xlfn.XLOOKUP(B68, '5.환경경영'!C:C, '5.환경경영'!AX:AX)</f>
        <v>6.0833333333333339</v>
      </c>
      <c r="I68" s="35">
        <f>_xlfn.XLOOKUP(B68, '6.직원만족'!C:C, '6.직원만족'!BS:BS)</f>
        <v>10.779835122857998</v>
      </c>
      <c r="J68" s="162">
        <f t="shared" si="1"/>
        <v>73.918231974679728</v>
      </c>
    </row>
    <row r="69" spans="1:10" x14ac:dyDescent="0.6">
      <c r="A69" s="214" t="s">
        <v>1557</v>
      </c>
      <c r="B69" s="219" t="s">
        <v>1558</v>
      </c>
      <c r="C69" s="14" t="s">
        <v>202</v>
      </c>
      <c r="D69" s="35">
        <f>_xlfn.XLOOKUP(B69, '1.건전성'!C:C, '1.건전성'!CW:CW)</f>
        <v>17.764910547492125</v>
      </c>
      <c r="E69" s="35">
        <f>_xlfn.XLOOKUP(B69, '2.공정성'!C:C, '2.공정성'!BS:BS)</f>
        <v>17.25</v>
      </c>
      <c r="F69" s="35">
        <f>_xlfn.XLOOKUP(B69, '3.사회공헌'!C:C, '3.사회공헌'!BL:BL)</f>
        <v>9.282468283304496</v>
      </c>
      <c r="G69" s="35">
        <f>_xlfn.XLOOKUP(B69, '4.소비자보호'!C:C, '4.소비자보호'!BE:BE)</f>
        <v>11.25</v>
      </c>
      <c r="H69" s="35">
        <f>_xlfn.XLOOKUP(B69, '5.환경경영'!C:C, '5.환경경영'!AX:AX)</f>
        <v>6.0833333333333339</v>
      </c>
      <c r="I69" s="35">
        <f>_xlfn.XLOOKUP(B69, '6.직원만족'!C:C, '6.직원만족'!BS:BS)</f>
        <v>12.27724092885032</v>
      </c>
      <c r="J69" s="162">
        <f t="shared" si="1"/>
        <v>73.907953092980279</v>
      </c>
    </row>
    <row r="70" spans="1:10" x14ac:dyDescent="0.6">
      <c r="A70" s="214" t="s">
        <v>29</v>
      </c>
      <c r="B70" s="219" t="s">
        <v>8</v>
      </c>
      <c r="C70" s="216" t="s">
        <v>203</v>
      </c>
      <c r="D70" s="35">
        <f>_xlfn.XLOOKUP(B70, '1.건전성'!C:C, '1.건전성'!CW:CW)</f>
        <v>17.899915411958325</v>
      </c>
      <c r="E70" s="35">
        <f>_xlfn.XLOOKUP(B70, '2.공정성'!C:C, '2.공정성'!BS:BS)</f>
        <v>17.75</v>
      </c>
      <c r="F70" s="35">
        <f>_xlfn.XLOOKUP(B70, '3.사회공헌'!C:C, '3.사회공헌'!BL:BL)</f>
        <v>8.4499999999999993</v>
      </c>
      <c r="G70" s="35">
        <f>_xlfn.XLOOKUP(B70, '4.소비자보호'!C:C, '4.소비자보호'!BE:BE)</f>
        <v>11.25</v>
      </c>
      <c r="H70" s="35">
        <f>_xlfn.XLOOKUP(B70, '5.환경경영'!C:C, '5.환경경영'!AX:AX)</f>
        <v>7.0833333333333339</v>
      </c>
      <c r="I70" s="35">
        <f>_xlfn.XLOOKUP(B70, '6.직원만족'!C:C, '6.직원만족'!BS:BS)</f>
        <v>11.441216582635002</v>
      </c>
      <c r="J70" s="162">
        <f t="shared" si="1"/>
        <v>73.874465327926657</v>
      </c>
    </row>
    <row r="71" spans="1:10" x14ac:dyDescent="0.6">
      <c r="A71" s="214" t="s">
        <v>689</v>
      </c>
      <c r="B71" s="219" t="s">
        <v>46</v>
      </c>
      <c r="C71" s="216" t="s">
        <v>203</v>
      </c>
      <c r="D71" s="35">
        <f>_xlfn.XLOOKUP(B71, '1.건전성'!C:C, '1.건전성'!CW:CW)</f>
        <v>19.070930052484172</v>
      </c>
      <c r="E71" s="35">
        <f>_xlfn.XLOOKUP(B71, '2.공정성'!C:C, '2.공정성'!BS:BS)</f>
        <v>19.5</v>
      </c>
      <c r="F71" s="35">
        <f>_xlfn.XLOOKUP(B71, '3.사회공헌'!C:C, '3.사회공헌'!BL:BL)</f>
        <v>7.7490851272876258</v>
      </c>
      <c r="G71" s="35">
        <f>_xlfn.XLOOKUP(B71, '4.소비자보호'!C:C, '4.소비자보호'!BE:BE)</f>
        <v>11.25</v>
      </c>
      <c r="H71" s="35">
        <f>_xlfn.XLOOKUP(B71, '5.환경경영'!C:C, '5.환경경영'!AX:AX)</f>
        <v>5.5833333333333339</v>
      </c>
      <c r="I71" s="35">
        <f>_xlfn.XLOOKUP(B71, '6.직원만족'!C:C, '6.직원만족'!BS:BS)</f>
        <v>10.669313698126901</v>
      </c>
      <c r="J71" s="162">
        <f t="shared" si="1"/>
        <v>73.822662211232043</v>
      </c>
    </row>
    <row r="72" spans="1:10" x14ac:dyDescent="0.6">
      <c r="A72" s="214" t="s">
        <v>318</v>
      </c>
      <c r="B72" s="219" t="s">
        <v>539</v>
      </c>
      <c r="C72" s="216" t="s">
        <v>285</v>
      </c>
      <c r="D72" s="35">
        <f>_xlfn.XLOOKUP(B72, '1.건전성'!C:C, '1.건전성'!CW:CW)</f>
        <v>19.525057235206315</v>
      </c>
      <c r="E72" s="35">
        <f>_xlfn.XLOOKUP(B72, '2.공정성'!C:C, '2.공정성'!BS:BS)</f>
        <v>17.5</v>
      </c>
      <c r="F72" s="35">
        <f>_xlfn.XLOOKUP(B72, '3.사회공헌'!C:C, '3.사회공헌'!BL:BL)</f>
        <v>9.6869453018403302</v>
      </c>
      <c r="G72" s="35">
        <f>_xlfn.XLOOKUP(B72, '4.소비자보호'!C:C, '4.소비자보호'!BE:BE)</f>
        <v>12</v>
      </c>
      <c r="H72" s="35">
        <f>_xlfn.XLOOKUP(B72, '5.환경경영'!C:C, '5.환경경영'!AX:AX)</f>
        <v>6.5833333333333339</v>
      </c>
      <c r="I72" s="35">
        <f>_xlfn.XLOOKUP(B72, '6.직원만족'!C:C, '6.직원만족'!BS:BS)</f>
        <v>8.5090579481882784</v>
      </c>
      <c r="J72" s="162">
        <f t="shared" si="1"/>
        <v>73.804393818568258</v>
      </c>
    </row>
    <row r="73" spans="1:10" x14ac:dyDescent="0.6">
      <c r="A73" s="214" t="s">
        <v>805</v>
      </c>
      <c r="B73" s="219" t="s">
        <v>315</v>
      </c>
      <c r="C73" s="216" t="s">
        <v>203</v>
      </c>
      <c r="D73" s="35">
        <f>_xlfn.XLOOKUP(B73, '1.건전성'!C:C, '1.건전성'!CW:CW)</f>
        <v>18.423859408900555</v>
      </c>
      <c r="E73" s="35">
        <f>_xlfn.XLOOKUP(B73, '2.공정성'!C:C, '2.공정성'!BS:BS)</f>
        <v>19.5</v>
      </c>
      <c r="F73" s="35">
        <f>_xlfn.XLOOKUP(B73, '3.사회공헌'!C:C, '3.사회공헌'!BL:BL)</f>
        <v>6.7235328445517721</v>
      </c>
      <c r="G73" s="35">
        <f>_xlfn.XLOOKUP(B73, '4.소비자보호'!C:C, '4.소비자보호'!BE:BE)</f>
        <v>11.25</v>
      </c>
      <c r="H73" s="35">
        <f>_xlfn.XLOOKUP(B73, '5.환경경영'!C:C, '5.환경경영'!AX:AX)</f>
        <v>7.3333333333333339</v>
      </c>
      <c r="I73" s="35">
        <f>_xlfn.XLOOKUP(B73, '6.직원만족'!C:C, '6.직원만족'!BS:BS)</f>
        <v>10.522150033785746</v>
      </c>
      <c r="J73" s="162">
        <f t="shared" si="1"/>
        <v>73.752875620571402</v>
      </c>
    </row>
    <row r="74" spans="1:10" x14ac:dyDescent="0.6">
      <c r="A74" s="214" t="s">
        <v>1639</v>
      </c>
      <c r="B74" s="219" t="s">
        <v>873</v>
      </c>
      <c r="C74" s="216" t="s">
        <v>203</v>
      </c>
      <c r="D74" s="35">
        <f>_xlfn.XLOOKUP(B74, '1.건전성'!C:C, '1.건전성'!CW:CW)</f>
        <v>18.351718496535586</v>
      </c>
      <c r="E74" s="35">
        <f>_xlfn.XLOOKUP(B74, '2.공정성'!C:C, '2.공정성'!BS:BS)</f>
        <v>19.25</v>
      </c>
      <c r="F74" s="35">
        <f>_xlfn.XLOOKUP(B74, '3.사회공헌'!C:C, '3.사회공헌'!BL:BL)</f>
        <v>7.6942842326585428</v>
      </c>
      <c r="G74" s="35">
        <f>_xlfn.XLOOKUP(B74, '4.소비자보호'!C:C, '4.소비자보호'!BE:BE)</f>
        <v>11.25</v>
      </c>
      <c r="H74" s="35">
        <f>_xlfn.XLOOKUP(B74, '5.환경경영'!C:C, '5.환경경영'!AX:AX)</f>
        <v>5.5833333333333339</v>
      </c>
      <c r="I74" s="35">
        <f>_xlfn.XLOOKUP(B74, '6.직원만족'!C:C, '6.직원만족'!BS:BS)</f>
        <v>11.567863766953016</v>
      </c>
      <c r="J74" s="162">
        <f t="shared" si="1"/>
        <v>73.697199829480482</v>
      </c>
    </row>
    <row r="75" spans="1:10" x14ac:dyDescent="0.6">
      <c r="A75" s="214" t="s">
        <v>1605</v>
      </c>
      <c r="B75" s="219" t="s">
        <v>1606</v>
      </c>
      <c r="C75" s="14" t="s">
        <v>202</v>
      </c>
      <c r="D75" s="35">
        <f>_xlfn.XLOOKUP(B75, '1.건전성'!C:C, '1.건전성'!CW:CW)</f>
        <v>19.951339541748428</v>
      </c>
      <c r="E75" s="35">
        <f>_xlfn.XLOOKUP(B75, '2.공정성'!C:C, '2.공정성'!BS:BS)</f>
        <v>16.5</v>
      </c>
      <c r="F75" s="35">
        <f>_xlfn.XLOOKUP(B75, '3.사회공헌'!C:C, '3.사회공헌'!BL:BL)</f>
        <v>8.4419748114291657</v>
      </c>
      <c r="G75" s="35">
        <f>_xlfn.XLOOKUP(B75, '4.소비자보호'!C:C, '4.소비자보호'!BE:BE)</f>
        <v>11.25</v>
      </c>
      <c r="H75" s="35">
        <f>_xlfn.XLOOKUP(B75, '5.환경경영'!C:C, '5.환경경영'!AX:AX)</f>
        <v>6.8333333333333339</v>
      </c>
      <c r="I75" s="35">
        <f>_xlfn.XLOOKUP(B75, '6.직원만족'!C:C, '6.직원만족'!BS:BS)</f>
        <v>10.715336844354416</v>
      </c>
      <c r="J75" s="162">
        <f t="shared" si="1"/>
        <v>73.691984530865341</v>
      </c>
    </row>
    <row r="76" spans="1:10" x14ac:dyDescent="0.6">
      <c r="A76" s="214" t="s">
        <v>352</v>
      </c>
      <c r="B76" s="219" t="s">
        <v>304</v>
      </c>
      <c r="C76" s="216" t="s">
        <v>191</v>
      </c>
      <c r="D76" s="35">
        <f>_xlfn.XLOOKUP(B76, '1.건전성'!C:C, '1.건전성'!CW:CW)</f>
        <v>19.527926740966837</v>
      </c>
      <c r="E76" s="35">
        <f>_xlfn.XLOOKUP(B76, '2.공정성'!C:C, '2.공정성'!BS:BS)</f>
        <v>19.25</v>
      </c>
      <c r="F76" s="35">
        <f>_xlfn.XLOOKUP(B76, '3.사회공헌'!C:C, '3.사회공헌'!BL:BL)</f>
        <v>6.8717943338388361</v>
      </c>
      <c r="G76" s="35">
        <f>_xlfn.XLOOKUP(B76, '4.소비자보호'!C:C, '4.소비자보호'!BE:BE)</f>
        <v>11.25</v>
      </c>
      <c r="H76" s="35">
        <f>_xlfn.XLOOKUP(B76, '5.환경경영'!C:C, '5.환경경영'!AX:AX)</f>
        <v>6.8333333333333339</v>
      </c>
      <c r="I76" s="35">
        <f>_xlfn.XLOOKUP(B76, '6.직원만족'!C:C, '6.직원만족'!BS:BS)</f>
        <v>9.9509422113866286</v>
      </c>
      <c r="J76" s="162">
        <f t="shared" si="1"/>
        <v>73.68399661952563</v>
      </c>
    </row>
    <row r="77" spans="1:10" x14ac:dyDescent="0.6">
      <c r="A77" s="214" t="s">
        <v>935</v>
      </c>
      <c r="B77" s="219" t="s">
        <v>463</v>
      </c>
      <c r="C77" s="216" t="s">
        <v>202</v>
      </c>
      <c r="D77" s="35">
        <f>_xlfn.XLOOKUP(B77, '1.건전성'!C:C, '1.건전성'!CW:CW)</f>
        <v>19.992935885870075</v>
      </c>
      <c r="E77" s="35">
        <f>_xlfn.XLOOKUP(B77, '2.공정성'!C:C, '2.공정성'!BS:BS)</f>
        <v>19.25</v>
      </c>
      <c r="F77" s="35">
        <f>_xlfn.XLOOKUP(B77, '3.사회공헌'!C:C, '3.사회공헌'!BL:BL)</f>
        <v>6.0459167728100285</v>
      </c>
      <c r="G77" s="35">
        <f>_xlfn.XLOOKUP(B77, '4.소비자보호'!C:C, '4.소비자보호'!BE:BE)</f>
        <v>11.25</v>
      </c>
      <c r="H77" s="35">
        <f>_xlfn.XLOOKUP(B77, '5.환경경영'!C:C, '5.환경경영'!AX:AX)</f>
        <v>6.0833333333333339</v>
      </c>
      <c r="I77" s="35">
        <f>_xlfn.XLOOKUP(B77, '6.직원만족'!C:C, '6.직원만족'!BS:BS)</f>
        <v>11.039541182175538</v>
      </c>
      <c r="J77" s="162">
        <f t="shared" si="1"/>
        <v>73.661727174188982</v>
      </c>
    </row>
    <row r="78" spans="1:10" x14ac:dyDescent="0.6">
      <c r="A78" s="214" t="s">
        <v>1725</v>
      </c>
      <c r="B78" s="219" t="s">
        <v>351</v>
      </c>
      <c r="C78" s="216" t="s">
        <v>191</v>
      </c>
      <c r="D78" s="35">
        <f>_xlfn.XLOOKUP(B78, '1.건전성'!C:C, '1.건전성'!CW:CW)</f>
        <v>19.402302377129772</v>
      </c>
      <c r="E78" s="35">
        <f>_xlfn.XLOOKUP(B78, '2.공정성'!C:C, '2.공정성'!BS:BS)</f>
        <v>18.5</v>
      </c>
      <c r="F78" s="35">
        <f>_xlfn.XLOOKUP(B78, '3.사회공헌'!C:C, '3.사회공헌'!BL:BL)</f>
        <v>9.4004770327214118</v>
      </c>
      <c r="G78" s="35">
        <f>_xlfn.XLOOKUP(B78, '4.소비자보호'!C:C, '4.소비자보호'!BE:BE)</f>
        <v>11.25</v>
      </c>
      <c r="H78" s="35">
        <f>_xlfn.XLOOKUP(B78, '5.환경경영'!C:C, '5.환경경영'!AX:AX)</f>
        <v>6.0833333333333339</v>
      </c>
      <c r="I78" s="35">
        <f>_xlfn.XLOOKUP(B78, '6.직원만족'!C:C, '6.직원만족'!BS:BS)</f>
        <v>8.9999208794528407</v>
      </c>
      <c r="J78" s="162">
        <f t="shared" si="1"/>
        <v>73.636033622637356</v>
      </c>
    </row>
    <row r="79" spans="1:10" x14ac:dyDescent="0.6">
      <c r="A79" s="214" t="s">
        <v>740</v>
      </c>
      <c r="B79" s="219" t="s">
        <v>455</v>
      </c>
      <c r="C79" s="216" t="s">
        <v>191</v>
      </c>
      <c r="D79" s="35">
        <f>_xlfn.XLOOKUP(B79, '1.건전성'!C:C, '1.건전성'!CW:CW)</f>
        <v>18.013096014005509</v>
      </c>
      <c r="E79" s="35">
        <f>_xlfn.XLOOKUP(B79, '2.공정성'!C:C, '2.공정성'!BS:BS)</f>
        <v>19.25</v>
      </c>
      <c r="F79" s="35">
        <f>_xlfn.XLOOKUP(B79, '3.사회공헌'!C:C, '3.사회공헌'!BL:BL)</f>
        <v>8.7405295719965661</v>
      </c>
      <c r="G79" s="35">
        <f>_xlfn.XLOOKUP(B79, '4.소비자보호'!C:C, '4.소비자보호'!BE:BE)</f>
        <v>11.25</v>
      </c>
      <c r="H79" s="35">
        <f>_xlfn.XLOOKUP(B79, '5.환경경영'!C:C, '5.환경경영'!AX:AX)</f>
        <v>5.0833333333333339</v>
      </c>
      <c r="I79" s="35">
        <f>_xlfn.XLOOKUP(B79, '6.직원만족'!C:C, '6.직원만족'!BS:BS)</f>
        <v>11.239128857431067</v>
      </c>
      <c r="J79" s="162">
        <f t="shared" si="1"/>
        <v>73.576087776766485</v>
      </c>
    </row>
    <row r="80" spans="1:10" x14ac:dyDescent="0.6">
      <c r="A80" s="214" t="s">
        <v>938</v>
      </c>
      <c r="B80" s="219" t="s">
        <v>52</v>
      </c>
      <c r="C80" s="216" t="s">
        <v>203</v>
      </c>
      <c r="D80" s="35">
        <f>_xlfn.XLOOKUP(B80, '1.건전성'!C:C, '1.건전성'!CW:CW)</f>
        <v>19.774536435337261</v>
      </c>
      <c r="E80" s="35">
        <f>_xlfn.XLOOKUP(B80, '2.공정성'!C:C, '2.공정성'!BS:BS)</f>
        <v>19.5</v>
      </c>
      <c r="F80" s="35">
        <f>_xlfn.XLOOKUP(B80, '3.사회공헌'!C:C, '3.사회공헌'!BL:BL)</f>
        <v>4.7434708659812639</v>
      </c>
      <c r="G80" s="35">
        <f>_xlfn.XLOOKUP(B80, '4.소비자보호'!C:C, '4.소비자보호'!BE:BE)</f>
        <v>11.25</v>
      </c>
      <c r="H80" s="35">
        <f>_xlfn.XLOOKUP(B80, '5.환경경영'!C:C, '5.환경경영'!AX:AX)</f>
        <v>6.0833333333333339</v>
      </c>
      <c r="I80" s="35">
        <f>_xlfn.XLOOKUP(B80, '6.직원만족'!C:C, '6.직원만족'!BS:BS)</f>
        <v>12.211868150864756</v>
      </c>
      <c r="J80" s="162">
        <f t="shared" si="1"/>
        <v>73.563208785516622</v>
      </c>
    </row>
    <row r="81" spans="1:10" x14ac:dyDescent="0.6">
      <c r="A81" s="214" t="s">
        <v>707</v>
      </c>
      <c r="B81" s="219" t="s">
        <v>4</v>
      </c>
      <c r="C81" s="216" t="s">
        <v>285</v>
      </c>
      <c r="D81" s="35">
        <f>_xlfn.XLOOKUP(B81, '1.건전성'!C:C, '1.건전성'!CW:CW)</f>
        <v>19.817129404406192</v>
      </c>
      <c r="E81" s="35">
        <f>_xlfn.XLOOKUP(B81, '2.공정성'!C:C, '2.공정성'!BS:BS)</f>
        <v>16.5</v>
      </c>
      <c r="F81" s="35">
        <f>_xlfn.XLOOKUP(B81, '3.사회공헌'!C:C, '3.사회공헌'!BL:BL)</f>
        <v>8.9676647999922317</v>
      </c>
      <c r="G81" s="35">
        <f>_xlfn.XLOOKUP(B81, '4.소비자보호'!C:C, '4.소비자보호'!BE:BE)</f>
        <v>11.25</v>
      </c>
      <c r="H81" s="35">
        <f>_xlfn.XLOOKUP(B81, '5.환경경영'!C:C, '5.환경경영'!AX:AX)</f>
        <v>7.3333333333333339</v>
      </c>
      <c r="I81" s="35">
        <f>_xlfn.XLOOKUP(B81, '6.직원만족'!C:C, '6.직원만족'!BS:BS)</f>
        <v>9.6751496007673996</v>
      </c>
      <c r="J81" s="162">
        <f t="shared" si="1"/>
        <v>73.543277138499164</v>
      </c>
    </row>
    <row r="82" spans="1:10" x14ac:dyDescent="0.6">
      <c r="A82" s="214" t="s">
        <v>891</v>
      </c>
      <c r="B82" s="219" t="s">
        <v>336</v>
      </c>
      <c r="C82" s="221" t="s">
        <v>88</v>
      </c>
      <c r="D82" s="35">
        <f>_xlfn.XLOOKUP(B82, '1.건전성'!C:C, '1.건전성'!CW:CW)</f>
        <v>29.622175077983769</v>
      </c>
      <c r="E82" s="35">
        <f>_xlfn.XLOOKUP(B82, '2.공정성'!C:C, '2.공정성'!BS:BS)</f>
        <v>16.5</v>
      </c>
      <c r="F82" s="35">
        <f>_xlfn.XLOOKUP(B82, '3.사회공헌'!C:C, '3.사회공헌'!BL:BL)</f>
        <v>8.837709451191003</v>
      </c>
      <c r="G82" s="35">
        <f>_xlfn.XLOOKUP(B82, '4.소비자보호'!C:C, '4.소비자보호'!BE:BE)</f>
        <v>12.05</v>
      </c>
      <c r="H82" s="35">
        <f>_xlfn.XLOOKUP(B82, '5.환경경영'!C:C, '5.환경경영'!AX:AX)</f>
        <v>0</v>
      </c>
      <c r="I82" s="35">
        <f>_xlfn.XLOOKUP(B82, '6.직원만족'!C:C, '6.직원만족'!BS:BS)</f>
        <v>6.4296996215316087</v>
      </c>
      <c r="J82" s="162">
        <f t="shared" si="1"/>
        <v>73.439584150706381</v>
      </c>
    </row>
    <row r="83" spans="1:10" x14ac:dyDescent="0.6">
      <c r="A83" s="214" t="s">
        <v>767</v>
      </c>
      <c r="B83" s="219" t="s">
        <v>297</v>
      </c>
      <c r="C83" s="216" t="s">
        <v>202</v>
      </c>
      <c r="D83" s="35">
        <f>_xlfn.XLOOKUP(B83, '1.건전성'!C:C, '1.건전성'!CW:CW)</f>
        <v>19.652234017726546</v>
      </c>
      <c r="E83" s="35">
        <f>_xlfn.XLOOKUP(B83, '2.공정성'!C:C, '2.공정성'!BS:BS)</f>
        <v>17</v>
      </c>
      <c r="F83" s="35">
        <f>_xlfn.XLOOKUP(B83, '3.사회공헌'!C:C, '3.사회공헌'!BL:BL)</f>
        <v>9.3714095157099759</v>
      </c>
      <c r="G83" s="35">
        <f>_xlfn.XLOOKUP(B83, '4.소비자보호'!C:C, '4.소비자보호'!BE:BE)</f>
        <v>11.25</v>
      </c>
      <c r="H83" s="35">
        <f>_xlfn.XLOOKUP(B83, '5.환경경영'!C:C, '5.환경경영'!AX:AX)</f>
        <v>5.0833333333333339</v>
      </c>
      <c r="I83" s="35">
        <f>_xlfn.XLOOKUP(B83, '6.직원만족'!C:C, '6.직원만족'!BS:BS)</f>
        <v>11.058837777204568</v>
      </c>
      <c r="J83" s="162">
        <f t="shared" si="1"/>
        <v>73.415814643974429</v>
      </c>
    </row>
    <row r="84" spans="1:10" x14ac:dyDescent="0.6">
      <c r="A84" s="214" t="s">
        <v>307</v>
      </c>
      <c r="B84" s="219" t="s">
        <v>68</v>
      </c>
      <c r="C84" s="216" t="s">
        <v>203</v>
      </c>
      <c r="D84" s="35">
        <f>_xlfn.XLOOKUP(B84, '1.건전성'!C:C, '1.건전성'!CW:CW)</f>
        <v>18.428439018739091</v>
      </c>
      <c r="E84" s="35">
        <f>_xlfn.XLOOKUP(B84, '2.공정성'!C:C, '2.공정성'!BS:BS)</f>
        <v>19.25</v>
      </c>
      <c r="F84" s="35">
        <f>_xlfn.XLOOKUP(B84, '3.사회공헌'!C:C, '3.사회공헌'!BL:BL)</f>
        <v>7.8865494707701602</v>
      </c>
      <c r="G84" s="35">
        <f>_xlfn.XLOOKUP(B84, '4.소비자보호'!C:C, '4.소비자보호'!BE:BE)</f>
        <v>11.25</v>
      </c>
      <c r="H84" s="35">
        <f>_xlfn.XLOOKUP(B84, '5.환경경영'!C:C, '5.환경경영'!AX:AX)</f>
        <v>5.0833333333333339</v>
      </c>
      <c r="I84" s="35">
        <f>_xlfn.XLOOKUP(B84, '6.직원만족'!C:C, '6.직원만족'!BS:BS)</f>
        <v>11.452491857941558</v>
      </c>
      <c r="J84" s="162">
        <f t="shared" si="1"/>
        <v>73.350813680784142</v>
      </c>
    </row>
    <row r="85" spans="1:10" x14ac:dyDescent="0.6">
      <c r="A85" s="214" t="s">
        <v>182</v>
      </c>
      <c r="B85" s="219" t="s">
        <v>345</v>
      </c>
      <c r="C85" s="216" t="s">
        <v>191</v>
      </c>
      <c r="D85" s="35">
        <f>_xlfn.XLOOKUP(B85, '1.건전성'!C:C, '1.건전성'!CW:CW)</f>
        <v>17.772056736445457</v>
      </c>
      <c r="E85" s="35">
        <f>_xlfn.XLOOKUP(B85, '2.공정성'!C:C, '2.공정성'!BS:BS)</f>
        <v>19.5</v>
      </c>
      <c r="F85" s="35">
        <f>_xlfn.XLOOKUP(B85, '3.사회공헌'!C:C, '3.사회공헌'!BL:BL)</f>
        <v>6.3507257857575485</v>
      </c>
      <c r="G85" s="35">
        <f>_xlfn.XLOOKUP(B85, '4.소비자보호'!C:C, '4.소비자보호'!BE:BE)</f>
        <v>11.25</v>
      </c>
      <c r="H85" s="35">
        <f>_xlfn.XLOOKUP(B85, '5.환경경영'!C:C, '5.환경경영'!AX:AX)</f>
        <v>6.0833333333333339</v>
      </c>
      <c r="I85" s="35">
        <f>_xlfn.XLOOKUP(B85, '6.직원만족'!C:C, '6.직원만족'!BS:BS)</f>
        <v>12.369012542006486</v>
      </c>
      <c r="J85" s="162">
        <f t="shared" si="1"/>
        <v>73.325128397542827</v>
      </c>
    </row>
    <row r="86" spans="1:10" x14ac:dyDescent="0.6">
      <c r="A86" s="214" t="s">
        <v>762</v>
      </c>
      <c r="B86" s="219" t="s">
        <v>103</v>
      </c>
      <c r="C86" s="216" t="s">
        <v>191</v>
      </c>
      <c r="D86" s="35">
        <f>_xlfn.XLOOKUP(B86, '1.건전성'!C:C, '1.건전성'!CW:CW)</f>
        <v>17.969485292633138</v>
      </c>
      <c r="E86" s="35">
        <f>_xlfn.XLOOKUP(B86, '2.공정성'!C:C, '2.공정성'!BS:BS)</f>
        <v>19.25</v>
      </c>
      <c r="F86" s="35">
        <f>_xlfn.XLOOKUP(B86, '3.사회공헌'!C:C, '3.사회공헌'!BL:BL)</f>
        <v>11.485372449759996</v>
      </c>
      <c r="G86" s="35">
        <f>_xlfn.XLOOKUP(B86, '4.소비자보호'!C:C, '4.소비자보호'!BE:BE)</f>
        <v>8.0500000000000007</v>
      </c>
      <c r="H86" s="35">
        <f>_xlfn.XLOOKUP(B86, '5.환경경영'!C:C, '5.환경경영'!AX:AX)</f>
        <v>5.0833333333333339</v>
      </c>
      <c r="I86" s="35">
        <f>_xlfn.XLOOKUP(B86, '6.직원만족'!C:C, '6.직원만족'!BS:BS)</f>
        <v>11.47617217961694</v>
      </c>
      <c r="J86" s="162">
        <f t="shared" si="1"/>
        <v>73.314363255343409</v>
      </c>
    </row>
    <row r="87" spans="1:10" x14ac:dyDescent="0.6">
      <c r="A87" s="214" t="s">
        <v>9</v>
      </c>
      <c r="B87" s="219" t="s">
        <v>505</v>
      </c>
      <c r="C87" s="216" t="s">
        <v>285</v>
      </c>
      <c r="D87" s="35">
        <f>_xlfn.XLOOKUP(B87, '1.건전성'!C:C, '1.건전성'!CW:CW)</f>
        <v>19.054537370294263</v>
      </c>
      <c r="E87" s="35">
        <f>_xlfn.XLOOKUP(B87, '2.공정성'!C:C, '2.공정성'!BS:BS)</f>
        <v>19.25</v>
      </c>
      <c r="F87" s="35">
        <f>_xlfn.XLOOKUP(B87, '3.사회공헌'!C:C, '3.사회공헌'!BL:BL)</f>
        <v>9.660717451216895</v>
      </c>
      <c r="G87" s="35">
        <f>_xlfn.XLOOKUP(B87, '4.소비자보호'!C:C, '4.소비자보호'!BE:BE)</f>
        <v>10.25</v>
      </c>
      <c r="H87" s="35">
        <f>_xlfn.XLOOKUP(B87, '5.환경경영'!C:C, '5.환경경영'!AX:AX)</f>
        <v>5.416666666666667</v>
      </c>
      <c r="I87" s="35">
        <f>_xlfn.XLOOKUP(B87, '6.직원만족'!C:C, '6.직원만족'!BS:BS)</f>
        <v>9.676270811924633</v>
      </c>
      <c r="J87" s="162">
        <f t="shared" si="1"/>
        <v>73.308192300102462</v>
      </c>
    </row>
    <row r="88" spans="1:10" x14ac:dyDescent="0.6">
      <c r="A88" s="214" t="s">
        <v>906</v>
      </c>
      <c r="B88" s="219" t="s">
        <v>300</v>
      </c>
      <c r="C88" s="216" t="s">
        <v>191</v>
      </c>
      <c r="D88" s="35">
        <f>_xlfn.XLOOKUP(B88, '1.건전성'!C:C, '1.건전성'!CW:CW)</f>
        <v>19.493869174463047</v>
      </c>
      <c r="E88" s="35">
        <f>_xlfn.XLOOKUP(B88, '2.공정성'!C:C, '2.공정성'!BS:BS)</f>
        <v>17</v>
      </c>
      <c r="F88" s="35">
        <f>_xlfn.XLOOKUP(B88, '3.사회공헌'!C:C, '3.사회공헌'!BL:BL)</f>
        <v>8.6680064195516646</v>
      </c>
      <c r="G88" s="35">
        <f>_xlfn.XLOOKUP(B88, '4.소비자보호'!C:C, '4.소비자보호'!BE:BE)</f>
        <v>11.25</v>
      </c>
      <c r="H88" s="35">
        <f>_xlfn.XLOOKUP(B88, '5.환경경영'!C:C, '5.환경경영'!AX:AX)</f>
        <v>5.5833333333333339</v>
      </c>
      <c r="I88" s="35">
        <f>_xlfn.XLOOKUP(B88, '6.직원만족'!C:C, '6.직원만족'!BS:BS)</f>
        <v>11.240323855617886</v>
      </c>
      <c r="J88" s="162">
        <f t="shared" si="1"/>
        <v>73.235532782965933</v>
      </c>
    </row>
    <row r="89" spans="1:10" x14ac:dyDescent="0.6">
      <c r="A89" s="214" t="s">
        <v>15</v>
      </c>
      <c r="B89" s="219" t="s">
        <v>71</v>
      </c>
      <c r="C89" s="216" t="s">
        <v>203</v>
      </c>
      <c r="D89" s="35">
        <f>_xlfn.XLOOKUP(B89, '1.건전성'!C:C, '1.건전성'!CW:CW)</f>
        <v>18.733749742619604</v>
      </c>
      <c r="E89" s="35">
        <f>_xlfn.XLOOKUP(B89, '2.공정성'!C:C, '2.공정성'!BS:BS)</f>
        <v>19.25</v>
      </c>
      <c r="F89" s="35">
        <f>_xlfn.XLOOKUP(B89, '3.사회공헌'!C:C, '3.사회공헌'!BL:BL)</f>
        <v>5.3710708436471064</v>
      </c>
      <c r="G89" s="35">
        <f>_xlfn.XLOOKUP(B89, '4.소비자보호'!C:C, '4.소비자보호'!BE:BE)</f>
        <v>11.25</v>
      </c>
      <c r="H89" s="35">
        <f>_xlfn.XLOOKUP(B89, '5.환경경영'!C:C, '5.환경경영'!AX:AX)</f>
        <v>6.5833333333333339</v>
      </c>
      <c r="I89" s="35">
        <f>_xlfn.XLOOKUP(B89, '6.직원만족'!C:C, '6.직원만족'!BS:BS)</f>
        <v>12.044817873543161</v>
      </c>
      <c r="J89" s="162">
        <f t="shared" si="1"/>
        <v>73.232971793143207</v>
      </c>
    </row>
    <row r="90" spans="1:10" x14ac:dyDescent="0.6">
      <c r="A90" s="214" t="s">
        <v>454</v>
      </c>
      <c r="B90" s="219" t="s">
        <v>84</v>
      </c>
      <c r="C90" s="216" t="s">
        <v>285</v>
      </c>
      <c r="D90" s="35">
        <f>_xlfn.XLOOKUP(B90, '1.건전성'!C:C, '1.건전성'!CW:CW)</f>
        <v>20.270053817242236</v>
      </c>
      <c r="E90" s="35">
        <f>_xlfn.XLOOKUP(B90, '2.공정성'!C:C, '2.공정성'!BS:BS)</f>
        <v>16.75</v>
      </c>
      <c r="F90" s="35">
        <f>_xlfn.XLOOKUP(B90, '3.사회공헌'!C:C, '3.사회공헌'!BL:BL)</f>
        <v>9.3054988380940973</v>
      </c>
      <c r="G90" s="35">
        <f>_xlfn.XLOOKUP(B90, '4.소비자보호'!C:C, '4.소비자보호'!BE:BE)</f>
        <v>11.25</v>
      </c>
      <c r="H90" s="35">
        <f>_xlfn.XLOOKUP(B90, '5.환경경영'!C:C, '5.환경경영'!AX:AX)</f>
        <v>7.3333333333333339</v>
      </c>
      <c r="I90" s="35">
        <f>_xlfn.XLOOKUP(B90, '6.직원만족'!C:C, '6.직원만족'!BS:BS)</f>
        <v>8.1853542845202973</v>
      </c>
      <c r="J90" s="162">
        <f t="shared" si="1"/>
        <v>73.094240273189968</v>
      </c>
    </row>
    <row r="91" spans="1:10" x14ac:dyDescent="0.6">
      <c r="A91" s="214" t="s">
        <v>296</v>
      </c>
      <c r="B91" s="219" t="s">
        <v>459</v>
      </c>
      <c r="C91" s="216" t="s">
        <v>285</v>
      </c>
      <c r="D91" s="35">
        <f>_xlfn.XLOOKUP(B91, '1.건전성'!C:C, '1.건전성'!CW:CW)</f>
        <v>16.585044473608818</v>
      </c>
      <c r="E91" s="35">
        <f>_xlfn.XLOOKUP(B91, '2.공정성'!C:C, '2.공정성'!BS:BS)</f>
        <v>17.5</v>
      </c>
      <c r="F91" s="35">
        <f>_xlfn.XLOOKUP(B91, '3.사회공헌'!C:C, '3.사회공헌'!BL:BL)</f>
        <v>11.109604032654888</v>
      </c>
      <c r="G91" s="35">
        <f>_xlfn.XLOOKUP(B91, '4.소비자보호'!C:C, '4.소비자보호'!BE:BE)</f>
        <v>11.75</v>
      </c>
      <c r="H91" s="35">
        <f>_xlfn.XLOOKUP(B91, '5.환경경영'!C:C, '5.환경경영'!AX:AX)</f>
        <v>5.0833333333333339</v>
      </c>
      <c r="I91" s="35">
        <f>_xlfn.XLOOKUP(B91, '6.직원만족'!C:C, '6.직원만족'!BS:BS)</f>
        <v>11.011223616527678</v>
      </c>
      <c r="J91" s="162">
        <f t="shared" si="1"/>
        <v>73.039205456124719</v>
      </c>
    </row>
    <row r="92" spans="1:10" x14ac:dyDescent="0.6">
      <c r="A92" s="214" t="s">
        <v>70</v>
      </c>
      <c r="B92" s="219" t="s">
        <v>328</v>
      </c>
      <c r="C92" s="216" t="s">
        <v>202</v>
      </c>
      <c r="D92" s="35">
        <f>_xlfn.XLOOKUP(B92, '1.건전성'!C:C, '1.건전성'!CW:CW)</f>
        <v>20.195899365144903</v>
      </c>
      <c r="E92" s="35">
        <f>_xlfn.XLOOKUP(B92, '2.공정성'!C:C, '2.공정성'!BS:BS)</f>
        <v>19.75</v>
      </c>
      <c r="F92" s="35">
        <f>_xlfn.XLOOKUP(B92, '3.사회공헌'!C:C, '3.사회공헌'!BL:BL)</f>
        <v>4.854566194068914</v>
      </c>
      <c r="G92" s="35">
        <f>_xlfn.XLOOKUP(B92, '4.소비자보호'!C:C, '4.소비자보호'!BE:BE)</f>
        <v>11.25</v>
      </c>
      <c r="H92" s="35">
        <f>_xlfn.XLOOKUP(B92, '5.환경경영'!C:C, '5.환경경영'!AX:AX)</f>
        <v>6.5833333333333339</v>
      </c>
      <c r="I92" s="35">
        <f>_xlfn.XLOOKUP(B92, '6.직원만족'!C:C, '6.직원만족'!BS:BS)</f>
        <v>10.36955515137552</v>
      </c>
      <c r="J92" s="162">
        <f t="shared" si="1"/>
        <v>73.00335404392267</v>
      </c>
    </row>
    <row r="93" spans="1:10" x14ac:dyDescent="0.6">
      <c r="A93" s="214" t="s">
        <v>22</v>
      </c>
      <c r="B93" s="219" t="s">
        <v>426</v>
      </c>
      <c r="C93" s="216" t="s">
        <v>191</v>
      </c>
      <c r="D93" s="35">
        <f>_xlfn.XLOOKUP(B93, '1.건전성'!C:C, '1.건전성'!CW:CW)</f>
        <v>17.523718099518369</v>
      </c>
      <c r="E93" s="35">
        <f>_xlfn.XLOOKUP(B93, '2.공정성'!C:C, '2.공정성'!BS:BS)</f>
        <v>19.5</v>
      </c>
      <c r="F93" s="35">
        <f>_xlfn.XLOOKUP(B93, '3.사회공헌'!C:C, '3.사회공헌'!BL:BL)</f>
        <v>8.2836345305968031</v>
      </c>
      <c r="G93" s="35">
        <f>_xlfn.XLOOKUP(B93, '4.소비자보호'!C:C, '4.소비자보호'!BE:BE)</f>
        <v>11.25</v>
      </c>
      <c r="H93" s="35">
        <f>_xlfn.XLOOKUP(B93, '5.환경경영'!C:C, '5.환경경영'!AX:AX)</f>
        <v>6.0833333333333339</v>
      </c>
      <c r="I93" s="35">
        <f>_xlfn.XLOOKUP(B93, '6.직원만족'!C:C, '6.직원만족'!BS:BS)</f>
        <v>10.266765974996195</v>
      </c>
      <c r="J93" s="162">
        <f t="shared" si="1"/>
        <v>72.907451938444709</v>
      </c>
    </row>
    <row r="94" spans="1:10" x14ac:dyDescent="0.6">
      <c r="A94" s="214" t="s">
        <v>1776</v>
      </c>
      <c r="B94" s="219" t="s">
        <v>53</v>
      </c>
      <c r="C94" s="221" t="s">
        <v>350</v>
      </c>
      <c r="D94" s="35">
        <f>_xlfn.XLOOKUP(B94, '1.건전성'!C:C, '1.건전성'!CW:CW)</f>
        <v>27.549027174697731</v>
      </c>
      <c r="E94" s="35">
        <f>_xlfn.XLOOKUP(B94, '2.공정성'!C:C, '2.공정성'!BS:BS)</f>
        <v>15.916666666666666</v>
      </c>
      <c r="F94" s="35">
        <f>_xlfn.XLOOKUP(B94, '3.사회공헌'!C:C, '3.사회공헌'!BL:BL)</f>
        <v>11.758866431149796</v>
      </c>
      <c r="G94" s="35">
        <f>_xlfn.XLOOKUP(B94, '4.소비자보호'!C:C, '4.소비자보호'!BE:BE)</f>
        <v>11.55</v>
      </c>
      <c r="H94" s="35">
        <f>_xlfn.XLOOKUP(B94, '5.환경경영'!C:C, '5.환경경영'!AX:AX)</f>
        <v>0</v>
      </c>
      <c r="I94" s="35">
        <f>_xlfn.XLOOKUP(B94, '6.직원만족'!C:C, '6.직원만족'!BS:BS)</f>
        <v>6.123352712739722</v>
      </c>
      <c r="J94" s="162">
        <f t="shared" si="1"/>
        <v>72.89791298525391</v>
      </c>
    </row>
    <row r="95" spans="1:10" x14ac:dyDescent="0.6">
      <c r="A95" s="214" t="s">
        <v>489</v>
      </c>
      <c r="B95" s="219" t="s">
        <v>474</v>
      </c>
      <c r="C95" s="216" t="s">
        <v>285</v>
      </c>
      <c r="D95" s="35">
        <f>_xlfn.XLOOKUP(B95, '1.건전성'!C:C, '1.건전성'!CW:CW)</f>
        <v>15.871806387863238</v>
      </c>
      <c r="E95" s="35">
        <f>_xlfn.XLOOKUP(B95, '2.공정성'!C:C, '2.공정성'!BS:BS)</f>
        <v>19.25</v>
      </c>
      <c r="F95" s="35">
        <f>_xlfn.XLOOKUP(B95, '3.사회공헌'!C:C, '3.사회공헌'!BL:BL)</f>
        <v>10.950728202005131</v>
      </c>
      <c r="G95" s="35">
        <f>_xlfn.XLOOKUP(B95, '4.소비자보호'!C:C, '4.소비자보호'!BE:BE)</f>
        <v>11.25</v>
      </c>
      <c r="H95" s="35">
        <f>_xlfn.XLOOKUP(B95, '5.환경경영'!C:C, '5.환경경영'!AX:AX)</f>
        <v>6.416666666666667</v>
      </c>
      <c r="I95" s="35">
        <f>_xlfn.XLOOKUP(B95, '6.직원만족'!C:C, '6.직원만족'!BS:BS)</f>
        <v>9.122245299995825</v>
      </c>
      <c r="J95" s="162">
        <f t="shared" si="1"/>
        <v>72.861446556530865</v>
      </c>
    </row>
    <row r="96" spans="1:10" x14ac:dyDescent="0.6">
      <c r="A96" s="214" t="s">
        <v>878</v>
      </c>
      <c r="B96" s="219" t="s">
        <v>437</v>
      </c>
      <c r="C96" s="216" t="s">
        <v>203</v>
      </c>
      <c r="D96" s="35">
        <f>_xlfn.XLOOKUP(B96, '1.건전성'!C:C, '1.건전성'!CW:CW)</f>
        <v>17.939653077017716</v>
      </c>
      <c r="E96" s="35">
        <f>_xlfn.XLOOKUP(B96, '2.공정성'!C:C, '2.공정성'!BS:BS)</f>
        <v>19.25</v>
      </c>
      <c r="F96" s="35">
        <f>_xlfn.XLOOKUP(B96, '3.사회공헌'!C:C, '3.사회공헌'!BL:BL)</f>
        <v>6.3981020088060507</v>
      </c>
      <c r="G96" s="35">
        <f>_xlfn.XLOOKUP(B96, '4.소비자보호'!C:C, '4.소비자보호'!BE:BE)</f>
        <v>11.25</v>
      </c>
      <c r="H96" s="35">
        <f>_xlfn.XLOOKUP(B96, '5.환경경영'!C:C, '5.환경경영'!AX:AX)</f>
        <v>5.5833333333333339</v>
      </c>
      <c r="I96" s="35">
        <f>_xlfn.XLOOKUP(B96, '6.직원만족'!C:C, '6.직원만족'!BS:BS)</f>
        <v>12.425152828535525</v>
      </c>
      <c r="J96" s="162">
        <f t="shared" si="1"/>
        <v>72.846241247692632</v>
      </c>
    </row>
    <row r="97" spans="1:10" x14ac:dyDescent="0.6">
      <c r="A97" s="214" t="s">
        <v>899</v>
      </c>
      <c r="B97" s="219" t="s">
        <v>862</v>
      </c>
      <c r="C97" s="216" t="s">
        <v>191</v>
      </c>
      <c r="D97" s="35">
        <f>_xlfn.XLOOKUP(B97, '1.건전성'!C:C, '1.건전성'!CW:CW)</f>
        <v>16.362531338048697</v>
      </c>
      <c r="E97" s="35">
        <f>_xlfn.XLOOKUP(B97, '2.공정성'!C:C, '2.공정성'!BS:BS)</f>
        <v>18.75</v>
      </c>
      <c r="F97" s="35">
        <f>_xlfn.XLOOKUP(B97, '3.사회공헌'!C:C, '3.사회공헌'!BL:BL)</f>
        <v>7.9719001652461827</v>
      </c>
      <c r="G97" s="35">
        <f>_xlfn.XLOOKUP(B97, '4.소비자보호'!C:C, '4.소비자보호'!BE:BE)</f>
        <v>11.25</v>
      </c>
      <c r="H97" s="35">
        <f>_xlfn.XLOOKUP(B97, '5.환경경영'!C:C, '5.환경경영'!AX:AX)</f>
        <v>6.0833333333333339</v>
      </c>
      <c r="I97" s="35">
        <f>_xlfn.XLOOKUP(B97, '6.직원만족'!C:C, '6.직원만족'!BS:BS)</f>
        <v>12.427973731673909</v>
      </c>
      <c r="J97" s="162">
        <f t="shared" si="1"/>
        <v>72.845738568302124</v>
      </c>
    </row>
    <row r="98" spans="1:10" x14ac:dyDescent="0.6">
      <c r="A98" s="214" t="s">
        <v>843</v>
      </c>
      <c r="B98" s="219" t="s">
        <v>537</v>
      </c>
      <c r="C98" s="216" t="s">
        <v>191</v>
      </c>
      <c r="D98" s="35">
        <f>_xlfn.XLOOKUP(B98, '1.건전성'!C:C, '1.건전성'!CW:CW)</f>
        <v>21.523210036148505</v>
      </c>
      <c r="E98" s="35">
        <f>_xlfn.XLOOKUP(B98, '2.공정성'!C:C, '2.공정성'!BS:BS)</f>
        <v>17.25</v>
      </c>
      <c r="F98" s="35">
        <f>_xlfn.XLOOKUP(B98, '3.사회공헌'!C:C, '3.사회공헌'!BL:BL)</f>
        <v>6.3048649964290764</v>
      </c>
      <c r="G98" s="35">
        <f>_xlfn.XLOOKUP(B98, '4.소비자보호'!C:C, '4.소비자보호'!BE:BE)</f>
        <v>10.95</v>
      </c>
      <c r="H98" s="35">
        <f>_xlfn.XLOOKUP(B98, '5.환경경영'!C:C, '5.환경경영'!AX:AX)</f>
        <v>7.0833333333333339</v>
      </c>
      <c r="I98" s="35">
        <f>_xlfn.XLOOKUP(B98, '6.직원만족'!C:C, '6.직원만족'!BS:BS)</f>
        <v>9.7234986926603693</v>
      </c>
      <c r="J98" s="162">
        <f t="shared" si="1"/>
        <v>72.834907058571275</v>
      </c>
    </row>
    <row r="99" spans="1:10" x14ac:dyDescent="0.6">
      <c r="A99" s="214" t="s">
        <v>916</v>
      </c>
      <c r="B99" s="219" t="s">
        <v>327</v>
      </c>
      <c r="C99" s="216" t="s">
        <v>285</v>
      </c>
      <c r="D99" s="35">
        <f>_xlfn.XLOOKUP(B99, '1.건전성'!C:C, '1.건전성'!CW:CW)</f>
        <v>18.004770395796339</v>
      </c>
      <c r="E99" s="35">
        <f>_xlfn.XLOOKUP(B99, '2.공정성'!C:C, '2.공정성'!BS:BS)</f>
        <v>16.5</v>
      </c>
      <c r="F99" s="35">
        <f>_xlfn.XLOOKUP(B99, '3.사회공헌'!C:C, '3.사회공헌'!BL:BL)</f>
        <v>10.016893171212324</v>
      </c>
      <c r="G99" s="35">
        <f>_xlfn.XLOOKUP(B99, '4.소비자보호'!C:C, '4.소비자보호'!BE:BE)</f>
        <v>11.25</v>
      </c>
      <c r="H99" s="35">
        <f>_xlfn.XLOOKUP(B99, '5.환경경영'!C:C, '5.환경경영'!AX:AX)</f>
        <v>8.3333333333333339</v>
      </c>
      <c r="I99" s="35">
        <f>_xlfn.XLOOKUP(B99, '6.직원만족'!C:C, '6.직원만족'!BS:BS)</f>
        <v>8.7262235190608965</v>
      </c>
      <c r="J99" s="162">
        <f t="shared" si="1"/>
        <v>72.831220419402896</v>
      </c>
    </row>
    <row r="100" spans="1:10" x14ac:dyDescent="0.6">
      <c r="A100" s="214" t="s">
        <v>1688</v>
      </c>
      <c r="B100" s="219" t="s">
        <v>1689</v>
      </c>
      <c r="C100" s="14" t="s">
        <v>202</v>
      </c>
      <c r="D100" s="35">
        <f>_xlfn.XLOOKUP(B100, '1.건전성'!C:C, '1.건전성'!CW:CW)</f>
        <v>22.25953267316471</v>
      </c>
      <c r="E100" s="35">
        <f>_xlfn.XLOOKUP(B100, '2.공정성'!C:C, '2.공정성'!BS:BS)</f>
        <v>16.5</v>
      </c>
      <c r="F100" s="35">
        <f>_xlfn.XLOOKUP(B100, '3.사회공헌'!C:C, '3.사회공헌'!BL:BL)</f>
        <v>10.022564567458652</v>
      </c>
      <c r="G100" s="35">
        <f>_xlfn.XLOOKUP(B100, '4.소비자보호'!C:C, '4.소비자보호'!BE:BE)</f>
        <v>8.0500000000000007</v>
      </c>
      <c r="H100" s="35">
        <f>_xlfn.XLOOKUP(B100, '5.환경경영'!C:C, '5.환경경영'!AX:AX)</f>
        <v>6.666666666666667</v>
      </c>
      <c r="I100" s="35">
        <f>_xlfn.XLOOKUP(B100, '6.직원만족'!C:C, '6.직원만족'!BS:BS)</f>
        <v>9.2671766314579056</v>
      </c>
      <c r="J100" s="162">
        <f t="shared" si="1"/>
        <v>72.765940538747941</v>
      </c>
    </row>
    <row r="101" spans="1:10" x14ac:dyDescent="0.6">
      <c r="A101" s="214" t="s">
        <v>871</v>
      </c>
      <c r="B101" s="219" t="s">
        <v>20</v>
      </c>
      <c r="C101" s="216" t="s">
        <v>285</v>
      </c>
      <c r="D101" s="35">
        <f>_xlfn.XLOOKUP(B101, '1.건전성'!C:C, '1.건전성'!CW:CW)</f>
        <v>18.935518154702294</v>
      </c>
      <c r="E101" s="35">
        <f>_xlfn.XLOOKUP(B101, '2.공정성'!C:C, '2.공정성'!BS:BS)</f>
        <v>17.5</v>
      </c>
      <c r="F101" s="35">
        <f>_xlfn.XLOOKUP(B101, '3.사회공헌'!C:C, '3.사회공헌'!BL:BL)</f>
        <v>8.8186992494820977</v>
      </c>
      <c r="G101" s="35">
        <f>_xlfn.XLOOKUP(B101, '4.소비자보호'!C:C, '4.소비자보호'!BE:BE)</f>
        <v>11.25</v>
      </c>
      <c r="H101" s="35">
        <f>_xlfn.XLOOKUP(B101, '5.환경경영'!C:C, '5.환경경영'!AX:AX)</f>
        <v>5.0833333333333339</v>
      </c>
      <c r="I101" s="35">
        <f>_xlfn.XLOOKUP(B101, '6.직원만족'!C:C, '6.직원만족'!BS:BS)</f>
        <v>11.177106120001541</v>
      </c>
      <c r="J101" s="162">
        <f t="shared" si="1"/>
        <v>72.76465685751927</v>
      </c>
    </row>
    <row r="102" spans="1:10" x14ac:dyDescent="0.6">
      <c r="A102" s="214" t="s">
        <v>1931</v>
      </c>
      <c r="B102" s="219" t="s">
        <v>1932</v>
      </c>
      <c r="C102" s="14" t="s">
        <v>285</v>
      </c>
      <c r="D102" s="35">
        <f>_xlfn.XLOOKUP(B102, '1.건전성'!C:C, '1.건전성'!CW:CW)</f>
        <v>20.388591921481446</v>
      </c>
      <c r="E102" s="35">
        <f>_xlfn.XLOOKUP(B102, '2.공정성'!C:C, '2.공정성'!BS:BS)</f>
        <v>19.5</v>
      </c>
      <c r="F102" s="35">
        <f>_xlfn.XLOOKUP(B102, '3.사회공헌'!C:C, '3.사회공헌'!BL:BL)</f>
        <v>6.4131072508980322</v>
      </c>
      <c r="G102" s="35">
        <f>_xlfn.XLOOKUP(B102, '4.소비자보호'!C:C, '4.소비자보호'!BE:BE)</f>
        <v>11.25</v>
      </c>
      <c r="H102" s="35">
        <f>_xlfn.XLOOKUP(B102, '5.환경경영'!C:C, '5.환경경영'!AX:AX)</f>
        <v>5.416666666666667</v>
      </c>
      <c r="I102" s="35">
        <f>_xlfn.XLOOKUP(B102, '6.직원만족'!C:C, '6.직원만족'!BS:BS)</f>
        <v>9.7766368822679439</v>
      </c>
      <c r="J102" s="162">
        <f t="shared" si="1"/>
        <v>72.74500272131408</v>
      </c>
    </row>
    <row r="103" spans="1:10" x14ac:dyDescent="0.6">
      <c r="A103" s="214" t="s">
        <v>792</v>
      </c>
      <c r="B103" s="219" t="s">
        <v>518</v>
      </c>
      <c r="C103" s="216" t="s">
        <v>191</v>
      </c>
      <c r="D103" s="35">
        <f>_xlfn.XLOOKUP(B103, '1.건전성'!C:C, '1.건전성'!CW:CW)</f>
        <v>19.484530936309916</v>
      </c>
      <c r="E103" s="35">
        <f>_xlfn.XLOOKUP(B103, '2.공정성'!C:C, '2.공정성'!BS:BS)</f>
        <v>18.5</v>
      </c>
      <c r="F103" s="35">
        <f>_xlfn.XLOOKUP(B103, '3.사회공헌'!C:C, '3.사회공헌'!BL:BL)</f>
        <v>5.9479902245108232</v>
      </c>
      <c r="G103" s="35">
        <f>_xlfn.XLOOKUP(B103, '4.소비자보호'!C:C, '4.소비자보호'!BE:BE)</f>
        <v>10.45</v>
      </c>
      <c r="H103" s="35">
        <f>_xlfn.XLOOKUP(B103, '5.환경경영'!C:C, '5.환경경영'!AX:AX)</f>
        <v>7.416666666666667</v>
      </c>
      <c r="I103" s="35">
        <f>_xlfn.XLOOKUP(B103, '6.직원만족'!C:C, '6.직원만족'!BS:BS)</f>
        <v>10.930976237095622</v>
      </c>
      <c r="J103" s="162">
        <f t="shared" si="1"/>
        <v>72.730164064583036</v>
      </c>
    </row>
    <row r="104" spans="1:10" x14ac:dyDescent="0.6">
      <c r="A104" s="214" t="s">
        <v>1910</v>
      </c>
      <c r="B104" s="219" t="s">
        <v>1911</v>
      </c>
      <c r="C104" s="14" t="s">
        <v>203</v>
      </c>
      <c r="D104" s="35">
        <f>_xlfn.XLOOKUP(B104, '1.건전성'!C:C, '1.건전성'!CW:CW)</f>
        <v>18.500748823431174</v>
      </c>
      <c r="E104" s="35">
        <f>_xlfn.XLOOKUP(B104, '2.공정성'!C:C, '2.공정성'!BS:BS)</f>
        <v>19.25</v>
      </c>
      <c r="F104" s="35">
        <f>_xlfn.XLOOKUP(B104, '3.사회공헌'!C:C, '3.사회공헌'!BL:BL)</f>
        <v>5.2743264189140966</v>
      </c>
      <c r="G104" s="35">
        <f>_xlfn.XLOOKUP(B104, '4.소비자보호'!C:C, '4.소비자보호'!BE:BE)</f>
        <v>11.25</v>
      </c>
      <c r="H104" s="35">
        <f>_xlfn.XLOOKUP(B104, '5.환경경영'!C:C, '5.환경경영'!AX:AX)</f>
        <v>6.5833333333333339</v>
      </c>
      <c r="I104" s="35">
        <f>_xlfn.XLOOKUP(B104, '6.직원만족'!C:C, '6.직원만족'!BS:BS)</f>
        <v>11.855460558843243</v>
      </c>
      <c r="J104" s="162">
        <f t="shared" si="1"/>
        <v>72.713869134521843</v>
      </c>
    </row>
    <row r="105" spans="1:10" x14ac:dyDescent="0.6">
      <c r="A105" s="214" t="s">
        <v>1664</v>
      </c>
      <c r="B105" s="219" t="s">
        <v>79</v>
      </c>
      <c r="C105" s="221" t="s">
        <v>350</v>
      </c>
      <c r="D105" s="35">
        <f>_xlfn.XLOOKUP(B105, '1.건전성'!C:C, '1.건전성'!CW:CW)</f>
        <v>29.518489915000217</v>
      </c>
      <c r="E105" s="35">
        <f>_xlfn.XLOOKUP(B105, '2.공정성'!C:C, '2.공정성'!BS:BS)</f>
        <v>17.75</v>
      </c>
      <c r="F105" s="35">
        <f>_xlfn.XLOOKUP(B105, '3.사회공헌'!C:C, '3.사회공헌'!BL:BL)</f>
        <v>9.0368751919849775</v>
      </c>
      <c r="G105" s="35">
        <f>_xlfn.XLOOKUP(B105, '4.소비자보호'!C:C, '4.소비자보호'!BE:BE)</f>
        <v>11.55</v>
      </c>
      <c r="H105" s="35">
        <f>_xlfn.XLOOKUP(B105, '5.환경경영'!C:C, '5.환경경영'!AX:AX)</f>
        <v>0</v>
      </c>
      <c r="I105" s="35">
        <f>_xlfn.XLOOKUP(B105, '6.직원만족'!C:C, '6.직원만족'!BS:BS)</f>
        <v>4.8515768368863714</v>
      </c>
      <c r="J105" s="162">
        <f t="shared" si="1"/>
        <v>72.706941943871556</v>
      </c>
    </row>
    <row r="106" spans="1:10" x14ac:dyDescent="0.6">
      <c r="A106" s="214" t="s">
        <v>372</v>
      </c>
      <c r="B106" s="219" t="s">
        <v>470</v>
      </c>
      <c r="C106" s="216" t="s">
        <v>285</v>
      </c>
      <c r="D106" s="35">
        <f>_xlfn.XLOOKUP(B106, '1.건전성'!C:C, '1.건전성'!CW:CW)</f>
        <v>20.688509563850392</v>
      </c>
      <c r="E106" s="35">
        <f>_xlfn.XLOOKUP(B106, '2.공정성'!C:C, '2.공정성'!BS:BS)</f>
        <v>16.5</v>
      </c>
      <c r="F106" s="35">
        <f>_xlfn.XLOOKUP(B106, '3.사회공헌'!C:C, '3.사회공헌'!BL:BL)</f>
        <v>6.2460618049056773</v>
      </c>
      <c r="G106" s="35">
        <f>_xlfn.XLOOKUP(B106, '4.소비자보호'!C:C, '4.소비자보호'!BE:BE)</f>
        <v>11.75</v>
      </c>
      <c r="H106" s="35">
        <f>_xlfn.XLOOKUP(B106, '5.환경경영'!C:C, '5.환경경영'!AX:AX)</f>
        <v>6.0833333333333339</v>
      </c>
      <c r="I106" s="35">
        <f>_xlfn.XLOOKUP(B106, '6.직원만족'!C:C, '6.직원만족'!BS:BS)</f>
        <v>11.437646165021096</v>
      </c>
      <c r="J106" s="162">
        <f t="shared" si="1"/>
        <v>72.705550867110503</v>
      </c>
    </row>
    <row r="107" spans="1:10" x14ac:dyDescent="0.6">
      <c r="A107" s="214" t="s">
        <v>753</v>
      </c>
      <c r="B107" s="219" t="s">
        <v>430</v>
      </c>
      <c r="C107" s="216" t="s">
        <v>202</v>
      </c>
      <c r="D107" s="35">
        <f>_xlfn.XLOOKUP(B107, '1.건전성'!C:C, '1.건전성'!CW:CW)</f>
        <v>20.558445650990052</v>
      </c>
      <c r="E107" s="35">
        <f>_xlfn.XLOOKUP(B107, '2.공정성'!C:C, '2.공정성'!BS:BS)</f>
        <v>19.25</v>
      </c>
      <c r="F107" s="35">
        <f>_xlfn.XLOOKUP(B107, '3.사회공헌'!C:C, '3.사회공헌'!BL:BL)</f>
        <v>4.806048843748755</v>
      </c>
      <c r="G107" s="35">
        <f>_xlfn.XLOOKUP(B107, '4.소비자보호'!C:C, '4.소비자보호'!BE:BE)</f>
        <v>11.25</v>
      </c>
      <c r="H107" s="35">
        <f>_xlfn.XLOOKUP(B107, '5.환경경영'!C:C, '5.환경경영'!AX:AX)</f>
        <v>5.0833333333333339</v>
      </c>
      <c r="I107" s="35">
        <f>_xlfn.XLOOKUP(B107, '6.직원만족'!C:C, '6.직원만족'!BS:BS)</f>
        <v>11.717661518412582</v>
      </c>
      <c r="J107" s="162">
        <f t="shared" si="1"/>
        <v>72.665489346484719</v>
      </c>
    </row>
    <row r="108" spans="1:10" x14ac:dyDescent="0.6">
      <c r="A108" s="214" t="s">
        <v>90</v>
      </c>
      <c r="B108" s="219" t="s">
        <v>109</v>
      </c>
      <c r="C108" s="216" t="s">
        <v>202</v>
      </c>
      <c r="D108" s="35">
        <f>_xlfn.XLOOKUP(B108, '1.건전성'!C:C, '1.건전성'!CW:CW)</f>
        <v>18.881323167933303</v>
      </c>
      <c r="E108" s="35">
        <f>_xlfn.XLOOKUP(B108, '2.공정성'!C:C, '2.공정성'!BS:BS)</f>
        <v>18.5</v>
      </c>
      <c r="F108" s="35">
        <f>_xlfn.XLOOKUP(B108, '3.사회공헌'!C:C, '3.사회공헌'!BL:BL)</f>
        <v>7.6351427648706514</v>
      </c>
      <c r="G108" s="35">
        <f>_xlfn.XLOOKUP(B108, '4.소비자보호'!C:C, '4.소비자보호'!BE:BE)</f>
        <v>11.25</v>
      </c>
      <c r="H108" s="35">
        <f>_xlfn.XLOOKUP(B108, '5.환경경영'!C:C, '5.환경경영'!AX:AX)</f>
        <v>7.0833333333333339</v>
      </c>
      <c r="I108" s="35">
        <f>_xlfn.XLOOKUP(B108, '6.직원만족'!C:C, '6.직원만족'!BS:BS)</f>
        <v>9.2773111117826765</v>
      </c>
      <c r="J108" s="162">
        <f t="shared" si="1"/>
        <v>72.627110377919962</v>
      </c>
    </row>
    <row r="109" spans="1:10" x14ac:dyDescent="0.6">
      <c r="A109" s="214" t="s">
        <v>362</v>
      </c>
      <c r="B109" s="219" t="s">
        <v>490</v>
      </c>
      <c r="C109" s="216" t="s">
        <v>202</v>
      </c>
      <c r="D109" s="35">
        <f>_xlfn.XLOOKUP(B109, '1.건전성'!C:C, '1.건전성'!CW:CW)</f>
        <v>19.583796156003316</v>
      </c>
      <c r="E109" s="35">
        <f>_xlfn.XLOOKUP(B109, '2.공정성'!C:C, '2.공정성'!BS:BS)</f>
        <v>18.5</v>
      </c>
      <c r="F109" s="35">
        <f>_xlfn.XLOOKUP(B109, '3.사회공헌'!C:C, '3.사회공헌'!BL:BL)</f>
        <v>7.849099128952119</v>
      </c>
      <c r="G109" s="35">
        <f>_xlfn.XLOOKUP(B109, '4.소비자보호'!C:C, '4.소비자보호'!BE:BE)</f>
        <v>11.25</v>
      </c>
      <c r="H109" s="35">
        <f>_xlfn.XLOOKUP(B109, '5.환경경영'!C:C, '5.환경경영'!AX:AX)</f>
        <v>5.5833333333333339</v>
      </c>
      <c r="I109" s="35">
        <f>_xlfn.XLOOKUP(B109, '6.직원만족'!C:C, '6.직원만족'!BS:BS)</f>
        <v>9.8180312500178655</v>
      </c>
      <c r="J109" s="162">
        <f t="shared" si="1"/>
        <v>72.584259868306631</v>
      </c>
    </row>
    <row r="110" spans="1:10" x14ac:dyDescent="0.6">
      <c r="A110" s="214" t="s">
        <v>19</v>
      </c>
      <c r="B110" s="219" t="s">
        <v>927</v>
      </c>
      <c r="C110" s="216" t="s">
        <v>202</v>
      </c>
      <c r="D110" s="35">
        <f>_xlfn.XLOOKUP(B110, '1.건전성'!C:C, '1.건전성'!CW:CW)</f>
        <v>18.509234613856385</v>
      </c>
      <c r="E110" s="35">
        <f>_xlfn.XLOOKUP(B110, '2.공정성'!C:C, '2.공정성'!BS:BS)</f>
        <v>19.25</v>
      </c>
      <c r="F110" s="35">
        <f>_xlfn.XLOOKUP(B110, '3.사회공헌'!C:C, '3.사회공헌'!BL:BL)</f>
        <v>5.7391242461648968</v>
      </c>
      <c r="G110" s="35">
        <f>_xlfn.XLOOKUP(B110, '4.소비자보호'!C:C, '4.소비자보호'!BE:BE)</f>
        <v>11.25</v>
      </c>
      <c r="H110" s="35">
        <f>_xlfn.XLOOKUP(B110, '5.환경경영'!C:C, '5.환경경영'!AX:AX)</f>
        <v>6.0833333333333339</v>
      </c>
      <c r="I110" s="35">
        <f>_xlfn.XLOOKUP(B110, '6.직원만족'!C:C, '6.직원만족'!BS:BS)</f>
        <v>11.732161788096844</v>
      </c>
      <c r="J110" s="162">
        <f t="shared" si="1"/>
        <v>72.563853981451459</v>
      </c>
    </row>
    <row r="111" spans="1:10" x14ac:dyDescent="0.6">
      <c r="A111" s="214" t="s">
        <v>910</v>
      </c>
      <c r="B111" s="219" t="s">
        <v>480</v>
      </c>
      <c r="C111" s="216" t="s">
        <v>202</v>
      </c>
      <c r="D111" s="35">
        <f>_xlfn.XLOOKUP(B111, '1.건전성'!C:C, '1.건전성'!CW:CW)</f>
        <v>20.579577192915337</v>
      </c>
      <c r="E111" s="35">
        <f>_xlfn.XLOOKUP(B111, '2.공정성'!C:C, '2.공정성'!BS:BS)</f>
        <v>16.25</v>
      </c>
      <c r="F111" s="35">
        <f>_xlfn.XLOOKUP(B111, '3.사회공헌'!C:C, '3.사회공헌'!BL:BL)</f>
        <v>9.8540950833034824</v>
      </c>
      <c r="G111" s="35">
        <f>_xlfn.XLOOKUP(B111, '4.소비자보호'!C:C, '4.소비자보호'!BE:BE)</f>
        <v>11.25</v>
      </c>
      <c r="H111" s="35">
        <f>_xlfn.XLOOKUP(B111, '5.환경경영'!C:C, '5.환경경영'!AX:AX)</f>
        <v>6.5833333333333339</v>
      </c>
      <c r="I111" s="35">
        <f>_xlfn.XLOOKUP(B111, '6.직원만족'!C:C, '6.직원만족'!BS:BS)</f>
        <v>8.0073251024168535</v>
      </c>
      <c r="J111" s="162">
        <f t="shared" si="1"/>
        <v>72.524330711969014</v>
      </c>
    </row>
    <row r="112" spans="1:10" x14ac:dyDescent="0.6">
      <c r="A112" s="214" t="s">
        <v>506</v>
      </c>
      <c r="B112" s="219" t="s">
        <v>453</v>
      </c>
      <c r="C112" s="216" t="s">
        <v>285</v>
      </c>
      <c r="D112" s="35">
        <f>_xlfn.XLOOKUP(B112, '1.건전성'!C:C, '1.건전성'!CW:CW)</f>
        <v>17.93894892779317</v>
      </c>
      <c r="E112" s="35">
        <f>_xlfn.XLOOKUP(B112, '2.공정성'!C:C, '2.공정성'!BS:BS)</f>
        <v>19.25</v>
      </c>
      <c r="F112" s="35">
        <f>_xlfn.XLOOKUP(B112, '3.사회공헌'!C:C, '3.사회공헌'!BL:BL)</f>
        <v>7.2268563246860777</v>
      </c>
      <c r="G112" s="35">
        <f>_xlfn.XLOOKUP(B112, '4.소비자보호'!C:C, '4.소비자보호'!BE:BE)</f>
        <v>11.25</v>
      </c>
      <c r="H112" s="35">
        <f>_xlfn.XLOOKUP(B112, '5.환경경영'!C:C, '5.환경경영'!AX:AX)</f>
        <v>7.0833333333333339</v>
      </c>
      <c r="I112" s="35">
        <f>_xlfn.XLOOKUP(B112, '6.직원만족'!C:C, '6.직원만족'!BS:BS)</f>
        <v>9.7729006242431389</v>
      </c>
      <c r="J112" s="162">
        <f t="shared" si="1"/>
        <v>72.522039210055723</v>
      </c>
    </row>
    <row r="113" spans="1:10" x14ac:dyDescent="0.6">
      <c r="A113" s="214" t="s">
        <v>550</v>
      </c>
      <c r="B113" s="219" t="s">
        <v>892</v>
      </c>
      <c r="C113" s="216" t="s">
        <v>203</v>
      </c>
      <c r="D113" s="35">
        <f>_xlfn.XLOOKUP(B113, '1.건전성'!C:C, '1.건전성'!CW:CW)</f>
        <v>16.938163396822443</v>
      </c>
      <c r="E113" s="35">
        <f>_xlfn.XLOOKUP(B113, '2.공정성'!C:C, '2.공정성'!BS:BS)</f>
        <v>17.5</v>
      </c>
      <c r="F113" s="35">
        <f>_xlfn.XLOOKUP(B113, '3.사회공헌'!C:C, '3.사회공헌'!BL:BL)</f>
        <v>11.150916072402781</v>
      </c>
      <c r="G113" s="35">
        <f>_xlfn.XLOOKUP(B113, '4.소비자보호'!C:C, '4.소비자보호'!BE:BE)</f>
        <v>11.25</v>
      </c>
      <c r="H113" s="35">
        <f>_xlfn.XLOOKUP(B113, '5.환경경영'!C:C, '5.환경경영'!AX:AX)</f>
        <v>6.0833333333333339</v>
      </c>
      <c r="I113" s="35">
        <f>_xlfn.XLOOKUP(B113, '6.직원만족'!C:C, '6.직원만족'!BS:BS)</f>
        <v>9.5957833523772305</v>
      </c>
      <c r="J113" s="162">
        <f t="shared" si="1"/>
        <v>72.518196154935794</v>
      </c>
    </row>
    <row r="114" spans="1:10" x14ac:dyDescent="0.6">
      <c r="A114" s="214" t="s">
        <v>333</v>
      </c>
      <c r="B114" s="219" t="s">
        <v>40</v>
      </c>
      <c r="C114" s="216" t="s">
        <v>191</v>
      </c>
      <c r="D114" s="35">
        <f>_xlfn.XLOOKUP(B114, '1.건전성'!C:C, '1.건전성'!CW:CW)</f>
        <v>20.742360498075517</v>
      </c>
      <c r="E114" s="35">
        <f>_xlfn.XLOOKUP(B114, '2.공정성'!C:C, '2.공정성'!BS:BS)</f>
        <v>16.25</v>
      </c>
      <c r="F114" s="35">
        <f>_xlfn.XLOOKUP(B114, '3.사회공헌'!C:C, '3.사회공헌'!BL:BL)</f>
        <v>9.9000780260867298</v>
      </c>
      <c r="G114" s="35">
        <f>_xlfn.XLOOKUP(B114, '4.소비자보호'!C:C, '4.소비자보호'!BE:BE)</f>
        <v>11.25</v>
      </c>
      <c r="H114" s="35">
        <f>_xlfn.XLOOKUP(B114, '5.환경경영'!C:C, '5.환경경영'!AX:AX)</f>
        <v>6.0833333333333339</v>
      </c>
      <c r="I114" s="35">
        <f>_xlfn.XLOOKUP(B114, '6.직원만족'!C:C, '6.직원만족'!BS:BS)</f>
        <v>8.2786618279019564</v>
      </c>
      <c r="J114" s="162">
        <f t="shared" si="1"/>
        <v>72.50443368539753</v>
      </c>
    </row>
    <row r="115" spans="1:10" x14ac:dyDescent="0.6">
      <c r="A115" s="214" t="s">
        <v>313</v>
      </c>
      <c r="B115" s="219" t="s">
        <v>400</v>
      </c>
      <c r="C115" s="216" t="s">
        <v>203</v>
      </c>
      <c r="D115" s="35">
        <f>_xlfn.XLOOKUP(B115, '1.건전성'!C:C, '1.건전성'!CW:CW)</f>
        <v>19.292609420207111</v>
      </c>
      <c r="E115" s="35">
        <f>_xlfn.XLOOKUP(B115, '2.공정성'!C:C, '2.공정성'!BS:BS)</f>
        <v>17.5</v>
      </c>
      <c r="F115" s="35">
        <f>_xlfn.XLOOKUP(B115, '3.사회공헌'!C:C, '3.사회공헌'!BL:BL)</f>
        <v>8.1898719471850399</v>
      </c>
      <c r="G115" s="35">
        <f>_xlfn.XLOOKUP(B115, '4.소비자보호'!C:C, '4.소비자보호'!BE:BE)</f>
        <v>11.25</v>
      </c>
      <c r="H115" s="35">
        <f>_xlfn.XLOOKUP(B115, '5.환경경영'!C:C, '5.환경경영'!AX:AX)</f>
        <v>6.5833333333333339</v>
      </c>
      <c r="I115" s="35">
        <f>_xlfn.XLOOKUP(B115, '6.직원만족'!C:C, '6.직원만족'!BS:BS)</f>
        <v>9.6629656276575684</v>
      </c>
      <c r="J115" s="162">
        <f t="shared" si="1"/>
        <v>72.478780328383053</v>
      </c>
    </row>
    <row r="116" spans="1:10" x14ac:dyDescent="0.6">
      <c r="A116" s="214" t="s">
        <v>1706</v>
      </c>
      <c r="B116" s="219" t="s">
        <v>1707</v>
      </c>
      <c r="C116" s="14" t="s">
        <v>203</v>
      </c>
      <c r="D116" s="35">
        <f>_xlfn.XLOOKUP(B116, '1.건전성'!C:C, '1.건전성'!CW:CW)</f>
        <v>16.515390902163915</v>
      </c>
      <c r="E116" s="35">
        <f>_xlfn.XLOOKUP(B116, '2.공정성'!C:C, '2.공정성'!BS:BS)</f>
        <v>18.25</v>
      </c>
      <c r="F116" s="35">
        <f>_xlfn.XLOOKUP(B116, '3.사회공헌'!C:C, '3.사회공헌'!BL:BL)</f>
        <v>9.8884517702618044</v>
      </c>
      <c r="G116" s="35">
        <f>_xlfn.XLOOKUP(B116, '4.소비자보호'!C:C, '4.소비자보호'!BE:BE)</f>
        <v>11.25</v>
      </c>
      <c r="H116" s="35">
        <f>_xlfn.XLOOKUP(B116, '5.환경경영'!C:C, '5.환경경영'!AX:AX)</f>
        <v>5.0833333333333339</v>
      </c>
      <c r="I116" s="35">
        <f>_xlfn.XLOOKUP(B116, '6.직원만족'!C:C, '6.직원만족'!BS:BS)</f>
        <v>11.456536294441504</v>
      </c>
      <c r="J116" s="162">
        <f t="shared" si="1"/>
        <v>72.443712300200559</v>
      </c>
    </row>
    <row r="117" spans="1:10" x14ac:dyDescent="0.6">
      <c r="A117" s="214" t="s">
        <v>512</v>
      </c>
      <c r="B117" s="219" t="s">
        <v>14</v>
      </c>
      <c r="C117" s="216" t="s">
        <v>203</v>
      </c>
      <c r="D117" s="35">
        <f>_xlfn.XLOOKUP(B117, '1.건전성'!C:C, '1.건전성'!CW:CW)</f>
        <v>18.092453679280251</v>
      </c>
      <c r="E117" s="35">
        <f>_xlfn.XLOOKUP(B117, '2.공정성'!C:C, '2.공정성'!BS:BS)</f>
        <v>17.5</v>
      </c>
      <c r="F117" s="35">
        <f>_xlfn.XLOOKUP(B117, '3.사회공헌'!C:C, '3.사회공헌'!BL:BL)</f>
        <v>8.101266131798468</v>
      </c>
      <c r="G117" s="35">
        <f>_xlfn.XLOOKUP(B117, '4.소비자보호'!C:C, '4.소비자보호'!BE:BE)</f>
        <v>12</v>
      </c>
      <c r="H117" s="35">
        <f>_xlfn.XLOOKUP(B117, '5.환경경영'!C:C, '5.환경경영'!AX:AX)</f>
        <v>6.5833333333333339</v>
      </c>
      <c r="I117" s="35">
        <f>_xlfn.XLOOKUP(B117, '6.직원만족'!C:C, '6.직원만족'!BS:BS)</f>
        <v>10.063681286966377</v>
      </c>
      <c r="J117" s="162">
        <f t="shared" si="1"/>
        <v>72.340734431378436</v>
      </c>
    </row>
    <row r="118" spans="1:10" x14ac:dyDescent="0.6">
      <c r="A118" s="214" t="s">
        <v>1972</v>
      </c>
      <c r="B118" s="219" t="s">
        <v>1973</v>
      </c>
      <c r="C118" s="14" t="s">
        <v>203</v>
      </c>
      <c r="D118" s="35">
        <f>_xlfn.XLOOKUP(B118, '1.건전성'!C:C, '1.건전성'!CW:CW)</f>
        <v>17.461765428843446</v>
      </c>
      <c r="E118" s="35">
        <f>_xlfn.XLOOKUP(B118, '2.공정성'!C:C, '2.공정성'!BS:BS)</f>
        <v>19.5</v>
      </c>
      <c r="F118" s="35">
        <f>_xlfn.XLOOKUP(B118, '3.사회공헌'!C:C, '3.사회공헌'!BL:BL)</f>
        <v>7.1563924179153435</v>
      </c>
      <c r="G118" s="35">
        <f>_xlfn.XLOOKUP(B118, '4.소비자보호'!C:C, '4.소비자보호'!BE:BE)</f>
        <v>11.25</v>
      </c>
      <c r="H118" s="35">
        <f>_xlfn.XLOOKUP(B118, '5.환경경영'!C:C, '5.환경경영'!AX:AX)</f>
        <v>6.5833333333333339</v>
      </c>
      <c r="I118" s="35">
        <f>_xlfn.XLOOKUP(B118, '6.직원만족'!C:C, '6.직원만족'!BS:BS)</f>
        <v>10.340102610632334</v>
      </c>
      <c r="J118" s="162">
        <f t="shared" si="1"/>
        <v>72.291593790724463</v>
      </c>
    </row>
    <row r="119" spans="1:10" x14ac:dyDescent="0.6">
      <c r="A119" s="214" t="s">
        <v>1583</v>
      </c>
      <c r="B119" s="219" t="s">
        <v>870</v>
      </c>
      <c r="C119" s="216" t="s">
        <v>203</v>
      </c>
      <c r="D119" s="35">
        <f>_xlfn.XLOOKUP(B119, '1.건전성'!C:C, '1.건전성'!CW:CW)</f>
        <v>20.390449337922949</v>
      </c>
      <c r="E119" s="35">
        <f>_xlfn.XLOOKUP(B119, '2.공정성'!C:C, '2.공정성'!BS:BS)</f>
        <v>18.25</v>
      </c>
      <c r="F119" s="35">
        <f>_xlfn.XLOOKUP(B119, '3.사회공헌'!C:C, '3.사회공헌'!BL:BL)</f>
        <v>9.1101949938476139</v>
      </c>
      <c r="G119" s="35">
        <f>_xlfn.XLOOKUP(B119, '4.소비자보호'!C:C, '4.소비자보호'!BE:BE)</f>
        <v>11.25</v>
      </c>
      <c r="H119" s="35">
        <f>_xlfn.XLOOKUP(B119, '5.환경경영'!C:C, '5.환경경영'!AX:AX)</f>
        <v>4.8333333333333339</v>
      </c>
      <c r="I119" s="35">
        <f>_xlfn.XLOOKUP(B119, '6.직원만족'!C:C, '6.직원만족'!BS:BS)</f>
        <v>8.447490128627523</v>
      </c>
      <c r="J119" s="162">
        <f t="shared" si="1"/>
        <v>72.281467793731423</v>
      </c>
    </row>
    <row r="120" spans="1:10" x14ac:dyDescent="0.6">
      <c r="A120" s="214" t="s">
        <v>1731</v>
      </c>
      <c r="B120" s="219" t="s">
        <v>1732</v>
      </c>
      <c r="C120" s="14" t="s">
        <v>202</v>
      </c>
      <c r="D120" s="35">
        <f>_xlfn.XLOOKUP(B120, '1.건전성'!C:C, '1.건전성'!CW:CW)</f>
        <v>17.198527679121224</v>
      </c>
      <c r="E120" s="35">
        <f>_xlfn.XLOOKUP(B120, '2.공정성'!C:C, '2.공정성'!BS:BS)</f>
        <v>19.5</v>
      </c>
      <c r="F120" s="35">
        <f>_xlfn.XLOOKUP(B120, '3.사회공헌'!C:C, '3.사회공헌'!BL:BL)</f>
        <v>9.3885741513109533</v>
      </c>
      <c r="G120" s="35">
        <f>_xlfn.XLOOKUP(B120, '4.소비자보호'!C:C, '4.소비자보호'!BE:BE)</f>
        <v>11.25</v>
      </c>
      <c r="H120" s="35">
        <f>_xlfn.XLOOKUP(B120, '5.환경경영'!C:C, '5.환경경영'!AX:AX)</f>
        <v>5.0833333333333339</v>
      </c>
      <c r="I120" s="35">
        <f>_xlfn.XLOOKUP(B120, '6.직원만족'!C:C, '6.직원만족'!BS:BS)</f>
        <v>9.8567568050096099</v>
      </c>
      <c r="J120" s="162">
        <f t="shared" si="1"/>
        <v>72.277191968775128</v>
      </c>
    </row>
    <row r="121" spans="1:10" x14ac:dyDescent="0.6">
      <c r="A121" s="214" t="s">
        <v>1775</v>
      </c>
      <c r="B121" s="219" t="s">
        <v>355</v>
      </c>
      <c r="C121" s="216" t="s">
        <v>191</v>
      </c>
      <c r="D121" s="35">
        <f>_xlfn.XLOOKUP(B121, '1.건전성'!C:C, '1.건전성'!CW:CW)</f>
        <v>18.280074361022496</v>
      </c>
      <c r="E121" s="35">
        <f>_xlfn.XLOOKUP(B121, '2.공정성'!C:C, '2.공정성'!BS:BS)</f>
        <v>19.5</v>
      </c>
      <c r="F121" s="35">
        <f>_xlfn.XLOOKUP(B121, '3.사회공헌'!C:C, '3.사회공헌'!BL:BL)</f>
        <v>5.1238456130132954</v>
      </c>
      <c r="G121" s="35">
        <f>_xlfn.XLOOKUP(B121, '4.소비자보호'!C:C, '4.소비자보호'!BE:BE)</f>
        <v>11.25</v>
      </c>
      <c r="H121" s="35">
        <f>_xlfn.XLOOKUP(B121, '5.환경경영'!C:C, '5.환경경영'!AX:AX)</f>
        <v>6.0833333333333339</v>
      </c>
      <c r="I121" s="35">
        <f>_xlfn.XLOOKUP(B121, '6.직원만족'!C:C, '6.직원만족'!BS:BS)</f>
        <v>11.99627385064745</v>
      </c>
      <c r="J121" s="162">
        <f t="shared" si="1"/>
        <v>72.233527158016585</v>
      </c>
    </row>
    <row r="122" spans="1:10" x14ac:dyDescent="0.6">
      <c r="A122" s="214" t="s">
        <v>1456</v>
      </c>
      <c r="B122" s="219" t="s">
        <v>496</v>
      </c>
      <c r="C122" s="216" t="s">
        <v>203</v>
      </c>
      <c r="D122" s="35">
        <f>_xlfn.XLOOKUP(B122, '1.건전성'!C:C, '1.건전성'!CW:CW)</f>
        <v>18.327406529500912</v>
      </c>
      <c r="E122" s="35">
        <f>_xlfn.XLOOKUP(B122, '2.공정성'!C:C, '2.공정성'!BS:BS)</f>
        <v>19.25</v>
      </c>
      <c r="F122" s="35">
        <f>_xlfn.XLOOKUP(B122, '3.사회공헌'!C:C, '3.사회공헌'!BL:BL)</f>
        <v>5.3388673756956928</v>
      </c>
      <c r="G122" s="35">
        <f>_xlfn.XLOOKUP(B122, '4.소비자보호'!C:C, '4.소비자보호'!BE:BE)</f>
        <v>11.25</v>
      </c>
      <c r="H122" s="35">
        <f>_xlfn.XLOOKUP(B122, '5.환경경영'!C:C, '5.환경경영'!AX:AX)</f>
        <v>6.5833333333333339</v>
      </c>
      <c r="I122" s="35">
        <f>_xlfn.XLOOKUP(B122, '6.직원만족'!C:C, '6.직원만족'!BS:BS)</f>
        <v>11.470700249978139</v>
      </c>
      <c r="J122" s="162">
        <f t="shared" si="1"/>
        <v>72.220307488508084</v>
      </c>
    </row>
    <row r="123" spans="1:10" x14ac:dyDescent="0.6">
      <c r="A123" s="214" t="s">
        <v>81</v>
      </c>
      <c r="B123" s="219" t="s">
        <v>857</v>
      </c>
      <c r="C123" s="216" t="s">
        <v>203</v>
      </c>
      <c r="D123" s="35">
        <f>_xlfn.XLOOKUP(B123, '1.건전성'!C:C, '1.건전성'!CW:CW)</f>
        <v>19.222238100547234</v>
      </c>
      <c r="E123" s="35">
        <f>_xlfn.XLOOKUP(B123, '2.공정성'!C:C, '2.공정성'!BS:BS)</f>
        <v>16.5</v>
      </c>
      <c r="F123" s="35">
        <f>_xlfn.XLOOKUP(B123, '3.사회공헌'!C:C, '3.사회공헌'!BL:BL)</f>
        <v>8.7413812145378795</v>
      </c>
      <c r="G123" s="35">
        <f>_xlfn.XLOOKUP(B123, '4.소비자보호'!C:C, '4.소비자보호'!BE:BE)</f>
        <v>11.25</v>
      </c>
      <c r="H123" s="35">
        <f>_xlfn.XLOOKUP(B123, '5.환경경영'!C:C, '5.환경경영'!AX:AX)</f>
        <v>6.5833333333333339</v>
      </c>
      <c r="I123" s="35">
        <f>_xlfn.XLOOKUP(B123, '6.직원만족'!C:C, '6.직원만족'!BS:BS)</f>
        <v>9.9137843991941903</v>
      </c>
      <c r="J123" s="162">
        <f t="shared" si="1"/>
        <v>72.210737047612639</v>
      </c>
    </row>
    <row r="124" spans="1:10" x14ac:dyDescent="0.6">
      <c r="A124" s="214" t="s">
        <v>329</v>
      </c>
      <c r="B124" s="219" t="s">
        <v>858</v>
      </c>
      <c r="C124" s="216" t="s">
        <v>285</v>
      </c>
      <c r="D124" s="35">
        <f>_xlfn.XLOOKUP(B124, '1.건전성'!C:C, '1.건전성'!CW:CW)</f>
        <v>18.087912061202132</v>
      </c>
      <c r="E124" s="35">
        <f>_xlfn.XLOOKUP(B124, '2.공정성'!C:C, '2.공정성'!BS:BS)</f>
        <v>17.5</v>
      </c>
      <c r="F124" s="35">
        <f>_xlfn.XLOOKUP(B124, '3.사회공헌'!C:C, '3.사회공헌'!BL:BL)</f>
        <v>11.447747673452488</v>
      </c>
      <c r="G124" s="35">
        <f>_xlfn.XLOOKUP(B124, '4.소비자보호'!C:C, '4.소비자보호'!BE:BE)</f>
        <v>11.25</v>
      </c>
      <c r="H124" s="35">
        <f>_xlfn.XLOOKUP(B124, '5.환경경영'!C:C, '5.환경경영'!AX:AX)</f>
        <v>6.0833333333333339</v>
      </c>
      <c r="I124" s="35">
        <f>_xlfn.XLOOKUP(B124, '6.직원만족'!C:C, '6.직원만족'!BS:BS)</f>
        <v>7.8289023525952066</v>
      </c>
      <c r="J124" s="162">
        <f t="shared" si="1"/>
        <v>72.197895420583166</v>
      </c>
    </row>
    <row r="125" spans="1:10" x14ac:dyDescent="0.6">
      <c r="A125" s="214" t="s">
        <v>1859</v>
      </c>
      <c r="B125" s="219" t="s">
        <v>1860</v>
      </c>
      <c r="C125" s="14" t="s">
        <v>203</v>
      </c>
      <c r="D125" s="35">
        <f>_xlfn.XLOOKUP(B125, '1.건전성'!C:C, '1.건전성'!CW:CW)</f>
        <v>19.080804550824681</v>
      </c>
      <c r="E125" s="35">
        <f>_xlfn.XLOOKUP(B125, '2.공정성'!C:C, '2.공정성'!BS:BS)</f>
        <v>18.5</v>
      </c>
      <c r="F125" s="35">
        <f>_xlfn.XLOOKUP(B125, '3.사회공헌'!C:C, '3.사회공헌'!BL:BL)</f>
        <v>7.7602428985042948</v>
      </c>
      <c r="G125" s="35">
        <f>_xlfn.XLOOKUP(B125, '4.소비자보호'!C:C, '4.소비자보호'!BE:BE)</f>
        <v>12</v>
      </c>
      <c r="H125" s="35">
        <f>_xlfn.XLOOKUP(B125, '5.환경경영'!C:C, '5.환경경영'!AX:AX)</f>
        <v>5.5833333333333339</v>
      </c>
      <c r="I125" s="35">
        <f>_xlfn.XLOOKUP(B125, '6.직원만족'!C:C, '6.직원만족'!BS:BS)</f>
        <v>9.203712001706819</v>
      </c>
      <c r="J125" s="162">
        <f t="shared" si="1"/>
        <v>72.12809278436913</v>
      </c>
    </row>
    <row r="126" spans="1:10" x14ac:dyDescent="0.6">
      <c r="A126" s="214" t="s">
        <v>782</v>
      </c>
      <c r="B126" s="219" t="s">
        <v>431</v>
      </c>
      <c r="C126" s="216" t="s">
        <v>285</v>
      </c>
      <c r="D126" s="35">
        <f>_xlfn.XLOOKUP(B126, '1.건전성'!C:C, '1.건전성'!CW:CW)</f>
        <v>17.702566457432326</v>
      </c>
      <c r="E126" s="35">
        <f>_xlfn.XLOOKUP(B126, '2.공정성'!C:C, '2.공정성'!BS:BS)</f>
        <v>19.25</v>
      </c>
      <c r="F126" s="35">
        <f>_xlfn.XLOOKUP(B126, '3.사회공헌'!C:C, '3.사회공헌'!BL:BL)</f>
        <v>6.8074004104426464</v>
      </c>
      <c r="G126" s="35">
        <f>_xlfn.XLOOKUP(B126, '4.소비자보호'!C:C, '4.소비자보호'!BE:BE)</f>
        <v>12.25</v>
      </c>
      <c r="H126" s="35">
        <f>_xlfn.XLOOKUP(B126, '5.환경경영'!C:C, '5.환경경영'!AX:AX)</f>
        <v>6.0833333333333339</v>
      </c>
      <c r="I126" s="35">
        <f>_xlfn.XLOOKUP(B126, '6.직원만족'!C:C, '6.직원만족'!BS:BS)</f>
        <v>10.017320497063201</v>
      </c>
      <c r="J126" s="162">
        <f t="shared" si="1"/>
        <v>72.110620698271504</v>
      </c>
    </row>
    <row r="127" spans="1:10" x14ac:dyDescent="0.6">
      <c r="A127" s="214" t="s">
        <v>1955</v>
      </c>
      <c r="B127" s="219" t="s">
        <v>1956</v>
      </c>
      <c r="C127" s="14" t="s">
        <v>202</v>
      </c>
      <c r="D127" s="35">
        <f>_xlfn.XLOOKUP(B127, '1.건전성'!C:C, '1.건전성'!CW:CW)</f>
        <v>19.802583217935549</v>
      </c>
      <c r="E127" s="35">
        <f>_xlfn.XLOOKUP(B127, '2.공정성'!C:C, '2.공정성'!BS:BS)</f>
        <v>16.5</v>
      </c>
      <c r="F127" s="35">
        <f>_xlfn.XLOOKUP(B127, '3.사회공헌'!C:C, '3.사회공헌'!BL:BL)</f>
        <v>8.4761264783910946</v>
      </c>
      <c r="G127" s="35">
        <f>_xlfn.XLOOKUP(B127, '4.소비자보호'!C:C, '4.소비자보호'!BE:BE)</f>
        <v>11.25</v>
      </c>
      <c r="H127" s="35">
        <f>_xlfn.XLOOKUP(B127, '5.환경경영'!C:C, '5.환경경영'!AX:AX)</f>
        <v>7.3333333333333339</v>
      </c>
      <c r="I127" s="35">
        <f>_xlfn.XLOOKUP(B127, '6.직원만족'!C:C, '6.직원만족'!BS:BS)</f>
        <v>8.7034936531865128</v>
      </c>
      <c r="J127" s="162">
        <f t="shared" si="1"/>
        <v>72.065536682846499</v>
      </c>
    </row>
    <row r="128" spans="1:10" x14ac:dyDescent="0.6">
      <c r="A128" s="214" t="s">
        <v>67</v>
      </c>
      <c r="B128" s="219" t="s">
        <v>471</v>
      </c>
      <c r="C128" s="216" t="s">
        <v>285</v>
      </c>
      <c r="D128" s="35">
        <f>_xlfn.XLOOKUP(B128, '1.건전성'!C:C, '1.건전성'!CW:CW)</f>
        <v>21.080276933434298</v>
      </c>
      <c r="E128" s="35">
        <f>_xlfn.XLOOKUP(B128, '2.공정성'!C:C, '2.공정성'!BS:BS)</f>
        <v>18.5</v>
      </c>
      <c r="F128" s="35">
        <f>_xlfn.XLOOKUP(B128, '3.사회공헌'!C:C, '3.사회공헌'!BL:BL)</f>
        <v>10.283229782902401</v>
      </c>
      <c r="G128" s="35">
        <f>_xlfn.XLOOKUP(B128, '4.소비자보호'!C:C, '4.소비자보호'!BE:BE)</f>
        <v>7.05</v>
      </c>
      <c r="H128" s="35">
        <f>_xlfn.XLOOKUP(B128, '5.환경경영'!C:C, '5.환경경영'!AX:AX)</f>
        <v>6.416666666666667</v>
      </c>
      <c r="I128" s="35">
        <f>_xlfn.XLOOKUP(B128, '6.직원만족'!C:C, '6.직원만족'!BS:BS)</f>
        <v>8.712740045664761</v>
      </c>
      <c r="J128" s="162">
        <f t="shared" si="1"/>
        <v>72.042913428668129</v>
      </c>
    </row>
    <row r="129" spans="1:10" x14ac:dyDescent="0.6">
      <c r="A129" s="214" t="s">
        <v>1479</v>
      </c>
      <c r="B129" s="219" t="s">
        <v>1480</v>
      </c>
      <c r="C129" s="14" t="s">
        <v>202</v>
      </c>
      <c r="D129" s="35">
        <f>_xlfn.XLOOKUP(B129, '1.건전성'!C:C, '1.건전성'!CW:CW)</f>
        <v>19.999725628741743</v>
      </c>
      <c r="E129" s="35">
        <f>_xlfn.XLOOKUP(B129, '2.공정성'!C:C, '2.공정성'!BS:BS)</f>
        <v>18.5</v>
      </c>
      <c r="F129" s="35">
        <f>_xlfn.XLOOKUP(B129, '3.사회공헌'!C:C, '3.사회공헌'!BL:BL)</f>
        <v>8.7115659090286872</v>
      </c>
      <c r="G129" s="35">
        <f>_xlfn.XLOOKUP(B129, '4.소비자보호'!C:C, '4.소비자보호'!BE:BE)</f>
        <v>11.25</v>
      </c>
      <c r="H129" s="35">
        <f>_xlfn.XLOOKUP(B129, '5.환경경영'!C:C, '5.환경경영'!AX:AX)</f>
        <v>6.0833333333333339</v>
      </c>
      <c r="I129" s="35">
        <f>_xlfn.XLOOKUP(B129, '6.직원만족'!C:C, '6.직원만족'!BS:BS)</f>
        <v>7.4227591359332079</v>
      </c>
      <c r="J129" s="162">
        <f t="shared" si="1"/>
        <v>71.967384007036969</v>
      </c>
    </row>
    <row r="130" spans="1:10" x14ac:dyDescent="0.6">
      <c r="A130" s="214" t="s">
        <v>799</v>
      </c>
      <c r="B130" s="219" t="s">
        <v>546</v>
      </c>
      <c r="C130" s="216" t="s">
        <v>191</v>
      </c>
      <c r="D130" s="35">
        <f>_xlfn.XLOOKUP(B130, '1.건전성'!C:C, '1.건전성'!CW:CW)</f>
        <v>18.740007290047519</v>
      </c>
      <c r="E130" s="35">
        <f>_xlfn.XLOOKUP(B130, '2.공정성'!C:C, '2.공정성'!BS:BS)</f>
        <v>18.5</v>
      </c>
      <c r="F130" s="35">
        <f>_xlfn.XLOOKUP(B130, '3.사회공헌'!C:C, '3.사회공헌'!BL:BL)</f>
        <v>9.171103122843526</v>
      </c>
      <c r="G130" s="35">
        <f>_xlfn.XLOOKUP(B130, '4.소비자보호'!C:C, '4.소비자보호'!BE:BE)</f>
        <v>8.0500000000000007</v>
      </c>
      <c r="H130" s="35">
        <f>_xlfn.XLOOKUP(B130, '5.환경경영'!C:C, '5.환경경영'!AX:AX)</f>
        <v>6.3333333333333339</v>
      </c>
      <c r="I130" s="35">
        <f>_xlfn.XLOOKUP(B130, '6.직원만족'!C:C, '6.직원만족'!BS:BS)</f>
        <v>11.109558524804916</v>
      </c>
      <c r="J130" s="162">
        <f t="shared" ref="J130:J193" si="2">SUM(D130:I130)</f>
        <v>71.904002271029299</v>
      </c>
    </row>
    <row r="131" spans="1:10" x14ac:dyDescent="0.6">
      <c r="A131" s="214" t="s">
        <v>1745</v>
      </c>
      <c r="B131" s="219" t="s">
        <v>1746</v>
      </c>
      <c r="C131" s="14" t="s">
        <v>202</v>
      </c>
      <c r="D131" s="35">
        <f>_xlfn.XLOOKUP(B131, '1.건전성'!C:C, '1.건전성'!CW:CW)</f>
        <v>17.933531563954066</v>
      </c>
      <c r="E131" s="35">
        <f>_xlfn.XLOOKUP(B131, '2.공정성'!C:C, '2.공정성'!BS:BS)</f>
        <v>16.583333333333336</v>
      </c>
      <c r="F131" s="35">
        <f>_xlfn.XLOOKUP(B131, '3.사회공헌'!C:C, '3.사회공헌'!BL:BL)</f>
        <v>10.349564099727225</v>
      </c>
      <c r="G131" s="35">
        <f>_xlfn.XLOOKUP(B131, '4.소비자보호'!C:C, '4.소비자보호'!BE:BE)</f>
        <v>11.25</v>
      </c>
      <c r="H131" s="35">
        <f>_xlfn.XLOOKUP(B131, '5.환경경영'!C:C, '5.환경경영'!AX:AX)</f>
        <v>5.0833333333333339</v>
      </c>
      <c r="I131" s="35">
        <f>_xlfn.XLOOKUP(B131, '6.직원만족'!C:C, '6.직원만족'!BS:BS)</f>
        <v>10.68984850276596</v>
      </c>
      <c r="J131" s="162">
        <f t="shared" si="2"/>
        <v>71.88961083311392</v>
      </c>
    </row>
    <row r="132" spans="1:10" x14ac:dyDescent="0.6">
      <c r="A132" s="214" t="s">
        <v>549</v>
      </c>
      <c r="B132" s="219" t="s">
        <v>365</v>
      </c>
      <c r="C132" s="216" t="s">
        <v>191</v>
      </c>
      <c r="D132" s="35">
        <f>_xlfn.XLOOKUP(B132, '1.건전성'!C:C, '1.건전성'!CW:CW)</f>
        <v>19.184131892722789</v>
      </c>
      <c r="E132" s="35">
        <f>_xlfn.XLOOKUP(B132, '2.공정성'!C:C, '2.공정성'!BS:BS)</f>
        <v>17.25</v>
      </c>
      <c r="F132" s="35">
        <f>_xlfn.XLOOKUP(B132, '3.사회공헌'!C:C, '3.사회공헌'!BL:BL)</f>
        <v>8.5408507555917339</v>
      </c>
      <c r="G132" s="35">
        <f>_xlfn.XLOOKUP(B132, '4.소비자보호'!C:C, '4.소비자보호'!BE:BE)</f>
        <v>11.25</v>
      </c>
      <c r="H132" s="35">
        <f>_xlfn.XLOOKUP(B132, '5.환경경영'!C:C, '5.환경경영'!AX:AX)</f>
        <v>5.0833333333333339</v>
      </c>
      <c r="I132" s="35">
        <f>_xlfn.XLOOKUP(B132, '6.직원만족'!C:C, '6.직원만족'!BS:BS)</f>
        <v>10.561794961776769</v>
      </c>
      <c r="J132" s="162">
        <f t="shared" si="2"/>
        <v>71.870110943424635</v>
      </c>
    </row>
    <row r="133" spans="1:10" x14ac:dyDescent="0.6">
      <c r="A133" s="214" t="s">
        <v>1822</v>
      </c>
      <c r="B133" s="219" t="s">
        <v>1823</v>
      </c>
      <c r="C133" s="14" t="s">
        <v>203</v>
      </c>
      <c r="D133" s="35">
        <f>_xlfn.XLOOKUP(B133, '1.건전성'!C:C, '1.건전성'!CW:CW)</f>
        <v>18.861288903817673</v>
      </c>
      <c r="E133" s="35">
        <f>_xlfn.XLOOKUP(B133, '2.공정성'!C:C, '2.공정성'!BS:BS)</f>
        <v>17.5</v>
      </c>
      <c r="F133" s="35">
        <f>_xlfn.XLOOKUP(B133, '3.사회공헌'!C:C, '3.사회공헌'!BL:BL)</f>
        <v>7.5998361427867209</v>
      </c>
      <c r="G133" s="35">
        <f>_xlfn.XLOOKUP(B133, '4.소비자보호'!C:C, '4.소비자보호'!BE:BE)</f>
        <v>11.25</v>
      </c>
      <c r="H133" s="35">
        <f>_xlfn.XLOOKUP(B133, '5.환경경영'!C:C, '5.환경경영'!AX:AX)</f>
        <v>6.5833333333333339</v>
      </c>
      <c r="I133" s="35">
        <f>_xlfn.XLOOKUP(B133, '6.직원만족'!C:C, '6.직원만족'!BS:BS)</f>
        <v>10.054399123592324</v>
      </c>
      <c r="J133" s="162">
        <f t="shared" si="2"/>
        <v>71.848857503530056</v>
      </c>
    </row>
    <row r="134" spans="1:10" x14ac:dyDescent="0.6">
      <c r="A134" s="214" t="s">
        <v>824</v>
      </c>
      <c r="B134" s="219" t="s">
        <v>944</v>
      </c>
      <c r="C134" s="216" t="s">
        <v>203</v>
      </c>
      <c r="D134" s="35">
        <f>_xlfn.XLOOKUP(B134, '1.건전성'!C:C, '1.건전성'!CW:CW)</f>
        <v>17.719581280277161</v>
      </c>
      <c r="E134" s="35">
        <f>_xlfn.XLOOKUP(B134, '2.공정성'!C:C, '2.공정성'!BS:BS)</f>
        <v>18.5</v>
      </c>
      <c r="F134" s="35">
        <f>_xlfn.XLOOKUP(B134, '3.사회공헌'!C:C, '3.사회공헌'!BL:BL)</f>
        <v>5.6617427899383719</v>
      </c>
      <c r="G134" s="35">
        <f>_xlfn.XLOOKUP(B134, '4.소비자보호'!C:C, '4.소비자보호'!BE:BE)</f>
        <v>11.25</v>
      </c>
      <c r="H134" s="35">
        <f>_xlfn.XLOOKUP(B134, '5.환경경영'!C:C, '5.환경경영'!AX:AX)</f>
        <v>7.0833333333333339</v>
      </c>
      <c r="I134" s="35">
        <f>_xlfn.XLOOKUP(B134, '6.직원만족'!C:C, '6.직원만족'!BS:BS)</f>
        <v>11.60754923439948</v>
      </c>
      <c r="J134" s="162">
        <f t="shared" si="2"/>
        <v>71.822206637948355</v>
      </c>
    </row>
    <row r="135" spans="1:10" x14ac:dyDescent="0.6">
      <c r="A135" s="214" t="s">
        <v>1894</v>
      </c>
      <c r="B135" s="451" t="s">
        <v>63</v>
      </c>
      <c r="C135" s="452" t="s">
        <v>203</v>
      </c>
      <c r="D135" s="35">
        <f>_xlfn.XLOOKUP(B135, '1.건전성'!C:C, '1.건전성'!CW:CW)</f>
        <v>20.307045535391563</v>
      </c>
      <c r="E135" s="35">
        <f>_xlfn.XLOOKUP(B135, '2.공정성'!C:C, '2.공정성'!BS:BS)</f>
        <v>18.25</v>
      </c>
      <c r="F135" s="35">
        <f>_xlfn.XLOOKUP(B135, '3.사회공헌'!C:C, '3.사회공헌'!BL:BL)</f>
        <v>7.9804074507271814</v>
      </c>
      <c r="G135" s="35">
        <f>_xlfn.XLOOKUP(B135, '4.소비자보호'!C:C, '4.소비자보호'!BE:BE)</f>
        <v>11.25</v>
      </c>
      <c r="H135" s="35">
        <f>_xlfn.XLOOKUP(B135, '5.환경경영'!C:C, '5.환경경영'!AX:AX)</f>
        <v>6.0833333333333339</v>
      </c>
      <c r="I135" s="35">
        <f>_xlfn.XLOOKUP(B135, '6.직원만족'!C:C, '6.직원만족'!BS:BS)</f>
        <v>7.9440229818426067</v>
      </c>
      <c r="J135" s="162">
        <f t="shared" si="2"/>
        <v>71.814809301294687</v>
      </c>
    </row>
    <row r="136" spans="1:10" x14ac:dyDescent="0.6">
      <c r="A136" s="214" t="s">
        <v>761</v>
      </c>
      <c r="B136" s="219" t="s">
        <v>552</v>
      </c>
      <c r="C136" s="216" t="s">
        <v>191</v>
      </c>
      <c r="D136" s="35">
        <f>_xlfn.XLOOKUP(B136, '1.건전성'!C:C, '1.건전성'!CW:CW)</f>
        <v>17.61754755359031</v>
      </c>
      <c r="E136" s="35">
        <f>_xlfn.XLOOKUP(B136, '2.공정성'!C:C, '2.공정성'!BS:BS)</f>
        <v>19.5</v>
      </c>
      <c r="F136" s="35">
        <f>_xlfn.XLOOKUP(B136, '3.사회공헌'!C:C, '3.사회공헌'!BL:BL)</f>
        <v>7.349715329924698</v>
      </c>
      <c r="G136" s="35">
        <f>_xlfn.XLOOKUP(B136, '4.소비자보호'!C:C, '4.소비자보호'!BE:BE)</f>
        <v>11.25</v>
      </c>
      <c r="H136" s="35">
        <f>_xlfn.XLOOKUP(B136, '5.환경경영'!C:C, '5.환경경영'!AX:AX)</f>
        <v>6.0833333333333339</v>
      </c>
      <c r="I136" s="35">
        <f>_xlfn.XLOOKUP(B136, '6.직원만족'!C:C, '6.직원만족'!BS:BS)</f>
        <v>9.9643572706574215</v>
      </c>
      <c r="J136" s="162">
        <f t="shared" si="2"/>
        <v>71.764953487505764</v>
      </c>
    </row>
    <row r="137" spans="1:10" x14ac:dyDescent="0.6">
      <c r="A137" s="214" t="s">
        <v>883</v>
      </c>
      <c r="B137" s="219" t="s">
        <v>937</v>
      </c>
      <c r="C137" s="216" t="s">
        <v>203</v>
      </c>
      <c r="D137" s="35">
        <f>_xlfn.XLOOKUP(B137, '1.건전성'!C:C, '1.건전성'!CW:CW)</f>
        <v>17.193209324782377</v>
      </c>
      <c r="E137" s="35">
        <f>_xlfn.XLOOKUP(B137, '2.공정성'!C:C, '2.공정성'!BS:BS)</f>
        <v>19.75</v>
      </c>
      <c r="F137" s="35">
        <f>_xlfn.XLOOKUP(B137, '3.사회공헌'!C:C, '3.사회공헌'!BL:BL)</f>
        <v>8.9172635649103835</v>
      </c>
      <c r="G137" s="35">
        <f>_xlfn.XLOOKUP(B137, '4.소비자보호'!C:C, '4.소비자보호'!BE:BE)</f>
        <v>11.25</v>
      </c>
      <c r="H137" s="35">
        <f>_xlfn.XLOOKUP(B137, '5.환경경영'!C:C, '5.환경경영'!AX:AX)</f>
        <v>5.5833333333333339</v>
      </c>
      <c r="I137" s="35">
        <f>_xlfn.XLOOKUP(B137, '6.직원만족'!C:C, '6.직원만족'!BS:BS)</f>
        <v>9.0260423795480555</v>
      </c>
      <c r="J137" s="162">
        <f t="shared" si="2"/>
        <v>71.719848602574146</v>
      </c>
    </row>
    <row r="138" spans="1:10" x14ac:dyDescent="0.6">
      <c r="A138" s="214" t="s">
        <v>519</v>
      </c>
      <c r="B138" s="219" t="s">
        <v>33</v>
      </c>
      <c r="C138" s="216" t="s">
        <v>202</v>
      </c>
      <c r="D138" s="35">
        <f>_xlfn.XLOOKUP(B138, '1.건전성'!C:C, '1.건전성'!CW:CW)</f>
        <v>18.177412657274012</v>
      </c>
      <c r="E138" s="35">
        <f>_xlfn.XLOOKUP(B138, '2.공정성'!C:C, '2.공정성'!BS:BS)</f>
        <v>16.5</v>
      </c>
      <c r="F138" s="35">
        <f>_xlfn.XLOOKUP(B138, '3.사회공헌'!C:C, '3.사회공헌'!BL:BL)</f>
        <v>8.7332434405471524</v>
      </c>
      <c r="G138" s="35">
        <f>_xlfn.XLOOKUP(B138, '4.소비자보호'!C:C, '4.소비자보호'!BE:BE)</f>
        <v>11.25</v>
      </c>
      <c r="H138" s="35">
        <f>_xlfn.XLOOKUP(B138, '5.환경경영'!C:C, '5.환경경영'!AX:AX)</f>
        <v>6.5833333333333339</v>
      </c>
      <c r="I138" s="35">
        <f>_xlfn.XLOOKUP(B138, '6.직원만족'!C:C, '6.직원만족'!BS:BS)</f>
        <v>10.453192953726719</v>
      </c>
      <c r="J138" s="162">
        <f t="shared" si="2"/>
        <v>71.697182384881216</v>
      </c>
    </row>
    <row r="139" spans="1:10" x14ac:dyDescent="0.6">
      <c r="A139" s="214" t="s">
        <v>509</v>
      </c>
      <c r="B139" s="219" t="s">
        <v>536</v>
      </c>
      <c r="C139" s="216" t="s">
        <v>203</v>
      </c>
      <c r="D139" s="35">
        <f>_xlfn.XLOOKUP(B139, '1.건전성'!C:C, '1.건전성'!CW:CW)</f>
        <v>19.902469235097428</v>
      </c>
      <c r="E139" s="35">
        <f>_xlfn.XLOOKUP(B139, '2.공정성'!C:C, '2.공정성'!BS:BS)</f>
        <v>18.25</v>
      </c>
      <c r="F139" s="35">
        <f>_xlfn.XLOOKUP(B139, '3.사회공헌'!C:C, '3.사회공헌'!BL:BL)</f>
        <v>5.0440761608309588</v>
      </c>
      <c r="G139" s="35">
        <f>_xlfn.XLOOKUP(B139, '4.소비자보호'!C:C, '4.소비자보호'!BE:BE)</f>
        <v>11.25</v>
      </c>
      <c r="H139" s="35">
        <f>_xlfn.XLOOKUP(B139, '5.환경경영'!C:C, '5.환경경영'!AX:AX)</f>
        <v>5.5833333333333339</v>
      </c>
      <c r="I139" s="35">
        <f>_xlfn.XLOOKUP(B139, '6.직원만족'!C:C, '6.직원만족'!BS:BS)</f>
        <v>11.639647825378944</v>
      </c>
      <c r="J139" s="162">
        <f t="shared" si="2"/>
        <v>71.669526554640669</v>
      </c>
    </row>
    <row r="140" spans="1:10" x14ac:dyDescent="0.6">
      <c r="A140" s="214" t="s">
        <v>1629</v>
      </c>
      <c r="B140" s="219" t="s">
        <v>1630</v>
      </c>
      <c r="C140" s="14" t="s">
        <v>191</v>
      </c>
      <c r="D140" s="35">
        <f>_xlfn.XLOOKUP(B140, '1.건전성'!C:C, '1.건전성'!CW:CW)</f>
        <v>16.720594467920414</v>
      </c>
      <c r="E140" s="35">
        <f>_xlfn.XLOOKUP(B140, '2.공정성'!C:C, '2.공정성'!BS:BS)</f>
        <v>18</v>
      </c>
      <c r="F140" s="35">
        <f>_xlfn.XLOOKUP(B140, '3.사회공헌'!C:C, '3.사회공헌'!BL:BL)</f>
        <v>8.5604865933331347</v>
      </c>
      <c r="G140" s="35">
        <f>_xlfn.XLOOKUP(B140, '4.소비자보호'!C:C, '4.소비자보호'!BE:BE)</f>
        <v>11.25</v>
      </c>
      <c r="H140" s="35">
        <f>_xlfn.XLOOKUP(B140, '5.환경경영'!C:C, '5.환경경영'!AX:AX)</f>
        <v>6.5833333333333339</v>
      </c>
      <c r="I140" s="35">
        <f>_xlfn.XLOOKUP(B140, '6.직원만족'!C:C, '6.직원만족'!BS:BS)</f>
        <v>10.553565152485048</v>
      </c>
      <c r="J140" s="162">
        <f t="shared" si="2"/>
        <v>71.667979547071923</v>
      </c>
    </row>
    <row r="141" spans="1:10" x14ac:dyDescent="0.6">
      <c r="A141" s="214" t="s">
        <v>1577</v>
      </c>
      <c r="B141" s="219" t="s">
        <v>101</v>
      </c>
      <c r="C141" s="216" t="s">
        <v>202</v>
      </c>
      <c r="D141" s="35">
        <f>_xlfn.XLOOKUP(B141, '1.건전성'!C:C, '1.건전성'!CW:CW)</f>
        <v>17.870849575740884</v>
      </c>
      <c r="E141" s="35">
        <f>_xlfn.XLOOKUP(B141, '2.공정성'!C:C, '2.공정성'!BS:BS)</f>
        <v>19.5</v>
      </c>
      <c r="F141" s="35">
        <f>_xlfn.XLOOKUP(B141, '3.사회공헌'!C:C, '3.사회공헌'!BL:BL)</f>
        <v>5.379904169358718</v>
      </c>
      <c r="G141" s="35">
        <f>_xlfn.XLOOKUP(B141, '4.소비자보호'!C:C, '4.소비자보호'!BE:BE)</f>
        <v>11.25</v>
      </c>
      <c r="H141" s="35">
        <f>_xlfn.XLOOKUP(B141, '5.환경경영'!C:C, '5.환경경영'!AX:AX)</f>
        <v>7.0833333333333339</v>
      </c>
      <c r="I141" s="35">
        <f>_xlfn.XLOOKUP(B141, '6.직원만족'!C:C, '6.직원만족'!BS:BS)</f>
        <v>10.582137427453281</v>
      </c>
      <c r="J141" s="162">
        <f t="shared" si="2"/>
        <v>71.66622450588622</v>
      </c>
    </row>
    <row r="142" spans="1:10" x14ac:dyDescent="0.6">
      <c r="A142" s="214" t="s">
        <v>865</v>
      </c>
      <c r="B142" s="219" t="s">
        <v>852</v>
      </c>
      <c r="C142" s="216" t="s">
        <v>203</v>
      </c>
      <c r="D142" s="35">
        <f>_xlfn.XLOOKUP(B142, '1.건전성'!C:C, '1.건전성'!CW:CW)</f>
        <v>16.94988923532107</v>
      </c>
      <c r="E142" s="35">
        <f>_xlfn.XLOOKUP(B142, '2.공정성'!C:C, '2.공정성'!BS:BS)</f>
        <v>18.5</v>
      </c>
      <c r="F142" s="35">
        <f>_xlfn.XLOOKUP(B142, '3.사회공헌'!C:C, '3.사회공헌'!BL:BL)</f>
        <v>9.0798844762833451</v>
      </c>
      <c r="G142" s="35">
        <f>_xlfn.XLOOKUP(B142, '4.소비자보호'!C:C, '4.소비자보호'!BE:BE)</f>
        <v>11.25</v>
      </c>
      <c r="H142" s="35">
        <f>_xlfn.XLOOKUP(B142, '5.환경경영'!C:C, '5.환경경영'!AX:AX)</f>
        <v>7.3333333333333339</v>
      </c>
      <c r="I142" s="35">
        <f>_xlfn.XLOOKUP(B142, '6.직원만족'!C:C, '6.직원만족'!BS:BS)</f>
        <v>8.5092157479901651</v>
      </c>
      <c r="J142" s="162">
        <f t="shared" si="2"/>
        <v>71.622322792927918</v>
      </c>
    </row>
    <row r="143" spans="1:10" x14ac:dyDescent="0.6">
      <c r="A143" s="214" t="s">
        <v>854</v>
      </c>
      <c r="B143" s="219" t="s">
        <v>324</v>
      </c>
      <c r="C143" s="216" t="s">
        <v>285</v>
      </c>
      <c r="D143" s="35">
        <f>_xlfn.XLOOKUP(B143, '1.건전성'!C:C, '1.건전성'!CW:CW)</f>
        <v>17.089632054188481</v>
      </c>
      <c r="E143" s="35">
        <f>_xlfn.XLOOKUP(B143, '2.공정성'!C:C, '2.공정성'!BS:BS)</f>
        <v>19.25</v>
      </c>
      <c r="F143" s="35">
        <f>_xlfn.XLOOKUP(B143, '3.사회공헌'!C:C, '3.사회공헌'!BL:BL)</f>
        <v>8.5895986024131261</v>
      </c>
      <c r="G143" s="35">
        <f>_xlfn.XLOOKUP(B143, '4.소비자보호'!C:C, '4.소비자보호'!BE:BE)</f>
        <v>11.25</v>
      </c>
      <c r="H143" s="35">
        <f>_xlfn.XLOOKUP(B143, '5.환경경영'!C:C, '5.환경경영'!AX:AX)</f>
        <v>5.0833333333333339</v>
      </c>
      <c r="I143" s="35">
        <f>_xlfn.XLOOKUP(B143, '6.직원만족'!C:C, '6.직원만족'!BS:BS)</f>
        <v>10.330691889941328</v>
      </c>
      <c r="J143" s="162">
        <f t="shared" si="2"/>
        <v>71.593255879876267</v>
      </c>
    </row>
    <row r="144" spans="1:10" x14ac:dyDescent="0.6">
      <c r="A144" s="214" t="s">
        <v>48</v>
      </c>
      <c r="B144" s="219" t="s">
        <v>432</v>
      </c>
      <c r="C144" s="216" t="s">
        <v>203</v>
      </c>
      <c r="D144" s="35">
        <f>_xlfn.XLOOKUP(B144, '1.건전성'!C:C, '1.건전성'!CW:CW)</f>
        <v>18.325672619078777</v>
      </c>
      <c r="E144" s="35">
        <f>_xlfn.XLOOKUP(B144, '2.공정성'!C:C, '2.공정성'!BS:BS)</f>
        <v>17.75</v>
      </c>
      <c r="F144" s="35">
        <f>_xlfn.XLOOKUP(B144, '3.사회공헌'!C:C, '3.사회공헌'!BL:BL)</f>
        <v>8.9667942481792018</v>
      </c>
      <c r="G144" s="35">
        <f>_xlfn.XLOOKUP(B144, '4.소비자보호'!C:C, '4.소비자보호'!BE:BE)</f>
        <v>11.25</v>
      </c>
      <c r="H144" s="35">
        <f>_xlfn.XLOOKUP(B144, '5.환경경영'!C:C, '5.환경경영'!AX:AX)</f>
        <v>5.5833333333333339</v>
      </c>
      <c r="I144" s="35">
        <f>_xlfn.XLOOKUP(B144, '6.직원만족'!C:C, '6.직원만족'!BS:BS)</f>
        <v>9.6764182927154074</v>
      </c>
      <c r="J144" s="162">
        <f t="shared" si="2"/>
        <v>71.552218493306711</v>
      </c>
    </row>
    <row r="145" spans="1:10" x14ac:dyDescent="0.6">
      <c r="A145" s="214" t="s">
        <v>820</v>
      </c>
      <c r="B145" s="219" t="s">
        <v>419</v>
      </c>
      <c r="C145" s="216" t="s">
        <v>285</v>
      </c>
      <c r="D145" s="35">
        <f>_xlfn.XLOOKUP(B145, '1.건전성'!C:C, '1.건전성'!CW:CW)</f>
        <v>18.154371103541948</v>
      </c>
      <c r="E145" s="35">
        <f>_xlfn.XLOOKUP(B145, '2.공정성'!C:C, '2.공정성'!BS:BS)</f>
        <v>16.5</v>
      </c>
      <c r="F145" s="35">
        <f>_xlfn.XLOOKUP(B145, '3.사회공헌'!C:C, '3.사회공헌'!BL:BL)</f>
        <v>9.7414808065079193</v>
      </c>
      <c r="G145" s="35">
        <f>_xlfn.XLOOKUP(B145, '4.소비자보호'!C:C, '4.소비자보호'!BE:BE)</f>
        <v>11.25</v>
      </c>
      <c r="H145" s="35">
        <f>_xlfn.XLOOKUP(B145, '5.환경경영'!C:C, '5.환경경영'!AX:AX)</f>
        <v>5.0833333333333339</v>
      </c>
      <c r="I145" s="35">
        <f>_xlfn.XLOOKUP(B145, '6.직원만족'!C:C, '6.직원만족'!BS:BS)</f>
        <v>10.768952808759527</v>
      </c>
      <c r="J145" s="162">
        <f t="shared" si="2"/>
        <v>71.498138052142735</v>
      </c>
    </row>
    <row r="146" spans="1:10" x14ac:dyDescent="0.6">
      <c r="A146" s="214" t="s">
        <v>27</v>
      </c>
      <c r="B146" s="219" t="s">
        <v>312</v>
      </c>
      <c r="C146" s="216" t="s">
        <v>202</v>
      </c>
      <c r="D146" s="35">
        <f>_xlfn.XLOOKUP(B146, '1.건전성'!C:C, '1.건전성'!CW:CW)</f>
        <v>17.773548624009972</v>
      </c>
      <c r="E146" s="35">
        <f>_xlfn.XLOOKUP(B146, '2.공정성'!C:C, '2.공정성'!BS:BS)</f>
        <v>19.75</v>
      </c>
      <c r="F146" s="35">
        <f>_xlfn.XLOOKUP(B146, '3.사회공헌'!C:C, '3.사회공헌'!BL:BL)</f>
        <v>4.8211263057385167</v>
      </c>
      <c r="G146" s="35">
        <f>_xlfn.XLOOKUP(B146, '4.소비자보호'!C:C, '4.소비자보호'!BE:BE)</f>
        <v>11.25</v>
      </c>
      <c r="H146" s="35">
        <f>_xlfn.XLOOKUP(B146, '5.환경경영'!C:C, '5.환경경영'!AX:AX)</f>
        <v>6.0833333333333339</v>
      </c>
      <c r="I146" s="35">
        <f>_xlfn.XLOOKUP(B146, '6.직원만족'!C:C, '6.직원만족'!BS:BS)</f>
        <v>11.818055294253755</v>
      </c>
      <c r="J146" s="162">
        <f t="shared" si="2"/>
        <v>71.496063557335589</v>
      </c>
    </row>
    <row r="147" spans="1:10" x14ac:dyDescent="0.6">
      <c r="A147" s="214" t="s">
        <v>1546</v>
      </c>
      <c r="B147" s="219" t="s">
        <v>1547</v>
      </c>
      <c r="C147" s="14" t="s">
        <v>203</v>
      </c>
      <c r="D147" s="35">
        <f>_xlfn.XLOOKUP(B147, '1.건전성'!C:C, '1.건전성'!CW:CW)</f>
        <v>20.304492427139365</v>
      </c>
      <c r="E147" s="35">
        <f>_xlfn.XLOOKUP(B147, '2.공정성'!C:C, '2.공정성'!BS:BS)</f>
        <v>16.25</v>
      </c>
      <c r="F147" s="35">
        <f>_xlfn.XLOOKUP(B147, '3.사회공헌'!C:C, '3.사회공헌'!BL:BL)</f>
        <v>7.6996083711091554</v>
      </c>
      <c r="G147" s="35">
        <f>_xlfn.XLOOKUP(B147, '4.소비자보호'!C:C, '4.소비자보호'!BE:BE)</f>
        <v>11.25</v>
      </c>
      <c r="H147" s="35">
        <f>_xlfn.XLOOKUP(B147, '5.환경경영'!C:C, '5.환경경영'!AX:AX)</f>
        <v>7.8333333333333339</v>
      </c>
      <c r="I147" s="35">
        <f>_xlfn.XLOOKUP(B147, '6.직원만족'!C:C, '6.직원만족'!BS:BS)</f>
        <v>8.1475619146840454</v>
      </c>
      <c r="J147" s="162">
        <f t="shared" si="2"/>
        <v>71.484996046265906</v>
      </c>
    </row>
    <row r="148" spans="1:10" x14ac:dyDescent="0.6">
      <c r="A148" s="214" t="s">
        <v>111</v>
      </c>
      <c r="B148" s="219" t="s">
        <v>482</v>
      </c>
      <c r="C148" s="216" t="s">
        <v>203</v>
      </c>
      <c r="D148" s="35">
        <f>_xlfn.XLOOKUP(B148, '1.건전성'!C:C, '1.건전성'!CW:CW)</f>
        <v>17.420032635947294</v>
      </c>
      <c r="E148" s="35">
        <f>_xlfn.XLOOKUP(B148, '2.공정성'!C:C, '2.공정성'!BS:BS)</f>
        <v>16.25</v>
      </c>
      <c r="F148" s="35">
        <f>_xlfn.XLOOKUP(B148, '3.사회공헌'!C:C, '3.사회공헌'!BL:BL)</f>
        <v>9.5650985441406498</v>
      </c>
      <c r="G148" s="35">
        <f>_xlfn.XLOOKUP(B148, '4.소비자보호'!C:C, '4.소비자보호'!BE:BE)</f>
        <v>11.25</v>
      </c>
      <c r="H148" s="35">
        <f>_xlfn.XLOOKUP(B148, '5.환경경영'!C:C, '5.환경경영'!AX:AX)</f>
        <v>6.8333333333333339</v>
      </c>
      <c r="I148" s="35">
        <f>_xlfn.XLOOKUP(B148, '6.직원만족'!C:C, '6.직원만족'!BS:BS)</f>
        <v>10.159812522948707</v>
      </c>
      <c r="J148" s="162">
        <f t="shared" si="2"/>
        <v>71.478277036369988</v>
      </c>
    </row>
    <row r="149" spans="1:10" x14ac:dyDescent="0.6">
      <c r="A149" s="214" t="s">
        <v>942</v>
      </c>
      <c r="B149" s="219" t="s">
        <v>477</v>
      </c>
      <c r="C149" s="216" t="s">
        <v>203</v>
      </c>
      <c r="D149" s="35">
        <f>_xlfn.XLOOKUP(B149, '1.건전성'!C:C, '1.건전성'!CW:CW)</f>
        <v>17.431877187565476</v>
      </c>
      <c r="E149" s="35">
        <f>_xlfn.XLOOKUP(B149, '2.공정성'!C:C, '2.공정성'!BS:BS)</f>
        <v>19.25</v>
      </c>
      <c r="F149" s="35">
        <f>_xlfn.XLOOKUP(B149, '3.사회공헌'!C:C, '3.사회공헌'!BL:BL)</f>
        <v>7.6814642793902159</v>
      </c>
      <c r="G149" s="35">
        <f>_xlfn.XLOOKUP(B149, '4.소비자보호'!C:C, '4.소비자보호'!BE:BE)</f>
        <v>11.25</v>
      </c>
      <c r="H149" s="35">
        <f>_xlfn.XLOOKUP(B149, '5.환경경영'!C:C, '5.환경경영'!AX:AX)</f>
        <v>5.5833333333333339</v>
      </c>
      <c r="I149" s="35">
        <f>_xlfn.XLOOKUP(B149, '6.직원만족'!C:C, '6.직원만족'!BS:BS)</f>
        <v>10.25748774509804</v>
      </c>
      <c r="J149" s="162">
        <f t="shared" si="2"/>
        <v>71.454162545387064</v>
      </c>
    </row>
    <row r="150" spans="1:10" x14ac:dyDescent="0.6">
      <c r="A150" s="214" t="s">
        <v>1586</v>
      </c>
      <c r="B150" s="219" t="s">
        <v>102</v>
      </c>
      <c r="C150" s="216" t="s">
        <v>203</v>
      </c>
      <c r="D150" s="35">
        <f>_xlfn.XLOOKUP(B150, '1.건전성'!C:C, '1.건전성'!CW:CW)</f>
        <v>18.451639846993643</v>
      </c>
      <c r="E150" s="35">
        <f>_xlfn.XLOOKUP(B150, '2.공정성'!C:C, '2.공정성'!BS:BS)</f>
        <v>17.25</v>
      </c>
      <c r="F150" s="35">
        <f>_xlfn.XLOOKUP(B150, '3.사회공헌'!C:C, '3.사회공헌'!BL:BL)</f>
        <v>8.8388143361729306</v>
      </c>
      <c r="G150" s="35">
        <f>_xlfn.XLOOKUP(B150, '4.소비자보호'!C:C, '4.소비자보호'!BE:BE)</f>
        <v>10.95</v>
      </c>
      <c r="H150" s="35">
        <f>_xlfn.XLOOKUP(B150, '5.환경경영'!C:C, '5.환경경영'!AX:AX)</f>
        <v>6.0833333333333339</v>
      </c>
      <c r="I150" s="35">
        <f>_xlfn.XLOOKUP(B150, '6.직원만족'!C:C, '6.직원만족'!BS:BS)</f>
        <v>9.8718641733539414</v>
      </c>
      <c r="J150" s="162">
        <f t="shared" si="2"/>
        <v>71.445651689853861</v>
      </c>
    </row>
    <row r="151" spans="1:10" x14ac:dyDescent="0.6">
      <c r="A151" s="214" t="s">
        <v>338</v>
      </c>
      <c r="B151" s="219" t="s">
        <v>80</v>
      </c>
      <c r="C151" s="216" t="s">
        <v>202</v>
      </c>
      <c r="D151" s="35">
        <f>_xlfn.XLOOKUP(B151, '1.건전성'!C:C, '1.건전성'!CW:CW)</f>
        <v>18.272420763743398</v>
      </c>
      <c r="E151" s="35">
        <f>_xlfn.XLOOKUP(B151, '2.공정성'!C:C, '2.공정성'!BS:BS)</f>
        <v>17.25</v>
      </c>
      <c r="F151" s="35">
        <f>_xlfn.XLOOKUP(B151, '3.사회공헌'!C:C, '3.사회공헌'!BL:BL)</f>
        <v>8.6692488827598773</v>
      </c>
      <c r="G151" s="35">
        <f>_xlfn.XLOOKUP(B151, '4.소비자보호'!C:C, '4.소비자보호'!BE:BE)</f>
        <v>11.25</v>
      </c>
      <c r="H151" s="35">
        <f>_xlfn.XLOOKUP(B151, '5.환경경영'!C:C, '5.환경경영'!AX:AX)</f>
        <v>6.0833333333333339</v>
      </c>
      <c r="I151" s="35">
        <f>_xlfn.XLOOKUP(B151, '6.직원만족'!C:C, '6.직원만족'!BS:BS)</f>
        <v>9.9123215580167372</v>
      </c>
      <c r="J151" s="162">
        <f t="shared" si="2"/>
        <v>71.437324537853343</v>
      </c>
    </row>
    <row r="152" spans="1:10" x14ac:dyDescent="0.6">
      <c r="A152" s="214" t="s">
        <v>1672</v>
      </c>
      <c r="B152" s="219" t="s">
        <v>1673</v>
      </c>
      <c r="C152" s="14" t="s">
        <v>203</v>
      </c>
      <c r="D152" s="35">
        <f>_xlfn.XLOOKUP(B152, '1.건전성'!C:C, '1.건전성'!CW:CW)</f>
        <v>20.374974390523136</v>
      </c>
      <c r="E152" s="35">
        <f>_xlfn.XLOOKUP(B152, '2.공정성'!C:C, '2.공정성'!BS:BS)</f>
        <v>15.25</v>
      </c>
      <c r="F152" s="35">
        <f>_xlfn.XLOOKUP(B152, '3.사회공헌'!C:C, '3.사회공헌'!BL:BL)</f>
        <v>9.6446917980862246</v>
      </c>
      <c r="G152" s="35">
        <f>_xlfn.XLOOKUP(B152, '4.소비자보호'!C:C, '4.소비자보호'!BE:BE)</f>
        <v>11.25</v>
      </c>
      <c r="H152" s="35">
        <f>_xlfn.XLOOKUP(B152, '5.환경경영'!C:C, '5.환경경영'!AX:AX)</f>
        <v>7.0833333333333339</v>
      </c>
      <c r="I152" s="35">
        <f>_xlfn.XLOOKUP(B152, '6.직원만족'!C:C, '6.직원만족'!BS:BS)</f>
        <v>7.8252428583038167</v>
      </c>
      <c r="J152" s="162">
        <f t="shared" si="2"/>
        <v>71.428242380246516</v>
      </c>
    </row>
    <row r="153" spans="1:10" x14ac:dyDescent="0.6">
      <c r="A153" s="214" t="s">
        <v>1738</v>
      </c>
      <c r="B153" s="219" t="s">
        <v>374</v>
      </c>
      <c r="C153" s="216" t="s">
        <v>191</v>
      </c>
      <c r="D153" s="35">
        <f>_xlfn.XLOOKUP(B153, '1.건전성'!C:C, '1.건전성'!CW:CW)</f>
        <v>17.264488343317122</v>
      </c>
      <c r="E153" s="35">
        <f>_xlfn.XLOOKUP(B153, '2.공정성'!C:C, '2.공정성'!BS:BS)</f>
        <v>19.25</v>
      </c>
      <c r="F153" s="35">
        <f>_xlfn.XLOOKUP(B153, '3.사회공헌'!C:C, '3.사회공헌'!BL:BL)</f>
        <v>6.8060325738051759</v>
      </c>
      <c r="G153" s="35">
        <f>_xlfn.XLOOKUP(B153, '4.소비자보호'!C:C, '4.소비자보호'!BE:BE)</f>
        <v>11.25</v>
      </c>
      <c r="H153" s="35">
        <f>_xlfn.XLOOKUP(B153, '5.환경경영'!C:C, '5.환경경영'!AX:AX)</f>
        <v>5.0833333333333339</v>
      </c>
      <c r="I153" s="35">
        <f>_xlfn.XLOOKUP(B153, '6.직원만족'!C:C, '6.직원만족'!BS:BS)</f>
        <v>11.772089906617088</v>
      </c>
      <c r="J153" s="162">
        <f t="shared" si="2"/>
        <v>71.42594415707272</v>
      </c>
    </row>
    <row r="154" spans="1:10" x14ac:dyDescent="0.6">
      <c r="A154" s="214" t="s">
        <v>1509</v>
      </c>
      <c r="B154" s="219" t="s">
        <v>1510</v>
      </c>
      <c r="C154" s="14" t="s">
        <v>191</v>
      </c>
      <c r="D154" s="35">
        <f>_xlfn.XLOOKUP(B154, '1.건전성'!C:C, '1.건전성'!CW:CW)</f>
        <v>20.646058209599364</v>
      </c>
      <c r="E154" s="35">
        <f>_xlfn.XLOOKUP(B154, '2.공정성'!C:C, '2.공정성'!BS:BS)</f>
        <v>17.833333333333336</v>
      </c>
      <c r="F154" s="35">
        <f>_xlfn.XLOOKUP(B154, '3.사회공헌'!C:C, '3.사회공헌'!BL:BL)</f>
        <v>9.5527425559898465</v>
      </c>
      <c r="G154" s="35">
        <f>_xlfn.XLOOKUP(B154, '4.소비자보호'!C:C, '4.소비자보호'!BE:BE)</f>
        <v>8.85</v>
      </c>
      <c r="H154" s="35">
        <f>_xlfn.XLOOKUP(B154, '5.환경경영'!C:C, '5.환경경영'!AX:AX)</f>
        <v>5.5833333333333339</v>
      </c>
      <c r="I154" s="35">
        <f>_xlfn.XLOOKUP(B154, '6.직원만족'!C:C, '6.직원만족'!BS:BS)</f>
        <v>8.9519533347901827</v>
      </c>
      <c r="J154" s="162">
        <f t="shared" si="2"/>
        <v>71.417420767046067</v>
      </c>
    </row>
    <row r="155" spans="1:10" x14ac:dyDescent="0.6">
      <c r="A155" s="214" t="s">
        <v>1694</v>
      </c>
      <c r="B155" s="219" t="s">
        <v>1695</v>
      </c>
      <c r="C155" s="14" t="s">
        <v>203</v>
      </c>
      <c r="D155" s="35">
        <f>_xlfn.XLOOKUP(B155, '1.건전성'!C:C, '1.건전성'!CW:CW)</f>
        <v>20.358835989373489</v>
      </c>
      <c r="E155" s="35">
        <f>_xlfn.XLOOKUP(B155, '2.공정성'!C:C, '2.공정성'!BS:BS)</f>
        <v>19.25</v>
      </c>
      <c r="F155" s="35">
        <f>_xlfn.XLOOKUP(B155, '3.사회공헌'!C:C, '3.사회공헌'!BL:BL)</f>
        <v>4.2666231888671176</v>
      </c>
      <c r="G155" s="35">
        <f>_xlfn.XLOOKUP(B155, '4.소비자보호'!C:C, '4.소비자보호'!BE:BE)</f>
        <v>12</v>
      </c>
      <c r="H155" s="35">
        <f>_xlfn.XLOOKUP(B155, '5.환경경영'!C:C, '5.환경경영'!AX:AX)</f>
        <v>6.0833333333333339</v>
      </c>
      <c r="I155" s="35">
        <f>_xlfn.XLOOKUP(B155, '6.직원만족'!C:C, '6.직원만족'!BS:BS)</f>
        <v>9.4405437833859835</v>
      </c>
      <c r="J155" s="162">
        <f t="shared" si="2"/>
        <v>71.399336294959923</v>
      </c>
    </row>
    <row r="156" spans="1:10" x14ac:dyDescent="0.6">
      <c r="A156" s="214" t="s">
        <v>688</v>
      </c>
      <c r="B156" s="219" t="s">
        <v>21</v>
      </c>
      <c r="C156" s="216" t="s">
        <v>203</v>
      </c>
      <c r="D156" s="35">
        <f>_xlfn.XLOOKUP(B156, '1.건전성'!C:C, '1.건전성'!CW:CW)</f>
        <v>17.608237705788149</v>
      </c>
      <c r="E156" s="35">
        <f>_xlfn.XLOOKUP(B156, '2.공정성'!C:C, '2.공정성'!BS:BS)</f>
        <v>19.25</v>
      </c>
      <c r="F156" s="35">
        <f>_xlfn.XLOOKUP(B156, '3.사회공헌'!C:C, '3.사회공헌'!BL:BL)</f>
        <v>6.5263419336798494</v>
      </c>
      <c r="G156" s="35">
        <f>_xlfn.XLOOKUP(B156, '4.소비자보호'!C:C, '4.소비자보호'!BE:BE)</f>
        <v>11.25</v>
      </c>
      <c r="H156" s="35">
        <f>_xlfn.XLOOKUP(B156, '5.환경경영'!C:C, '5.환경경영'!AX:AX)</f>
        <v>5.0833333333333339</v>
      </c>
      <c r="I156" s="35">
        <f>_xlfn.XLOOKUP(B156, '6.직원만족'!C:C, '6.직원만족'!BS:BS)</f>
        <v>11.66342737143329</v>
      </c>
      <c r="J156" s="162">
        <f t="shared" si="2"/>
        <v>71.38134034423463</v>
      </c>
    </row>
    <row r="157" spans="1:10" x14ac:dyDescent="0.6">
      <c r="A157" s="214" t="s">
        <v>743</v>
      </c>
      <c r="B157" s="219" t="s">
        <v>880</v>
      </c>
      <c r="C157" s="216" t="s">
        <v>191</v>
      </c>
      <c r="D157" s="35">
        <f>_xlfn.XLOOKUP(B157, '1.건전성'!C:C, '1.건전성'!CW:CW)</f>
        <v>17.457730953872868</v>
      </c>
      <c r="E157" s="35">
        <f>_xlfn.XLOOKUP(B157, '2.공정성'!C:C, '2.공정성'!BS:BS)</f>
        <v>19</v>
      </c>
      <c r="F157" s="35">
        <f>_xlfn.XLOOKUP(B157, '3.사회공헌'!C:C, '3.사회공헌'!BL:BL)</f>
        <v>5.4884515745649685</v>
      </c>
      <c r="G157" s="35">
        <f>_xlfn.XLOOKUP(B157, '4.소비자보호'!C:C, '4.소비자보호'!BE:BE)</f>
        <v>11.25</v>
      </c>
      <c r="H157" s="35">
        <f>_xlfn.XLOOKUP(B157, '5.환경경영'!C:C, '5.환경경영'!AX:AX)</f>
        <v>6.5833333333333339</v>
      </c>
      <c r="I157" s="35">
        <f>_xlfn.XLOOKUP(B157, '6.직원만족'!C:C, '6.직원만족'!BS:BS)</f>
        <v>11.590549362183689</v>
      </c>
      <c r="J157" s="162">
        <f t="shared" si="2"/>
        <v>71.370065223954867</v>
      </c>
    </row>
    <row r="158" spans="1:10" x14ac:dyDescent="0.6">
      <c r="A158" s="214" t="s">
        <v>748</v>
      </c>
      <c r="B158" s="219" t="s">
        <v>98</v>
      </c>
      <c r="C158" s="216" t="s">
        <v>202</v>
      </c>
      <c r="D158" s="35">
        <f>_xlfn.XLOOKUP(B158, '1.건전성'!C:C, '1.건전성'!CW:CW)</f>
        <v>16.035811926059704</v>
      </c>
      <c r="E158" s="35">
        <f>_xlfn.XLOOKUP(B158, '2.공정성'!C:C, '2.공정성'!BS:BS)</f>
        <v>19</v>
      </c>
      <c r="F158" s="35">
        <f>_xlfn.XLOOKUP(B158, '3.사회공헌'!C:C, '3.사회공헌'!BL:BL)</f>
        <v>8.399961808671863</v>
      </c>
      <c r="G158" s="35">
        <f>_xlfn.XLOOKUP(B158, '4.소비자보호'!C:C, '4.소비자보호'!BE:BE)</f>
        <v>11.25</v>
      </c>
      <c r="H158" s="35">
        <f>_xlfn.XLOOKUP(B158, '5.환경경영'!C:C, '5.환경경영'!AX:AX)</f>
        <v>6.0833333333333339</v>
      </c>
      <c r="I158" s="35">
        <f>_xlfn.XLOOKUP(B158, '6.직원만족'!C:C, '6.직원만족'!BS:BS)</f>
        <v>10.590057162882369</v>
      </c>
      <c r="J158" s="162">
        <f t="shared" si="2"/>
        <v>71.359164230947272</v>
      </c>
    </row>
    <row r="159" spans="1:10" x14ac:dyDescent="0.6">
      <c r="A159" s="214" t="s">
        <v>1832</v>
      </c>
      <c r="B159" s="219" t="s">
        <v>1833</v>
      </c>
      <c r="C159" s="14" t="s">
        <v>203</v>
      </c>
      <c r="D159" s="35">
        <f>_xlfn.XLOOKUP(B159, '1.건전성'!C:C, '1.건전성'!CW:CW)</f>
        <v>19.404347033983338</v>
      </c>
      <c r="E159" s="35">
        <f>_xlfn.XLOOKUP(B159, '2.공정성'!C:C, '2.공정성'!BS:BS)</f>
        <v>17.5</v>
      </c>
      <c r="F159" s="35">
        <f>_xlfn.XLOOKUP(B159, '3.사회공헌'!C:C, '3.사회공헌'!BL:BL)</f>
        <v>9.5531987849009052</v>
      </c>
      <c r="G159" s="35">
        <f>_xlfn.XLOOKUP(B159, '4.소비자보호'!C:C, '4.소비자보호'!BE:BE)</f>
        <v>10.45</v>
      </c>
      <c r="H159" s="35">
        <f>_xlfn.XLOOKUP(B159, '5.환경경영'!C:C, '5.환경경영'!AX:AX)</f>
        <v>7.3333333333333339</v>
      </c>
      <c r="I159" s="35">
        <f>_xlfn.XLOOKUP(B159, '6.직원만족'!C:C, '6.직원만족'!BS:BS)</f>
        <v>7.107732258446287</v>
      </c>
      <c r="J159" s="162">
        <f t="shared" si="2"/>
        <v>71.348611410663864</v>
      </c>
    </row>
    <row r="160" spans="1:10" x14ac:dyDescent="0.6">
      <c r="A160" s="214" t="s">
        <v>363</v>
      </c>
      <c r="B160" s="219" t="s">
        <v>105</v>
      </c>
      <c r="C160" s="216" t="s">
        <v>191</v>
      </c>
      <c r="D160" s="35">
        <f>_xlfn.XLOOKUP(B160, '1.건전성'!C:C, '1.건전성'!CW:CW)</f>
        <v>19.667530083551135</v>
      </c>
      <c r="E160" s="35">
        <f>_xlfn.XLOOKUP(B160, '2.공정성'!C:C, '2.공정성'!BS:BS)</f>
        <v>19.5</v>
      </c>
      <c r="F160" s="35">
        <f>_xlfn.XLOOKUP(B160, '3.사회공헌'!C:C, '3.사회공헌'!BL:BL)</f>
        <v>6.1479917429034243</v>
      </c>
      <c r="G160" s="35">
        <f>_xlfn.XLOOKUP(B160, '4.소비자보호'!C:C, '4.소비자보호'!BE:BE)</f>
        <v>11.75</v>
      </c>
      <c r="H160" s="35">
        <f>_xlfn.XLOOKUP(B160, '5.환경경영'!C:C, '5.환경경영'!AX:AX)</f>
        <v>7.3333333333333339</v>
      </c>
      <c r="I160" s="35">
        <f>_xlfn.XLOOKUP(B160, '6.직원만족'!C:C, '6.직원만족'!BS:BS)</f>
        <v>6.9250245194362483</v>
      </c>
      <c r="J160" s="162">
        <f t="shared" si="2"/>
        <v>71.323879679224135</v>
      </c>
    </row>
    <row r="161" spans="1:10" x14ac:dyDescent="0.6">
      <c r="A161" s="214" t="s">
        <v>526</v>
      </c>
      <c r="B161" s="219" t="s">
        <v>294</v>
      </c>
      <c r="C161" s="216" t="s">
        <v>203</v>
      </c>
      <c r="D161" s="35">
        <f>_xlfn.XLOOKUP(B161, '1.건전성'!C:C, '1.건전성'!CW:CW)</f>
        <v>18.455862560655444</v>
      </c>
      <c r="E161" s="35">
        <f>_xlfn.XLOOKUP(B161, '2.공정성'!C:C, '2.공정성'!BS:BS)</f>
        <v>19.25</v>
      </c>
      <c r="F161" s="35">
        <f>_xlfn.XLOOKUP(B161, '3.사회공헌'!C:C, '3.사회공헌'!BL:BL)</f>
        <v>6.9086702251514618</v>
      </c>
      <c r="G161" s="35">
        <f>_xlfn.XLOOKUP(B161, '4.소비자보호'!C:C, '4.소비자보호'!BE:BE)</f>
        <v>11.25</v>
      </c>
      <c r="H161" s="35">
        <f>_xlfn.XLOOKUP(B161, '5.환경경영'!C:C, '5.환경경영'!AX:AX)</f>
        <v>6.0833333333333339</v>
      </c>
      <c r="I161" s="35">
        <f>_xlfn.XLOOKUP(B161, '6.직원만족'!C:C, '6.직원만족'!BS:BS)</f>
        <v>9.3725074423503507</v>
      </c>
      <c r="J161" s="162">
        <f t="shared" si="2"/>
        <v>71.320373561490598</v>
      </c>
    </row>
    <row r="162" spans="1:10" x14ac:dyDescent="0.6">
      <c r="A162" s="214" t="s">
        <v>1757</v>
      </c>
      <c r="B162" s="219" t="s">
        <v>1758</v>
      </c>
      <c r="C162" s="14" t="s">
        <v>202</v>
      </c>
      <c r="D162" s="35">
        <f>_xlfn.XLOOKUP(B162, '1.건전성'!C:C, '1.건전성'!CW:CW)</f>
        <v>18.672188181168863</v>
      </c>
      <c r="E162" s="35">
        <f>_xlfn.XLOOKUP(B162, '2.공정성'!C:C, '2.공정성'!BS:BS)</f>
        <v>19.5</v>
      </c>
      <c r="F162" s="35">
        <f>_xlfn.XLOOKUP(B162, '3.사회공헌'!C:C, '3.사회공헌'!BL:BL)</f>
        <v>4.2984547899051186</v>
      </c>
      <c r="G162" s="35">
        <f>_xlfn.XLOOKUP(B162, '4.소비자보호'!C:C, '4.소비자보호'!BE:BE)</f>
        <v>11.25</v>
      </c>
      <c r="H162" s="35">
        <f>_xlfn.XLOOKUP(B162, '5.환경경영'!C:C, '5.환경경영'!AX:AX)</f>
        <v>6.5833333333333339</v>
      </c>
      <c r="I162" s="35">
        <f>_xlfn.XLOOKUP(B162, '6.직원만족'!C:C, '6.직원만족'!BS:BS)</f>
        <v>11.011801418540843</v>
      </c>
      <c r="J162" s="162">
        <f t="shared" si="2"/>
        <v>71.31577772294817</v>
      </c>
    </row>
    <row r="163" spans="1:10" x14ac:dyDescent="0.6">
      <c r="A163" s="214" t="s">
        <v>850</v>
      </c>
      <c r="B163" s="219" t="s">
        <v>498</v>
      </c>
      <c r="C163" s="216" t="s">
        <v>202</v>
      </c>
      <c r="D163" s="35">
        <f>_xlfn.XLOOKUP(B163, '1.건전성'!C:C, '1.건전성'!CW:CW)</f>
        <v>20.142052709771527</v>
      </c>
      <c r="E163" s="35">
        <f>_xlfn.XLOOKUP(B163, '2.공정성'!C:C, '2.공정성'!BS:BS)</f>
        <v>18.5</v>
      </c>
      <c r="F163" s="35">
        <f>_xlfn.XLOOKUP(B163, '3.사회공헌'!C:C, '3.사회공헌'!BL:BL)</f>
        <v>8.535007601741107</v>
      </c>
      <c r="G163" s="35">
        <f>_xlfn.XLOOKUP(B163, '4.소비자보호'!C:C, '4.소비자보호'!BE:BE)</f>
        <v>11.25</v>
      </c>
      <c r="H163" s="35">
        <f>_xlfn.XLOOKUP(B163, '5.환경경영'!C:C, '5.환경경영'!AX:AX)</f>
        <v>5.5833333333333339</v>
      </c>
      <c r="I163" s="35">
        <f>_xlfn.XLOOKUP(B163, '6.직원만족'!C:C, '6.직원만족'!BS:BS)</f>
        <v>7.2760329470714824</v>
      </c>
      <c r="J163" s="162">
        <f t="shared" si="2"/>
        <v>71.286426591917447</v>
      </c>
    </row>
    <row r="164" spans="1:10" x14ac:dyDescent="0.6">
      <c r="A164" s="214" t="s">
        <v>1533</v>
      </c>
      <c r="B164" s="219" t="s">
        <v>450</v>
      </c>
      <c r="C164" s="216" t="s">
        <v>285</v>
      </c>
      <c r="D164" s="35">
        <f>_xlfn.XLOOKUP(B164, '1.건전성'!C:C, '1.건전성'!CW:CW)</f>
        <v>18.312921100987609</v>
      </c>
      <c r="E164" s="35">
        <f>_xlfn.XLOOKUP(B164, '2.공정성'!C:C, '2.공정성'!BS:BS)</f>
        <v>16.5</v>
      </c>
      <c r="F164" s="35">
        <f>_xlfn.XLOOKUP(B164, '3.사회공헌'!C:C, '3.사회공헌'!BL:BL)</f>
        <v>11.264229652910283</v>
      </c>
      <c r="G164" s="35">
        <f>_xlfn.XLOOKUP(B164, '4.소비자보호'!C:C, '4.소비자보호'!BE:BE)</f>
        <v>8.85</v>
      </c>
      <c r="H164" s="35">
        <f>_xlfn.XLOOKUP(B164, '5.환경경영'!C:C, '5.환경경영'!AX:AX)</f>
        <v>6.0833333333333339</v>
      </c>
      <c r="I164" s="35">
        <f>_xlfn.XLOOKUP(B164, '6.직원만족'!C:C, '6.직원만족'!BS:BS)</f>
        <v>10.264880978357946</v>
      </c>
      <c r="J164" s="162">
        <f t="shared" si="2"/>
        <v>71.27536506558917</v>
      </c>
    </row>
    <row r="165" spans="1:10" x14ac:dyDescent="0.6">
      <c r="A165" s="214" t="s">
        <v>1842</v>
      </c>
      <c r="B165" s="219" t="s">
        <v>1843</v>
      </c>
      <c r="C165" s="14" t="s">
        <v>285</v>
      </c>
      <c r="D165" s="35">
        <f>_xlfn.XLOOKUP(B165, '1.건전성'!C:C, '1.건전성'!CW:CW)</f>
        <v>17.454817872928011</v>
      </c>
      <c r="E165" s="35">
        <f>_xlfn.XLOOKUP(B165, '2.공정성'!C:C, '2.공정성'!BS:BS)</f>
        <v>17.5</v>
      </c>
      <c r="F165" s="35">
        <f>_xlfn.XLOOKUP(B165, '3.사회공헌'!C:C, '3.사회공헌'!BL:BL)</f>
        <v>8.5604953451298638</v>
      </c>
      <c r="G165" s="35">
        <f>_xlfn.XLOOKUP(B165, '4.소비자보호'!C:C, '4.소비자보호'!BE:BE)</f>
        <v>11.25</v>
      </c>
      <c r="H165" s="35">
        <f>_xlfn.XLOOKUP(B165, '5.환경경영'!C:C, '5.환경경영'!AX:AX)</f>
        <v>6.0833333333333339</v>
      </c>
      <c r="I165" s="35">
        <f>_xlfn.XLOOKUP(B165, '6.직원만족'!C:C, '6.직원만족'!BS:BS)</f>
        <v>10.421981855458581</v>
      </c>
      <c r="J165" s="162">
        <f t="shared" si="2"/>
        <v>71.270628406849795</v>
      </c>
    </row>
    <row r="166" spans="1:10" x14ac:dyDescent="0.6">
      <c r="A166" s="214" t="s">
        <v>1916</v>
      </c>
      <c r="B166" s="219" t="s">
        <v>1917</v>
      </c>
      <c r="C166" s="14" t="s">
        <v>203</v>
      </c>
      <c r="D166" s="35">
        <f>_xlfn.XLOOKUP(B166, '1.건전성'!C:C, '1.건전성'!CW:CW)</f>
        <v>18.113060071303607</v>
      </c>
      <c r="E166" s="35">
        <f>_xlfn.XLOOKUP(B166, '2.공정성'!C:C, '2.공정성'!BS:BS)</f>
        <v>19.5</v>
      </c>
      <c r="F166" s="35">
        <f>_xlfn.XLOOKUP(B166, '3.사회공헌'!C:C, '3.사회공헌'!BL:BL)</f>
        <v>7.4</v>
      </c>
      <c r="G166" s="35">
        <f>_xlfn.XLOOKUP(B166, '4.소비자보호'!C:C, '4.소비자보호'!BE:BE)</f>
        <v>11.25</v>
      </c>
      <c r="H166" s="35">
        <f>_xlfn.XLOOKUP(B166, '5.환경경영'!C:C, '5.환경경영'!AX:AX)</f>
        <v>6.5833333333333339</v>
      </c>
      <c r="I166" s="35">
        <f>_xlfn.XLOOKUP(B166, '6.직원만족'!C:C, '6.직원만족'!BS:BS)</f>
        <v>8.3931548156687459</v>
      </c>
      <c r="J166" s="162">
        <f t="shared" si="2"/>
        <v>71.239548220305693</v>
      </c>
    </row>
    <row r="167" spans="1:10" x14ac:dyDescent="0.6">
      <c r="A167" s="214" t="s">
        <v>292</v>
      </c>
      <c r="B167" s="219" t="s">
        <v>398</v>
      </c>
      <c r="C167" s="216" t="s">
        <v>285</v>
      </c>
      <c r="D167" s="35">
        <f>_xlfn.XLOOKUP(B167, '1.건전성'!C:C, '1.건전성'!CW:CW)</f>
        <v>18.303403265083769</v>
      </c>
      <c r="E167" s="35">
        <f>_xlfn.XLOOKUP(B167, '2.공정성'!C:C, '2.공정성'!BS:BS)</f>
        <v>16.5</v>
      </c>
      <c r="F167" s="35">
        <f>_xlfn.XLOOKUP(B167, '3.사회공헌'!C:C, '3.사회공헌'!BL:BL)</f>
        <v>10.08310733325381</v>
      </c>
      <c r="G167" s="35">
        <f>_xlfn.XLOOKUP(B167, '4.소비자보호'!C:C, '4.소비자보호'!BE:BE)</f>
        <v>11.25</v>
      </c>
      <c r="H167" s="35">
        <f>_xlfn.XLOOKUP(B167, '5.환경경영'!C:C, '5.환경경영'!AX:AX)</f>
        <v>6.0833333333333339</v>
      </c>
      <c r="I167" s="35">
        <f>_xlfn.XLOOKUP(B167, '6.직원만족'!C:C, '6.직원만족'!BS:BS)</f>
        <v>9.0101327671977955</v>
      </c>
      <c r="J167" s="162">
        <f t="shared" si="2"/>
        <v>71.229976698868711</v>
      </c>
    </row>
    <row r="168" spans="1:10" x14ac:dyDescent="0.6">
      <c r="A168" s="214" t="s">
        <v>1793</v>
      </c>
      <c r="B168" s="219" t="s">
        <v>1794</v>
      </c>
      <c r="C168" s="14" t="s">
        <v>203</v>
      </c>
      <c r="D168" s="35">
        <f>_xlfn.XLOOKUP(B168, '1.건전성'!C:C, '1.건전성'!CW:CW)</f>
        <v>18.089626720527157</v>
      </c>
      <c r="E168" s="35">
        <f>_xlfn.XLOOKUP(B168, '2.공정성'!C:C, '2.공정성'!BS:BS)</f>
        <v>19.75</v>
      </c>
      <c r="F168" s="35">
        <f>_xlfn.XLOOKUP(B168, '3.사회공헌'!C:C, '3.사회공헌'!BL:BL)</f>
        <v>8.0495145705750026</v>
      </c>
      <c r="G168" s="35">
        <f>_xlfn.XLOOKUP(B168, '4.소비자보호'!C:C, '4.소비자보호'!BE:BE)</f>
        <v>11.25</v>
      </c>
      <c r="H168" s="35">
        <f>_xlfn.XLOOKUP(B168, '5.환경경영'!C:C, '5.환경경영'!AX:AX)</f>
        <v>5.0833333333333339</v>
      </c>
      <c r="I168" s="35">
        <f>_xlfn.XLOOKUP(B168, '6.직원만족'!C:C, '6.직원만족'!BS:BS)</f>
        <v>8.9988125743505574</v>
      </c>
      <c r="J168" s="162">
        <f t="shared" si="2"/>
        <v>71.221287198786058</v>
      </c>
    </row>
    <row r="169" spans="1:10" x14ac:dyDescent="0.6">
      <c r="A169" s="214" t="s">
        <v>272</v>
      </c>
      <c r="B169" s="219" t="s">
        <v>58</v>
      </c>
      <c r="C169" s="216" t="s">
        <v>202</v>
      </c>
      <c r="D169" s="35">
        <f>_xlfn.XLOOKUP(B169, '1.건전성'!C:C, '1.건전성'!CW:CW)</f>
        <v>20.566227209257292</v>
      </c>
      <c r="E169" s="35">
        <f>_xlfn.XLOOKUP(B169, '2.공정성'!C:C, '2.공정성'!BS:BS)</f>
        <v>19.5</v>
      </c>
      <c r="F169" s="35">
        <f>_xlfn.XLOOKUP(B169, '3.사회공헌'!C:C, '3.사회공헌'!BL:BL)</f>
        <v>4.8178145509264363</v>
      </c>
      <c r="G169" s="35">
        <f>_xlfn.XLOOKUP(B169, '4.소비자보호'!C:C, '4.소비자보호'!BE:BE)</f>
        <v>11.25</v>
      </c>
      <c r="H169" s="35">
        <f>_xlfn.XLOOKUP(B169, '5.환경경영'!C:C, '5.환경경영'!AX:AX)</f>
        <v>5.5833333333333339</v>
      </c>
      <c r="I169" s="35">
        <f>_xlfn.XLOOKUP(B169, '6.직원만족'!C:C, '6.직원만족'!BS:BS)</f>
        <v>9.5024279415342203</v>
      </c>
      <c r="J169" s="162">
        <f t="shared" si="2"/>
        <v>71.219803035051285</v>
      </c>
    </row>
    <row r="170" spans="1:10" x14ac:dyDescent="0.6">
      <c r="A170" s="214" t="s">
        <v>1683</v>
      </c>
      <c r="B170" s="219" t="s">
        <v>1684</v>
      </c>
      <c r="C170" s="14" t="s">
        <v>202</v>
      </c>
      <c r="D170" s="35">
        <f>_xlfn.XLOOKUP(B170, '1.건전성'!C:C, '1.건전성'!CW:CW)</f>
        <v>20.558045458073504</v>
      </c>
      <c r="E170" s="35">
        <f>_xlfn.XLOOKUP(B170, '2.공정성'!C:C, '2.공정성'!BS:BS)</f>
        <v>16.5</v>
      </c>
      <c r="F170" s="35">
        <f>_xlfn.XLOOKUP(B170, '3.사회공헌'!C:C, '3.사회공헌'!BL:BL)</f>
        <v>9.2553969669238416</v>
      </c>
      <c r="G170" s="35">
        <f>_xlfn.XLOOKUP(B170, '4.소비자보호'!C:C, '4.소비자보호'!BE:BE)</f>
        <v>11.25</v>
      </c>
      <c r="H170" s="35">
        <f>_xlfn.XLOOKUP(B170, '5.환경경영'!C:C, '5.환경경영'!AX:AX)</f>
        <v>5.0833333333333339</v>
      </c>
      <c r="I170" s="35">
        <f>_xlfn.XLOOKUP(B170, '6.직원만족'!C:C, '6.직원만족'!BS:BS)</f>
        <v>8.5699675419443082</v>
      </c>
      <c r="J170" s="162">
        <f t="shared" si="2"/>
        <v>71.216743300274999</v>
      </c>
    </row>
    <row r="171" spans="1:10" x14ac:dyDescent="0.6">
      <c r="A171" s="214" t="s">
        <v>1827</v>
      </c>
      <c r="B171" s="219" t="s">
        <v>1828</v>
      </c>
      <c r="C171" s="79" t="s">
        <v>88</v>
      </c>
      <c r="D171" s="35">
        <f>_xlfn.XLOOKUP(B171, '1.건전성'!C:C, '1.건전성'!CW:CW)</f>
        <v>32.162000106700368</v>
      </c>
      <c r="E171" s="35">
        <f>_xlfn.XLOOKUP(B171, '2.공정성'!C:C, '2.공정성'!BS:BS)</f>
        <v>12.333333333333332</v>
      </c>
      <c r="F171" s="35">
        <f>_xlfn.XLOOKUP(B171, '3.사회공헌'!C:C, '3.사회공헌'!BL:BL)</f>
        <v>10.61663429865407</v>
      </c>
      <c r="G171" s="35">
        <f>_xlfn.XLOOKUP(B171, '4.소비자보호'!C:C, '4.소비자보호'!BE:BE)</f>
        <v>10.35</v>
      </c>
      <c r="H171" s="35">
        <f>_xlfn.XLOOKUP(B171, '5.환경경영'!C:C, '5.환경경영'!AX:AX)</f>
        <v>0</v>
      </c>
      <c r="I171" s="35">
        <f>_xlfn.XLOOKUP(B171, '6.직원만족'!C:C, '6.직원만족'!BS:BS)</f>
        <v>5.7494812895169476</v>
      </c>
      <c r="J171" s="162">
        <f t="shared" si="2"/>
        <v>71.211449028204726</v>
      </c>
    </row>
    <row r="172" spans="1:10" x14ac:dyDescent="0.6">
      <c r="A172" s="214" t="s">
        <v>488</v>
      </c>
      <c r="B172" s="219" t="s">
        <v>495</v>
      </c>
      <c r="C172" s="216" t="s">
        <v>191</v>
      </c>
      <c r="D172" s="35">
        <f>_xlfn.XLOOKUP(B172, '1.건전성'!C:C, '1.건전성'!CW:CW)</f>
        <v>21.254872341364027</v>
      </c>
      <c r="E172" s="35">
        <f>_xlfn.XLOOKUP(B172, '2.공정성'!C:C, '2.공정성'!BS:BS)</f>
        <v>16.5</v>
      </c>
      <c r="F172" s="35">
        <f>_xlfn.XLOOKUP(B172, '3.사회공헌'!C:C, '3.사회공헌'!BL:BL)</f>
        <v>7.25</v>
      </c>
      <c r="G172" s="35">
        <f>_xlfn.XLOOKUP(B172, '4.소비자보호'!C:C, '4.소비자보호'!BE:BE)</f>
        <v>11.25</v>
      </c>
      <c r="H172" s="35">
        <f>_xlfn.XLOOKUP(B172, '5.환경경영'!C:C, '5.환경경영'!AX:AX)</f>
        <v>5.5833333333333339</v>
      </c>
      <c r="I172" s="35">
        <f>_xlfn.XLOOKUP(B172, '6.직원만족'!C:C, '6.직원만족'!BS:BS)</f>
        <v>9.2084503113519194</v>
      </c>
      <c r="J172" s="162">
        <f t="shared" si="2"/>
        <v>71.046655986049288</v>
      </c>
    </row>
    <row r="173" spans="1:10" x14ac:dyDescent="0.6">
      <c r="A173" s="214" t="s">
        <v>25</v>
      </c>
      <c r="B173" s="219" t="s">
        <v>39</v>
      </c>
      <c r="C173" s="216" t="s">
        <v>191</v>
      </c>
      <c r="D173" s="35">
        <f>_xlfn.XLOOKUP(B173, '1.건전성'!C:C, '1.건전성'!CW:CW)</f>
        <v>20.418418109556825</v>
      </c>
      <c r="E173" s="35">
        <f>_xlfn.XLOOKUP(B173, '2.공정성'!C:C, '2.공정성'!BS:BS)</f>
        <v>19.5</v>
      </c>
      <c r="F173" s="35">
        <f>_xlfn.XLOOKUP(B173, '3.사회공헌'!C:C, '3.사회공헌'!BL:BL)</f>
        <v>5.6034098785886846</v>
      </c>
      <c r="G173" s="35">
        <f>_xlfn.XLOOKUP(B173, '4.소비자보호'!C:C, '4.소비자보호'!BE:BE)</f>
        <v>12.5</v>
      </c>
      <c r="H173" s="35">
        <f>_xlfn.XLOOKUP(B173, '5.환경경영'!C:C, '5.환경경영'!AX:AX)</f>
        <v>5.3333333333333339</v>
      </c>
      <c r="I173" s="35">
        <f>_xlfn.XLOOKUP(B173, '6.직원만족'!C:C, '6.직원만족'!BS:BS)</f>
        <v>7.6691297236712508</v>
      </c>
      <c r="J173" s="162">
        <f t="shared" si="2"/>
        <v>71.024291045150093</v>
      </c>
    </row>
    <row r="174" spans="1:10" x14ac:dyDescent="0.6">
      <c r="A174" s="214" t="s">
        <v>741</v>
      </c>
      <c r="B174" s="219" t="s">
        <v>909</v>
      </c>
      <c r="C174" s="216" t="s">
        <v>191</v>
      </c>
      <c r="D174" s="35">
        <f>_xlfn.XLOOKUP(B174, '1.건전성'!C:C, '1.건전성'!CW:CW)</f>
        <v>18.057939257979385</v>
      </c>
      <c r="E174" s="35">
        <f>_xlfn.XLOOKUP(B174, '2.공정성'!C:C, '2.공정성'!BS:BS)</f>
        <v>18.5</v>
      </c>
      <c r="F174" s="35">
        <f>_xlfn.XLOOKUP(B174, '3.사회공헌'!C:C, '3.사회공헌'!BL:BL)</f>
        <v>6.2289841556168515</v>
      </c>
      <c r="G174" s="35">
        <f>_xlfn.XLOOKUP(B174, '4.소비자보호'!C:C, '4.소비자보호'!BE:BE)</f>
        <v>11.25</v>
      </c>
      <c r="H174" s="35">
        <f>_xlfn.XLOOKUP(B174, '5.환경경영'!C:C, '5.환경경영'!AX:AX)</f>
        <v>6.0833333333333339</v>
      </c>
      <c r="I174" s="35">
        <f>_xlfn.XLOOKUP(B174, '6.직원만족'!C:C, '6.직원만족'!BS:BS)</f>
        <v>10.858617826718618</v>
      </c>
      <c r="J174" s="162">
        <f t="shared" si="2"/>
        <v>70.978874573648184</v>
      </c>
    </row>
    <row r="175" spans="1:10" x14ac:dyDescent="0.6">
      <c r="A175" s="214" t="s">
        <v>1253</v>
      </c>
      <c r="B175" s="215" t="s">
        <v>35</v>
      </c>
      <c r="C175" s="216" t="s">
        <v>285</v>
      </c>
      <c r="D175" s="35">
        <f>_xlfn.XLOOKUP(B175, '1.건전성'!C:C, '1.건전성'!CW:CW)</f>
        <v>19.25388423354002</v>
      </c>
      <c r="E175" s="35">
        <f>_xlfn.XLOOKUP(B175, '2.공정성'!C:C, '2.공정성'!BS:BS)</f>
        <v>16.5</v>
      </c>
      <c r="F175" s="35">
        <f>_xlfn.XLOOKUP(B175, '3.사회공헌'!C:C, '3.사회공헌'!BL:BL)</f>
        <v>9.6127598742688622</v>
      </c>
      <c r="G175" s="35">
        <f>_xlfn.XLOOKUP(B175, '4.소비자보호'!C:C, '4.소비자보호'!BE:BE)</f>
        <v>12.25</v>
      </c>
      <c r="H175" s="35">
        <f>_xlfn.XLOOKUP(B175, '5.환경경영'!C:C, '5.환경경영'!AX:AX)</f>
        <v>6.0833333333333339</v>
      </c>
      <c r="I175" s="35">
        <f>_xlfn.XLOOKUP(B175, '6.직원만족'!C:C, '6.직원만족'!BS:BS)</f>
        <v>7.2616480664775445</v>
      </c>
      <c r="J175" s="162">
        <f t="shared" si="2"/>
        <v>70.961625507619758</v>
      </c>
    </row>
    <row r="176" spans="1:10" x14ac:dyDescent="0.6">
      <c r="A176" s="214" t="s">
        <v>1889</v>
      </c>
      <c r="B176" s="219" t="s">
        <v>1890</v>
      </c>
      <c r="C176" s="14" t="s">
        <v>202</v>
      </c>
      <c r="D176" s="35">
        <f>_xlfn.XLOOKUP(B176, '1.건전성'!C:C, '1.건전성'!CW:CW)</f>
        <v>17.096532293113626</v>
      </c>
      <c r="E176" s="35">
        <f>_xlfn.XLOOKUP(B176, '2.공정성'!C:C, '2.공정성'!BS:BS)</f>
        <v>19.5</v>
      </c>
      <c r="F176" s="35">
        <f>_xlfn.XLOOKUP(B176, '3.사회공헌'!C:C, '3.사회공헌'!BL:BL)</f>
        <v>7.662135235796387</v>
      </c>
      <c r="G176" s="35">
        <f>_xlfn.XLOOKUP(B176, '4.소비자보호'!C:C, '4.소비자보호'!BE:BE)</f>
        <v>11.25</v>
      </c>
      <c r="H176" s="35">
        <f>_xlfn.XLOOKUP(B176, '5.환경경영'!C:C, '5.환경경영'!AX:AX)</f>
        <v>5.0833333333333339</v>
      </c>
      <c r="I176" s="35">
        <f>_xlfn.XLOOKUP(B176, '6.직원만족'!C:C, '6.직원만족'!BS:BS)</f>
        <v>10.28660238690234</v>
      </c>
      <c r="J176" s="162">
        <f t="shared" si="2"/>
        <v>70.878603249145684</v>
      </c>
    </row>
    <row r="177" spans="1:10" x14ac:dyDescent="0.6">
      <c r="A177" s="214" t="s">
        <v>1967</v>
      </c>
      <c r="B177" s="219" t="s">
        <v>1968</v>
      </c>
      <c r="C177" s="14" t="s">
        <v>203</v>
      </c>
      <c r="D177" s="35">
        <f>_xlfn.XLOOKUP(B177, '1.건전성'!C:C, '1.건전성'!CW:CW)</f>
        <v>18.428362098050286</v>
      </c>
      <c r="E177" s="35">
        <f>_xlfn.XLOOKUP(B177, '2.공정성'!C:C, '2.공정성'!BS:BS)</f>
        <v>17.25</v>
      </c>
      <c r="F177" s="35">
        <f>_xlfn.XLOOKUP(B177, '3.사회공헌'!C:C, '3.사회공헌'!BL:BL)</f>
        <v>7.7876020608349785</v>
      </c>
      <c r="G177" s="35">
        <f>_xlfn.XLOOKUP(B177, '4.소비자보호'!C:C, '4.소비자보호'!BE:BE)</f>
        <v>11.25</v>
      </c>
      <c r="H177" s="35">
        <f>_xlfn.XLOOKUP(B177, '5.환경경영'!C:C, '5.환경경영'!AX:AX)</f>
        <v>7.5833333333333339</v>
      </c>
      <c r="I177" s="35">
        <f>_xlfn.XLOOKUP(B177, '6.직원만족'!C:C, '6.직원만족'!BS:BS)</f>
        <v>8.5783853454160468</v>
      </c>
      <c r="J177" s="162">
        <f t="shared" si="2"/>
        <v>70.877682837634651</v>
      </c>
    </row>
    <row r="178" spans="1:10" x14ac:dyDescent="0.6">
      <c r="A178" s="214" t="s">
        <v>1457</v>
      </c>
      <c r="B178" s="219" t="s">
        <v>1458</v>
      </c>
      <c r="C178" s="14" t="s">
        <v>191</v>
      </c>
      <c r="D178" s="35">
        <f>_xlfn.XLOOKUP(B178, '1.건전성'!C:C, '1.건전성'!CW:CW)</f>
        <v>16.490589708678801</v>
      </c>
      <c r="E178" s="35">
        <f>_xlfn.XLOOKUP(B178, '2.공정성'!C:C, '2.공정성'!BS:BS)</f>
        <v>17.5</v>
      </c>
      <c r="F178" s="35">
        <f>_xlfn.XLOOKUP(B178, '3.사회공헌'!C:C, '3.사회공헌'!BL:BL)</f>
        <v>10.27782979211587</v>
      </c>
      <c r="G178" s="35">
        <f>_xlfn.XLOOKUP(B178, '4.소비자보호'!C:C, '4.소비자보호'!BE:BE)</f>
        <v>11.25</v>
      </c>
      <c r="H178" s="35">
        <f>_xlfn.XLOOKUP(B178, '5.환경경영'!C:C, '5.환경경영'!AX:AX)</f>
        <v>6.0833333333333339</v>
      </c>
      <c r="I178" s="35">
        <f>_xlfn.XLOOKUP(B178, '6.직원만족'!C:C, '6.직원만족'!BS:BS)</f>
        <v>9.2743011487305242</v>
      </c>
      <c r="J178" s="162">
        <f t="shared" si="2"/>
        <v>70.876053982858522</v>
      </c>
    </row>
    <row r="179" spans="1:10" x14ac:dyDescent="0.6">
      <c r="A179" s="214" t="s">
        <v>291</v>
      </c>
      <c r="B179" s="219" t="s">
        <v>894</v>
      </c>
      <c r="C179" s="216" t="s">
        <v>203</v>
      </c>
      <c r="D179" s="35">
        <f>_xlfn.XLOOKUP(B179, '1.건전성'!C:C, '1.건전성'!CW:CW)</f>
        <v>16.971617183107305</v>
      </c>
      <c r="E179" s="35">
        <f>_xlfn.XLOOKUP(B179, '2.공정성'!C:C, '2.공정성'!BS:BS)</f>
        <v>19.25</v>
      </c>
      <c r="F179" s="35">
        <f>_xlfn.XLOOKUP(B179, '3.사회공헌'!C:C, '3.사회공헌'!BL:BL)</f>
        <v>8.8074958480714933</v>
      </c>
      <c r="G179" s="35">
        <f>_xlfn.XLOOKUP(B179, '4.소비자보호'!C:C, '4.소비자보호'!BE:BE)</f>
        <v>11.25</v>
      </c>
      <c r="H179" s="35">
        <f>_xlfn.XLOOKUP(B179, '5.환경경영'!C:C, '5.환경경영'!AX:AX)</f>
        <v>5.8333333333333339</v>
      </c>
      <c r="I179" s="35">
        <f>_xlfn.XLOOKUP(B179, '6.직원만족'!C:C, '6.직원만족'!BS:BS)</f>
        <v>8.7629981829147479</v>
      </c>
      <c r="J179" s="162">
        <f t="shared" si="2"/>
        <v>70.875444547426881</v>
      </c>
    </row>
    <row r="180" spans="1:10" x14ac:dyDescent="0.6">
      <c r="A180" s="214" t="s">
        <v>1447</v>
      </c>
      <c r="B180" s="219" t="s">
        <v>1448</v>
      </c>
      <c r="C180" s="14" t="s">
        <v>285</v>
      </c>
      <c r="D180" s="35">
        <f>_xlfn.XLOOKUP(B180, '1.건전성'!C:C, '1.건전성'!CW:CW)</f>
        <v>19.532554724218944</v>
      </c>
      <c r="E180" s="35">
        <f>_xlfn.XLOOKUP(B180, '2.공정성'!C:C, '2.공정성'!BS:BS)</f>
        <v>16.5</v>
      </c>
      <c r="F180" s="35">
        <f>_xlfn.XLOOKUP(B180, '3.사회공헌'!C:C, '3.사회공헌'!BL:BL)</f>
        <v>10.61421037315756</v>
      </c>
      <c r="G180" s="35">
        <f>_xlfn.XLOOKUP(B180, '4.소비자보호'!C:C, '4.소비자보호'!BE:BE)</f>
        <v>10.45</v>
      </c>
      <c r="H180" s="35">
        <f>_xlfn.XLOOKUP(B180, '5.환경경영'!C:C, '5.환경경영'!AX:AX)</f>
        <v>6.5833333333333339</v>
      </c>
      <c r="I180" s="35">
        <f>_xlfn.XLOOKUP(B180, '6.직원만족'!C:C, '6.직원만족'!BS:BS)</f>
        <v>7.1764876156147706</v>
      </c>
      <c r="J180" s="162">
        <f t="shared" si="2"/>
        <v>70.856586046324608</v>
      </c>
    </row>
    <row r="181" spans="1:10" x14ac:dyDescent="0.6">
      <c r="A181" s="214" t="s">
        <v>1665</v>
      </c>
      <c r="B181" s="219" t="s">
        <v>62</v>
      </c>
      <c r="C181" s="216" t="s">
        <v>203</v>
      </c>
      <c r="D181" s="35">
        <f>_xlfn.XLOOKUP(B181, '1.건전성'!C:C, '1.건전성'!CW:CW)</f>
        <v>17.1264775513106</v>
      </c>
      <c r="E181" s="35">
        <f>_xlfn.XLOOKUP(B181, '2.공정성'!C:C, '2.공정성'!BS:BS)</f>
        <v>19.5</v>
      </c>
      <c r="F181" s="35">
        <f>_xlfn.XLOOKUP(B181, '3.사회공헌'!C:C, '3.사회공헌'!BL:BL)</f>
        <v>8.1305447380361233</v>
      </c>
      <c r="G181" s="35">
        <f>_xlfn.XLOOKUP(B181, '4.소비자보호'!C:C, '4.소비자보호'!BE:BE)</f>
        <v>11.25</v>
      </c>
      <c r="H181" s="35">
        <f>_xlfn.XLOOKUP(B181, '5.환경경영'!C:C, '5.환경경영'!AX:AX)</f>
        <v>5.0833333333333339</v>
      </c>
      <c r="I181" s="35">
        <f>_xlfn.XLOOKUP(B181, '6.직원만족'!C:C, '6.직원만족'!BS:BS)</f>
        <v>9.6659572216182656</v>
      </c>
      <c r="J181" s="162">
        <f t="shared" si="2"/>
        <v>70.756312844298321</v>
      </c>
    </row>
    <row r="182" spans="1:10" x14ac:dyDescent="0.6">
      <c r="A182" s="214" t="s">
        <v>1904</v>
      </c>
      <c r="B182" s="219" t="s">
        <v>1905</v>
      </c>
      <c r="C182" s="14" t="s">
        <v>203</v>
      </c>
      <c r="D182" s="35">
        <f>_xlfn.XLOOKUP(B182, '1.건전성'!C:C, '1.건전성'!CW:CW)</f>
        <v>18.046368182405185</v>
      </c>
      <c r="E182" s="35">
        <f>_xlfn.XLOOKUP(B182, '2.공정성'!C:C, '2.공정성'!BS:BS)</f>
        <v>17.5</v>
      </c>
      <c r="F182" s="35">
        <f>_xlfn.XLOOKUP(B182, '3.사회공헌'!C:C, '3.사회공헌'!BL:BL)</f>
        <v>7.8793262014991532</v>
      </c>
      <c r="G182" s="35">
        <f>_xlfn.XLOOKUP(B182, '4.소비자보호'!C:C, '4.소비자보호'!BE:BE)</f>
        <v>11.25</v>
      </c>
      <c r="H182" s="35">
        <f>_xlfn.XLOOKUP(B182, '5.환경경영'!C:C, '5.환경경영'!AX:AX)</f>
        <v>5.166666666666667</v>
      </c>
      <c r="I182" s="35">
        <f>_xlfn.XLOOKUP(B182, '6.직원만족'!C:C, '6.직원만족'!BS:BS)</f>
        <v>10.91356942224064</v>
      </c>
      <c r="J182" s="162">
        <f t="shared" si="2"/>
        <v>70.755930472811642</v>
      </c>
    </row>
    <row r="183" spans="1:10" x14ac:dyDescent="0.6">
      <c r="A183" s="214" t="s">
        <v>700</v>
      </c>
      <c r="B183" s="219" t="s">
        <v>545</v>
      </c>
      <c r="C183" s="216" t="s">
        <v>191</v>
      </c>
      <c r="D183" s="35">
        <f>_xlfn.XLOOKUP(B183, '1.건전성'!C:C, '1.건전성'!CW:CW)</f>
        <v>18.023248326963344</v>
      </c>
      <c r="E183" s="35">
        <f>_xlfn.XLOOKUP(B183, '2.공정성'!C:C, '2.공정성'!BS:BS)</f>
        <v>16.5</v>
      </c>
      <c r="F183" s="35">
        <f>_xlfn.XLOOKUP(B183, '3.사회공헌'!C:C, '3.사회공헌'!BL:BL)</f>
        <v>11.290806018599614</v>
      </c>
      <c r="G183" s="35">
        <f>_xlfn.XLOOKUP(B183, '4.소비자보호'!C:C, '4.소비자보호'!BE:BE)</f>
        <v>11.75</v>
      </c>
      <c r="H183" s="35">
        <f>_xlfn.XLOOKUP(B183, '5.환경경영'!C:C, '5.환경경영'!AX:AX)</f>
        <v>4.3333333333333339</v>
      </c>
      <c r="I183" s="35">
        <f>_xlfn.XLOOKUP(B183, '6.직원만족'!C:C, '6.직원만족'!BS:BS)</f>
        <v>8.8362091390309931</v>
      </c>
      <c r="J183" s="162">
        <f t="shared" si="2"/>
        <v>70.733596817927278</v>
      </c>
    </row>
    <row r="184" spans="1:10" x14ac:dyDescent="0.6">
      <c r="A184" s="214" t="s">
        <v>1721</v>
      </c>
      <c r="B184" s="219" t="s">
        <v>500</v>
      </c>
      <c r="C184" s="216" t="s">
        <v>202</v>
      </c>
      <c r="D184" s="35">
        <f>_xlfn.XLOOKUP(B184, '1.건전성'!C:C, '1.건전성'!CW:CW)</f>
        <v>17.682887119865281</v>
      </c>
      <c r="E184" s="35">
        <f>_xlfn.XLOOKUP(B184, '2.공정성'!C:C, '2.공정성'!BS:BS)</f>
        <v>18.5</v>
      </c>
      <c r="F184" s="35">
        <f>_xlfn.XLOOKUP(B184, '3.사회공헌'!C:C, '3.사회공헌'!BL:BL)</f>
        <v>6.584102782921522</v>
      </c>
      <c r="G184" s="35">
        <f>_xlfn.XLOOKUP(B184, '4.소비자보호'!C:C, '4.소비자보호'!BE:BE)</f>
        <v>11.25</v>
      </c>
      <c r="H184" s="35">
        <f>_xlfn.XLOOKUP(B184, '5.환경경영'!C:C, '5.환경경영'!AX:AX)</f>
        <v>6.5833333333333339</v>
      </c>
      <c r="I184" s="35">
        <f>_xlfn.XLOOKUP(B184, '6.직원만족'!C:C, '6.직원만족'!BS:BS)</f>
        <v>10.085073086591041</v>
      </c>
      <c r="J184" s="162">
        <f t="shared" si="2"/>
        <v>70.685396322711185</v>
      </c>
    </row>
    <row r="185" spans="1:10" x14ac:dyDescent="0.6">
      <c r="A185" s="214" t="s">
        <v>231</v>
      </c>
      <c r="B185" s="219" t="s">
        <v>413</v>
      </c>
      <c r="C185" s="216" t="s">
        <v>285</v>
      </c>
      <c r="D185" s="35">
        <f>_xlfn.XLOOKUP(B185, '1.건전성'!C:C, '1.건전성'!CW:CW)</f>
        <v>19.673700363677767</v>
      </c>
      <c r="E185" s="35">
        <f>_xlfn.XLOOKUP(B185, '2.공정성'!C:C, '2.공정성'!BS:BS)</f>
        <v>16.5</v>
      </c>
      <c r="F185" s="35">
        <f>_xlfn.XLOOKUP(B185, '3.사회공헌'!C:C, '3.사회공헌'!BL:BL)</f>
        <v>6.0745056743935004</v>
      </c>
      <c r="G185" s="35">
        <f>_xlfn.XLOOKUP(B185, '4.소비자보호'!C:C, '4.소비자보호'!BE:BE)</f>
        <v>11.75</v>
      </c>
      <c r="H185" s="35">
        <f>_xlfn.XLOOKUP(B185, '5.환경경영'!C:C, '5.환경경영'!AX:AX)</f>
        <v>6.8333333333333339</v>
      </c>
      <c r="I185" s="35">
        <f>_xlfn.XLOOKUP(B185, '6.직원만족'!C:C, '6.직원만족'!BS:BS)</f>
        <v>9.7753525023003611</v>
      </c>
      <c r="J185" s="162">
        <f t="shared" si="2"/>
        <v>70.606891873704967</v>
      </c>
    </row>
    <row r="186" spans="1:10" x14ac:dyDescent="0.6">
      <c r="A186" s="214" t="s">
        <v>305</v>
      </c>
      <c r="B186" s="219" t="s">
        <v>497</v>
      </c>
      <c r="C186" s="216" t="s">
        <v>285</v>
      </c>
      <c r="D186" s="35">
        <f>_xlfn.XLOOKUP(B186, '1.건전성'!C:C, '1.건전성'!CW:CW)</f>
        <v>18.347363779942242</v>
      </c>
      <c r="E186" s="35">
        <f>_xlfn.XLOOKUP(B186, '2.공정성'!C:C, '2.공정성'!BS:BS)</f>
        <v>16.5</v>
      </c>
      <c r="F186" s="35">
        <f>_xlfn.XLOOKUP(B186, '3.사회공헌'!C:C, '3.사회공헌'!BL:BL)</f>
        <v>10.476650375344898</v>
      </c>
      <c r="G186" s="35">
        <f>_xlfn.XLOOKUP(B186, '4.소비자보호'!C:C, '4.소비자보호'!BE:BE)</f>
        <v>11.25</v>
      </c>
      <c r="H186" s="35">
        <f>_xlfn.XLOOKUP(B186, '5.환경경영'!C:C, '5.환경경영'!AX:AX)</f>
        <v>6.0833333333333339</v>
      </c>
      <c r="I186" s="35">
        <f>_xlfn.XLOOKUP(B186, '6.직원만족'!C:C, '6.직원만족'!BS:BS)</f>
        <v>7.9438006559835701</v>
      </c>
      <c r="J186" s="162">
        <f t="shared" si="2"/>
        <v>70.601148144604039</v>
      </c>
    </row>
    <row r="187" spans="1:10" x14ac:dyDescent="0.6">
      <c r="A187" s="214" t="s">
        <v>1837</v>
      </c>
      <c r="B187" s="219" t="s">
        <v>1838</v>
      </c>
      <c r="C187" s="14" t="s">
        <v>285</v>
      </c>
      <c r="D187" s="35">
        <f>_xlfn.XLOOKUP(B187, '1.건전성'!C:C, '1.건전성'!CW:CW)</f>
        <v>17.77098468439047</v>
      </c>
      <c r="E187" s="35">
        <f>_xlfn.XLOOKUP(B187, '2.공정성'!C:C, '2.공정성'!BS:BS)</f>
        <v>18.25</v>
      </c>
      <c r="F187" s="35">
        <f>_xlfn.XLOOKUP(B187, '3.사회공헌'!C:C, '3.사회공헌'!BL:BL)</f>
        <v>9.7153249853761636</v>
      </c>
      <c r="G187" s="35">
        <f>_xlfn.XLOOKUP(B187, '4.소비자보호'!C:C, '4.소비자보호'!BE:BE)</f>
        <v>11.25</v>
      </c>
      <c r="H187" s="35">
        <f>_xlfn.XLOOKUP(B187, '5.환경경영'!C:C, '5.환경경영'!AX:AX)</f>
        <v>5.0833333333333339</v>
      </c>
      <c r="I187" s="35">
        <f>_xlfn.XLOOKUP(B187, '6.직원만족'!C:C, '6.직원만족'!BS:BS)</f>
        <v>8.4065663499869991</v>
      </c>
      <c r="J187" s="162">
        <f t="shared" si="2"/>
        <v>70.476209353086972</v>
      </c>
    </row>
    <row r="188" spans="1:10" x14ac:dyDescent="0.6">
      <c r="A188" s="214" t="s">
        <v>1593</v>
      </c>
      <c r="B188" s="219" t="s">
        <v>1594</v>
      </c>
      <c r="C188" s="14" t="s">
        <v>203</v>
      </c>
      <c r="D188" s="35">
        <f>_xlfn.XLOOKUP(B188, '1.건전성'!C:C, '1.건전성'!CW:CW)</f>
        <v>19.195294296663146</v>
      </c>
      <c r="E188" s="35">
        <f>_xlfn.XLOOKUP(B188, '2.공정성'!C:C, '2.공정성'!BS:BS)</f>
        <v>18.5</v>
      </c>
      <c r="F188" s="35">
        <f>_xlfn.XLOOKUP(B188, '3.사회공헌'!C:C, '3.사회공헌'!BL:BL)</f>
        <v>5.77748566059691</v>
      </c>
      <c r="G188" s="35">
        <f>_xlfn.XLOOKUP(B188, '4.소비자보호'!C:C, '4.소비자보호'!BE:BE)</f>
        <v>11.25</v>
      </c>
      <c r="H188" s="35">
        <f>_xlfn.XLOOKUP(B188, '5.환경경영'!C:C, '5.환경경영'!AX:AX)</f>
        <v>6.0833333333333339</v>
      </c>
      <c r="I188" s="35">
        <f>_xlfn.XLOOKUP(B188, '6.직원만족'!C:C, '6.직원만족'!BS:BS)</f>
        <v>9.666476613836851</v>
      </c>
      <c r="J188" s="162">
        <f t="shared" si="2"/>
        <v>70.472589904430251</v>
      </c>
    </row>
    <row r="189" spans="1:10" x14ac:dyDescent="0.6">
      <c r="A189" s="214" t="s">
        <v>535</v>
      </c>
      <c r="B189" s="219" t="s">
        <v>890</v>
      </c>
      <c r="C189" s="216" t="s">
        <v>203</v>
      </c>
      <c r="D189" s="35">
        <f>_xlfn.XLOOKUP(B189, '1.건전성'!C:C, '1.건전성'!CW:CW)</f>
        <v>17.935189071560082</v>
      </c>
      <c r="E189" s="35">
        <f>_xlfn.XLOOKUP(B189, '2.공정성'!C:C, '2.공정성'!BS:BS)</f>
        <v>19.25</v>
      </c>
      <c r="F189" s="35">
        <f>_xlfn.XLOOKUP(B189, '3.사회공헌'!C:C, '3.사회공헌'!BL:BL)</f>
        <v>8.4348555691977261</v>
      </c>
      <c r="G189" s="35">
        <f>_xlfn.XLOOKUP(B189, '4.소비자보호'!C:C, '4.소비자보호'!BE:BE)</f>
        <v>11.25</v>
      </c>
      <c r="H189" s="35">
        <f>_xlfn.XLOOKUP(B189, '5.환경경영'!C:C, '5.환경경영'!AX:AX)</f>
        <v>5.0833333333333339</v>
      </c>
      <c r="I189" s="35">
        <f>_xlfn.XLOOKUP(B189, '6.직원만족'!C:C, '6.직원만족'!BS:BS)</f>
        <v>8.5066179930461487</v>
      </c>
      <c r="J189" s="162">
        <f t="shared" si="2"/>
        <v>70.459995967137303</v>
      </c>
    </row>
    <row r="190" spans="1:10" x14ac:dyDescent="0.6">
      <c r="A190" s="214" t="s">
        <v>1873</v>
      </c>
      <c r="B190" s="219" t="s">
        <v>1874</v>
      </c>
      <c r="C190" s="14" t="s">
        <v>191</v>
      </c>
      <c r="D190" s="35">
        <f>_xlfn.XLOOKUP(B190, '1.건전성'!C:C, '1.건전성'!CW:CW)</f>
        <v>16.233551049688252</v>
      </c>
      <c r="E190" s="35">
        <f>_xlfn.XLOOKUP(B190, '2.공정성'!C:C, '2.공정성'!BS:BS)</f>
        <v>19.5</v>
      </c>
      <c r="F190" s="35">
        <f>_xlfn.XLOOKUP(B190, '3.사회공헌'!C:C, '3.사회공헌'!BL:BL)</f>
        <v>7.3263101767395931</v>
      </c>
      <c r="G190" s="35">
        <f>_xlfn.XLOOKUP(B190, '4.소비자보호'!C:C, '4.소비자보호'!BE:BE)</f>
        <v>11.25</v>
      </c>
      <c r="H190" s="35">
        <f>_xlfn.XLOOKUP(B190, '5.환경경영'!C:C, '5.환경경영'!AX:AX)</f>
        <v>5.5833333333333339</v>
      </c>
      <c r="I190" s="35">
        <f>_xlfn.XLOOKUP(B190, '6.직원만족'!C:C, '6.직원만족'!BS:BS)</f>
        <v>10.541666666666666</v>
      </c>
      <c r="J190" s="162">
        <f t="shared" si="2"/>
        <v>70.434861226427842</v>
      </c>
    </row>
    <row r="191" spans="1:10" x14ac:dyDescent="0.6">
      <c r="A191" s="214" t="s">
        <v>414</v>
      </c>
      <c r="B191" s="219" t="s">
        <v>411</v>
      </c>
      <c r="C191" s="221" t="s">
        <v>350</v>
      </c>
      <c r="D191" s="35">
        <f>_xlfn.XLOOKUP(B191, '1.건전성'!C:C, '1.건전성'!CW:CW)</f>
        <v>27.925651207603735</v>
      </c>
      <c r="E191" s="35">
        <f>_xlfn.XLOOKUP(B191, '2.공정성'!C:C, '2.공정성'!BS:BS)</f>
        <v>18</v>
      </c>
      <c r="F191" s="35">
        <f>_xlfn.XLOOKUP(B191, '3.사회공헌'!C:C, '3.사회공헌'!BL:BL)</f>
        <v>5.9467795817009579</v>
      </c>
      <c r="G191" s="35">
        <f>_xlfn.XLOOKUP(B191, '4.소비자보호'!C:C, '4.소비자보호'!BE:BE)</f>
        <v>11.55</v>
      </c>
      <c r="H191" s="35">
        <f>_xlfn.XLOOKUP(B191, '5.환경경영'!C:C, '5.환경경영'!AX:AX)</f>
        <v>0</v>
      </c>
      <c r="I191" s="35">
        <f>_xlfn.XLOOKUP(B191, '6.직원만족'!C:C, '6.직원만족'!BS:BS)</f>
        <v>6.9958534592340555</v>
      </c>
      <c r="J191" s="162">
        <f t="shared" si="2"/>
        <v>70.418284248538754</v>
      </c>
    </row>
    <row r="192" spans="1:10" x14ac:dyDescent="0.6">
      <c r="A192" s="214" t="s">
        <v>507</v>
      </c>
      <c r="B192" s="219" t="s">
        <v>548</v>
      </c>
      <c r="C192" s="216" t="s">
        <v>203</v>
      </c>
      <c r="D192" s="35">
        <f>_xlfn.XLOOKUP(B192, '1.건전성'!C:C, '1.건전성'!CW:CW)</f>
        <v>17.778836314241509</v>
      </c>
      <c r="E192" s="35">
        <f>_xlfn.XLOOKUP(B192, '2.공정성'!C:C, '2.공정성'!BS:BS)</f>
        <v>17.25</v>
      </c>
      <c r="F192" s="35">
        <f>_xlfn.XLOOKUP(B192, '3.사회공헌'!C:C, '3.사회공헌'!BL:BL)</f>
        <v>8.6982366184590862</v>
      </c>
      <c r="G192" s="35">
        <f>_xlfn.XLOOKUP(B192, '4.소비자보호'!C:C, '4.소비자보호'!BE:BE)</f>
        <v>11.25</v>
      </c>
      <c r="H192" s="35">
        <f>_xlfn.XLOOKUP(B192, '5.환경경영'!C:C, '5.환경경영'!AX:AX)</f>
        <v>5.5833333333333339</v>
      </c>
      <c r="I192" s="35">
        <f>_xlfn.XLOOKUP(B192, '6.직원만족'!C:C, '6.직원만족'!BS:BS)</f>
        <v>9.7891391616917662</v>
      </c>
      <c r="J192" s="162">
        <f t="shared" si="2"/>
        <v>70.349545427725701</v>
      </c>
    </row>
    <row r="193" spans="1:10" x14ac:dyDescent="0.6">
      <c r="A193" s="214" t="s">
        <v>869</v>
      </c>
      <c r="B193" s="219" t="s">
        <v>478</v>
      </c>
      <c r="C193" s="216" t="s">
        <v>285</v>
      </c>
      <c r="D193" s="35">
        <f>_xlfn.XLOOKUP(B193, '1.건전성'!C:C, '1.건전성'!CW:CW)</f>
        <v>17.880938363560837</v>
      </c>
      <c r="E193" s="35">
        <f>_xlfn.XLOOKUP(B193, '2.공정성'!C:C, '2.공정성'!BS:BS)</f>
        <v>19</v>
      </c>
      <c r="F193" s="35">
        <f>_xlfn.XLOOKUP(B193, '3.사회공헌'!C:C, '3.사회공헌'!BL:BL)</f>
        <v>5.359028239385383</v>
      </c>
      <c r="G193" s="35">
        <f>_xlfn.XLOOKUP(B193, '4.소비자보호'!C:C, '4.소비자보호'!BE:BE)</f>
        <v>11.25</v>
      </c>
      <c r="H193" s="35">
        <f>_xlfn.XLOOKUP(B193, '5.환경경영'!C:C, '5.환경경영'!AX:AX)</f>
        <v>5.0833333333333339</v>
      </c>
      <c r="I193" s="35">
        <f>_xlfn.XLOOKUP(B193, '6.직원만족'!C:C, '6.직원만족'!BS:BS)</f>
        <v>11.736486286945773</v>
      </c>
      <c r="J193" s="162">
        <f t="shared" si="2"/>
        <v>70.309786223225331</v>
      </c>
    </row>
    <row r="194" spans="1:10" x14ac:dyDescent="0.6">
      <c r="A194" s="214" t="s">
        <v>1650</v>
      </c>
      <c r="B194" s="219" t="s">
        <v>375</v>
      </c>
      <c r="C194" s="216" t="s">
        <v>191</v>
      </c>
      <c r="D194" s="35">
        <f>_xlfn.XLOOKUP(B194, '1.건전성'!C:C, '1.건전성'!CW:CW)</f>
        <v>16.681298300751685</v>
      </c>
      <c r="E194" s="35">
        <f>_xlfn.XLOOKUP(B194, '2.공정성'!C:C, '2.공정성'!BS:BS)</f>
        <v>15</v>
      </c>
      <c r="F194" s="35">
        <f>_xlfn.XLOOKUP(B194, '3.사회공헌'!C:C, '3.사회공헌'!BL:BL)</f>
        <v>11.554918499083847</v>
      </c>
      <c r="G194" s="35">
        <f>_xlfn.XLOOKUP(B194, '4.소비자보호'!C:C, '4.소비자보호'!BE:BE)</f>
        <v>10.45</v>
      </c>
      <c r="H194" s="35">
        <f>_xlfn.XLOOKUP(B194, '5.환경경영'!C:C, '5.환경경영'!AX:AX)</f>
        <v>7.3333333333333339</v>
      </c>
      <c r="I194" s="35">
        <f>_xlfn.XLOOKUP(B194, '6.직원만족'!C:C, '6.직원만족'!BS:BS)</f>
        <v>9.1614407180099029</v>
      </c>
      <c r="J194" s="162">
        <f t="shared" ref="J194:J257" si="3">SUM(D194:I194)</f>
        <v>70.180990851178777</v>
      </c>
    </row>
    <row r="195" spans="1:10" x14ac:dyDescent="0.6">
      <c r="A195" s="214" t="s">
        <v>1489</v>
      </c>
      <c r="B195" s="219" t="s">
        <v>1490</v>
      </c>
      <c r="C195" s="14" t="s">
        <v>285</v>
      </c>
      <c r="D195" s="35">
        <f>_xlfn.XLOOKUP(B195, '1.건전성'!C:C, '1.건전성'!CW:CW)</f>
        <v>20.86922800517867</v>
      </c>
      <c r="E195" s="35">
        <f>_xlfn.XLOOKUP(B195, '2.공정성'!C:C, '2.공정성'!BS:BS)</f>
        <v>14.75</v>
      </c>
      <c r="F195" s="35">
        <f>_xlfn.XLOOKUP(B195, '3.사회공헌'!C:C, '3.사회공헌'!BL:BL)</f>
        <v>7.3219225696062846</v>
      </c>
      <c r="G195" s="35">
        <f>_xlfn.XLOOKUP(B195, '4.소비자보호'!C:C, '4.소비자보호'!BE:BE)</f>
        <v>11.25</v>
      </c>
      <c r="H195" s="35">
        <f>_xlfn.XLOOKUP(B195, '5.환경경영'!C:C, '5.환경경영'!AX:AX)</f>
        <v>7.5833333333333339</v>
      </c>
      <c r="I195" s="35">
        <f>_xlfn.XLOOKUP(B195, '6.직원만족'!C:C, '6.직원만족'!BS:BS)</f>
        <v>8.3945155274051082</v>
      </c>
      <c r="J195" s="162">
        <f t="shared" si="3"/>
        <v>70.168999435523403</v>
      </c>
    </row>
    <row r="196" spans="1:10" x14ac:dyDescent="0.6">
      <c r="A196" s="214" t="s">
        <v>1852</v>
      </c>
      <c r="B196" s="219" t="s">
        <v>1853</v>
      </c>
      <c r="C196" s="14" t="s">
        <v>285</v>
      </c>
      <c r="D196" s="35">
        <f>_xlfn.XLOOKUP(B196, '1.건전성'!C:C, '1.건전성'!CW:CW)</f>
        <v>17.909328998072766</v>
      </c>
      <c r="E196" s="35">
        <f>_xlfn.XLOOKUP(B196, '2.공정성'!C:C, '2.공정성'!BS:BS)</f>
        <v>16.5</v>
      </c>
      <c r="F196" s="35">
        <f>_xlfn.XLOOKUP(B196, '3.사회공헌'!C:C, '3.사회공헌'!BL:BL)</f>
        <v>8.6249936712061412</v>
      </c>
      <c r="G196" s="35">
        <f>_xlfn.XLOOKUP(B196, '4.소비자보호'!C:C, '4.소비자보호'!BE:BE)</f>
        <v>9.65</v>
      </c>
      <c r="H196" s="35">
        <f>_xlfn.XLOOKUP(B196, '5.환경경영'!C:C, '5.환경경영'!AX:AX)</f>
        <v>7.0833333333333339</v>
      </c>
      <c r="I196" s="35">
        <f>_xlfn.XLOOKUP(B196, '6.직원만족'!C:C, '6.직원만족'!BS:BS)</f>
        <v>10.384699010038881</v>
      </c>
      <c r="J196" s="162">
        <f t="shared" si="3"/>
        <v>70.152355012651128</v>
      </c>
    </row>
    <row r="197" spans="1:10" x14ac:dyDescent="0.6">
      <c r="A197" s="214" t="s">
        <v>1582</v>
      </c>
      <c r="B197" s="219" t="s">
        <v>322</v>
      </c>
      <c r="C197" s="216" t="s">
        <v>191</v>
      </c>
      <c r="D197" s="35">
        <f>_xlfn.XLOOKUP(B197, '1.건전성'!C:C, '1.건전성'!CW:CW)</f>
        <v>17.192913398343247</v>
      </c>
      <c r="E197" s="35">
        <f>_xlfn.XLOOKUP(B197, '2.공정성'!C:C, '2.공정성'!BS:BS)</f>
        <v>16.5</v>
      </c>
      <c r="F197" s="35">
        <f>_xlfn.XLOOKUP(B197, '3.사회공헌'!C:C, '3.사회공헌'!BL:BL)</f>
        <v>11.804485135483818</v>
      </c>
      <c r="G197" s="35">
        <f>_xlfn.XLOOKUP(B197, '4.소비자보호'!C:C, '4.소비자보호'!BE:BE)</f>
        <v>10.45</v>
      </c>
      <c r="H197" s="35">
        <f>_xlfn.XLOOKUP(B197, '5.환경경영'!C:C, '5.환경경영'!AX:AX)</f>
        <v>6.0833333333333339</v>
      </c>
      <c r="I197" s="35">
        <f>_xlfn.XLOOKUP(B197, '6.직원만족'!C:C, '6.직원만족'!BS:BS)</f>
        <v>8.1129422988921309</v>
      </c>
      <c r="J197" s="162">
        <f t="shared" si="3"/>
        <v>70.143674166052534</v>
      </c>
    </row>
    <row r="198" spans="1:10" x14ac:dyDescent="0.6">
      <c r="A198" s="214" t="s">
        <v>1681</v>
      </c>
      <c r="B198" s="219" t="s">
        <v>884</v>
      </c>
      <c r="C198" s="14" t="s">
        <v>202</v>
      </c>
      <c r="D198" s="35">
        <f>_xlfn.XLOOKUP(B198, '1.건전성'!C:C, '1.건전성'!CW:CW)</f>
        <v>18.264634848876256</v>
      </c>
      <c r="E198" s="35">
        <f>_xlfn.XLOOKUP(B198, '2.공정성'!C:C, '2.공정성'!BS:BS)</f>
        <v>16.25</v>
      </c>
      <c r="F198" s="35">
        <f>_xlfn.XLOOKUP(B198, '3.사회공헌'!C:C, '3.사회공헌'!BL:BL)</f>
        <v>8.7211444917219296</v>
      </c>
      <c r="G198" s="35">
        <f>_xlfn.XLOOKUP(B198, '4.소비자보호'!C:C, '4.소비자보호'!BE:BE)</f>
        <v>11.25</v>
      </c>
      <c r="H198" s="35">
        <f>_xlfn.XLOOKUP(B198, '5.환경경영'!C:C, '5.환경경영'!AX:AX)</f>
        <v>6.5833333333333339</v>
      </c>
      <c r="I198" s="35">
        <f>_xlfn.XLOOKUP(B198, '6.직원만족'!C:C, '6.직원만족'!BS:BS)</f>
        <v>9.0595977187989316</v>
      </c>
      <c r="J198" s="162">
        <f t="shared" si="3"/>
        <v>70.128710392730454</v>
      </c>
    </row>
    <row r="199" spans="1:10" x14ac:dyDescent="0.6">
      <c r="A199" s="214" t="s">
        <v>911</v>
      </c>
      <c r="B199" s="219" t="s">
        <v>439</v>
      </c>
      <c r="C199" s="216" t="s">
        <v>285</v>
      </c>
      <c r="D199" s="35">
        <f>_xlfn.XLOOKUP(B199, '1.건전성'!C:C, '1.건전성'!CW:CW)</f>
        <v>18.650222936774057</v>
      </c>
      <c r="E199" s="35">
        <f>_xlfn.XLOOKUP(B199, '2.공정성'!C:C, '2.공정성'!BS:BS)</f>
        <v>19</v>
      </c>
      <c r="F199" s="35">
        <f>_xlfn.XLOOKUP(B199, '3.사회공헌'!C:C, '3.사회공헌'!BL:BL)</f>
        <v>5.4225764430611241</v>
      </c>
      <c r="G199" s="35">
        <f>_xlfn.XLOOKUP(B199, '4.소비자보호'!C:C, '4.소비자보호'!BE:BE)</f>
        <v>11.25</v>
      </c>
      <c r="H199" s="35">
        <f>_xlfn.XLOOKUP(B199, '5.환경경영'!C:C, '5.환경경영'!AX:AX)</f>
        <v>5.0833333333333339</v>
      </c>
      <c r="I199" s="35">
        <f>_xlfn.XLOOKUP(B199, '6.직원만족'!C:C, '6.직원만족'!BS:BS)</f>
        <v>10.719042081789711</v>
      </c>
      <c r="J199" s="162">
        <f t="shared" si="3"/>
        <v>70.125174794958227</v>
      </c>
    </row>
    <row r="200" spans="1:10" x14ac:dyDescent="0.6">
      <c r="A200" s="214" t="s">
        <v>12</v>
      </c>
      <c r="B200" s="219" t="s">
        <v>301</v>
      </c>
      <c r="C200" s="216" t="s">
        <v>203</v>
      </c>
      <c r="D200" s="35">
        <f>_xlfn.XLOOKUP(B200, '1.건전성'!C:C, '1.건전성'!CW:CW)</f>
        <v>19.699228765711368</v>
      </c>
      <c r="E200" s="35">
        <f>_xlfn.XLOOKUP(B200, '2.공정성'!C:C, '2.공정성'!BS:BS)</f>
        <v>16.5</v>
      </c>
      <c r="F200" s="35">
        <f>_xlfn.XLOOKUP(B200, '3.사회공헌'!C:C, '3.사회공헌'!BL:BL)</f>
        <v>7.3976651624805516</v>
      </c>
      <c r="G200" s="35">
        <f>_xlfn.XLOOKUP(B200, '4.소비자보호'!C:C, '4.소비자보호'!BE:BE)</f>
        <v>11.25</v>
      </c>
      <c r="H200" s="35">
        <f>_xlfn.XLOOKUP(B200, '5.환경경영'!C:C, '5.환경경영'!AX:AX)</f>
        <v>7.0833333333333339</v>
      </c>
      <c r="I200" s="35">
        <f>_xlfn.XLOOKUP(B200, '6.직원만족'!C:C, '6.직원만족'!BS:BS)</f>
        <v>8.1688300815498192</v>
      </c>
      <c r="J200" s="162">
        <f t="shared" si="3"/>
        <v>70.099057343075074</v>
      </c>
    </row>
    <row r="201" spans="1:10" x14ac:dyDescent="0.6">
      <c r="A201" s="214" t="s">
        <v>94</v>
      </c>
      <c r="B201" s="219" t="s">
        <v>943</v>
      </c>
      <c r="C201" s="216" t="s">
        <v>202</v>
      </c>
      <c r="D201" s="35">
        <f>_xlfn.XLOOKUP(B201, '1.건전성'!C:C, '1.건전성'!CW:CW)</f>
        <v>17.808331131652981</v>
      </c>
      <c r="E201" s="35">
        <f>_xlfn.XLOOKUP(B201, '2.공정성'!C:C, '2.공정성'!BS:BS)</f>
        <v>18.25</v>
      </c>
      <c r="F201" s="35">
        <f>_xlfn.XLOOKUP(B201, '3.사회공헌'!C:C, '3.사회공헌'!BL:BL)</f>
        <v>4.670665039892886</v>
      </c>
      <c r="G201" s="35">
        <f>_xlfn.XLOOKUP(B201, '4.소비자보호'!C:C, '4.소비자보호'!BE:BE)</f>
        <v>11.25</v>
      </c>
      <c r="H201" s="35">
        <f>_xlfn.XLOOKUP(B201, '5.환경경영'!C:C, '5.환경경영'!AX:AX)</f>
        <v>7.0833333333333339</v>
      </c>
      <c r="I201" s="35">
        <f>_xlfn.XLOOKUP(B201, '6.직원만족'!C:C, '6.직원만족'!BS:BS)</f>
        <v>11.008974915937644</v>
      </c>
      <c r="J201" s="162">
        <f t="shared" si="3"/>
        <v>70.071304420816844</v>
      </c>
    </row>
    <row r="202" spans="1:10" x14ac:dyDescent="0.6">
      <c r="A202" s="214" t="s">
        <v>1539</v>
      </c>
      <c r="B202" s="219" t="s">
        <v>1540</v>
      </c>
      <c r="C202" s="14" t="s">
        <v>203</v>
      </c>
      <c r="D202" s="35">
        <f>_xlfn.XLOOKUP(B202, '1.건전성'!C:C, '1.건전성'!CW:CW)</f>
        <v>18.981357089667473</v>
      </c>
      <c r="E202" s="35">
        <f>_xlfn.XLOOKUP(B202, '2.공정성'!C:C, '2.공정성'!BS:BS)</f>
        <v>16.5</v>
      </c>
      <c r="F202" s="35">
        <f>_xlfn.XLOOKUP(B202, '3.사회공헌'!C:C, '3.사회공헌'!BL:BL)</f>
        <v>9.9521999447455158</v>
      </c>
      <c r="G202" s="35">
        <f>_xlfn.XLOOKUP(B202, '4.소비자보호'!C:C, '4.소비자보호'!BE:BE)</f>
        <v>11.25</v>
      </c>
      <c r="H202" s="35">
        <f>_xlfn.XLOOKUP(B202, '5.환경경영'!C:C, '5.환경경영'!AX:AX)</f>
        <v>5.8333333333333339</v>
      </c>
      <c r="I202" s="35">
        <f>_xlfn.XLOOKUP(B202, '6.직원만족'!C:C, '6.직원만족'!BS:BS)</f>
        <v>7.4750308472659963</v>
      </c>
      <c r="J202" s="162">
        <f t="shared" si="3"/>
        <v>69.991921215012312</v>
      </c>
    </row>
    <row r="203" spans="1:10" x14ac:dyDescent="0.6">
      <c r="A203" s="214" t="s">
        <v>1711</v>
      </c>
      <c r="B203" s="219" t="s">
        <v>1712</v>
      </c>
      <c r="C203" s="14" t="s">
        <v>191</v>
      </c>
      <c r="D203" s="35">
        <f>_xlfn.XLOOKUP(B203, '1.건전성'!C:C, '1.건전성'!CW:CW)</f>
        <v>15.963864402705372</v>
      </c>
      <c r="E203" s="35">
        <f>_xlfn.XLOOKUP(B203, '2.공정성'!C:C, '2.공정성'!BS:BS)</f>
        <v>18.25</v>
      </c>
      <c r="F203" s="35">
        <f>_xlfn.XLOOKUP(B203, '3.사회공헌'!C:C, '3.사회공헌'!BL:BL)</f>
        <v>8.0912992933605654</v>
      </c>
      <c r="G203" s="35">
        <f>_xlfn.XLOOKUP(B203, '4.소비자보호'!C:C, '4.소비자보호'!BE:BE)</f>
        <v>11.25</v>
      </c>
      <c r="H203" s="35">
        <f>_xlfn.XLOOKUP(B203, '5.환경경영'!C:C, '5.환경경영'!AX:AX)</f>
        <v>6.5833333333333339</v>
      </c>
      <c r="I203" s="35">
        <f>_xlfn.XLOOKUP(B203, '6.직원만족'!C:C, '6.직원만족'!BS:BS)</f>
        <v>9.7582423127393643</v>
      </c>
      <c r="J203" s="162">
        <f t="shared" si="3"/>
        <v>69.89673934213863</v>
      </c>
    </row>
    <row r="204" spans="1:10" x14ac:dyDescent="0.6">
      <c r="A204" s="214" t="s">
        <v>1564</v>
      </c>
      <c r="B204" s="219" t="s">
        <v>1565</v>
      </c>
      <c r="C204" s="14" t="s">
        <v>285</v>
      </c>
      <c r="D204" s="35">
        <f>_xlfn.XLOOKUP(B204, '1.건전성'!C:C, '1.건전성'!CW:CW)</f>
        <v>17.168964586829425</v>
      </c>
      <c r="E204" s="35">
        <f>_xlfn.XLOOKUP(B204, '2.공정성'!C:C, '2.공정성'!BS:BS)</f>
        <v>18.25</v>
      </c>
      <c r="F204" s="35">
        <f>_xlfn.XLOOKUP(B204, '3.사회공헌'!C:C, '3.사회공헌'!BL:BL)</f>
        <v>8.8438171550608686</v>
      </c>
      <c r="G204" s="35">
        <f>_xlfn.XLOOKUP(B204, '4.소비자보호'!C:C, '4.소비자보호'!BE:BE)</f>
        <v>11.25</v>
      </c>
      <c r="H204" s="35">
        <f>_xlfn.XLOOKUP(B204, '5.환경경영'!C:C, '5.환경경영'!AX:AX)</f>
        <v>5.0833333333333339</v>
      </c>
      <c r="I204" s="35">
        <f>_xlfn.XLOOKUP(B204, '6.직원만족'!C:C, '6.직원만족'!BS:BS)</f>
        <v>9.2902176568950825</v>
      </c>
      <c r="J204" s="162">
        <f t="shared" si="3"/>
        <v>69.886332732118717</v>
      </c>
    </row>
    <row r="205" spans="1:10" x14ac:dyDescent="0.6">
      <c r="A205" s="214" t="s">
        <v>335</v>
      </c>
      <c r="B205" s="219" t="s">
        <v>107</v>
      </c>
      <c r="C205" s="216" t="s">
        <v>285</v>
      </c>
      <c r="D205" s="35">
        <f>_xlfn.XLOOKUP(B205, '1.건전성'!C:C, '1.건전성'!CW:CW)</f>
        <v>17.779509913312026</v>
      </c>
      <c r="E205" s="35">
        <f>_xlfn.XLOOKUP(B205, '2.공정성'!C:C, '2.공정성'!BS:BS)</f>
        <v>18.5</v>
      </c>
      <c r="F205" s="35">
        <f>_xlfn.XLOOKUP(B205, '3.사회공헌'!C:C, '3.사회공헌'!BL:BL)</f>
        <v>7.5512090798810991</v>
      </c>
      <c r="G205" s="35">
        <f>_xlfn.XLOOKUP(B205, '4.소비자보호'!C:C, '4.소비자보호'!BE:BE)</f>
        <v>11.25</v>
      </c>
      <c r="H205" s="35">
        <f>_xlfn.XLOOKUP(B205, '5.환경경영'!C:C, '5.환경경영'!AX:AX)</f>
        <v>6.5833333333333339</v>
      </c>
      <c r="I205" s="35">
        <f>_xlfn.XLOOKUP(B205, '6.직원만족'!C:C, '6.직원만족'!BS:BS)</f>
        <v>8.2040320117847934</v>
      </c>
      <c r="J205" s="162">
        <f t="shared" si="3"/>
        <v>69.868084338311249</v>
      </c>
    </row>
    <row r="206" spans="1:10" x14ac:dyDescent="0.6">
      <c r="A206" s="214" t="s">
        <v>863</v>
      </c>
      <c r="B206" s="219" t="s">
        <v>106</v>
      </c>
      <c r="C206" s="216" t="s">
        <v>203</v>
      </c>
      <c r="D206" s="35">
        <f>_xlfn.XLOOKUP(B206, '1.건전성'!C:C, '1.건전성'!CW:CW)</f>
        <v>17.162217651642457</v>
      </c>
      <c r="E206" s="35">
        <f>_xlfn.XLOOKUP(B206, '2.공정성'!C:C, '2.공정성'!BS:BS)</f>
        <v>19.5</v>
      </c>
      <c r="F206" s="35">
        <f>_xlfn.XLOOKUP(B206, '3.사회공헌'!C:C, '3.사회공헌'!BL:BL)</f>
        <v>4.5270302929104114</v>
      </c>
      <c r="G206" s="35">
        <f>_xlfn.XLOOKUP(B206, '4.소비자보호'!C:C, '4.소비자보호'!BE:BE)</f>
        <v>12</v>
      </c>
      <c r="H206" s="35">
        <f>_xlfn.XLOOKUP(B206, '5.환경경영'!C:C, '5.환경경영'!AX:AX)</f>
        <v>5.5833333333333339</v>
      </c>
      <c r="I206" s="35">
        <f>_xlfn.XLOOKUP(B206, '6.직원만족'!C:C, '6.직원만족'!BS:BS)</f>
        <v>11.048635160641366</v>
      </c>
      <c r="J206" s="162">
        <f t="shared" si="3"/>
        <v>69.821216438527571</v>
      </c>
    </row>
    <row r="207" spans="1:10" x14ac:dyDescent="0.6">
      <c r="A207" s="214" t="s">
        <v>1504</v>
      </c>
      <c r="B207" s="219" t="s">
        <v>1505</v>
      </c>
      <c r="C207" s="222" t="s">
        <v>285</v>
      </c>
      <c r="D207" s="35">
        <f>_xlfn.XLOOKUP(B207, '1.건전성'!C:C, '1.건전성'!CW:CW)</f>
        <v>19.251874194700246</v>
      </c>
      <c r="E207" s="35">
        <f>_xlfn.XLOOKUP(B207, '2.공정성'!C:C, '2.공정성'!BS:BS)</f>
        <v>16.5</v>
      </c>
      <c r="F207" s="35">
        <f>_xlfn.XLOOKUP(B207, '3.사회공헌'!C:C, '3.사회공헌'!BL:BL)</f>
        <v>8.1504116596969087</v>
      </c>
      <c r="G207" s="35">
        <f>_xlfn.XLOOKUP(B207, '4.소비자보호'!C:C, '4.소비자보호'!BE:BE)</f>
        <v>11.25</v>
      </c>
      <c r="H207" s="35">
        <f>_xlfn.XLOOKUP(B207, '5.환경경영'!C:C, '5.환경경영'!AX:AX)</f>
        <v>5.0833333333333339</v>
      </c>
      <c r="I207" s="35">
        <f>_xlfn.XLOOKUP(B207, '6.직원만족'!C:C, '6.직원만족'!BS:BS)</f>
        <v>9.533732709627099</v>
      </c>
      <c r="J207" s="162">
        <f t="shared" si="3"/>
        <v>69.769351897357595</v>
      </c>
    </row>
    <row r="208" spans="1:10" x14ac:dyDescent="0.6">
      <c r="A208" s="214" t="s">
        <v>110</v>
      </c>
      <c r="B208" s="219" t="s">
        <v>415</v>
      </c>
      <c r="C208" s="216" t="s">
        <v>202</v>
      </c>
      <c r="D208" s="35">
        <f>_xlfn.XLOOKUP(B208, '1.건전성'!C:C, '1.건전성'!CW:CW)</f>
        <v>18.319473461761422</v>
      </c>
      <c r="E208" s="35">
        <f>_xlfn.XLOOKUP(B208, '2.공정성'!C:C, '2.공정성'!BS:BS)</f>
        <v>17.25</v>
      </c>
      <c r="F208" s="35">
        <f>_xlfn.XLOOKUP(B208, '3.사회공헌'!C:C, '3.사회공헌'!BL:BL)</f>
        <v>5.7323366601767685</v>
      </c>
      <c r="G208" s="35">
        <f>_xlfn.XLOOKUP(B208, '4.소비자보호'!C:C, '4.소비자보호'!BE:BE)</f>
        <v>11.25</v>
      </c>
      <c r="H208" s="35">
        <f>_xlfn.XLOOKUP(B208, '5.환경경영'!C:C, '5.환경경영'!AX:AX)</f>
        <v>6.5833333333333339</v>
      </c>
      <c r="I208" s="35">
        <f>_xlfn.XLOOKUP(B208, '6.직원만족'!C:C, '6.직원만족'!BS:BS)</f>
        <v>10.612771533638485</v>
      </c>
      <c r="J208" s="162">
        <f t="shared" si="3"/>
        <v>69.747914988910011</v>
      </c>
    </row>
    <row r="209" spans="1:10" x14ac:dyDescent="0.6">
      <c r="A209" s="214" t="s">
        <v>1750</v>
      </c>
      <c r="B209" s="219" t="s">
        <v>1751</v>
      </c>
      <c r="C209" s="14" t="s">
        <v>202</v>
      </c>
      <c r="D209" s="35">
        <f>_xlfn.XLOOKUP(B209, '1.건전성'!C:C, '1.건전성'!CW:CW)</f>
        <v>18.917413446430714</v>
      </c>
      <c r="E209" s="35">
        <f>_xlfn.XLOOKUP(B209, '2.공정성'!C:C, '2.공정성'!BS:BS)</f>
        <v>19.5</v>
      </c>
      <c r="F209" s="35">
        <f>_xlfn.XLOOKUP(B209, '3.사회공헌'!C:C, '3.사회공헌'!BL:BL)</f>
        <v>5.2673574508868022</v>
      </c>
      <c r="G209" s="35">
        <f>_xlfn.XLOOKUP(B209, '4.소비자보호'!C:C, '4.소비자보호'!BE:BE)</f>
        <v>11.25</v>
      </c>
      <c r="H209" s="35">
        <f>_xlfn.XLOOKUP(B209, '5.환경경영'!C:C, '5.환경경영'!AX:AX)</f>
        <v>6.5833333333333339</v>
      </c>
      <c r="I209" s="35">
        <f>_xlfn.XLOOKUP(B209, '6.직원만족'!C:C, '6.직원만족'!BS:BS)</f>
        <v>8.2182830010322583</v>
      </c>
      <c r="J209" s="162">
        <f t="shared" si="3"/>
        <v>69.736387231683111</v>
      </c>
    </row>
    <row r="210" spans="1:10" x14ac:dyDescent="0.6">
      <c r="A210" s="214" t="s">
        <v>1532</v>
      </c>
      <c r="B210" s="219" t="s">
        <v>457</v>
      </c>
      <c r="C210" s="216" t="s">
        <v>285</v>
      </c>
      <c r="D210" s="35">
        <f>_xlfn.XLOOKUP(B210, '1.건전성'!C:C, '1.건전성'!CW:CW)</f>
        <v>15.983554556034509</v>
      </c>
      <c r="E210" s="35">
        <f>_xlfn.XLOOKUP(B210, '2.공정성'!C:C, '2.공정성'!BS:BS)</f>
        <v>16.5</v>
      </c>
      <c r="F210" s="35">
        <f>_xlfn.XLOOKUP(B210, '3.사회공헌'!C:C, '3.사회공헌'!BL:BL)</f>
        <v>11.192724844432551</v>
      </c>
      <c r="G210" s="35">
        <f>_xlfn.XLOOKUP(B210, '4.소비자보호'!C:C, '4.소비자보호'!BE:BE)</f>
        <v>10.95</v>
      </c>
      <c r="H210" s="35">
        <f>_xlfn.XLOOKUP(B210, '5.환경경영'!C:C, '5.환경경영'!AX:AX)</f>
        <v>6.5833333333333339</v>
      </c>
      <c r="I210" s="35">
        <f>_xlfn.XLOOKUP(B210, '6.직원만족'!C:C, '6.직원만족'!BS:BS)</f>
        <v>8.4954911492486893</v>
      </c>
      <c r="J210" s="162">
        <f t="shared" si="3"/>
        <v>69.705103883049077</v>
      </c>
    </row>
    <row r="211" spans="1:10" x14ac:dyDescent="0.6">
      <c r="A211" s="214" t="s">
        <v>412</v>
      </c>
      <c r="B211" s="219" t="s">
        <v>310</v>
      </c>
      <c r="C211" s="216" t="s">
        <v>285</v>
      </c>
      <c r="D211" s="35">
        <f>_xlfn.XLOOKUP(B211, '1.건전성'!C:C, '1.건전성'!CW:CW)</f>
        <v>17.123252630681986</v>
      </c>
      <c r="E211" s="35">
        <f>_xlfn.XLOOKUP(B211, '2.공정성'!C:C, '2.공정성'!BS:BS)</f>
        <v>18.833333333333336</v>
      </c>
      <c r="F211" s="35">
        <f>_xlfn.XLOOKUP(B211, '3.사회공헌'!C:C, '3.사회공헌'!BL:BL)</f>
        <v>7.3449258861212483</v>
      </c>
      <c r="G211" s="35">
        <f>_xlfn.XLOOKUP(B211, '4.소비자보호'!C:C, '4.소비자보호'!BE:BE)</f>
        <v>11.25</v>
      </c>
      <c r="H211" s="35">
        <f>_xlfn.XLOOKUP(B211, '5.환경경영'!C:C, '5.환경경영'!AX:AX)</f>
        <v>6.5833333333333339</v>
      </c>
      <c r="I211" s="35">
        <f>_xlfn.XLOOKUP(B211, '6.직원만족'!C:C, '6.직원만족'!BS:BS)</f>
        <v>8.5584290118930912</v>
      </c>
      <c r="J211" s="162">
        <f t="shared" si="3"/>
        <v>69.693274195362989</v>
      </c>
    </row>
    <row r="212" spans="1:10" x14ac:dyDescent="0.6">
      <c r="A212" s="214" t="s">
        <v>940</v>
      </c>
      <c r="B212" s="219" t="s">
        <v>888</v>
      </c>
      <c r="C212" s="216" t="s">
        <v>202</v>
      </c>
      <c r="D212" s="35">
        <f>_xlfn.XLOOKUP(B212, '1.건전성'!C:C, '1.건전성'!CW:CW)</f>
        <v>19.897926561374781</v>
      </c>
      <c r="E212" s="35">
        <f>_xlfn.XLOOKUP(B212, '2.공정성'!C:C, '2.공정성'!BS:BS)</f>
        <v>18.5</v>
      </c>
      <c r="F212" s="35">
        <f>_xlfn.XLOOKUP(B212, '3.사회공헌'!C:C, '3.사회공헌'!BL:BL)</f>
        <v>5.2646442166400975</v>
      </c>
      <c r="G212" s="35">
        <f>_xlfn.XLOOKUP(B212, '4.소비자보호'!C:C, '4.소비자보호'!BE:BE)</f>
        <v>11.25</v>
      </c>
      <c r="H212" s="35">
        <f>_xlfn.XLOOKUP(B212, '5.환경경영'!C:C, '5.환경경영'!AX:AX)</f>
        <v>6.5833333333333339</v>
      </c>
      <c r="I212" s="35">
        <f>_xlfn.XLOOKUP(B212, '6.직원만족'!C:C, '6.직원만족'!BS:BS)</f>
        <v>8.1847037631874979</v>
      </c>
      <c r="J212" s="162">
        <f t="shared" si="3"/>
        <v>69.68060787453571</v>
      </c>
    </row>
    <row r="213" spans="1:10" x14ac:dyDescent="0.6">
      <c r="A213" s="214" t="s">
        <v>1544</v>
      </c>
      <c r="B213" s="219" t="s">
        <v>543</v>
      </c>
      <c r="C213" s="221" t="s">
        <v>350</v>
      </c>
      <c r="D213" s="35">
        <f>_xlfn.XLOOKUP(B213, '1.건전성'!C:C, '1.건전성'!CW:CW)</f>
        <v>25.789812930092232</v>
      </c>
      <c r="E213" s="35">
        <f>_xlfn.XLOOKUP(B213, '2.공정성'!C:C, '2.공정성'!BS:BS)</f>
        <v>16.25</v>
      </c>
      <c r="F213" s="35">
        <f>_xlfn.XLOOKUP(B213, '3.사회공헌'!C:C, '3.사회공헌'!BL:BL)</f>
        <v>9.6105975125709477</v>
      </c>
      <c r="G213" s="35">
        <f>_xlfn.XLOOKUP(B213, '4.소비자보호'!C:C, '4.소비자보호'!BE:BE)</f>
        <v>11.55</v>
      </c>
      <c r="H213" s="35">
        <f>_xlfn.XLOOKUP(B213, '5.환경경영'!C:C, '5.환경경영'!AX:AX)</f>
        <v>0</v>
      </c>
      <c r="I213" s="35">
        <f>_xlfn.XLOOKUP(B213, '6.직원만족'!C:C, '6.직원만족'!BS:BS)</f>
        <v>6.4801405005708155</v>
      </c>
      <c r="J213" s="162">
        <f t="shared" si="3"/>
        <v>69.680550943233996</v>
      </c>
    </row>
    <row r="214" spans="1:10" x14ac:dyDescent="0.6">
      <c r="A214" s="214" t="s">
        <v>1762</v>
      </c>
      <c r="B214" s="219" t="s">
        <v>864</v>
      </c>
      <c r="C214" s="216" t="s">
        <v>191</v>
      </c>
      <c r="D214" s="35">
        <f>_xlfn.XLOOKUP(B214, '1.건전성'!C:C, '1.건전성'!CW:CW)</f>
        <v>19.041028651281081</v>
      </c>
      <c r="E214" s="35">
        <f>_xlfn.XLOOKUP(B214, '2.공정성'!C:C, '2.공정성'!BS:BS)</f>
        <v>19</v>
      </c>
      <c r="F214" s="35">
        <f>_xlfn.XLOOKUP(B214, '3.사회공헌'!C:C, '3.사회공헌'!BL:BL)</f>
        <v>5.5474545757930249</v>
      </c>
      <c r="G214" s="35">
        <f>_xlfn.XLOOKUP(B214, '4.소비자보호'!C:C, '4.소비자보호'!BE:BE)</f>
        <v>11.25</v>
      </c>
      <c r="H214" s="35">
        <f>_xlfn.XLOOKUP(B214, '5.환경경영'!C:C, '5.환경경영'!AX:AX)</f>
        <v>5.0833333333333339</v>
      </c>
      <c r="I214" s="35">
        <f>_xlfn.XLOOKUP(B214, '6.직원만족'!C:C, '6.직원만족'!BS:BS)</f>
        <v>9.6815004073299544</v>
      </c>
      <c r="J214" s="162">
        <f t="shared" si="3"/>
        <v>69.603316967737399</v>
      </c>
    </row>
    <row r="215" spans="1:10" x14ac:dyDescent="0.6">
      <c r="A215" s="214" t="s">
        <v>73</v>
      </c>
      <c r="B215" s="219" t="s">
        <v>65</v>
      </c>
      <c r="C215" s="216" t="s">
        <v>191</v>
      </c>
      <c r="D215" s="35">
        <f>_xlfn.XLOOKUP(B215, '1.건전성'!C:C, '1.건전성'!CW:CW)</f>
        <v>16.279534034143254</v>
      </c>
      <c r="E215" s="35">
        <f>_xlfn.XLOOKUP(B215, '2.공정성'!C:C, '2.공정성'!BS:BS)</f>
        <v>19.5</v>
      </c>
      <c r="F215" s="35">
        <f>_xlfn.XLOOKUP(B215, '3.사회공헌'!C:C, '3.사회공헌'!BL:BL)</f>
        <v>8.8662232036187962</v>
      </c>
      <c r="G215" s="35">
        <f>_xlfn.XLOOKUP(B215, '4.소비자보호'!C:C, '4.소비자보호'!BE:BE)</f>
        <v>11.25</v>
      </c>
      <c r="H215" s="35">
        <f>_xlfn.XLOOKUP(B215, '5.환경경영'!C:C, '5.환경경영'!AX:AX)</f>
        <v>5.5833333333333339</v>
      </c>
      <c r="I215" s="35">
        <f>_xlfn.XLOOKUP(B215, '6.직원만족'!C:C, '6.직원만족'!BS:BS)</f>
        <v>8.1116222930187991</v>
      </c>
      <c r="J215" s="162">
        <f t="shared" si="3"/>
        <v>69.590712864114181</v>
      </c>
    </row>
    <row r="216" spans="1:10" x14ac:dyDescent="0.6">
      <c r="A216" s="214" t="s">
        <v>1966</v>
      </c>
      <c r="B216" s="219" t="s">
        <v>456</v>
      </c>
      <c r="C216" s="216" t="s">
        <v>191</v>
      </c>
      <c r="D216" s="35">
        <f>_xlfn.XLOOKUP(B216, '1.건전성'!C:C, '1.건전성'!CW:CW)</f>
        <v>16.186891357801056</v>
      </c>
      <c r="E216" s="35">
        <f>_xlfn.XLOOKUP(B216, '2.공정성'!C:C, '2.공정성'!BS:BS)</f>
        <v>17.5</v>
      </c>
      <c r="F216" s="35">
        <f>_xlfn.XLOOKUP(B216, '3.사회공헌'!C:C, '3.사회공헌'!BL:BL)</f>
        <v>5.95</v>
      </c>
      <c r="G216" s="35">
        <f>_xlfn.XLOOKUP(B216, '4.소비자보호'!C:C, '4.소비자보호'!BE:BE)</f>
        <v>11.25</v>
      </c>
      <c r="H216" s="35">
        <f>_xlfn.XLOOKUP(B216, '5.환경경영'!C:C, '5.환경경영'!AX:AX)</f>
        <v>6.5833333333333339</v>
      </c>
      <c r="I216" s="35">
        <f>_xlfn.XLOOKUP(B216, '6.직원만족'!C:C, '6.직원만족'!BS:BS)</f>
        <v>12.119973384384481</v>
      </c>
      <c r="J216" s="162">
        <f t="shared" si="3"/>
        <v>69.590198075518884</v>
      </c>
    </row>
    <row r="217" spans="1:10" x14ac:dyDescent="0.6">
      <c r="A217" s="214" t="s">
        <v>96</v>
      </c>
      <c r="B217" s="219" t="s">
        <v>66</v>
      </c>
      <c r="C217" s="216" t="s">
        <v>203</v>
      </c>
      <c r="D217" s="35">
        <f>_xlfn.XLOOKUP(B217, '1.건전성'!C:C, '1.건전성'!CW:CW)</f>
        <v>16.262329980158704</v>
      </c>
      <c r="E217" s="35">
        <f>_xlfn.XLOOKUP(B217, '2.공정성'!C:C, '2.공정성'!BS:BS)</f>
        <v>19.25</v>
      </c>
      <c r="F217" s="35">
        <f>_xlfn.XLOOKUP(B217, '3.사회공헌'!C:C, '3.사회공헌'!BL:BL)</f>
        <v>5.6956808695049386</v>
      </c>
      <c r="G217" s="35">
        <f>_xlfn.XLOOKUP(B217, '4.소비자보호'!C:C, '4.소비자보호'!BE:BE)</f>
        <v>11.25</v>
      </c>
      <c r="H217" s="35">
        <f>_xlfn.XLOOKUP(B217, '5.환경경영'!C:C, '5.환경경영'!AX:AX)</f>
        <v>5.5833333333333339</v>
      </c>
      <c r="I217" s="35">
        <f>_xlfn.XLOOKUP(B217, '6.직원만족'!C:C, '6.직원만족'!BS:BS)</f>
        <v>11.475667665945119</v>
      </c>
      <c r="J217" s="162">
        <f t="shared" si="3"/>
        <v>69.517011848942104</v>
      </c>
    </row>
    <row r="218" spans="1:10" x14ac:dyDescent="0.6">
      <c r="A218" s="214" t="s">
        <v>97</v>
      </c>
      <c r="B218" s="219" t="s">
        <v>404</v>
      </c>
      <c r="C218" s="221" t="s">
        <v>350</v>
      </c>
      <c r="D218" s="35">
        <f>_xlfn.XLOOKUP(B218, '1.건전성'!C:C, '1.건전성'!CW:CW)</f>
        <v>25.500762628935984</v>
      </c>
      <c r="E218" s="35">
        <f>_xlfn.XLOOKUP(B218, '2.공정성'!C:C, '2.공정성'!BS:BS)</f>
        <v>17.5</v>
      </c>
      <c r="F218" s="35">
        <f>_xlfn.XLOOKUP(B218, '3.사회공헌'!C:C, '3.사회공헌'!BL:BL)</f>
        <v>10.012902473470609</v>
      </c>
      <c r="G218" s="35">
        <f>_xlfn.XLOOKUP(B218, '4.소비자보호'!C:C, '4.소비자보호'!BE:BE)</f>
        <v>11.55</v>
      </c>
      <c r="H218" s="35">
        <f>_xlfn.XLOOKUP(B218, '5.환경경영'!C:C, '5.환경경영'!AX:AX)</f>
        <v>0</v>
      </c>
      <c r="I218" s="35">
        <f>_xlfn.XLOOKUP(B218, '6.직원만족'!C:C, '6.직원만족'!BS:BS)</f>
        <v>4.9444083776805483</v>
      </c>
      <c r="J218" s="162">
        <f t="shared" si="3"/>
        <v>69.508073480087148</v>
      </c>
    </row>
    <row r="219" spans="1:10" x14ac:dyDescent="0.6">
      <c r="A219" s="214" t="s">
        <v>1474</v>
      </c>
      <c r="B219" s="219" t="s">
        <v>1475</v>
      </c>
      <c r="C219" s="222" t="s">
        <v>285</v>
      </c>
      <c r="D219" s="35">
        <f>_xlfn.XLOOKUP(B219, '1.건전성'!C:C, '1.건전성'!CW:CW)</f>
        <v>18.540923431285655</v>
      </c>
      <c r="E219" s="35">
        <f>_xlfn.XLOOKUP(B219, '2.공정성'!C:C, '2.공정성'!BS:BS)</f>
        <v>15.583333333333334</v>
      </c>
      <c r="F219" s="35">
        <f>_xlfn.XLOOKUP(B219, '3.사회공헌'!C:C, '3.사회공헌'!BL:BL)</f>
        <v>12.114663451228449</v>
      </c>
      <c r="G219" s="35">
        <f>_xlfn.XLOOKUP(B219, '4.소비자보호'!C:C, '4.소비자보호'!BE:BE)</f>
        <v>10.45</v>
      </c>
      <c r="H219" s="35">
        <f>_xlfn.XLOOKUP(B219, '5.환경경영'!C:C, '5.환경경영'!AX:AX)</f>
        <v>6.0833333333333339</v>
      </c>
      <c r="I219" s="35">
        <f>_xlfn.XLOOKUP(B219, '6.직원만족'!C:C, '6.직원만족'!BS:BS)</f>
        <v>6.7172642271908032</v>
      </c>
      <c r="J219" s="162">
        <f t="shared" si="3"/>
        <v>69.489517776371585</v>
      </c>
    </row>
    <row r="220" spans="1:10" x14ac:dyDescent="0.6">
      <c r="A220" s="214" t="s">
        <v>917</v>
      </c>
      <c r="B220" s="219" t="s">
        <v>13</v>
      </c>
      <c r="C220" s="216" t="s">
        <v>285</v>
      </c>
      <c r="D220" s="35">
        <f>_xlfn.XLOOKUP(B220, '1.건전성'!C:C, '1.건전성'!CW:CW)</f>
        <v>17.84024071769398</v>
      </c>
      <c r="E220" s="35">
        <f>_xlfn.XLOOKUP(B220, '2.공정성'!C:C, '2.공정성'!BS:BS)</f>
        <v>16.5</v>
      </c>
      <c r="F220" s="35">
        <f>_xlfn.XLOOKUP(B220, '3.사회공헌'!C:C, '3.사회공헌'!BL:BL)</f>
        <v>9.959931778741705</v>
      </c>
      <c r="G220" s="35">
        <f>_xlfn.XLOOKUP(B220, '4.소비자보호'!C:C, '4.소비자보호'!BE:BE)</f>
        <v>11.25</v>
      </c>
      <c r="H220" s="35">
        <f>_xlfn.XLOOKUP(B220, '5.환경경영'!C:C, '5.환경경영'!AX:AX)</f>
        <v>5.0833333333333339</v>
      </c>
      <c r="I220" s="35">
        <f>_xlfn.XLOOKUP(B220, '6.직원만족'!C:C, '6.직원만족'!BS:BS)</f>
        <v>8.8314767492310882</v>
      </c>
      <c r="J220" s="162">
        <f t="shared" si="3"/>
        <v>69.464982579000107</v>
      </c>
    </row>
    <row r="221" spans="1:10" x14ac:dyDescent="0.6">
      <c r="A221" s="214" t="s">
        <v>1898</v>
      </c>
      <c r="B221" s="219" t="s">
        <v>1899</v>
      </c>
      <c r="C221" s="14" t="s">
        <v>191</v>
      </c>
      <c r="D221" s="35">
        <f>_xlfn.XLOOKUP(B221, '1.건전성'!C:C, '1.건전성'!CW:CW)</f>
        <v>19.174225831899729</v>
      </c>
      <c r="E221" s="35">
        <f>_xlfn.XLOOKUP(B221, '2.공정성'!C:C, '2.공정성'!BS:BS)</f>
        <v>18.5</v>
      </c>
      <c r="F221" s="35">
        <f>_xlfn.XLOOKUP(B221, '3.사회공헌'!C:C, '3.사회공헌'!BL:BL)</f>
        <v>6.342315680943897</v>
      </c>
      <c r="G221" s="35">
        <f>_xlfn.XLOOKUP(B221, '4.소비자보호'!C:C, '4.소비자보호'!BE:BE)</f>
        <v>10.25</v>
      </c>
      <c r="H221" s="35">
        <f>_xlfn.XLOOKUP(B221, '5.환경경영'!C:C, '5.환경경영'!AX:AX)</f>
        <v>7.0833333333333339</v>
      </c>
      <c r="I221" s="35">
        <f>_xlfn.XLOOKUP(B221, '6.직원만족'!C:C, '6.직원만족'!BS:BS)</f>
        <v>8.1141095407019996</v>
      </c>
      <c r="J221" s="162">
        <f t="shared" si="3"/>
        <v>69.463984386878963</v>
      </c>
    </row>
    <row r="222" spans="1:10" x14ac:dyDescent="0.6">
      <c r="A222" s="214" t="s">
        <v>5</v>
      </c>
      <c r="B222" s="219" t="s">
        <v>514</v>
      </c>
      <c r="C222" s="216" t="s">
        <v>191</v>
      </c>
      <c r="D222" s="35">
        <f>_xlfn.XLOOKUP(B222, '1.건전성'!C:C, '1.건전성'!CW:CW)</f>
        <v>17.333213576472282</v>
      </c>
      <c r="E222" s="35">
        <f>_xlfn.XLOOKUP(B222, '2.공정성'!C:C, '2.공정성'!BS:BS)</f>
        <v>17.5</v>
      </c>
      <c r="F222" s="35">
        <f>_xlfn.XLOOKUP(B222, '3.사회공헌'!C:C, '3.사회공헌'!BL:BL)</f>
        <v>5.7820678115476838</v>
      </c>
      <c r="G222" s="35">
        <f>_xlfn.XLOOKUP(B222, '4.소비자보호'!C:C, '4.소비자보호'!BE:BE)</f>
        <v>12</v>
      </c>
      <c r="H222" s="35">
        <f>_xlfn.XLOOKUP(B222, '5.환경경영'!C:C, '5.환경경영'!AX:AX)</f>
        <v>5.0833333333333339</v>
      </c>
      <c r="I222" s="35">
        <f>_xlfn.XLOOKUP(B222, '6.직원만족'!C:C, '6.직원만족'!BS:BS)</f>
        <v>11.756657321776585</v>
      </c>
      <c r="J222" s="162">
        <f t="shared" si="3"/>
        <v>69.455272043129881</v>
      </c>
    </row>
    <row r="223" spans="1:10" x14ac:dyDescent="0.6">
      <c r="A223" s="214" t="s">
        <v>1740</v>
      </c>
      <c r="B223" s="219" t="s">
        <v>1741</v>
      </c>
      <c r="C223" s="14" t="s">
        <v>203</v>
      </c>
      <c r="D223" s="35">
        <f>_xlfn.XLOOKUP(B223, '1.건전성'!C:C, '1.건전성'!CW:CW)</f>
        <v>17.410303017376776</v>
      </c>
      <c r="E223" s="35">
        <f>_xlfn.XLOOKUP(B223, '2.공정성'!C:C, '2.공정성'!BS:BS)</f>
        <v>16.5</v>
      </c>
      <c r="F223" s="35">
        <f>_xlfn.XLOOKUP(B223, '3.사회공헌'!C:C, '3.사회공헌'!BL:BL)</f>
        <v>9.2089572408490223</v>
      </c>
      <c r="G223" s="35">
        <f>_xlfn.XLOOKUP(B223, '4.소비자보호'!C:C, '4.소비자보호'!BE:BE)</f>
        <v>11.25</v>
      </c>
      <c r="H223" s="35">
        <f>_xlfn.XLOOKUP(B223, '5.환경경영'!C:C, '5.환경경영'!AX:AX)</f>
        <v>7.3333333333333339</v>
      </c>
      <c r="I223" s="35">
        <f>_xlfn.XLOOKUP(B223, '6.직원만족'!C:C, '6.직원만족'!BS:BS)</f>
        <v>7.7039205261073214</v>
      </c>
      <c r="J223" s="162">
        <f t="shared" si="3"/>
        <v>69.406514117666461</v>
      </c>
    </row>
    <row r="224" spans="1:10" x14ac:dyDescent="0.6">
      <c r="A224" s="214" t="s">
        <v>1666</v>
      </c>
      <c r="B224" s="219" t="s">
        <v>1667</v>
      </c>
      <c r="C224" s="14" t="s">
        <v>191</v>
      </c>
      <c r="D224" s="35">
        <f>_xlfn.XLOOKUP(B224, '1.건전성'!C:C, '1.건전성'!CW:CW)</f>
        <v>15.435288534824375</v>
      </c>
      <c r="E224" s="35">
        <f>_xlfn.XLOOKUP(B224, '2.공정성'!C:C, '2.공정성'!BS:BS)</f>
        <v>19.5</v>
      </c>
      <c r="F224" s="35">
        <f>_xlfn.XLOOKUP(B224, '3.사회공헌'!C:C, '3.사회공헌'!BL:BL)</f>
        <v>6.1851478800023969</v>
      </c>
      <c r="G224" s="35">
        <f>_xlfn.XLOOKUP(B224, '4.소비자보호'!C:C, '4.소비자보호'!BE:BE)</f>
        <v>11.25</v>
      </c>
      <c r="H224" s="35">
        <f>_xlfn.XLOOKUP(B224, '5.환경경영'!C:C, '5.환경경영'!AX:AX)</f>
        <v>5.0833333333333339</v>
      </c>
      <c r="I224" s="35">
        <f>_xlfn.XLOOKUP(B224, '6.직원만족'!C:C, '6.직원만족'!BS:BS)</f>
        <v>11.909383412077016</v>
      </c>
      <c r="J224" s="162">
        <f t="shared" si="3"/>
        <v>69.363153160237118</v>
      </c>
    </row>
    <row r="225" spans="1:10" x14ac:dyDescent="0.6">
      <c r="A225" s="214" t="s">
        <v>100</v>
      </c>
      <c r="B225" s="219" t="s">
        <v>32</v>
      </c>
      <c r="C225" s="221" t="s">
        <v>481</v>
      </c>
      <c r="D225" s="35">
        <f>_xlfn.XLOOKUP(B225, '1.건전성'!C:C, '1.건전성'!CW:CW)</f>
        <v>29.500623415514827</v>
      </c>
      <c r="E225" s="35">
        <f>_xlfn.XLOOKUP(B225, '2.공정성'!C:C, '2.공정성'!BS:BS)</f>
        <v>16</v>
      </c>
      <c r="F225" s="35">
        <f>_xlfn.XLOOKUP(B225, '3.사회공헌'!C:C, '3.사회공헌'!BL:BL)</f>
        <v>5.4162968671604013</v>
      </c>
      <c r="G225" s="35">
        <f>_xlfn.XLOOKUP(B225, '4.소비자보호'!C:C, '4.소비자보호'!BE:BE)</f>
        <v>9.75</v>
      </c>
      <c r="H225" s="35">
        <f>_xlfn.XLOOKUP(B225, '5.환경경영'!C:C, '5.환경경영'!AX:AX)</f>
        <v>0</v>
      </c>
      <c r="I225" s="35">
        <f>_xlfn.XLOOKUP(B225, '6.직원만족'!C:C, '6.직원만족'!BS:BS)</f>
        <v>8.6845751928537016</v>
      </c>
      <c r="J225" s="162">
        <f t="shared" si="3"/>
        <v>69.351495475528921</v>
      </c>
    </row>
    <row r="226" spans="1:10" x14ac:dyDescent="0.6">
      <c r="A226" s="214" t="s">
        <v>1941</v>
      </c>
      <c r="B226" s="219" t="s">
        <v>1942</v>
      </c>
      <c r="C226" s="14" t="s">
        <v>202</v>
      </c>
      <c r="D226" s="35">
        <f>_xlfn.XLOOKUP(B226, '1.건전성'!C:C, '1.건전성'!CW:CW)</f>
        <v>18.914218517870061</v>
      </c>
      <c r="E226" s="35">
        <f>_xlfn.XLOOKUP(B226, '2.공정성'!C:C, '2.공정성'!BS:BS)</f>
        <v>19.25</v>
      </c>
      <c r="F226" s="35">
        <f>_xlfn.XLOOKUP(B226, '3.사회공헌'!C:C, '3.사회공헌'!BL:BL)</f>
        <v>6.5158562837830649</v>
      </c>
      <c r="G226" s="35">
        <f>_xlfn.XLOOKUP(B226, '4.소비자보호'!C:C, '4.소비자보호'!BE:BE)</f>
        <v>11.25</v>
      </c>
      <c r="H226" s="35">
        <f>_xlfn.XLOOKUP(B226, '5.환경경영'!C:C, '5.환경경영'!AX:AX)</f>
        <v>5.0833333333333339</v>
      </c>
      <c r="I226" s="35">
        <f>_xlfn.XLOOKUP(B226, '6.직원만족'!C:C, '6.직원만족'!BS:BS)</f>
        <v>8.2822680186175557</v>
      </c>
      <c r="J226" s="162">
        <f t="shared" si="3"/>
        <v>69.29567615360402</v>
      </c>
    </row>
    <row r="227" spans="1:10" x14ac:dyDescent="0.6">
      <c r="A227" s="214" t="s">
        <v>1621</v>
      </c>
      <c r="B227" s="219" t="s">
        <v>1622</v>
      </c>
      <c r="C227" s="14" t="s">
        <v>203</v>
      </c>
      <c r="D227" s="35">
        <f>_xlfn.XLOOKUP(B227, '1.건전성'!C:C, '1.건전성'!CW:CW)</f>
        <v>18.309431222918636</v>
      </c>
      <c r="E227" s="35">
        <f>_xlfn.XLOOKUP(B227, '2.공정성'!C:C, '2.공정성'!BS:BS)</f>
        <v>19.5</v>
      </c>
      <c r="F227" s="35">
        <f>_xlfn.XLOOKUP(B227, '3.사회공헌'!C:C, '3.사회공헌'!BL:BL)</f>
        <v>4.3658019651699123</v>
      </c>
      <c r="G227" s="35">
        <f>_xlfn.XLOOKUP(B227, '4.소비자보호'!C:C, '4.소비자보호'!BE:BE)</f>
        <v>11.25</v>
      </c>
      <c r="H227" s="35">
        <f>_xlfn.XLOOKUP(B227, '5.환경경영'!C:C, '5.환경경영'!AX:AX)</f>
        <v>5.5833333333333339</v>
      </c>
      <c r="I227" s="35">
        <f>_xlfn.XLOOKUP(B227, '6.직원만족'!C:C, '6.직원만족'!BS:BS)</f>
        <v>10.275179834523609</v>
      </c>
      <c r="J227" s="162">
        <f t="shared" si="3"/>
        <v>69.283746355945496</v>
      </c>
    </row>
    <row r="228" spans="1:10" x14ac:dyDescent="0.6">
      <c r="A228" s="214" t="s">
        <v>1658</v>
      </c>
      <c r="B228" s="219" t="s">
        <v>420</v>
      </c>
      <c r="C228" s="216" t="s">
        <v>203</v>
      </c>
      <c r="D228" s="35">
        <f>_xlfn.XLOOKUP(B228, '1.건전성'!C:C, '1.건전성'!CW:CW)</f>
        <v>16.495627003766408</v>
      </c>
      <c r="E228" s="35">
        <f>_xlfn.XLOOKUP(B228, '2.공정성'!C:C, '2.공정성'!BS:BS)</f>
        <v>19.25</v>
      </c>
      <c r="F228" s="35">
        <f>_xlfn.XLOOKUP(B228, '3.사회공헌'!C:C, '3.사회공헌'!BL:BL)</f>
        <v>6.8500000000000005</v>
      </c>
      <c r="G228" s="35">
        <f>_xlfn.XLOOKUP(B228, '4.소비자보호'!C:C, '4.소비자보호'!BE:BE)</f>
        <v>11.25</v>
      </c>
      <c r="H228" s="35">
        <f>_xlfn.XLOOKUP(B228, '5.환경경영'!C:C, '5.환경경영'!AX:AX)</f>
        <v>5.0833333333333339</v>
      </c>
      <c r="I228" s="35">
        <f>_xlfn.XLOOKUP(B228, '6.직원만족'!C:C, '6.직원만족'!BS:BS)</f>
        <v>10.336886764631688</v>
      </c>
      <c r="J228" s="162">
        <f t="shared" si="3"/>
        <v>69.265847101731438</v>
      </c>
    </row>
    <row r="229" spans="1:10" x14ac:dyDescent="0.6">
      <c r="A229" s="214" t="s">
        <v>685</v>
      </c>
      <c r="B229" s="219" t="s">
        <v>491</v>
      </c>
      <c r="C229" s="216" t="s">
        <v>285</v>
      </c>
      <c r="D229" s="35">
        <f>_xlfn.XLOOKUP(B229, '1.건전성'!C:C, '1.건전성'!CW:CW)</f>
        <v>20.688603925306857</v>
      </c>
      <c r="E229" s="35">
        <f>_xlfn.XLOOKUP(B229, '2.공정성'!C:C, '2.공정성'!BS:BS)</f>
        <v>18.25</v>
      </c>
      <c r="F229" s="35">
        <f>_xlfn.XLOOKUP(B229, '3.사회공헌'!C:C, '3.사회공헌'!BL:BL)</f>
        <v>5.8543254834518406</v>
      </c>
      <c r="G229" s="35">
        <f>_xlfn.XLOOKUP(B229, '4.소비자보호'!C:C, '4.소비자보호'!BE:BE)</f>
        <v>8.5500000000000007</v>
      </c>
      <c r="H229" s="35">
        <f>_xlfn.XLOOKUP(B229, '5.환경경영'!C:C, '5.환경경영'!AX:AX)</f>
        <v>6.0833333333333339</v>
      </c>
      <c r="I229" s="35">
        <f>_xlfn.XLOOKUP(B229, '6.직원만족'!C:C, '6.직원만족'!BS:BS)</f>
        <v>9.8213245100340192</v>
      </c>
      <c r="J229" s="162">
        <f t="shared" si="3"/>
        <v>69.247587252126053</v>
      </c>
    </row>
    <row r="230" spans="1:10" x14ac:dyDescent="0.6">
      <c r="A230" s="214" t="s">
        <v>1428</v>
      </c>
      <c r="B230" s="215" t="s">
        <v>555</v>
      </c>
      <c r="C230" s="216" t="s">
        <v>191</v>
      </c>
      <c r="D230" s="35">
        <f>_xlfn.XLOOKUP(B230, '1.건전성'!C:C, '1.건전성'!CW:CW)</f>
        <v>17.736387273232655</v>
      </c>
      <c r="E230" s="35">
        <f>_xlfn.XLOOKUP(B230, '2.공정성'!C:C, '2.공정성'!BS:BS)</f>
        <v>18.25</v>
      </c>
      <c r="F230" s="35">
        <f>_xlfn.XLOOKUP(B230, '3.사회공헌'!C:C, '3.사회공헌'!BL:BL)</f>
        <v>6.8375782005522314</v>
      </c>
      <c r="G230" s="35">
        <f>_xlfn.XLOOKUP(B230, '4.소비자보호'!C:C, '4.소비자보호'!BE:BE)</f>
        <v>11.25</v>
      </c>
      <c r="H230" s="35">
        <f>_xlfn.XLOOKUP(B230, '5.환경경영'!C:C, '5.환경경영'!AX:AX)</f>
        <v>5.0833333333333339</v>
      </c>
      <c r="I230" s="35">
        <f>_xlfn.XLOOKUP(B230, '6.직원만족'!C:C, '6.직원만족'!BS:BS)</f>
        <v>10.06943582291998</v>
      </c>
      <c r="J230" s="162">
        <f t="shared" si="3"/>
        <v>69.226734630038194</v>
      </c>
    </row>
    <row r="231" spans="1:10" x14ac:dyDescent="0.6">
      <c r="A231" s="214" t="s">
        <v>1514</v>
      </c>
      <c r="B231" s="219" t="s">
        <v>436</v>
      </c>
      <c r="C231" s="216" t="s">
        <v>285</v>
      </c>
      <c r="D231" s="35">
        <f>_xlfn.XLOOKUP(B231, '1.건전성'!C:C, '1.건전성'!CW:CW)</f>
        <v>17.056256741428353</v>
      </c>
      <c r="E231" s="35">
        <f>_xlfn.XLOOKUP(B231, '2.공정성'!C:C, '2.공정성'!BS:BS)</f>
        <v>17.25</v>
      </c>
      <c r="F231" s="35">
        <f>_xlfn.XLOOKUP(B231, '3.사회공헌'!C:C, '3.사회공헌'!BL:BL)</f>
        <v>8.8584246578094614</v>
      </c>
      <c r="G231" s="35">
        <f>_xlfn.XLOOKUP(B231, '4.소비자보호'!C:C, '4.소비자보호'!BE:BE)</f>
        <v>11.25</v>
      </c>
      <c r="H231" s="35">
        <f>_xlfn.XLOOKUP(B231, '5.환경경영'!C:C, '5.환경경영'!AX:AX)</f>
        <v>6.0833333333333339</v>
      </c>
      <c r="I231" s="35">
        <f>_xlfn.XLOOKUP(B231, '6.직원만족'!C:C, '6.직원만족'!BS:BS)</f>
        <v>8.6705630591912008</v>
      </c>
      <c r="J231" s="162">
        <f t="shared" si="3"/>
        <v>69.16857779176236</v>
      </c>
    </row>
    <row r="232" spans="1:10" x14ac:dyDescent="0.6">
      <c r="A232" s="214" t="s">
        <v>945</v>
      </c>
      <c r="B232" s="219" t="s">
        <v>51</v>
      </c>
      <c r="C232" s="216" t="s">
        <v>203</v>
      </c>
      <c r="D232" s="35">
        <f>_xlfn.XLOOKUP(B232, '1.건전성'!C:C, '1.건전성'!CW:CW)</f>
        <v>17.044909070238653</v>
      </c>
      <c r="E232" s="35">
        <f>_xlfn.XLOOKUP(B232, '2.공정성'!C:C, '2.공정성'!BS:BS)</f>
        <v>19.5</v>
      </c>
      <c r="F232" s="35">
        <f>_xlfn.XLOOKUP(B232, '3.사회공헌'!C:C, '3.사회공헌'!BL:BL)</f>
        <v>5.3309626304829667</v>
      </c>
      <c r="G232" s="35">
        <f>_xlfn.XLOOKUP(B232, '4.소비자보호'!C:C, '4.소비자보호'!BE:BE)</f>
        <v>11.25</v>
      </c>
      <c r="H232" s="35">
        <f>_xlfn.XLOOKUP(B232, '5.환경경영'!C:C, '5.환경경영'!AX:AX)</f>
        <v>6.5833333333333339</v>
      </c>
      <c r="I232" s="35">
        <f>_xlfn.XLOOKUP(B232, '6.직원만족'!C:C, '6.직원만족'!BS:BS)</f>
        <v>9.3625376546288166</v>
      </c>
      <c r="J232" s="162">
        <f t="shared" si="3"/>
        <v>69.07174268868377</v>
      </c>
    </row>
    <row r="233" spans="1:10" x14ac:dyDescent="0.6">
      <c r="A233" s="214" t="s">
        <v>1870</v>
      </c>
      <c r="B233" s="219" t="s">
        <v>529</v>
      </c>
      <c r="C233" s="216" t="s">
        <v>203</v>
      </c>
      <c r="D233" s="35">
        <f>_xlfn.XLOOKUP(B233, '1.건전성'!C:C, '1.건전성'!CW:CW)</f>
        <v>16.492337892773289</v>
      </c>
      <c r="E233" s="35">
        <f>_xlfn.XLOOKUP(B233, '2.공정성'!C:C, '2.공정성'!BS:BS)</f>
        <v>19.5</v>
      </c>
      <c r="F233" s="35">
        <f>_xlfn.XLOOKUP(B233, '3.사회공헌'!C:C, '3.사회공헌'!BL:BL)</f>
        <v>6.3814474235944898</v>
      </c>
      <c r="G233" s="35">
        <f>_xlfn.XLOOKUP(B233, '4.소비자보호'!C:C, '4.소비자보호'!BE:BE)</f>
        <v>11.25</v>
      </c>
      <c r="H233" s="35">
        <f>_xlfn.XLOOKUP(B233, '5.환경경영'!C:C, '5.환경경영'!AX:AX)</f>
        <v>5.5833333333333339</v>
      </c>
      <c r="I233" s="35">
        <f>_xlfn.XLOOKUP(B233, '6.직원만족'!C:C, '6.직원만족'!BS:BS)</f>
        <v>9.8093089774853812</v>
      </c>
      <c r="J233" s="162">
        <f t="shared" si="3"/>
        <v>69.016427627186502</v>
      </c>
    </row>
    <row r="234" spans="1:10" x14ac:dyDescent="0.6">
      <c r="A234" s="214" t="s">
        <v>464</v>
      </c>
      <c r="B234" s="219" t="s">
        <v>314</v>
      </c>
      <c r="C234" s="216" t="s">
        <v>285</v>
      </c>
      <c r="D234" s="35">
        <f>_xlfn.XLOOKUP(B234, '1.건전성'!C:C, '1.건전성'!CW:CW)</f>
        <v>17.469028439235785</v>
      </c>
      <c r="E234" s="35">
        <f>_xlfn.XLOOKUP(B234, '2.공정성'!C:C, '2.공정성'!BS:BS)</f>
        <v>19.5</v>
      </c>
      <c r="F234" s="35">
        <f>_xlfn.XLOOKUP(B234, '3.사회공헌'!C:C, '3.사회공헌'!BL:BL)</f>
        <v>8.3964027037881994</v>
      </c>
      <c r="G234" s="35">
        <f>_xlfn.XLOOKUP(B234, '4.소비자보호'!C:C, '4.소비자보호'!BE:BE)</f>
        <v>11.75</v>
      </c>
      <c r="H234" s="35">
        <f>_xlfn.XLOOKUP(B234, '5.환경경영'!C:C, '5.환경경영'!AX:AX)</f>
        <v>5.0833333333333339</v>
      </c>
      <c r="I234" s="35">
        <f>_xlfn.XLOOKUP(B234, '6.직원만족'!C:C, '6.직원만족'!BS:BS)</f>
        <v>6.8166004205610129</v>
      </c>
      <c r="J234" s="162">
        <f t="shared" si="3"/>
        <v>69.015364896918328</v>
      </c>
    </row>
    <row r="235" spans="1:10" x14ac:dyDescent="0.6">
      <c r="A235" s="214" t="s">
        <v>1584</v>
      </c>
      <c r="B235" s="219" t="s">
        <v>485</v>
      </c>
      <c r="C235" s="216" t="s">
        <v>202</v>
      </c>
      <c r="D235" s="35">
        <f>_xlfn.XLOOKUP(B235, '1.건전성'!C:C, '1.건전성'!CW:CW)</f>
        <v>16.344606550509575</v>
      </c>
      <c r="E235" s="35">
        <f>_xlfn.XLOOKUP(B235, '2.공정성'!C:C, '2.공정성'!BS:BS)</f>
        <v>19.5</v>
      </c>
      <c r="F235" s="35">
        <f>_xlfn.XLOOKUP(B235, '3.사회공헌'!C:C, '3.사회공헌'!BL:BL)</f>
        <v>5.1633715802945916</v>
      </c>
      <c r="G235" s="35">
        <f>_xlfn.XLOOKUP(B235, '4.소비자보호'!C:C, '4.소비자보호'!BE:BE)</f>
        <v>11.25</v>
      </c>
      <c r="H235" s="35">
        <f>_xlfn.XLOOKUP(B235, '5.환경경영'!C:C, '5.환경경영'!AX:AX)</f>
        <v>6.0833333333333339</v>
      </c>
      <c r="I235" s="35">
        <f>_xlfn.XLOOKUP(B235, '6.직원만족'!C:C, '6.직원만족'!BS:BS)</f>
        <v>10.642200526864231</v>
      </c>
      <c r="J235" s="162">
        <f t="shared" si="3"/>
        <v>68.983511991001734</v>
      </c>
    </row>
    <row r="236" spans="1:10" x14ac:dyDescent="0.6">
      <c r="A236" s="214" t="s">
        <v>1908</v>
      </c>
      <c r="B236" s="219" t="s">
        <v>542</v>
      </c>
      <c r="C236" s="216" t="s">
        <v>202</v>
      </c>
      <c r="D236" s="35">
        <f>_xlfn.XLOOKUP(B236, '1.건전성'!C:C, '1.건전성'!CW:CW)</f>
        <v>16.561386234037872</v>
      </c>
      <c r="E236" s="35">
        <f>_xlfn.XLOOKUP(B236, '2.공정성'!C:C, '2.공정성'!BS:BS)</f>
        <v>19.5</v>
      </c>
      <c r="F236" s="35">
        <f>_xlfn.XLOOKUP(B236, '3.사회공헌'!C:C, '3.사회공헌'!BL:BL)</f>
        <v>7.9121358140670672</v>
      </c>
      <c r="G236" s="35">
        <f>_xlfn.XLOOKUP(B236, '4.소비자보호'!C:C, '4.소비자보호'!BE:BE)</f>
        <v>11.25</v>
      </c>
      <c r="H236" s="35">
        <f>_xlfn.XLOOKUP(B236, '5.환경경영'!C:C, '5.환경경영'!AX:AX)</f>
        <v>6.0833333333333339</v>
      </c>
      <c r="I236" s="35">
        <f>_xlfn.XLOOKUP(B236, '6.직원만족'!C:C, '6.직원만족'!BS:BS)</f>
        <v>7.6659857465028454</v>
      </c>
      <c r="J236" s="162">
        <f t="shared" si="3"/>
        <v>68.972841127941123</v>
      </c>
    </row>
    <row r="237" spans="1:10" x14ac:dyDescent="0.6">
      <c r="A237" s="214" t="s">
        <v>926</v>
      </c>
      <c r="B237" s="219" t="s">
        <v>10</v>
      </c>
      <c r="C237" s="216" t="s">
        <v>285</v>
      </c>
      <c r="D237" s="35">
        <f>_xlfn.XLOOKUP(B237, '1.건전성'!C:C, '1.건전성'!CW:CW)</f>
        <v>17.203675226473351</v>
      </c>
      <c r="E237" s="35">
        <f>_xlfn.XLOOKUP(B237, '2.공정성'!C:C, '2.공정성'!BS:BS)</f>
        <v>18.5</v>
      </c>
      <c r="F237" s="35">
        <f>_xlfn.XLOOKUP(B237, '3.사회공헌'!C:C, '3.사회공헌'!BL:BL)</f>
        <v>5.4349381957190683</v>
      </c>
      <c r="G237" s="35">
        <f>_xlfn.XLOOKUP(B237, '4.소비자보호'!C:C, '4.소비자보호'!BE:BE)</f>
        <v>11.75</v>
      </c>
      <c r="H237" s="35">
        <f>_xlfn.XLOOKUP(B237, '5.환경경영'!C:C, '5.환경경영'!AX:AX)</f>
        <v>7.0833333333333339</v>
      </c>
      <c r="I237" s="35">
        <f>_xlfn.XLOOKUP(B237, '6.직원만족'!C:C, '6.직원만족'!BS:BS)</f>
        <v>8.993272478683501</v>
      </c>
      <c r="J237" s="162">
        <f t="shared" si="3"/>
        <v>68.965219234209258</v>
      </c>
    </row>
    <row r="238" spans="1:10" x14ac:dyDescent="0.6">
      <c r="A238" s="214" t="s">
        <v>1817</v>
      </c>
      <c r="B238" s="219" t="s">
        <v>1818</v>
      </c>
      <c r="C238" s="14" t="s">
        <v>191</v>
      </c>
      <c r="D238" s="35">
        <f>_xlfn.XLOOKUP(B238, '1.건전성'!C:C, '1.건전성'!CW:CW)</f>
        <v>18.128240977342145</v>
      </c>
      <c r="E238" s="35">
        <f>_xlfn.XLOOKUP(B238, '2.공정성'!C:C, '2.공정성'!BS:BS)</f>
        <v>19.5</v>
      </c>
      <c r="F238" s="35">
        <f>_xlfn.XLOOKUP(B238, '3.사회공헌'!C:C, '3.사회공헌'!BL:BL)</f>
        <v>4.2</v>
      </c>
      <c r="G238" s="35">
        <f>_xlfn.XLOOKUP(B238, '4.소비자보호'!C:C, '4.소비자보호'!BE:BE)</f>
        <v>11.25</v>
      </c>
      <c r="H238" s="35">
        <f>_xlfn.XLOOKUP(B238, '5.환경경영'!C:C, '5.환경경영'!AX:AX)</f>
        <v>5.5833333333333339</v>
      </c>
      <c r="I238" s="35">
        <f>_xlfn.XLOOKUP(B238, '6.직원만족'!C:C, '6.직원만족'!BS:BS)</f>
        <v>10.272040659726427</v>
      </c>
      <c r="J238" s="162">
        <f t="shared" si="3"/>
        <v>68.933614970401905</v>
      </c>
    </row>
    <row r="239" spans="1:10" x14ac:dyDescent="0.6">
      <c r="A239" s="214" t="s">
        <v>885</v>
      </c>
      <c r="B239" s="219" t="s">
        <v>311</v>
      </c>
      <c r="C239" s="216" t="s">
        <v>191</v>
      </c>
      <c r="D239" s="35">
        <f>_xlfn.XLOOKUP(B239, '1.건전성'!C:C, '1.건전성'!CW:CW)</f>
        <v>18.645439628553895</v>
      </c>
      <c r="E239" s="35">
        <f>_xlfn.XLOOKUP(B239, '2.공정성'!C:C, '2.공정성'!BS:BS)</f>
        <v>16.5</v>
      </c>
      <c r="F239" s="35">
        <f>_xlfn.XLOOKUP(B239, '3.사회공헌'!C:C, '3.사회공헌'!BL:BL)</f>
        <v>5.2208204467923514</v>
      </c>
      <c r="G239" s="35">
        <f>_xlfn.XLOOKUP(B239, '4.소비자보호'!C:C, '4.소비자보호'!BE:BE)</f>
        <v>11.25</v>
      </c>
      <c r="H239" s="35">
        <f>_xlfn.XLOOKUP(B239, '5.환경경영'!C:C, '5.환경경영'!AX:AX)</f>
        <v>5.0833333333333339</v>
      </c>
      <c r="I239" s="35">
        <f>_xlfn.XLOOKUP(B239, '6.직원만족'!C:C, '6.직원만족'!BS:BS)</f>
        <v>12.14202066261757</v>
      </c>
      <c r="J239" s="162">
        <f t="shared" si="3"/>
        <v>68.841614071297158</v>
      </c>
    </row>
    <row r="240" spans="1:10" x14ac:dyDescent="0.6">
      <c r="A240" s="214" t="s">
        <v>1430</v>
      </c>
      <c r="B240" s="219" t="s">
        <v>1431</v>
      </c>
      <c r="C240" s="14" t="s">
        <v>285</v>
      </c>
      <c r="D240" s="35">
        <f>_xlfn.XLOOKUP(B240, '1.건전성'!C:C, '1.건전성'!CW:CW)</f>
        <v>18.217367384557505</v>
      </c>
      <c r="E240" s="35">
        <f>_xlfn.XLOOKUP(B240, '2.공정성'!C:C, '2.공정성'!BS:BS)</f>
        <v>15.25</v>
      </c>
      <c r="F240" s="35">
        <f>_xlfn.XLOOKUP(B240, '3.사회공헌'!C:C, '3.사회공헌'!BL:BL)</f>
        <v>10.030638708853715</v>
      </c>
      <c r="G240" s="35">
        <f>_xlfn.XLOOKUP(B240, '4.소비자보호'!C:C, '4.소비자보호'!BE:BE)</f>
        <v>10.45</v>
      </c>
      <c r="H240" s="35">
        <f>_xlfn.XLOOKUP(B240, '5.환경경영'!C:C, '5.환경경영'!AX:AX)</f>
        <v>5.8333333333333339</v>
      </c>
      <c r="I240" s="35">
        <f>_xlfn.XLOOKUP(B240, '6.직원만족'!C:C, '6.직원만족'!BS:BS)</f>
        <v>9.0510231744812959</v>
      </c>
      <c r="J240" s="162">
        <f t="shared" si="3"/>
        <v>68.832362601225853</v>
      </c>
    </row>
    <row r="241" spans="1:10" x14ac:dyDescent="0.6">
      <c r="A241" s="214" t="s">
        <v>1552</v>
      </c>
      <c r="B241" s="219" t="s">
        <v>1553</v>
      </c>
      <c r="C241" s="14" t="s">
        <v>285</v>
      </c>
      <c r="D241" s="35">
        <f>_xlfn.XLOOKUP(B241, '1.건전성'!C:C, '1.건전성'!CW:CW)</f>
        <v>20.456968515361147</v>
      </c>
      <c r="E241" s="35">
        <f>_xlfn.XLOOKUP(B241, '2.공정성'!C:C, '2.공정성'!BS:BS)</f>
        <v>16.75</v>
      </c>
      <c r="F241" s="35">
        <f>_xlfn.XLOOKUP(B241, '3.사회공헌'!C:C, '3.사회공헌'!BL:BL)</f>
        <v>9.5239632182685714</v>
      </c>
      <c r="G241" s="35">
        <f>_xlfn.XLOOKUP(B241, '4.소비자보호'!C:C, '4.소비자보호'!BE:BE)</f>
        <v>8.0500000000000007</v>
      </c>
      <c r="H241" s="35">
        <f>_xlfn.XLOOKUP(B241, '5.환경경영'!C:C, '5.환경경영'!AX:AX)</f>
        <v>6.5833333333333339</v>
      </c>
      <c r="I241" s="35">
        <f>_xlfn.XLOOKUP(B241, '6.직원만족'!C:C, '6.직원만족'!BS:BS)</f>
        <v>7.4666103151061449</v>
      </c>
      <c r="J241" s="162">
        <f t="shared" si="3"/>
        <v>68.830875382069195</v>
      </c>
    </row>
    <row r="242" spans="1:10" x14ac:dyDescent="0.6">
      <c r="A242" s="214" t="s">
        <v>423</v>
      </c>
      <c r="B242" s="219" t="s">
        <v>316</v>
      </c>
      <c r="C242" s="216" t="s">
        <v>202</v>
      </c>
      <c r="D242" s="35">
        <f>_xlfn.XLOOKUP(B242, '1.건전성'!C:C, '1.건전성'!CW:CW)</f>
        <v>16.393934155526527</v>
      </c>
      <c r="E242" s="35">
        <f>_xlfn.XLOOKUP(B242, '2.공정성'!C:C, '2.공정성'!BS:BS)</f>
        <v>17.25</v>
      </c>
      <c r="F242" s="35">
        <f>_xlfn.XLOOKUP(B242, '3.사회공헌'!C:C, '3.사회공헌'!BL:BL)</f>
        <v>6.3093596402996077</v>
      </c>
      <c r="G242" s="35">
        <f>_xlfn.XLOOKUP(B242, '4.소비자보호'!C:C, '4.소비자보호'!BE:BE)</f>
        <v>11.25</v>
      </c>
      <c r="H242" s="35">
        <f>_xlfn.XLOOKUP(B242, '5.환경경영'!C:C, '5.환경경영'!AX:AX)</f>
        <v>6.5833333333333339</v>
      </c>
      <c r="I242" s="35">
        <f>_xlfn.XLOOKUP(B242, '6.직원만족'!C:C, '6.직원만족'!BS:BS)</f>
        <v>11.017480132542664</v>
      </c>
      <c r="J242" s="162">
        <f t="shared" si="3"/>
        <v>68.804107261702129</v>
      </c>
    </row>
    <row r="243" spans="1:10" x14ac:dyDescent="0.6">
      <c r="A243" s="214" t="s">
        <v>6</v>
      </c>
      <c r="B243" s="219" t="s">
        <v>558</v>
      </c>
      <c r="C243" s="216" t="s">
        <v>285</v>
      </c>
      <c r="D243" s="35">
        <f>_xlfn.XLOOKUP(B243, '1.건전성'!C:C, '1.건전성'!CW:CW)</f>
        <v>16.497180858503455</v>
      </c>
      <c r="E243" s="35">
        <f>_xlfn.XLOOKUP(B243, '2.공정성'!C:C, '2.공정성'!BS:BS)</f>
        <v>18.5</v>
      </c>
      <c r="F243" s="35">
        <f>_xlfn.XLOOKUP(B243, '3.사회공헌'!C:C, '3.사회공헌'!BL:BL)</f>
        <v>6.0298597712985034</v>
      </c>
      <c r="G243" s="35">
        <f>_xlfn.XLOOKUP(B243, '4.소비자보호'!C:C, '4.소비자보호'!BE:BE)</f>
        <v>11.25</v>
      </c>
      <c r="H243" s="35">
        <f>_xlfn.XLOOKUP(B243, '5.환경경영'!C:C, '5.환경경영'!AX:AX)</f>
        <v>6.8333333333333339</v>
      </c>
      <c r="I243" s="35">
        <f>_xlfn.XLOOKUP(B243, '6.직원만족'!C:C, '6.직원만족'!BS:BS)</f>
        <v>9.6464932768434419</v>
      </c>
      <c r="J243" s="162">
        <f t="shared" si="3"/>
        <v>68.756867239978732</v>
      </c>
    </row>
    <row r="244" spans="1:10" x14ac:dyDescent="0.6">
      <c r="A244" s="214" t="s">
        <v>1800</v>
      </c>
      <c r="B244" s="219" t="s">
        <v>1801</v>
      </c>
      <c r="C244" s="14" t="s">
        <v>285</v>
      </c>
      <c r="D244" s="35">
        <f>_xlfn.XLOOKUP(B244, '1.건전성'!C:C, '1.건전성'!CW:CW)</f>
        <v>21.74125768133008</v>
      </c>
      <c r="E244" s="35">
        <f>_xlfn.XLOOKUP(B244, '2.공정성'!C:C, '2.공정성'!BS:BS)</f>
        <v>18.5</v>
      </c>
      <c r="F244" s="35">
        <f>_xlfn.XLOOKUP(B244, '3.사회공헌'!C:C, '3.사회공헌'!BL:BL)</f>
        <v>6.0231477899356056</v>
      </c>
      <c r="G244" s="35">
        <f>_xlfn.XLOOKUP(B244, '4.소비자보호'!C:C, '4.소비자보호'!BE:BE)</f>
        <v>11.25</v>
      </c>
      <c r="H244" s="35">
        <f>_xlfn.XLOOKUP(B244, '5.환경경영'!C:C, '5.환경경영'!AX:AX)</f>
        <v>3.5833333333333335</v>
      </c>
      <c r="I244" s="35">
        <f>_xlfn.XLOOKUP(B244, '6.직원만족'!C:C, '6.직원만족'!BS:BS)</f>
        <v>7.6433772092160117</v>
      </c>
      <c r="J244" s="162">
        <f t="shared" si="3"/>
        <v>68.741116013815031</v>
      </c>
    </row>
    <row r="245" spans="1:10" x14ac:dyDescent="0.6">
      <c r="A245" s="214" t="s">
        <v>1570</v>
      </c>
      <c r="B245" s="219" t="s">
        <v>1571</v>
      </c>
      <c r="C245" s="14" t="s">
        <v>203</v>
      </c>
      <c r="D245" s="35">
        <f>_xlfn.XLOOKUP(B245, '1.건전성'!C:C, '1.건전성'!CW:CW)</f>
        <v>19.187735699164207</v>
      </c>
      <c r="E245" s="35">
        <f>_xlfn.XLOOKUP(B245, '2.공정성'!C:C, '2.공정성'!BS:BS)</f>
        <v>19.5</v>
      </c>
      <c r="F245" s="35">
        <f>_xlfn.XLOOKUP(B245, '3.사회공헌'!C:C, '3.사회공헌'!BL:BL)</f>
        <v>4.6864649962811624</v>
      </c>
      <c r="G245" s="35">
        <f>_xlfn.XLOOKUP(B245, '4.소비자보호'!C:C, '4.소비자보호'!BE:BE)</f>
        <v>11.25</v>
      </c>
      <c r="H245" s="35">
        <f>_xlfn.XLOOKUP(B245, '5.환경경영'!C:C, '5.환경경영'!AX:AX)</f>
        <v>5.5833333333333339</v>
      </c>
      <c r="I245" s="35">
        <f>_xlfn.XLOOKUP(B245, '6.직원만족'!C:C, '6.직원만족'!BS:BS)</f>
        <v>8.4982014590754424</v>
      </c>
      <c r="J245" s="162">
        <f t="shared" si="3"/>
        <v>68.705735487854142</v>
      </c>
    </row>
    <row r="246" spans="1:10" x14ac:dyDescent="0.6">
      <c r="A246" s="214" t="s">
        <v>881</v>
      </c>
      <c r="B246" s="219" t="s">
        <v>547</v>
      </c>
      <c r="C246" s="216" t="s">
        <v>191</v>
      </c>
      <c r="D246" s="35">
        <f>_xlfn.XLOOKUP(B246, '1.건전성'!C:C, '1.건전성'!CW:CW)</f>
        <v>17.797191581707686</v>
      </c>
      <c r="E246" s="35">
        <f>_xlfn.XLOOKUP(B246, '2.공정성'!C:C, '2.공정성'!BS:BS)</f>
        <v>19.5</v>
      </c>
      <c r="F246" s="35">
        <f>_xlfn.XLOOKUP(B246, '3.사회공헌'!C:C, '3.사회공헌'!BL:BL)</f>
        <v>3.918110496972572</v>
      </c>
      <c r="G246" s="35">
        <f>_xlfn.XLOOKUP(B246, '4.소비자보호'!C:C, '4.소비자보호'!BE:BE)</f>
        <v>11.25</v>
      </c>
      <c r="H246" s="35">
        <f>_xlfn.XLOOKUP(B246, '5.환경경영'!C:C, '5.환경경영'!AX:AX)</f>
        <v>5.0833333333333339</v>
      </c>
      <c r="I246" s="35">
        <f>_xlfn.XLOOKUP(B246, '6.직원만족'!C:C, '6.직원만족'!BS:BS)</f>
        <v>11.130756943400492</v>
      </c>
      <c r="J246" s="162">
        <f t="shared" si="3"/>
        <v>68.67939235541408</v>
      </c>
    </row>
    <row r="247" spans="1:10" x14ac:dyDescent="0.6">
      <c r="A247" s="214" t="s">
        <v>813</v>
      </c>
      <c r="B247" s="219" t="s">
        <v>428</v>
      </c>
      <c r="C247" s="216" t="s">
        <v>203</v>
      </c>
      <c r="D247" s="35">
        <f>_xlfn.XLOOKUP(B247, '1.건전성'!C:C, '1.건전성'!CW:CW)</f>
        <v>15.666547357516064</v>
      </c>
      <c r="E247" s="35">
        <f>_xlfn.XLOOKUP(B247, '2.공정성'!C:C, '2.공정성'!BS:BS)</f>
        <v>19.5</v>
      </c>
      <c r="F247" s="35">
        <f>_xlfn.XLOOKUP(B247, '3.사회공헌'!C:C, '3.사회공헌'!BL:BL)</f>
        <v>8.5179644758417812</v>
      </c>
      <c r="G247" s="35">
        <f>_xlfn.XLOOKUP(B247, '4.소비자보호'!C:C, '4.소비자보호'!BE:BE)</f>
        <v>11.25</v>
      </c>
      <c r="H247" s="35">
        <f>_xlfn.XLOOKUP(B247, '5.환경경영'!C:C, '5.환경경영'!AX:AX)</f>
        <v>5.0833333333333339</v>
      </c>
      <c r="I247" s="35">
        <f>_xlfn.XLOOKUP(B247, '6.직원만족'!C:C, '6.직원만족'!BS:BS)</f>
        <v>8.5867736161755435</v>
      </c>
      <c r="J247" s="162">
        <f t="shared" si="3"/>
        <v>68.604618782866723</v>
      </c>
    </row>
    <row r="248" spans="1:10" x14ac:dyDescent="0.6">
      <c r="A248" s="214" t="s">
        <v>681</v>
      </c>
      <c r="B248" s="219" t="s">
        <v>321</v>
      </c>
      <c r="C248" s="216" t="s">
        <v>202</v>
      </c>
      <c r="D248" s="35">
        <f>_xlfn.XLOOKUP(B248, '1.건전성'!C:C, '1.건전성'!CW:CW)</f>
        <v>17.824578759658216</v>
      </c>
      <c r="E248" s="35">
        <f>_xlfn.XLOOKUP(B248, '2.공정성'!C:C, '2.공정성'!BS:BS)</f>
        <v>19.5</v>
      </c>
      <c r="F248" s="35">
        <f>_xlfn.XLOOKUP(B248, '3.사회공헌'!C:C, '3.사회공헌'!BL:BL)</f>
        <v>4.6450329892810647</v>
      </c>
      <c r="G248" s="35">
        <f>_xlfn.XLOOKUP(B248, '4.소비자보호'!C:C, '4.소비자보호'!BE:BE)</f>
        <v>11.25</v>
      </c>
      <c r="H248" s="35">
        <f>_xlfn.XLOOKUP(B248, '5.환경경영'!C:C, '5.환경경영'!AX:AX)</f>
        <v>5.0833333333333339</v>
      </c>
      <c r="I248" s="35">
        <f>_xlfn.XLOOKUP(B248, '6.직원만족'!C:C, '6.직원만족'!BS:BS)</f>
        <v>10.163721767424741</v>
      </c>
      <c r="J248" s="162">
        <f t="shared" si="3"/>
        <v>68.466666849697361</v>
      </c>
    </row>
    <row r="249" spans="1:10" x14ac:dyDescent="0.6">
      <c r="A249" s="214" t="s">
        <v>1783</v>
      </c>
      <c r="B249" s="219" t="s">
        <v>1784</v>
      </c>
      <c r="C249" s="14" t="s">
        <v>285</v>
      </c>
      <c r="D249" s="35">
        <f>_xlfn.XLOOKUP(B249, '1.건전성'!C:C, '1.건전성'!CW:CW)</f>
        <v>18.432224032772218</v>
      </c>
      <c r="E249" s="35">
        <f>_xlfn.XLOOKUP(B249, '2.공정성'!C:C, '2.공정성'!BS:BS)</f>
        <v>16.25</v>
      </c>
      <c r="F249" s="35">
        <f>_xlfn.XLOOKUP(B249, '3.사회공헌'!C:C, '3.사회공헌'!BL:BL)</f>
        <v>8.2950976095879518</v>
      </c>
      <c r="G249" s="35">
        <f>_xlfn.XLOOKUP(B249, '4.소비자보호'!C:C, '4.소비자보호'!BE:BE)</f>
        <v>11.25</v>
      </c>
      <c r="H249" s="35">
        <f>_xlfn.XLOOKUP(B249, '5.환경경영'!C:C, '5.환경경영'!AX:AX)</f>
        <v>4.8333333333333339</v>
      </c>
      <c r="I249" s="35">
        <f>_xlfn.XLOOKUP(B249, '6.직원만족'!C:C, '6.직원만족'!BS:BS)</f>
        <v>9.3539174006060897</v>
      </c>
      <c r="J249" s="162">
        <f t="shared" si="3"/>
        <v>68.414572376299589</v>
      </c>
    </row>
    <row r="250" spans="1:10" x14ac:dyDescent="0.6">
      <c r="A250" s="214" t="s">
        <v>1716</v>
      </c>
      <c r="B250" s="219" t="s">
        <v>1717</v>
      </c>
      <c r="C250" s="14" t="s">
        <v>285</v>
      </c>
      <c r="D250" s="35">
        <f>_xlfn.XLOOKUP(B250, '1.건전성'!C:C, '1.건전성'!CW:CW)</f>
        <v>16.126949946474834</v>
      </c>
      <c r="E250" s="35">
        <f>_xlfn.XLOOKUP(B250, '2.공정성'!C:C, '2.공정성'!BS:BS)</f>
        <v>18.25</v>
      </c>
      <c r="F250" s="35">
        <f>_xlfn.XLOOKUP(B250, '3.사회공헌'!C:C, '3.사회공헌'!BL:BL)</f>
        <v>8.7189742172354805</v>
      </c>
      <c r="G250" s="35">
        <f>_xlfn.XLOOKUP(B250, '4.소비자보호'!C:C, '4.소비자보호'!BE:BE)</f>
        <v>11.25</v>
      </c>
      <c r="H250" s="35">
        <f>_xlfn.XLOOKUP(B250, '5.환경경영'!C:C, '5.환경경영'!AX:AX)</f>
        <v>6.0833333333333339</v>
      </c>
      <c r="I250" s="35">
        <f>_xlfn.XLOOKUP(B250, '6.직원만족'!C:C, '6.직원만족'!BS:BS)</f>
        <v>7.8361066532449941</v>
      </c>
      <c r="J250" s="162">
        <f t="shared" si="3"/>
        <v>68.265364150288647</v>
      </c>
    </row>
    <row r="251" spans="1:10" x14ac:dyDescent="0.6">
      <c r="A251" s="214" t="s">
        <v>913</v>
      </c>
      <c r="B251" s="219" t="s">
        <v>486</v>
      </c>
      <c r="C251" s="216" t="s">
        <v>191</v>
      </c>
      <c r="D251" s="35">
        <f>_xlfn.XLOOKUP(B251, '1.건전성'!C:C, '1.건전성'!CW:CW)</f>
        <v>16.562993169705013</v>
      </c>
      <c r="E251" s="35">
        <f>_xlfn.XLOOKUP(B251, '2.공정성'!C:C, '2.공정성'!BS:BS)</f>
        <v>17.25</v>
      </c>
      <c r="F251" s="35">
        <f>_xlfn.XLOOKUP(B251, '3.사회공헌'!C:C, '3.사회공헌'!BL:BL)</f>
        <v>3.9525757175146747</v>
      </c>
      <c r="G251" s="35">
        <f>_xlfn.XLOOKUP(B251, '4.소비자보호'!C:C, '4.소비자보호'!BE:BE)</f>
        <v>11.25</v>
      </c>
      <c r="H251" s="35">
        <f>_xlfn.XLOOKUP(B251, '5.환경경영'!C:C, '5.환경경영'!AX:AX)</f>
        <v>5.5833333333333339</v>
      </c>
      <c r="I251" s="35">
        <f>_xlfn.XLOOKUP(B251, '6.직원만족'!C:C, '6.직원만족'!BS:BS)</f>
        <v>13.60678235042324</v>
      </c>
      <c r="J251" s="162">
        <f t="shared" si="3"/>
        <v>68.20568457097626</v>
      </c>
    </row>
    <row r="252" spans="1:10" x14ac:dyDescent="0.6">
      <c r="A252" s="214" t="s">
        <v>1494</v>
      </c>
      <c r="B252" s="219" t="s">
        <v>306</v>
      </c>
      <c r="C252" s="216" t="s">
        <v>191</v>
      </c>
      <c r="D252" s="35">
        <f>_xlfn.XLOOKUP(B252, '1.건전성'!C:C, '1.건전성'!CW:CW)</f>
        <v>17.81490010957015</v>
      </c>
      <c r="E252" s="35">
        <f>_xlfn.XLOOKUP(B252, '2.공정성'!C:C, '2.공정성'!BS:BS)</f>
        <v>17.5</v>
      </c>
      <c r="F252" s="35">
        <f>_xlfn.XLOOKUP(B252, '3.사회공헌'!C:C, '3.사회공헌'!BL:BL)</f>
        <v>5.3997195477402355</v>
      </c>
      <c r="G252" s="35">
        <f>_xlfn.XLOOKUP(B252, '4.소비자보호'!C:C, '4.소비자보호'!BE:BE)</f>
        <v>11.25</v>
      </c>
      <c r="H252" s="35">
        <f>_xlfn.XLOOKUP(B252, '5.환경경영'!C:C, '5.환경경영'!AX:AX)</f>
        <v>5.8333333333333339</v>
      </c>
      <c r="I252" s="35">
        <f>_xlfn.XLOOKUP(B252, '6.직원만족'!C:C, '6.직원만족'!BS:BS)</f>
        <v>10.393085895827037</v>
      </c>
      <c r="J252" s="162">
        <f t="shared" si="3"/>
        <v>68.19103888647075</v>
      </c>
    </row>
    <row r="253" spans="1:10" x14ac:dyDescent="0.6">
      <c r="A253" s="214" t="s">
        <v>789</v>
      </c>
      <c r="B253" s="219" t="s">
        <v>448</v>
      </c>
      <c r="C253" s="216" t="s">
        <v>285</v>
      </c>
      <c r="D253" s="35">
        <f>_xlfn.XLOOKUP(B253, '1.건전성'!C:C, '1.건전성'!CW:CW)</f>
        <v>21.947529150073589</v>
      </c>
      <c r="E253" s="35">
        <f>_xlfn.XLOOKUP(B253, '2.공정성'!C:C, '2.공정성'!BS:BS)</f>
        <v>16.5</v>
      </c>
      <c r="F253" s="35">
        <f>_xlfn.XLOOKUP(B253, '3.사회공헌'!C:C, '3.사회공헌'!BL:BL)</f>
        <v>6.7404844644448936</v>
      </c>
      <c r="G253" s="35">
        <f>_xlfn.XLOOKUP(B253, '4.소비자보호'!C:C, '4.소비자보호'!BE:BE)</f>
        <v>9.35</v>
      </c>
      <c r="H253" s="35">
        <f>_xlfn.XLOOKUP(B253, '5.환경경영'!C:C, '5.환경경영'!AX:AX)</f>
        <v>5.916666666666667</v>
      </c>
      <c r="I253" s="35">
        <f>_xlfn.XLOOKUP(B253, '6.직원만족'!C:C, '6.직원만족'!BS:BS)</f>
        <v>7.7304017530491915</v>
      </c>
      <c r="J253" s="162">
        <f t="shared" si="3"/>
        <v>68.185082034234341</v>
      </c>
    </row>
    <row r="254" spans="1:10" x14ac:dyDescent="0.6">
      <c r="A254" s="214" t="s">
        <v>1739</v>
      </c>
      <c r="B254" s="219" t="s">
        <v>922</v>
      </c>
      <c r="C254" s="216" t="s">
        <v>202</v>
      </c>
      <c r="D254" s="35">
        <f>_xlfn.XLOOKUP(B254, '1.건전성'!C:C, '1.건전성'!CW:CW)</f>
        <v>16.311398971066076</v>
      </c>
      <c r="E254" s="35">
        <f>_xlfn.XLOOKUP(B254, '2.공정성'!C:C, '2.공정성'!BS:BS)</f>
        <v>18.25</v>
      </c>
      <c r="F254" s="35">
        <f>_xlfn.XLOOKUP(B254, '3.사회공헌'!C:C, '3.사회공헌'!BL:BL)</f>
        <v>8.2753740477744024</v>
      </c>
      <c r="G254" s="35">
        <f>_xlfn.XLOOKUP(B254, '4.소비자보호'!C:C, '4.소비자보호'!BE:BE)</f>
        <v>11.25</v>
      </c>
      <c r="H254" s="35">
        <f>_xlfn.XLOOKUP(B254, '5.환경경영'!C:C, '5.환경경영'!AX:AX)</f>
        <v>5.0833333333333339</v>
      </c>
      <c r="I254" s="35">
        <f>_xlfn.XLOOKUP(B254, '6.직원만족'!C:C, '6.직원만족'!BS:BS)</f>
        <v>8.9692473492661726</v>
      </c>
      <c r="J254" s="162">
        <f t="shared" si="3"/>
        <v>68.139353701439987</v>
      </c>
    </row>
    <row r="255" spans="1:10" x14ac:dyDescent="0.6">
      <c r="A255" s="214" t="s">
        <v>853</v>
      </c>
      <c r="B255" s="219" t="s">
        <v>886</v>
      </c>
      <c r="C255" s="216" t="s">
        <v>285</v>
      </c>
      <c r="D255" s="35">
        <f>_xlfn.XLOOKUP(B255, '1.건전성'!C:C, '1.건전성'!CW:CW)</f>
        <v>20.146539432615928</v>
      </c>
      <c r="E255" s="35">
        <f>_xlfn.XLOOKUP(B255, '2.공정성'!C:C, '2.공정성'!BS:BS)</f>
        <v>17.5</v>
      </c>
      <c r="F255" s="35">
        <f>_xlfn.XLOOKUP(B255, '3.사회공헌'!C:C, '3.사회공헌'!BL:BL)</f>
        <v>8.2682269148501426</v>
      </c>
      <c r="G255" s="35">
        <f>_xlfn.XLOOKUP(B255, '4.소비자보호'!C:C, '4.소비자보호'!BE:BE)</f>
        <v>11.25</v>
      </c>
      <c r="H255" s="35">
        <f>_xlfn.XLOOKUP(B255, '5.환경경영'!C:C, '5.환경경영'!AX:AX)</f>
        <v>4.166666666666667</v>
      </c>
      <c r="I255" s="35">
        <f>_xlfn.XLOOKUP(B255, '6.직원만족'!C:C, '6.직원만족'!BS:BS)</f>
        <v>6.7612653472393367</v>
      </c>
      <c r="J255" s="162">
        <f t="shared" si="3"/>
        <v>68.092698361372072</v>
      </c>
    </row>
    <row r="256" spans="1:10" x14ac:dyDescent="0.6">
      <c r="A256" s="214" t="s">
        <v>1647</v>
      </c>
      <c r="B256" s="219" t="s">
        <v>303</v>
      </c>
      <c r="C256" s="216" t="s">
        <v>202</v>
      </c>
      <c r="D256" s="35">
        <f>_xlfn.XLOOKUP(B256, '1.건전성'!C:C, '1.건전성'!CW:CW)</f>
        <v>18.785886736654245</v>
      </c>
      <c r="E256" s="35">
        <f>_xlfn.XLOOKUP(B256, '2.공정성'!C:C, '2.공정성'!BS:BS)</f>
        <v>15.5</v>
      </c>
      <c r="F256" s="35">
        <f>_xlfn.XLOOKUP(B256, '3.사회공헌'!C:C, '3.사회공헌'!BL:BL)</f>
        <v>7.7516427306629296</v>
      </c>
      <c r="G256" s="35">
        <f>_xlfn.XLOOKUP(B256, '4.소비자보호'!C:C, '4.소비자보호'!BE:BE)</f>
        <v>11.25</v>
      </c>
      <c r="H256" s="35">
        <f>_xlfn.XLOOKUP(B256, '5.환경경영'!C:C, '5.환경경영'!AX:AX)</f>
        <v>6.8333333333333339</v>
      </c>
      <c r="I256" s="35">
        <f>_xlfn.XLOOKUP(B256, '6.직원만족'!C:C, '6.직원만족'!BS:BS)</f>
        <v>7.9201018768423284</v>
      </c>
      <c r="J256" s="162">
        <f t="shared" si="3"/>
        <v>68.040964677492838</v>
      </c>
    </row>
    <row r="257" spans="1:10" x14ac:dyDescent="0.6">
      <c r="A257" s="214" t="s">
        <v>1726</v>
      </c>
      <c r="B257" s="219" t="s">
        <v>1727</v>
      </c>
      <c r="C257" s="14" t="s">
        <v>202</v>
      </c>
      <c r="D257" s="35">
        <f>_xlfn.XLOOKUP(B257, '1.건전성'!C:C, '1.건전성'!CW:CW)</f>
        <v>18.61281608537492</v>
      </c>
      <c r="E257" s="35">
        <f>_xlfn.XLOOKUP(B257, '2.공정성'!C:C, '2.공정성'!BS:BS)</f>
        <v>19.5</v>
      </c>
      <c r="F257" s="35">
        <f>_xlfn.XLOOKUP(B257, '3.사회공헌'!C:C, '3.사회공헌'!BL:BL)</f>
        <v>4.1804734110697508</v>
      </c>
      <c r="G257" s="35">
        <f>_xlfn.XLOOKUP(B257, '4.소비자보호'!C:C, '4.소비자보호'!BE:BE)</f>
        <v>11.25</v>
      </c>
      <c r="H257" s="35">
        <f>_xlfn.XLOOKUP(B257, '5.환경경영'!C:C, '5.환경경영'!AX:AX)</f>
        <v>6.0833333333333339</v>
      </c>
      <c r="I257" s="35">
        <f>_xlfn.XLOOKUP(B257, '6.직원만족'!C:C, '6.직원만족'!BS:BS)</f>
        <v>8.4000515001117577</v>
      </c>
      <c r="J257" s="162">
        <f t="shared" si="3"/>
        <v>68.026674329889758</v>
      </c>
    </row>
    <row r="258" spans="1:10" x14ac:dyDescent="0.6">
      <c r="A258" s="214" t="s">
        <v>781</v>
      </c>
      <c r="B258" s="219" t="s">
        <v>503</v>
      </c>
      <c r="C258" s="216" t="s">
        <v>202</v>
      </c>
      <c r="D258" s="35">
        <f>_xlfn.XLOOKUP(B258, '1.건전성'!C:C, '1.건전성'!CW:CW)</f>
        <v>21.002758267398242</v>
      </c>
      <c r="E258" s="35">
        <f>_xlfn.XLOOKUP(B258, '2.공정성'!C:C, '2.공정성'!BS:BS)</f>
        <v>16.5</v>
      </c>
      <c r="F258" s="35">
        <f>_xlfn.XLOOKUP(B258, '3.사회공헌'!C:C, '3.사회공헌'!BL:BL)</f>
        <v>6.9700187081000147</v>
      </c>
      <c r="G258" s="35">
        <f>_xlfn.XLOOKUP(B258, '4.소비자보호'!C:C, '4.소비자보호'!BE:BE)</f>
        <v>8.0500000000000007</v>
      </c>
      <c r="H258" s="35">
        <f>_xlfn.XLOOKUP(B258, '5.환경경영'!C:C, '5.환경경영'!AX:AX)</f>
        <v>5.8333333333333339</v>
      </c>
      <c r="I258" s="35">
        <f>_xlfn.XLOOKUP(B258, '6.직원만족'!C:C, '6.직원만족'!BS:BS)</f>
        <v>9.5590140187921264</v>
      </c>
      <c r="J258" s="162">
        <f t="shared" ref="J258:J321" si="4">SUM(D258:I258)</f>
        <v>67.915124327623715</v>
      </c>
    </row>
    <row r="259" spans="1:10" x14ac:dyDescent="0.6">
      <c r="A259" s="214" t="s">
        <v>2114</v>
      </c>
      <c r="B259" s="450" t="s">
        <v>1677</v>
      </c>
      <c r="C259" s="14" t="s">
        <v>285</v>
      </c>
      <c r="D259" s="35">
        <f>_xlfn.XLOOKUP(B259, '1.건전성'!C:C, '1.건전성'!CW:CW)</f>
        <v>19.965146207383899</v>
      </c>
      <c r="E259" s="35">
        <f>_xlfn.XLOOKUP(B259, '2.공정성'!C:C, '2.공정성'!BS:BS)</f>
        <v>16.5</v>
      </c>
      <c r="F259" s="35">
        <f>_xlfn.XLOOKUP(B259, '3.사회공헌'!C:C, '3.사회공헌'!BL:BL)</f>
        <v>7.818480827867047</v>
      </c>
      <c r="G259" s="35">
        <f>_xlfn.XLOOKUP(B259, '4.소비자보호'!C:C, '4.소비자보호'!BE:BE)</f>
        <v>10.95</v>
      </c>
      <c r="H259" s="35">
        <f>_xlfn.XLOOKUP(B259, '5.환경경영'!C:C, '5.환경경영'!AX:AX)</f>
        <v>5.8333333333333339</v>
      </c>
      <c r="I259" s="35">
        <f>_xlfn.XLOOKUP(B259, '6.직원만족'!C:C, '6.직원만족'!BS:BS)</f>
        <v>6.8237475388328734</v>
      </c>
      <c r="J259" s="162">
        <f t="shared" si="4"/>
        <v>67.890707907417152</v>
      </c>
    </row>
    <row r="260" spans="1:10" x14ac:dyDescent="0.6">
      <c r="A260" s="214" t="s">
        <v>520</v>
      </c>
      <c r="B260" s="219" t="s">
        <v>401</v>
      </c>
      <c r="C260" s="216" t="s">
        <v>203</v>
      </c>
      <c r="D260" s="35">
        <f>_xlfn.XLOOKUP(B260, '1.건전성'!C:C, '1.건전성'!CW:CW)</f>
        <v>15.066712022677715</v>
      </c>
      <c r="E260" s="35">
        <f>_xlfn.XLOOKUP(B260, '2.공정성'!C:C, '2.공정성'!BS:BS)</f>
        <v>19.25</v>
      </c>
      <c r="F260" s="35">
        <f>_xlfn.XLOOKUP(B260, '3.사회공헌'!C:C, '3.사회공헌'!BL:BL)</f>
        <v>5.4641174357541873</v>
      </c>
      <c r="G260" s="35">
        <f>_xlfn.XLOOKUP(B260, '4.소비자보호'!C:C, '4.소비자보호'!BE:BE)</f>
        <v>12</v>
      </c>
      <c r="H260" s="35">
        <f>_xlfn.XLOOKUP(B260, '5.환경경영'!C:C, '5.환경경영'!AX:AX)</f>
        <v>6.0833333333333339</v>
      </c>
      <c r="I260" s="35">
        <f>_xlfn.XLOOKUP(B260, '6.직원만족'!C:C, '6.직원만족'!BS:BS)</f>
        <v>9.9421430156113999</v>
      </c>
      <c r="J260" s="162">
        <f t="shared" si="4"/>
        <v>67.806305807376646</v>
      </c>
    </row>
    <row r="261" spans="1:10" x14ac:dyDescent="0.6">
      <c r="A261" s="214" t="s">
        <v>299</v>
      </c>
      <c r="B261" s="219" t="s">
        <v>530</v>
      </c>
      <c r="C261" s="221" t="s">
        <v>481</v>
      </c>
      <c r="D261" s="35">
        <f>_xlfn.XLOOKUP(B261, '1.건전성'!C:C, '1.건전성'!CW:CW)</f>
        <v>29.614003907909268</v>
      </c>
      <c r="E261" s="35">
        <f>_xlfn.XLOOKUP(B261, '2.공정성'!C:C, '2.공정성'!BS:BS)</f>
        <v>15.25</v>
      </c>
      <c r="F261" s="35">
        <f>_xlfn.XLOOKUP(B261, '3.사회공헌'!C:C, '3.사회공헌'!BL:BL)</f>
        <v>6.046743121908194</v>
      </c>
      <c r="G261" s="35">
        <f>_xlfn.XLOOKUP(B261, '4.소비자보호'!C:C, '4.소비자보호'!BE:BE)</f>
        <v>10.25</v>
      </c>
      <c r="H261" s="35">
        <f>_xlfn.XLOOKUP(B261, '5.환경경영'!C:C, '5.환경경영'!AX:AX)</f>
        <v>0</v>
      </c>
      <c r="I261" s="35">
        <f>_xlfn.XLOOKUP(B261, '6.직원만족'!C:C, '6.직원만족'!BS:BS)</f>
        <v>6.57327219173035</v>
      </c>
      <c r="J261" s="162">
        <f t="shared" si="4"/>
        <v>67.734019221547811</v>
      </c>
    </row>
    <row r="262" spans="1:10" x14ac:dyDescent="0.6">
      <c r="A262" s="214" t="s">
        <v>59</v>
      </c>
      <c r="B262" s="219" t="s">
        <v>521</v>
      </c>
      <c r="C262" s="216" t="s">
        <v>203</v>
      </c>
      <c r="D262" s="35">
        <f>_xlfn.XLOOKUP(B262, '1.건전성'!C:C, '1.건전성'!CW:CW)</f>
        <v>16.835303053809362</v>
      </c>
      <c r="E262" s="35">
        <f>_xlfn.XLOOKUP(B262, '2.공정성'!C:C, '2.공정성'!BS:BS)</f>
        <v>16.25</v>
      </c>
      <c r="F262" s="35">
        <f>_xlfn.XLOOKUP(B262, '3.사회공헌'!C:C, '3.사회공헌'!BL:BL)</f>
        <v>4.9635852887274714</v>
      </c>
      <c r="G262" s="35">
        <f>_xlfn.XLOOKUP(B262, '4.소비자보호'!C:C, '4.소비자보호'!BE:BE)</f>
        <v>11.25</v>
      </c>
      <c r="H262" s="35">
        <f>_xlfn.XLOOKUP(B262, '5.환경경영'!C:C, '5.환경경영'!AX:AX)</f>
        <v>5.5833333333333339</v>
      </c>
      <c r="I262" s="35">
        <f>_xlfn.XLOOKUP(B262, '6.직원만족'!C:C, '6.직원만족'!BS:BS)</f>
        <v>12.848200587477999</v>
      </c>
      <c r="J262" s="162">
        <f t="shared" si="4"/>
        <v>67.730422263348174</v>
      </c>
    </row>
    <row r="263" spans="1:10" x14ac:dyDescent="0.6">
      <c r="A263" s="214" t="s">
        <v>1451</v>
      </c>
      <c r="B263" s="219" t="s">
        <v>1452</v>
      </c>
      <c r="C263" s="14" t="s">
        <v>203</v>
      </c>
      <c r="D263" s="35">
        <f>_xlfn.XLOOKUP(B263, '1.건전성'!C:C, '1.건전성'!CW:CW)</f>
        <v>15.997054438218491</v>
      </c>
      <c r="E263" s="35">
        <f>_xlfn.XLOOKUP(B263, '2.공정성'!C:C, '2.공정성'!BS:BS)</f>
        <v>16</v>
      </c>
      <c r="F263" s="35">
        <f>_xlfn.XLOOKUP(B263, '3.사회공헌'!C:C, '3.사회공헌'!BL:BL)</f>
        <v>5.2362933124383737</v>
      </c>
      <c r="G263" s="35">
        <f>_xlfn.XLOOKUP(B263, '4.소비자보호'!C:C, '4.소비자보호'!BE:BE)</f>
        <v>11.25</v>
      </c>
      <c r="H263" s="35">
        <f>_xlfn.XLOOKUP(B263, '5.환경경영'!C:C, '5.환경경영'!AX:AX)</f>
        <v>6.0833333333333339</v>
      </c>
      <c r="I263" s="35">
        <f>_xlfn.XLOOKUP(B263, '6.직원만족'!C:C, '6.직원만족'!BS:BS)</f>
        <v>13.095049200156975</v>
      </c>
      <c r="J263" s="162">
        <f t="shared" si="4"/>
        <v>67.661730284147168</v>
      </c>
    </row>
    <row r="264" spans="1:10" x14ac:dyDescent="0.6">
      <c r="A264" s="214" t="s">
        <v>750</v>
      </c>
      <c r="B264" s="219" t="s">
        <v>409</v>
      </c>
      <c r="C264" s="216" t="s">
        <v>285</v>
      </c>
      <c r="D264" s="35">
        <f>_xlfn.XLOOKUP(B264, '1.건전성'!C:C, '1.건전성'!CW:CW)</f>
        <v>16.424599326176718</v>
      </c>
      <c r="E264" s="35">
        <f>_xlfn.XLOOKUP(B264, '2.공정성'!C:C, '2.공정성'!BS:BS)</f>
        <v>15.5</v>
      </c>
      <c r="F264" s="35">
        <f>_xlfn.XLOOKUP(B264, '3.사회공헌'!C:C, '3.사회공헌'!BL:BL)</f>
        <v>9.9837216440394716</v>
      </c>
      <c r="G264" s="35">
        <f>_xlfn.XLOOKUP(B264, '4.소비자보호'!C:C, '4.소비자보호'!BE:BE)</f>
        <v>11.25</v>
      </c>
      <c r="H264" s="35">
        <f>_xlfn.XLOOKUP(B264, '5.환경경영'!C:C, '5.환경경영'!AX:AX)</f>
        <v>6.0833333333333339</v>
      </c>
      <c r="I264" s="35">
        <f>_xlfn.XLOOKUP(B264, '6.직원만족'!C:C, '6.직원만족'!BS:BS)</f>
        <v>8.3964724736461047</v>
      </c>
      <c r="J264" s="162">
        <f t="shared" si="4"/>
        <v>67.638126777195623</v>
      </c>
    </row>
    <row r="265" spans="1:10" x14ac:dyDescent="0.6">
      <c r="A265" s="214" t="s">
        <v>366</v>
      </c>
      <c r="B265" s="219" t="s">
        <v>447</v>
      </c>
      <c r="C265" s="216" t="s">
        <v>203</v>
      </c>
      <c r="D265" s="35">
        <f>_xlfn.XLOOKUP(B265, '1.건전성'!C:C, '1.건전성'!CW:CW)</f>
        <v>15.206382859676751</v>
      </c>
      <c r="E265" s="35">
        <f>_xlfn.XLOOKUP(B265, '2.공정성'!C:C, '2.공정성'!BS:BS)</f>
        <v>18</v>
      </c>
      <c r="F265" s="35">
        <f>_xlfn.XLOOKUP(B265, '3.사회공헌'!C:C, '3.사회공헌'!BL:BL)</f>
        <v>7.2218497453850041</v>
      </c>
      <c r="G265" s="35">
        <f>_xlfn.XLOOKUP(B265, '4.소비자보호'!C:C, '4.소비자보호'!BE:BE)</f>
        <v>11.25</v>
      </c>
      <c r="H265" s="35">
        <f>_xlfn.XLOOKUP(B265, '5.환경경영'!C:C, '5.환경경영'!AX:AX)</f>
        <v>6.0833333333333339</v>
      </c>
      <c r="I265" s="35">
        <f>_xlfn.XLOOKUP(B265, '6.직원만족'!C:C, '6.직원만족'!BS:BS)</f>
        <v>9.832758759122278</v>
      </c>
      <c r="J265" s="162">
        <f t="shared" si="4"/>
        <v>67.594324697517365</v>
      </c>
    </row>
    <row r="266" spans="1:10" x14ac:dyDescent="0.6">
      <c r="A266" s="214" t="s">
        <v>1484</v>
      </c>
      <c r="B266" s="219" t="s">
        <v>1485</v>
      </c>
      <c r="C266" s="222" t="s">
        <v>285</v>
      </c>
      <c r="D266" s="35">
        <f>_xlfn.XLOOKUP(B266, '1.건전성'!C:C, '1.건전성'!CW:CW)</f>
        <v>14.905340547197802</v>
      </c>
      <c r="E266" s="35">
        <f>_xlfn.XLOOKUP(B266, '2.공정성'!C:C, '2.공정성'!BS:BS)</f>
        <v>16.25</v>
      </c>
      <c r="F266" s="35">
        <f>_xlfn.XLOOKUP(B266, '3.사회공헌'!C:C, '3.사회공헌'!BL:BL)</f>
        <v>8.9833910549838869</v>
      </c>
      <c r="G266" s="35">
        <f>_xlfn.XLOOKUP(B266, '4.소비자보호'!C:C, '4.소비자보호'!BE:BE)</f>
        <v>11.25</v>
      </c>
      <c r="H266" s="35">
        <f>_xlfn.XLOOKUP(B266, '5.환경경영'!C:C, '5.환경경영'!AX:AX)</f>
        <v>6.0833333333333339</v>
      </c>
      <c r="I266" s="35">
        <f>_xlfn.XLOOKUP(B266, '6.직원만족'!C:C, '6.직원만족'!BS:BS)</f>
        <v>10.108930864233834</v>
      </c>
      <c r="J266" s="162">
        <f t="shared" si="4"/>
        <v>67.580995799748862</v>
      </c>
    </row>
    <row r="267" spans="1:10" x14ac:dyDescent="0.6">
      <c r="A267" s="214" t="s">
        <v>914</v>
      </c>
      <c r="B267" s="219" t="s">
        <v>859</v>
      </c>
      <c r="C267" s="216" t="s">
        <v>285</v>
      </c>
      <c r="D267" s="35">
        <f>_xlfn.XLOOKUP(B267, '1.건전성'!C:C, '1.건전성'!CW:CW)</f>
        <v>15.073229386891622</v>
      </c>
      <c r="E267" s="35">
        <f>_xlfn.XLOOKUP(B267, '2.공정성'!C:C, '2.공정성'!BS:BS)</f>
        <v>17.5</v>
      </c>
      <c r="F267" s="35">
        <f>_xlfn.XLOOKUP(B267, '3.사회공헌'!C:C, '3.사회공헌'!BL:BL)</f>
        <v>8.5427739108331799</v>
      </c>
      <c r="G267" s="35">
        <f>_xlfn.XLOOKUP(B267, '4.소비자보호'!C:C, '4.소비자보호'!BE:BE)</f>
        <v>11.25</v>
      </c>
      <c r="H267" s="35">
        <f>_xlfn.XLOOKUP(B267, '5.환경경영'!C:C, '5.환경경영'!AX:AX)</f>
        <v>5.5833333333333339</v>
      </c>
      <c r="I267" s="35">
        <f>_xlfn.XLOOKUP(B267, '6.직원만족'!C:C, '6.직원만족'!BS:BS)</f>
        <v>9.5600232329013419</v>
      </c>
      <c r="J267" s="162">
        <f t="shared" si="4"/>
        <v>67.509359863959475</v>
      </c>
    </row>
    <row r="268" spans="1:10" x14ac:dyDescent="0.6">
      <c r="A268" s="214" t="s">
        <v>373</v>
      </c>
      <c r="B268" s="219" t="s">
        <v>473</v>
      </c>
      <c r="C268" s="221" t="s">
        <v>350</v>
      </c>
      <c r="D268" s="35">
        <f>_xlfn.XLOOKUP(B268, '1.건전성'!C:C, '1.건전성'!CW:CW)</f>
        <v>27.932271321277888</v>
      </c>
      <c r="E268" s="35">
        <f>_xlfn.XLOOKUP(B268, '2.공정성'!C:C, '2.공정성'!BS:BS)</f>
        <v>14</v>
      </c>
      <c r="F268" s="35">
        <f>_xlfn.XLOOKUP(B268, '3.사회공헌'!C:C, '3.사회공헌'!BL:BL)</f>
        <v>8.2612603076279711</v>
      </c>
      <c r="G268" s="35">
        <f>_xlfn.XLOOKUP(B268, '4.소비자보호'!C:C, '4.소비자보호'!BE:BE)</f>
        <v>11.55</v>
      </c>
      <c r="H268" s="35">
        <f>_xlfn.XLOOKUP(B268, '5.환경경영'!C:C, '5.환경경영'!AX:AX)</f>
        <v>0</v>
      </c>
      <c r="I268" s="35">
        <f>_xlfn.XLOOKUP(B268, '6.직원만족'!C:C, '6.직원만족'!BS:BS)</f>
        <v>5.7626512065046915</v>
      </c>
      <c r="J268" s="162">
        <f t="shared" si="4"/>
        <v>67.506182835410542</v>
      </c>
    </row>
    <row r="269" spans="1:10" x14ac:dyDescent="0.6">
      <c r="A269" s="214" t="s">
        <v>1700</v>
      </c>
      <c r="B269" s="219" t="s">
        <v>1701</v>
      </c>
      <c r="C269" s="14" t="s">
        <v>191</v>
      </c>
      <c r="D269" s="35">
        <f>_xlfn.XLOOKUP(B269, '1.건전성'!C:C, '1.건전성'!CW:CW)</f>
        <v>15.821504180325496</v>
      </c>
      <c r="E269" s="35">
        <f>_xlfn.XLOOKUP(B269, '2.공정성'!C:C, '2.공정성'!BS:BS)</f>
        <v>19.75</v>
      </c>
      <c r="F269" s="35">
        <f>_xlfn.XLOOKUP(B269, '3.사회공헌'!C:C, '3.사회공헌'!BL:BL)</f>
        <v>7.5077733039954255</v>
      </c>
      <c r="G269" s="35">
        <f>_xlfn.XLOOKUP(B269, '4.소비자보호'!C:C, '4.소비자보호'!BE:BE)</f>
        <v>11.25</v>
      </c>
      <c r="H269" s="35">
        <f>_xlfn.XLOOKUP(B269, '5.환경경영'!C:C, '5.환경경영'!AX:AX)</f>
        <v>5.0833333333333339</v>
      </c>
      <c r="I269" s="35">
        <f>_xlfn.XLOOKUP(B269, '6.직원만족'!C:C, '6.직원만족'!BS:BS)</f>
        <v>8.0893470181269969</v>
      </c>
      <c r="J269" s="162">
        <f t="shared" si="4"/>
        <v>67.501957835781255</v>
      </c>
    </row>
    <row r="270" spans="1:10" x14ac:dyDescent="0.6">
      <c r="A270" s="214" t="s">
        <v>904</v>
      </c>
      <c r="B270" s="219" t="s">
        <v>494</v>
      </c>
      <c r="C270" s="216" t="s">
        <v>191</v>
      </c>
      <c r="D270" s="35">
        <f>_xlfn.XLOOKUP(B270, '1.건전성'!C:C, '1.건전성'!CW:CW)</f>
        <v>16.234230352367778</v>
      </c>
      <c r="E270" s="35">
        <f>_xlfn.XLOOKUP(B270, '2.공정성'!C:C, '2.공정성'!BS:BS)</f>
        <v>19.5</v>
      </c>
      <c r="F270" s="35">
        <f>_xlfn.XLOOKUP(B270, '3.사회공헌'!C:C, '3.사회공헌'!BL:BL)</f>
        <v>3.7360723972056187</v>
      </c>
      <c r="G270" s="35">
        <f>_xlfn.XLOOKUP(B270, '4.소비자보호'!C:C, '4.소비자보호'!BE:BE)</f>
        <v>11.25</v>
      </c>
      <c r="H270" s="35">
        <f>_xlfn.XLOOKUP(B270, '5.환경경영'!C:C, '5.환경경영'!AX:AX)</f>
        <v>6.8333333333333339</v>
      </c>
      <c r="I270" s="35">
        <f>_xlfn.XLOOKUP(B270, '6.직원만족'!C:C, '6.직원만족'!BS:BS)</f>
        <v>9.8138245246886129</v>
      </c>
      <c r="J270" s="162">
        <f t="shared" si="4"/>
        <v>67.367460607595348</v>
      </c>
    </row>
    <row r="271" spans="1:10" x14ac:dyDescent="0.6">
      <c r="A271" s="214" t="s">
        <v>93</v>
      </c>
      <c r="B271" s="219" t="s">
        <v>517</v>
      </c>
      <c r="C271" s="216" t="s">
        <v>285</v>
      </c>
      <c r="D271" s="35">
        <f>_xlfn.XLOOKUP(B271, '1.건전성'!C:C, '1.건전성'!CW:CW)</f>
        <v>18.491701138877247</v>
      </c>
      <c r="E271" s="35">
        <f>_xlfn.XLOOKUP(B271, '2.공정성'!C:C, '2.공정성'!BS:BS)</f>
        <v>16.25</v>
      </c>
      <c r="F271" s="35">
        <f>_xlfn.XLOOKUP(B271, '3.사회공헌'!C:C, '3.사회공헌'!BL:BL)</f>
        <v>8.5166264543606527</v>
      </c>
      <c r="G271" s="35">
        <f>_xlfn.XLOOKUP(B271, '4.소비자보호'!C:C, '4.소비자보호'!BE:BE)</f>
        <v>11.25</v>
      </c>
      <c r="H271" s="35">
        <f>_xlfn.XLOOKUP(B271, '5.환경경영'!C:C, '5.환경경영'!AX:AX)</f>
        <v>6.0833333333333339</v>
      </c>
      <c r="I271" s="35">
        <f>_xlfn.XLOOKUP(B271, '6.직원만족'!C:C, '6.직원만족'!BS:BS)</f>
        <v>6.7489487767534317</v>
      </c>
      <c r="J271" s="162">
        <f t="shared" si="4"/>
        <v>67.340609703324674</v>
      </c>
    </row>
    <row r="272" spans="1:10" x14ac:dyDescent="0.6">
      <c r="A272" s="214" t="s">
        <v>709</v>
      </c>
      <c r="B272" s="219" t="s">
        <v>513</v>
      </c>
      <c r="C272" s="216" t="s">
        <v>191</v>
      </c>
      <c r="D272" s="35">
        <f>_xlfn.XLOOKUP(B272, '1.건전성'!C:C, '1.건전성'!CW:CW)</f>
        <v>18.336228462290158</v>
      </c>
      <c r="E272" s="35">
        <f>_xlfn.XLOOKUP(B272, '2.공정성'!C:C, '2.공정성'!BS:BS)</f>
        <v>17.5</v>
      </c>
      <c r="F272" s="35">
        <f>_xlfn.XLOOKUP(B272, '3.사회공헌'!C:C, '3.사회공헌'!BL:BL)</f>
        <v>7.988784301363288</v>
      </c>
      <c r="G272" s="35">
        <f>_xlfn.XLOOKUP(B272, '4.소비자보호'!C:C, '4.소비자보호'!BE:BE)</f>
        <v>8.5500000000000007</v>
      </c>
      <c r="H272" s="35">
        <f>_xlfn.XLOOKUP(B272, '5.환경경영'!C:C, '5.환경경영'!AX:AX)</f>
        <v>6.0833333333333339</v>
      </c>
      <c r="I272" s="35">
        <f>_xlfn.XLOOKUP(B272, '6.직원만족'!C:C, '6.직원만족'!BS:BS)</f>
        <v>8.8583023518412105</v>
      </c>
      <c r="J272" s="162">
        <f t="shared" si="4"/>
        <v>67.316648448827991</v>
      </c>
    </row>
    <row r="273" spans="1:10" x14ac:dyDescent="0.6">
      <c r="A273" s="214" t="s">
        <v>1443</v>
      </c>
      <c r="B273" s="219" t="s">
        <v>1444</v>
      </c>
      <c r="C273" s="14" t="s">
        <v>203</v>
      </c>
      <c r="D273" s="35">
        <f>_xlfn.XLOOKUP(B273, '1.건전성'!C:C, '1.건전성'!CW:CW)</f>
        <v>18.62750307315379</v>
      </c>
      <c r="E273" s="35">
        <f>_xlfn.XLOOKUP(B273, '2.공정성'!C:C, '2.공정성'!BS:BS)</f>
        <v>16.25</v>
      </c>
      <c r="F273" s="35">
        <f>_xlfn.XLOOKUP(B273, '3.사회공헌'!C:C, '3.사회공헌'!BL:BL)</f>
        <v>9.0979658658402407</v>
      </c>
      <c r="G273" s="35">
        <f>_xlfn.XLOOKUP(B273, '4.소비자보호'!C:C, '4.소비자보호'!BE:BE)</f>
        <v>11.25</v>
      </c>
      <c r="H273" s="35">
        <f>_xlfn.XLOOKUP(B273, '5.환경경영'!C:C, '5.환경경영'!AX:AX)</f>
        <v>5.3333333333333339</v>
      </c>
      <c r="I273" s="35">
        <f>_xlfn.XLOOKUP(B273, '6.직원만족'!C:C, '6.직원만족'!BS:BS)</f>
        <v>6.6397239696338159</v>
      </c>
      <c r="J273" s="162">
        <f t="shared" si="4"/>
        <v>67.198526241961176</v>
      </c>
    </row>
    <row r="274" spans="1:10" x14ac:dyDescent="0.6">
      <c r="A274" s="214" t="s">
        <v>1872</v>
      </c>
      <c r="B274" s="219" t="s">
        <v>38</v>
      </c>
      <c r="C274" s="216" t="s">
        <v>285</v>
      </c>
      <c r="D274" s="35">
        <f>_xlfn.XLOOKUP(B274, '1.건전성'!C:C, '1.건전성'!CW:CW)</f>
        <v>16.225316139901739</v>
      </c>
      <c r="E274" s="35">
        <f>_xlfn.XLOOKUP(B274, '2.공정성'!C:C, '2.공정성'!BS:BS)</f>
        <v>18</v>
      </c>
      <c r="F274" s="35">
        <f>_xlfn.XLOOKUP(B274, '3.사회공헌'!C:C, '3.사회공헌'!BL:BL)</f>
        <v>8.6108615968819215</v>
      </c>
      <c r="G274" s="35">
        <f>_xlfn.XLOOKUP(B274, '4.소비자보호'!C:C, '4.소비자보호'!BE:BE)</f>
        <v>11.25</v>
      </c>
      <c r="H274" s="35">
        <f>_xlfn.XLOOKUP(B274, '5.환경경영'!C:C, '5.환경경영'!AX:AX)</f>
        <v>6.0833333333333339</v>
      </c>
      <c r="I274" s="35">
        <f>_xlfn.XLOOKUP(B274, '6.직원만족'!C:C, '6.직원만족'!BS:BS)</f>
        <v>7.0219166683072496</v>
      </c>
      <c r="J274" s="162">
        <f t="shared" si="4"/>
        <v>67.191427738424238</v>
      </c>
    </row>
    <row r="275" spans="1:10" x14ac:dyDescent="0.6">
      <c r="A275" s="214" t="s">
        <v>929</v>
      </c>
      <c r="B275" s="219" t="s">
        <v>925</v>
      </c>
      <c r="C275" s="216" t="s">
        <v>285</v>
      </c>
      <c r="D275" s="35">
        <f>_xlfn.XLOOKUP(B275, '1.건전성'!C:C, '1.건전성'!CW:CW)</f>
        <v>15.790116611665917</v>
      </c>
      <c r="E275" s="35">
        <f>_xlfn.XLOOKUP(B275, '2.공정성'!C:C, '2.공정성'!BS:BS)</f>
        <v>18.5</v>
      </c>
      <c r="F275" s="35">
        <f>_xlfn.XLOOKUP(B275, '3.사회공헌'!C:C, '3.사회공헌'!BL:BL)</f>
        <v>5.3645468311401912</v>
      </c>
      <c r="G275" s="35">
        <f>_xlfn.XLOOKUP(B275, '4.소비자보호'!C:C, '4.소비자보호'!BE:BE)</f>
        <v>11.25</v>
      </c>
      <c r="H275" s="35">
        <f>_xlfn.XLOOKUP(B275, '5.환경경영'!C:C, '5.환경경영'!AX:AX)</f>
        <v>6.0833333333333339</v>
      </c>
      <c r="I275" s="35">
        <f>_xlfn.XLOOKUP(B275, '6.직원만족'!C:C, '6.직원만족'!BS:BS)</f>
        <v>10.190946794817233</v>
      </c>
      <c r="J275" s="162">
        <f t="shared" si="4"/>
        <v>67.178943570956676</v>
      </c>
    </row>
    <row r="276" spans="1:10" x14ac:dyDescent="0.6">
      <c r="A276" s="214" t="s">
        <v>898</v>
      </c>
      <c r="B276" s="219" t="s">
        <v>342</v>
      </c>
      <c r="C276" s="216" t="s">
        <v>202</v>
      </c>
      <c r="D276" s="35">
        <f>_xlfn.XLOOKUP(B276, '1.건전성'!C:C, '1.건전성'!CW:CW)</f>
        <v>18.361251953455071</v>
      </c>
      <c r="E276" s="35">
        <f>_xlfn.XLOOKUP(B276, '2.공정성'!C:C, '2.공정성'!BS:BS)</f>
        <v>19.5</v>
      </c>
      <c r="F276" s="35">
        <f>_xlfn.XLOOKUP(B276, '3.사회공헌'!C:C, '3.사회공헌'!BL:BL)</f>
        <v>3.8813212738462965</v>
      </c>
      <c r="G276" s="35">
        <f>_xlfn.XLOOKUP(B276, '4.소비자보호'!C:C, '4.소비자보호'!BE:BE)</f>
        <v>11.25</v>
      </c>
      <c r="H276" s="35">
        <f>_xlfn.XLOOKUP(B276, '5.환경경영'!C:C, '5.환경경영'!AX:AX)</f>
        <v>5.0833333333333339</v>
      </c>
      <c r="I276" s="35">
        <f>_xlfn.XLOOKUP(B276, '6.직원만족'!C:C, '6.직원만족'!BS:BS)</f>
        <v>9.0647732493719513</v>
      </c>
      <c r="J276" s="162">
        <f t="shared" si="4"/>
        <v>67.140679810006645</v>
      </c>
    </row>
    <row r="277" spans="1:10" x14ac:dyDescent="0.6">
      <c r="A277" s="214" t="s">
        <v>721</v>
      </c>
      <c r="B277" s="219" t="s">
        <v>875</v>
      </c>
      <c r="C277" s="216" t="s">
        <v>191</v>
      </c>
      <c r="D277" s="35">
        <f>_xlfn.XLOOKUP(B277, '1.건전성'!C:C, '1.건전성'!CW:CW)</f>
        <v>18.926698804274309</v>
      </c>
      <c r="E277" s="35">
        <f>_xlfn.XLOOKUP(B277, '2.공정성'!C:C, '2.공정성'!BS:BS)</f>
        <v>17.5</v>
      </c>
      <c r="F277" s="35">
        <f>_xlfn.XLOOKUP(B277, '3.사회공헌'!C:C, '3.사회공헌'!BL:BL)</f>
        <v>3.7834402421516122</v>
      </c>
      <c r="G277" s="35">
        <f>_xlfn.XLOOKUP(B277, '4.소비자보호'!C:C, '4.소비자보호'!BE:BE)</f>
        <v>11.25</v>
      </c>
      <c r="H277" s="35">
        <f>_xlfn.XLOOKUP(B277, '5.환경경영'!C:C, '5.환경경영'!AX:AX)</f>
        <v>5.5833333333333339</v>
      </c>
      <c r="I277" s="35">
        <f>_xlfn.XLOOKUP(B277, '6.직원만족'!C:C, '6.직원만족'!BS:BS)</f>
        <v>10.083027701351336</v>
      </c>
      <c r="J277" s="162">
        <f t="shared" si="4"/>
        <v>67.126500081110592</v>
      </c>
    </row>
    <row r="278" spans="1:10" x14ac:dyDescent="0.6">
      <c r="A278" s="214" t="s">
        <v>262</v>
      </c>
      <c r="B278" s="219" t="s">
        <v>919</v>
      </c>
      <c r="C278" s="221" t="s">
        <v>481</v>
      </c>
      <c r="D278" s="35">
        <f>_xlfn.XLOOKUP(B278, '1.건전성'!C:C, '1.건전성'!CW:CW)</f>
        <v>31.014308921904373</v>
      </c>
      <c r="E278" s="35">
        <f>_xlfn.XLOOKUP(B278, '2.공정성'!C:C, '2.공정성'!BS:BS)</f>
        <v>13.5</v>
      </c>
      <c r="F278" s="35">
        <f>_xlfn.XLOOKUP(B278, '3.사회공헌'!C:C, '3.사회공헌'!BL:BL)</f>
        <v>6.6575096056391363</v>
      </c>
      <c r="G278" s="35">
        <f>_xlfn.XLOOKUP(B278, '4.소비자보호'!C:C, '4.소비자보호'!BE:BE)</f>
        <v>8.4499999999999993</v>
      </c>
      <c r="H278" s="35">
        <f>_xlfn.XLOOKUP(B278, '5.환경경영'!C:C, '5.환경경영'!AX:AX)</f>
        <v>0</v>
      </c>
      <c r="I278" s="35">
        <f>_xlfn.XLOOKUP(B278, '6.직원만족'!C:C, '6.직원만족'!BS:BS)</f>
        <v>7.4233809842266139</v>
      </c>
      <c r="J278" s="162">
        <f t="shared" si="4"/>
        <v>67.045199511770122</v>
      </c>
    </row>
    <row r="279" spans="1:10" x14ac:dyDescent="0.6">
      <c r="A279" s="214" t="s">
        <v>92</v>
      </c>
      <c r="B279" s="219" t="s">
        <v>900</v>
      </c>
      <c r="C279" s="221" t="s">
        <v>350</v>
      </c>
      <c r="D279" s="35">
        <f>_xlfn.XLOOKUP(B279, '1.건전성'!C:C, '1.건전성'!CW:CW)</f>
        <v>27.543571280847459</v>
      </c>
      <c r="E279" s="35">
        <f>_xlfn.XLOOKUP(B279, '2.공정성'!C:C, '2.공정성'!BS:BS)</f>
        <v>16.5</v>
      </c>
      <c r="F279" s="35">
        <f>_xlfn.XLOOKUP(B279, '3.사회공헌'!C:C, '3.사회공헌'!BL:BL)</f>
        <v>5.8300546894920178</v>
      </c>
      <c r="G279" s="35">
        <f>_xlfn.XLOOKUP(B279, '4.소비자보호'!C:C, '4.소비자보호'!BE:BE)</f>
        <v>10.85</v>
      </c>
      <c r="H279" s="35">
        <f>_xlfn.XLOOKUP(B279, '5.환경경영'!C:C, '5.환경경영'!AX:AX)</f>
        <v>0</v>
      </c>
      <c r="I279" s="35">
        <f>_xlfn.XLOOKUP(B279, '6.직원만족'!C:C, '6.직원만족'!BS:BS)</f>
        <v>6.3204739006963786</v>
      </c>
      <c r="J279" s="162">
        <f t="shared" si="4"/>
        <v>67.044099871035854</v>
      </c>
    </row>
    <row r="280" spans="1:10" x14ac:dyDescent="0.6">
      <c r="A280" s="214" t="s">
        <v>559</v>
      </c>
      <c r="B280" s="219" t="s">
        <v>89</v>
      </c>
      <c r="C280" s="216" t="s">
        <v>202</v>
      </c>
      <c r="D280" s="35">
        <f>_xlfn.XLOOKUP(B280, '1.건전성'!C:C, '1.건전성'!CW:CW)</f>
        <v>17.13075835039897</v>
      </c>
      <c r="E280" s="35">
        <f>_xlfn.XLOOKUP(B280, '2.공정성'!C:C, '2.공정성'!BS:BS)</f>
        <v>18</v>
      </c>
      <c r="F280" s="35">
        <f>_xlfn.XLOOKUP(B280, '3.사회공헌'!C:C, '3.사회공헌'!BL:BL)</f>
        <v>4.4782853958729723</v>
      </c>
      <c r="G280" s="35">
        <f>_xlfn.XLOOKUP(B280, '4.소비자보호'!C:C, '4.소비자보호'!BE:BE)</f>
        <v>11.25</v>
      </c>
      <c r="H280" s="35">
        <f>_xlfn.XLOOKUP(B280, '5.환경경영'!C:C, '5.환경경영'!AX:AX)</f>
        <v>7.0833333333333339</v>
      </c>
      <c r="I280" s="35">
        <f>_xlfn.XLOOKUP(B280, '6.직원만족'!C:C, '6.직원만족'!BS:BS)</f>
        <v>9.0198587081940982</v>
      </c>
      <c r="J280" s="162">
        <f t="shared" si="4"/>
        <v>66.962235787799372</v>
      </c>
    </row>
    <row r="281" spans="1:10" x14ac:dyDescent="0.6">
      <c r="A281" s="214" t="s">
        <v>72</v>
      </c>
      <c r="B281" s="219" t="s">
        <v>424</v>
      </c>
      <c r="C281" s="216" t="s">
        <v>203</v>
      </c>
      <c r="D281" s="35">
        <f>_xlfn.XLOOKUP(B281, '1.건전성'!C:C, '1.건전성'!CW:CW)</f>
        <v>17.35160055571686</v>
      </c>
      <c r="E281" s="35">
        <f>_xlfn.XLOOKUP(B281, '2.공정성'!C:C, '2.공정성'!BS:BS)</f>
        <v>17.25</v>
      </c>
      <c r="F281" s="35">
        <f>_xlfn.XLOOKUP(B281, '3.사회공헌'!C:C, '3.사회공헌'!BL:BL)</f>
        <v>7.0425093660407292</v>
      </c>
      <c r="G281" s="35">
        <f>_xlfn.XLOOKUP(B281, '4.소비자보호'!C:C, '4.소비자보호'!BE:BE)</f>
        <v>11.25</v>
      </c>
      <c r="H281" s="35">
        <f>_xlfn.XLOOKUP(B281, '5.환경경영'!C:C, '5.환경경영'!AX:AX)</f>
        <v>5.5833333333333339</v>
      </c>
      <c r="I281" s="35">
        <f>_xlfn.XLOOKUP(B281, '6.직원만족'!C:C, '6.직원만족'!BS:BS)</f>
        <v>8.4120674399994684</v>
      </c>
      <c r="J281" s="162">
        <f t="shared" si="4"/>
        <v>66.889510695090394</v>
      </c>
    </row>
    <row r="282" spans="1:10" x14ac:dyDescent="0.6">
      <c r="A282" s="214" t="s">
        <v>941</v>
      </c>
      <c r="B282" s="219" t="s">
        <v>866</v>
      </c>
      <c r="C282" s="216" t="s">
        <v>285</v>
      </c>
      <c r="D282" s="35">
        <f>_xlfn.XLOOKUP(B282, '1.건전성'!C:C, '1.건전성'!CW:CW)</f>
        <v>18.314291254808428</v>
      </c>
      <c r="E282" s="35">
        <f>_xlfn.XLOOKUP(B282, '2.공정성'!C:C, '2.공정성'!BS:BS)</f>
        <v>16.25</v>
      </c>
      <c r="F282" s="35">
        <f>_xlfn.XLOOKUP(B282, '3.사회공헌'!C:C, '3.사회공헌'!BL:BL)</f>
        <v>8.1166307591570384</v>
      </c>
      <c r="G282" s="35">
        <f>_xlfn.XLOOKUP(B282, '4.소비자보호'!C:C, '4.소비자보호'!BE:BE)</f>
        <v>11.25</v>
      </c>
      <c r="H282" s="35">
        <f>_xlfn.XLOOKUP(B282, '5.환경경영'!C:C, '5.환경경영'!AX:AX)</f>
        <v>6.0833333333333339</v>
      </c>
      <c r="I282" s="35">
        <f>_xlfn.XLOOKUP(B282, '6.직원만족'!C:C, '6.직원만족'!BS:BS)</f>
        <v>6.8461916512157828</v>
      </c>
      <c r="J282" s="162">
        <f t="shared" si="4"/>
        <v>66.86044699851459</v>
      </c>
    </row>
    <row r="283" spans="1:10" x14ac:dyDescent="0.6">
      <c r="A283" s="214" t="s">
        <v>104</v>
      </c>
      <c r="B283" s="219" t="s">
        <v>449</v>
      </c>
      <c r="C283" s="216" t="s">
        <v>191</v>
      </c>
      <c r="D283" s="35">
        <f>_xlfn.XLOOKUP(B283, '1.건전성'!C:C, '1.건전성'!CW:CW)</f>
        <v>19.623031596546838</v>
      </c>
      <c r="E283" s="35">
        <f>_xlfn.XLOOKUP(B283, '2.공정성'!C:C, '2.공정성'!BS:BS)</f>
        <v>16.75</v>
      </c>
      <c r="F283" s="35">
        <f>_xlfn.XLOOKUP(B283, '3.사회공헌'!C:C, '3.사회공헌'!BL:BL)</f>
        <v>5.1163267950706892</v>
      </c>
      <c r="G283" s="35">
        <f>_xlfn.XLOOKUP(B283, '4.소비자보호'!C:C, '4.소비자보호'!BE:BE)</f>
        <v>11.25</v>
      </c>
      <c r="H283" s="35">
        <f>_xlfn.XLOOKUP(B283, '5.환경경영'!C:C, '5.환경경영'!AX:AX)</f>
        <v>7.3333333333333339</v>
      </c>
      <c r="I283" s="35">
        <f>_xlfn.XLOOKUP(B283, '6.직원만족'!C:C, '6.직원만족'!BS:BS)</f>
        <v>6.7646060300011692</v>
      </c>
      <c r="J283" s="162">
        <f t="shared" si="4"/>
        <v>66.837297754952033</v>
      </c>
    </row>
    <row r="284" spans="1:10" x14ac:dyDescent="0.6">
      <c r="A284" s="214" t="s">
        <v>1777</v>
      </c>
      <c r="B284" s="219" t="s">
        <v>1778</v>
      </c>
      <c r="C284" s="14" t="s">
        <v>202</v>
      </c>
      <c r="D284" s="35">
        <f>_xlfn.XLOOKUP(B284, '1.건전성'!C:C, '1.건전성'!CW:CW)</f>
        <v>18.045187492118295</v>
      </c>
      <c r="E284" s="35">
        <f>_xlfn.XLOOKUP(B284, '2.공정성'!C:C, '2.공정성'!BS:BS)</f>
        <v>17.25</v>
      </c>
      <c r="F284" s="35">
        <f>_xlfn.XLOOKUP(B284, '3.사회공헌'!C:C, '3.사회공헌'!BL:BL)</f>
        <v>5.1219687608966797</v>
      </c>
      <c r="G284" s="35">
        <f>_xlfn.XLOOKUP(B284, '4.소비자보호'!C:C, '4.소비자보호'!BE:BE)</f>
        <v>11.25</v>
      </c>
      <c r="H284" s="35">
        <f>_xlfn.XLOOKUP(B284, '5.환경경영'!C:C, '5.환경경영'!AX:AX)</f>
        <v>6.5833333333333339</v>
      </c>
      <c r="I284" s="35">
        <f>_xlfn.XLOOKUP(B284, '6.직원만족'!C:C, '6.직원만족'!BS:BS)</f>
        <v>8.5690613788162135</v>
      </c>
      <c r="J284" s="162">
        <f t="shared" si="4"/>
        <v>66.819550965164524</v>
      </c>
    </row>
    <row r="285" spans="1:10" x14ac:dyDescent="0.6">
      <c r="A285" s="214" t="s">
        <v>1847</v>
      </c>
      <c r="B285" s="219" t="s">
        <v>1848</v>
      </c>
      <c r="C285" s="14" t="s">
        <v>202</v>
      </c>
      <c r="D285" s="35">
        <f>_xlfn.XLOOKUP(B285, '1.건전성'!C:C, '1.건전성'!CW:CW)</f>
        <v>20.836019545818004</v>
      </c>
      <c r="E285" s="35">
        <f>_xlfn.XLOOKUP(B285, '2.공정성'!C:C, '2.공정성'!BS:BS)</f>
        <v>17</v>
      </c>
      <c r="F285" s="35">
        <f>_xlfn.XLOOKUP(B285, '3.사회공헌'!C:C, '3.사회공헌'!BL:BL)</f>
        <v>6.6966602437619915</v>
      </c>
      <c r="G285" s="35">
        <f>_xlfn.XLOOKUP(B285, '4.소비자보호'!C:C, '4.소비자보호'!BE:BE)</f>
        <v>7.05</v>
      </c>
      <c r="H285" s="35">
        <f>_xlfn.XLOOKUP(B285, '5.환경경영'!C:C, '5.환경경영'!AX:AX)</f>
        <v>6.916666666666667</v>
      </c>
      <c r="I285" s="35">
        <f>_xlfn.XLOOKUP(B285, '6.직원만족'!C:C, '6.직원만족'!BS:BS)</f>
        <v>8.0926482091281535</v>
      </c>
      <c r="J285" s="162">
        <f t="shared" si="4"/>
        <v>66.591994665374813</v>
      </c>
    </row>
    <row r="286" spans="1:10" x14ac:dyDescent="0.6">
      <c r="A286" s="214" t="s">
        <v>868</v>
      </c>
      <c r="B286" s="219" t="s">
        <v>538</v>
      </c>
      <c r="C286" s="216" t="s">
        <v>285</v>
      </c>
      <c r="D286" s="35">
        <f>_xlfn.XLOOKUP(B286, '1.건전성'!C:C, '1.건전성'!CW:CW)</f>
        <v>16.213557395221724</v>
      </c>
      <c r="E286" s="35">
        <f>_xlfn.XLOOKUP(B286, '2.공정성'!C:C, '2.공정성'!BS:BS)</f>
        <v>16.5</v>
      </c>
      <c r="F286" s="35">
        <f>_xlfn.XLOOKUP(B286, '3.사회공헌'!C:C, '3.사회공헌'!BL:BL)</f>
        <v>8.0279356456457283</v>
      </c>
      <c r="G286" s="35">
        <f>_xlfn.XLOOKUP(B286, '4.소비자보호'!C:C, '4.소비자보호'!BE:BE)</f>
        <v>11.25</v>
      </c>
      <c r="H286" s="35">
        <f>_xlfn.XLOOKUP(B286, '5.환경경영'!C:C, '5.환경경영'!AX:AX)</f>
        <v>6.8333333333333339</v>
      </c>
      <c r="I286" s="35">
        <f>_xlfn.XLOOKUP(B286, '6.직원만족'!C:C, '6.직원만족'!BS:BS)</f>
        <v>7.7585861221122734</v>
      </c>
      <c r="J286" s="162">
        <f t="shared" si="4"/>
        <v>66.583412496313059</v>
      </c>
    </row>
    <row r="287" spans="1:10" x14ac:dyDescent="0.6">
      <c r="A287" s="214" t="s">
        <v>45</v>
      </c>
      <c r="B287" s="219" t="s">
        <v>95</v>
      </c>
      <c r="C287" s="216" t="s">
        <v>202</v>
      </c>
      <c r="D287" s="35">
        <f>_xlfn.XLOOKUP(B287, '1.건전성'!C:C, '1.건전성'!CW:CW)</f>
        <v>16.411902185362109</v>
      </c>
      <c r="E287" s="35">
        <f>_xlfn.XLOOKUP(B287, '2.공정성'!C:C, '2.공정성'!BS:BS)</f>
        <v>19.5</v>
      </c>
      <c r="F287" s="35">
        <f>_xlfn.XLOOKUP(B287, '3.사회공헌'!C:C, '3.사회공헌'!BL:BL)</f>
        <v>5.2997120920683614</v>
      </c>
      <c r="G287" s="35">
        <f>_xlfn.XLOOKUP(B287, '4.소비자보호'!C:C, '4.소비자보호'!BE:BE)</f>
        <v>11.25</v>
      </c>
      <c r="H287" s="35">
        <f>_xlfn.XLOOKUP(B287, '5.환경경영'!C:C, '5.환경경영'!AX:AX)</f>
        <v>4.3333333333333339</v>
      </c>
      <c r="I287" s="35">
        <f>_xlfn.XLOOKUP(B287, '6.직원만족'!C:C, '6.직원만족'!BS:BS)</f>
        <v>9.7658061170473012</v>
      </c>
      <c r="J287" s="162">
        <f t="shared" si="4"/>
        <v>66.560753727811104</v>
      </c>
    </row>
    <row r="288" spans="1:10" x14ac:dyDescent="0.6">
      <c r="A288" s="214" t="s">
        <v>99</v>
      </c>
      <c r="B288" s="219" t="s">
        <v>309</v>
      </c>
      <c r="C288" s="216" t="s">
        <v>285</v>
      </c>
      <c r="D288" s="35">
        <f>_xlfn.XLOOKUP(B288, '1.건전성'!C:C, '1.건전성'!CW:CW)</f>
        <v>16.312809552017171</v>
      </c>
      <c r="E288" s="35">
        <f>_xlfn.XLOOKUP(B288, '2.공정성'!C:C, '2.공정성'!BS:BS)</f>
        <v>16.5</v>
      </c>
      <c r="F288" s="35">
        <f>_xlfn.XLOOKUP(B288, '3.사회공헌'!C:C, '3.사회공헌'!BL:BL)</f>
        <v>7.05</v>
      </c>
      <c r="G288" s="35">
        <f>_xlfn.XLOOKUP(B288, '4.소비자보호'!C:C, '4.소비자보호'!BE:BE)</f>
        <v>12</v>
      </c>
      <c r="H288" s="35">
        <f>_xlfn.XLOOKUP(B288, '5.환경경영'!C:C, '5.환경경영'!AX:AX)</f>
        <v>5.5833333333333339</v>
      </c>
      <c r="I288" s="35">
        <f>_xlfn.XLOOKUP(B288, '6.직원만족'!C:C, '6.직원만족'!BS:BS)</f>
        <v>9.0531079600943247</v>
      </c>
      <c r="J288" s="162">
        <f t="shared" si="4"/>
        <v>66.499250845444834</v>
      </c>
    </row>
    <row r="289" spans="1:10" x14ac:dyDescent="0.6">
      <c r="A289" s="214" t="s">
        <v>1642</v>
      </c>
      <c r="B289" s="219" t="s">
        <v>1643</v>
      </c>
      <c r="C289" s="14" t="s">
        <v>285</v>
      </c>
      <c r="D289" s="35">
        <f>_xlfn.XLOOKUP(B289, '1.건전성'!C:C, '1.건전성'!CW:CW)</f>
        <v>16.207594842550705</v>
      </c>
      <c r="E289" s="35">
        <f>_xlfn.XLOOKUP(B289, '2.공정성'!C:C, '2.공정성'!BS:BS)</f>
        <v>16.5</v>
      </c>
      <c r="F289" s="35">
        <f>_xlfn.XLOOKUP(B289, '3.사회공헌'!C:C, '3.사회공헌'!BL:BL)</f>
        <v>10.270275074201347</v>
      </c>
      <c r="G289" s="35">
        <f>_xlfn.XLOOKUP(B289, '4.소비자보호'!C:C, '4.소비자보호'!BE:BE)</f>
        <v>8.0500000000000007</v>
      </c>
      <c r="H289" s="35">
        <f>_xlfn.XLOOKUP(B289, '5.환경경영'!C:C, '5.환경경영'!AX:AX)</f>
        <v>6.5833333333333339</v>
      </c>
      <c r="I289" s="35">
        <f>_xlfn.XLOOKUP(B289, '6.직원만족'!C:C, '6.직원만족'!BS:BS)</f>
        <v>8.8826836586886326</v>
      </c>
      <c r="J289" s="162">
        <f t="shared" si="4"/>
        <v>66.493886908774016</v>
      </c>
    </row>
    <row r="290" spans="1:10" x14ac:dyDescent="0.6">
      <c r="A290" s="214" t="s">
        <v>1755</v>
      </c>
      <c r="B290" s="219" t="s">
        <v>533</v>
      </c>
      <c r="C290" s="221" t="s">
        <v>481</v>
      </c>
      <c r="D290" s="35">
        <f>_xlfn.XLOOKUP(B290, '1.건전성'!C:C, '1.건전성'!CW:CW)</f>
        <v>26.843596816609491</v>
      </c>
      <c r="E290" s="35">
        <f>_xlfn.XLOOKUP(B290, '2.공정성'!C:C, '2.공정성'!BS:BS)</f>
        <v>17.5</v>
      </c>
      <c r="F290" s="35">
        <f>_xlfn.XLOOKUP(B290, '3.사회공헌'!C:C, '3.사회공헌'!BL:BL)</f>
        <v>5.0631388397088655</v>
      </c>
      <c r="G290" s="35">
        <f>_xlfn.XLOOKUP(B290, '4.소비자보호'!C:C, '4.소비자보호'!BE:BE)</f>
        <v>10.35</v>
      </c>
      <c r="H290" s="35">
        <f>_xlfn.XLOOKUP(B290, '5.환경경영'!C:C, '5.환경경영'!AX:AX)</f>
        <v>0</v>
      </c>
      <c r="I290" s="35">
        <f>_xlfn.XLOOKUP(B290, '6.직원만족'!C:C, '6.직원만족'!BS:BS)</f>
        <v>6.6128834036863848</v>
      </c>
      <c r="J290" s="162">
        <f t="shared" si="4"/>
        <v>66.369619060004737</v>
      </c>
    </row>
    <row r="291" spans="1:10" x14ac:dyDescent="0.6">
      <c r="A291" s="214" t="s">
        <v>1924</v>
      </c>
      <c r="B291" s="219" t="s">
        <v>1925</v>
      </c>
      <c r="C291" s="14" t="s">
        <v>285</v>
      </c>
      <c r="D291" s="35">
        <f>_xlfn.XLOOKUP(B291, '1.건전성'!C:C, '1.건전성'!CW:CW)</f>
        <v>17.656141041947659</v>
      </c>
      <c r="E291" s="35">
        <f>_xlfn.XLOOKUP(B291, '2.공정성'!C:C, '2.공정성'!BS:BS)</f>
        <v>19.5</v>
      </c>
      <c r="F291" s="35">
        <f>_xlfn.XLOOKUP(B291, '3.사회공헌'!C:C, '3.사회공헌'!BL:BL)</f>
        <v>4.4340660826834757</v>
      </c>
      <c r="G291" s="35">
        <f>_xlfn.XLOOKUP(B291, '4.소비자보호'!C:C, '4.소비자보호'!BE:BE)</f>
        <v>11.25</v>
      </c>
      <c r="H291" s="35">
        <f>_xlfn.XLOOKUP(B291, '5.환경경영'!C:C, '5.환경경영'!AX:AX)</f>
        <v>6.0833333333333339</v>
      </c>
      <c r="I291" s="35">
        <f>_xlfn.XLOOKUP(B291, '6.직원만족'!C:C, '6.직원만족'!BS:BS)</f>
        <v>7.4101758360820087</v>
      </c>
      <c r="J291" s="162">
        <f t="shared" si="4"/>
        <v>66.333716294046482</v>
      </c>
    </row>
    <row r="292" spans="1:10" x14ac:dyDescent="0.6">
      <c r="A292" s="214" t="s">
        <v>918</v>
      </c>
      <c r="B292" s="219" t="s">
        <v>848</v>
      </c>
      <c r="C292" s="216" t="s">
        <v>202</v>
      </c>
      <c r="D292" s="35">
        <f>_xlfn.XLOOKUP(B292, '1.건전성'!C:C, '1.건전성'!CW:CW)</f>
        <v>18.922398864873458</v>
      </c>
      <c r="E292" s="35">
        <f>_xlfn.XLOOKUP(B292, '2.공정성'!C:C, '2.공정성'!BS:BS)</f>
        <v>16.25</v>
      </c>
      <c r="F292" s="35">
        <f>_xlfn.XLOOKUP(B292, '3.사회공헌'!C:C, '3.사회공헌'!BL:BL)</f>
        <v>6.6776617617438738</v>
      </c>
      <c r="G292" s="35">
        <f>_xlfn.XLOOKUP(B292, '4.소비자보호'!C:C, '4.소비자보호'!BE:BE)</f>
        <v>10.75</v>
      </c>
      <c r="H292" s="35">
        <f>_xlfn.XLOOKUP(B292, '5.환경경영'!C:C, '5.환경경영'!AX:AX)</f>
        <v>6.0833333333333339</v>
      </c>
      <c r="I292" s="35">
        <f>_xlfn.XLOOKUP(B292, '6.직원만족'!C:C, '6.직원만족'!BS:BS)</f>
        <v>7.4173821656773242</v>
      </c>
      <c r="J292" s="162">
        <f t="shared" si="4"/>
        <v>66.100776125627988</v>
      </c>
    </row>
    <row r="293" spans="1:10" x14ac:dyDescent="0.6">
      <c r="A293" s="214" t="s">
        <v>531</v>
      </c>
      <c r="B293" s="219" t="s">
        <v>422</v>
      </c>
      <c r="C293" s="221" t="s">
        <v>350</v>
      </c>
      <c r="D293" s="35">
        <f>_xlfn.XLOOKUP(B293, '1.건전성'!C:C, '1.건전성'!CW:CW)</f>
        <v>30.280146246796143</v>
      </c>
      <c r="E293" s="35">
        <f>_xlfn.XLOOKUP(B293, '2.공정성'!C:C, '2.공정성'!BS:BS)</f>
        <v>12.083333333333332</v>
      </c>
      <c r="F293" s="35">
        <f>_xlfn.XLOOKUP(B293, '3.사회공헌'!C:C, '3.사회공헌'!BL:BL)</f>
        <v>6.0141644730058461</v>
      </c>
      <c r="G293" s="35">
        <f>_xlfn.XLOOKUP(B293, '4.소비자보호'!C:C, '4.소비자보호'!BE:BE)</f>
        <v>11.35</v>
      </c>
      <c r="H293" s="35">
        <f>_xlfn.XLOOKUP(B293, '5.환경경영'!C:C, '5.환경경영'!AX:AX)</f>
        <v>0</v>
      </c>
      <c r="I293" s="35">
        <f>_xlfn.XLOOKUP(B293, '6.직원만족'!C:C, '6.직원만족'!BS:BS)</f>
        <v>6.3170019151796515</v>
      </c>
      <c r="J293" s="162">
        <f t="shared" si="4"/>
        <v>66.044645968314981</v>
      </c>
    </row>
    <row r="294" spans="1:10" x14ac:dyDescent="0.6">
      <c r="A294" s="214" t="s">
        <v>1473</v>
      </c>
      <c r="B294" s="219" t="s">
        <v>532</v>
      </c>
      <c r="C294" s="216" t="s">
        <v>203</v>
      </c>
      <c r="D294" s="35">
        <f>_xlfn.XLOOKUP(B294, '1.건전성'!C:C, '1.건전성'!CW:CW)</f>
        <v>16.98424264546167</v>
      </c>
      <c r="E294" s="35">
        <f>_xlfn.XLOOKUP(B294, '2.공정성'!C:C, '2.공정성'!BS:BS)</f>
        <v>16.5</v>
      </c>
      <c r="F294" s="35">
        <f>_xlfn.XLOOKUP(B294, '3.사회공헌'!C:C, '3.사회공헌'!BL:BL)</f>
        <v>6.6959955407674805</v>
      </c>
      <c r="G294" s="35">
        <f>_xlfn.XLOOKUP(B294, '4.소비자보호'!C:C, '4.소비자보호'!BE:BE)</f>
        <v>11.25</v>
      </c>
      <c r="H294" s="35">
        <f>_xlfn.XLOOKUP(B294, '5.환경경영'!C:C, '5.환경경영'!AX:AX)</f>
        <v>6.5833333333333339</v>
      </c>
      <c r="I294" s="35">
        <f>_xlfn.XLOOKUP(B294, '6.직원만족'!C:C, '6.직원만족'!BS:BS)</f>
        <v>7.9137894253676082</v>
      </c>
      <c r="J294" s="162">
        <f t="shared" si="4"/>
        <v>65.927360944930086</v>
      </c>
    </row>
    <row r="295" spans="1:10" x14ac:dyDescent="0.6">
      <c r="A295" s="214" t="s">
        <v>1634</v>
      </c>
      <c r="B295" s="219" t="s">
        <v>1635</v>
      </c>
      <c r="C295" s="14" t="s">
        <v>203</v>
      </c>
      <c r="D295" s="35">
        <f>_xlfn.XLOOKUP(B295, '1.건전성'!C:C, '1.건전성'!CW:CW)</f>
        <v>16.645351965572917</v>
      </c>
      <c r="E295" s="35">
        <f>_xlfn.XLOOKUP(B295, '2.공정성'!C:C, '2.공정성'!BS:BS)</f>
        <v>18.5</v>
      </c>
      <c r="F295" s="35">
        <f>_xlfn.XLOOKUP(B295, '3.사회공헌'!C:C, '3.사회공헌'!BL:BL)</f>
        <v>5.4475756706946221</v>
      </c>
      <c r="G295" s="35">
        <f>_xlfn.XLOOKUP(B295, '4.소비자보호'!C:C, '4.소비자보호'!BE:BE)</f>
        <v>11.25</v>
      </c>
      <c r="H295" s="35">
        <f>_xlfn.XLOOKUP(B295, '5.환경경영'!C:C, '5.환경경영'!AX:AX)</f>
        <v>4.0833333333333339</v>
      </c>
      <c r="I295" s="35">
        <f>_xlfn.XLOOKUP(B295, '6.직원만족'!C:C, '6.직원만족'!BS:BS)</f>
        <v>9.9449339927678171</v>
      </c>
      <c r="J295" s="162">
        <f t="shared" si="4"/>
        <v>65.871194962368691</v>
      </c>
    </row>
    <row r="296" spans="1:10" x14ac:dyDescent="0.6">
      <c r="A296" s="214" t="s">
        <v>361</v>
      </c>
      <c r="B296" s="219" t="s">
        <v>949</v>
      </c>
      <c r="C296" s="216" t="s">
        <v>285</v>
      </c>
      <c r="D296" s="35">
        <f>_xlfn.XLOOKUP(B296, '1.건전성'!C:C, '1.건전성'!CW:CW)</f>
        <v>16.782485981943921</v>
      </c>
      <c r="E296" s="35">
        <f>_xlfn.XLOOKUP(B296, '2.공정성'!C:C, '2.공정성'!BS:BS)</f>
        <v>19.25</v>
      </c>
      <c r="F296" s="35">
        <f>_xlfn.XLOOKUP(B296, '3.사회공헌'!C:C, '3.사회공헌'!BL:BL)</f>
        <v>7.45</v>
      </c>
      <c r="G296" s="35">
        <f>_xlfn.XLOOKUP(B296, '4.소비자보호'!C:C, '4.소비자보호'!BE:BE)</f>
        <v>9.25</v>
      </c>
      <c r="H296" s="35">
        <f>_xlfn.XLOOKUP(B296, '5.환경경영'!C:C, '5.환경경영'!AX:AX)</f>
        <v>5.0833333333333339</v>
      </c>
      <c r="I296" s="35">
        <f>_xlfn.XLOOKUP(B296, '6.직원만족'!C:C, '6.직원만족'!BS:BS)</f>
        <v>8.028797530415563</v>
      </c>
      <c r="J296" s="162">
        <f t="shared" si="4"/>
        <v>65.844616845692826</v>
      </c>
    </row>
    <row r="297" spans="1:10" x14ac:dyDescent="0.6">
      <c r="A297" s="214" t="s">
        <v>330</v>
      </c>
      <c r="B297" s="219" t="s">
        <v>78</v>
      </c>
      <c r="C297" s="216" t="s">
        <v>285</v>
      </c>
      <c r="D297" s="35">
        <f>_xlfn.XLOOKUP(B297, '1.건전성'!C:C, '1.건전성'!CW:CW)</f>
        <v>15.22264967444959</v>
      </c>
      <c r="E297" s="35">
        <f>_xlfn.XLOOKUP(B297, '2.공정성'!C:C, '2.공정성'!BS:BS)</f>
        <v>19.75</v>
      </c>
      <c r="F297" s="35">
        <f>_xlfn.XLOOKUP(B297, '3.사회공헌'!C:C, '3.사회공헌'!BL:BL)</f>
        <v>4.9375545655470328</v>
      </c>
      <c r="G297" s="35">
        <f>_xlfn.XLOOKUP(B297, '4.소비자보호'!C:C, '4.소비자보호'!BE:BE)</f>
        <v>11.75</v>
      </c>
      <c r="H297" s="35">
        <f>_xlfn.XLOOKUP(B297, '5.환경경영'!C:C, '5.환경경영'!AX:AX)</f>
        <v>5.0833333333333339</v>
      </c>
      <c r="I297" s="35">
        <f>_xlfn.XLOOKUP(B297, '6.직원만족'!C:C, '6.직원만족'!BS:BS)</f>
        <v>8.7965947113208909</v>
      </c>
      <c r="J297" s="162">
        <f t="shared" si="4"/>
        <v>65.540132284650852</v>
      </c>
    </row>
    <row r="298" spans="1:10" x14ac:dyDescent="0.6">
      <c r="A298" s="214" t="s">
        <v>1610</v>
      </c>
      <c r="B298" s="219" t="s">
        <v>1611</v>
      </c>
      <c r="C298" s="14" t="s">
        <v>203</v>
      </c>
      <c r="D298" s="35">
        <f>_xlfn.XLOOKUP(B298, '1.건전성'!C:C, '1.건전성'!CW:CW)</f>
        <v>17.423968843052791</v>
      </c>
      <c r="E298" s="35">
        <f>_xlfn.XLOOKUP(B298, '2.공정성'!C:C, '2.공정성'!BS:BS)</f>
        <v>15.75</v>
      </c>
      <c r="F298" s="35">
        <f>_xlfn.XLOOKUP(B298, '3.사회공헌'!C:C, '3.사회공헌'!BL:BL)</f>
        <v>7.1490552550744262</v>
      </c>
      <c r="G298" s="35">
        <f>_xlfn.XLOOKUP(B298, '4.소비자보호'!C:C, '4.소비자보호'!BE:BE)</f>
        <v>11.25</v>
      </c>
      <c r="H298" s="35">
        <f>_xlfn.XLOOKUP(B298, '5.환경경영'!C:C, '5.환경경영'!AX:AX)</f>
        <v>5.0833333333333339</v>
      </c>
      <c r="I298" s="35">
        <f>_xlfn.XLOOKUP(B298, '6.직원만족'!C:C, '6.직원만족'!BS:BS)</f>
        <v>8.7623181991526202</v>
      </c>
      <c r="J298" s="162">
        <f t="shared" si="4"/>
        <v>65.41867563061318</v>
      </c>
    </row>
    <row r="299" spans="1:10" x14ac:dyDescent="0.6">
      <c r="A299" s="214" t="s">
        <v>1527</v>
      </c>
      <c r="B299" s="219" t="s">
        <v>1528</v>
      </c>
      <c r="C299" s="14" t="s">
        <v>203</v>
      </c>
      <c r="D299" s="35">
        <f>_xlfn.XLOOKUP(B299, '1.건전성'!C:C, '1.건전성'!CW:CW)</f>
        <v>17.361186069085029</v>
      </c>
      <c r="E299" s="35">
        <f>_xlfn.XLOOKUP(B299, '2.공정성'!C:C, '2.공정성'!BS:BS)</f>
        <v>19.25</v>
      </c>
      <c r="F299" s="35">
        <f>_xlfn.XLOOKUP(B299, '3.사회공헌'!C:C, '3.사회공헌'!BL:BL)</f>
        <v>5.3555031572400855</v>
      </c>
      <c r="G299" s="35">
        <f>_xlfn.XLOOKUP(B299, '4.소비자보호'!C:C, '4.소비자보호'!BE:BE)</f>
        <v>11.25</v>
      </c>
      <c r="H299" s="35">
        <f>_xlfn.XLOOKUP(B299, '5.환경경영'!C:C, '5.환경경영'!AX:AX)</f>
        <v>5.0833333333333339</v>
      </c>
      <c r="I299" s="35">
        <f>_xlfn.XLOOKUP(B299, '6.직원만족'!C:C, '6.직원만족'!BS:BS)</f>
        <v>7.1073413208275342</v>
      </c>
      <c r="J299" s="162">
        <f t="shared" si="4"/>
        <v>65.407363880485988</v>
      </c>
    </row>
    <row r="300" spans="1:10" x14ac:dyDescent="0.6">
      <c r="A300" s="214" t="s">
        <v>931</v>
      </c>
      <c r="B300" s="219" t="s">
        <v>466</v>
      </c>
      <c r="C300" s="216" t="s">
        <v>202</v>
      </c>
      <c r="D300" s="35">
        <f>_xlfn.XLOOKUP(B300, '1.건전성'!C:C, '1.건전성'!CW:CW)</f>
        <v>20.341517615864543</v>
      </c>
      <c r="E300" s="35">
        <f>_xlfn.XLOOKUP(B300, '2.공정성'!C:C, '2.공정성'!BS:BS)</f>
        <v>16.5</v>
      </c>
      <c r="F300" s="35">
        <f>_xlfn.XLOOKUP(B300, '3.사회공헌'!C:C, '3.사회공헌'!BL:BL)</f>
        <v>6.8565452887218283</v>
      </c>
      <c r="G300" s="35">
        <f>_xlfn.XLOOKUP(B300, '4.소비자보호'!C:C, '4.소비자보호'!BE:BE)</f>
        <v>8.5500000000000007</v>
      </c>
      <c r="H300" s="35">
        <f>_xlfn.XLOOKUP(B300, '5.환경경영'!C:C, '5.환경경영'!AX:AX)</f>
        <v>5.5833333333333339</v>
      </c>
      <c r="I300" s="35">
        <f>_xlfn.XLOOKUP(B300, '6.직원만족'!C:C, '6.직원만족'!BS:BS)</f>
        <v>7.5684652558708665</v>
      </c>
      <c r="J300" s="162">
        <f t="shared" si="4"/>
        <v>65.399861493790581</v>
      </c>
    </row>
    <row r="301" spans="1:10" x14ac:dyDescent="0.6">
      <c r="A301" s="214" t="s">
        <v>37</v>
      </c>
      <c r="B301" s="219" t="s">
        <v>69</v>
      </c>
      <c r="C301" s="216" t="s">
        <v>285</v>
      </c>
      <c r="D301" s="35">
        <f>_xlfn.XLOOKUP(B301, '1.건전성'!C:C, '1.건전성'!CW:CW)</f>
        <v>18.866734536982577</v>
      </c>
      <c r="E301" s="35">
        <f>_xlfn.XLOOKUP(B301, '2.공정성'!C:C, '2.공정성'!BS:BS)</f>
        <v>19</v>
      </c>
      <c r="F301" s="35">
        <f>_xlfn.XLOOKUP(B301, '3.사회공헌'!C:C, '3.사회공헌'!BL:BL)</f>
        <v>6.2323387446142426</v>
      </c>
      <c r="G301" s="35">
        <f>_xlfn.XLOOKUP(B301, '4.소비자보호'!C:C, '4.소비자보호'!BE:BE)</f>
        <v>8.5500000000000007</v>
      </c>
      <c r="H301" s="35">
        <f>_xlfn.XLOOKUP(B301, '5.환경경영'!C:C, '5.환경경영'!AX:AX)</f>
        <v>5.0833333333333339</v>
      </c>
      <c r="I301" s="35">
        <f>_xlfn.XLOOKUP(B301, '6.직원만족'!C:C, '6.직원만족'!BS:BS)</f>
        <v>7.4985119544634982</v>
      </c>
      <c r="J301" s="162">
        <f t="shared" si="4"/>
        <v>65.230918569393651</v>
      </c>
    </row>
    <row r="302" spans="1:10" x14ac:dyDescent="0.6">
      <c r="A302" s="214" t="s">
        <v>1884</v>
      </c>
      <c r="B302" s="219" t="s">
        <v>1885</v>
      </c>
      <c r="C302" s="14" t="s">
        <v>285</v>
      </c>
      <c r="D302" s="35">
        <f>_xlfn.XLOOKUP(B302, '1.건전성'!C:C, '1.건전성'!CW:CW)</f>
        <v>18.439347610654437</v>
      </c>
      <c r="E302" s="35">
        <f>_xlfn.XLOOKUP(B302, '2.공정성'!C:C, '2.공정성'!BS:BS)</f>
        <v>12.75</v>
      </c>
      <c r="F302" s="35">
        <f>_xlfn.XLOOKUP(B302, '3.사회공헌'!C:C, '3.사회공헌'!BL:BL)</f>
        <v>7.95</v>
      </c>
      <c r="G302" s="35">
        <f>_xlfn.XLOOKUP(B302, '4.소비자보호'!C:C, '4.소비자보호'!BE:BE)</f>
        <v>11.25</v>
      </c>
      <c r="H302" s="35">
        <f>_xlfn.XLOOKUP(B302, '5.환경경영'!C:C, '5.환경경영'!AX:AX)</f>
        <v>6.8333333333333339</v>
      </c>
      <c r="I302" s="35">
        <f>_xlfn.XLOOKUP(B302, '6.직원만족'!C:C, '6.직원만족'!BS:BS)</f>
        <v>7.8444488197113174</v>
      </c>
      <c r="J302" s="162">
        <f t="shared" si="4"/>
        <v>65.067129763699086</v>
      </c>
    </row>
    <row r="303" spans="1:10" x14ac:dyDescent="0.6">
      <c r="A303" s="214" t="s">
        <v>1521</v>
      </c>
      <c r="B303" s="219" t="s">
        <v>1522</v>
      </c>
      <c r="C303" s="14" t="s">
        <v>202</v>
      </c>
      <c r="D303" s="35">
        <f>_xlfn.XLOOKUP(B303, '1.건전성'!C:C, '1.건전성'!CW:CW)</f>
        <v>14.636491412702881</v>
      </c>
      <c r="E303" s="35">
        <f>_xlfn.XLOOKUP(B303, '2.공정성'!C:C, '2.공정성'!BS:BS)</f>
        <v>16.5</v>
      </c>
      <c r="F303" s="35">
        <f>_xlfn.XLOOKUP(B303, '3.사회공헌'!C:C, '3.사회공헌'!BL:BL)</f>
        <v>6.3258789344185624</v>
      </c>
      <c r="G303" s="35">
        <f>_xlfn.XLOOKUP(B303, '4.소비자보호'!C:C, '4.소비자보호'!BE:BE)</f>
        <v>11.25</v>
      </c>
      <c r="H303" s="35">
        <f>_xlfn.XLOOKUP(B303, '5.환경경영'!C:C, '5.환경경영'!AX:AX)</f>
        <v>6.5833333333333339</v>
      </c>
      <c r="I303" s="35">
        <f>_xlfn.XLOOKUP(B303, '6.직원만족'!C:C, '6.직원만족'!BS:BS)</f>
        <v>9.6858371825863205</v>
      </c>
      <c r="J303" s="162">
        <f t="shared" si="4"/>
        <v>64.981540863041104</v>
      </c>
    </row>
    <row r="304" spans="1:10" x14ac:dyDescent="0.6">
      <c r="A304" s="214" t="s">
        <v>1659</v>
      </c>
      <c r="B304" s="219" t="s">
        <v>476</v>
      </c>
      <c r="C304" s="221" t="s">
        <v>481</v>
      </c>
      <c r="D304" s="35">
        <f>_xlfn.XLOOKUP(B304, '1.건전성'!C:C, '1.건전성'!CW:CW)</f>
        <v>28.445927245818869</v>
      </c>
      <c r="E304" s="35">
        <f>_xlfn.XLOOKUP(B304, '2.공정성'!C:C, '2.공정성'!BS:BS)</f>
        <v>15.5</v>
      </c>
      <c r="F304" s="35">
        <f>_xlfn.XLOOKUP(B304, '3.사회공헌'!C:C, '3.사회공헌'!BL:BL)</f>
        <v>4.8890818528399382</v>
      </c>
      <c r="G304" s="35">
        <f>_xlfn.XLOOKUP(B304, '4.소비자보호'!C:C, '4.소비자보호'!BE:BE)</f>
        <v>9.0500000000000007</v>
      </c>
      <c r="H304" s="35">
        <f>_xlfn.XLOOKUP(B304, '5.환경경영'!C:C, '5.환경경영'!AX:AX)</f>
        <v>0</v>
      </c>
      <c r="I304" s="35">
        <f>_xlfn.XLOOKUP(B304, '6.직원만족'!C:C, '6.직원만족'!BS:BS)</f>
        <v>7.0326749847897769</v>
      </c>
      <c r="J304" s="162">
        <f t="shared" si="4"/>
        <v>64.917684083448577</v>
      </c>
    </row>
    <row r="305" spans="1:10" x14ac:dyDescent="0.6">
      <c r="A305" s="214" t="s">
        <v>1495</v>
      </c>
      <c r="B305" s="219" t="s">
        <v>1496</v>
      </c>
      <c r="C305" s="14" t="s">
        <v>203</v>
      </c>
      <c r="D305" s="35">
        <f>_xlfn.XLOOKUP(B305, '1.건전성'!C:C, '1.건전성'!CW:CW)</f>
        <v>18.408769787947683</v>
      </c>
      <c r="E305" s="35">
        <f>_xlfn.XLOOKUP(B305, '2.공정성'!C:C, '2.공정성'!BS:BS)</f>
        <v>16.5</v>
      </c>
      <c r="F305" s="35">
        <f>_xlfn.XLOOKUP(B305, '3.사회공헌'!C:C, '3.사회공헌'!BL:BL)</f>
        <v>4.2234629608896705</v>
      </c>
      <c r="G305" s="35">
        <f>_xlfn.XLOOKUP(B305, '4.소비자보호'!C:C, '4.소비자보호'!BE:BE)</f>
        <v>11.25</v>
      </c>
      <c r="H305" s="35">
        <f>_xlfn.XLOOKUP(B305, '5.환경경영'!C:C, '5.환경경영'!AX:AX)</f>
        <v>6.0833333333333339</v>
      </c>
      <c r="I305" s="35">
        <f>_xlfn.XLOOKUP(B305, '6.직원만족'!C:C, '6.직원만족'!BS:BS)</f>
        <v>8.4083333333333332</v>
      </c>
      <c r="J305" s="162">
        <f t="shared" si="4"/>
        <v>64.873899415504027</v>
      </c>
    </row>
    <row r="306" spans="1:10" x14ac:dyDescent="0.6">
      <c r="A306" s="214" t="s">
        <v>402</v>
      </c>
      <c r="B306" s="219" t="s">
        <v>49</v>
      </c>
      <c r="C306" s="216" t="s">
        <v>202</v>
      </c>
      <c r="D306" s="35">
        <f>_xlfn.XLOOKUP(B306, '1.건전성'!C:C, '1.건전성'!CW:CW)</f>
        <v>16.682957495402096</v>
      </c>
      <c r="E306" s="35">
        <f>_xlfn.XLOOKUP(B306, '2.공정성'!C:C, '2.공정성'!BS:BS)</f>
        <v>16.5</v>
      </c>
      <c r="F306" s="35">
        <f>_xlfn.XLOOKUP(B306, '3.사회공헌'!C:C, '3.사회공헌'!BL:BL)</f>
        <v>7.7501332047820455</v>
      </c>
      <c r="G306" s="35">
        <f>_xlfn.XLOOKUP(B306, '4.소비자보호'!C:C, '4.소비자보호'!BE:BE)</f>
        <v>11.25</v>
      </c>
      <c r="H306" s="35">
        <f>_xlfn.XLOOKUP(B306, '5.환경경영'!C:C, '5.환경경영'!AX:AX)</f>
        <v>5.0833333333333339</v>
      </c>
      <c r="I306" s="35">
        <f>_xlfn.XLOOKUP(B306, '6.직원만족'!C:C, '6.직원만족'!BS:BS)</f>
        <v>7.518177233736016</v>
      </c>
      <c r="J306" s="162">
        <f t="shared" si="4"/>
        <v>64.784601267253493</v>
      </c>
    </row>
    <row r="307" spans="1:10" x14ac:dyDescent="0.6">
      <c r="A307" s="214" t="s">
        <v>1462</v>
      </c>
      <c r="B307" s="219" t="s">
        <v>1463</v>
      </c>
      <c r="C307" s="14" t="s">
        <v>285</v>
      </c>
      <c r="D307" s="35">
        <f>_xlfn.XLOOKUP(B307, '1.건전성'!C:C, '1.건전성'!CW:CW)</f>
        <v>17.151127883686179</v>
      </c>
      <c r="E307" s="35">
        <f>_xlfn.XLOOKUP(B307, '2.공정성'!C:C, '2.공정성'!BS:BS)</f>
        <v>16.5</v>
      </c>
      <c r="F307" s="35">
        <f>_xlfn.XLOOKUP(B307, '3.사회공헌'!C:C, '3.사회공헌'!BL:BL)</f>
        <v>5.9593223028013398</v>
      </c>
      <c r="G307" s="35">
        <f>_xlfn.XLOOKUP(B307, '4.소비자보호'!C:C, '4.소비자보호'!BE:BE)</f>
        <v>11.25</v>
      </c>
      <c r="H307" s="35">
        <f>_xlfn.XLOOKUP(B307, '5.환경경영'!C:C, '5.환경경영'!AX:AX)</f>
        <v>6.3333333333333339</v>
      </c>
      <c r="I307" s="35">
        <f>_xlfn.XLOOKUP(B307, '6.직원만족'!C:C, '6.직원만족'!BS:BS)</f>
        <v>7.4151525253038502</v>
      </c>
      <c r="J307" s="162">
        <f t="shared" si="4"/>
        <v>64.608936045124707</v>
      </c>
    </row>
    <row r="308" spans="1:10" x14ac:dyDescent="0.6">
      <c r="A308" s="214" t="s">
        <v>1961</v>
      </c>
      <c r="B308" s="219" t="s">
        <v>1962</v>
      </c>
      <c r="C308" s="14" t="s">
        <v>202</v>
      </c>
      <c r="D308" s="35">
        <f>_xlfn.XLOOKUP(B308, '1.건전성'!C:C, '1.건전성'!CW:CW)</f>
        <v>14.403482472982711</v>
      </c>
      <c r="E308" s="35">
        <f>_xlfn.XLOOKUP(B308, '2.공정성'!C:C, '2.공정성'!BS:BS)</f>
        <v>17.5</v>
      </c>
      <c r="F308" s="35">
        <f>_xlfn.XLOOKUP(B308, '3.사회공헌'!C:C, '3.사회공헌'!BL:BL)</f>
        <v>4.7298278538907024</v>
      </c>
      <c r="G308" s="35">
        <f>_xlfn.XLOOKUP(B308, '4.소비자보호'!C:C, '4.소비자보호'!BE:BE)</f>
        <v>11.25</v>
      </c>
      <c r="H308" s="35">
        <f>_xlfn.XLOOKUP(B308, '5.환경경영'!C:C, '5.환경경영'!AX:AX)</f>
        <v>6.0833333333333339</v>
      </c>
      <c r="I308" s="35">
        <f>_xlfn.XLOOKUP(B308, '6.직원만족'!C:C, '6.직원만족'!BS:BS)</f>
        <v>10.569286267282711</v>
      </c>
      <c r="J308" s="162">
        <f t="shared" si="4"/>
        <v>64.535929927489462</v>
      </c>
    </row>
    <row r="309" spans="1:10" x14ac:dyDescent="0.6">
      <c r="A309" s="214" t="s">
        <v>1946</v>
      </c>
      <c r="B309" s="219" t="s">
        <v>1947</v>
      </c>
      <c r="C309" s="79" t="s">
        <v>481</v>
      </c>
      <c r="D309" s="35">
        <f>_xlfn.XLOOKUP(B309, '1.건전성'!C:C, '1.건전성'!CW:CW)</f>
        <v>28.195105866946566</v>
      </c>
      <c r="E309" s="35">
        <f>_xlfn.XLOOKUP(B309, '2.공정성'!C:C, '2.공정성'!BS:BS)</f>
        <v>12.75</v>
      </c>
      <c r="F309" s="35">
        <f>_xlfn.XLOOKUP(B309, '3.사회공헌'!C:C, '3.사회공헌'!BL:BL)</f>
        <v>6.9396368217765509</v>
      </c>
      <c r="G309" s="35">
        <f>_xlfn.XLOOKUP(B309, '4.소비자보호'!C:C, '4.소비자보호'!BE:BE)</f>
        <v>9.65</v>
      </c>
      <c r="H309" s="35">
        <f>_xlfn.XLOOKUP(B309, '5.환경경영'!C:C, '5.환경경영'!AX:AX)</f>
        <v>0</v>
      </c>
      <c r="I309" s="35">
        <f>_xlfn.XLOOKUP(B309, '6.직원만족'!C:C, '6.직원만족'!BS:BS)</f>
        <v>6.8759252807357214</v>
      </c>
      <c r="J309" s="162">
        <f t="shared" si="4"/>
        <v>64.410667969458842</v>
      </c>
    </row>
    <row r="310" spans="1:10" x14ac:dyDescent="0.6">
      <c r="A310" s="214" t="s">
        <v>821</v>
      </c>
      <c r="B310" s="219" t="s">
        <v>86</v>
      </c>
      <c r="C310" s="216" t="s">
        <v>285</v>
      </c>
      <c r="D310" s="35">
        <f>_xlfn.XLOOKUP(B310, '1.건전성'!C:C, '1.건전성'!CW:CW)</f>
        <v>17.997198149343113</v>
      </c>
      <c r="E310" s="35">
        <f>_xlfn.XLOOKUP(B310, '2.공정성'!C:C, '2.공정성'!BS:BS)</f>
        <v>15.75</v>
      </c>
      <c r="F310" s="35">
        <f>_xlfn.XLOOKUP(B310, '3.사회공헌'!C:C, '3.사회공헌'!BL:BL)</f>
        <v>5.5124563839397451</v>
      </c>
      <c r="G310" s="35">
        <f>_xlfn.XLOOKUP(B310, '4.소비자보호'!C:C, '4.소비자보호'!BE:BE)</f>
        <v>11.25</v>
      </c>
      <c r="H310" s="35">
        <f>_xlfn.XLOOKUP(B310, '5.환경경영'!C:C, '5.환경경영'!AX:AX)</f>
        <v>5.5833333333333339</v>
      </c>
      <c r="I310" s="35">
        <f>_xlfn.XLOOKUP(B310, '6.직원만족'!C:C, '6.직원만족'!BS:BS)</f>
        <v>8.2190031618856381</v>
      </c>
      <c r="J310" s="162">
        <f t="shared" si="4"/>
        <v>64.311991028501836</v>
      </c>
    </row>
    <row r="311" spans="1:10" x14ac:dyDescent="0.6">
      <c r="A311" s="214" t="s">
        <v>406</v>
      </c>
      <c r="B311" s="219" t="s">
        <v>24</v>
      </c>
      <c r="C311" s="221" t="s">
        <v>481</v>
      </c>
      <c r="D311" s="35">
        <f>_xlfn.XLOOKUP(B311, '1.건전성'!C:C, '1.건전성'!CW:CW)</f>
        <v>29.089239815880319</v>
      </c>
      <c r="E311" s="35">
        <f>_xlfn.XLOOKUP(B311, '2.공정성'!C:C, '2.공정성'!BS:BS)</f>
        <v>12.75</v>
      </c>
      <c r="F311" s="35">
        <f>_xlfn.XLOOKUP(B311, '3.사회공헌'!C:C, '3.사회공헌'!BL:BL)</f>
        <v>5.8231920877086552</v>
      </c>
      <c r="G311" s="35">
        <f>_xlfn.XLOOKUP(B311, '4.소비자보호'!C:C, '4.소비자보호'!BE:BE)</f>
        <v>9.65</v>
      </c>
      <c r="H311" s="35">
        <f>_xlfn.XLOOKUP(B311, '5.환경경영'!C:C, '5.환경경영'!AX:AX)</f>
        <v>0</v>
      </c>
      <c r="I311" s="35">
        <f>_xlfn.XLOOKUP(B311, '6.직원만족'!C:C, '6.직원만족'!BS:BS)</f>
        <v>6.8897950640424295</v>
      </c>
      <c r="J311" s="162">
        <f t="shared" si="4"/>
        <v>64.202226967631404</v>
      </c>
    </row>
    <row r="312" spans="1:10" x14ac:dyDescent="0.6">
      <c r="A312" s="214" t="s">
        <v>560</v>
      </c>
      <c r="B312" s="219" t="s">
        <v>11</v>
      </c>
      <c r="C312" s="221" t="s">
        <v>350</v>
      </c>
      <c r="D312" s="35">
        <f>_xlfn.XLOOKUP(B312, '1.건전성'!C:C, '1.건전성'!CW:CW)</f>
        <v>28.204192608689201</v>
      </c>
      <c r="E312" s="35">
        <f>_xlfn.XLOOKUP(B312, '2.공정성'!C:C, '2.공정성'!BS:BS)</f>
        <v>15.75</v>
      </c>
      <c r="F312" s="35">
        <f>_xlfn.XLOOKUP(B312, '3.사회공헌'!C:C, '3.사회공헌'!BL:BL)</f>
        <v>3.6446383179417063</v>
      </c>
      <c r="G312" s="35">
        <f>_xlfn.XLOOKUP(B312, '4.소비자보호'!C:C, '4.소비자보호'!BE:BE)</f>
        <v>10.25</v>
      </c>
      <c r="H312" s="35">
        <f>_xlfn.XLOOKUP(B312, '5.환경경영'!C:C, '5.환경경영'!AX:AX)</f>
        <v>0</v>
      </c>
      <c r="I312" s="35">
        <f>_xlfn.XLOOKUP(B312, '6.직원만족'!C:C, '6.직원만족'!BS:BS)</f>
        <v>6.0582582823275466</v>
      </c>
      <c r="J312" s="162">
        <f t="shared" si="4"/>
        <v>63.907089208958453</v>
      </c>
    </row>
    <row r="313" spans="1:10" x14ac:dyDescent="0.6">
      <c r="A313" s="214" t="s">
        <v>438</v>
      </c>
      <c r="B313" s="219" t="s">
        <v>36</v>
      </c>
      <c r="C313" s="221" t="s">
        <v>350</v>
      </c>
      <c r="D313" s="35">
        <f>_xlfn.XLOOKUP(B313, '1.건전성'!C:C, '1.건전성'!CW:CW)</f>
        <v>27.424246732127628</v>
      </c>
      <c r="E313" s="35">
        <f>_xlfn.XLOOKUP(B313, '2.공정성'!C:C, '2.공정성'!BS:BS)</f>
        <v>12.75</v>
      </c>
      <c r="F313" s="35">
        <f>_xlfn.XLOOKUP(B313, '3.사회공헌'!C:C, '3.사회공헌'!BL:BL)</f>
        <v>7.1778664914581496</v>
      </c>
      <c r="G313" s="35">
        <f>_xlfn.XLOOKUP(B313, '4.소비자보호'!C:C, '4.소비자보호'!BE:BE)</f>
        <v>10.85</v>
      </c>
      <c r="H313" s="35">
        <f>_xlfn.XLOOKUP(B313, '5.환경경영'!C:C, '5.환경경영'!AX:AX)</f>
        <v>0</v>
      </c>
      <c r="I313" s="35">
        <f>_xlfn.XLOOKUP(B313, '6.직원만족'!C:C, '6.직원만족'!BS:BS)</f>
        <v>5.6865646893542374</v>
      </c>
      <c r="J313" s="162">
        <f t="shared" si="4"/>
        <v>63.888677912940011</v>
      </c>
    </row>
    <row r="314" spans="1:10" x14ac:dyDescent="0.6">
      <c r="A314" s="214" t="s">
        <v>1578</v>
      </c>
      <c r="B314" s="219" t="s">
        <v>1579</v>
      </c>
      <c r="C314" s="79" t="s">
        <v>350</v>
      </c>
      <c r="D314" s="35">
        <f>_xlfn.XLOOKUP(B314, '1.건전성'!C:C, '1.건전성'!CW:CW)</f>
        <v>26.779004493236297</v>
      </c>
      <c r="E314" s="35">
        <f>_xlfn.XLOOKUP(B314, '2.공정성'!C:C, '2.공정성'!BS:BS)</f>
        <v>12.75</v>
      </c>
      <c r="F314" s="35">
        <f>_xlfn.XLOOKUP(B314, '3.사회공헌'!C:C, '3.사회공헌'!BL:BL)</f>
        <v>6.3189110673069964</v>
      </c>
      <c r="G314" s="35">
        <f>_xlfn.XLOOKUP(B314, '4.소비자보호'!C:C, '4.소비자보호'!BE:BE)</f>
        <v>11.55</v>
      </c>
      <c r="H314" s="35">
        <f>_xlfn.XLOOKUP(B314, '5.환경경영'!C:C, '5.환경경영'!AX:AX)</f>
        <v>0</v>
      </c>
      <c r="I314" s="35">
        <f>_xlfn.XLOOKUP(B314, '6.직원만족'!C:C, '6.직원만족'!BS:BS)</f>
        <v>6.3336376409154047</v>
      </c>
      <c r="J314" s="162">
        <f t="shared" si="4"/>
        <v>63.731553201458702</v>
      </c>
    </row>
    <row r="315" spans="1:10" x14ac:dyDescent="0.6">
      <c r="A315" s="214" t="s">
        <v>1950</v>
      </c>
      <c r="B315" s="219" t="s">
        <v>1951</v>
      </c>
      <c r="C315" s="79" t="s">
        <v>481</v>
      </c>
      <c r="D315" s="35">
        <f>_xlfn.XLOOKUP(B315, '1.건전성'!C:C, '1.건전성'!CW:CW)</f>
        <v>28.817236900113908</v>
      </c>
      <c r="E315" s="35">
        <f>_xlfn.XLOOKUP(B315, '2.공정성'!C:C, '2.공정성'!BS:BS)</f>
        <v>12.25</v>
      </c>
      <c r="F315" s="35">
        <f>_xlfn.XLOOKUP(B315, '3.사회공헌'!C:C, '3.사회공헌'!BL:BL)</f>
        <v>5.8285282753488863</v>
      </c>
      <c r="G315" s="35">
        <f>_xlfn.XLOOKUP(B315, '4.소비자보호'!C:C, '4.소비자보호'!BE:BE)</f>
        <v>9.75</v>
      </c>
      <c r="H315" s="35">
        <f>_xlfn.XLOOKUP(B315, '5.환경경영'!C:C, '5.환경경영'!AX:AX)</f>
        <v>0</v>
      </c>
      <c r="I315" s="35">
        <f>_xlfn.XLOOKUP(B315, '6.직원만족'!C:C, '6.직원만족'!BS:BS)</f>
        <v>6.9368917985743845</v>
      </c>
      <c r="J315" s="162">
        <f t="shared" si="4"/>
        <v>63.582656974037185</v>
      </c>
    </row>
    <row r="316" spans="1:10" x14ac:dyDescent="0.6">
      <c r="A316" s="214" t="s">
        <v>499</v>
      </c>
      <c r="B316" s="219" t="s">
        <v>525</v>
      </c>
      <c r="C316" s="221" t="s">
        <v>481</v>
      </c>
      <c r="D316" s="35">
        <f>_xlfn.XLOOKUP(B316, '1.건전성'!C:C, '1.건전성'!CW:CW)</f>
        <v>29.201661368024808</v>
      </c>
      <c r="E316" s="35">
        <f>_xlfn.XLOOKUP(B316, '2.공정성'!C:C, '2.공정성'!BS:BS)</f>
        <v>13.5</v>
      </c>
      <c r="F316" s="35">
        <f>_xlfn.XLOOKUP(B316, '3.사회공헌'!C:C, '3.사회공헌'!BL:BL)</f>
        <v>5.909290336624287</v>
      </c>
      <c r="G316" s="35">
        <f>_xlfn.XLOOKUP(B316, '4.소비자보호'!C:C, '4.소비자보호'!BE:BE)</f>
        <v>7.85</v>
      </c>
      <c r="H316" s="35">
        <f>_xlfn.XLOOKUP(B316, '5.환경경영'!C:C, '5.환경경영'!AX:AX)</f>
        <v>0</v>
      </c>
      <c r="I316" s="35">
        <f>_xlfn.XLOOKUP(B316, '6.직원만족'!C:C, '6.직원만족'!BS:BS)</f>
        <v>6.5632329354941419</v>
      </c>
      <c r="J316" s="162">
        <f t="shared" si="4"/>
        <v>63.02418464014324</v>
      </c>
    </row>
    <row r="317" spans="1:10" x14ac:dyDescent="0.6">
      <c r="A317" s="214" t="s">
        <v>1615</v>
      </c>
      <c r="B317" s="219" t="s">
        <v>1616</v>
      </c>
      <c r="C317" s="14" t="s">
        <v>191</v>
      </c>
      <c r="D317" s="35">
        <f>_xlfn.XLOOKUP(B317, '1.건전성'!C:C, '1.건전성'!CW:CW)</f>
        <v>15.188077483579132</v>
      </c>
      <c r="E317" s="35">
        <f>_xlfn.XLOOKUP(B317, '2.공정성'!C:C, '2.공정성'!BS:BS)</f>
        <v>16.25</v>
      </c>
      <c r="F317" s="35">
        <f>_xlfn.XLOOKUP(B317, '3.사회공헌'!C:C, '3.사회공헌'!BL:BL)</f>
        <v>5.8209738340918671</v>
      </c>
      <c r="G317" s="35">
        <f>_xlfn.XLOOKUP(B317, '4.소비자보호'!C:C, '4.소비자보호'!BE:BE)</f>
        <v>11.25</v>
      </c>
      <c r="H317" s="35">
        <f>_xlfn.XLOOKUP(B317, '5.환경경영'!C:C, '5.환경경영'!AX:AX)</f>
        <v>5.5833333333333339</v>
      </c>
      <c r="I317" s="35">
        <f>_xlfn.XLOOKUP(B317, '6.직원만족'!C:C, '6.직원만족'!BS:BS)</f>
        <v>8.8708583422041336</v>
      </c>
      <c r="J317" s="162">
        <f t="shared" si="4"/>
        <v>62.963242993208468</v>
      </c>
    </row>
    <row r="318" spans="1:10" x14ac:dyDescent="0.6">
      <c r="A318" s="214" t="s">
        <v>1977</v>
      </c>
      <c r="B318" s="219" t="s">
        <v>348</v>
      </c>
      <c r="C318" s="221" t="s">
        <v>481</v>
      </c>
      <c r="D318" s="35">
        <f>_xlfn.XLOOKUP(B318, '1.건전성'!C:C, '1.건전성'!CW:CW)</f>
        <v>27.280340105002473</v>
      </c>
      <c r="E318" s="35">
        <f>_xlfn.XLOOKUP(B318, '2.공정성'!C:C, '2.공정성'!BS:BS)</f>
        <v>15.25</v>
      </c>
      <c r="F318" s="35">
        <f>_xlfn.XLOOKUP(B318, '3.사회공헌'!C:C, '3.사회공헌'!BL:BL)</f>
        <v>5.2377676829582676</v>
      </c>
      <c r="G318" s="35">
        <f>_xlfn.XLOOKUP(B318, '4.소비자보호'!C:C, '4.소비자보호'!BE:BE)</f>
        <v>8.4499999999999993</v>
      </c>
      <c r="H318" s="35">
        <f>_xlfn.XLOOKUP(B318, '5.환경경영'!C:C, '5.환경경영'!AX:AX)</f>
        <v>0</v>
      </c>
      <c r="I318" s="35">
        <f>_xlfn.XLOOKUP(B318, '6.직원만족'!C:C, '6.직원만족'!BS:BS)</f>
        <v>6.7005091018028589</v>
      </c>
      <c r="J318" s="162">
        <f t="shared" si="4"/>
        <v>62.918616889763605</v>
      </c>
    </row>
    <row r="319" spans="1:10" x14ac:dyDescent="0.6">
      <c r="A319" s="214" t="s">
        <v>458</v>
      </c>
      <c r="B319" s="219" t="s">
        <v>410</v>
      </c>
      <c r="C319" s="221" t="s">
        <v>350</v>
      </c>
      <c r="D319" s="35">
        <f>_xlfn.XLOOKUP(B319, '1.건전성'!C:C, '1.건전성'!CW:CW)</f>
        <v>26.664721929756745</v>
      </c>
      <c r="E319" s="35">
        <f>_xlfn.XLOOKUP(B319, '2.공정성'!C:C, '2.공정성'!BS:BS)</f>
        <v>12.75</v>
      </c>
      <c r="F319" s="35">
        <f>_xlfn.XLOOKUP(B319, '3.사회공헌'!C:C, '3.사회공헌'!BL:BL)</f>
        <v>6.0089910790953267</v>
      </c>
      <c r="G319" s="35">
        <f>_xlfn.XLOOKUP(B319, '4.소비자보호'!C:C, '4.소비자보호'!BE:BE)</f>
        <v>10.35</v>
      </c>
      <c r="H319" s="35">
        <f>_xlfn.XLOOKUP(B319, '5.환경경영'!C:C, '5.환경경영'!AX:AX)</f>
        <v>0</v>
      </c>
      <c r="I319" s="35">
        <f>_xlfn.XLOOKUP(B319, '6.직원만족'!C:C, '6.직원만족'!BS:BS)</f>
        <v>6.3619909659774718</v>
      </c>
      <c r="J319" s="162">
        <f t="shared" si="4"/>
        <v>62.135703974829539</v>
      </c>
    </row>
    <row r="320" spans="1:10" x14ac:dyDescent="0.6">
      <c r="A320" s="214" t="s">
        <v>831</v>
      </c>
      <c r="B320" s="219" t="s">
        <v>421</v>
      </c>
      <c r="C320" s="216" t="s">
        <v>285</v>
      </c>
      <c r="D320" s="35">
        <f>_xlfn.XLOOKUP(B320, '1.건전성'!C:C, '1.건전성'!CW:CW)</f>
        <v>18.817166083512909</v>
      </c>
      <c r="E320" s="35">
        <f>_xlfn.XLOOKUP(B320, '2.공정성'!C:C, '2.공정성'!BS:BS)</f>
        <v>16.5</v>
      </c>
      <c r="F320" s="35">
        <f>_xlfn.XLOOKUP(B320, '3.사회공헌'!C:C, '3.사회공헌'!BL:BL)</f>
        <v>5.6013460613409976</v>
      </c>
      <c r="G320" s="35">
        <f>_xlfn.XLOOKUP(B320, '4.소비자보호'!C:C, '4.소비자보호'!BE:BE)</f>
        <v>6.55</v>
      </c>
      <c r="H320" s="35">
        <f>_xlfn.XLOOKUP(B320, '5.환경경영'!C:C, '5.환경경영'!AX:AX)</f>
        <v>4.0833333333333339</v>
      </c>
      <c r="I320" s="35">
        <f>_xlfn.XLOOKUP(B320, '6.직원만족'!C:C, '6.직원만족'!BS:BS)</f>
        <v>10.300377827208758</v>
      </c>
      <c r="J320" s="162">
        <f t="shared" si="4"/>
        <v>61.852223305395995</v>
      </c>
    </row>
    <row r="321" spans="1:10" x14ac:dyDescent="0.6">
      <c r="A321" s="214" t="s">
        <v>1467</v>
      </c>
      <c r="B321" s="219" t="s">
        <v>1468</v>
      </c>
      <c r="C321" s="222" t="s">
        <v>285</v>
      </c>
      <c r="D321" s="35">
        <f>_xlfn.XLOOKUP(B321, '1.건전성'!C:C, '1.건전성'!CW:CW)</f>
        <v>15.953344511782193</v>
      </c>
      <c r="E321" s="35">
        <f>_xlfn.XLOOKUP(B321, '2.공정성'!C:C, '2.공정성'!BS:BS)</f>
        <v>15.25</v>
      </c>
      <c r="F321" s="35">
        <f>_xlfn.XLOOKUP(B321, '3.사회공헌'!C:C, '3.사회공헌'!BL:BL)</f>
        <v>7.95</v>
      </c>
      <c r="G321" s="35">
        <f>_xlfn.XLOOKUP(B321, '4.소비자보호'!C:C, '4.소비자보호'!BE:BE)</f>
        <v>7.45</v>
      </c>
      <c r="H321" s="35">
        <f>_xlfn.XLOOKUP(B321, '5.환경경영'!C:C, '5.환경경영'!AX:AX)</f>
        <v>6.0833333333333339</v>
      </c>
      <c r="I321" s="35">
        <f>_xlfn.XLOOKUP(B321, '6.직원만족'!C:C, '6.직원만족'!BS:BS)</f>
        <v>7.8218988988330125</v>
      </c>
      <c r="J321" s="162">
        <f t="shared" si="4"/>
        <v>60.508576743948545</v>
      </c>
    </row>
    <row r="322" spans="1:10" x14ac:dyDescent="0.6">
      <c r="A322" s="214" t="s">
        <v>932</v>
      </c>
      <c r="B322" s="219" t="s">
        <v>452</v>
      </c>
      <c r="C322" s="216" t="s">
        <v>285</v>
      </c>
      <c r="D322" s="35">
        <f>_xlfn.XLOOKUP(B322, '1.건전성'!C:C, '1.건전성'!CW:CW)</f>
        <v>17.587573347160564</v>
      </c>
      <c r="E322" s="35">
        <f>_xlfn.XLOOKUP(B322, '2.공정성'!C:C, '2.공정성'!BS:BS)</f>
        <v>15.5</v>
      </c>
      <c r="F322" s="35">
        <f>_xlfn.XLOOKUP(B322, '3.사회공헌'!C:C, '3.사회공헌'!BL:BL)</f>
        <v>6.5044085498484527</v>
      </c>
      <c r="G322" s="35">
        <f>_xlfn.XLOOKUP(B322, '4.소비자보호'!C:C, '4.소비자보호'!BE:BE)</f>
        <v>8.85</v>
      </c>
      <c r="H322" s="35">
        <f>_xlfn.XLOOKUP(B322, '5.환경경영'!C:C, '5.환경경영'!AX:AX)</f>
        <v>5.0833333333333339</v>
      </c>
      <c r="I322" s="35">
        <f>_xlfn.XLOOKUP(B322, '6.직원만족'!C:C, '6.직원만족'!BS:BS)</f>
        <v>6.8056365863455381</v>
      </c>
      <c r="J322" s="162">
        <f t="shared" ref="J322" si="5">SUM(D322:I322)</f>
        <v>60.330951816687893</v>
      </c>
    </row>
  </sheetData>
  <autoFilter ref="A1:J322">
    <sortState ref="A2:J322">
      <sortCondition descending="1" ref="J1:J2"/>
    </sortState>
  </autoFilter>
  <phoneticPr fontId="16" type="noConversion"/>
  <conditionalFormatting sqref="D1:D1048576">
    <cfRule type="dataBar" priority="7">
      <dataBar>
        <cfvo type="min"/>
        <cfvo type="max"/>
        <color rgb="FFFF555A"/>
      </dataBar>
      <extLst>
        <ext xmlns:x14="http://schemas.microsoft.com/office/spreadsheetml/2009/9/main" uri="{B025F937-C7B1-47D3-B67F-A62EFF666E3E}">
          <x14:id>{45FB800D-0613-4943-ABAE-1F5BCCFC8CB3}</x14:id>
        </ext>
      </extLst>
    </cfRule>
  </conditionalFormatting>
  <conditionalFormatting sqref="D323:D1048576 D1">
    <cfRule type="dataBar" priority="13">
      <dataBar>
        <cfvo type="min"/>
        <cfvo type="max"/>
        <color rgb="FFC00000"/>
      </dataBar>
      <extLst>
        <ext xmlns:x14="http://schemas.microsoft.com/office/spreadsheetml/2009/9/main" uri="{B025F937-C7B1-47D3-B67F-A62EFF666E3E}">
          <x14:id>{DC6D3508-301E-4C8F-A303-73E1D019B71A}</x14:id>
        </ext>
      </extLst>
    </cfRule>
  </conditionalFormatting>
  <conditionalFormatting sqref="E1:E1048576">
    <cfRule type="dataBar" priority="6">
      <dataBar>
        <cfvo type="min"/>
        <cfvo type="max"/>
        <color rgb="FFFFB628"/>
      </dataBar>
      <extLst>
        <ext xmlns:x14="http://schemas.microsoft.com/office/spreadsheetml/2009/9/main" uri="{B025F937-C7B1-47D3-B67F-A62EFF666E3E}">
          <x14:id>{EBC759D4-43BA-4B18-9D77-4660AF25699C}</x14:id>
        </ext>
      </extLst>
    </cfRule>
  </conditionalFormatting>
  <conditionalFormatting sqref="E323:E1048576 E1">
    <cfRule type="dataBar" priority="16">
      <dataBar>
        <cfvo type="min"/>
        <cfvo type="max"/>
        <color rgb="FFFFB628"/>
      </dataBar>
      <extLst>
        <ext xmlns:x14="http://schemas.microsoft.com/office/spreadsheetml/2009/9/main" uri="{B025F937-C7B1-47D3-B67F-A62EFF666E3E}">
          <x14:id>{249E07C1-6D3A-4CEA-9A3A-0ADAE05D2EFF}</x14:id>
        </ext>
      </extLst>
    </cfRule>
  </conditionalFormatting>
  <conditionalFormatting sqref="F1:F1048576">
    <cfRule type="dataBar" priority="5">
      <dataBar>
        <cfvo type="min"/>
        <cfvo type="max"/>
        <color rgb="FFFFFF00"/>
      </dataBar>
      <extLst>
        <ext xmlns:x14="http://schemas.microsoft.com/office/spreadsheetml/2009/9/main" uri="{B025F937-C7B1-47D3-B67F-A62EFF666E3E}">
          <x14:id>{EB8C340C-C625-4345-9DD7-219A4C1EEBAF}</x14:id>
        </ext>
      </extLst>
    </cfRule>
  </conditionalFormatting>
  <conditionalFormatting sqref="F323:F1048576 F1">
    <cfRule type="dataBar" priority="12">
      <dataBar>
        <cfvo type="min"/>
        <cfvo type="max"/>
        <color rgb="FFFFFF00"/>
      </dataBar>
      <extLst>
        <ext xmlns:x14="http://schemas.microsoft.com/office/spreadsheetml/2009/9/main" uri="{B025F937-C7B1-47D3-B67F-A62EFF666E3E}">
          <x14:id>{D921384E-F1C1-449E-906E-CE5550C116EC}</x14:id>
        </ext>
      </extLst>
    </cfRule>
  </conditionalFormatting>
  <conditionalFormatting sqref="G1:G1048576">
    <cfRule type="dataBar" priority="4">
      <dataBar>
        <cfvo type="min"/>
        <cfvo type="max"/>
        <color rgb="FF63C384"/>
      </dataBar>
      <extLst>
        <ext xmlns:x14="http://schemas.microsoft.com/office/spreadsheetml/2009/9/main" uri="{B025F937-C7B1-47D3-B67F-A62EFF666E3E}">
          <x14:id>{F5098E89-AFA4-4209-BEB2-2BE376FBC6F7}</x14:id>
        </ext>
      </extLst>
    </cfRule>
  </conditionalFormatting>
  <conditionalFormatting sqref="G323:G1048576 G1">
    <cfRule type="dataBar" priority="11">
      <dataBar>
        <cfvo type="min"/>
        <cfvo type="max"/>
        <color rgb="FF00B050"/>
      </dataBar>
      <extLst>
        <ext xmlns:x14="http://schemas.microsoft.com/office/spreadsheetml/2009/9/main" uri="{B025F937-C7B1-47D3-B67F-A62EFF666E3E}">
          <x14:id>{21366207-5A3C-448D-9162-83B77196AA55}</x14:id>
        </ext>
      </extLst>
    </cfRule>
  </conditionalFormatting>
  <conditionalFormatting sqref="H1:H1048576">
    <cfRule type="dataBar" priority="3">
      <dataBar>
        <cfvo type="min"/>
        <cfvo type="max"/>
        <color rgb="FF008AEF"/>
      </dataBar>
      <extLst>
        <ext xmlns:x14="http://schemas.microsoft.com/office/spreadsheetml/2009/9/main" uri="{B025F937-C7B1-47D3-B67F-A62EFF666E3E}">
          <x14:id>{452C7A4E-B135-404B-A17E-1D073FD289F3}</x14:id>
        </ext>
      </extLst>
    </cfRule>
  </conditionalFormatting>
  <conditionalFormatting sqref="H323:H1048576 H1">
    <cfRule type="dataBar" priority="10">
      <dataBar>
        <cfvo type="min"/>
        <cfvo type="max"/>
        <color rgb="FF00B0F0"/>
      </dataBar>
      <extLst>
        <ext xmlns:x14="http://schemas.microsoft.com/office/spreadsheetml/2009/9/main" uri="{B025F937-C7B1-47D3-B67F-A62EFF666E3E}">
          <x14:id>{DE1E89A1-3372-4CA1-93FC-108A5E61E214}</x14:id>
        </ext>
      </extLst>
    </cfRule>
  </conditionalFormatting>
  <conditionalFormatting sqref="I1:I1048576">
    <cfRule type="dataBar" priority="2">
      <dataBar>
        <cfvo type="min"/>
        <cfvo type="max"/>
        <color rgb="FF002060"/>
      </dataBar>
      <extLst>
        <ext xmlns:x14="http://schemas.microsoft.com/office/spreadsheetml/2009/9/main" uri="{B025F937-C7B1-47D3-B67F-A62EFF666E3E}">
          <x14:id>{900E3423-BBA5-499A-B3AB-3EFE1622CCDC}</x14:id>
        </ext>
      </extLst>
    </cfRule>
  </conditionalFormatting>
  <conditionalFormatting sqref="I323:I1048576 I1">
    <cfRule type="dataBar" priority="9">
      <dataBar>
        <cfvo type="min"/>
        <cfvo type="max"/>
        <color rgb="FF002060"/>
      </dataBar>
      <extLst>
        <ext xmlns:x14="http://schemas.microsoft.com/office/spreadsheetml/2009/9/main" uri="{B025F937-C7B1-47D3-B67F-A62EFF666E3E}">
          <x14:id>{0673B862-D8F9-4187-A91D-9FE8C0A918F6}</x14:id>
        </ext>
      </extLst>
    </cfRule>
  </conditionalFormatting>
  <conditionalFormatting sqref="J1:J1048576">
    <cfRule type="dataBar" priority="1">
      <dataBar>
        <cfvo type="min"/>
        <cfvo type="max"/>
        <color theme="1"/>
      </dataBar>
      <extLst>
        <ext xmlns:x14="http://schemas.microsoft.com/office/spreadsheetml/2009/9/main" uri="{B025F937-C7B1-47D3-B67F-A62EFF666E3E}">
          <x14:id>{37011008-ED72-4A54-A46E-054BCE50874F}</x14:id>
        </ext>
      </extLst>
    </cfRule>
  </conditionalFormatting>
  <conditionalFormatting sqref="J323:J1048576 J1">
    <cfRule type="dataBar" priority="8">
      <dataBar>
        <cfvo type="min"/>
        <cfvo type="max"/>
        <color theme="1"/>
      </dataBar>
      <extLst>
        <ext xmlns:x14="http://schemas.microsoft.com/office/spreadsheetml/2009/9/main" uri="{B025F937-C7B1-47D3-B67F-A62EFF666E3E}">
          <x14:id>{4F7E2F53-100C-4E45-BD49-D96F2B0ED8FD}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5FB800D-0613-4943-ABAE-1F5BCCFC8CB3}">
            <x14:dataBar minLength="0" maxLength="100" border="1" negativeBarBorderColorSameAsPositive="0">
              <x14:cfvo type="autoMin"/>
              <x14:cfvo type="autoMax"/>
              <x14:borderColor rgb="FFFF555A"/>
              <x14:negativeFillColor rgb="FFFF0000"/>
              <x14:negativeBorderColor rgb="FFFF0000"/>
              <x14:axisColor rgb="FF000000"/>
            </x14:dataBar>
          </x14:cfRule>
          <xm:sqref>D1:D1048576</xm:sqref>
        </x14:conditionalFormatting>
        <x14:conditionalFormatting xmlns:xm="http://schemas.microsoft.com/office/excel/2006/main">
          <x14:cfRule type="dataBar" id="{DC6D3508-301E-4C8F-A303-73E1D019B71A}">
            <x14:dataBar minLength="0" maxLength="100" border="1">
              <x14:cfvo type="autoMin"/>
              <x14:cfvo type="autoMax"/>
              <x14:borderColor rgb="FFC00000"/>
              <x14:negativeFillColor rgb="FFFF0000"/>
              <x14:axisColor rgb="FF000000"/>
            </x14:dataBar>
          </x14:cfRule>
          <xm:sqref>D323:D1048576 D1</xm:sqref>
        </x14:conditionalFormatting>
        <x14:conditionalFormatting xmlns:xm="http://schemas.microsoft.com/office/excel/2006/main">
          <x14:cfRule type="dataBar" id="{EBC759D4-43BA-4B18-9D77-4660AF25699C}">
            <x14:dataBar minLength="0" maxLength="100" border="1" negativeBarBorderColorSameAsPositive="0">
              <x14:cfvo type="autoMin"/>
              <x14:cfvo type="autoMax"/>
              <x14:borderColor rgb="FFFFB628"/>
              <x14:negativeFillColor rgb="FFFF0000"/>
              <x14:negativeBorderColor rgb="FFFF0000"/>
              <x14:axisColor rgb="FF000000"/>
            </x14:dataBar>
          </x14:cfRule>
          <xm:sqref>E1:E1048576</xm:sqref>
        </x14:conditionalFormatting>
        <x14:conditionalFormatting xmlns:xm="http://schemas.microsoft.com/office/excel/2006/main">
          <x14:cfRule type="dataBar" id="{249E07C1-6D3A-4CEA-9A3A-0ADAE05D2EFF}">
            <x14:dataBar minLength="0" maxLength="100" border="1" negativeBarBorderColorSameAsPositive="0">
              <x14:cfvo type="autoMin"/>
              <x14:cfvo type="autoMax"/>
              <x14:borderColor rgb="FFFFB628"/>
              <x14:negativeFillColor rgb="FFFF0000"/>
              <x14:negativeBorderColor rgb="FFFF0000"/>
              <x14:axisColor rgb="FF000000"/>
            </x14:dataBar>
          </x14:cfRule>
          <xm:sqref>E323:E1048576 E1</xm:sqref>
        </x14:conditionalFormatting>
        <x14:conditionalFormatting xmlns:xm="http://schemas.microsoft.com/office/excel/2006/main">
          <x14:cfRule type="dataBar" id="{EB8C340C-C625-4345-9DD7-219A4C1EEBAF}">
            <x14:dataBar minLength="0" maxLength="100" border="1">
              <x14:cfvo type="autoMin"/>
              <x14:cfvo type="autoMax"/>
              <x14:borderColor rgb="FFFFFF00"/>
              <x14:negativeFillColor rgb="FFFF0000"/>
              <x14:axisColor rgb="FF000000"/>
            </x14:dataBar>
          </x14:cfRule>
          <xm:sqref>F1:F1048576</xm:sqref>
        </x14:conditionalFormatting>
        <x14:conditionalFormatting xmlns:xm="http://schemas.microsoft.com/office/excel/2006/main">
          <x14:cfRule type="dataBar" id="{D921384E-F1C1-449E-906E-CE5550C116EC}">
            <x14:dataBar minLength="0" maxLength="100" border="1">
              <x14:cfvo type="autoMin"/>
              <x14:cfvo type="autoMax"/>
              <x14:borderColor rgb="FFFFFF00"/>
              <x14:negativeFillColor rgb="FFFF0000"/>
              <x14:axisColor rgb="FF000000"/>
            </x14:dataBar>
          </x14:cfRule>
          <xm:sqref>F323:F1048576 F1</xm:sqref>
        </x14:conditionalFormatting>
        <x14:conditionalFormatting xmlns:xm="http://schemas.microsoft.com/office/excel/2006/main">
          <x14:cfRule type="dataBar" id="{F5098E89-AFA4-4209-BEB2-2BE376FBC6F7}">
            <x14:dataBar minLength="0" maxLength="100" border="1" negativeBarBorderColorSameAsPositive="0">
              <x14:cfvo type="autoMin"/>
              <x14:cfvo type="autoMax"/>
              <x14:borderColor rgb="FF63C384"/>
              <x14:negativeFillColor rgb="FFFF0000"/>
              <x14:negativeBorderColor rgb="FFFF0000"/>
              <x14:axisColor rgb="FF000000"/>
            </x14:dataBar>
          </x14:cfRule>
          <xm:sqref>G1:G1048576</xm:sqref>
        </x14:conditionalFormatting>
        <x14:conditionalFormatting xmlns:xm="http://schemas.microsoft.com/office/excel/2006/main">
          <x14:cfRule type="dataBar" id="{21366207-5A3C-448D-9162-83B77196AA55}">
            <x14:dataBar minLength="0" maxLength="100" border="1">
              <x14:cfvo type="autoMin"/>
              <x14:cfvo type="autoMax"/>
              <x14:borderColor rgb="FF00B050"/>
              <x14:negativeFillColor rgb="FFFF0000"/>
              <x14:axisColor rgb="FF000000"/>
            </x14:dataBar>
          </x14:cfRule>
          <xm:sqref>G323:G1048576 G1</xm:sqref>
        </x14:conditionalFormatting>
        <x14:conditionalFormatting xmlns:xm="http://schemas.microsoft.com/office/excel/2006/main">
          <x14:cfRule type="dataBar" id="{452C7A4E-B135-404B-A17E-1D073FD289F3}">
            <x14:dataBar minLength="0" maxLength="100" border="1" negativeBarBorderColorSameAsPositive="0">
              <x14:cfvo type="autoMin"/>
              <x14:cfvo type="autoMax"/>
              <x14:borderColor rgb="FF008AEF"/>
              <x14:negativeFillColor rgb="FFFF0000"/>
              <x14:negativeBorderColor rgb="FFFF0000"/>
              <x14:axisColor rgb="FF000000"/>
            </x14:dataBar>
          </x14:cfRule>
          <xm:sqref>H1:H1048576</xm:sqref>
        </x14:conditionalFormatting>
        <x14:conditionalFormatting xmlns:xm="http://schemas.microsoft.com/office/excel/2006/main">
          <x14:cfRule type="dataBar" id="{DE1E89A1-3372-4CA1-93FC-108A5E61E214}">
            <x14:dataBar minLength="0" maxLength="100" border="1">
              <x14:cfvo type="autoMin"/>
              <x14:cfvo type="autoMax"/>
              <x14:borderColor rgb="FF00B0F0"/>
              <x14:negativeFillColor rgb="FFFF0000"/>
              <x14:axisColor rgb="FF000000"/>
            </x14:dataBar>
          </x14:cfRule>
          <xm:sqref>H323:H1048576 H1</xm:sqref>
        </x14:conditionalFormatting>
        <x14:conditionalFormatting xmlns:xm="http://schemas.microsoft.com/office/excel/2006/main">
          <x14:cfRule type="dataBar" id="{900E3423-BBA5-499A-B3AB-3EFE1622CCDC}">
            <x14:dataBar minLength="0" maxLength="100" border="1">
              <x14:cfvo type="autoMin"/>
              <x14:cfvo type="autoMax"/>
              <x14:borderColor rgb="FF002060"/>
              <x14:negativeFillColor rgb="FFFF0000"/>
              <x14:axisColor rgb="FF000000"/>
            </x14:dataBar>
          </x14:cfRule>
          <xm:sqref>I1:I1048576</xm:sqref>
        </x14:conditionalFormatting>
        <x14:conditionalFormatting xmlns:xm="http://schemas.microsoft.com/office/excel/2006/main">
          <x14:cfRule type="dataBar" id="{0673B862-D8F9-4187-A91D-9FE8C0A918F6}">
            <x14:dataBar minLength="0" maxLength="100" border="1">
              <x14:cfvo type="autoMin"/>
              <x14:cfvo type="autoMax"/>
              <x14:borderColor rgb="FF002060"/>
              <x14:negativeFillColor rgb="FFFF0000"/>
              <x14:axisColor rgb="FF000000"/>
            </x14:dataBar>
          </x14:cfRule>
          <xm:sqref>I323:I1048576 I1</xm:sqref>
        </x14:conditionalFormatting>
        <x14:conditionalFormatting xmlns:xm="http://schemas.microsoft.com/office/excel/2006/main">
          <x14:cfRule type="dataBar" id="{37011008-ED72-4A54-A46E-054BCE50874F}">
            <x14:dataBar minLength="0" maxLength="100" border="1">
              <x14:cfvo type="autoMin"/>
              <x14:cfvo type="autoMax"/>
              <x14:borderColor rgb="FF000000"/>
              <x14:negativeFillColor rgb="FFFF0000"/>
              <x14:axisColor rgb="FF000000"/>
            </x14:dataBar>
          </x14:cfRule>
          <xm:sqref>J1:J1048576</xm:sqref>
        </x14:conditionalFormatting>
        <x14:conditionalFormatting xmlns:xm="http://schemas.microsoft.com/office/excel/2006/main">
          <x14:cfRule type="dataBar" id="{4F7E2F53-100C-4E45-BD49-D96F2B0ED8FD}">
            <x14:dataBar minLength="0" maxLength="100" border="1">
              <x14:cfvo type="autoMin"/>
              <x14:cfvo type="autoMax"/>
              <x14:borderColor rgb="FF000000"/>
              <x14:negativeFillColor rgb="FFFF0000"/>
              <x14:axisColor rgb="FF000000"/>
            </x14:dataBar>
          </x14:cfRule>
          <xm:sqref>J323:J1048576 J1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otalTime>5326</TotalTime>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1.건전성</vt:lpstr>
      <vt:lpstr>1-1. 관계사체무보증금액 (환율 등)</vt:lpstr>
      <vt:lpstr>2.공정성</vt:lpstr>
      <vt:lpstr>3.사회공헌</vt:lpstr>
      <vt:lpstr>4.소비자보호</vt:lpstr>
      <vt:lpstr>5.환경경영</vt:lpstr>
      <vt:lpstr>6.직원만족</vt:lpstr>
      <vt:lpstr>종합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pesou</dc:creator>
  <cp:lastModifiedBy>동아대SW혁신센터</cp:lastModifiedBy>
  <cp:revision>1457</cp:revision>
  <dcterms:created xsi:type="dcterms:W3CDTF">2022-07-29T02:40:32Z</dcterms:created>
  <dcterms:modified xsi:type="dcterms:W3CDTF">2025-12-03T09:46:56Z</dcterms:modified>
  <cp:version>1200.0100.01</cp:version>
</cp:coreProperties>
</file>